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LAPORAN ASET BPSDM 2023 108\"/>
    </mc:Choice>
  </mc:AlternateContent>
  <xr:revisionPtr revIDLastSave="0" documentId="13_ncr:1_{3494DE86-CC51-4AB8-ADDC-5DD4DAEAD822}" xr6:coauthVersionLast="47" xr6:coauthVersionMax="47" xr10:uidLastSave="{00000000-0000-0000-0000-000000000000}"/>
  <bookViews>
    <workbookView xWindow="-120" yWindow="-120" windowWidth="29040" windowHeight="15840" firstSheet="2" activeTab="2" xr2:uid="{74BC24D8-A76D-4C43-81D1-CEA1C2E06F41}"/>
  </bookViews>
  <sheets>
    <sheet name="BI TAHUN 2022 108" sheetId="2" r:id="rId1"/>
    <sheet name="REKAP BEBAN PENYUSUTAN 2022" sheetId="3" r:id="rId2"/>
    <sheet name="BI Sem. I tahun 2023 108" sheetId="4" r:id="rId3"/>
    <sheet name=" Rekap Beban Peny. Sem.I 2023" sheetId="5" r:id="rId4"/>
    <sheet name="BI Sem. II tahun 2023 108  " sheetId="11" r:id="rId5"/>
    <sheet name=" Rekap Beban Peny. Sem.II 2023" sheetId="9" r:id="rId6"/>
  </sheets>
  <externalReferences>
    <externalReference r:id="rId7"/>
    <externalReference r:id="rId8"/>
    <externalReference r:id="rId9"/>
  </externalReferences>
  <definedNames>
    <definedName name="_xlnm._FilterDatabase" localSheetId="3" hidden="1">' Rekap Beban Peny. Sem.I 2023'!$A$13:$AL$52</definedName>
    <definedName name="_xlnm._FilterDatabase" localSheetId="5" hidden="1">' Rekap Beban Peny. Sem.II 2023'!$A$13:$AL$52</definedName>
    <definedName name="_xlnm._FilterDatabase" localSheetId="1" hidden="1">'REKAP BEBAN PENYUSUTAN 2022'!$A$13:$AL$52</definedName>
    <definedName name="_xlnm.Print_Area" localSheetId="3">' Rekap Beban Peny. Sem.I 2023'!$A$1:$P$1854</definedName>
    <definedName name="_xlnm.Print_Area" localSheetId="5">' Rekap Beban Peny. Sem.II 2023'!$A$1:$P$1854</definedName>
    <definedName name="_xlnm.Print_Area" localSheetId="2">'BI Sem. I tahun 2023 108'!$A$1:$AE$1571</definedName>
    <definedName name="_xlnm.Print_Area" localSheetId="4">'BI Sem. II tahun 2023 108  '!$A$1:$AE$1582</definedName>
    <definedName name="_xlnm.Print_Area" localSheetId="0">'BI TAHUN 2022 108'!$A$1:$AE$1507</definedName>
    <definedName name="_xlnm.Print_Area" localSheetId="1">'REKAP BEBAN PENYUSUTAN 2022'!$A$1:$P$1854</definedName>
    <definedName name="_xlnm.Print_Titles" localSheetId="3">' Rekap Beban Peny. Sem.I 2023'!$7:$10</definedName>
    <definedName name="_xlnm.Print_Titles" localSheetId="5">' Rekap Beban Peny. Sem.II 2023'!$7:$10</definedName>
    <definedName name="_xlnm.Print_Titles" localSheetId="1">'REKAP BEBAN PENYUSUTAN 2022'!$7:$10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1571" i="4" l="1"/>
  <c r="AC1582" i="11"/>
  <c r="N11" i="9"/>
  <c r="AB1582" i="11"/>
  <c r="Z1073" i="11"/>
  <c r="M631" i="9"/>
  <c r="M1844" i="9"/>
  <c r="M673" i="9"/>
  <c r="J673" i="9"/>
  <c r="O631" i="9"/>
  <c r="N631" i="9"/>
  <c r="AC808" i="11"/>
  <c r="AB44" i="11"/>
  <c r="O498" i="9"/>
  <c r="N498" i="9"/>
  <c r="M498" i="9"/>
  <c r="L498" i="9"/>
  <c r="K498" i="9"/>
  <c r="O496" i="9"/>
  <c r="N496" i="9"/>
  <c r="M496" i="9"/>
  <c r="L496" i="9"/>
  <c r="K496" i="9"/>
  <c r="J496" i="9"/>
  <c r="O492" i="9"/>
  <c r="N492" i="9"/>
  <c r="M492" i="9"/>
  <c r="L492" i="9"/>
  <c r="K492" i="9"/>
  <c r="J492" i="9"/>
  <c r="J498" i="9"/>
  <c r="O493" i="9"/>
  <c r="N493" i="9"/>
  <c r="M493" i="9"/>
  <c r="L493" i="9"/>
  <c r="K493" i="9"/>
  <c r="J493" i="9"/>
  <c r="I673" i="9"/>
  <c r="I631" i="9"/>
  <c r="I498" i="9"/>
  <c r="I496" i="9"/>
  <c r="I493" i="9"/>
  <c r="I492" i="9"/>
  <c r="W934" i="11"/>
  <c r="U934" i="11"/>
  <c r="O934" i="11"/>
  <c r="AC934" i="11"/>
  <c r="AB934" i="11"/>
  <c r="Z934" i="11"/>
  <c r="Y934" i="11"/>
  <c r="M934" i="11"/>
  <c r="AC847" i="11"/>
  <c r="AB847" i="11"/>
  <c r="Z847" i="11"/>
  <c r="Y847" i="11"/>
  <c r="W847" i="11"/>
  <c r="U847" i="11"/>
  <c r="O847" i="11"/>
  <c r="M847" i="11"/>
  <c r="AC1003" i="11"/>
  <c r="AB1003" i="11"/>
  <c r="Z1003" i="11"/>
  <c r="Y1003" i="11"/>
  <c r="W1003" i="11"/>
  <c r="U1003" i="11"/>
  <c r="O1003" i="11"/>
  <c r="M1003" i="11"/>
  <c r="AA1012" i="11"/>
  <c r="X1012" i="11"/>
  <c r="S1012" i="11"/>
  <c r="U1012" i="11" s="1"/>
  <c r="N1012" i="11"/>
  <c r="AA1011" i="11"/>
  <c r="X1011" i="11"/>
  <c r="S1011" i="11"/>
  <c r="U1011" i="11" s="1"/>
  <c r="AB1011" i="11" s="1"/>
  <c r="AC1011" i="11" s="1"/>
  <c r="N1011" i="11"/>
  <c r="AA1010" i="11"/>
  <c r="X1010" i="11"/>
  <c r="S1010" i="11"/>
  <c r="U1010" i="11" s="1"/>
  <c r="AB1010" i="11" s="1"/>
  <c r="AC1010" i="11" s="1"/>
  <c r="N1010" i="11"/>
  <c r="AA1009" i="11"/>
  <c r="V1009" i="11"/>
  <c r="S1009" i="11"/>
  <c r="U1009" i="11" s="1"/>
  <c r="N1009" i="11"/>
  <c r="AA1008" i="11"/>
  <c r="V1008" i="11"/>
  <c r="S1008" i="11"/>
  <c r="U1008" i="11" s="1"/>
  <c r="Y1008" i="11" s="1"/>
  <c r="N1008" i="11"/>
  <c r="AA1007" i="11"/>
  <c r="V1007" i="11"/>
  <c r="S1007" i="11"/>
  <c r="U1007" i="11" s="1"/>
  <c r="N1007" i="11"/>
  <c r="AA1006" i="11"/>
  <c r="V1006" i="11"/>
  <c r="S1006" i="11"/>
  <c r="U1006" i="11" s="1"/>
  <c r="Y1006" i="11" s="1"/>
  <c r="N1006" i="11"/>
  <c r="AA1005" i="11"/>
  <c r="V1005" i="11"/>
  <c r="S1005" i="11"/>
  <c r="U1005" i="11" s="1"/>
  <c r="N1005" i="11"/>
  <c r="AA1004" i="11"/>
  <c r="V1004" i="11"/>
  <c r="U1004" i="11"/>
  <c r="Y1004" i="11" s="1"/>
  <c r="S1004" i="11"/>
  <c r="N1004" i="11"/>
  <c r="M925" i="11"/>
  <c r="O925" i="11"/>
  <c r="AA932" i="11"/>
  <c r="X932" i="11"/>
  <c r="S932" i="11"/>
  <c r="U932" i="11" s="1"/>
  <c r="N932" i="11"/>
  <c r="AA931" i="11"/>
  <c r="V931" i="11"/>
  <c r="S931" i="11"/>
  <c r="U931" i="11" s="1"/>
  <c r="Y931" i="11" s="1"/>
  <c r="N931" i="11"/>
  <c r="AA930" i="11"/>
  <c r="V930" i="11"/>
  <c r="S930" i="11"/>
  <c r="U930" i="11" s="1"/>
  <c r="N930" i="11"/>
  <c r="AA929" i="11"/>
  <c r="V929" i="11"/>
  <c r="S929" i="11"/>
  <c r="U929" i="11" s="1"/>
  <c r="Y929" i="11" s="1"/>
  <c r="N929" i="11"/>
  <c r="AA928" i="11"/>
  <c r="V928" i="11"/>
  <c r="S928" i="11"/>
  <c r="U928" i="11" s="1"/>
  <c r="Y928" i="11" s="1"/>
  <c r="N928" i="11"/>
  <c r="AA927" i="11"/>
  <c r="V927" i="11"/>
  <c r="S927" i="11"/>
  <c r="U927" i="11" s="1"/>
  <c r="Y927" i="11" s="1"/>
  <c r="N927" i="11"/>
  <c r="AA926" i="11"/>
  <c r="V926" i="11"/>
  <c r="S926" i="11"/>
  <c r="U926" i="11" s="1"/>
  <c r="Y926" i="11" s="1"/>
  <c r="N926" i="11"/>
  <c r="O498" i="5"/>
  <c r="O496" i="5"/>
  <c r="N11" i="5"/>
  <c r="AB1571" i="4"/>
  <c r="AB850" i="4"/>
  <c r="N496" i="5"/>
  <c r="M496" i="5"/>
  <c r="K496" i="5"/>
  <c r="J496" i="5"/>
  <c r="M492" i="5"/>
  <c r="K492" i="5"/>
  <c r="J492" i="5"/>
  <c r="N493" i="5"/>
  <c r="N498" i="5"/>
  <c r="M498" i="5"/>
  <c r="K498" i="5"/>
  <c r="J498" i="5"/>
  <c r="U1003" i="4"/>
  <c r="U934" i="4" s="1"/>
  <c r="AC934" i="4"/>
  <c r="AB934" i="4"/>
  <c r="Z934" i="4"/>
  <c r="W934" i="4"/>
  <c r="S934" i="4"/>
  <c r="O934" i="4"/>
  <c r="M934" i="4"/>
  <c r="S1003" i="4"/>
  <c r="O1003" i="4"/>
  <c r="M1003" i="4"/>
  <c r="AA1009" i="4"/>
  <c r="V1009" i="4"/>
  <c r="U1009" i="4"/>
  <c r="W1009" i="4" s="1"/>
  <c r="Z1009" i="4" s="1"/>
  <c r="S1009" i="4"/>
  <c r="N1009" i="4"/>
  <c r="AA1008" i="4"/>
  <c r="V1008" i="4"/>
  <c r="S1008" i="4"/>
  <c r="U1008" i="4" s="1"/>
  <c r="N1008" i="4"/>
  <c r="AA1007" i="4"/>
  <c r="V1007" i="4"/>
  <c r="S1007" i="4"/>
  <c r="U1007" i="4" s="1"/>
  <c r="N1007" i="4"/>
  <c r="AA1006" i="4"/>
  <c r="V1006" i="4"/>
  <c r="S1006" i="4"/>
  <c r="U1006" i="4" s="1"/>
  <c r="N1006" i="4"/>
  <c r="AA1005" i="4"/>
  <c r="V1005" i="4"/>
  <c r="S1005" i="4"/>
  <c r="U1005" i="4" s="1"/>
  <c r="W1005" i="4" s="1"/>
  <c r="Z1005" i="4" s="1"/>
  <c r="N1005" i="4"/>
  <c r="AA1004" i="4"/>
  <c r="V1004" i="4"/>
  <c r="S1004" i="4"/>
  <c r="U1004" i="4" s="1"/>
  <c r="N1004" i="4"/>
  <c r="O926" i="4"/>
  <c r="M926" i="4"/>
  <c r="AA932" i="4"/>
  <c r="V932" i="4"/>
  <c r="S932" i="4"/>
  <c r="U932" i="4" s="1"/>
  <c r="N932" i="4"/>
  <c r="AA931" i="4"/>
  <c r="V931" i="4"/>
  <c r="S931" i="4"/>
  <c r="U931" i="4" s="1"/>
  <c r="AB931" i="4" s="1"/>
  <c r="AC931" i="4" s="1"/>
  <c r="N931" i="4"/>
  <c r="AA930" i="4"/>
  <c r="V930" i="4"/>
  <c r="S930" i="4"/>
  <c r="U930" i="4" s="1"/>
  <c r="N930" i="4"/>
  <c r="AA929" i="4"/>
  <c r="V929" i="4"/>
  <c r="U929" i="4"/>
  <c r="S929" i="4"/>
  <c r="N929" i="4"/>
  <c r="AA928" i="4"/>
  <c r="V928" i="4"/>
  <c r="S928" i="4"/>
  <c r="U928" i="4" s="1"/>
  <c r="N928" i="4"/>
  <c r="AA927" i="4"/>
  <c r="V927" i="4"/>
  <c r="S927" i="4"/>
  <c r="N927" i="4"/>
  <c r="N926" i="4" s="1"/>
  <c r="AA1136" i="11"/>
  <c r="X1136" i="11"/>
  <c r="AA1156" i="11"/>
  <c r="X1156" i="11"/>
  <c r="AA1182" i="11"/>
  <c r="X1182" i="11"/>
  <c r="AA1185" i="11"/>
  <c r="X1185" i="11"/>
  <c r="AA1184" i="11"/>
  <c r="AA1106" i="11"/>
  <c r="X1106" i="11"/>
  <c r="AA1105" i="11"/>
  <c r="AA1091" i="11"/>
  <c r="AA1092" i="11"/>
  <c r="X1092" i="11"/>
  <c r="AB1008" i="11" l="1"/>
  <c r="AC1008" i="11" s="1"/>
  <c r="W1004" i="11"/>
  <c r="Y1010" i="11"/>
  <c r="Z1010" i="11" s="1"/>
  <c r="AB1004" i="11"/>
  <c r="AC1004" i="11" s="1"/>
  <c r="W1006" i="11"/>
  <c r="Z1006" i="11" s="1"/>
  <c r="AB1006" i="11"/>
  <c r="AC1006" i="11" s="1"/>
  <c r="W1008" i="11"/>
  <c r="AB1005" i="11"/>
  <c r="AC1005" i="11" s="1"/>
  <c r="W1005" i="11"/>
  <c r="Y1005" i="11"/>
  <c r="AB1009" i="11"/>
  <c r="AC1009" i="11" s="1"/>
  <c r="W1009" i="11"/>
  <c r="Y1009" i="11"/>
  <c r="Z1004" i="11"/>
  <c r="AB1007" i="11"/>
  <c r="AC1007" i="11" s="1"/>
  <c r="W1007" i="11"/>
  <c r="Y1007" i="11"/>
  <c r="Y1012" i="11"/>
  <c r="Z1012" i="11" s="1"/>
  <c r="AB1012" i="11"/>
  <c r="AC1012" i="11" s="1"/>
  <c r="Z1008" i="11"/>
  <c r="Y1011" i="11"/>
  <c r="Z1011" i="11" s="1"/>
  <c r="U925" i="11"/>
  <c r="Y932" i="11"/>
  <c r="Z932" i="11" s="1"/>
  <c r="AB932" i="11"/>
  <c r="AC932" i="11" s="1"/>
  <c r="AB930" i="11"/>
  <c r="AC930" i="11" s="1"/>
  <c r="W930" i="11"/>
  <c r="Y930" i="11"/>
  <c r="Y925" i="11" s="1"/>
  <c r="W931" i="11"/>
  <c r="Z931" i="11" s="1"/>
  <c r="AB931" i="11"/>
  <c r="AC931" i="11" s="1"/>
  <c r="W926" i="11"/>
  <c r="AB926" i="11"/>
  <c r="W928" i="11"/>
  <c r="Z928" i="11" s="1"/>
  <c r="AB928" i="11"/>
  <c r="AC928" i="11" s="1"/>
  <c r="AB929" i="11"/>
  <c r="AC929" i="11" s="1"/>
  <c r="W927" i="11"/>
  <c r="Z927" i="11" s="1"/>
  <c r="AB927" i="11"/>
  <c r="AC927" i="11" s="1"/>
  <c r="W929" i="11"/>
  <c r="Z929" i="11" s="1"/>
  <c r="AB1006" i="4"/>
  <c r="AC1006" i="4" s="1"/>
  <c r="W1006" i="4"/>
  <c r="Z1006" i="4" s="1"/>
  <c r="AB1008" i="4"/>
  <c r="AC1008" i="4" s="1"/>
  <c r="W1008" i="4"/>
  <c r="Z1008" i="4" s="1"/>
  <c r="AB1007" i="4"/>
  <c r="AC1007" i="4" s="1"/>
  <c r="W1007" i="4"/>
  <c r="Z1007" i="4" s="1"/>
  <c r="AB1004" i="4"/>
  <c r="W1004" i="4"/>
  <c r="AB1005" i="4"/>
  <c r="AC1005" i="4" s="1"/>
  <c r="AB1009" i="4"/>
  <c r="AC1009" i="4" s="1"/>
  <c r="W929" i="4"/>
  <c r="Z929" i="4" s="1"/>
  <c r="S926" i="4"/>
  <c r="W928" i="4"/>
  <c r="Z928" i="4" s="1"/>
  <c r="AB928" i="4"/>
  <c r="AC928" i="4" s="1"/>
  <c r="U927" i="4"/>
  <c r="W932" i="4"/>
  <c r="Z932" i="4" s="1"/>
  <c r="AB932" i="4"/>
  <c r="AC932" i="4" s="1"/>
  <c r="W931" i="4"/>
  <c r="Z931" i="4" s="1"/>
  <c r="W930" i="4"/>
  <c r="Z930" i="4" s="1"/>
  <c r="AB930" i="4"/>
  <c r="AC930" i="4" s="1"/>
  <c r="AB929" i="4"/>
  <c r="AC929" i="4" s="1"/>
  <c r="AA1155" i="11"/>
  <c r="O628" i="5"/>
  <c r="N628" i="5"/>
  <c r="N630" i="5"/>
  <c r="Z1005" i="11" l="1"/>
  <c r="Z1007" i="11"/>
  <c r="Z1009" i="11"/>
  <c r="AC926" i="11"/>
  <c r="AC925" i="11" s="1"/>
  <c r="AB925" i="11"/>
  <c r="Z926" i="11"/>
  <c r="W925" i="11"/>
  <c r="Z930" i="11"/>
  <c r="Z1004" i="4"/>
  <c r="Z1003" i="4" s="1"/>
  <c r="W1003" i="4"/>
  <c r="AC1004" i="4"/>
  <c r="AC1003" i="4" s="1"/>
  <c r="AB1003" i="4"/>
  <c r="U926" i="4"/>
  <c r="J493" i="5" s="1"/>
  <c r="W927" i="4"/>
  <c r="AB927" i="4"/>
  <c r="N629" i="5"/>
  <c r="Z925" i="11" l="1"/>
  <c r="AC927" i="4"/>
  <c r="AC926" i="4" s="1"/>
  <c r="O493" i="5" s="1"/>
  <c r="AB926" i="4"/>
  <c r="Z927" i="4"/>
  <c r="Z926" i="4" s="1"/>
  <c r="M493" i="5" s="1"/>
  <c r="W926" i="4"/>
  <c r="K493" i="5" s="1"/>
  <c r="AG966" i="11"/>
  <c r="AG967" i="11"/>
  <c r="AG968" i="11"/>
  <c r="AG969" i="11"/>
  <c r="AG970" i="11"/>
  <c r="AG971" i="11"/>
  <c r="AG972" i="11"/>
  <c r="AG973" i="11"/>
  <c r="AG974" i="11"/>
  <c r="AG877" i="11"/>
  <c r="AG878" i="11"/>
  <c r="AG879" i="11"/>
  <c r="AG880" i="11"/>
  <c r="AG881" i="11"/>
  <c r="AG911" i="11"/>
  <c r="AG912" i="11"/>
  <c r="AG913" i="11"/>
  <c r="AG914" i="11"/>
  <c r="AG915" i="11"/>
  <c r="AG916" i="11"/>
  <c r="AG917" i="11"/>
  <c r="AA924" i="11"/>
  <c r="AA167" i="11"/>
  <c r="AG167" i="11" s="1"/>
  <c r="V167" i="11" l="1"/>
  <c r="AA1582" i="11"/>
  <c r="X1582" i="11"/>
  <c r="V1582" i="11"/>
  <c r="T1582" i="11"/>
  <c r="N1582" i="11"/>
  <c r="AC1578" i="11"/>
  <c r="AC1577" i="11" s="1"/>
  <c r="AC1576" i="11" s="1"/>
  <c r="AB1578" i="11"/>
  <c r="AB1577" i="11" s="1"/>
  <c r="AB1576" i="11" s="1"/>
  <c r="Z1578" i="11"/>
  <c r="Z1577" i="11" s="1"/>
  <c r="Z1576" i="11" s="1"/>
  <c r="Y1578" i="11"/>
  <c r="Y1577" i="11" s="1"/>
  <c r="Y1576" i="11" s="1"/>
  <c r="W1578" i="11"/>
  <c r="W1577" i="11" s="1"/>
  <c r="W1576" i="11" s="1"/>
  <c r="U1578" i="11"/>
  <c r="U1577" i="11" s="1"/>
  <c r="U1576" i="11" s="1"/>
  <c r="S1578" i="11"/>
  <c r="S1577" i="11" s="1"/>
  <c r="S1576" i="11" s="1"/>
  <c r="R1578" i="11"/>
  <c r="R1577" i="11" s="1"/>
  <c r="R1576" i="11" s="1"/>
  <c r="Q1578" i="11"/>
  <c r="Q1577" i="11" s="1"/>
  <c r="Q1576" i="11" s="1"/>
  <c r="P1578" i="11"/>
  <c r="P1577" i="11" s="1"/>
  <c r="P1576" i="11" s="1"/>
  <c r="M1578" i="11"/>
  <c r="M1577" i="11" s="1"/>
  <c r="M1576" i="11" s="1"/>
  <c r="AC1572" i="11"/>
  <c r="AC1571" i="11" s="1"/>
  <c r="AC1570" i="11" s="1"/>
  <c r="AB1572" i="11"/>
  <c r="AB1571" i="11" s="1"/>
  <c r="AB1570" i="11" s="1"/>
  <c r="Z1572" i="11"/>
  <c r="Z1571" i="11" s="1"/>
  <c r="Z1570" i="11" s="1"/>
  <c r="Y1572" i="11"/>
  <c r="Y1571" i="11" s="1"/>
  <c r="Y1570" i="11" s="1"/>
  <c r="W1572" i="11"/>
  <c r="W1571" i="11" s="1"/>
  <c r="W1570" i="11" s="1"/>
  <c r="U1572" i="11"/>
  <c r="U1571" i="11" s="1"/>
  <c r="U1570" i="11" s="1"/>
  <c r="S1572" i="11"/>
  <c r="S1571" i="11" s="1"/>
  <c r="S1570" i="11" s="1"/>
  <c r="R1572" i="11"/>
  <c r="R1571" i="11" s="1"/>
  <c r="R1570" i="11" s="1"/>
  <c r="Q1572" i="11"/>
  <c r="Q1571" i="11" s="1"/>
  <c r="Q1570" i="11" s="1"/>
  <c r="P1572" i="11"/>
  <c r="P1571" i="11" s="1"/>
  <c r="P1570" i="11" s="1"/>
  <c r="O1572" i="11"/>
  <c r="O1571" i="11" s="1"/>
  <c r="O1570" i="11" s="1"/>
  <c r="M1572" i="11"/>
  <c r="M1571" i="11" s="1"/>
  <c r="M1570" i="11" s="1"/>
  <c r="Y1568" i="11"/>
  <c r="W1568" i="11"/>
  <c r="Y1567" i="11"/>
  <c r="W1567" i="11"/>
  <c r="Y1566" i="11"/>
  <c r="W1566" i="11"/>
  <c r="Y1565" i="11"/>
  <c r="W1565" i="11"/>
  <c r="AC1564" i="11"/>
  <c r="AC1563" i="11" s="1"/>
  <c r="AC1562" i="11" s="1"/>
  <c r="AB1564" i="11"/>
  <c r="AB1563" i="11" s="1"/>
  <c r="AB1562" i="11" s="1"/>
  <c r="U1564" i="11"/>
  <c r="U1563" i="11" s="1"/>
  <c r="U1562" i="11" s="1"/>
  <c r="S1564" i="11"/>
  <c r="S1563" i="11" s="1"/>
  <c r="S1562" i="11" s="1"/>
  <c r="R1564" i="11"/>
  <c r="R1563" i="11" s="1"/>
  <c r="R1562" i="11" s="1"/>
  <c r="Q1564" i="11"/>
  <c r="Q1563" i="11" s="1"/>
  <c r="Q1562" i="11" s="1"/>
  <c r="P1564" i="11"/>
  <c r="P1563" i="11" s="1"/>
  <c r="P1562" i="11" s="1"/>
  <c r="O1564" i="11"/>
  <c r="O1563" i="11" s="1"/>
  <c r="O1562" i="11" s="1"/>
  <c r="M1564" i="11"/>
  <c r="M1563" i="11" s="1"/>
  <c r="M1562" i="11" s="1"/>
  <c r="AC1558" i="11"/>
  <c r="AB1558" i="11"/>
  <c r="Z1558" i="11"/>
  <c r="Z1557" i="11" s="1"/>
  <c r="Z1556" i="11" s="1"/>
  <c r="Y1558" i="11"/>
  <c r="Y1557" i="11" s="1"/>
  <c r="Y1556" i="11" s="1"/>
  <c r="W1558" i="11"/>
  <c r="W1557" i="11" s="1"/>
  <c r="W1556" i="11" s="1"/>
  <c r="U1558" i="11"/>
  <c r="U1557" i="11" s="1"/>
  <c r="U1556" i="11" s="1"/>
  <c r="S1558" i="11"/>
  <c r="S1557" i="11" s="1"/>
  <c r="S1556" i="11" s="1"/>
  <c r="R1558" i="11"/>
  <c r="R1557" i="11" s="1"/>
  <c r="R1556" i="11" s="1"/>
  <c r="Q1558" i="11"/>
  <c r="Q1557" i="11" s="1"/>
  <c r="Q1556" i="11" s="1"/>
  <c r="P1558" i="11"/>
  <c r="P1557" i="11" s="1"/>
  <c r="P1556" i="11" s="1"/>
  <c r="O1558" i="11"/>
  <c r="O1557" i="11" s="1"/>
  <c r="O1556" i="11" s="1"/>
  <c r="M1558" i="11"/>
  <c r="M1557" i="11" s="1"/>
  <c r="M1556" i="11" s="1"/>
  <c r="AC1557" i="11"/>
  <c r="AC1556" i="11" s="1"/>
  <c r="AB1557" i="11"/>
  <c r="AB1556" i="11" s="1"/>
  <c r="AC1552" i="11"/>
  <c r="AB1552" i="11"/>
  <c r="Z1552" i="11"/>
  <c r="Y1552" i="11"/>
  <c r="Y1551" i="11" s="1"/>
  <c r="Y1550" i="11" s="1"/>
  <c r="W1552" i="11"/>
  <c r="W1551" i="11" s="1"/>
  <c r="W1550" i="11" s="1"/>
  <c r="U1552" i="11"/>
  <c r="U1551" i="11" s="1"/>
  <c r="U1550" i="11" s="1"/>
  <c r="S1552" i="11"/>
  <c r="S1551" i="11" s="1"/>
  <c r="S1550" i="11" s="1"/>
  <c r="R1552" i="11"/>
  <c r="R1551" i="11" s="1"/>
  <c r="R1550" i="11" s="1"/>
  <c r="Q1552" i="11"/>
  <c r="Q1551" i="11" s="1"/>
  <c r="Q1550" i="11" s="1"/>
  <c r="P1552" i="11"/>
  <c r="P1551" i="11" s="1"/>
  <c r="P1550" i="11" s="1"/>
  <c r="O1552" i="11"/>
  <c r="O1551" i="11" s="1"/>
  <c r="O1550" i="11" s="1"/>
  <c r="M1552" i="11"/>
  <c r="M1551" i="11" s="1"/>
  <c r="M1550" i="11" s="1"/>
  <c r="AC1551" i="11"/>
  <c r="AC1550" i="11" s="1"/>
  <c r="AB1551" i="11"/>
  <c r="AB1550" i="11" s="1"/>
  <c r="Z1551" i="11"/>
  <c r="Z1550" i="11" s="1"/>
  <c r="AC1545" i="11"/>
  <c r="AC1544" i="11" s="1"/>
  <c r="AB1545" i="11"/>
  <c r="AB1544" i="11" s="1"/>
  <c r="Z1545" i="11"/>
  <c r="Z1544" i="11" s="1"/>
  <c r="Y1545" i="11"/>
  <c r="Y1544" i="11" s="1"/>
  <c r="W1545" i="11"/>
  <c r="W1544" i="11" s="1"/>
  <c r="U1545" i="11"/>
  <c r="U1544" i="11" s="1"/>
  <c r="S1545" i="11"/>
  <c r="S1544" i="11" s="1"/>
  <c r="R1545" i="11"/>
  <c r="R1544" i="11" s="1"/>
  <c r="Q1545" i="11"/>
  <c r="Q1544" i="11" s="1"/>
  <c r="P1545" i="11"/>
  <c r="P1544" i="11" s="1"/>
  <c r="M1545" i="11"/>
  <c r="M1544" i="11" s="1"/>
  <c r="AC1540" i="11"/>
  <c r="AB1540" i="11"/>
  <c r="Z1540" i="11"/>
  <c r="Y1540" i="11"/>
  <c r="W1540" i="11"/>
  <c r="U1540" i="11"/>
  <c r="S1540" i="11"/>
  <c r="R1540" i="11"/>
  <c r="Q1540" i="11"/>
  <c r="P1540" i="11"/>
  <c r="M1540" i="11"/>
  <c r="AC1536" i="11"/>
  <c r="AB1536" i="11"/>
  <c r="Z1536" i="11"/>
  <c r="Y1536" i="11"/>
  <c r="W1536" i="11"/>
  <c r="U1536" i="11"/>
  <c r="S1536" i="11"/>
  <c r="R1536" i="11"/>
  <c r="Q1536" i="11"/>
  <c r="P1536" i="11"/>
  <c r="M1536" i="11"/>
  <c r="AC1532" i="11"/>
  <c r="AB1532" i="11"/>
  <c r="Z1532" i="11"/>
  <c r="Y1532" i="11"/>
  <c r="W1532" i="11"/>
  <c r="U1532" i="11"/>
  <c r="S1532" i="11"/>
  <c r="R1532" i="11"/>
  <c r="Q1532" i="11"/>
  <c r="P1532" i="11"/>
  <c r="M1532" i="11"/>
  <c r="AC1528" i="11"/>
  <c r="AB1528" i="11"/>
  <c r="Z1528" i="11"/>
  <c r="Y1528" i="11"/>
  <c r="W1528" i="11"/>
  <c r="U1528" i="11"/>
  <c r="S1528" i="11"/>
  <c r="R1528" i="11"/>
  <c r="Q1528" i="11"/>
  <c r="P1528" i="11"/>
  <c r="M1528" i="11"/>
  <c r="AC1523" i="11"/>
  <c r="AB1523" i="11"/>
  <c r="Z1523" i="11"/>
  <c r="Y1523" i="11"/>
  <c r="W1523" i="11"/>
  <c r="U1523" i="11"/>
  <c r="S1523" i="11"/>
  <c r="R1523" i="11"/>
  <c r="Q1523" i="11"/>
  <c r="P1523" i="11"/>
  <c r="M1523" i="11"/>
  <c r="AC1519" i="11"/>
  <c r="AB1519" i="11"/>
  <c r="Z1519" i="11"/>
  <c r="Y1519" i="11"/>
  <c r="W1519" i="11"/>
  <c r="U1519" i="11"/>
  <c r="S1519" i="11"/>
  <c r="R1519" i="11"/>
  <c r="Q1519" i="11"/>
  <c r="P1519" i="11"/>
  <c r="M1519" i="11"/>
  <c r="AC1515" i="11"/>
  <c r="AB1515" i="11"/>
  <c r="Z1515" i="11"/>
  <c r="Y1515" i="11"/>
  <c r="W1515" i="11"/>
  <c r="U1515" i="11"/>
  <c r="S1515" i="11"/>
  <c r="R1515" i="11"/>
  <c r="Q1515" i="11"/>
  <c r="P1515" i="11"/>
  <c r="M1515" i="11"/>
  <c r="AC1511" i="11"/>
  <c r="AB1511" i="11"/>
  <c r="Z1511" i="11"/>
  <c r="Y1511" i="11"/>
  <c r="W1511" i="11"/>
  <c r="U1511" i="11"/>
  <c r="S1511" i="11"/>
  <c r="R1511" i="11"/>
  <c r="Q1511" i="11"/>
  <c r="P1511" i="11"/>
  <c r="M1511" i="11"/>
  <c r="AC1506" i="11"/>
  <c r="AB1506" i="11"/>
  <c r="Z1506" i="11"/>
  <c r="Y1506" i="11"/>
  <c r="W1506" i="11"/>
  <c r="U1506" i="11"/>
  <c r="S1506" i="11"/>
  <c r="R1506" i="11"/>
  <c r="Q1506" i="11"/>
  <c r="P1506" i="11"/>
  <c r="M1506" i="11"/>
  <c r="AC1502" i="11"/>
  <c r="AB1502" i="11"/>
  <c r="Z1502" i="11"/>
  <c r="Y1502" i="11"/>
  <c r="W1502" i="11"/>
  <c r="U1502" i="11"/>
  <c r="S1502" i="11"/>
  <c r="R1502" i="11"/>
  <c r="Q1502" i="11"/>
  <c r="P1502" i="11"/>
  <c r="M1502" i="11"/>
  <c r="AC1498" i="11"/>
  <c r="AB1498" i="11"/>
  <c r="Z1498" i="11"/>
  <c r="Y1498" i="11"/>
  <c r="W1498" i="11"/>
  <c r="U1498" i="11"/>
  <c r="S1498" i="11"/>
  <c r="R1498" i="11"/>
  <c r="Q1498" i="11"/>
  <c r="P1498" i="11"/>
  <c r="M1498" i="11"/>
  <c r="AC1494" i="11"/>
  <c r="AB1494" i="11"/>
  <c r="Z1494" i="11"/>
  <c r="Y1494" i="11"/>
  <c r="W1494" i="11"/>
  <c r="U1494" i="11"/>
  <c r="S1494" i="11"/>
  <c r="R1494" i="11"/>
  <c r="Q1494" i="11"/>
  <c r="P1494" i="11"/>
  <c r="M1494" i="11"/>
  <c r="AC1490" i="11"/>
  <c r="AB1490" i="11"/>
  <c r="Z1490" i="11"/>
  <c r="Y1490" i="11"/>
  <c r="W1490" i="11"/>
  <c r="U1490" i="11"/>
  <c r="S1490" i="11"/>
  <c r="R1490" i="11"/>
  <c r="Q1490" i="11"/>
  <c r="P1490" i="11"/>
  <c r="M1490" i="11"/>
  <c r="AC1486" i="11"/>
  <c r="AB1486" i="11"/>
  <c r="Z1486" i="11"/>
  <c r="Y1486" i="11"/>
  <c r="W1486" i="11"/>
  <c r="U1486" i="11"/>
  <c r="S1486" i="11"/>
  <c r="R1486" i="11"/>
  <c r="Q1486" i="11"/>
  <c r="P1486" i="11"/>
  <c r="M1486" i="11"/>
  <c r="AC1482" i="11"/>
  <c r="AB1482" i="11"/>
  <c r="Z1482" i="11"/>
  <c r="Y1482" i="11"/>
  <c r="W1482" i="11"/>
  <c r="U1482" i="11"/>
  <c r="S1482" i="11"/>
  <c r="R1482" i="11"/>
  <c r="Q1482" i="11"/>
  <c r="P1482" i="11"/>
  <c r="M1482" i="11"/>
  <c r="AC1478" i="11"/>
  <c r="AB1478" i="11"/>
  <c r="Z1478" i="11"/>
  <c r="Y1478" i="11"/>
  <c r="W1478" i="11"/>
  <c r="U1478" i="11"/>
  <c r="S1478" i="11"/>
  <c r="R1478" i="11"/>
  <c r="Q1478" i="11"/>
  <c r="P1478" i="11"/>
  <c r="M1478" i="11"/>
  <c r="O1475" i="11"/>
  <c r="O1474" i="11" s="1"/>
  <c r="AC1474" i="11"/>
  <c r="AB1474" i="11"/>
  <c r="Z1474" i="11"/>
  <c r="Y1474" i="11"/>
  <c r="W1474" i="11"/>
  <c r="U1474" i="11"/>
  <c r="S1474" i="11"/>
  <c r="R1474" i="11"/>
  <c r="Q1474" i="11"/>
  <c r="P1474" i="11"/>
  <c r="M1474" i="11"/>
  <c r="AC1470" i="11"/>
  <c r="AB1470" i="11"/>
  <c r="Z1470" i="11"/>
  <c r="Y1470" i="11"/>
  <c r="W1470" i="11"/>
  <c r="U1470" i="11"/>
  <c r="S1470" i="11"/>
  <c r="R1470" i="11"/>
  <c r="Q1470" i="11"/>
  <c r="P1470" i="11"/>
  <c r="M1470" i="11"/>
  <c r="AC1466" i="11"/>
  <c r="AB1466" i="11"/>
  <c r="Z1466" i="11"/>
  <c r="Y1466" i="11"/>
  <c r="W1466" i="11"/>
  <c r="U1466" i="11"/>
  <c r="S1466" i="11"/>
  <c r="R1466" i="11"/>
  <c r="Q1466" i="11"/>
  <c r="P1466" i="11"/>
  <c r="M1466" i="11"/>
  <c r="AC1462" i="11"/>
  <c r="AB1462" i="11"/>
  <c r="Z1462" i="11"/>
  <c r="Y1462" i="11"/>
  <c r="W1462" i="11"/>
  <c r="U1462" i="11"/>
  <c r="S1462" i="11"/>
  <c r="R1462" i="11"/>
  <c r="Q1462" i="11"/>
  <c r="P1462" i="11"/>
  <c r="M1462" i="11"/>
  <c r="AC1458" i="11"/>
  <c r="AB1458" i="11"/>
  <c r="Z1458" i="11"/>
  <c r="Y1458" i="11"/>
  <c r="W1458" i="11"/>
  <c r="U1458" i="11"/>
  <c r="S1458" i="11"/>
  <c r="R1458" i="11"/>
  <c r="Q1458" i="11"/>
  <c r="P1458" i="11"/>
  <c r="M1458" i="11"/>
  <c r="AC1454" i="11"/>
  <c r="AB1454" i="11"/>
  <c r="Z1454" i="11"/>
  <c r="Y1454" i="11"/>
  <c r="W1454" i="11"/>
  <c r="U1454" i="11"/>
  <c r="S1454" i="11"/>
  <c r="R1454" i="11"/>
  <c r="Q1454" i="11"/>
  <c r="P1454" i="11"/>
  <c r="M1454" i="11"/>
  <c r="AC1450" i="11"/>
  <c r="AB1450" i="11"/>
  <c r="Z1450" i="11"/>
  <c r="Y1450" i="11"/>
  <c r="W1450" i="11"/>
  <c r="U1450" i="11"/>
  <c r="S1450" i="11"/>
  <c r="R1450" i="11"/>
  <c r="Q1450" i="11"/>
  <c r="P1450" i="11"/>
  <c r="M1450" i="11"/>
  <c r="AC1446" i="11"/>
  <c r="AB1446" i="11"/>
  <c r="Z1446" i="11"/>
  <c r="Y1446" i="11"/>
  <c r="W1446" i="11"/>
  <c r="U1446" i="11"/>
  <c r="S1446" i="11"/>
  <c r="R1446" i="11"/>
  <c r="Q1446" i="11"/>
  <c r="P1446" i="11"/>
  <c r="M1446" i="11"/>
  <c r="AC1442" i="11"/>
  <c r="AB1442" i="11"/>
  <c r="Z1442" i="11"/>
  <c r="Y1442" i="11"/>
  <c r="W1442" i="11"/>
  <c r="U1442" i="11"/>
  <c r="S1442" i="11"/>
  <c r="R1442" i="11"/>
  <c r="Q1442" i="11"/>
  <c r="P1442" i="11"/>
  <c r="M1442" i="11"/>
  <c r="AC1438" i="11"/>
  <c r="AB1438" i="11"/>
  <c r="Z1438" i="11"/>
  <c r="Y1438" i="11"/>
  <c r="W1438" i="11"/>
  <c r="U1438" i="11"/>
  <c r="S1438" i="11"/>
  <c r="R1438" i="11"/>
  <c r="Q1438" i="11"/>
  <c r="P1438" i="11"/>
  <c r="M1438" i="11"/>
  <c r="AC1434" i="11"/>
  <c r="AB1434" i="11"/>
  <c r="Z1434" i="11"/>
  <c r="Y1434" i="11"/>
  <c r="W1434" i="11"/>
  <c r="U1434" i="11"/>
  <c r="S1434" i="11"/>
  <c r="R1434" i="11"/>
  <c r="Q1434" i="11"/>
  <c r="P1434" i="11"/>
  <c r="M1434" i="11"/>
  <c r="AC1428" i="11"/>
  <c r="AB1428" i="11"/>
  <c r="Z1428" i="11"/>
  <c r="Y1428" i="11"/>
  <c r="Y1427" i="11" s="1"/>
  <c r="Y1426" i="11" s="1"/>
  <c r="W1428" i="11"/>
  <c r="U1428" i="11"/>
  <c r="U1427" i="11" s="1"/>
  <c r="U1426" i="11" s="1"/>
  <c r="S1428" i="11"/>
  <c r="S1427" i="11" s="1"/>
  <c r="S1426" i="11" s="1"/>
  <c r="R1428" i="11"/>
  <c r="R1427" i="11" s="1"/>
  <c r="R1426" i="11" s="1"/>
  <c r="Q1428" i="11"/>
  <c r="P1428" i="11"/>
  <c r="O1428" i="11"/>
  <c r="O1427" i="11" s="1"/>
  <c r="O1426" i="11" s="1"/>
  <c r="M1428" i="11"/>
  <c r="M1427" i="11" s="1"/>
  <c r="M1426" i="11" s="1"/>
  <c r="AC1427" i="11"/>
  <c r="AC1426" i="11" s="1"/>
  <c r="AB1427" i="11"/>
  <c r="AB1426" i="11" s="1"/>
  <c r="Z1427" i="11"/>
  <c r="Z1426" i="11" s="1"/>
  <c r="W1427" i="11"/>
  <c r="W1426" i="11" s="1"/>
  <c r="Q1427" i="11"/>
  <c r="Q1426" i="11" s="1"/>
  <c r="P1427" i="11"/>
  <c r="P1426" i="11" s="1"/>
  <c r="AC1422" i="11"/>
  <c r="AB1422" i="11"/>
  <c r="AB1421" i="11" s="1"/>
  <c r="Z1422" i="11"/>
  <c r="Y1422" i="11"/>
  <c r="Y1421" i="11" s="1"/>
  <c r="W1422" i="11"/>
  <c r="W1421" i="11" s="1"/>
  <c r="U1422" i="11"/>
  <c r="U1421" i="11" s="1"/>
  <c r="S1422" i="11"/>
  <c r="S1421" i="11" s="1"/>
  <c r="R1422" i="11"/>
  <c r="R1421" i="11" s="1"/>
  <c r="Q1422" i="11"/>
  <c r="Q1421" i="11" s="1"/>
  <c r="P1422" i="11"/>
  <c r="P1421" i="11" s="1"/>
  <c r="O1422" i="11"/>
  <c r="O1421" i="11" s="1"/>
  <c r="M1422" i="11"/>
  <c r="M1421" i="11" s="1"/>
  <c r="AC1421" i="11"/>
  <c r="Z1421" i="11"/>
  <c r="AC1417" i="11"/>
  <c r="AB1417" i="11"/>
  <c r="AB1416" i="11" s="1"/>
  <c r="Z1417" i="11"/>
  <c r="Z1416" i="11" s="1"/>
  <c r="Y1417" i="11"/>
  <c r="Y1416" i="11" s="1"/>
  <c r="W1417" i="11"/>
  <c r="W1416" i="11" s="1"/>
  <c r="U1417" i="11"/>
  <c r="U1416" i="11" s="1"/>
  <c r="S1417" i="11"/>
  <c r="S1416" i="11" s="1"/>
  <c r="R1417" i="11"/>
  <c r="R1416" i="11" s="1"/>
  <c r="Q1417" i="11"/>
  <c r="Q1416" i="11" s="1"/>
  <c r="P1417" i="11"/>
  <c r="P1416" i="11" s="1"/>
  <c r="O1417" i="11"/>
  <c r="O1416" i="11" s="1"/>
  <c r="M1417" i="11"/>
  <c r="M1416" i="11" s="1"/>
  <c r="AC1416" i="11"/>
  <c r="AC1412" i="11"/>
  <c r="AC1411" i="11" s="1"/>
  <c r="AB1412" i="11"/>
  <c r="AB1411" i="11" s="1"/>
  <c r="Z1412" i="11"/>
  <c r="Z1411" i="11" s="1"/>
  <c r="Y1412" i="11"/>
  <c r="Y1411" i="11" s="1"/>
  <c r="W1412" i="11"/>
  <c r="W1411" i="11" s="1"/>
  <c r="U1412" i="11"/>
  <c r="U1411" i="11" s="1"/>
  <c r="S1412" i="11"/>
  <c r="S1411" i="11" s="1"/>
  <c r="R1412" i="11"/>
  <c r="R1411" i="11" s="1"/>
  <c r="Q1412" i="11"/>
  <c r="Q1411" i="11" s="1"/>
  <c r="P1412" i="11"/>
  <c r="P1411" i="11" s="1"/>
  <c r="O1412" i="11"/>
  <c r="O1411" i="11" s="1"/>
  <c r="M1412" i="11"/>
  <c r="M1411" i="11" s="1"/>
  <c r="AC1407" i="11"/>
  <c r="AB1407" i="11"/>
  <c r="Z1407" i="11"/>
  <c r="Y1407" i="11"/>
  <c r="W1407" i="11"/>
  <c r="U1407" i="11"/>
  <c r="S1407" i="11"/>
  <c r="R1407" i="11"/>
  <c r="Q1407" i="11"/>
  <c r="P1407" i="11"/>
  <c r="O1407" i="11"/>
  <c r="M1407" i="11"/>
  <c r="AC1403" i="11"/>
  <c r="AB1403" i="11"/>
  <c r="Z1403" i="11"/>
  <c r="Y1403" i="11"/>
  <c r="W1403" i="11"/>
  <c r="U1403" i="11"/>
  <c r="S1403" i="11"/>
  <c r="R1403" i="11"/>
  <c r="Q1403" i="11"/>
  <c r="P1403" i="11"/>
  <c r="O1403" i="11"/>
  <c r="M1403" i="11"/>
  <c r="AC1399" i="11"/>
  <c r="AB1399" i="11"/>
  <c r="Z1399" i="11"/>
  <c r="Y1399" i="11"/>
  <c r="W1399" i="11"/>
  <c r="U1399" i="11"/>
  <c r="S1399" i="11"/>
  <c r="R1399" i="11"/>
  <c r="Q1399" i="11"/>
  <c r="P1399" i="11"/>
  <c r="O1399" i="11"/>
  <c r="M1399" i="11"/>
  <c r="AC1395" i="11"/>
  <c r="AB1395" i="11"/>
  <c r="Z1395" i="11"/>
  <c r="Y1395" i="11"/>
  <c r="W1395" i="11"/>
  <c r="U1395" i="11"/>
  <c r="S1395" i="11"/>
  <c r="R1395" i="11"/>
  <c r="Q1395" i="11"/>
  <c r="P1395" i="11"/>
  <c r="O1395" i="11"/>
  <c r="M1395" i="11"/>
  <c r="AC1391" i="11"/>
  <c r="AB1391" i="11"/>
  <c r="Z1391" i="11"/>
  <c r="Y1391" i="11"/>
  <c r="W1391" i="11"/>
  <c r="U1391" i="11"/>
  <c r="S1391" i="11"/>
  <c r="R1391" i="11"/>
  <c r="Q1391" i="11"/>
  <c r="P1391" i="11"/>
  <c r="O1391" i="11"/>
  <c r="M1391" i="11"/>
  <c r="AC1387" i="11"/>
  <c r="AB1387" i="11"/>
  <c r="Z1387" i="11"/>
  <c r="Y1387" i="11"/>
  <c r="W1387" i="11"/>
  <c r="U1387" i="11"/>
  <c r="S1387" i="11"/>
  <c r="R1387" i="11"/>
  <c r="Q1387" i="11"/>
  <c r="P1387" i="11"/>
  <c r="O1387" i="11"/>
  <c r="M1387" i="11"/>
  <c r="AC1383" i="11"/>
  <c r="AB1383" i="11"/>
  <c r="Z1383" i="11"/>
  <c r="Y1383" i="11"/>
  <c r="W1383" i="11"/>
  <c r="U1383" i="11"/>
  <c r="S1383" i="11"/>
  <c r="R1383" i="11"/>
  <c r="Q1383" i="11"/>
  <c r="P1383" i="11"/>
  <c r="O1383" i="11"/>
  <c r="M1383" i="11"/>
  <c r="AC1379" i="11"/>
  <c r="AB1379" i="11"/>
  <c r="Z1379" i="11"/>
  <c r="Y1379" i="11"/>
  <c r="W1379" i="11"/>
  <c r="U1379" i="11"/>
  <c r="S1379" i="11"/>
  <c r="R1379" i="11"/>
  <c r="Q1379" i="11"/>
  <c r="P1379" i="11"/>
  <c r="O1379" i="11"/>
  <c r="M1379" i="11"/>
  <c r="AC1375" i="11"/>
  <c r="AB1375" i="11"/>
  <c r="Z1375" i="11"/>
  <c r="Y1375" i="11"/>
  <c r="W1375" i="11"/>
  <c r="U1375" i="11"/>
  <c r="S1375" i="11"/>
  <c r="R1375" i="11"/>
  <c r="Q1375" i="11"/>
  <c r="P1375" i="11"/>
  <c r="O1375" i="11"/>
  <c r="M1375" i="11"/>
  <c r="AC1371" i="11"/>
  <c r="AB1371" i="11"/>
  <c r="Z1371" i="11"/>
  <c r="Z1370" i="11" s="1"/>
  <c r="Y1371" i="11"/>
  <c r="W1371" i="11"/>
  <c r="U1371" i="11"/>
  <c r="S1371" i="11"/>
  <c r="R1371" i="11"/>
  <c r="Q1371" i="11"/>
  <c r="Q1370" i="11" s="1"/>
  <c r="P1371" i="11"/>
  <c r="O1371" i="11"/>
  <c r="O1370" i="11" s="1"/>
  <c r="M1371" i="11"/>
  <c r="M1370" i="11" s="1"/>
  <c r="AC1370" i="11"/>
  <c r="AC1366" i="11"/>
  <c r="AB1366" i="11"/>
  <c r="Z1366" i="11"/>
  <c r="Y1366" i="11"/>
  <c r="W1366" i="11"/>
  <c r="U1366" i="11"/>
  <c r="S1366" i="11"/>
  <c r="R1366" i="11"/>
  <c r="Q1366" i="11"/>
  <c r="P1366" i="11"/>
  <c r="O1366" i="11"/>
  <c r="M1366" i="11"/>
  <c r="AC1362" i="11"/>
  <c r="AB1362" i="11"/>
  <c r="Z1362" i="11"/>
  <c r="Y1362" i="11"/>
  <c r="W1362" i="11"/>
  <c r="U1362" i="11"/>
  <c r="S1362" i="11"/>
  <c r="R1362" i="11"/>
  <c r="Q1362" i="11"/>
  <c r="P1362" i="11"/>
  <c r="O1362" i="11"/>
  <c r="M1362" i="11"/>
  <c r="AC1358" i="11"/>
  <c r="AB1358" i="11"/>
  <c r="AB1357" i="11" s="1"/>
  <c r="Z1358" i="11"/>
  <c r="Z1357" i="11" s="1"/>
  <c r="Y1358" i="11"/>
  <c r="Y1357" i="11" s="1"/>
  <c r="W1358" i="11"/>
  <c r="U1358" i="11"/>
  <c r="S1358" i="11"/>
  <c r="S1357" i="11" s="1"/>
  <c r="R1358" i="11"/>
  <c r="R1357" i="11" s="1"/>
  <c r="Q1358" i="11"/>
  <c r="Q1357" i="11" s="1"/>
  <c r="P1358" i="11"/>
  <c r="O1358" i="11"/>
  <c r="M1358" i="11"/>
  <c r="M1357" i="11" s="1"/>
  <c r="AC1353" i="11"/>
  <c r="AB1353" i="11"/>
  <c r="Z1353" i="11"/>
  <c r="Y1353" i="11"/>
  <c r="W1353" i="11"/>
  <c r="U1353" i="11"/>
  <c r="S1353" i="11"/>
  <c r="R1353" i="11"/>
  <c r="Q1353" i="11"/>
  <c r="P1353" i="11"/>
  <c r="O1353" i="11"/>
  <c r="M1353" i="11"/>
  <c r="AC1349" i="11"/>
  <c r="AB1349" i="11"/>
  <c r="Z1349" i="11"/>
  <c r="Y1349" i="11"/>
  <c r="W1349" i="11"/>
  <c r="U1349" i="11"/>
  <c r="S1349" i="11"/>
  <c r="R1349" i="11"/>
  <c r="Q1349" i="11"/>
  <c r="P1349" i="11"/>
  <c r="O1349" i="11"/>
  <c r="M1349" i="11"/>
  <c r="AC1345" i="11"/>
  <c r="AB1345" i="11"/>
  <c r="Z1345" i="11"/>
  <c r="Y1345" i="11"/>
  <c r="Y1344" i="11" s="1"/>
  <c r="W1345" i="11"/>
  <c r="U1345" i="11"/>
  <c r="U1344" i="11" s="1"/>
  <c r="S1345" i="11"/>
  <c r="S1344" i="11" s="1"/>
  <c r="R1345" i="11"/>
  <c r="R1344" i="11" s="1"/>
  <c r="Q1345" i="11"/>
  <c r="P1345" i="11"/>
  <c r="O1345" i="11"/>
  <c r="O1344" i="11" s="1"/>
  <c r="M1345" i="11"/>
  <c r="M1344" i="11" s="1"/>
  <c r="AC1340" i="11"/>
  <c r="AB1340" i="11"/>
  <c r="Z1340" i="11"/>
  <c r="Y1340" i="11"/>
  <c r="W1340" i="11"/>
  <c r="U1340" i="11"/>
  <c r="S1340" i="11"/>
  <c r="R1340" i="11"/>
  <c r="Q1340" i="11"/>
  <c r="P1340" i="11"/>
  <c r="O1340" i="11"/>
  <c r="M1340" i="11"/>
  <c r="AC1336" i="11"/>
  <c r="AB1336" i="11"/>
  <c r="Z1336" i="11"/>
  <c r="Y1336" i="11"/>
  <c r="W1336" i="11"/>
  <c r="U1336" i="11"/>
  <c r="S1336" i="11"/>
  <c r="R1336" i="11"/>
  <c r="Q1336" i="11"/>
  <c r="P1336" i="11"/>
  <c r="O1336" i="11"/>
  <c r="M1336" i="11"/>
  <c r="AC1332" i="11"/>
  <c r="AB1332" i="11"/>
  <c r="Z1332" i="11"/>
  <c r="Y1332" i="11"/>
  <c r="W1332" i="11"/>
  <c r="U1332" i="11"/>
  <c r="S1332" i="11"/>
  <c r="R1332" i="11"/>
  <c r="Q1332" i="11"/>
  <c r="P1332" i="11"/>
  <c r="O1332" i="11"/>
  <c r="M1332" i="11"/>
  <c r="AC1328" i="11"/>
  <c r="AB1328" i="11"/>
  <c r="Z1328" i="11"/>
  <c r="Y1328" i="11"/>
  <c r="W1328" i="11"/>
  <c r="U1328" i="11"/>
  <c r="S1328" i="11"/>
  <c r="R1328" i="11"/>
  <c r="Q1328" i="11"/>
  <c r="P1328" i="11"/>
  <c r="O1328" i="11"/>
  <c r="M1328" i="11"/>
  <c r="AC1324" i="11"/>
  <c r="AB1324" i="11"/>
  <c r="Z1324" i="11"/>
  <c r="Y1324" i="11"/>
  <c r="W1324" i="11"/>
  <c r="U1324" i="11"/>
  <c r="S1324" i="11"/>
  <c r="R1324" i="11"/>
  <c r="Q1324" i="11"/>
  <c r="P1324" i="11"/>
  <c r="O1324" i="11"/>
  <c r="M1324" i="11"/>
  <c r="AC1320" i="11"/>
  <c r="AB1320" i="11"/>
  <c r="Z1320" i="11"/>
  <c r="Y1320" i="11"/>
  <c r="W1320" i="11"/>
  <c r="U1320" i="11"/>
  <c r="S1320" i="11"/>
  <c r="R1320" i="11"/>
  <c r="Q1320" i="11"/>
  <c r="P1320" i="11"/>
  <c r="O1320" i="11"/>
  <c r="M1320" i="11"/>
  <c r="AC1297" i="11"/>
  <c r="AB1297" i="11"/>
  <c r="AB1296" i="11" s="1"/>
  <c r="Z1297" i="11"/>
  <c r="Z1296" i="11" s="1"/>
  <c r="Y1297" i="11"/>
  <c r="Y1296" i="11" s="1"/>
  <c r="W1297" i="11"/>
  <c r="U1297" i="11"/>
  <c r="U1296" i="11" s="1"/>
  <c r="S1297" i="11"/>
  <c r="R1297" i="11"/>
  <c r="Q1297" i="11"/>
  <c r="P1297" i="11"/>
  <c r="P1296" i="11" s="1"/>
  <c r="O1297" i="11"/>
  <c r="O1296" i="11" s="1"/>
  <c r="M1297" i="11"/>
  <c r="AC1291" i="11"/>
  <c r="AB1291" i="11"/>
  <c r="Z1291" i="11"/>
  <c r="Y1291" i="11"/>
  <c r="W1291" i="11"/>
  <c r="U1291" i="11"/>
  <c r="S1291" i="11"/>
  <c r="R1291" i="11"/>
  <c r="Q1291" i="11"/>
  <c r="P1291" i="11"/>
  <c r="O1291" i="11"/>
  <c r="M1291" i="11"/>
  <c r="AC1287" i="11"/>
  <c r="AB1287" i="11"/>
  <c r="Z1287" i="11"/>
  <c r="Y1287" i="11"/>
  <c r="W1287" i="11"/>
  <c r="U1287" i="11"/>
  <c r="S1287" i="11"/>
  <c r="R1287" i="11"/>
  <c r="Q1287" i="11"/>
  <c r="P1287" i="11"/>
  <c r="O1287" i="11"/>
  <c r="M1287" i="11"/>
  <c r="AA1285" i="11"/>
  <c r="U1285" i="11"/>
  <c r="AA1284" i="11"/>
  <c r="U1284" i="11"/>
  <c r="AA1283" i="11"/>
  <c r="U1283" i="11"/>
  <c r="AA1282" i="11"/>
  <c r="U1282" i="11"/>
  <c r="AA1281" i="11"/>
  <c r="U1281" i="11"/>
  <c r="AA1280" i="11"/>
  <c r="U1280" i="11"/>
  <c r="AA1279" i="11"/>
  <c r="U1279" i="11"/>
  <c r="AA1278" i="11"/>
  <c r="U1278" i="11"/>
  <c r="AA1277" i="11"/>
  <c r="U1277" i="11"/>
  <c r="AA1276" i="11"/>
  <c r="U1276" i="11"/>
  <c r="S1275" i="11"/>
  <c r="R1275" i="11"/>
  <c r="Q1275" i="11"/>
  <c r="P1275" i="11"/>
  <c r="O1275" i="11"/>
  <c r="M1275" i="11"/>
  <c r="AC1271" i="11"/>
  <c r="AB1271" i="11"/>
  <c r="Z1271" i="11"/>
  <c r="Y1271" i="11"/>
  <c r="W1271" i="11"/>
  <c r="U1271" i="11"/>
  <c r="S1271" i="11"/>
  <c r="R1271" i="11"/>
  <c r="Q1271" i="11"/>
  <c r="P1271" i="11"/>
  <c r="O1271" i="11"/>
  <c r="M1271" i="11"/>
  <c r="AC1266" i="11"/>
  <c r="AB1266" i="11"/>
  <c r="Z1266" i="11"/>
  <c r="Y1266" i="11"/>
  <c r="W1266" i="11"/>
  <c r="U1266" i="11"/>
  <c r="S1266" i="11"/>
  <c r="R1266" i="11"/>
  <c r="Q1266" i="11"/>
  <c r="P1266" i="11"/>
  <c r="O1266" i="11"/>
  <c r="M1266" i="11"/>
  <c r="AC1262" i="11"/>
  <c r="AB1262" i="11"/>
  <c r="Z1262" i="11"/>
  <c r="Y1262" i="11"/>
  <c r="W1262" i="11"/>
  <c r="U1262" i="11"/>
  <c r="S1262" i="11"/>
  <c r="R1262" i="11"/>
  <c r="Q1262" i="11"/>
  <c r="P1262" i="11"/>
  <c r="O1262" i="11"/>
  <c r="M1262" i="11"/>
  <c r="AC1258" i="11"/>
  <c r="AB1258" i="11"/>
  <c r="Z1258" i="11"/>
  <c r="Y1258" i="11"/>
  <c r="W1258" i="11"/>
  <c r="U1258" i="11"/>
  <c r="S1258" i="11"/>
  <c r="R1258" i="11"/>
  <c r="Q1258" i="11"/>
  <c r="P1258" i="11"/>
  <c r="O1258" i="11"/>
  <c r="M1258" i="11"/>
  <c r="AC1254" i="11"/>
  <c r="AB1254" i="11"/>
  <c r="Z1254" i="11"/>
  <c r="Y1254" i="11"/>
  <c r="W1254" i="11"/>
  <c r="U1254" i="11"/>
  <c r="S1254" i="11"/>
  <c r="R1254" i="11"/>
  <c r="Q1254" i="11"/>
  <c r="P1254" i="11"/>
  <c r="O1254" i="11"/>
  <c r="M1254" i="11"/>
  <c r="AC1250" i="11"/>
  <c r="AB1250" i="11"/>
  <c r="Z1250" i="11"/>
  <c r="Y1250" i="11"/>
  <c r="W1250" i="11"/>
  <c r="U1250" i="11"/>
  <c r="S1250" i="11"/>
  <c r="R1250" i="11"/>
  <c r="Q1250" i="11"/>
  <c r="P1250" i="11"/>
  <c r="O1250" i="11"/>
  <c r="M1250" i="11"/>
  <c r="AC1246" i="11"/>
  <c r="AB1246" i="11"/>
  <c r="Z1246" i="11"/>
  <c r="Y1246" i="11"/>
  <c r="W1246" i="11"/>
  <c r="U1246" i="11"/>
  <c r="S1246" i="11"/>
  <c r="R1246" i="11"/>
  <c r="Q1246" i="11"/>
  <c r="P1246" i="11"/>
  <c r="O1246" i="11"/>
  <c r="M1246" i="11"/>
  <c r="AC1242" i="11"/>
  <c r="AB1242" i="11"/>
  <c r="Z1242" i="11"/>
  <c r="Y1242" i="11"/>
  <c r="W1242" i="11"/>
  <c r="U1242" i="11"/>
  <c r="S1242" i="11"/>
  <c r="R1242" i="11"/>
  <c r="Q1242" i="11"/>
  <c r="P1242" i="11"/>
  <c r="O1242" i="11"/>
  <c r="M1242" i="11"/>
  <c r="AC1238" i="11"/>
  <c r="AB1238" i="11"/>
  <c r="Z1238" i="11"/>
  <c r="Y1238" i="11"/>
  <c r="W1238" i="11"/>
  <c r="U1238" i="11"/>
  <c r="S1238" i="11"/>
  <c r="R1238" i="11"/>
  <c r="Q1238" i="11"/>
  <c r="P1238" i="11"/>
  <c r="O1238" i="11"/>
  <c r="M1238" i="11"/>
  <c r="AC1234" i="11"/>
  <c r="AB1234" i="11"/>
  <c r="Z1234" i="11"/>
  <c r="Y1234" i="11"/>
  <c r="W1234" i="11"/>
  <c r="U1234" i="11"/>
  <c r="S1234" i="11"/>
  <c r="R1234" i="11"/>
  <c r="Q1234" i="11"/>
  <c r="P1234" i="11"/>
  <c r="O1234" i="11"/>
  <c r="M1234" i="11"/>
  <c r="AA1232" i="11"/>
  <c r="AA1231" i="11"/>
  <c r="T1232" i="11" s="1"/>
  <c r="U1232" i="11" s="1"/>
  <c r="U1231" i="11"/>
  <c r="AA1230" i="11"/>
  <c r="AA1229" i="11"/>
  <c r="T1230" i="11" s="1"/>
  <c r="U1230" i="11" s="1"/>
  <c r="U1229" i="11"/>
  <c r="AA1228" i="11"/>
  <c r="U1228" i="11"/>
  <c r="S1227" i="11"/>
  <c r="S1226" i="11"/>
  <c r="S1225" i="11"/>
  <c r="S1224" i="11"/>
  <c r="S1223" i="11"/>
  <c r="R1222" i="11"/>
  <c r="Q1222" i="11"/>
  <c r="P1222" i="11"/>
  <c r="O1222" i="11"/>
  <c r="M1222" i="11"/>
  <c r="AC1219" i="11"/>
  <c r="AB1219" i="11"/>
  <c r="Z1219" i="11"/>
  <c r="Y1219" i="11"/>
  <c r="W1219" i="11"/>
  <c r="U1219" i="11"/>
  <c r="S1219" i="11"/>
  <c r="R1219" i="11"/>
  <c r="Q1219" i="11"/>
  <c r="P1219" i="11"/>
  <c r="O1219" i="11"/>
  <c r="M1219" i="11"/>
  <c r="AC1217" i="11"/>
  <c r="AB1217" i="11"/>
  <c r="Z1217" i="11"/>
  <c r="Y1217" i="11"/>
  <c r="W1217" i="11"/>
  <c r="U1217" i="11"/>
  <c r="S1217" i="11"/>
  <c r="R1217" i="11"/>
  <c r="Q1217" i="11"/>
  <c r="P1217" i="11"/>
  <c r="O1217" i="11"/>
  <c r="M1217" i="11"/>
  <c r="AC1215" i="11"/>
  <c r="AB1215" i="11"/>
  <c r="Z1215" i="11"/>
  <c r="Y1215" i="11"/>
  <c r="W1215" i="11"/>
  <c r="U1215" i="11"/>
  <c r="S1215" i="11"/>
  <c r="R1215" i="11"/>
  <c r="Q1215" i="11"/>
  <c r="P1215" i="11"/>
  <c r="O1215" i="11"/>
  <c r="M1215" i="11"/>
  <c r="AC1213" i="11"/>
  <c r="AB1213" i="11"/>
  <c r="Z1213" i="11"/>
  <c r="Y1213" i="11"/>
  <c r="W1213" i="11"/>
  <c r="U1213" i="11"/>
  <c r="S1213" i="11"/>
  <c r="R1213" i="11"/>
  <c r="Q1213" i="11"/>
  <c r="P1213" i="11"/>
  <c r="O1213" i="11"/>
  <c r="M1213" i="11"/>
  <c r="AC1211" i="11"/>
  <c r="AB1211" i="11"/>
  <c r="Z1211" i="11"/>
  <c r="Y1211" i="11"/>
  <c r="W1211" i="11"/>
  <c r="U1211" i="11"/>
  <c r="S1211" i="11"/>
  <c r="R1211" i="11"/>
  <c r="Q1211" i="11"/>
  <c r="P1211" i="11"/>
  <c r="O1211" i="11"/>
  <c r="M1211" i="11"/>
  <c r="AC1209" i="11"/>
  <c r="AB1209" i="11"/>
  <c r="Z1209" i="11"/>
  <c r="Y1209" i="11"/>
  <c r="W1209" i="11"/>
  <c r="U1209" i="11"/>
  <c r="S1209" i="11"/>
  <c r="R1209" i="11"/>
  <c r="Q1209" i="11"/>
  <c r="P1209" i="11"/>
  <c r="O1209" i="11"/>
  <c r="M1209" i="11"/>
  <c r="AC1207" i="11"/>
  <c r="AB1207" i="11"/>
  <c r="Z1207" i="11"/>
  <c r="Z1206" i="11" s="1"/>
  <c r="Y1207" i="11"/>
  <c r="W1207" i="11"/>
  <c r="W1206" i="11" s="1"/>
  <c r="U1207" i="11"/>
  <c r="S1207" i="11"/>
  <c r="S1206" i="11" s="1"/>
  <c r="R1207" i="11"/>
  <c r="Q1207" i="11"/>
  <c r="Q1206" i="11" s="1"/>
  <c r="P1207" i="11"/>
  <c r="O1207" i="11"/>
  <c r="O1206" i="11" s="1"/>
  <c r="M1207" i="11"/>
  <c r="M1206" i="11" s="1"/>
  <c r="AC1206" i="11"/>
  <c r="AC1202" i="11"/>
  <c r="AB1202" i="11"/>
  <c r="Z1202" i="11"/>
  <c r="Y1202" i="11"/>
  <c r="W1202" i="11"/>
  <c r="U1202" i="11"/>
  <c r="S1202" i="11"/>
  <c r="R1202" i="11"/>
  <c r="Q1202" i="11"/>
  <c r="P1202" i="11"/>
  <c r="O1202" i="11"/>
  <c r="M1202" i="11"/>
  <c r="AC1200" i="11"/>
  <c r="AB1200" i="11"/>
  <c r="Z1200" i="11"/>
  <c r="Y1200" i="11"/>
  <c r="W1200" i="11"/>
  <c r="W1199" i="11" s="1"/>
  <c r="U1200" i="11"/>
  <c r="U1199" i="11" s="1"/>
  <c r="S1200" i="11"/>
  <c r="R1200" i="11"/>
  <c r="R1199" i="11" s="1"/>
  <c r="Q1200" i="11"/>
  <c r="Q1199" i="11" s="1"/>
  <c r="P1200" i="11"/>
  <c r="P1199" i="11" s="1"/>
  <c r="O1200" i="11"/>
  <c r="O1199" i="11" s="1"/>
  <c r="M1200" i="11"/>
  <c r="AC1196" i="11"/>
  <c r="AC1195" i="11" s="1"/>
  <c r="AB1196" i="11"/>
  <c r="AB1195" i="11" s="1"/>
  <c r="O1524" i="11" s="1"/>
  <c r="O1523" i="11" s="1"/>
  <c r="Z1196" i="11"/>
  <c r="Z1195" i="11" s="1"/>
  <c r="Y1196" i="11"/>
  <c r="Y1195" i="11" s="1"/>
  <c r="W1196" i="11"/>
  <c r="W1195" i="11" s="1"/>
  <c r="U1196" i="11"/>
  <c r="U1195" i="11" s="1"/>
  <c r="S1196" i="11"/>
  <c r="S1195" i="11" s="1"/>
  <c r="R1196" i="11"/>
  <c r="R1195" i="11" s="1"/>
  <c r="Q1196" i="11"/>
  <c r="Q1195" i="11" s="1"/>
  <c r="P1196" i="11"/>
  <c r="P1195" i="11" s="1"/>
  <c r="O1196" i="11"/>
  <c r="O1195" i="11" s="1"/>
  <c r="M1196" i="11"/>
  <c r="M1195" i="11" s="1"/>
  <c r="U1193" i="11"/>
  <c r="AB1193" i="11" s="1"/>
  <c r="AC1193" i="11" s="1"/>
  <c r="AC1192" i="11" s="1"/>
  <c r="AC1191" i="11" s="1"/>
  <c r="Q1193" i="11"/>
  <c r="Q1192" i="11" s="1"/>
  <c r="Q1191" i="11" s="1"/>
  <c r="S1192" i="11"/>
  <c r="S1191" i="11" s="1"/>
  <c r="R1192" i="11"/>
  <c r="R1191" i="11" s="1"/>
  <c r="P1192" i="11"/>
  <c r="P1191" i="11" s="1"/>
  <c r="O1192" i="11"/>
  <c r="O1191" i="11" s="1"/>
  <c r="M1192" i="11"/>
  <c r="M1191" i="11" s="1"/>
  <c r="AC1189" i="11"/>
  <c r="AB1189" i="11"/>
  <c r="AB1188" i="11" s="1"/>
  <c r="O1516" i="11" s="1"/>
  <c r="O1515" i="11" s="1"/>
  <c r="Z1189" i="11"/>
  <c r="Z1188" i="11" s="1"/>
  <c r="Y1189" i="11"/>
  <c r="Y1188" i="11" s="1"/>
  <c r="W1189" i="11"/>
  <c r="W1188" i="11" s="1"/>
  <c r="U1189" i="11"/>
  <c r="U1188" i="11" s="1"/>
  <c r="S1189" i="11"/>
  <c r="S1188" i="11" s="1"/>
  <c r="R1189" i="11"/>
  <c r="R1188" i="11" s="1"/>
  <c r="Q1189" i="11"/>
  <c r="Q1188" i="11" s="1"/>
  <c r="P1189" i="11"/>
  <c r="P1188" i="11" s="1"/>
  <c r="O1189" i="11"/>
  <c r="O1188" i="11" s="1"/>
  <c r="M1189" i="11"/>
  <c r="M1188" i="11" s="1"/>
  <c r="AC1188" i="11"/>
  <c r="U1186" i="11"/>
  <c r="AB1186" i="11" s="1"/>
  <c r="AC1186" i="11" s="1"/>
  <c r="O1186" i="11"/>
  <c r="Q1186" i="11" s="1"/>
  <c r="N1186" i="11"/>
  <c r="V1184" i="11"/>
  <c r="AA1183" i="11"/>
  <c r="T1184" i="11" s="1"/>
  <c r="U1183" i="11"/>
  <c r="AA1181" i="11"/>
  <c r="T1182" i="11" s="1"/>
  <c r="U1182" i="11" s="1"/>
  <c r="U1181" i="11"/>
  <c r="Z1180" i="11"/>
  <c r="U1180" i="11"/>
  <c r="AB1180" i="11" s="1"/>
  <c r="Y1179" i="11"/>
  <c r="Z1179" i="11" s="1"/>
  <c r="AA1178" i="11"/>
  <c r="O1178" i="11"/>
  <c r="N1178" i="11"/>
  <c r="AA1177" i="11"/>
  <c r="T1178" i="11" s="1"/>
  <c r="U1178" i="11" s="1"/>
  <c r="U1177" i="11"/>
  <c r="O1177" i="11"/>
  <c r="N1177" i="11"/>
  <c r="Y1176" i="11"/>
  <c r="Z1176" i="11" s="1"/>
  <c r="O1176" i="11"/>
  <c r="N1176" i="11"/>
  <c r="AA1175" i="11"/>
  <c r="T1175" i="11"/>
  <c r="U1175" i="11" s="1"/>
  <c r="AA1174" i="11"/>
  <c r="U1174" i="11"/>
  <c r="Y1174" i="11" s="1"/>
  <c r="O1174" i="11"/>
  <c r="N1174" i="11"/>
  <c r="Y1173" i="11"/>
  <c r="Z1173" i="11" s="1"/>
  <c r="O1173" i="11"/>
  <c r="N1173" i="11"/>
  <c r="U1172" i="11"/>
  <c r="W1172" i="11" s="1"/>
  <c r="U1171" i="11"/>
  <c r="AB1171" i="11" s="1"/>
  <c r="AC1171" i="11" s="1"/>
  <c r="O1171" i="11"/>
  <c r="N1171" i="11"/>
  <c r="AA1170" i="11"/>
  <c r="T1170" i="11"/>
  <c r="U1170" i="11" s="1"/>
  <c r="AA1169" i="11"/>
  <c r="U1169" i="11"/>
  <c r="Y1169" i="11" s="1"/>
  <c r="O1169" i="11"/>
  <c r="N1169" i="11"/>
  <c r="Y1168" i="11"/>
  <c r="Z1168" i="11" s="1"/>
  <c r="O1168" i="11"/>
  <c r="N1168" i="11"/>
  <c r="AA1167" i="11"/>
  <c r="U1167" i="11"/>
  <c r="Y1167" i="11" s="1"/>
  <c r="O1167" i="11"/>
  <c r="N1167" i="11"/>
  <c r="Y1166" i="11"/>
  <c r="Z1166" i="11" s="1"/>
  <c r="O1166" i="11"/>
  <c r="N1166" i="11"/>
  <c r="AA1165" i="11"/>
  <c r="V1165" i="11"/>
  <c r="AA1164" i="11"/>
  <c r="AA1163" i="11"/>
  <c r="T1164" i="11" s="1"/>
  <c r="U1164" i="11" s="1"/>
  <c r="Y1164" i="11" s="1"/>
  <c r="U1163" i="11"/>
  <c r="Z1162" i="11"/>
  <c r="U1162" i="11"/>
  <c r="AB1162" i="11" s="1"/>
  <c r="AA1161" i="11"/>
  <c r="T1161" i="11"/>
  <c r="U1161" i="11" s="1"/>
  <c r="AA1160" i="11"/>
  <c r="U1160" i="11"/>
  <c r="Y1160" i="11" s="1"/>
  <c r="O1160" i="11"/>
  <c r="N1160" i="11"/>
  <c r="Y1159" i="11"/>
  <c r="Z1159" i="11" s="1"/>
  <c r="O1159" i="11"/>
  <c r="N1159" i="11"/>
  <c r="U1157" i="11"/>
  <c r="AA1154" i="11"/>
  <c r="T1155" i="11" s="1"/>
  <c r="T1156" i="11" s="1"/>
  <c r="U1156" i="11" s="1"/>
  <c r="U1154" i="11"/>
  <c r="O1154" i="11"/>
  <c r="N1154" i="11"/>
  <c r="Y1153" i="11"/>
  <c r="Z1153" i="11" s="1"/>
  <c r="O1153" i="11"/>
  <c r="N1153" i="11"/>
  <c r="U1152" i="11"/>
  <c r="AA1151" i="11"/>
  <c r="AA1150" i="11"/>
  <c r="T1151" i="11" s="1"/>
  <c r="U1151" i="11" s="1"/>
  <c r="W1151" i="11" s="1"/>
  <c r="U1150" i="11"/>
  <c r="O1150" i="11"/>
  <c r="N1150" i="11"/>
  <c r="Y1149" i="11"/>
  <c r="Z1149" i="11" s="1"/>
  <c r="O1149" i="11"/>
  <c r="N1149" i="11"/>
  <c r="AA1148" i="11"/>
  <c r="V1148" i="11"/>
  <c r="Q1148" i="11"/>
  <c r="AA1147" i="11"/>
  <c r="AA1146" i="11"/>
  <c r="T1147" i="11" s="1"/>
  <c r="U1147" i="11" s="1"/>
  <c r="U1146" i="11"/>
  <c r="W1146" i="11" s="1"/>
  <c r="Z1145" i="11"/>
  <c r="U1145" i="11"/>
  <c r="AB1145" i="11" s="1"/>
  <c r="AA1144" i="11"/>
  <c r="O1144" i="11"/>
  <c r="N1144" i="11"/>
  <c r="AA1143" i="11"/>
  <c r="T1144" i="11" s="1"/>
  <c r="U1144" i="11" s="1"/>
  <c r="Y1144" i="11" s="1"/>
  <c r="U1143" i="11"/>
  <c r="O1143" i="11"/>
  <c r="N1143" i="11"/>
  <c r="Y1142" i="11"/>
  <c r="Z1142" i="11" s="1"/>
  <c r="O1142" i="11"/>
  <c r="N1142" i="11"/>
  <c r="S1141" i="11"/>
  <c r="R1141" i="11"/>
  <c r="R1071" i="11" s="1"/>
  <c r="P1141" i="11"/>
  <c r="M1141" i="11"/>
  <c r="U1139" i="11"/>
  <c r="Q1139" i="11"/>
  <c r="AA1138" i="11"/>
  <c r="U1138" i="11"/>
  <c r="Q1138" i="11"/>
  <c r="Y1137" i="11"/>
  <c r="Z1137" i="11" s="1"/>
  <c r="Q1137" i="11"/>
  <c r="AA1135" i="11"/>
  <c r="Q1135" i="11"/>
  <c r="AA1134" i="11"/>
  <c r="Q1134" i="11"/>
  <c r="AA1133" i="11"/>
  <c r="Q1133" i="11"/>
  <c r="AA1132" i="11"/>
  <c r="O1132" i="11"/>
  <c r="Q1132" i="11" s="1"/>
  <c r="N1132" i="11"/>
  <c r="AA1131" i="11"/>
  <c r="T1132" i="11" s="1"/>
  <c r="U1131" i="11"/>
  <c r="Y1131" i="11" s="1"/>
  <c r="O1131" i="11"/>
  <c r="Q1131" i="11" s="1"/>
  <c r="N1131" i="11"/>
  <c r="Z1130" i="11"/>
  <c r="U1130" i="11"/>
  <c r="AB1130" i="11" s="1"/>
  <c r="O1130" i="11"/>
  <c r="Q1130" i="11" s="1"/>
  <c r="N1130" i="11"/>
  <c r="U1129" i="11"/>
  <c r="AB1129" i="11" s="1"/>
  <c r="AC1129" i="11" s="1"/>
  <c r="Q1129" i="11"/>
  <c r="Z1128" i="11"/>
  <c r="U1128" i="11"/>
  <c r="AB1128" i="11" s="1"/>
  <c r="Q1128" i="11"/>
  <c r="Y1127" i="11"/>
  <c r="Z1127" i="11" s="1"/>
  <c r="O1127" i="11"/>
  <c r="Q1127" i="11" s="1"/>
  <c r="N1127" i="11"/>
  <c r="AA1126" i="11"/>
  <c r="U1126" i="11"/>
  <c r="Y1126" i="11" s="1"/>
  <c r="Q1126" i="11"/>
  <c r="U1125" i="11"/>
  <c r="AB1125" i="11" s="1"/>
  <c r="AC1125" i="11" s="1"/>
  <c r="O1125" i="11"/>
  <c r="Q1125" i="11" s="1"/>
  <c r="N1125" i="11"/>
  <c r="AA1124" i="11"/>
  <c r="U1124" i="11"/>
  <c r="Y1124" i="11" s="1"/>
  <c r="Q1124" i="11"/>
  <c r="U1123" i="11"/>
  <c r="W1123" i="11" s="1"/>
  <c r="O1123" i="11"/>
  <c r="Q1123" i="11" s="1"/>
  <c r="N1123" i="11"/>
  <c r="U1122" i="11"/>
  <c r="AB1122" i="11" s="1"/>
  <c r="AC1122" i="11" s="1"/>
  <c r="Q1122" i="11"/>
  <c r="U1121" i="11"/>
  <c r="W1121" i="11" s="1"/>
  <c r="Q1121" i="11"/>
  <c r="AA1120" i="11"/>
  <c r="Q1120" i="11"/>
  <c r="AA1119" i="11"/>
  <c r="T1120" i="11" s="1"/>
  <c r="U1120" i="11" s="1"/>
  <c r="U1119" i="11"/>
  <c r="Y1119" i="11" s="1"/>
  <c r="O1119" i="11"/>
  <c r="Q1119" i="11" s="1"/>
  <c r="N1119" i="11"/>
  <c r="Y1118" i="11"/>
  <c r="Z1118" i="11" s="1"/>
  <c r="O1118" i="11"/>
  <c r="Q1118" i="11" s="1"/>
  <c r="N1118" i="11"/>
  <c r="U1117" i="11"/>
  <c r="W1117" i="11" s="1"/>
  <c r="Q1117" i="11"/>
  <c r="U1116" i="11"/>
  <c r="AB1116" i="11" s="1"/>
  <c r="AC1116" i="11" s="1"/>
  <c r="Q1116" i="11"/>
  <c r="AA1115" i="11"/>
  <c r="T1115" i="11"/>
  <c r="U1115" i="11" s="1"/>
  <c r="Y1115" i="11" s="1"/>
  <c r="Q1115" i="11"/>
  <c r="U1114" i="11"/>
  <c r="W1114" i="11" s="1"/>
  <c r="Q1114" i="11"/>
  <c r="U1113" i="11"/>
  <c r="Y1113" i="11" s="1"/>
  <c r="Q1113" i="11"/>
  <c r="AA1112" i="11"/>
  <c r="U1112" i="11"/>
  <c r="Y1112" i="11" s="1"/>
  <c r="Q1112" i="11"/>
  <c r="Z1111" i="11"/>
  <c r="U1111" i="11"/>
  <c r="AB1111" i="11" s="1"/>
  <c r="Q1111" i="11"/>
  <c r="Y1110" i="11"/>
  <c r="Z1110" i="11" s="1"/>
  <c r="Q1110" i="11"/>
  <c r="Y1109" i="11"/>
  <c r="Z1109" i="11" s="1"/>
  <c r="O1109" i="11"/>
  <c r="Q1109" i="11" s="1"/>
  <c r="N1109" i="11"/>
  <c r="AA1108" i="11"/>
  <c r="U1108" i="11"/>
  <c r="W1108" i="11" s="1"/>
  <c r="Q1108" i="11"/>
  <c r="AA1107" i="11"/>
  <c r="U1107" i="11"/>
  <c r="Y1107" i="11" s="1"/>
  <c r="Q1107" i="11"/>
  <c r="V1105" i="11"/>
  <c r="Q1105" i="11"/>
  <c r="AA1104" i="11"/>
  <c r="T1104" i="11"/>
  <c r="U1104" i="11" s="1"/>
  <c r="Y1104" i="11" s="1"/>
  <c r="Q1104" i="11"/>
  <c r="U1103" i="11"/>
  <c r="Q1103" i="11"/>
  <c r="AA1102" i="11"/>
  <c r="U1102" i="11"/>
  <c r="Q1102" i="11"/>
  <c r="U1101" i="11"/>
  <c r="W1101" i="11" s="1"/>
  <c r="O1101" i="11"/>
  <c r="Q1101" i="11" s="1"/>
  <c r="N1101" i="11"/>
  <c r="AA1100" i="11"/>
  <c r="U1100" i="11"/>
  <c r="Q1100" i="11"/>
  <c r="AA1099" i="11"/>
  <c r="U1099" i="11"/>
  <c r="Y1099" i="11" s="1"/>
  <c r="O1099" i="11"/>
  <c r="Q1099" i="11" s="1"/>
  <c r="N1099" i="11"/>
  <c r="U1098" i="11"/>
  <c r="AB1098" i="11" s="1"/>
  <c r="AC1098" i="11" s="1"/>
  <c r="Q1098" i="11"/>
  <c r="AA1097" i="11"/>
  <c r="U1097" i="11"/>
  <c r="Q1097" i="11"/>
  <c r="U1096" i="11"/>
  <c r="O1096" i="11"/>
  <c r="Q1096" i="11" s="1"/>
  <c r="N1096" i="11"/>
  <c r="AA1095" i="11"/>
  <c r="Q1095" i="11"/>
  <c r="AA1094" i="11"/>
  <c r="T1094" i="11"/>
  <c r="U1094" i="11" s="1"/>
  <c r="Y1094" i="11" s="1"/>
  <c r="Q1094" i="11"/>
  <c r="U1093" i="11"/>
  <c r="Q1093" i="11"/>
  <c r="V1091" i="11"/>
  <c r="Q1091" i="11"/>
  <c r="AA1090" i="11"/>
  <c r="T1091" i="11" s="1"/>
  <c r="U1090" i="11"/>
  <c r="Y1090" i="11" s="1"/>
  <c r="Q1090" i="11"/>
  <c r="Z1089" i="11"/>
  <c r="U1089" i="11"/>
  <c r="AB1089" i="11" s="1"/>
  <c r="O1089" i="11"/>
  <c r="Q1089" i="11" s="1"/>
  <c r="N1089" i="11"/>
  <c r="Y1088" i="11"/>
  <c r="Z1088" i="11" s="1"/>
  <c r="Q1088" i="11"/>
  <c r="Y1087" i="11"/>
  <c r="Z1087" i="11" s="1"/>
  <c r="O1087" i="11"/>
  <c r="Q1087" i="11" s="1"/>
  <c r="N1087" i="11"/>
  <c r="AA1086" i="11"/>
  <c r="Q1086" i="11"/>
  <c r="AA1085" i="11"/>
  <c r="T1086" i="11" s="1"/>
  <c r="U1086" i="11" s="1"/>
  <c r="Y1086" i="11" s="1"/>
  <c r="T1085" i="11"/>
  <c r="U1085" i="11" s="1"/>
  <c r="Y1085" i="11" s="1"/>
  <c r="Q1085" i="11"/>
  <c r="U1084" i="11"/>
  <c r="AB1084" i="11" s="1"/>
  <c r="Q1084" i="11"/>
  <c r="AA1083" i="11"/>
  <c r="Q1083" i="11"/>
  <c r="AA1082" i="11"/>
  <c r="T1083" i="11" s="1"/>
  <c r="U1083" i="11" s="1"/>
  <c r="U1082" i="11"/>
  <c r="Y1082" i="11" s="1"/>
  <c r="Q1082" i="11"/>
  <c r="U1081" i="11"/>
  <c r="Y1081" i="11" s="1"/>
  <c r="Z1081" i="11" s="1"/>
  <c r="O1081" i="11"/>
  <c r="Q1081" i="11" s="1"/>
  <c r="N1081" i="11"/>
  <c r="U1080" i="11"/>
  <c r="AB1080" i="11" s="1"/>
  <c r="AC1080" i="11" s="1"/>
  <c r="Q1080" i="11"/>
  <c r="AB1079" i="11"/>
  <c r="Y1079" i="11"/>
  <c r="Z1079" i="11" s="1"/>
  <c r="AA1078" i="11"/>
  <c r="U1078" i="11"/>
  <c r="O1078" i="11"/>
  <c r="Q1078" i="11" s="1"/>
  <c r="N1078" i="11"/>
  <c r="AA1077" i="11"/>
  <c r="Q1077" i="11"/>
  <c r="AA1076" i="11"/>
  <c r="T1076" i="11"/>
  <c r="U1076" i="11" s="1"/>
  <c r="Q1076" i="11"/>
  <c r="U1075" i="11"/>
  <c r="AB1075" i="11" s="1"/>
  <c r="O1075" i="11"/>
  <c r="Q1075" i="11" s="1"/>
  <c r="N1075" i="11"/>
  <c r="Y1074" i="11"/>
  <c r="Z1074" i="11" s="1"/>
  <c r="O1074" i="11"/>
  <c r="Q1074" i="11" s="1"/>
  <c r="N1074" i="11"/>
  <c r="S1073" i="11"/>
  <c r="P1073" i="11"/>
  <c r="M1073" i="11"/>
  <c r="AA1068" i="11"/>
  <c r="S1068" i="11"/>
  <c r="U1068" i="11" s="1"/>
  <c r="Y1068" i="11" s="1"/>
  <c r="S1067" i="11"/>
  <c r="U1067" i="11" s="1"/>
  <c r="N1067" i="11"/>
  <c r="S1066" i="11"/>
  <c r="N1066" i="11"/>
  <c r="S1065" i="11"/>
  <c r="U1065" i="11" s="1"/>
  <c r="N1065" i="11"/>
  <c r="O1064" i="11"/>
  <c r="R1063" i="11"/>
  <c r="R1062" i="11" s="1"/>
  <c r="Q1063" i="11"/>
  <c r="Q1062" i="11" s="1"/>
  <c r="P1063" i="11"/>
  <c r="P1062" i="11" s="1"/>
  <c r="O1063" i="11"/>
  <c r="O1062" i="11" s="1"/>
  <c r="M1063" i="11"/>
  <c r="M1062" i="11" s="1"/>
  <c r="AC1060" i="11"/>
  <c r="AB1060" i="11"/>
  <c r="Z1060" i="11"/>
  <c r="Y1060" i="11"/>
  <c r="W1060" i="11"/>
  <c r="U1060" i="11"/>
  <c r="S1060" i="11"/>
  <c r="R1060" i="11"/>
  <c r="Q1060" i="11"/>
  <c r="P1060" i="11"/>
  <c r="O1060" i="11"/>
  <c r="M1060" i="11"/>
  <c r="AC1058" i="11"/>
  <c r="AB1058" i="11"/>
  <c r="Z1058" i="11"/>
  <c r="Y1058" i="11"/>
  <c r="W1058" i="11"/>
  <c r="U1058" i="11"/>
  <c r="S1058" i="11"/>
  <c r="R1058" i="11"/>
  <c r="Q1058" i="11"/>
  <c r="P1058" i="11"/>
  <c r="O1058" i="11"/>
  <c r="M1058" i="11"/>
  <c r="AC1056" i="11"/>
  <c r="AB1056" i="11"/>
  <c r="Z1056" i="11"/>
  <c r="Y1056" i="11"/>
  <c r="W1056" i="11"/>
  <c r="U1056" i="11"/>
  <c r="S1056" i="11"/>
  <c r="S1055" i="11" s="1"/>
  <c r="R1056" i="11"/>
  <c r="R1055" i="11" s="1"/>
  <c r="Q1056" i="11"/>
  <c r="P1056" i="11"/>
  <c r="O1056" i="11"/>
  <c r="M1056" i="11"/>
  <c r="AC1055" i="11"/>
  <c r="AC1053" i="11"/>
  <c r="AC1052" i="11" s="1"/>
  <c r="AB1053" i="11"/>
  <c r="AB1052" i="11" s="1"/>
  <c r="O1499" i="11" s="1"/>
  <c r="O1498" i="11" s="1"/>
  <c r="Z1053" i="11"/>
  <c r="Z1052" i="11" s="1"/>
  <c r="Y1053" i="11"/>
  <c r="Y1052" i="11" s="1"/>
  <c r="W1053" i="11"/>
  <c r="W1052" i="11" s="1"/>
  <c r="U1053" i="11"/>
  <c r="U1052" i="11" s="1"/>
  <c r="S1053" i="11"/>
  <c r="S1052" i="11" s="1"/>
  <c r="R1053" i="11"/>
  <c r="R1052" i="11" s="1"/>
  <c r="Q1053" i="11"/>
  <c r="Q1052" i="11" s="1"/>
  <c r="P1053" i="11"/>
  <c r="P1052" i="11" s="1"/>
  <c r="O1053" i="11"/>
  <c r="O1052" i="11" s="1"/>
  <c r="M1053" i="11"/>
  <c r="M1052" i="11" s="1"/>
  <c r="AC1050" i="11"/>
  <c r="AC1049" i="11" s="1"/>
  <c r="AB1050" i="11"/>
  <c r="AB1049" i="11" s="1"/>
  <c r="O1495" i="11" s="1"/>
  <c r="O1494" i="11" s="1"/>
  <c r="Z1050" i="11"/>
  <c r="Z1049" i="11" s="1"/>
  <c r="Y1050" i="11"/>
  <c r="Y1049" i="11" s="1"/>
  <c r="W1050" i="11"/>
  <c r="W1049" i="11" s="1"/>
  <c r="U1050" i="11"/>
  <c r="U1049" i="11" s="1"/>
  <c r="S1050" i="11"/>
  <c r="S1049" i="11" s="1"/>
  <c r="R1050" i="11"/>
  <c r="R1049" i="11" s="1"/>
  <c r="Q1050" i="11"/>
  <c r="Q1049" i="11" s="1"/>
  <c r="P1050" i="11"/>
  <c r="P1049" i="11" s="1"/>
  <c r="O1050" i="11"/>
  <c r="O1049" i="11" s="1"/>
  <c r="M1050" i="11"/>
  <c r="M1049" i="11" s="1"/>
  <c r="AC1047" i="11"/>
  <c r="AB1047" i="11"/>
  <c r="Z1047" i="11"/>
  <c r="Y1047" i="11"/>
  <c r="W1047" i="11"/>
  <c r="U1047" i="11"/>
  <c r="S1047" i="11"/>
  <c r="R1047" i="11"/>
  <c r="Q1047" i="11"/>
  <c r="P1047" i="11"/>
  <c r="O1047" i="11"/>
  <c r="M1047" i="11"/>
  <c r="AC1045" i="11"/>
  <c r="AB1045" i="11"/>
  <c r="Z1045" i="11"/>
  <c r="Y1045" i="11"/>
  <c r="W1045" i="11"/>
  <c r="U1045" i="11"/>
  <c r="S1045" i="11"/>
  <c r="R1045" i="11"/>
  <c r="Q1045" i="11"/>
  <c r="P1045" i="11"/>
  <c r="O1045" i="11"/>
  <c r="M1045" i="11"/>
  <c r="AC1043" i="11"/>
  <c r="AB1043" i="11"/>
  <c r="Z1043" i="11"/>
  <c r="Y1043" i="11"/>
  <c r="W1043" i="11"/>
  <c r="U1043" i="11"/>
  <c r="S1043" i="11"/>
  <c r="R1043" i="11"/>
  <c r="Q1043" i="11"/>
  <c r="P1043" i="11"/>
  <c r="O1043" i="11"/>
  <c r="M1043" i="11"/>
  <c r="AC1041" i="11"/>
  <c r="AB1041" i="11"/>
  <c r="Z1041" i="11"/>
  <c r="Y1041" i="11"/>
  <c r="W1041" i="11"/>
  <c r="U1041" i="11"/>
  <c r="U1040" i="11" s="1"/>
  <c r="S1041" i="11"/>
  <c r="S1040" i="11" s="1"/>
  <c r="R1041" i="11"/>
  <c r="Q1041" i="11"/>
  <c r="Q1040" i="11" s="1"/>
  <c r="P1041" i="11"/>
  <c r="O1041" i="11"/>
  <c r="O1040" i="11" s="1"/>
  <c r="M1041" i="11"/>
  <c r="AC1040" i="11"/>
  <c r="AB1040" i="11"/>
  <c r="O1491" i="11" s="1"/>
  <c r="O1490" i="11" s="1"/>
  <c r="Z1040" i="11"/>
  <c r="Y1040" i="11"/>
  <c r="AC1036" i="11"/>
  <c r="AB1036" i="11"/>
  <c r="Z1036" i="11"/>
  <c r="Y1036" i="11"/>
  <c r="W1036" i="11"/>
  <c r="U1036" i="11"/>
  <c r="S1036" i="11"/>
  <c r="R1036" i="11"/>
  <c r="Q1036" i="11"/>
  <c r="P1036" i="11"/>
  <c r="O1036" i="11"/>
  <c r="M1036" i="11"/>
  <c r="AC1034" i="11"/>
  <c r="AC1033" i="11" s="1"/>
  <c r="AB1034" i="11"/>
  <c r="Z1034" i="11"/>
  <c r="Z1033" i="11" s="1"/>
  <c r="Y1034" i="11"/>
  <c r="W1034" i="11"/>
  <c r="W1033" i="11" s="1"/>
  <c r="U1034" i="11"/>
  <c r="S1034" i="11"/>
  <c r="S1033" i="11" s="1"/>
  <c r="R1034" i="11"/>
  <c r="R1033" i="11" s="1"/>
  <c r="Q1034" i="11"/>
  <c r="P1034" i="11"/>
  <c r="P1033" i="11" s="1"/>
  <c r="O1034" i="11"/>
  <c r="O1033" i="11" s="1"/>
  <c r="M1034" i="11"/>
  <c r="M1033" i="11" s="1"/>
  <c r="AC1029" i="11"/>
  <c r="AB1029" i="11"/>
  <c r="Z1029" i="11"/>
  <c r="Y1029" i="11"/>
  <c r="W1029" i="11"/>
  <c r="U1029" i="11"/>
  <c r="S1029" i="11"/>
  <c r="R1029" i="11"/>
  <c r="Q1029" i="11"/>
  <c r="P1029" i="11"/>
  <c r="O1029" i="11"/>
  <c r="M1029" i="11"/>
  <c r="AC1027" i="11"/>
  <c r="AB1027" i="11"/>
  <c r="Z1027" i="11"/>
  <c r="Y1027" i="11"/>
  <c r="W1027" i="11"/>
  <c r="U1027" i="11"/>
  <c r="S1027" i="11"/>
  <c r="R1027" i="11"/>
  <c r="Q1027" i="11"/>
  <c r="P1027" i="11"/>
  <c r="O1027" i="11"/>
  <c r="M1027" i="11"/>
  <c r="AC1025" i="11"/>
  <c r="AC1024" i="11" s="1"/>
  <c r="AB1025" i="11"/>
  <c r="AB1024" i="11" s="1"/>
  <c r="O1483" i="11" s="1"/>
  <c r="O1482" i="11" s="1"/>
  <c r="Z1025" i="11"/>
  <c r="Y1025" i="11"/>
  <c r="Y1024" i="11" s="1"/>
  <c r="W1025" i="11"/>
  <c r="W1024" i="11" s="1"/>
  <c r="U1025" i="11"/>
  <c r="S1025" i="11"/>
  <c r="R1025" i="11"/>
  <c r="R1024" i="11" s="1"/>
  <c r="Q1025" i="11"/>
  <c r="Q1024" i="11" s="1"/>
  <c r="P1025" i="11"/>
  <c r="P1024" i="11" s="1"/>
  <c r="O1025" i="11"/>
  <c r="O1024" i="11" s="1"/>
  <c r="M1025" i="11"/>
  <c r="M1024" i="11" s="1"/>
  <c r="AC1022" i="11"/>
  <c r="AB1022" i="11"/>
  <c r="Z1022" i="11"/>
  <c r="Y1022" i="11"/>
  <c r="W1022" i="11"/>
  <c r="U1022" i="11"/>
  <c r="S1022" i="11"/>
  <c r="R1022" i="11"/>
  <c r="Q1022" i="11"/>
  <c r="P1022" i="11"/>
  <c r="O1022" i="11"/>
  <c r="M1022" i="11"/>
  <c r="AC1020" i="11"/>
  <c r="AB1020" i="11"/>
  <c r="AB1019" i="11" s="1"/>
  <c r="O1479" i="11" s="1"/>
  <c r="O1478" i="11" s="1"/>
  <c r="Z1020" i="11"/>
  <c r="Z1019" i="11" s="1"/>
  <c r="Y1020" i="11"/>
  <c r="Y1019" i="11" s="1"/>
  <c r="W1020" i="11"/>
  <c r="W1019" i="11" s="1"/>
  <c r="U1020" i="11"/>
  <c r="U1019" i="11" s="1"/>
  <c r="S1020" i="11"/>
  <c r="S1019" i="11" s="1"/>
  <c r="R1020" i="11"/>
  <c r="R1019" i="11" s="1"/>
  <c r="Q1020" i="11"/>
  <c r="Q1019" i="11" s="1"/>
  <c r="P1020" i="11"/>
  <c r="O1020" i="11"/>
  <c r="O1019" i="11" s="1"/>
  <c r="M1020" i="11"/>
  <c r="M1019" i="11" s="1"/>
  <c r="AC1001" i="11"/>
  <c r="Y1001" i="11"/>
  <c r="W1001" i="11"/>
  <c r="S1001" i="11"/>
  <c r="N1001" i="11"/>
  <c r="AC1000" i="11"/>
  <c r="Y1000" i="11"/>
  <c r="W1000" i="11"/>
  <c r="S1000" i="11"/>
  <c r="N1000" i="11"/>
  <c r="AC999" i="11"/>
  <c r="Y999" i="11"/>
  <c r="W999" i="11"/>
  <c r="S999" i="11"/>
  <c r="N999" i="11"/>
  <c r="AC998" i="11"/>
  <c r="Y998" i="11"/>
  <c r="W998" i="11"/>
  <c r="S998" i="11"/>
  <c r="N998" i="11"/>
  <c r="AA997" i="11"/>
  <c r="S997" i="11"/>
  <c r="U997" i="11" s="1"/>
  <c r="Y997" i="11" s="1"/>
  <c r="AC996" i="11"/>
  <c r="Y996" i="11"/>
  <c r="AG996" i="11" s="1"/>
  <c r="W996" i="11"/>
  <c r="S996" i="11"/>
  <c r="N996" i="11"/>
  <c r="AC995" i="11"/>
  <c r="Y995" i="11"/>
  <c r="AG995" i="11" s="1"/>
  <c r="W995" i="11"/>
  <c r="S995" i="11"/>
  <c r="N995" i="11"/>
  <c r="AC994" i="11"/>
  <c r="Y994" i="11"/>
  <c r="AG994" i="11" s="1"/>
  <c r="W994" i="11"/>
  <c r="S994" i="11"/>
  <c r="N994" i="11"/>
  <c r="AC993" i="11"/>
  <c r="Y993" i="11"/>
  <c r="AG993" i="11" s="1"/>
  <c r="W993" i="11"/>
  <c r="S993" i="11"/>
  <c r="N993" i="11"/>
  <c r="AC992" i="11"/>
  <c r="Y992" i="11"/>
  <c r="AG992" i="11" s="1"/>
  <c r="W992" i="11"/>
  <c r="S992" i="11"/>
  <c r="N992" i="11"/>
  <c r="AC991" i="11"/>
  <c r="Y991" i="11"/>
  <c r="AG991" i="11" s="1"/>
  <c r="W991" i="11"/>
  <c r="S991" i="11"/>
  <c r="N991" i="11"/>
  <c r="AC990" i="11"/>
  <c r="Y990" i="11"/>
  <c r="AG990" i="11" s="1"/>
  <c r="W990" i="11"/>
  <c r="S990" i="11"/>
  <c r="N990" i="11"/>
  <c r="AC989" i="11"/>
  <c r="Y989" i="11"/>
  <c r="AG989" i="11" s="1"/>
  <c r="W989" i="11"/>
  <c r="S989" i="11"/>
  <c r="N989" i="11"/>
  <c r="AC988" i="11"/>
  <c r="Y988" i="11"/>
  <c r="AG988" i="11" s="1"/>
  <c r="W988" i="11"/>
  <c r="S988" i="11"/>
  <c r="N988" i="11"/>
  <c r="AC987" i="11"/>
  <c r="Y987" i="11"/>
  <c r="AG987" i="11" s="1"/>
  <c r="W987" i="11"/>
  <c r="S987" i="11"/>
  <c r="N987" i="11"/>
  <c r="AC986" i="11"/>
  <c r="Y986" i="11"/>
  <c r="AG986" i="11" s="1"/>
  <c r="W986" i="11"/>
  <c r="S986" i="11"/>
  <c r="N986" i="11"/>
  <c r="AC985" i="11"/>
  <c r="Y985" i="11"/>
  <c r="AG985" i="11" s="1"/>
  <c r="W985" i="11"/>
  <c r="S985" i="11"/>
  <c r="N985" i="11"/>
  <c r="AC984" i="11"/>
  <c r="Y984" i="11"/>
  <c r="AG984" i="11" s="1"/>
  <c r="W984" i="11"/>
  <c r="S984" i="11"/>
  <c r="N984" i="11"/>
  <c r="AC983" i="11"/>
  <c r="Y983" i="11"/>
  <c r="AG983" i="11" s="1"/>
  <c r="W983" i="11"/>
  <c r="S983" i="11"/>
  <c r="N983" i="11"/>
  <c r="AC982" i="11"/>
  <c r="Y982" i="11"/>
  <c r="AG982" i="11" s="1"/>
  <c r="W982" i="11"/>
  <c r="S982" i="11"/>
  <c r="N982" i="11"/>
  <c r="S981" i="11"/>
  <c r="U981" i="11" s="1"/>
  <c r="N981" i="11"/>
  <c r="S980" i="11"/>
  <c r="U980" i="11" s="1"/>
  <c r="N980" i="11"/>
  <c r="AC979" i="11"/>
  <c r="Y979" i="11"/>
  <c r="AG979" i="11" s="1"/>
  <c r="W979" i="11"/>
  <c r="S979" i="11"/>
  <c r="N979" i="11"/>
  <c r="AA978" i="11"/>
  <c r="S978" i="11"/>
  <c r="U978" i="11" s="1"/>
  <c r="N978" i="11"/>
  <c r="AA977" i="11"/>
  <c r="U977" i="11"/>
  <c r="Y977" i="11" s="1"/>
  <c r="S976" i="11"/>
  <c r="U976" i="11" s="1"/>
  <c r="N976" i="11"/>
  <c r="S975" i="11"/>
  <c r="U975" i="11" s="1"/>
  <c r="N975" i="11"/>
  <c r="AC974" i="11"/>
  <c r="S974" i="11"/>
  <c r="N974" i="11"/>
  <c r="AC973" i="11"/>
  <c r="S973" i="11"/>
  <c r="N973" i="11"/>
  <c r="AC972" i="11"/>
  <c r="S972" i="11"/>
  <c r="N972" i="11"/>
  <c r="AC971" i="11"/>
  <c r="S971" i="11"/>
  <c r="N971" i="11"/>
  <c r="AC970" i="11"/>
  <c r="S970" i="11"/>
  <c r="N970" i="11"/>
  <c r="AC969" i="11"/>
  <c r="S969" i="11"/>
  <c r="N969" i="11"/>
  <c r="AC968" i="11"/>
  <c r="S968" i="11"/>
  <c r="N968" i="11"/>
  <c r="AC967" i="11"/>
  <c r="S967" i="11"/>
  <c r="N967" i="11"/>
  <c r="AC966" i="11"/>
  <c r="S966" i="11"/>
  <c r="N966" i="11"/>
  <c r="AC965" i="11"/>
  <c r="Y965" i="11"/>
  <c r="AG965" i="11" s="1"/>
  <c r="W965" i="11"/>
  <c r="S965" i="11"/>
  <c r="N965" i="11"/>
  <c r="AC964" i="11"/>
  <c r="Y964" i="11"/>
  <c r="W964" i="11"/>
  <c r="S964" i="11"/>
  <c r="N964" i="11"/>
  <c r="AC963" i="11"/>
  <c r="Y963" i="11"/>
  <c r="AG963" i="11" s="1"/>
  <c r="W963" i="11"/>
  <c r="S963" i="11"/>
  <c r="N963" i="11"/>
  <c r="AC962" i="11"/>
  <c r="Y962" i="11"/>
  <c r="W962" i="11"/>
  <c r="S962" i="11"/>
  <c r="N962" i="11"/>
  <c r="AC961" i="11"/>
  <c r="Y961" i="11"/>
  <c r="AG961" i="11" s="1"/>
  <c r="W961" i="11"/>
  <c r="S961" i="11"/>
  <c r="N961" i="11"/>
  <c r="AC960" i="11"/>
  <c r="Y960" i="11"/>
  <c r="AG960" i="11" s="1"/>
  <c r="W960" i="11"/>
  <c r="S960" i="11"/>
  <c r="N960" i="11"/>
  <c r="AC959" i="11"/>
  <c r="Y959" i="11"/>
  <c r="AG959" i="11" s="1"/>
  <c r="W959" i="11"/>
  <c r="S959" i="11"/>
  <c r="N959" i="11"/>
  <c r="AC958" i="11"/>
  <c r="Y958" i="11"/>
  <c r="AG958" i="11" s="1"/>
  <c r="W958" i="11"/>
  <c r="S958" i="11"/>
  <c r="N958" i="11"/>
  <c r="AC957" i="11"/>
  <c r="Y957" i="11"/>
  <c r="AG957" i="11" s="1"/>
  <c r="W957" i="11"/>
  <c r="S957" i="11"/>
  <c r="N957" i="11"/>
  <c r="AC956" i="11"/>
  <c r="Y956" i="11"/>
  <c r="AG956" i="11" s="1"/>
  <c r="W956" i="11"/>
  <c r="S956" i="11"/>
  <c r="N956" i="11"/>
  <c r="AC955" i="11"/>
  <c r="Y955" i="11"/>
  <c r="AG955" i="11" s="1"/>
  <c r="W955" i="11"/>
  <c r="S955" i="11"/>
  <c r="N955" i="11"/>
  <c r="AC954" i="11"/>
  <c r="Y954" i="11"/>
  <c r="AG954" i="11" s="1"/>
  <c r="W954" i="11"/>
  <c r="S954" i="11"/>
  <c r="N954" i="11"/>
  <c r="AC953" i="11"/>
  <c r="Y953" i="11"/>
  <c r="AG953" i="11" s="1"/>
  <c r="W953" i="11"/>
  <c r="S953" i="11"/>
  <c r="N953" i="11"/>
  <c r="AC952" i="11"/>
  <c r="Y952" i="11"/>
  <c r="AG952" i="11" s="1"/>
  <c r="W952" i="11"/>
  <c r="S952" i="11"/>
  <c r="N952" i="11"/>
  <c r="AC951" i="11"/>
  <c r="Y951" i="11"/>
  <c r="AG951" i="11" s="1"/>
  <c r="W951" i="11"/>
  <c r="S951" i="11"/>
  <c r="N951" i="11"/>
  <c r="AC950" i="11"/>
  <c r="Y950" i="11"/>
  <c r="AG950" i="11" s="1"/>
  <c r="W950" i="11"/>
  <c r="S950" i="11"/>
  <c r="N950" i="11"/>
  <c r="AC949" i="11"/>
  <c r="Y949" i="11"/>
  <c r="AG949" i="11" s="1"/>
  <c r="W949" i="11"/>
  <c r="S949" i="11"/>
  <c r="N949" i="11"/>
  <c r="AC948" i="11"/>
  <c r="Y948" i="11"/>
  <c r="AG948" i="11" s="1"/>
  <c r="W948" i="11"/>
  <c r="S948" i="11"/>
  <c r="N948" i="11"/>
  <c r="AC947" i="11"/>
  <c r="Y947" i="11"/>
  <c r="AG947" i="11" s="1"/>
  <c r="W947" i="11"/>
  <c r="S947" i="11"/>
  <c r="N947" i="11"/>
  <c r="AC946" i="11"/>
  <c r="Y946" i="11"/>
  <c r="AG946" i="11" s="1"/>
  <c r="W946" i="11"/>
  <c r="S946" i="11"/>
  <c r="N946" i="11"/>
  <c r="AC945" i="11"/>
  <c r="Y945" i="11"/>
  <c r="AG945" i="11" s="1"/>
  <c r="W945" i="11"/>
  <c r="S945" i="11"/>
  <c r="N945" i="11"/>
  <c r="AC944" i="11"/>
  <c r="Y944" i="11"/>
  <c r="AG944" i="11" s="1"/>
  <c r="W944" i="11"/>
  <c r="S944" i="11"/>
  <c r="N944" i="11"/>
  <c r="AC943" i="11"/>
  <c r="Y943" i="11"/>
  <c r="AG943" i="11" s="1"/>
  <c r="W943" i="11"/>
  <c r="S943" i="11"/>
  <c r="N943" i="11"/>
  <c r="AC942" i="11"/>
  <c r="Y942" i="11"/>
  <c r="AG942" i="11" s="1"/>
  <c r="W942" i="11"/>
  <c r="S942" i="11"/>
  <c r="N942" i="11"/>
  <c r="AC941" i="11"/>
  <c r="Y941" i="11"/>
  <c r="AG941" i="11" s="1"/>
  <c r="W941" i="11"/>
  <c r="S941" i="11"/>
  <c r="N941" i="11"/>
  <c r="AC940" i="11"/>
  <c r="Y940" i="11"/>
  <c r="AG940" i="11" s="1"/>
  <c r="W940" i="11"/>
  <c r="S940" i="11"/>
  <c r="N940" i="11"/>
  <c r="AC939" i="11"/>
  <c r="Y939" i="11"/>
  <c r="AG939" i="11" s="1"/>
  <c r="W939" i="11"/>
  <c r="S939" i="11"/>
  <c r="N939" i="11"/>
  <c r="AC938" i="11"/>
  <c r="Y938" i="11"/>
  <c r="AG938" i="11" s="1"/>
  <c r="W938" i="11"/>
  <c r="S938" i="11"/>
  <c r="N938" i="11"/>
  <c r="S937" i="11"/>
  <c r="U937" i="11" s="1"/>
  <c r="N937" i="11"/>
  <c r="S936" i="11"/>
  <c r="N936" i="11"/>
  <c r="O935" i="11"/>
  <c r="M935" i="11"/>
  <c r="R934" i="11"/>
  <c r="Q934" i="11"/>
  <c r="P934" i="11"/>
  <c r="S924" i="11"/>
  <c r="U924" i="11" s="1"/>
  <c r="N924" i="11"/>
  <c r="AA923" i="11"/>
  <c r="S923" i="11"/>
  <c r="U923" i="11" s="1"/>
  <c r="N923" i="11"/>
  <c r="AA922" i="11"/>
  <c r="S922" i="11"/>
  <c r="U922" i="11" s="1"/>
  <c r="N922" i="11"/>
  <c r="AA921" i="11"/>
  <c r="S921" i="11"/>
  <c r="U921" i="11" s="1"/>
  <c r="Y921" i="11" s="1"/>
  <c r="N921" i="11"/>
  <c r="AA920" i="11"/>
  <c r="S920" i="11"/>
  <c r="U920" i="11" s="1"/>
  <c r="N920" i="11"/>
  <c r="AA919" i="11"/>
  <c r="S919" i="11"/>
  <c r="U919" i="11" s="1"/>
  <c r="S918" i="11"/>
  <c r="U918" i="11" s="1"/>
  <c r="N918" i="11"/>
  <c r="AC917" i="11"/>
  <c r="S917" i="11"/>
  <c r="N917" i="11"/>
  <c r="AC916" i="11"/>
  <c r="S916" i="11"/>
  <c r="N916" i="11"/>
  <c r="AC915" i="11"/>
  <c r="S915" i="11"/>
  <c r="N915" i="11"/>
  <c r="AC914" i="11"/>
  <c r="S914" i="11"/>
  <c r="N914" i="11"/>
  <c r="AC913" i="11"/>
  <c r="S913" i="11"/>
  <c r="N913" i="11"/>
  <c r="AC912" i="11"/>
  <c r="S912" i="11"/>
  <c r="N912" i="11"/>
  <c r="AC911" i="11"/>
  <c r="S911" i="11"/>
  <c r="N911" i="11"/>
  <c r="AC910" i="11"/>
  <c r="Y910" i="11"/>
  <c r="AG910" i="11" s="1"/>
  <c r="W910" i="11"/>
  <c r="S910" i="11"/>
  <c r="N910" i="11"/>
  <c r="AC909" i="11"/>
  <c r="Y909" i="11"/>
  <c r="AG909" i="11" s="1"/>
  <c r="W909" i="11"/>
  <c r="S909" i="11"/>
  <c r="N909" i="11"/>
  <c r="AC908" i="11"/>
  <c r="Y908" i="11"/>
  <c r="AG908" i="11" s="1"/>
  <c r="W908" i="11"/>
  <c r="S908" i="11"/>
  <c r="N908" i="11"/>
  <c r="AC907" i="11"/>
  <c r="Y907" i="11"/>
  <c r="AG907" i="11" s="1"/>
  <c r="W907" i="11"/>
  <c r="S907" i="11"/>
  <c r="N907" i="11"/>
  <c r="AC906" i="11"/>
  <c r="Y906" i="11"/>
  <c r="AG906" i="11" s="1"/>
  <c r="W906" i="11"/>
  <c r="S906" i="11"/>
  <c r="N906" i="11"/>
  <c r="AC905" i="11"/>
  <c r="Y905" i="11"/>
  <c r="AG905" i="11" s="1"/>
  <c r="W905" i="11"/>
  <c r="S905" i="11"/>
  <c r="N905" i="11"/>
  <c r="AC904" i="11"/>
  <c r="Y904" i="11"/>
  <c r="AG904" i="11" s="1"/>
  <c r="W904" i="11"/>
  <c r="S904" i="11"/>
  <c r="N904" i="11"/>
  <c r="AC903" i="11"/>
  <c r="Y903" i="11"/>
  <c r="AG903" i="11" s="1"/>
  <c r="W903" i="11"/>
  <c r="S903" i="11"/>
  <c r="N903" i="11"/>
  <c r="AC902" i="11"/>
  <c r="Y902" i="11"/>
  <c r="AG902" i="11" s="1"/>
  <c r="W902" i="11"/>
  <c r="S902" i="11"/>
  <c r="N902" i="11"/>
  <c r="AC901" i="11"/>
  <c r="Y901" i="11"/>
  <c r="AG901" i="11" s="1"/>
  <c r="W901" i="11"/>
  <c r="S901" i="11"/>
  <c r="N901" i="11"/>
  <c r="AC900" i="11"/>
  <c r="Y900" i="11"/>
  <c r="AG900" i="11" s="1"/>
  <c r="W900" i="11"/>
  <c r="S900" i="11"/>
  <c r="N900" i="11"/>
  <c r="AC899" i="11"/>
  <c r="Y899" i="11"/>
  <c r="AG899" i="11" s="1"/>
  <c r="W899" i="11"/>
  <c r="S899" i="11"/>
  <c r="N899" i="11"/>
  <c r="AC898" i="11"/>
  <c r="Y898" i="11"/>
  <c r="AG898" i="11" s="1"/>
  <c r="W898" i="11"/>
  <c r="S898" i="11"/>
  <c r="N898" i="11"/>
  <c r="AC897" i="11"/>
  <c r="Y897" i="11"/>
  <c r="AG897" i="11" s="1"/>
  <c r="W897" i="11"/>
  <c r="S897" i="11"/>
  <c r="N897" i="11"/>
  <c r="AC896" i="11"/>
  <c r="Y896" i="11"/>
  <c r="W896" i="11"/>
  <c r="S896" i="11"/>
  <c r="N896" i="11"/>
  <c r="AC895" i="11"/>
  <c r="Y895" i="11"/>
  <c r="AG895" i="11" s="1"/>
  <c r="W895" i="11"/>
  <c r="S895" i="11"/>
  <c r="N895" i="11"/>
  <c r="AC894" i="11"/>
  <c r="Y894" i="11"/>
  <c r="AG894" i="11" s="1"/>
  <c r="W894" i="11"/>
  <c r="S894" i="11"/>
  <c r="N894" i="11"/>
  <c r="AC893" i="11"/>
  <c r="Y893" i="11"/>
  <c r="AG893" i="11" s="1"/>
  <c r="W893" i="11"/>
  <c r="S893" i="11"/>
  <c r="N893" i="11"/>
  <c r="AC892" i="11"/>
  <c r="Y892" i="11"/>
  <c r="AG892" i="11" s="1"/>
  <c r="W892" i="11"/>
  <c r="S892" i="11"/>
  <c r="N892" i="11"/>
  <c r="AC891" i="11"/>
  <c r="Y891" i="11"/>
  <c r="AG891" i="11" s="1"/>
  <c r="W891" i="11"/>
  <c r="S891" i="11"/>
  <c r="N891" i="11"/>
  <c r="AC890" i="11"/>
  <c r="Y890" i="11"/>
  <c r="W890" i="11"/>
  <c r="S890" i="11"/>
  <c r="N890" i="11"/>
  <c r="AA889" i="11"/>
  <c r="S889" i="11"/>
  <c r="U889" i="11" s="1"/>
  <c r="N889" i="11"/>
  <c r="AA888" i="11"/>
  <c r="S888" i="11"/>
  <c r="U888" i="11" s="1"/>
  <c r="N888" i="11"/>
  <c r="AA887" i="11"/>
  <c r="S887" i="11"/>
  <c r="U887" i="11" s="1"/>
  <c r="N887" i="11"/>
  <c r="AA886" i="11"/>
  <c r="S886" i="11"/>
  <c r="U886" i="11" s="1"/>
  <c r="N886" i="11"/>
  <c r="AA885" i="11"/>
  <c r="S885" i="11"/>
  <c r="U885" i="11" s="1"/>
  <c r="N885" i="11"/>
  <c r="AA884" i="11"/>
  <c r="S884" i="11"/>
  <c r="U884" i="11" s="1"/>
  <c r="N884" i="11"/>
  <c r="AA883" i="11"/>
  <c r="S883" i="11"/>
  <c r="U883" i="11" s="1"/>
  <c r="N883" i="11"/>
  <c r="AA882" i="11"/>
  <c r="S882" i="11"/>
  <c r="U882" i="11" s="1"/>
  <c r="N882" i="11"/>
  <c r="AC881" i="11"/>
  <c r="W881" i="11"/>
  <c r="Z881" i="11" s="1"/>
  <c r="S881" i="11"/>
  <c r="N881" i="11"/>
  <c r="AC880" i="11"/>
  <c r="W880" i="11"/>
  <c r="Z880" i="11" s="1"/>
  <c r="S880" i="11"/>
  <c r="N880" i="11"/>
  <c r="AC879" i="11"/>
  <c r="W879" i="11"/>
  <c r="Z879" i="11" s="1"/>
  <c r="S879" i="11"/>
  <c r="N879" i="11"/>
  <c r="AC878" i="11"/>
  <c r="W878" i="11"/>
  <c r="Z878" i="11" s="1"/>
  <c r="S878" i="11"/>
  <c r="N878" i="11"/>
  <c r="AC877" i="11"/>
  <c r="W877" i="11"/>
  <c r="Z877" i="11" s="1"/>
  <c r="S877" i="11"/>
  <c r="N877" i="11"/>
  <c r="AC876" i="11"/>
  <c r="Y876" i="11"/>
  <c r="S876" i="11"/>
  <c r="N876" i="11"/>
  <c r="AC875" i="11"/>
  <c r="Y875" i="11"/>
  <c r="AG875" i="11" s="1"/>
  <c r="S875" i="11"/>
  <c r="N875" i="11"/>
  <c r="AC874" i="11"/>
  <c r="Y874" i="11"/>
  <c r="S874" i="11"/>
  <c r="N874" i="11"/>
  <c r="AC873" i="11"/>
  <c r="Y873" i="11"/>
  <c r="S873" i="11"/>
  <c r="N873" i="11"/>
  <c r="AC872" i="11"/>
  <c r="Y872" i="11"/>
  <c r="S872" i="11"/>
  <c r="N872" i="11"/>
  <c r="AC871" i="11"/>
  <c r="Y871" i="11"/>
  <c r="S871" i="11"/>
  <c r="N871" i="11"/>
  <c r="AC870" i="11"/>
  <c r="Y870" i="11"/>
  <c r="S870" i="11"/>
  <c r="N870" i="11"/>
  <c r="AC869" i="11"/>
  <c r="Y869" i="11"/>
  <c r="AG869" i="11" s="1"/>
  <c r="S869" i="11"/>
  <c r="N869" i="11"/>
  <c r="AC868" i="11"/>
  <c r="Y868" i="11"/>
  <c r="AG868" i="11" s="1"/>
  <c r="S868" i="11"/>
  <c r="N868" i="11"/>
  <c r="AC867" i="11"/>
  <c r="Y867" i="11"/>
  <c r="AG867" i="11" s="1"/>
  <c r="S867" i="11"/>
  <c r="N867" i="11"/>
  <c r="AC866" i="11"/>
  <c r="Y866" i="11"/>
  <c r="AG866" i="11" s="1"/>
  <c r="S866" i="11"/>
  <c r="N866" i="11"/>
  <c r="AC865" i="11"/>
  <c r="Y865" i="11"/>
  <c r="AG865" i="11" s="1"/>
  <c r="S865" i="11"/>
  <c r="N865" i="11"/>
  <c r="AC864" i="11"/>
  <c r="Y864" i="11"/>
  <c r="AG864" i="11" s="1"/>
  <c r="S864" i="11"/>
  <c r="N864" i="11"/>
  <c r="AC863" i="11"/>
  <c r="Y863" i="11"/>
  <c r="AG863" i="11" s="1"/>
  <c r="W863" i="11"/>
  <c r="S863" i="11"/>
  <c r="N863" i="11"/>
  <c r="AC862" i="11"/>
  <c r="Y862" i="11"/>
  <c r="AG862" i="11" s="1"/>
  <c r="W862" i="11"/>
  <c r="S862" i="11"/>
  <c r="N862" i="11"/>
  <c r="AC861" i="11"/>
  <c r="Y861" i="11"/>
  <c r="AG861" i="11" s="1"/>
  <c r="W861" i="11"/>
  <c r="S861" i="11"/>
  <c r="N861" i="11"/>
  <c r="AC860" i="11"/>
  <c r="Y860" i="11"/>
  <c r="AG860" i="11" s="1"/>
  <c r="W860" i="11"/>
  <c r="S860" i="11"/>
  <c r="N860" i="11"/>
  <c r="AC859" i="11"/>
  <c r="Y859" i="11"/>
  <c r="AG859" i="11" s="1"/>
  <c r="W859" i="11"/>
  <c r="S859" i="11"/>
  <c r="N859" i="11"/>
  <c r="AC858" i="11"/>
  <c r="Y858" i="11"/>
  <c r="AG858" i="11" s="1"/>
  <c r="W858" i="11"/>
  <c r="S858" i="11"/>
  <c r="N858" i="11"/>
  <c r="AC857" i="11"/>
  <c r="Y857" i="11"/>
  <c r="AG857" i="11" s="1"/>
  <c r="W857" i="11"/>
  <c r="S857" i="11"/>
  <c r="N857" i="11"/>
  <c r="AC856" i="11"/>
  <c r="Y856" i="11"/>
  <c r="AG856" i="11" s="1"/>
  <c r="W856" i="11"/>
  <c r="S856" i="11"/>
  <c r="N856" i="11"/>
  <c r="AC855" i="11"/>
  <c r="Y855" i="11"/>
  <c r="AG855" i="11" s="1"/>
  <c r="W855" i="11"/>
  <c r="S855" i="11"/>
  <c r="N855" i="11"/>
  <c r="AC854" i="11"/>
  <c r="Y854" i="11"/>
  <c r="AG854" i="11" s="1"/>
  <c r="W854" i="11"/>
  <c r="S854" i="11"/>
  <c r="N854" i="11"/>
  <c r="AC853" i="11"/>
  <c r="Y853" i="11"/>
  <c r="AG853" i="11" s="1"/>
  <c r="W853" i="11"/>
  <c r="S853" i="11"/>
  <c r="N853" i="11"/>
  <c r="AC852" i="11"/>
  <c r="Y852" i="11"/>
  <c r="AG852" i="11" s="1"/>
  <c r="W852" i="11"/>
  <c r="S852" i="11"/>
  <c r="N852" i="11"/>
  <c r="AC851" i="11"/>
  <c r="Y851" i="11"/>
  <c r="AG851" i="11" s="1"/>
  <c r="W851" i="11"/>
  <c r="S851" i="11"/>
  <c r="N851" i="11"/>
  <c r="AA850" i="11"/>
  <c r="S850" i="11"/>
  <c r="AC849" i="11"/>
  <c r="Y849" i="11"/>
  <c r="AG849" i="11" s="1"/>
  <c r="W849" i="11"/>
  <c r="S849" i="11"/>
  <c r="N849" i="11"/>
  <c r="AG848" i="11"/>
  <c r="O848" i="11"/>
  <c r="M848" i="11"/>
  <c r="R847" i="11"/>
  <c r="Q847" i="11"/>
  <c r="P847" i="11"/>
  <c r="AC844" i="11"/>
  <c r="AB844" i="11"/>
  <c r="Z844" i="11"/>
  <c r="Y844" i="11"/>
  <c r="W844" i="11"/>
  <c r="U844" i="11"/>
  <c r="S844" i="11"/>
  <c r="R844" i="11"/>
  <c r="Q844" i="11"/>
  <c r="P844" i="11"/>
  <c r="O844" i="11"/>
  <c r="M844" i="11"/>
  <c r="AC842" i="11"/>
  <c r="AB842" i="11"/>
  <c r="Z842" i="11"/>
  <c r="Y842" i="11"/>
  <c r="W842" i="11"/>
  <c r="U842" i="11"/>
  <c r="S842" i="11"/>
  <c r="R842" i="11"/>
  <c r="Q842" i="11"/>
  <c r="P842" i="11"/>
  <c r="O842" i="11"/>
  <c r="M842" i="11"/>
  <c r="AC840" i="11"/>
  <c r="AB840" i="11"/>
  <c r="Z840" i="11"/>
  <c r="Y840" i="11"/>
  <c r="W840" i="11"/>
  <c r="U840" i="11"/>
  <c r="S840" i="11"/>
  <c r="R840" i="11"/>
  <c r="Q840" i="11"/>
  <c r="P840" i="11"/>
  <c r="O840" i="11"/>
  <c r="M840" i="11"/>
  <c r="AC838" i="11"/>
  <c r="AB838" i="11"/>
  <c r="Z838" i="11"/>
  <c r="Y838" i="11"/>
  <c r="W838" i="11"/>
  <c r="U838" i="11"/>
  <c r="U837" i="11" s="1"/>
  <c r="S838" i="11"/>
  <c r="S837" i="11" s="1"/>
  <c r="R838" i="11"/>
  <c r="R837" i="11" s="1"/>
  <c r="Q838" i="11"/>
  <c r="P838" i="11"/>
  <c r="O838" i="11"/>
  <c r="M838" i="11"/>
  <c r="M837" i="11" s="1"/>
  <c r="AC835" i="11"/>
  <c r="AB835" i="11"/>
  <c r="Z835" i="11"/>
  <c r="Y835" i="11"/>
  <c r="W835" i="11"/>
  <c r="U835" i="11"/>
  <c r="S835" i="11"/>
  <c r="R835" i="11"/>
  <c r="Q835" i="11"/>
  <c r="P835" i="11"/>
  <c r="O835" i="11"/>
  <c r="M835" i="11"/>
  <c r="AC831" i="11"/>
  <c r="AB831" i="11"/>
  <c r="Z831" i="11"/>
  <c r="Y831" i="11"/>
  <c r="W831" i="11"/>
  <c r="U831" i="11"/>
  <c r="S831" i="11"/>
  <c r="R831" i="11"/>
  <c r="Q831" i="11"/>
  <c r="P831" i="11"/>
  <c r="O831" i="11"/>
  <c r="M831" i="11"/>
  <c r="AC829" i="11"/>
  <c r="AB829" i="11"/>
  <c r="Z829" i="11"/>
  <c r="Y829" i="11"/>
  <c r="W829" i="11"/>
  <c r="U829" i="11"/>
  <c r="S829" i="11"/>
  <c r="R829" i="11"/>
  <c r="Q829" i="11"/>
  <c r="P829" i="11"/>
  <c r="O829" i="11"/>
  <c r="M829" i="11"/>
  <c r="AC827" i="11"/>
  <c r="AB827" i="11"/>
  <c r="Z827" i="11"/>
  <c r="Y827" i="11"/>
  <c r="W827" i="11"/>
  <c r="U827" i="11"/>
  <c r="S827" i="11"/>
  <c r="R827" i="11"/>
  <c r="Q827" i="11"/>
  <c r="P827" i="11"/>
  <c r="O827" i="11"/>
  <c r="M827" i="11"/>
  <c r="AC825" i="11"/>
  <c r="AB825" i="11"/>
  <c r="Z825" i="11"/>
  <c r="Y825" i="11"/>
  <c r="W825" i="11"/>
  <c r="U825" i="11"/>
  <c r="S825" i="11"/>
  <c r="R825" i="11"/>
  <c r="Q825" i="11"/>
  <c r="P825" i="11"/>
  <c r="O825" i="11"/>
  <c r="M825" i="11"/>
  <c r="AC823" i="11"/>
  <c r="AB823" i="11"/>
  <c r="Z823" i="11"/>
  <c r="Y823" i="11"/>
  <c r="W823" i="11"/>
  <c r="U823" i="11"/>
  <c r="S823" i="11"/>
  <c r="R823" i="11"/>
  <c r="Q823" i="11"/>
  <c r="P823" i="11"/>
  <c r="O823" i="11"/>
  <c r="M823" i="11"/>
  <c r="AC821" i="11"/>
  <c r="AB821" i="11"/>
  <c r="Z821" i="11"/>
  <c r="Y821" i="11"/>
  <c r="W821" i="11"/>
  <c r="U821" i="11"/>
  <c r="S821" i="11"/>
  <c r="R821" i="11"/>
  <c r="Q821" i="11"/>
  <c r="P821" i="11"/>
  <c r="O821" i="11"/>
  <c r="M821" i="11"/>
  <c r="AC819" i="11"/>
  <c r="AB819" i="11"/>
  <c r="Z819" i="11"/>
  <c r="Y819" i="11"/>
  <c r="W819" i="11"/>
  <c r="U819" i="11"/>
  <c r="S819" i="11"/>
  <c r="R819" i="11"/>
  <c r="Q819" i="11"/>
  <c r="P819" i="11"/>
  <c r="O819" i="11"/>
  <c r="M819" i="11"/>
  <c r="AC817" i="11"/>
  <c r="AB817" i="11"/>
  <c r="Z817" i="11"/>
  <c r="Y817" i="11"/>
  <c r="Y816" i="11" s="1"/>
  <c r="W817" i="11"/>
  <c r="U817" i="11"/>
  <c r="S817" i="11"/>
  <c r="R817" i="11"/>
  <c r="R816" i="11" s="1"/>
  <c r="Q817" i="11"/>
  <c r="P817" i="11"/>
  <c r="O817" i="11"/>
  <c r="M817" i="11"/>
  <c r="M816" i="11" s="1"/>
  <c r="AC816" i="11"/>
  <c r="AC812" i="11"/>
  <c r="AB812" i="11"/>
  <c r="Z812" i="11"/>
  <c r="Y812" i="11"/>
  <c r="W812" i="11"/>
  <c r="U812" i="11"/>
  <c r="S812" i="11"/>
  <c r="R812" i="11"/>
  <c r="Q812" i="11"/>
  <c r="P812" i="11"/>
  <c r="O812" i="11"/>
  <c r="M812" i="11"/>
  <c r="AA810" i="11"/>
  <c r="S810" i="11"/>
  <c r="U810" i="11" s="1"/>
  <c r="R809" i="11"/>
  <c r="Q809" i="11"/>
  <c r="P809" i="11"/>
  <c r="O809" i="11"/>
  <c r="M809" i="11"/>
  <c r="AC806" i="11"/>
  <c r="AB806" i="11"/>
  <c r="Z806" i="11"/>
  <c r="Y806" i="11"/>
  <c r="W806" i="11"/>
  <c r="U806" i="11"/>
  <c r="S806" i="11"/>
  <c r="R806" i="11"/>
  <c r="Q806" i="11"/>
  <c r="P806" i="11"/>
  <c r="O806" i="11"/>
  <c r="M806" i="11"/>
  <c r="AC804" i="11"/>
  <c r="AC803" i="11" s="1"/>
  <c r="Y804" i="11"/>
  <c r="Y803" i="11" s="1"/>
  <c r="W804" i="11"/>
  <c r="W803" i="11" s="1"/>
  <c r="S804" i="11"/>
  <c r="S803" i="11" s="1"/>
  <c r="N804" i="11"/>
  <c r="AB803" i="11"/>
  <c r="U803" i="11"/>
  <c r="R803" i="11"/>
  <c r="Q803" i="11"/>
  <c r="P803" i="11"/>
  <c r="O803" i="11"/>
  <c r="M803" i="11"/>
  <c r="AC801" i="11"/>
  <c r="Y801" i="11"/>
  <c r="W801" i="11"/>
  <c r="S801" i="11"/>
  <c r="N801" i="11"/>
  <c r="AC800" i="11"/>
  <c r="Y800" i="11"/>
  <c r="W800" i="11"/>
  <c r="S800" i="11"/>
  <c r="N800" i="11"/>
  <c r="AC799" i="11"/>
  <c r="Y799" i="11"/>
  <c r="S799" i="11"/>
  <c r="N799" i="11"/>
  <c r="AC798" i="11"/>
  <c r="Y798" i="11"/>
  <c r="W798" i="11"/>
  <c r="S798" i="11"/>
  <c r="N798" i="11"/>
  <c r="AC797" i="11"/>
  <c r="Y797" i="11"/>
  <c r="W797" i="11"/>
  <c r="S797" i="11"/>
  <c r="N797" i="11"/>
  <c r="AC796" i="11"/>
  <c r="Y796" i="11"/>
  <c r="W796" i="11"/>
  <c r="S796" i="11"/>
  <c r="N796" i="11"/>
  <c r="AC795" i="11"/>
  <c r="Y795" i="11"/>
  <c r="W795" i="11"/>
  <c r="S795" i="11"/>
  <c r="N795" i="11"/>
  <c r="AB794" i="11"/>
  <c r="U794" i="11"/>
  <c r="R794" i="11"/>
  <c r="Q794" i="11"/>
  <c r="P794" i="11"/>
  <c r="O794" i="11"/>
  <c r="M794" i="11"/>
  <c r="AC792" i="11"/>
  <c r="Y792" i="11"/>
  <c r="W792" i="11"/>
  <c r="S792" i="11"/>
  <c r="N792" i="11"/>
  <c r="AC791" i="11"/>
  <c r="Y791" i="11"/>
  <c r="W791" i="11"/>
  <c r="S791" i="11"/>
  <c r="N791" i="11"/>
  <c r="S790" i="11"/>
  <c r="U790" i="11" s="1"/>
  <c r="N790" i="11"/>
  <c r="AA789" i="11"/>
  <c r="S789" i="11"/>
  <c r="U789" i="11" s="1"/>
  <c r="Y789" i="11" s="1"/>
  <c r="N789" i="11"/>
  <c r="AC788" i="11"/>
  <c r="Y788" i="11"/>
  <c r="W788" i="11"/>
  <c r="S788" i="11"/>
  <c r="N788" i="11"/>
  <c r="R787" i="11"/>
  <c r="Q787" i="11"/>
  <c r="P787" i="11"/>
  <c r="O787" i="11"/>
  <c r="M787" i="11"/>
  <c r="AC784" i="11"/>
  <c r="Y784" i="11"/>
  <c r="W784" i="11"/>
  <c r="S784" i="11"/>
  <c r="N784" i="11"/>
  <c r="AC783" i="11"/>
  <c r="Y783" i="11"/>
  <c r="W783" i="11"/>
  <c r="S783" i="11"/>
  <c r="N783" i="11"/>
  <c r="AC782" i="11"/>
  <c r="Y782" i="11"/>
  <c r="W782" i="11"/>
  <c r="S782" i="11"/>
  <c r="N782" i="11"/>
  <c r="AC781" i="11"/>
  <c r="Y781" i="11"/>
  <c r="W781" i="11"/>
  <c r="S781" i="11"/>
  <c r="N781" i="11"/>
  <c r="AC780" i="11"/>
  <c r="Y780" i="11"/>
  <c r="W780" i="11"/>
  <c r="S780" i="11"/>
  <c r="N780" i="11"/>
  <c r="AC779" i="11"/>
  <c r="Y779" i="11"/>
  <c r="W779" i="11"/>
  <c r="S779" i="11"/>
  <c r="N779" i="11"/>
  <c r="AC778" i="11"/>
  <c r="Y778" i="11"/>
  <c r="W778" i="11"/>
  <c r="S778" i="11"/>
  <c r="N778" i="11"/>
  <c r="AC777" i="11"/>
  <c r="Y777" i="11"/>
  <c r="W777" i="11"/>
  <c r="S777" i="11"/>
  <c r="N777" i="11"/>
  <c r="AC776" i="11"/>
  <c r="Y776" i="11"/>
  <c r="W776" i="11"/>
  <c r="S776" i="11"/>
  <c r="N776" i="11"/>
  <c r="AC775" i="11"/>
  <c r="Y775" i="11"/>
  <c r="W775" i="11"/>
  <c r="S775" i="11"/>
  <c r="N775" i="11"/>
  <c r="AC774" i="11"/>
  <c r="Y774" i="11"/>
  <c r="W774" i="11"/>
  <c r="S774" i="11"/>
  <c r="N774" i="11"/>
  <c r="AC773" i="11"/>
  <c r="Y773" i="11"/>
  <c r="W773" i="11"/>
  <c r="S773" i="11"/>
  <c r="N773" i="11"/>
  <c r="AC772" i="11"/>
  <c r="Y772" i="11"/>
  <c r="W772" i="11"/>
  <c r="S772" i="11"/>
  <c r="N772" i="11"/>
  <c r="AC771" i="11"/>
  <c r="Y771" i="11"/>
  <c r="W771" i="11"/>
  <c r="S771" i="11"/>
  <c r="N771" i="11"/>
  <c r="AC770" i="11"/>
  <c r="Y770" i="11"/>
  <c r="W770" i="11"/>
  <c r="S770" i="11"/>
  <c r="N770" i="11"/>
  <c r="AC769" i="11"/>
  <c r="Y769" i="11"/>
  <c r="W769" i="11"/>
  <c r="S769" i="11"/>
  <c r="N769" i="11"/>
  <c r="AC768" i="11"/>
  <c r="Y768" i="11"/>
  <c r="W768" i="11"/>
  <c r="S768" i="11"/>
  <c r="N768" i="11"/>
  <c r="AC767" i="11"/>
  <c r="Y767" i="11"/>
  <c r="W767" i="11"/>
  <c r="S767" i="11"/>
  <c r="N767" i="11"/>
  <c r="AC766" i="11"/>
  <c r="Y766" i="11"/>
  <c r="W766" i="11"/>
  <c r="S766" i="11"/>
  <c r="N766" i="11"/>
  <c r="AC765" i="11"/>
  <c r="Y765" i="11"/>
  <c r="W765" i="11"/>
  <c r="S765" i="11"/>
  <c r="N765" i="11"/>
  <c r="AC764" i="11"/>
  <c r="Y764" i="11"/>
  <c r="W764" i="11"/>
  <c r="S764" i="11"/>
  <c r="N764" i="11"/>
  <c r="AC763" i="11"/>
  <c r="Y763" i="11"/>
  <c r="W763" i="11"/>
  <c r="S763" i="11"/>
  <c r="N763" i="11"/>
  <c r="AC762" i="11"/>
  <c r="Y762" i="11"/>
  <c r="W762" i="11"/>
  <c r="S762" i="11"/>
  <c r="N762" i="11"/>
  <c r="AC761" i="11"/>
  <c r="Y761" i="11"/>
  <c r="W761" i="11"/>
  <c r="S761" i="11"/>
  <c r="N761" i="11"/>
  <c r="AC760" i="11"/>
  <c r="Y760" i="11"/>
  <c r="W760" i="11"/>
  <c r="S760" i="11"/>
  <c r="N760" i="11"/>
  <c r="AC759" i="11"/>
  <c r="Y759" i="11"/>
  <c r="W759" i="11"/>
  <c r="S759" i="11"/>
  <c r="N759" i="11"/>
  <c r="AC758" i="11"/>
  <c r="Y758" i="11"/>
  <c r="W758" i="11"/>
  <c r="S758" i="11"/>
  <c r="N758" i="11"/>
  <c r="AC757" i="11"/>
  <c r="Y757" i="11"/>
  <c r="W757" i="11"/>
  <c r="S757" i="11"/>
  <c r="N757" i="11"/>
  <c r="AC756" i="11"/>
  <c r="Y756" i="11"/>
  <c r="W756" i="11"/>
  <c r="S756" i="11"/>
  <c r="N756" i="11"/>
  <c r="AC755" i="11"/>
  <c r="Y755" i="11"/>
  <c r="W755" i="11"/>
  <c r="S755" i="11"/>
  <c r="N755" i="11"/>
  <c r="AC754" i="11"/>
  <c r="Y754" i="11"/>
  <c r="W754" i="11"/>
  <c r="S754" i="11"/>
  <c r="N754" i="11"/>
  <c r="AC753" i="11"/>
  <c r="Y753" i="11"/>
  <c r="W753" i="11"/>
  <c r="S753" i="11"/>
  <c r="N753" i="11"/>
  <c r="AC752" i="11"/>
  <c r="Y752" i="11"/>
  <c r="W752" i="11"/>
  <c r="S752" i="11"/>
  <c r="N752" i="11"/>
  <c r="AC751" i="11"/>
  <c r="Y751" i="11"/>
  <c r="W751" i="11"/>
  <c r="S751" i="11"/>
  <c r="N751" i="11"/>
  <c r="AC750" i="11"/>
  <c r="Y750" i="11"/>
  <c r="W750" i="11"/>
  <c r="S750" i="11"/>
  <c r="N750" i="11"/>
  <c r="AC749" i="11"/>
  <c r="Y749" i="11"/>
  <c r="W749" i="11"/>
  <c r="S749" i="11"/>
  <c r="N749" i="11"/>
  <c r="AA748" i="11"/>
  <c r="S748" i="11"/>
  <c r="U748" i="11" s="1"/>
  <c r="Y748" i="11" s="1"/>
  <c r="N748" i="11"/>
  <c r="AC747" i="11"/>
  <c r="Y747" i="11"/>
  <c r="Z747" i="11" s="1"/>
  <c r="S747" i="11"/>
  <c r="N747" i="11"/>
  <c r="AC746" i="11"/>
  <c r="Y746" i="11"/>
  <c r="Z746" i="11" s="1"/>
  <c r="S746" i="11"/>
  <c r="N746" i="11"/>
  <c r="AC745" i="11"/>
  <c r="Y745" i="11"/>
  <c r="Z745" i="11" s="1"/>
  <c r="S745" i="11"/>
  <c r="N745" i="11"/>
  <c r="AC744" i="11"/>
  <c r="S744" i="11"/>
  <c r="N744" i="11"/>
  <c r="AC743" i="11"/>
  <c r="Y743" i="11"/>
  <c r="W743" i="11"/>
  <c r="S743" i="11"/>
  <c r="N743" i="11"/>
  <c r="AA742" i="11"/>
  <c r="V742" i="11"/>
  <c r="S742" i="11"/>
  <c r="U742" i="11" s="1"/>
  <c r="Y742" i="11" s="1"/>
  <c r="N742" i="11"/>
  <c r="AA741" i="11"/>
  <c r="V741" i="11"/>
  <c r="S741" i="11"/>
  <c r="U741" i="11" s="1"/>
  <c r="Y741" i="11" s="1"/>
  <c r="N741" i="11"/>
  <c r="AA740" i="11"/>
  <c r="V740" i="11"/>
  <c r="S740" i="11"/>
  <c r="U740" i="11" s="1"/>
  <c r="Y740" i="11" s="1"/>
  <c r="N740" i="11"/>
  <c r="AA739" i="11"/>
  <c r="V739" i="11"/>
  <c r="S739" i="11"/>
  <c r="U739" i="11" s="1"/>
  <c r="Y739" i="11" s="1"/>
  <c r="N739" i="11"/>
  <c r="AA738" i="11"/>
  <c r="V738" i="11"/>
  <c r="S738" i="11"/>
  <c r="U738" i="11" s="1"/>
  <c r="Y738" i="11" s="1"/>
  <c r="N738" i="11"/>
  <c r="AA737" i="11"/>
  <c r="V737" i="11"/>
  <c r="S737" i="11"/>
  <c r="U737" i="11" s="1"/>
  <c r="Y737" i="11" s="1"/>
  <c r="N737" i="11"/>
  <c r="AA736" i="11"/>
  <c r="V736" i="11"/>
  <c r="S736" i="11"/>
  <c r="U736" i="11" s="1"/>
  <c r="Y736" i="11" s="1"/>
  <c r="N736" i="11"/>
  <c r="AA735" i="11"/>
  <c r="V735" i="11"/>
  <c r="S735" i="11"/>
  <c r="U735" i="11" s="1"/>
  <c r="Y735" i="11" s="1"/>
  <c r="N735" i="11"/>
  <c r="AA734" i="11"/>
  <c r="V734" i="11"/>
  <c r="S734" i="11"/>
  <c r="N734" i="11"/>
  <c r="AA733" i="11"/>
  <c r="V733" i="11"/>
  <c r="S733" i="11"/>
  <c r="U733" i="11" s="1"/>
  <c r="Y733" i="11" s="1"/>
  <c r="N733" i="11"/>
  <c r="AA732" i="11"/>
  <c r="V732" i="11"/>
  <c r="S732" i="11"/>
  <c r="U732" i="11" s="1"/>
  <c r="Y732" i="11" s="1"/>
  <c r="N732" i="11"/>
  <c r="AA731" i="11"/>
  <c r="V731" i="11"/>
  <c r="S731" i="11"/>
  <c r="U731" i="11" s="1"/>
  <c r="Y731" i="11" s="1"/>
  <c r="N731" i="11"/>
  <c r="AA730" i="11"/>
  <c r="V730" i="11"/>
  <c r="S730" i="11"/>
  <c r="U730" i="11" s="1"/>
  <c r="Y730" i="11" s="1"/>
  <c r="N730" i="11"/>
  <c r="AA729" i="11"/>
  <c r="V729" i="11"/>
  <c r="S729" i="11"/>
  <c r="U729" i="11" s="1"/>
  <c r="Y729" i="11" s="1"/>
  <c r="N729" i="11"/>
  <c r="AA728" i="11"/>
  <c r="V728" i="11"/>
  <c r="S728" i="11"/>
  <c r="U728" i="11" s="1"/>
  <c r="Y728" i="11" s="1"/>
  <c r="N728" i="11"/>
  <c r="AA727" i="11"/>
  <c r="V727" i="11"/>
  <c r="S727" i="11"/>
  <c r="U727" i="11" s="1"/>
  <c r="Y727" i="11" s="1"/>
  <c r="N727" i="11"/>
  <c r="Y726" i="11"/>
  <c r="W726" i="11"/>
  <c r="S726" i="11"/>
  <c r="N726" i="11"/>
  <c r="AC725" i="11"/>
  <c r="Y725" i="11"/>
  <c r="W725" i="11"/>
  <c r="S725" i="11"/>
  <c r="N725" i="11"/>
  <c r="AC724" i="11"/>
  <c r="Y724" i="11"/>
  <c r="W724" i="11"/>
  <c r="S724" i="11"/>
  <c r="N724" i="11"/>
  <c r="AC723" i="11"/>
  <c r="Y723" i="11"/>
  <c r="W723" i="11"/>
  <c r="S723" i="11"/>
  <c r="N723" i="11"/>
  <c r="AC722" i="11"/>
  <c r="Y722" i="11"/>
  <c r="W722" i="11"/>
  <c r="S722" i="11"/>
  <c r="N722" i="11"/>
  <c r="AC721" i="11"/>
  <c r="Y721" i="11"/>
  <c r="W721" i="11"/>
  <c r="S721" i="11"/>
  <c r="N721" i="11"/>
  <c r="AC720" i="11"/>
  <c r="Y720" i="11"/>
  <c r="W720" i="11"/>
  <c r="S720" i="11"/>
  <c r="N720" i="11"/>
  <c r="AC719" i="11"/>
  <c r="Y719" i="11"/>
  <c r="W719" i="11"/>
  <c r="S719" i="11"/>
  <c r="N719" i="11"/>
  <c r="AC718" i="11"/>
  <c r="Y718" i="11"/>
  <c r="W718" i="11"/>
  <c r="S718" i="11"/>
  <c r="N718" i="11"/>
  <c r="AC717" i="11"/>
  <c r="Y717" i="11"/>
  <c r="W717" i="11"/>
  <c r="S717" i="11"/>
  <c r="N717" i="11"/>
  <c r="AC716" i="11"/>
  <c r="Y716" i="11"/>
  <c r="W716" i="11"/>
  <c r="S716" i="11"/>
  <c r="N716" i="11"/>
  <c r="AC715" i="11"/>
  <c r="Y715" i="11"/>
  <c r="W715" i="11"/>
  <c r="S715" i="11"/>
  <c r="N715" i="11"/>
  <c r="O714" i="11"/>
  <c r="O713" i="11" s="1"/>
  <c r="M714" i="11"/>
  <c r="M713" i="11" s="1"/>
  <c r="R713" i="11"/>
  <c r="Q713" i="11"/>
  <c r="P713" i="11"/>
  <c r="S711" i="11"/>
  <c r="U711" i="11" s="1"/>
  <c r="N711" i="11"/>
  <c r="S710" i="11"/>
  <c r="U710" i="11" s="1"/>
  <c r="N710" i="11"/>
  <c r="S709" i="11"/>
  <c r="U709" i="11" s="1"/>
  <c r="AB709" i="11" s="1"/>
  <c r="AG709" i="11" s="1"/>
  <c r="N709" i="11"/>
  <c r="S708" i="11"/>
  <c r="U708" i="11" s="1"/>
  <c r="Y708" i="11" s="1"/>
  <c r="N708" i="11"/>
  <c r="S707" i="11"/>
  <c r="U707" i="11" s="1"/>
  <c r="AB707" i="11" s="1"/>
  <c r="AG707" i="11" s="1"/>
  <c r="N707" i="11"/>
  <c r="S706" i="11"/>
  <c r="U706" i="11" s="1"/>
  <c r="N706" i="11"/>
  <c r="S705" i="11"/>
  <c r="U705" i="11" s="1"/>
  <c r="N705" i="11"/>
  <c r="Z704" i="11"/>
  <c r="W704" i="11"/>
  <c r="O704" i="11"/>
  <c r="M704" i="11"/>
  <c r="AG703" i="11"/>
  <c r="AC702" i="11"/>
  <c r="Y702" i="11"/>
  <c r="W702" i="11"/>
  <c r="S702" i="11"/>
  <c r="N702" i="11"/>
  <c r="AC701" i="11"/>
  <c r="Y701" i="11"/>
  <c r="W701" i="11"/>
  <c r="S701" i="11"/>
  <c r="N701" i="11"/>
  <c r="AC700" i="11"/>
  <c r="Y700" i="11"/>
  <c r="W700" i="11"/>
  <c r="S700" i="11"/>
  <c r="N700" i="11"/>
  <c r="AC699" i="11"/>
  <c r="Y699" i="11"/>
  <c r="W699" i="11"/>
  <c r="S699" i="11"/>
  <c r="N699" i="11"/>
  <c r="AC698" i="11"/>
  <c r="Y698" i="11"/>
  <c r="W698" i="11"/>
  <c r="S698" i="11"/>
  <c r="N698" i="11"/>
  <c r="AC697" i="11"/>
  <c r="Y697" i="11"/>
  <c r="W697" i="11"/>
  <c r="S697" i="11"/>
  <c r="N697" i="11"/>
  <c r="S696" i="11"/>
  <c r="U696" i="11" s="1"/>
  <c r="Y696" i="11" s="1"/>
  <c r="N696" i="11"/>
  <c r="S695" i="11"/>
  <c r="U695" i="11" s="1"/>
  <c r="N695" i="11"/>
  <c r="S694" i="11"/>
  <c r="U694" i="11" s="1"/>
  <c r="Y694" i="11" s="1"/>
  <c r="N694" i="11"/>
  <c r="AC693" i="11"/>
  <c r="Y693" i="11"/>
  <c r="W693" i="11"/>
  <c r="S693" i="11"/>
  <c r="N693" i="11"/>
  <c r="AC692" i="11"/>
  <c r="Y692" i="11"/>
  <c r="W692" i="11"/>
  <c r="S692" i="11"/>
  <c r="N692" i="11"/>
  <c r="AC691" i="11"/>
  <c r="Y691" i="11"/>
  <c r="W691" i="11"/>
  <c r="S691" i="11"/>
  <c r="N691" i="11"/>
  <c r="AC690" i="11"/>
  <c r="Y690" i="11"/>
  <c r="W690" i="11"/>
  <c r="S690" i="11"/>
  <c r="N690" i="11"/>
  <c r="AC689" i="11"/>
  <c r="Y689" i="11"/>
  <c r="W689" i="11"/>
  <c r="S689" i="11"/>
  <c r="N689" i="11"/>
  <c r="AC688" i="11"/>
  <c r="Y688" i="11"/>
  <c r="W688" i="11"/>
  <c r="S688" i="11"/>
  <c r="N688" i="11"/>
  <c r="AC687" i="11"/>
  <c r="Y687" i="11"/>
  <c r="W687" i="11"/>
  <c r="S687" i="11"/>
  <c r="N687" i="11"/>
  <c r="AC686" i="11"/>
  <c r="Y686" i="11"/>
  <c r="W686" i="11"/>
  <c r="S686" i="11"/>
  <c r="N686" i="11"/>
  <c r="AC685" i="11"/>
  <c r="Y685" i="11"/>
  <c r="W685" i="11"/>
  <c r="S685" i="11"/>
  <c r="N685" i="11"/>
  <c r="AC684" i="11"/>
  <c r="Y684" i="11"/>
  <c r="W684" i="11"/>
  <c r="S684" i="11"/>
  <c r="N684" i="11"/>
  <c r="AC683" i="11"/>
  <c r="Y683" i="11"/>
  <c r="W683" i="11"/>
  <c r="S683" i="11"/>
  <c r="N683" i="11"/>
  <c r="AC682" i="11"/>
  <c r="Y682" i="11"/>
  <c r="W682" i="11"/>
  <c r="S682" i="11"/>
  <c r="N682" i="11"/>
  <c r="AC681" i="11"/>
  <c r="Y681" i="11"/>
  <c r="W681" i="11"/>
  <c r="S681" i="11"/>
  <c r="N681" i="11"/>
  <c r="AC680" i="11"/>
  <c r="Y680" i="11"/>
  <c r="W680" i="11"/>
  <c r="S680" i="11"/>
  <c r="N680" i="11"/>
  <c r="AC679" i="11"/>
  <c r="Y679" i="11"/>
  <c r="W679" i="11"/>
  <c r="S679" i="11"/>
  <c r="N679" i="11"/>
  <c r="AC678" i="11"/>
  <c r="Y678" i="11"/>
  <c r="W678" i="11"/>
  <c r="S678" i="11"/>
  <c r="N678" i="11"/>
  <c r="AC677" i="11"/>
  <c r="Y677" i="11"/>
  <c r="W677" i="11"/>
  <c r="S677" i="11"/>
  <c r="N677" i="11"/>
  <c r="AC676" i="11"/>
  <c r="Y676" i="11"/>
  <c r="W676" i="11"/>
  <c r="S676" i="11"/>
  <c r="N676" i="11"/>
  <c r="AC675" i="11"/>
  <c r="Y675" i="11"/>
  <c r="W675" i="11"/>
  <c r="S675" i="11"/>
  <c r="N675" i="11"/>
  <c r="AC674" i="11"/>
  <c r="Y674" i="11"/>
  <c r="W674" i="11"/>
  <c r="S674" i="11"/>
  <c r="N674" i="11"/>
  <c r="AC673" i="11"/>
  <c r="Y673" i="11"/>
  <c r="W673" i="11"/>
  <c r="S673" i="11"/>
  <c r="N673" i="11"/>
  <c r="AC672" i="11"/>
  <c r="Y672" i="11"/>
  <c r="W672" i="11"/>
  <c r="S672" i="11"/>
  <c r="N672" i="11"/>
  <c r="AC671" i="11"/>
  <c r="Y671" i="11"/>
  <c r="W671" i="11"/>
  <c r="S671" i="11"/>
  <c r="N671" i="11"/>
  <c r="AC670" i="11"/>
  <c r="Y670" i="11"/>
  <c r="W670" i="11"/>
  <c r="S670" i="11"/>
  <c r="N670" i="11"/>
  <c r="AC669" i="11"/>
  <c r="Y669" i="11"/>
  <c r="W669" i="11"/>
  <c r="S669" i="11"/>
  <c r="N669" i="11"/>
  <c r="AC668" i="11"/>
  <c r="Y668" i="11"/>
  <c r="W668" i="11"/>
  <c r="S668" i="11"/>
  <c r="N668" i="11"/>
  <c r="AC667" i="11"/>
  <c r="Y667" i="11"/>
  <c r="W667" i="11"/>
  <c r="S667" i="11"/>
  <c r="N667" i="11"/>
  <c r="AC666" i="11"/>
  <c r="Y666" i="11"/>
  <c r="W666" i="11"/>
  <c r="S666" i="11"/>
  <c r="N666" i="11"/>
  <c r="AC665" i="11"/>
  <c r="Y665" i="11"/>
  <c r="W665" i="11"/>
  <c r="S665" i="11"/>
  <c r="N665" i="11"/>
  <c r="AC664" i="11"/>
  <c r="Y664" i="11"/>
  <c r="W664" i="11"/>
  <c r="S664" i="11"/>
  <c r="N664" i="11"/>
  <c r="AC663" i="11"/>
  <c r="Y663" i="11"/>
  <c r="W663" i="11"/>
  <c r="S663" i="11"/>
  <c r="N663" i="11"/>
  <c r="AC662" i="11"/>
  <c r="Y662" i="11"/>
  <c r="W662" i="11"/>
  <c r="S662" i="11"/>
  <c r="N662" i="11"/>
  <c r="AC661" i="11"/>
  <c r="Y661" i="11"/>
  <c r="W661" i="11"/>
  <c r="S661" i="11"/>
  <c r="N661" i="11"/>
  <c r="AC660" i="11"/>
  <c r="Y660" i="11"/>
  <c r="W660" i="11"/>
  <c r="S660" i="11"/>
  <c r="N660" i="11"/>
  <c r="AA659" i="11"/>
  <c r="S659" i="11"/>
  <c r="U659" i="11" s="1"/>
  <c r="Y659" i="11" s="1"/>
  <c r="N659" i="11"/>
  <c r="AG658" i="11"/>
  <c r="AC658" i="11"/>
  <c r="S658" i="11"/>
  <c r="U658" i="11" s="1"/>
  <c r="N658" i="11"/>
  <c r="AA657" i="11"/>
  <c r="U657" i="11"/>
  <c r="AA656" i="11"/>
  <c r="S656" i="11"/>
  <c r="U656" i="11" s="1"/>
  <c r="N656" i="11"/>
  <c r="AC655" i="11"/>
  <c r="Y655" i="11"/>
  <c r="W655" i="11"/>
  <c r="S655" i="11"/>
  <c r="N655" i="11"/>
  <c r="AA654" i="11"/>
  <c r="S654" i="11"/>
  <c r="U654" i="11" s="1"/>
  <c r="Y654" i="11" s="1"/>
  <c r="N654" i="11"/>
  <c r="S653" i="11"/>
  <c r="U653" i="11" s="1"/>
  <c r="AB653" i="11" s="1"/>
  <c r="AG653" i="11" s="1"/>
  <c r="N653" i="11"/>
  <c r="S652" i="11"/>
  <c r="U652" i="11" s="1"/>
  <c r="N652" i="11"/>
  <c r="AC651" i="11"/>
  <c r="Y651" i="11"/>
  <c r="W651" i="11"/>
  <c r="S651" i="11"/>
  <c r="N651" i="11"/>
  <c r="AC650" i="11"/>
  <c r="Y650" i="11"/>
  <c r="W650" i="11"/>
  <c r="S650" i="11"/>
  <c r="N650" i="11"/>
  <c r="AC649" i="11"/>
  <c r="Y649" i="11"/>
  <c r="W649" i="11"/>
  <c r="S649" i="11"/>
  <c r="N649" i="11"/>
  <c r="AC648" i="11"/>
  <c r="Y648" i="11"/>
  <c r="W648" i="11"/>
  <c r="S648" i="11"/>
  <c r="N648" i="11"/>
  <c r="AC647" i="11"/>
  <c r="Y647" i="11"/>
  <c r="W647" i="11"/>
  <c r="S647" i="11"/>
  <c r="N647" i="11"/>
  <c r="AC646" i="11"/>
  <c r="Y646" i="11"/>
  <c r="W646" i="11"/>
  <c r="S646" i="11"/>
  <c r="N646" i="11"/>
  <c r="AA645" i="11"/>
  <c r="S645" i="11"/>
  <c r="U645" i="11" s="1"/>
  <c r="N645" i="11"/>
  <c r="AA644" i="11"/>
  <c r="S644" i="11"/>
  <c r="U644" i="11" s="1"/>
  <c r="N644" i="11"/>
  <c r="AC643" i="11"/>
  <c r="Y643" i="11"/>
  <c r="W643" i="11"/>
  <c r="S643" i="11"/>
  <c r="N643" i="11"/>
  <c r="AC642" i="11"/>
  <c r="Y642" i="11"/>
  <c r="W642" i="11"/>
  <c r="S642" i="11"/>
  <c r="N642" i="11"/>
  <c r="AG641" i="11"/>
  <c r="AC641" i="11"/>
  <c r="S641" i="11"/>
  <c r="U641" i="11" s="1"/>
  <c r="N641" i="11"/>
  <c r="AC640" i="11"/>
  <c r="Y640" i="11"/>
  <c r="W640" i="11"/>
  <c r="S640" i="11"/>
  <c r="N640" i="11"/>
  <c r="AG639" i="11"/>
  <c r="AC639" i="11"/>
  <c r="S639" i="11"/>
  <c r="U639" i="11" s="1"/>
  <c r="Y639" i="11" s="1"/>
  <c r="N639" i="11"/>
  <c r="AA638" i="11"/>
  <c r="S638" i="11"/>
  <c r="U638" i="11" s="1"/>
  <c r="N638" i="11"/>
  <c r="AA637" i="11"/>
  <c r="S637" i="11"/>
  <c r="U637" i="11" s="1"/>
  <c r="AC636" i="11"/>
  <c r="S636" i="11"/>
  <c r="U636" i="11" s="1"/>
  <c r="Y636" i="11" s="1"/>
  <c r="Z636" i="11" s="1"/>
  <c r="AG636" i="11" s="1"/>
  <c r="N636" i="11"/>
  <c r="AC635" i="11"/>
  <c r="Y635" i="11"/>
  <c r="W635" i="11"/>
  <c r="S635" i="11"/>
  <c r="N635" i="11"/>
  <c r="AC634" i="11"/>
  <c r="Y634" i="11"/>
  <c r="W634" i="11"/>
  <c r="S634" i="11"/>
  <c r="N634" i="11"/>
  <c r="AC633" i="11"/>
  <c r="Y633" i="11"/>
  <c r="W633" i="11"/>
  <c r="S633" i="11"/>
  <c r="N633" i="11"/>
  <c r="AC632" i="11"/>
  <c r="Y632" i="11"/>
  <c r="W632" i="11"/>
  <c r="S632" i="11"/>
  <c r="N632" i="11"/>
  <c r="AC631" i="11"/>
  <c r="Y631" i="11"/>
  <c r="W631" i="11"/>
  <c r="S631" i="11"/>
  <c r="N631" i="11"/>
  <c r="AC630" i="11"/>
  <c r="Y630" i="11"/>
  <c r="W630" i="11"/>
  <c r="S630" i="11"/>
  <c r="N630" i="11"/>
  <c r="AA629" i="11"/>
  <c r="S629" i="11"/>
  <c r="U629" i="11" s="1"/>
  <c r="Y629" i="11" s="1"/>
  <c r="N629" i="11"/>
  <c r="S628" i="11"/>
  <c r="U628" i="11" s="1"/>
  <c r="N628" i="11"/>
  <c r="S627" i="11"/>
  <c r="U627" i="11" s="1"/>
  <c r="N627" i="11"/>
  <c r="S626" i="11"/>
  <c r="U626" i="11" s="1"/>
  <c r="N626" i="11"/>
  <c r="S625" i="11"/>
  <c r="U625" i="11" s="1"/>
  <c r="N625" i="11"/>
  <c r="S624" i="11"/>
  <c r="U624" i="11" s="1"/>
  <c r="N624" i="11"/>
  <c r="S623" i="11"/>
  <c r="U623" i="11" s="1"/>
  <c r="AB623" i="11" s="1"/>
  <c r="AC623" i="11" s="1"/>
  <c r="N623" i="11"/>
  <c r="S622" i="11"/>
  <c r="U622" i="11" s="1"/>
  <c r="N622" i="11"/>
  <c r="S621" i="11"/>
  <c r="U621" i="11" s="1"/>
  <c r="N621" i="11"/>
  <c r="S620" i="11"/>
  <c r="U620" i="11" s="1"/>
  <c r="N620" i="11"/>
  <c r="S619" i="11"/>
  <c r="U619" i="11" s="1"/>
  <c r="N619" i="11"/>
  <c r="S618" i="11"/>
  <c r="U618" i="11" s="1"/>
  <c r="N618" i="11"/>
  <c r="S617" i="11"/>
  <c r="U617" i="11" s="1"/>
  <c r="N617" i="11"/>
  <c r="S616" i="11"/>
  <c r="U616" i="11" s="1"/>
  <c r="N616" i="11"/>
  <c r="S615" i="11"/>
  <c r="U615" i="11" s="1"/>
  <c r="N615" i="11"/>
  <c r="S614" i="11"/>
  <c r="U614" i="11" s="1"/>
  <c r="N614" i="11"/>
  <c r="S613" i="11"/>
  <c r="U613" i="11" s="1"/>
  <c r="N613" i="11"/>
  <c r="S612" i="11"/>
  <c r="U612" i="11" s="1"/>
  <c r="N612" i="11"/>
  <c r="S611" i="11"/>
  <c r="U611" i="11" s="1"/>
  <c r="N611" i="11"/>
  <c r="S610" i="11"/>
  <c r="U610" i="11" s="1"/>
  <c r="AB610" i="11" s="1"/>
  <c r="AG610" i="11" s="1"/>
  <c r="N610" i="11"/>
  <c r="AC609" i="11"/>
  <c r="Y609" i="11"/>
  <c r="W609" i="11"/>
  <c r="S609" i="11"/>
  <c r="N609" i="11"/>
  <c r="AC608" i="11"/>
  <c r="Y608" i="11"/>
  <c r="W608" i="11"/>
  <c r="S608" i="11"/>
  <c r="N608" i="11"/>
  <c r="AC607" i="11"/>
  <c r="Y607" i="11"/>
  <c r="W607" i="11"/>
  <c r="S607" i="11"/>
  <c r="N607" i="11"/>
  <c r="AC606" i="11"/>
  <c r="Y606" i="11"/>
  <c r="W606" i="11"/>
  <c r="S606" i="11"/>
  <c r="N606" i="11"/>
  <c r="AC605" i="11"/>
  <c r="Y605" i="11"/>
  <c r="W605" i="11"/>
  <c r="S605" i="11"/>
  <c r="N605" i="11"/>
  <c r="AC604" i="11"/>
  <c r="Y604" i="11"/>
  <c r="W604" i="11"/>
  <c r="S604" i="11"/>
  <c r="N604" i="11"/>
  <c r="AC603" i="11"/>
  <c r="S603" i="11"/>
  <c r="U603" i="11" s="1"/>
  <c r="W603" i="11" s="1"/>
  <c r="Z603" i="11" s="1"/>
  <c r="AG603" i="11" s="1"/>
  <c r="N603" i="11"/>
  <c r="S602" i="11"/>
  <c r="U602" i="11" s="1"/>
  <c r="AB602" i="11" s="1"/>
  <c r="N602" i="11"/>
  <c r="S601" i="11"/>
  <c r="U601" i="11" s="1"/>
  <c r="AB601" i="11" s="1"/>
  <c r="AG601" i="11" s="1"/>
  <c r="N601" i="11"/>
  <c r="S600" i="11"/>
  <c r="U600" i="11" s="1"/>
  <c r="Y600" i="11" s="1"/>
  <c r="N600" i="11"/>
  <c r="AA599" i="11"/>
  <c r="S599" i="11"/>
  <c r="U599" i="11" s="1"/>
  <c r="Y599" i="11" s="1"/>
  <c r="N599" i="11"/>
  <c r="AC598" i="11"/>
  <c r="Y598" i="11"/>
  <c r="W598" i="11"/>
  <c r="S598" i="11"/>
  <c r="N598" i="11"/>
  <c r="AC597" i="11"/>
  <c r="Y597" i="11"/>
  <c r="W597" i="11"/>
  <c r="S597" i="11"/>
  <c r="N597" i="11"/>
  <c r="AC596" i="11"/>
  <c r="Y596" i="11"/>
  <c r="W596" i="11"/>
  <c r="S596" i="11"/>
  <c r="N596" i="11"/>
  <c r="AC595" i="11"/>
  <c r="Y595" i="11"/>
  <c r="W595" i="11"/>
  <c r="S595" i="11"/>
  <c r="N595" i="11"/>
  <c r="AC594" i="11"/>
  <c r="Y594" i="11"/>
  <c r="W594" i="11"/>
  <c r="S594" i="11"/>
  <c r="N594" i="11"/>
  <c r="AC593" i="11"/>
  <c r="Y593" i="11"/>
  <c r="W593" i="11"/>
  <c r="S593" i="11"/>
  <c r="N593" i="11"/>
  <c r="AC592" i="11"/>
  <c r="Y592" i="11"/>
  <c r="W592" i="11"/>
  <c r="S592" i="11"/>
  <c r="N592" i="11"/>
  <c r="AC591" i="11"/>
  <c r="Y591" i="11"/>
  <c r="W591" i="11"/>
  <c r="S591" i="11"/>
  <c r="N591" i="11"/>
  <c r="S590" i="11"/>
  <c r="U590" i="11" s="1"/>
  <c r="AB590" i="11" s="1"/>
  <c r="AG590" i="11" s="1"/>
  <c r="N590" i="11"/>
  <c r="AC589" i="11"/>
  <c r="Y589" i="11"/>
  <c r="W589" i="11"/>
  <c r="S589" i="11"/>
  <c r="N589" i="11"/>
  <c r="AC588" i="11"/>
  <c r="Y588" i="11"/>
  <c r="W588" i="11"/>
  <c r="S588" i="11"/>
  <c r="N588" i="11"/>
  <c r="AC587" i="11"/>
  <c r="Y587" i="11"/>
  <c r="W587" i="11"/>
  <c r="S587" i="11"/>
  <c r="N587" i="11"/>
  <c r="AC586" i="11"/>
  <c r="Y586" i="11"/>
  <c r="W586" i="11"/>
  <c r="S586" i="11"/>
  <c r="N586" i="11"/>
  <c r="AC585" i="11"/>
  <c r="Y585" i="11"/>
  <c r="W585" i="11"/>
  <c r="S585" i="11"/>
  <c r="N585" i="11"/>
  <c r="AC584" i="11"/>
  <c r="Y584" i="11"/>
  <c r="W584" i="11"/>
  <c r="S584" i="11"/>
  <c r="N584" i="11"/>
  <c r="AC583" i="11"/>
  <c r="Y583" i="11"/>
  <c r="W583" i="11"/>
  <c r="S583" i="11"/>
  <c r="N583" i="11"/>
  <c r="AC582" i="11"/>
  <c r="Y582" i="11"/>
  <c r="W582" i="11"/>
  <c r="S582" i="11"/>
  <c r="N582" i="11"/>
  <c r="AC581" i="11"/>
  <c r="Y581" i="11"/>
  <c r="W581" i="11"/>
  <c r="S581" i="11"/>
  <c r="N581" i="11"/>
  <c r="S580" i="11"/>
  <c r="U580" i="11" s="1"/>
  <c r="N580" i="11"/>
  <c r="S579" i="11"/>
  <c r="U579" i="11" s="1"/>
  <c r="N579" i="11"/>
  <c r="S578" i="11"/>
  <c r="U578" i="11" s="1"/>
  <c r="AB578" i="11" s="1"/>
  <c r="AC578" i="11" s="1"/>
  <c r="N578" i="11"/>
  <c r="S577" i="11"/>
  <c r="U577" i="11" s="1"/>
  <c r="AB577" i="11" s="1"/>
  <c r="AC577" i="11" s="1"/>
  <c r="N577" i="11"/>
  <c r="S576" i="11"/>
  <c r="U576" i="11" s="1"/>
  <c r="N576" i="11"/>
  <c r="S575" i="11"/>
  <c r="U575" i="11" s="1"/>
  <c r="N575" i="11"/>
  <c r="S574" i="11"/>
  <c r="U574" i="11" s="1"/>
  <c r="AB574" i="11" s="1"/>
  <c r="AG574" i="11" s="1"/>
  <c r="N574" i="11"/>
  <c r="S573" i="11"/>
  <c r="U573" i="11" s="1"/>
  <c r="Y573" i="11" s="1"/>
  <c r="N573" i="11"/>
  <c r="S572" i="11"/>
  <c r="U572" i="11" s="1"/>
  <c r="N572" i="11"/>
  <c r="S571" i="11"/>
  <c r="U571" i="11" s="1"/>
  <c r="Y571" i="11" s="1"/>
  <c r="N571" i="11"/>
  <c r="AC570" i="11"/>
  <c r="Y570" i="11"/>
  <c r="W570" i="11"/>
  <c r="S570" i="11"/>
  <c r="N570" i="11"/>
  <c r="AC569" i="11"/>
  <c r="Y569" i="11"/>
  <c r="W569" i="11"/>
  <c r="S569" i="11"/>
  <c r="N569" i="11"/>
  <c r="AC568" i="11"/>
  <c r="Y568" i="11"/>
  <c r="W568" i="11"/>
  <c r="S568" i="11"/>
  <c r="N568" i="11"/>
  <c r="AC567" i="11"/>
  <c r="Y567" i="11"/>
  <c r="W567" i="11"/>
  <c r="S567" i="11"/>
  <c r="N567" i="11"/>
  <c r="AC566" i="11"/>
  <c r="Y566" i="11"/>
  <c r="W566" i="11"/>
  <c r="S566" i="11"/>
  <c r="N566" i="11"/>
  <c r="AC565" i="11"/>
  <c r="Y565" i="11"/>
  <c r="W565" i="11"/>
  <c r="S565" i="11"/>
  <c r="N565" i="11"/>
  <c r="AC564" i="11"/>
  <c r="Y564" i="11"/>
  <c r="W564" i="11"/>
  <c r="S564" i="11"/>
  <c r="N564" i="11"/>
  <c r="AC563" i="11"/>
  <c r="Y563" i="11"/>
  <c r="W563" i="11"/>
  <c r="S563" i="11"/>
  <c r="N563" i="11"/>
  <c r="AC562" i="11"/>
  <c r="Y562" i="11"/>
  <c r="W562" i="11"/>
  <c r="S562" i="11"/>
  <c r="N562" i="11"/>
  <c r="AC561" i="11"/>
  <c r="Y561" i="11"/>
  <c r="W561" i="11"/>
  <c r="S561" i="11"/>
  <c r="N561" i="11"/>
  <c r="AC560" i="11"/>
  <c r="Y560" i="11"/>
  <c r="W560" i="11"/>
  <c r="S560" i="11"/>
  <c r="N560" i="11"/>
  <c r="S559" i="11"/>
  <c r="U559" i="11" s="1"/>
  <c r="N559" i="11"/>
  <c r="AC558" i="11"/>
  <c r="Y558" i="11"/>
  <c r="W558" i="11"/>
  <c r="S558" i="11"/>
  <c r="N558" i="11"/>
  <c r="AC557" i="11"/>
  <c r="Y557" i="11"/>
  <c r="W557" i="11"/>
  <c r="S557" i="11"/>
  <c r="N557" i="11"/>
  <c r="S556" i="11"/>
  <c r="U556" i="11" s="1"/>
  <c r="N556" i="11"/>
  <c r="AC555" i="11"/>
  <c r="Y555" i="11"/>
  <c r="W555" i="11"/>
  <c r="S555" i="11"/>
  <c r="N555" i="11"/>
  <c r="AC554" i="11"/>
  <c r="Y554" i="11"/>
  <c r="W554" i="11"/>
  <c r="S554" i="11"/>
  <c r="N554" i="11"/>
  <c r="AC553" i="11"/>
  <c r="Y553" i="11"/>
  <c r="W553" i="11"/>
  <c r="S553" i="11"/>
  <c r="N553" i="11"/>
  <c r="AC552" i="11"/>
  <c r="Y552" i="11"/>
  <c r="W552" i="11"/>
  <c r="S552" i="11"/>
  <c r="N552" i="11"/>
  <c r="AC551" i="11"/>
  <c r="Y551" i="11"/>
  <c r="W551" i="11"/>
  <c r="S551" i="11"/>
  <c r="N551" i="11"/>
  <c r="AC550" i="11"/>
  <c r="Y550" i="11"/>
  <c r="W550" i="11"/>
  <c r="S550" i="11"/>
  <c r="N550" i="11"/>
  <c r="AA549" i="11"/>
  <c r="S549" i="11"/>
  <c r="U549" i="11" s="1"/>
  <c r="Y549" i="11" s="1"/>
  <c r="N549" i="11"/>
  <c r="AA548" i="11"/>
  <c r="S548" i="11"/>
  <c r="U548" i="11" s="1"/>
  <c r="Y548" i="11" s="1"/>
  <c r="N548" i="11"/>
  <c r="AA547" i="11"/>
  <c r="S547" i="11"/>
  <c r="U547" i="11" s="1"/>
  <c r="Y547" i="11" s="1"/>
  <c r="N547" i="11"/>
  <c r="AC546" i="11"/>
  <c r="S546" i="11"/>
  <c r="U546" i="11" s="1"/>
  <c r="W546" i="11" s="1"/>
  <c r="Z546" i="11" s="1"/>
  <c r="AG546" i="11" s="1"/>
  <c r="N546" i="11"/>
  <c r="S545" i="11"/>
  <c r="U545" i="11" s="1"/>
  <c r="AB545" i="11" s="1"/>
  <c r="AG545" i="11" s="1"/>
  <c r="N545" i="11"/>
  <c r="S544" i="11"/>
  <c r="U544" i="11" s="1"/>
  <c r="Y544" i="11" s="1"/>
  <c r="N544" i="11"/>
  <c r="S543" i="11"/>
  <c r="U543" i="11" s="1"/>
  <c r="AB543" i="11" s="1"/>
  <c r="N543" i="11"/>
  <c r="S542" i="11"/>
  <c r="U542" i="11" s="1"/>
  <c r="N542" i="11"/>
  <c r="S541" i="11"/>
  <c r="U541" i="11" s="1"/>
  <c r="AB541" i="11" s="1"/>
  <c r="N541" i="11"/>
  <c r="S540" i="11"/>
  <c r="U540" i="11" s="1"/>
  <c r="AB540" i="11" s="1"/>
  <c r="N540" i="11"/>
  <c r="AC539" i="11"/>
  <c r="Y539" i="11"/>
  <c r="W539" i="11"/>
  <c r="S539" i="11"/>
  <c r="N539" i="11"/>
  <c r="AC538" i="11"/>
  <c r="Y538" i="11"/>
  <c r="W538" i="11"/>
  <c r="S538" i="11"/>
  <c r="N538" i="11"/>
  <c r="AC537" i="11"/>
  <c r="Y537" i="11"/>
  <c r="W537" i="11"/>
  <c r="S537" i="11"/>
  <c r="N537" i="11"/>
  <c r="AC536" i="11"/>
  <c r="Y536" i="11"/>
  <c r="W536" i="11"/>
  <c r="S536" i="11"/>
  <c r="N536" i="11"/>
  <c r="AC535" i="11"/>
  <c r="Y535" i="11"/>
  <c r="W535" i="11"/>
  <c r="S535" i="11"/>
  <c r="N535" i="11"/>
  <c r="AC534" i="11"/>
  <c r="Y534" i="11"/>
  <c r="W534" i="11"/>
  <c r="S534" i="11"/>
  <c r="N534" i="11"/>
  <c r="AC533" i="11"/>
  <c r="Y533" i="11"/>
  <c r="W533" i="11"/>
  <c r="S533" i="11"/>
  <c r="N533" i="11"/>
  <c r="AC532" i="11"/>
  <c r="Y532" i="11"/>
  <c r="W532" i="11"/>
  <c r="S532" i="11"/>
  <c r="N532" i="11"/>
  <c r="AC531" i="11"/>
  <c r="Y531" i="11"/>
  <c r="W531" i="11"/>
  <c r="S531" i="11"/>
  <c r="N531" i="11"/>
  <c r="AC530" i="11"/>
  <c r="Y530" i="11"/>
  <c r="W530" i="11"/>
  <c r="S530" i="11"/>
  <c r="N530" i="11"/>
  <c r="AC529" i="11"/>
  <c r="Y529" i="11"/>
  <c r="W529" i="11"/>
  <c r="S529" i="11"/>
  <c r="N529" i="11"/>
  <c r="AC528" i="11"/>
  <c r="Y528" i="11"/>
  <c r="W528" i="11"/>
  <c r="S528" i="11"/>
  <c r="N528" i="11"/>
  <c r="AC527" i="11"/>
  <c r="Y527" i="11"/>
  <c r="W527" i="11"/>
  <c r="S527" i="11"/>
  <c r="N527" i="11"/>
  <c r="AC526" i="11"/>
  <c r="Y526" i="11"/>
  <c r="W526" i="11"/>
  <c r="S526" i="11"/>
  <c r="N526" i="11"/>
  <c r="O525" i="11"/>
  <c r="M525" i="11"/>
  <c r="AA523" i="11"/>
  <c r="S523" i="11"/>
  <c r="U523" i="11" s="1"/>
  <c r="N523" i="11"/>
  <c r="AA522" i="11"/>
  <c r="S522" i="11"/>
  <c r="U522" i="11" s="1"/>
  <c r="Y522" i="11" s="1"/>
  <c r="S521" i="11"/>
  <c r="U521" i="11" s="1"/>
  <c r="N521" i="11"/>
  <c r="S520" i="11"/>
  <c r="U520" i="11" s="1"/>
  <c r="AB520" i="11" s="1"/>
  <c r="N520" i="11"/>
  <c r="S519" i="11"/>
  <c r="U519" i="11" s="1"/>
  <c r="N519" i="11"/>
  <c r="AC518" i="11"/>
  <c r="Y518" i="11"/>
  <c r="W518" i="11"/>
  <c r="S518" i="11"/>
  <c r="N518" i="11"/>
  <c r="AC517" i="11"/>
  <c r="Y517" i="11"/>
  <c r="W517" i="11"/>
  <c r="S517" i="11"/>
  <c r="N517" i="11"/>
  <c r="AC516" i="11"/>
  <c r="Y516" i="11"/>
  <c r="W516" i="11"/>
  <c r="S516" i="11"/>
  <c r="N516" i="11"/>
  <c r="AC515" i="11"/>
  <c r="Y515" i="11"/>
  <c r="W515" i="11"/>
  <c r="S515" i="11"/>
  <c r="N515" i="11"/>
  <c r="AC514" i="11"/>
  <c r="Y514" i="11"/>
  <c r="W514" i="11"/>
  <c r="S514" i="11"/>
  <c r="N514" i="11"/>
  <c r="AC513" i="11"/>
  <c r="Y513" i="11"/>
  <c r="W513" i="11"/>
  <c r="S513" i="11"/>
  <c r="N513" i="11"/>
  <c r="AA512" i="11"/>
  <c r="S512" i="11"/>
  <c r="U512" i="11" s="1"/>
  <c r="Y512" i="11" s="1"/>
  <c r="N512" i="11"/>
  <c r="AA511" i="11"/>
  <c r="S511" i="11"/>
  <c r="N511" i="11"/>
  <c r="O510" i="11"/>
  <c r="M510" i="11"/>
  <c r="S508" i="11"/>
  <c r="U508" i="11" s="1"/>
  <c r="AB508" i="11" s="1"/>
  <c r="N508" i="11"/>
  <c r="AC507" i="11"/>
  <c r="Y507" i="11"/>
  <c r="W507" i="11"/>
  <c r="S507" i="11"/>
  <c r="N507" i="11"/>
  <c r="AC506" i="11"/>
  <c r="Y506" i="11"/>
  <c r="W506" i="11"/>
  <c r="S506" i="11"/>
  <c r="N506" i="11"/>
  <c r="AC505" i="11"/>
  <c r="Y505" i="11"/>
  <c r="W505" i="11"/>
  <c r="S505" i="11"/>
  <c r="N505" i="11"/>
  <c r="S504" i="11"/>
  <c r="U504" i="11" s="1"/>
  <c r="AB504" i="11" s="1"/>
  <c r="AG504" i="11" s="1"/>
  <c r="N504" i="11"/>
  <c r="AA503" i="11"/>
  <c r="V503" i="11"/>
  <c r="S503" i="11"/>
  <c r="U503" i="11" s="1"/>
  <c r="Y503" i="11" s="1"/>
  <c r="N503" i="11"/>
  <c r="AA502" i="11"/>
  <c r="V502" i="11"/>
  <c r="S502" i="11"/>
  <c r="U502" i="11" s="1"/>
  <c r="N502" i="11"/>
  <c r="AA501" i="11"/>
  <c r="V501" i="11"/>
  <c r="S501" i="11"/>
  <c r="U501" i="11" s="1"/>
  <c r="Y501" i="11" s="1"/>
  <c r="N501" i="11"/>
  <c r="AA500" i="11"/>
  <c r="V500" i="11"/>
  <c r="S500" i="11"/>
  <c r="U500" i="11" s="1"/>
  <c r="Y500" i="11" s="1"/>
  <c r="N500" i="11"/>
  <c r="AA499" i="11"/>
  <c r="V499" i="11"/>
  <c r="S499" i="11"/>
  <c r="U499" i="11" s="1"/>
  <c r="N499" i="11"/>
  <c r="AA498" i="11"/>
  <c r="S498" i="11"/>
  <c r="U498" i="11" s="1"/>
  <c r="Y498" i="11" s="1"/>
  <c r="N498" i="11"/>
  <c r="AA497" i="11"/>
  <c r="S497" i="11"/>
  <c r="U497" i="11" s="1"/>
  <c r="Y497" i="11" s="1"/>
  <c r="N497" i="11"/>
  <c r="AA496" i="11"/>
  <c r="S496" i="11"/>
  <c r="U496" i="11" s="1"/>
  <c r="Y496" i="11" s="1"/>
  <c r="N496" i="11"/>
  <c r="AA495" i="11"/>
  <c r="S495" i="11"/>
  <c r="U495" i="11" s="1"/>
  <c r="Y495" i="11" s="1"/>
  <c r="N495" i="11"/>
  <c r="AA494" i="11"/>
  <c r="S494" i="11"/>
  <c r="U494" i="11" s="1"/>
  <c r="Y494" i="11" s="1"/>
  <c r="N494" i="11"/>
  <c r="AA493" i="11"/>
  <c r="S493" i="11"/>
  <c r="U493" i="11" s="1"/>
  <c r="Y493" i="11" s="1"/>
  <c r="AA492" i="11"/>
  <c r="S492" i="11"/>
  <c r="U492" i="11" s="1"/>
  <c r="Y492" i="11" s="1"/>
  <c r="AA491" i="11"/>
  <c r="S491" i="11"/>
  <c r="U491" i="11" s="1"/>
  <c r="Y491" i="11" s="1"/>
  <c r="AA490" i="11"/>
  <c r="S490" i="11"/>
  <c r="U490" i="11" s="1"/>
  <c r="Y490" i="11" s="1"/>
  <c r="AA489" i="11"/>
  <c r="S489" i="11"/>
  <c r="U489" i="11" s="1"/>
  <c r="Y489" i="11" s="1"/>
  <c r="AA488" i="11"/>
  <c r="O488" i="11"/>
  <c r="AA487" i="11"/>
  <c r="O487" i="11"/>
  <c r="S487" i="11" s="1"/>
  <c r="U487" i="11" s="1"/>
  <c r="AA486" i="11"/>
  <c r="O486" i="11"/>
  <c r="S486" i="11" s="1"/>
  <c r="U486" i="11" s="1"/>
  <c r="Y486" i="11" s="1"/>
  <c r="AA485" i="11"/>
  <c r="S485" i="11"/>
  <c r="U485" i="11" s="1"/>
  <c r="Y485" i="11" s="1"/>
  <c r="N485" i="11"/>
  <c r="AA484" i="11"/>
  <c r="S484" i="11"/>
  <c r="U484" i="11" s="1"/>
  <c r="N484" i="11"/>
  <c r="AA483" i="11"/>
  <c r="S483" i="11"/>
  <c r="U483" i="11" s="1"/>
  <c r="N483" i="11"/>
  <c r="AA482" i="11"/>
  <c r="S482" i="11"/>
  <c r="U482" i="11" s="1"/>
  <c r="N482" i="11"/>
  <c r="AA481" i="11"/>
  <c r="S481" i="11"/>
  <c r="U481" i="11" s="1"/>
  <c r="N481" i="11"/>
  <c r="AA480" i="11"/>
  <c r="S480" i="11"/>
  <c r="U480" i="11" s="1"/>
  <c r="N480" i="11"/>
  <c r="AA479" i="11"/>
  <c r="S479" i="11"/>
  <c r="U479" i="11" s="1"/>
  <c r="N479" i="11"/>
  <c r="AA478" i="11"/>
  <c r="S478" i="11"/>
  <c r="U478" i="11" s="1"/>
  <c r="N478" i="11"/>
  <c r="AA477" i="11"/>
  <c r="S477" i="11"/>
  <c r="U477" i="11" s="1"/>
  <c r="N477" i="11"/>
  <c r="AA476" i="11"/>
  <c r="S476" i="11"/>
  <c r="U476" i="11" s="1"/>
  <c r="N476" i="11"/>
  <c r="AA475" i="11"/>
  <c r="S475" i="11"/>
  <c r="U475" i="11" s="1"/>
  <c r="N475" i="11"/>
  <c r="AA474" i="11"/>
  <c r="S474" i="11"/>
  <c r="U474" i="11" s="1"/>
  <c r="N474" i="11"/>
  <c r="AC473" i="11"/>
  <c r="S473" i="11"/>
  <c r="U473" i="11" s="1"/>
  <c r="W473" i="11" s="1"/>
  <c r="Z473" i="11" s="1"/>
  <c r="AG473" i="11" s="1"/>
  <c r="N473" i="11"/>
  <c r="AC472" i="11"/>
  <c r="S472" i="11"/>
  <c r="U472" i="11" s="1"/>
  <c r="W472" i="11" s="1"/>
  <c r="Z472" i="11" s="1"/>
  <c r="AG472" i="11" s="1"/>
  <c r="N472" i="11"/>
  <c r="AC471" i="11"/>
  <c r="S471" i="11"/>
  <c r="U471" i="11" s="1"/>
  <c r="W471" i="11" s="1"/>
  <c r="Z471" i="11" s="1"/>
  <c r="AG471" i="11" s="1"/>
  <c r="N471" i="11"/>
  <c r="S470" i="11"/>
  <c r="U470" i="11" s="1"/>
  <c r="N470" i="11"/>
  <c r="S469" i="11"/>
  <c r="U469" i="11" s="1"/>
  <c r="AB469" i="11" s="1"/>
  <c r="N469" i="11"/>
  <c r="S468" i="11"/>
  <c r="U468" i="11" s="1"/>
  <c r="N468" i="11"/>
  <c r="AA467" i="11"/>
  <c r="S467" i="11"/>
  <c r="U467" i="11" s="1"/>
  <c r="N467" i="11"/>
  <c r="AA466" i="11"/>
  <c r="S466" i="11"/>
  <c r="U466" i="11" s="1"/>
  <c r="N466" i="11"/>
  <c r="AA465" i="11"/>
  <c r="S465" i="11"/>
  <c r="U465" i="11" s="1"/>
  <c r="N465" i="11"/>
  <c r="AC464" i="11"/>
  <c r="Y464" i="11"/>
  <c r="W464" i="11"/>
  <c r="S464" i="11"/>
  <c r="N464" i="11"/>
  <c r="AC463" i="11"/>
  <c r="Y463" i="11"/>
  <c r="W463" i="11"/>
  <c r="S463" i="11"/>
  <c r="N463" i="11"/>
  <c r="AC462" i="11"/>
  <c r="Y462" i="11"/>
  <c r="W462" i="11"/>
  <c r="S462" i="11"/>
  <c r="N462" i="11"/>
  <c r="AC461" i="11"/>
  <c r="Y461" i="11"/>
  <c r="W461" i="11"/>
  <c r="S461" i="11"/>
  <c r="N461" i="11"/>
  <c r="AA460" i="11"/>
  <c r="S460" i="11"/>
  <c r="U460" i="11" s="1"/>
  <c r="N460" i="11"/>
  <c r="AA459" i="11"/>
  <c r="S459" i="11"/>
  <c r="U459" i="11" s="1"/>
  <c r="N459" i="11"/>
  <c r="AC458" i="11"/>
  <c r="Y458" i="11"/>
  <c r="W458" i="11"/>
  <c r="S458" i="11"/>
  <c r="N458" i="11"/>
  <c r="AC457" i="11"/>
  <c r="Y457" i="11"/>
  <c r="W457" i="11"/>
  <c r="S457" i="11"/>
  <c r="N457" i="11"/>
  <c r="AC456" i="11"/>
  <c r="Y456" i="11"/>
  <c r="W456" i="11"/>
  <c r="S456" i="11"/>
  <c r="N456" i="11"/>
  <c r="AC455" i="11"/>
  <c r="Y455" i="11"/>
  <c r="W455" i="11"/>
  <c r="S455" i="11"/>
  <c r="N455" i="11"/>
  <c r="AC454" i="11"/>
  <c r="Y454" i="11"/>
  <c r="W454" i="11"/>
  <c r="S454" i="11"/>
  <c r="N454" i="11"/>
  <c r="AC453" i="11"/>
  <c r="Y453" i="11"/>
  <c r="W453" i="11"/>
  <c r="S453" i="11"/>
  <c r="N453" i="11"/>
  <c r="AC452" i="11"/>
  <c r="Y452" i="11"/>
  <c r="W452" i="11"/>
  <c r="S452" i="11"/>
  <c r="N452" i="11"/>
  <c r="AC451" i="11"/>
  <c r="Y451" i="11"/>
  <c r="W451" i="11"/>
  <c r="S451" i="11"/>
  <c r="N451" i="11"/>
  <c r="AC450" i="11"/>
  <c r="Y450" i="11"/>
  <c r="W450" i="11"/>
  <c r="S450" i="11"/>
  <c r="N450" i="11"/>
  <c r="AC449" i="11"/>
  <c r="Y449" i="11"/>
  <c r="W449" i="11"/>
  <c r="S449" i="11"/>
  <c r="N449" i="11"/>
  <c r="AC448" i="11"/>
  <c r="Y448" i="11"/>
  <c r="W448" i="11"/>
  <c r="S448" i="11"/>
  <c r="N448" i="11"/>
  <c r="AC447" i="11"/>
  <c r="Y447" i="11"/>
  <c r="W447" i="11"/>
  <c r="S447" i="11"/>
  <c r="N447" i="11"/>
  <c r="AC446" i="11"/>
  <c r="Y446" i="11"/>
  <c r="W446" i="11"/>
  <c r="S446" i="11"/>
  <c r="N446" i="11"/>
  <c r="AC445" i="11"/>
  <c r="Y445" i="11"/>
  <c r="W445" i="11"/>
  <c r="S445" i="11"/>
  <c r="N445" i="11"/>
  <c r="AC444" i="11"/>
  <c r="Y444" i="11"/>
  <c r="W444" i="11"/>
  <c r="S444" i="11"/>
  <c r="N444" i="11"/>
  <c r="AC443" i="11"/>
  <c r="Y443" i="11"/>
  <c r="W443" i="11"/>
  <c r="S443" i="11"/>
  <c r="N443" i="11"/>
  <c r="AC442" i="11"/>
  <c r="Y442" i="11"/>
  <c r="W442" i="11"/>
  <c r="S442" i="11"/>
  <c r="N442" i="11"/>
  <c r="AC441" i="11"/>
  <c r="Y441" i="11"/>
  <c r="W441" i="11"/>
  <c r="S441" i="11"/>
  <c r="N441" i="11"/>
  <c r="AC440" i="11"/>
  <c r="Y440" i="11"/>
  <c r="W440" i="11"/>
  <c r="S440" i="11"/>
  <c r="N440" i="11"/>
  <c r="AC439" i="11"/>
  <c r="Y439" i="11"/>
  <c r="W439" i="11"/>
  <c r="S439" i="11"/>
  <c r="N439" i="11"/>
  <c r="AC438" i="11"/>
  <c r="Y438" i="11"/>
  <c r="W438" i="11"/>
  <c r="S438" i="11"/>
  <c r="N438" i="11"/>
  <c r="AC437" i="11"/>
  <c r="Y437" i="11"/>
  <c r="W437" i="11"/>
  <c r="S437" i="11"/>
  <c r="N437" i="11"/>
  <c r="AC436" i="11"/>
  <c r="Y436" i="11"/>
  <c r="W436" i="11"/>
  <c r="S436" i="11"/>
  <c r="N436" i="11"/>
  <c r="AC435" i="11"/>
  <c r="Y435" i="11"/>
  <c r="W435" i="11"/>
  <c r="S435" i="11"/>
  <c r="N435" i="11"/>
  <c r="AC434" i="11"/>
  <c r="Y434" i="11"/>
  <c r="W434" i="11"/>
  <c r="S434" i="11"/>
  <c r="N434" i="11"/>
  <c r="AC433" i="11"/>
  <c r="Y433" i="11"/>
  <c r="W433" i="11"/>
  <c r="S433" i="11"/>
  <c r="N433" i="11"/>
  <c r="AC432" i="11"/>
  <c r="Y432" i="11"/>
  <c r="W432" i="11"/>
  <c r="S432" i="11"/>
  <c r="N432" i="11"/>
  <c r="AC431" i="11"/>
  <c r="Y431" i="11"/>
  <c r="W431" i="11"/>
  <c r="S431" i="11"/>
  <c r="N431" i="11"/>
  <c r="AC430" i="11"/>
  <c r="Y430" i="11"/>
  <c r="W430" i="11"/>
  <c r="S430" i="11"/>
  <c r="N430" i="11"/>
  <c r="AC429" i="11"/>
  <c r="Y429" i="11"/>
  <c r="W429" i="11"/>
  <c r="S429" i="11"/>
  <c r="N429" i="11"/>
  <c r="AC428" i="11"/>
  <c r="Y428" i="11"/>
  <c r="W428" i="11"/>
  <c r="S428" i="11"/>
  <c r="N428" i="11"/>
  <c r="AC427" i="11"/>
  <c r="Y427" i="11"/>
  <c r="W427" i="11"/>
  <c r="S427" i="11"/>
  <c r="N427" i="11"/>
  <c r="AC426" i="11"/>
  <c r="Y426" i="11"/>
  <c r="W426" i="11"/>
  <c r="S426" i="11"/>
  <c r="N426" i="11"/>
  <c r="AC425" i="11"/>
  <c r="Y425" i="11"/>
  <c r="W425" i="11"/>
  <c r="S425" i="11"/>
  <c r="N425" i="11"/>
  <c r="AC424" i="11"/>
  <c r="Y424" i="11"/>
  <c r="W424" i="11"/>
  <c r="S424" i="11"/>
  <c r="N424" i="11"/>
  <c r="AC423" i="11"/>
  <c r="Y423" i="11"/>
  <c r="W423" i="11"/>
  <c r="S423" i="11"/>
  <c r="N423" i="11"/>
  <c r="AC422" i="11"/>
  <c r="Y422" i="11"/>
  <c r="W422" i="11"/>
  <c r="S422" i="11"/>
  <c r="N422" i="11"/>
  <c r="AC421" i="11"/>
  <c r="Y421" i="11"/>
  <c r="W421" i="11"/>
  <c r="S421" i="11"/>
  <c r="N421" i="11"/>
  <c r="AC420" i="11"/>
  <c r="Y420" i="11"/>
  <c r="W420" i="11"/>
  <c r="S420" i="11"/>
  <c r="N420" i="11"/>
  <c r="AC419" i="11"/>
  <c r="Y419" i="11"/>
  <c r="W419" i="11"/>
  <c r="S419" i="11"/>
  <c r="N419" i="11"/>
  <c r="AC418" i="11"/>
  <c r="Y418" i="11"/>
  <c r="W418" i="11"/>
  <c r="S418" i="11"/>
  <c r="N418" i="11"/>
  <c r="AC417" i="11"/>
  <c r="Y417" i="11"/>
  <c r="W417" i="11"/>
  <c r="S417" i="11"/>
  <c r="N417" i="11"/>
  <c r="AC416" i="11"/>
  <c r="Y416" i="11"/>
  <c r="W416" i="11"/>
  <c r="S416" i="11"/>
  <c r="N416" i="11"/>
  <c r="AC415" i="11"/>
  <c r="Y415" i="11"/>
  <c r="W415" i="11"/>
  <c r="S415" i="11"/>
  <c r="N415" i="11"/>
  <c r="AC414" i="11"/>
  <c r="Y414" i="11"/>
  <c r="W414" i="11"/>
  <c r="S414" i="11"/>
  <c r="N414" i="11"/>
  <c r="AC413" i="11"/>
  <c r="Y413" i="11"/>
  <c r="W413" i="11"/>
  <c r="S413" i="11"/>
  <c r="N413" i="11"/>
  <c r="AC412" i="11"/>
  <c r="Y412" i="11"/>
  <c r="W412" i="11"/>
  <c r="S412" i="11"/>
  <c r="N412" i="11"/>
  <c r="AC411" i="11"/>
  <c r="Y411" i="11"/>
  <c r="W411" i="11"/>
  <c r="S411" i="11"/>
  <c r="N411" i="11"/>
  <c r="AC410" i="11"/>
  <c r="Y410" i="11"/>
  <c r="W410" i="11"/>
  <c r="S410" i="11"/>
  <c r="N410" i="11"/>
  <c r="AC409" i="11"/>
  <c r="Y409" i="11"/>
  <c r="W409" i="11"/>
  <c r="S409" i="11"/>
  <c r="N409" i="11"/>
  <c r="AC408" i="11"/>
  <c r="Y408" i="11"/>
  <c r="W408" i="11"/>
  <c r="S408" i="11"/>
  <c r="N408" i="11"/>
  <c r="AC407" i="11"/>
  <c r="Y407" i="11"/>
  <c r="W407" i="11"/>
  <c r="S407" i="11"/>
  <c r="N407" i="11"/>
  <c r="AC406" i="11"/>
  <c r="Y406" i="11"/>
  <c r="W406" i="11"/>
  <c r="S406" i="11"/>
  <c r="N406" i="11"/>
  <c r="AC405" i="11"/>
  <c r="Y405" i="11"/>
  <c r="W405" i="11"/>
  <c r="S405" i="11"/>
  <c r="N405" i="11"/>
  <c r="AC404" i="11"/>
  <c r="Y404" i="11"/>
  <c r="W404" i="11"/>
  <c r="S404" i="11"/>
  <c r="N404" i="11"/>
  <c r="AC403" i="11"/>
  <c r="Y403" i="11"/>
  <c r="W403" i="11"/>
  <c r="S403" i="11"/>
  <c r="N403" i="11"/>
  <c r="AC402" i="11"/>
  <c r="Y402" i="11"/>
  <c r="W402" i="11"/>
  <c r="S402" i="11"/>
  <c r="N402" i="11"/>
  <c r="AC401" i="11"/>
  <c r="Y401" i="11"/>
  <c r="W401" i="11"/>
  <c r="S401" i="11"/>
  <c r="N401" i="11"/>
  <c r="AC400" i="11"/>
  <c r="Y400" i="11"/>
  <c r="W400" i="11"/>
  <c r="S400" i="11"/>
  <c r="N400" i="11"/>
  <c r="AC399" i="11"/>
  <c r="Y399" i="11"/>
  <c r="W399" i="11"/>
  <c r="S399" i="11"/>
  <c r="N399" i="11"/>
  <c r="AC398" i="11"/>
  <c r="Y398" i="11"/>
  <c r="W398" i="11"/>
  <c r="S398" i="11"/>
  <c r="N398" i="11"/>
  <c r="AC397" i="11"/>
  <c r="Y397" i="11"/>
  <c r="W397" i="11"/>
  <c r="S397" i="11"/>
  <c r="N397" i="11"/>
  <c r="AA396" i="11"/>
  <c r="S396" i="11"/>
  <c r="U396" i="11" s="1"/>
  <c r="AA395" i="11"/>
  <c r="S395" i="11"/>
  <c r="U395" i="11" s="1"/>
  <c r="Y395" i="11" s="1"/>
  <c r="AC394" i="11"/>
  <c r="Y394" i="11"/>
  <c r="W394" i="11"/>
  <c r="S394" i="11"/>
  <c r="N394" i="11"/>
  <c r="M393" i="11"/>
  <c r="AA391" i="11"/>
  <c r="S391" i="11"/>
  <c r="U391" i="11" s="1"/>
  <c r="AA390" i="11"/>
  <c r="S390" i="11"/>
  <c r="U390" i="11" s="1"/>
  <c r="Y390" i="11" s="1"/>
  <c r="N390" i="11"/>
  <c r="AA389" i="11"/>
  <c r="S389" i="11"/>
  <c r="U389" i="11" s="1"/>
  <c r="Y389" i="11" s="1"/>
  <c r="N389" i="11"/>
  <c r="AC388" i="11"/>
  <c r="Y388" i="11"/>
  <c r="W388" i="11"/>
  <c r="S388" i="11"/>
  <c r="N388" i="11"/>
  <c r="AC387" i="11"/>
  <c r="Y387" i="11"/>
  <c r="W387" i="11"/>
  <c r="S387" i="11"/>
  <c r="N387" i="11"/>
  <c r="AA386" i="11"/>
  <c r="S386" i="11"/>
  <c r="U386" i="11" s="1"/>
  <c r="Y386" i="11" s="1"/>
  <c r="N386" i="11"/>
  <c r="AA385" i="11"/>
  <c r="S385" i="11"/>
  <c r="U385" i="11" s="1"/>
  <c r="Y385" i="11" s="1"/>
  <c r="N385" i="11"/>
  <c r="AA384" i="11"/>
  <c r="S384" i="11"/>
  <c r="U384" i="11" s="1"/>
  <c r="Y384" i="11" s="1"/>
  <c r="N384" i="11"/>
  <c r="AG383" i="11"/>
  <c r="AC383" i="11"/>
  <c r="S383" i="11"/>
  <c r="U383" i="11" s="1"/>
  <c r="Y383" i="11" s="1"/>
  <c r="N383" i="11"/>
  <c r="S382" i="11"/>
  <c r="U382" i="11" s="1"/>
  <c r="N382" i="11"/>
  <c r="S381" i="11"/>
  <c r="U381" i="11" s="1"/>
  <c r="AB381" i="11" s="1"/>
  <c r="N381" i="11"/>
  <c r="S380" i="11"/>
  <c r="U380" i="11" s="1"/>
  <c r="N380" i="11"/>
  <c r="AC379" i="11"/>
  <c r="Y379" i="11"/>
  <c r="W379" i="11"/>
  <c r="S379" i="11"/>
  <c r="N379" i="11"/>
  <c r="AC378" i="11"/>
  <c r="Y378" i="11"/>
  <c r="W378" i="11"/>
  <c r="S378" i="11"/>
  <c r="N378" i="11"/>
  <c r="AC377" i="11"/>
  <c r="Y377" i="11"/>
  <c r="W377" i="11"/>
  <c r="S377" i="11"/>
  <c r="N377" i="11"/>
  <c r="AC376" i="11"/>
  <c r="Y376" i="11"/>
  <c r="W376" i="11"/>
  <c r="S376" i="11"/>
  <c r="N376" i="11"/>
  <c r="AC375" i="11"/>
  <c r="Y375" i="11"/>
  <c r="W375" i="11"/>
  <c r="S375" i="11"/>
  <c r="N375" i="11"/>
  <c r="AC374" i="11"/>
  <c r="Y374" i="11"/>
  <c r="W374" i="11"/>
  <c r="S374" i="11"/>
  <c r="N374" i="11"/>
  <c r="AC373" i="11"/>
  <c r="Y373" i="11"/>
  <c r="W373" i="11"/>
  <c r="S373" i="11"/>
  <c r="N373" i="11"/>
  <c r="AC372" i="11"/>
  <c r="S372" i="11"/>
  <c r="U372" i="11" s="1"/>
  <c r="Y372" i="11" s="1"/>
  <c r="Z372" i="11" s="1"/>
  <c r="AG372" i="11" s="1"/>
  <c r="N372" i="11"/>
  <c r="AA371" i="11"/>
  <c r="S371" i="11"/>
  <c r="U371" i="11" s="1"/>
  <c r="N371" i="11"/>
  <c r="AA370" i="11"/>
  <c r="S370" i="11"/>
  <c r="U370" i="11" s="1"/>
  <c r="N370" i="11"/>
  <c r="AC369" i="11"/>
  <c r="Y369" i="11"/>
  <c r="W369" i="11"/>
  <c r="S369" i="11"/>
  <c r="N369" i="11"/>
  <c r="AC368" i="11"/>
  <c r="Y368" i="11"/>
  <c r="W368" i="11"/>
  <c r="S368" i="11"/>
  <c r="N368" i="11"/>
  <c r="AC367" i="11"/>
  <c r="Y367" i="11"/>
  <c r="W367" i="11"/>
  <c r="S367" i="11"/>
  <c r="N367" i="11"/>
  <c r="AC366" i="11"/>
  <c r="Y366" i="11"/>
  <c r="W366" i="11"/>
  <c r="S366" i="11"/>
  <c r="N366" i="11"/>
  <c r="AC365" i="11"/>
  <c r="Y365" i="11"/>
  <c r="W365" i="11"/>
  <c r="S365" i="11"/>
  <c r="N365" i="11"/>
  <c r="AC364" i="11"/>
  <c r="Y364" i="11"/>
  <c r="W364" i="11"/>
  <c r="S364" i="11"/>
  <c r="N364" i="11"/>
  <c r="AC363" i="11"/>
  <c r="Y363" i="11"/>
  <c r="W363" i="11"/>
  <c r="S363" i="11"/>
  <c r="N363" i="11"/>
  <c r="AC362" i="11"/>
  <c r="Y362" i="11"/>
  <c r="W362" i="11"/>
  <c r="S362" i="11"/>
  <c r="N362" i="11"/>
  <c r="AC361" i="11"/>
  <c r="Y361" i="11"/>
  <c r="W361" i="11"/>
  <c r="S361" i="11"/>
  <c r="N361" i="11"/>
  <c r="AC360" i="11"/>
  <c r="Y360" i="11"/>
  <c r="W360" i="11"/>
  <c r="S360" i="11"/>
  <c r="N360" i="11"/>
  <c r="AC359" i="11"/>
  <c r="Y359" i="11"/>
  <c r="W359" i="11"/>
  <c r="S359" i="11"/>
  <c r="N359" i="11"/>
  <c r="AC358" i="11"/>
  <c r="Y358" i="11"/>
  <c r="W358" i="11"/>
  <c r="S358" i="11"/>
  <c r="N358" i="11"/>
  <c r="AA357" i="11"/>
  <c r="S357" i="11"/>
  <c r="U357" i="11" s="1"/>
  <c r="Y357" i="11" s="1"/>
  <c r="N357" i="11"/>
  <c r="AC356" i="11"/>
  <c r="Y356" i="11"/>
  <c r="W356" i="11"/>
  <c r="S356" i="11"/>
  <c r="N356" i="11"/>
  <c r="AC355" i="11"/>
  <c r="Y355" i="11"/>
  <c r="W355" i="11"/>
  <c r="S355" i="11"/>
  <c r="N355" i="11"/>
  <c r="AC354" i="11"/>
  <c r="Y354" i="11"/>
  <c r="W354" i="11"/>
  <c r="S354" i="11"/>
  <c r="N354" i="11"/>
  <c r="AC353" i="11"/>
  <c r="Y353" i="11"/>
  <c r="W353" i="11"/>
  <c r="S353" i="11"/>
  <c r="N353" i="11"/>
  <c r="AC352" i="11"/>
  <c r="Y352" i="11"/>
  <c r="W352" i="11"/>
  <c r="S352" i="11"/>
  <c r="N352" i="11"/>
  <c r="AC351" i="11"/>
  <c r="Y351" i="11"/>
  <c r="W351" i="11"/>
  <c r="S351" i="11"/>
  <c r="N351" i="11"/>
  <c r="AC350" i="11"/>
  <c r="Y350" i="11"/>
  <c r="W350" i="11"/>
  <c r="S350" i="11"/>
  <c r="N350" i="11"/>
  <c r="AA349" i="11"/>
  <c r="S349" i="11"/>
  <c r="U349" i="11" s="1"/>
  <c r="N349" i="11"/>
  <c r="AA348" i="11"/>
  <c r="S348" i="11"/>
  <c r="U348" i="11" s="1"/>
  <c r="N348" i="11"/>
  <c r="AC347" i="11"/>
  <c r="Y347" i="11"/>
  <c r="W347" i="11"/>
  <c r="S347" i="11"/>
  <c r="N347" i="11"/>
  <c r="AC346" i="11"/>
  <c r="Y346" i="11"/>
  <c r="W346" i="11"/>
  <c r="S346" i="11"/>
  <c r="N346" i="11"/>
  <c r="AC345" i="11"/>
  <c r="Y345" i="11"/>
  <c r="W345" i="11"/>
  <c r="S345" i="11"/>
  <c r="N345" i="11"/>
  <c r="AC344" i="11"/>
  <c r="Y344" i="11"/>
  <c r="W344" i="11"/>
  <c r="S344" i="11"/>
  <c r="N344" i="11"/>
  <c r="AC343" i="11"/>
  <c r="Y343" i="11"/>
  <c r="W343" i="11"/>
  <c r="S343" i="11"/>
  <c r="N343" i="11"/>
  <c r="AC342" i="11"/>
  <c r="Y342" i="11"/>
  <c r="W342" i="11"/>
  <c r="S342" i="11"/>
  <c r="N342" i="11"/>
  <c r="AC341" i="11"/>
  <c r="Y341" i="11"/>
  <c r="W341" i="11"/>
  <c r="S341" i="11"/>
  <c r="N341" i="11"/>
  <c r="AC340" i="11"/>
  <c r="Y340" i="11"/>
  <c r="W340" i="11"/>
  <c r="S340" i="11"/>
  <c r="N340" i="11"/>
  <c r="AC339" i="11"/>
  <c r="Y339" i="11"/>
  <c r="W339" i="11"/>
  <c r="S339" i="11"/>
  <c r="N339" i="11"/>
  <c r="AC338" i="11"/>
  <c r="Y338" i="11"/>
  <c r="W338" i="11"/>
  <c r="S338" i="11"/>
  <c r="N338" i="11"/>
  <c r="AC337" i="11"/>
  <c r="Y337" i="11"/>
  <c r="W337" i="11"/>
  <c r="S337" i="11"/>
  <c r="N337" i="11"/>
  <c r="AA336" i="11"/>
  <c r="S336" i="11"/>
  <c r="U336" i="11" s="1"/>
  <c r="Y336" i="11" s="1"/>
  <c r="N336" i="11"/>
  <c r="AC335" i="11"/>
  <c r="Y335" i="11"/>
  <c r="W335" i="11"/>
  <c r="S335" i="11"/>
  <c r="N335" i="11"/>
  <c r="AC334" i="11"/>
  <c r="Y334" i="11"/>
  <c r="W334" i="11"/>
  <c r="S334" i="11"/>
  <c r="N334" i="11"/>
  <c r="AC333" i="11"/>
  <c r="Y333" i="11"/>
  <c r="W333" i="11"/>
  <c r="S333" i="11"/>
  <c r="N333" i="11"/>
  <c r="AC332" i="11"/>
  <c r="Y332" i="11"/>
  <c r="W332" i="11"/>
  <c r="S332" i="11"/>
  <c r="N332" i="11"/>
  <c r="AC331" i="11"/>
  <c r="Y331" i="11"/>
  <c r="W331" i="11"/>
  <c r="S331" i="11"/>
  <c r="N331" i="11"/>
  <c r="AC330" i="11"/>
  <c r="Y330" i="11"/>
  <c r="W330" i="11"/>
  <c r="S330" i="11"/>
  <c r="N330" i="11"/>
  <c r="AC329" i="11"/>
  <c r="Y329" i="11"/>
  <c r="W329" i="11"/>
  <c r="S329" i="11"/>
  <c r="N329" i="11"/>
  <c r="AC328" i="11"/>
  <c r="Y328" i="11"/>
  <c r="W328" i="11"/>
  <c r="S328" i="11"/>
  <c r="N328" i="11"/>
  <c r="AC327" i="11"/>
  <c r="Y327" i="11"/>
  <c r="W327" i="11"/>
  <c r="S327" i="11"/>
  <c r="N327" i="11"/>
  <c r="AC326" i="11"/>
  <c r="Y326" i="11"/>
  <c r="W326" i="11"/>
  <c r="S326" i="11"/>
  <c r="N326" i="11"/>
  <c r="AC325" i="11"/>
  <c r="Y325" i="11"/>
  <c r="W325" i="11"/>
  <c r="S325" i="11"/>
  <c r="N325" i="11"/>
  <c r="AC324" i="11"/>
  <c r="Y324" i="11"/>
  <c r="W324" i="11"/>
  <c r="S324" i="11"/>
  <c r="N324" i="11"/>
  <c r="AC323" i="11"/>
  <c r="Y323" i="11"/>
  <c r="W323" i="11"/>
  <c r="S323" i="11"/>
  <c r="N323" i="11"/>
  <c r="AC322" i="11"/>
  <c r="Y322" i="11"/>
  <c r="W322" i="11"/>
  <c r="S322" i="11"/>
  <c r="N322" i="11"/>
  <c r="AC321" i="11"/>
  <c r="Y321" i="11"/>
  <c r="W321" i="11"/>
  <c r="S321" i="11"/>
  <c r="N321" i="11"/>
  <c r="AC320" i="11"/>
  <c r="Y320" i="11"/>
  <c r="W320" i="11"/>
  <c r="S320" i="11"/>
  <c r="N320" i="11"/>
  <c r="AC319" i="11"/>
  <c r="Y319" i="11"/>
  <c r="W319" i="11"/>
  <c r="S319" i="11"/>
  <c r="N319" i="11"/>
  <c r="AC318" i="11"/>
  <c r="S318" i="11"/>
  <c r="U318" i="11" s="1"/>
  <c r="Y318" i="11" s="1"/>
  <c r="Z318" i="11" s="1"/>
  <c r="AG318" i="11" s="1"/>
  <c r="N318" i="11"/>
  <c r="AC317" i="11"/>
  <c r="S317" i="11"/>
  <c r="U317" i="11" s="1"/>
  <c r="Y317" i="11" s="1"/>
  <c r="Z317" i="11" s="1"/>
  <c r="AG317" i="11" s="1"/>
  <c r="N317" i="11"/>
  <c r="AC316" i="11"/>
  <c r="Y316" i="11"/>
  <c r="W316" i="11"/>
  <c r="S316" i="11"/>
  <c r="N316" i="11"/>
  <c r="AC315" i="11"/>
  <c r="Y315" i="11"/>
  <c r="W315" i="11"/>
  <c r="S315" i="11"/>
  <c r="N315" i="11"/>
  <c r="AC314" i="11"/>
  <c r="Y314" i="11"/>
  <c r="W314" i="11"/>
  <c r="S314" i="11"/>
  <c r="N314" i="11"/>
  <c r="AC313" i="11"/>
  <c r="Y313" i="11"/>
  <c r="W313" i="11"/>
  <c r="S313" i="11"/>
  <c r="N313" i="11"/>
  <c r="AC312" i="11"/>
  <c r="Y312" i="11"/>
  <c r="W312" i="11"/>
  <c r="S312" i="11"/>
  <c r="N312" i="11"/>
  <c r="AC311" i="11"/>
  <c r="Y311" i="11"/>
  <c r="W311" i="11"/>
  <c r="S311" i="11"/>
  <c r="N311" i="11"/>
  <c r="AC310" i="11"/>
  <c r="Y310" i="11"/>
  <c r="W310" i="11"/>
  <c r="S310" i="11"/>
  <c r="N310" i="11"/>
  <c r="AC309" i="11"/>
  <c r="Y309" i="11"/>
  <c r="W309" i="11"/>
  <c r="S309" i="11"/>
  <c r="N309" i="11"/>
  <c r="AC308" i="11"/>
  <c r="Y308" i="11"/>
  <c r="W308" i="11"/>
  <c r="S308" i="11"/>
  <c r="N308" i="11"/>
  <c r="AC307" i="11"/>
  <c r="Y307" i="11"/>
  <c r="W307" i="11"/>
  <c r="S307" i="11"/>
  <c r="N307" i="11"/>
  <c r="AC306" i="11"/>
  <c r="Y306" i="11"/>
  <c r="W306" i="11"/>
  <c r="S306" i="11"/>
  <c r="N306" i="11"/>
  <c r="AA305" i="11"/>
  <c r="S305" i="11"/>
  <c r="U305" i="11" s="1"/>
  <c r="Y305" i="11" s="1"/>
  <c r="N305" i="11"/>
  <c r="S304" i="11"/>
  <c r="U304" i="11" s="1"/>
  <c r="AB304" i="11" s="1"/>
  <c r="AG304" i="11" s="1"/>
  <c r="N304" i="11"/>
  <c r="AC303" i="11"/>
  <c r="Y303" i="11"/>
  <c r="W303" i="11"/>
  <c r="S303" i="11"/>
  <c r="N303" i="11"/>
  <c r="AC302" i="11"/>
  <c r="Y302" i="11"/>
  <c r="W302" i="11"/>
  <c r="S302" i="11"/>
  <c r="N302" i="11"/>
  <c r="AC301" i="11"/>
  <c r="Y301" i="11"/>
  <c r="W301" i="11"/>
  <c r="S301" i="11"/>
  <c r="N301" i="11"/>
  <c r="AA300" i="11"/>
  <c r="S300" i="11"/>
  <c r="U300" i="11" s="1"/>
  <c r="N300" i="11"/>
  <c r="AC299" i="11"/>
  <c r="Y299" i="11"/>
  <c r="W299" i="11"/>
  <c r="S299" i="11"/>
  <c r="N299" i="11"/>
  <c r="AC298" i="11"/>
  <c r="Y298" i="11"/>
  <c r="W298" i="11"/>
  <c r="S298" i="11"/>
  <c r="N298" i="11"/>
  <c r="AC297" i="11"/>
  <c r="Y297" i="11"/>
  <c r="W297" i="11"/>
  <c r="S297" i="11"/>
  <c r="N297" i="11"/>
  <c r="AC296" i="11"/>
  <c r="Y296" i="11"/>
  <c r="W296" i="11"/>
  <c r="S296" i="11"/>
  <c r="N296" i="11"/>
  <c r="AC295" i="11"/>
  <c r="Y295" i="11"/>
  <c r="W295" i="11"/>
  <c r="S295" i="11"/>
  <c r="N295" i="11"/>
  <c r="AC294" i="11"/>
  <c r="Y294" i="11"/>
  <c r="W294" i="11"/>
  <c r="S294" i="11"/>
  <c r="N294" i="11"/>
  <c r="AC293" i="11"/>
  <c r="Y293" i="11"/>
  <c r="W293" i="11"/>
  <c r="S293" i="11"/>
  <c r="N293" i="11"/>
  <c r="AC292" i="11"/>
  <c r="Y292" i="11"/>
  <c r="W292" i="11"/>
  <c r="S292" i="11"/>
  <c r="N292" i="11"/>
  <c r="AC291" i="11"/>
  <c r="Y291" i="11"/>
  <c r="W291" i="11"/>
  <c r="S291" i="11"/>
  <c r="N291" i="11"/>
  <c r="AC290" i="11"/>
  <c r="Y290" i="11"/>
  <c r="W290" i="11"/>
  <c r="S290" i="11"/>
  <c r="N290" i="11"/>
  <c r="AC289" i="11"/>
  <c r="Y289" i="11"/>
  <c r="W289" i="11"/>
  <c r="S289" i="11"/>
  <c r="N289" i="11"/>
  <c r="AC288" i="11"/>
  <c r="Y288" i="11"/>
  <c r="W288" i="11"/>
  <c r="S288" i="11"/>
  <c r="N288" i="11"/>
  <c r="AC287" i="11"/>
  <c r="Y287" i="11"/>
  <c r="W287" i="11"/>
  <c r="S287" i="11"/>
  <c r="N287" i="11"/>
  <c r="AC286" i="11"/>
  <c r="Y286" i="11"/>
  <c r="W286" i="11"/>
  <c r="S286" i="11"/>
  <c r="N286" i="11"/>
  <c r="AC285" i="11"/>
  <c r="Y285" i="11"/>
  <c r="W285" i="11"/>
  <c r="S285" i="11"/>
  <c r="N285" i="11"/>
  <c r="AC284" i="11"/>
  <c r="Y284" i="11"/>
  <c r="W284" i="11"/>
  <c r="S284" i="11"/>
  <c r="N284" i="11"/>
  <c r="AC283" i="11"/>
  <c r="Y283" i="11"/>
  <c r="W283" i="11"/>
  <c r="S283" i="11"/>
  <c r="N283" i="11"/>
  <c r="AC282" i="11"/>
  <c r="Y282" i="11"/>
  <c r="W282" i="11"/>
  <c r="S282" i="11"/>
  <c r="N282" i="11"/>
  <c r="AC281" i="11"/>
  <c r="Y281" i="11"/>
  <c r="W281" i="11"/>
  <c r="S281" i="11"/>
  <c r="N281" i="11"/>
  <c r="AC280" i="11"/>
  <c r="Y280" i="11"/>
  <c r="W280" i="11"/>
  <c r="S280" i="11"/>
  <c r="N280" i="11"/>
  <c r="AC279" i="11"/>
  <c r="Y279" i="11"/>
  <c r="W279" i="11"/>
  <c r="S279" i="11"/>
  <c r="N279" i="11"/>
  <c r="AA278" i="11"/>
  <c r="S278" i="11"/>
  <c r="U278" i="11" s="1"/>
  <c r="N278" i="11"/>
  <c r="AA277" i="11"/>
  <c r="S277" i="11"/>
  <c r="U277" i="11" s="1"/>
  <c r="Y277" i="11" s="1"/>
  <c r="N277" i="11"/>
  <c r="AA276" i="11"/>
  <c r="AG276" i="11" s="1"/>
  <c r="V276" i="11"/>
  <c r="S276" i="11"/>
  <c r="U276" i="11" s="1"/>
  <c r="Y276" i="11" s="1"/>
  <c r="N276" i="11"/>
  <c r="AA275" i="11"/>
  <c r="AG275" i="11" s="1"/>
  <c r="V275" i="11"/>
  <c r="S275" i="11"/>
  <c r="U275" i="11" s="1"/>
  <c r="N275" i="11"/>
  <c r="AA274" i="11"/>
  <c r="AG274" i="11" s="1"/>
  <c r="V274" i="11"/>
  <c r="S274" i="11"/>
  <c r="U274" i="11" s="1"/>
  <c r="N274" i="11"/>
  <c r="AA273" i="11"/>
  <c r="AG273" i="11" s="1"/>
  <c r="V273" i="11"/>
  <c r="S273" i="11"/>
  <c r="U273" i="11" s="1"/>
  <c r="Y273" i="11" s="1"/>
  <c r="N273" i="11"/>
  <c r="AA272" i="11"/>
  <c r="AG272" i="11" s="1"/>
  <c r="V272" i="11"/>
  <c r="S272" i="11"/>
  <c r="U272" i="11" s="1"/>
  <c r="Y272" i="11" s="1"/>
  <c r="N272" i="11"/>
  <c r="AA271" i="11"/>
  <c r="AG271" i="11" s="1"/>
  <c r="V271" i="11"/>
  <c r="S271" i="11"/>
  <c r="U271" i="11" s="1"/>
  <c r="Y271" i="11" s="1"/>
  <c r="N271" i="11"/>
  <c r="AA270" i="11"/>
  <c r="AG270" i="11" s="1"/>
  <c r="V270" i="11"/>
  <c r="S270" i="11"/>
  <c r="U270" i="11" s="1"/>
  <c r="Y270" i="11" s="1"/>
  <c r="N270" i="11"/>
  <c r="AA269" i="11"/>
  <c r="AG269" i="11" s="1"/>
  <c r="V269" i="11"/>
  <c r="S269" i="11"/>
  <c r="U269" i="11" s="1"/>
  <c r="Y269" i="11" s="1"/>
  <c r="N269" i="11"/>
  <c r="AA268" i="11"/>
  <c r="AG268" i="11" s="1"/>
  <c r="V268" i="11"/>
  <c r="S268" i="11"/>
  <c r="U268" i="11" s="1"/>
  <c r="Y268" i="11" s="1"/>
  <c r="N268" i="11"/>
  <c r="AA267" i="11"/>
  <c r="AG267" i="11" s="1"/>
  <c r="V267" i="11"/>
  <c r="S267" i="11"/>
  <c r="U267" i="11" s="1"/>
  <c r="N267" i="11"/>
  <c r="AA266" i="11"/>
  <c r="AG266" i="11" s="1"/>
  <c r="V266" i="11"/>
  <c r="S266" i="11"/>
  <c r="U266" i="11" s="1"/>
  <c r="N266" i="11"/>
  <c r="AA265" i="11"/>
  <c r="AG265" i="11" s="1"/>
  <c r="V265" i="11"/>
  <c r="S265" i="11"/>
  <c r="U265" i="11" s="1"/>
  <c r="Y265" i="11" s="1"/>
  <c r="N265" i="11"/>
  <c r="AA264" i="11"/>
  <c r="AG264" i="11" s="1"/>
  <c r="V264" i="11"/>
  <c r="S264" i="11"/>
  <c r="U264" i="11" s="1"/>
  <c r="Y264" i="11" s="1"/>
  <c r="N264" i="11"/>
  <c r="AA263" i="11"/>
  <c r="AG263" i="11" s="1"/>
  <c r="V263" i="11"/>
  <c r="S263" i="11"/>
  <c r="U263" i="11" s="1"/>
  <c r="N263" i="11"/>
  <c r="AA262" i="11"/>
  <c r="AG262" i="11" s="1"/>
  <c r="V262" i="11"/>
  <c r="S262" i="11"/>
  <c r="U262" i="11" s="1"/>
  <c r="Y262" i="11" s="1"/>
  <c r="N262" i="11"/>
  <c r="AA261" i="11"/>
  <c r="AG261" i="11" s="1"/>
  <c r="V261" i="11"/>
  <c r="S261" i="11"/>
  <c r="U261" i="11" s="1"/>
  <c r="Y261" i="11" s="1"/>
  <c r="N261" i="11"/>
  <c r="AA260" i="11"/>
  <c r="AG260" i="11" s="1"/>
  <c r="V260" i="11"/>
  <c r="S260" i="11"/>
  <c r="U260" i="11" s="1"/>
  <c r="Y260" i="11" s="1"/>
  <c r="N260" i="11"/>
  <c r="AA259" i="11"/>
  <c r="AG259" i="11" s="1"/>
  <c r="V259" i="11"/>
  <c r="S259" i="11"/>
  <c r="U259" i="11" s="1"/>
  <c r="N259" i="11"/>
  <c r="AA258" i="11"/>
  <c r="AG258" i="11" s="1"/>
  <c r="V258" i="11"/>
  <c r="S258" i="11"/>
  <c r="U258" i="11" s="1"/>
  <c r="N258" i="11"/>
  <c r="AA257" i="11"/>
  <c r="AG257" i="11" s="1"/>
  <c r="V257" i="11"/>
  <c r="S257" i="11"/>
  <c r="U257" i="11" s="1"/>
  <c r="Y257" i="11" s="1"/>
  <c r="N257" i="11"/>
  <c r="AA256" i="11"/>
  <c r="AG256" i="11" s="1"/>
  <c r="V256" i="11"/>
  <c r="S256" i="11"/>
  <c r="U256" i="11" s="1"/>
  <c r="Y256" i="11" s="1"/>
  <c r="N256" i="11"/>
  <c r="AA255" i="11"/>
  <c r="AG255" i="11" s="1"/>
  <c r="V255" i="11"/>
  <c r="S255" i="11"/>
  <c r="U255" i="11" s="1"/>
  <c r="Y255" i="11" s="1"/>
  <c r="N255" i="11"/>
  <c r="AA254" i="11"/>
  <c r="S254" i="11"/>
  <c r="U254" i="11" s="1"/>
  <c r="Y254" i="11" s="1"/>
  <c r="N254" i="11"/>
  <c r="AA253" i="11"/>
  <c r="S253" i="11"/>
  <c r="U253" i="11" s="1"/>
  <c r="Y253" i="11" s="1"/>
  <c r="AA252" i="11"/>
  <c r="S252" i="11"/>
  <c r="U252" i="11" s="1"/>
  <c r="W252" i="11" s="1"/>
  <c r="N252" i="11"/>
  <c r="AG251" i="11"/>
  <c r="AC251" i="11"/>
  <c r="Y251" i="11"/>
  <c r="W251" i="11"/>
  <c r="S251" i="11"/>
  <c r="N251" i="11"/>
  <c r="AG250" i="11"/>
  <c r="AC250" i="11"/>
  <c r="Y250" i="11"/>
  <c r="W250" i="11"/>
  <c r="S250" i="11"/>
  <c r="N250" i="11"/>
  <c r="AG249" i="11"/>
  <c r="AC249" i="11"/>
  <c r="Y249" i="11"/>
  <c r="W249" i="11"/>
  <c r="S249" i="11"/>
  <c r="N249" i="11"/>
  <c r="AG248" i="11"/>
  <c r="AC248" i="11"/>
  <c r="Y248" i="11"/>
  <c r="W248" i="11"/>
  <c r="S248" i="11"/>
  <c r="N248" i="11"/>
  <c r="AG247" i="11"/>
  <c r="AC247" i="11"/>
  <c r="Y247" i="11"/>
  <c r="W247" i="11"/>
  <c r="S247" i="11"/>
  <c r="N247" i="11"/>
  <c r="AG246" i="11"/>
  <c r="AC246" i="11"/>
  <c r="Y246" i="11"/>
  <c r="W246" i="11"/>
  <c r="S246" i="11"/>
  <c r="N246" i="11"/>
  <c r="AG245" i="11"/>
  <c r="AC245" i="11"/>
  <c r="Y245" i="11"/>
  <c r="W245" i="11"/>
  <c r="S245" i="11"/>
  <c r="N245" i="11"/>
  <c r="AG244" i="11"/>
  <c r="AC244" i="11"/>
  <c r="Y244" i="11"/>
  <c r="W244" i="11"/>
  <c r="S244" i="11"/>
  <c r="N244" i="11"/>
  <c r="AG243" i="11"/>
  <c r="AC243" i="11"/>
  <c r="Y243" i="11"/>
  <c r="W243" i="11"/>
  <c r="S243" i="11"/>
  <c r="N243" i="11"/>
  <c r="AG242" i="11"/>
  <c r="AC242" i="11"/>
  <c r="Y242" i="11"/>
  <c r="W242" i="11"/>
  <c r="S242" i="11"/>
  <c r="N242" i="11"/>
  <c r="AG241" i="11"/>
  <c r="AC241" i="11"/>
  <c r="Y241" i="11"/>
  <c r="W241" i="11"/>
  <c r="S241" i="11"/>
  <c r="N241" i="11"/>
  <c r="AG240" i="11"/>
  <c r="AC240" i="11"/>
  <c r="Y240" i="11"/>
  <c r="W240" i="11"/>
  <c r="S240" i="11"/>
  <c r="N240" i="11"/>
  <c r="AG239" i="11"/>
  <c r="AC239" i="11"/>
  <c r="Y239" i="11"/>
  <c r="W239" i="11"/>
  <c r="S239" i="11"/>
  <c r="N239" i="11"/>
  <c r="O238" i="11"/>
  <c r="M238" i="11"/>
  <c r="R237" i="11"/>
  <c r="Q237" i="11"/>
  <c r="P237" i="11"/>
  <c r="AC235" i="11"/>
  <c r="Y235" i="11"/>
  <c r="W235" i="11"/>
  <c r="S235" i="11"/>
  <c r="N235" i="11"/>
  <c r="AC234" i="11"/>
  <c r="Y234" i="11"/>
  <c r="W234" i="11"/>
  <c r="S234" i="11"/>
  <c r="N234" i="11"/>
  <c r="AC233" i="11"/>
  <c r="Y233" i="11"/>
  <c r="W233" i="11"/>
  <c r="S233" i="11"/>
  <c r="N233" i="11"/>
  <c r="AC232" i="11"/>
  <c r="Y232" i="11"/>
  <c r="W232" i="11"/>
  <c r="S232" i="11"/>
  <c r="N232" i="11"/>
  <c r="AC231" i="11"/>
  <c r="Y231" i="11"/>
  <c r="W231" i="11"/>
  <c r="S231" i="11"/>
  <c r="N231" i="11"/>
  <c r="AG230" i="11"/>
  <c r="AC230" i="11"/>
  <c r="S230" i="11"/>
  <c r="U230" i="11" s="1"/>
  <c r="Y230" i="11" s="1"/>
  <c r="N230" i="11"/>
  <c r="AC229" i="11"/>
  <c r="Y229" i="11"/>
  <c r="W229" i="11"/>
  <c r="S229" i="11"/>
  <c r="N229" i="11"/>
  <c r="AC228" i="11"/>
  <c r="Y228" i="11"/>
  <c r="W228" i="11"/>
  <c r="S228" i="11"/>
  <c r="N228" i="11"/>
  <c r="AC227" i="11"/>
  <c r="Y227" i="11"/>
  <c r="W227" i="11"/>
  <c r="S227" i="11"/>
  <c r="N227" i="11"/>
  <c r="AC226" i="11"/>
  <c r="Y226" i="11"/>
  <c r="W226" i="11"/>
  <c r="S226" i="11"/>
  <c r="N226" i="11"/>
  <c r="AC225" i="11"/>
  <c r="Y225" i="11"/>
  <c r="W225" i="11"/>
  <c r="S225" i="11"/>
  <c r="N225" i="11"/>
  <c r="AC224" i="11"/>
  <c r="Y224" i="11"/>
  <c r="W224" i="11"/>
  <c r="S224" i="11"/>
  <c r="N224" i="11"/>
  <c r="AC223" i="11"/>
  <c r="Y223" i="11"/>
  <c r="W223" i="11"/>
  <c r="S223" i="11"/>
  <c r="N223" i="11"/>
  <c r="AC222" i="11"/>
  <c r="Y222" i="11"/>
  <c r="W222" i="11"/>
  <c r="S222" i="11"/>
  <c r="N222" i="11"/>
  <c r="AC221" i="11"/>
  <c r="Y221" i="11"/>
  <c r="W221" i="11"/>
  <c r="S221" i="11"/>
  <c r="N221" i="11"/>
  <c r="S220" i="11"/>
  <c r="U220" i="11" s="1"/>
  <c r="N220" i="11"/>
  <c r="AC219" i="11"/>
  <c r="Y219" i="11"/>
  <c r="W219" i="11"/>
  <c r="S219" i="11"/>
  <c r="N219" i="11"/>
  <c r="AC218" i="11"/>
  <c r="Y218" i="11"/>
  <c r="W218" i="11"/>
  <c r="S218" i="11"/>
  <c r="N218" i="11"/>
  <c r="AC217" i="11"/>
  <c r="Y217" i="11"/>
  <c r="W217" i="11"/>
  <c r="S217" i="11"/>
  <c r="N217" i="11"/>
  <c r="AC216" i="11"/>
  <c r="Y216" i="11"/>
  <c r="W216" i="11"/>
  <c r="S216" i="11"/>
  <c r="N216" i="11"/>
  <c r="AC215" i="11"/>
  <c r="Y215" i="11"/>
  <c r="W215" i="11"/>
  <c r="S215" i="11"/>
  <c r="N215" i="11"/>
  <c r="AC214" i="11"/>
  <c r="Y214" i="11"/>
  <c r="W214" i="11"/>
  <c r="S214" i="11"/>
  <c r="N214" i="11"/>
  <c r="AC213" i="11"/>
  <c r="Y213" i="11"/>
  <c r="W213" i="11"/>
  <c r="S213" i="11"/>
  <c r="N213" i="11"/>
  <c r="AC212" i="11"/>
  <c r="Y212" i="11"/>
  <c r="W212" i="11"/>
  <c r="S212" i="11"/>
  <c r="N212" i="11"/>
  <c r="AC211" i="11"/>
  <c r="Y211" i="11"/>
  <c r="W211" i="11"/>
  <c r="S211" i="11"/>
  <c r="N211" i="11"/>
  <c r="AC210" i="11"/>
  <c r="Y210" i="11"/>
  <c r="W210" i="11"/>
  <c r="S210" i="11"/>
  <c r="N210" i="11"/>
  <c r="AC209" i="11"/>
  <c r="Y209" i="11"/>
  <c r="W209" i="11"/>
  <c r="S209" i="11"/>
  <c r="N209" i="11"/>
  <c r="AC208" i="11"/>
  <c r="Y208" i="11"/>
  <c r="W208" i="11"/>
  <c r="S208" i="11"/>
  <c r="N208" i="11"/>
  <c r="AC207" i="11"/>
  <c r="Y207" i="11"/>
  <c r="W207" i="11"/>
  <c r="S207" i="11"/>
  <c r="N207" i="11"/>
  <c r="AC206" i="11"/>
  <c r="Y206" i="11"/>
  <c r="W206" i="11"/>
  <c r="S206" i="11"/>
  <c r="N206" i="11"/>
  <c r="AC205" i="11"/>
  <c r="Y205" i="11"/>
  <c r="W205" i="11"/>
  <c r="S205" i="11"/>
  <c r="N205" i="11"/>
  <c r="AC204" i="11"/>
  <c r="Y204" i="11"/>
  <c r="W204" i="11"/>
  <c r="S204" i="11"/>
  <c r="N204" i="11"/>
  <c r="AC203" i="11"/>
  <c r="Y203" i="11"/>
  <c r="W203" i="11"/>
  <c r="S203" i="11"/>
  <c r="N203" i="11"/>
  <c r="AC202" i="11"/>
  <c r="Y202" i="11"/>
  <c r="W202" i="11"/>
  <c r="S202" i="11"/>
  <c r="N202" i="11"/>
  <c r="AC201" i="11"/>
  <c r="AA201" i="11"/>
  <c r="S201" i="11"/>
  <c r="U201" i="11" s="1"/>
  <c r="Y201" i="11" s="1"/>
  <c r="N201" i="11"/>
  <c r="AC200" i="11"/>
  <c r="S200" i="11"/>
  <c r="U200" i="11" s="1"/>
  <c r="Y200" i="11" s="1"/>
  <c r="Z200" i="11" s="1"/>
  <c r="AG200" i="11" s="1"/>
  <c r="N200" i="11"/>
  <c r="AC199" i="11"/>
  <c r="S199" i="11"/>
  <c r="U199" i="11" s="1"/>
  <c r="Y199" i="11" s="1"/>
  <c r="Z199" i="11" s="1"/>
  <c r="AG199" i="11" s="1"/>
  <c r="N199" i="11"/>
  <c r="AC198" i="11"/>
  <c r="S198" i="11"/>
  <c r="U198" i="11" s="1"/>
  <c r="Y198" i="11" s="1"/>
  <c r="Z198" i="11" s="1"/>
  <c r="AG198" i="11" s="1"/>
  <c r="N198" i="11"/>
  <c r="AC197" i="11"/>
  <c r="S197" i="11"/>
  <c r="U197" i="11" s="1"/>
  <c r="Y197" i="11" s="1"/>
  <c r="Z197" i="11" s="1"/>
  <c r="AG197" i="11" s="1"/>
  <c r="N197" i="11"/>
  <c r="S196" i="11"/>
  <c r="U196" i="11" s="1"/>
  <c r="N196" i="11"/>
  <c r="S195" i="11"/>
  <c r="U195" i="11" s="1"/>
  <c r="N195" i="11"/>
  <c r="AC194" i="11"/>
  <c r="Y194" i="11"/>
  <c r="W194" i="11"/>
  <c r="S194" i="11"/>
  <c r="N194" i="11"/>
  <c r="AC193" i="11"/>
  <c r="Y193" i="11"/>
  <c r="W193" i="11"/>
  <c r="S193" i="11"/>
  <c r="N193" i="11"/>
  <c r="AC192" i="11"/>
  <c r="Y192" i="11"/>
  <c r="W192" i="11"/>
  <c r="S192" i="11"/>
  <c r="N192" i="11"/>
  <c r="AC191" i="11"/>
  <c r="Y191" i="11"/>
  <c r="W191" i="11"/>
  <c r="S191" i="11"/>
  <c r="N191" i="11"/>
  <c r="AC190" i="11"/>
  <c r="Y190" i="11"/>
  <c r="W190" i="11"/>
  <c r="S190" i="11"/>
  <c r="N190" i="11"/>
  <c r="AC189" i="11"/>
  <c r="Y189" i="11"/>
  <c r="W189" i="11"/>
  <c r="S189" i="11"/>
  <c r="N189" i="11"/>
  <c r="AC188" i="11"/>
  <c r="Y188" i="11"/>
  <c r="W188" i="11"/>
  <c r="S188" i="11"/>
  <c r="N188" i="11"/>
  <c r="AC187" i="11"/>
  <c r="Y187" i="11"/>
  <c r="W187" i="11"/>
  <c r="S187" i="11"/>
  <c r="N187" i="11"/>
  <c r="AC186" i="11"/>
  <c r="Y186" i="11"/>
  <c r="W186" i="11"/>
  <c r="S186" i="11"/>
  <c r="N186" i="11"/>
  <c r="S185" i="11"/>
  <c r="U185" i="11" s="1"/>
  <c r="N185" i="11"/>
  <c r="AC184" i="11"/>
  <c r="Y184" i="11"/>
  <c r="W184" i="11"/>
  <c r="S184" i="11"/>
  <c r="N184" i="11"/>
  <c r="AC183" i="11"/>
  <c r="Y183" i="11"/>
  <c r="W183" i="11"/>
  <c r="S183" i="11"/>
  <c r="N183" i="11"/>
  <c r="AA182" i="11"/>
  <c r="S182" i="11"/>
  <c r="U182" i="11" s="1"/>
  <c r="AC181" i="11"/>
  <c r="Y181" i="11"/>
  <c r="W181" i="11"/>
  <c r="S181" i="11"/>
  <c r="N181" i="11"/>
  <c r="AC180" i="11"/>
  <c r="Y180" i="11"/>
  <c r="W180" i="11"/>
  <c r="S180" i="11"/>
  <c r="N180" i="11"/>
  <c r="AC179" i="11"/>
  <c r="Y179" i="11"/>
  <c r="W179" i="11"/>
  <c r="S179" i="11"/>
  <c r="N179" i="11"/>
  <c r="AC178" i="11"/>
  <c r="Y178" i="11"/>
  <c r="W178" i="11"/>
  <c r="S178" i="11"/>
  <c r="N178" i="11"/>
  <c r="AC177" i="11"/>
  <c r="Y177" i="11"/>
  <c r="W177" i="11"/>
  <c r="S177" i="11"/>
  <c r="N177" i="11"/>
  <c r="AC176" i="11"/>
  <c r="Y176" i="11"/>
  <c r="W176" i="11"/>
  <c r="S176" i="11"/>
  <c r="N176" i="11"/>
  <c r="S175" i="11"/>
  <c r="U175" i="11" s="1"/>
  <c r="Y175" i="11" s="1"/>
  <c r="N175" i="11"/>
  <c r="AA174" i="11"/>
  <c r="S174" i="11"/>
  <c r="U174" i="11" s="1"/>
  <c r="N174" i="11"/>
  <c r="AC173" i="11"/>
  <c r="Y173" i="11"/>
  <c r="W173" i="11"/>
  <c r="S173" i="11"/>
  <c r="N173" i="11"/>
  <c r="O172" i="11"/>
  <c r="M172" i="11"/>
  <c r="AC170" i="11"/>
  <c r="Y170" i="11"/>
  <c r="W170" i="11"/>
  <c r="S170" i="11"/>
  <c r="N170" i="11"/>
  <c r="AC169" i="11"/>
  <c r="S169" i="11"/>
  <c r="U169" i="11" s="1"/>
  <c r="W169" i="11" s="1"/>
  <c r="Z169" i="11" s="1"/>
  <c r="AG169" i="11" s="1"/>
  <c r="N169" i="11"/>
  <c r="S168" i="11"/>
  <c r="U168" i="11" s="1"/>
  <c r="N168" i="11"/>
  <c r="S167" i="11"/>
  <c r="U167" i="11" s="1"/>
  <c r="N167" i="11"/>
  <c r="AC166" i="11"/>
  <c r="Y166" i="11"/>
  <c r="W166" i="11"/>
  <c r="S166" i="11"/>
  <c r="N166" i="11"/>
  <c r="AC165" i="11"/>
  <c r="Y165" i="11"/>
  <c r="W165" i="11"/>
  <c r="S165" i="11"/>
  <c r="N165" i="11"/>
  <c r="AC164" i="11"/>
  <c r="Y164" i="11"/>
  <c r="W164" i="11"/>
  <c r="S164" i="11"/>
  <c r="N164" i="11"/>
  <c r="AC163" i="11"/>
  <c r="Y163" i="11"/>
  <c r="W163" i="11"/>
  <c r="S163" i="11"/>
  <c r="N163" i="11"/>
  <c r="AC162" i="11"/>
  <c r="Y162" i="11"/>
  <c r="W162" i="11"/>
  <c r="S162" i="11"/>
  <c r="N162" i="11"/>
  <c r="AC161" i="11"/>
  <c r="Y161" i="11"/>
  <c r="W161" i="11"/>
  <c r="S161" i="11"/>
  <c r="N161" i="11"/>
  <c r="AC160" i="11"/>
  <c r="Y160" i="11"/>
  <c r="W160" i="11"/>
  <c r="S160" i="11"/>
  <c r="N160" i="11"/>
  <c r="AC159" i="11"/>
  <c r="Y159" i="11"/>
  <c r="W159" i="11"/>
  <c r="S159" i="11"/>
  <c r="N159" i="11"/>
  <c r="AC158" i="11"/>
  <c r="Y158" i="11"/>
  <c r="W158" i="11"/>
  <c r="S158" i="11"/>
  <c r="N158" i="11"/>
  <c r="AC157" i="11"/>
  <c r="Y157" i="11"/>
  <c r="W157" i="11"/>
  <c r="S157" i="11"/>
  <c r="N157" i="11"/>
  <c r="AC156" i="11"/>
  <c r="Y156" i="11"/>
  <c r="W156" i="11"/>
  <c r="S156" i="11"/>
  <c r="N156" i="11"/>
  <c r="AC155" i="11"/>
  <c r="Y155" i="11"/>
  <c r="W155" i="11"/>
  <c r="S155" i="11"/>
  <c r="N155" i="11"/>
  <c r="AC154" i="11"/>
  <c r="Y154" i="11"/>
  <c r="W154" i="11"/>
  <c r="S154" i="11"/>
  <c r="N154" i="11"/>
  <c r="AC153" i="11"/>
  <c r="Y153" i="11"/>
  <c r="W153" i="11"/>
  <c r="S153" i="11"/>
  <c r="N153" i="11"/>
  <c r="AC152" i="11"/>
  <c r="Y152" i="11"/>
  <c r="W152" i="11"/>
  <c r="S152" i="11"/>
  <c r="N152" i="11"/>
  <c r="AC151" i="11"/>
  <c r="Y151" i="11"/>
  <c r="W151" i="11"/>
  <c r="S151" i="11"/>
  <c r="N151" i="11"/>
  <c r="AC150" i="11"/>
  <c r="Y150" i="11"/>
  <c r="W150" i="11"/>
  <c r="S150" i="11"/>
  <c r="N150" i="11"/>
  <c r="AC149" i="11"/>
  <c r="Y149" i="11"/>
  <c r="W149" i="11"/>
  <c r="S149" i="11"/>
  <c r="N149" i="11"/>
  <c r="S148" i="11"/>
  <c r="U148" i="11" s="1"/>
  <c r="N148" i="11"/>
  <c r="S147" i="11"/>
  <c r="U147" i="11" s="1"/>
  <c r="N147" i="11"/>
  <c r="S146" i="11"/>
  <c r="U146" i="11" s="1"/>
  <c r="N146" i="11"/>
  <c r="S145" i="11"/>
  <c r="U145" i="11" s="1"/>
  <c r="AB145" i="11" s="1"/>
  <c r="N145" i="11"/>
  <c r="S144" i="11"/>
  <c r="U144" i="11" s="1"/>
  <c r="N144" i="11"/>
  <c r="S143" i="11"/>
  <c r="U143" i="11" s="1"/>
  <c r="Y143" i="11" s="1"/>
  <c r="N143" i="11"/>
  <c r="S142" i="11"/>
  <c r="U142" i="11" s="1"/>
  <c r="N142" i="11"/>
  <c r="S141" i="11"/>
  <c r="U141" i="11" s="1"/>
  <c r="AB141" i="11" s="1"/>
  <c r="N141" i="11"/>
  <c r="S140" i="11"/>
  <c r="U140" i="11" s="1"/>
  <c r="N140" i="11"/>
  <c r="S139" i="11"/>
  <c r="U139" i="11" s="1"/>
  <c r="N139" i="11"/>
  <c r="AC138" i="11"/>
  <c r="Y138" i="11"/>
  <c r="W138" i="11"/>
  <c r="S138" i="11"/>
  <c r="N138" i="11"/>
  <c r="AC137" i="11"/>
  <c r="Y137" i="11"/>
  <c r="W137" i="11"/>
  <c r="S137" i="11"/>
  <c r="N137" i="11"/>
  <c r="AC136" i="11"/>
  <c r="Y136" i="11"/>
  <c r="W136" i="11"/>
  <c r="S136" i="11"/>
  <c r="N136" i="11"/>
  <c r="AC135" i="11"/>
  <c r="Y135" i="11"/>
  <c r="W135" i="11"/>
  <c r="S135" i="11"/>
  <c r="N135" i="11"/>
  <c r="AC134" i="11"/>
  <c r="Y134" i="11"/>
  <c r="W134" i="11"/>
  <c r="S134" i="11"/>
  <c r="N134" i="11"/>
  <c r="AC133" i="11"/>
  <c r="Y133" i="11"/>
  <c r="W133" i="11"/>
  <c r="S133" i="11"/>
  <c r="N133" i="11"/>
  <c r="AC132" i="11"/>
  <c r="Y132" i="11"/>
  <c r="W132" i="11"/>
  <c r="S132" i="11"/>
  <c r="N132" i="11"/>
  <c r="AC131" i="11"/>
  <c r="Y131" i="11"/>
  <c r="W131" i="11"/>
  <c r="S131" i="11"/>
  <c r="N131" i="11"/>
  <c r="AC130" i="11"/>
  <c r="Y130" i="11"/>
  <c r="W130" i="11"/>
  <c r="S130" i="11"/>
  <c r="N130" i="11"/>
  <c r="AC129" i="11"/>
  <c r="Y129" i="11"/>
  <c r="W129" i="11"/>
  <c r="S129" i="11"/>
  <c r="N129" i="11"/>
  <c r="AC128" i="11"/>
  <c r="Y128" i="11"/>
  <c r="W128" i="11"/>
  <c r="S128" i="11"/>
  <c r="N128" i="11"/>
  <c r="AC127" i="11"/>
  <c r="Y127" i="11"/>
  <c r="W127" i="11"/>
  <c r="S127" i="11"/>
  <c r="N127" i="11"/>
  <c r="AC126" i="11"/>
  <c r="Y126" i="11"/>
  <c r="W126" i="11"/>
  <c r="S126" i="11"/>
  <c r="N126" i="11"/>
  <c r="AC125" i="11"/>
  <c r="Y125" i="11"/>
  <c r="W125" i="11"/>
  <c r="S125" i="11"/>
  <c r="N125" i="11"/>
  <c r="AC124" i="11"/>
  <c r="Y124" i="11"/>
  <c r="W124" i="11"/>
  <c r="S124" i="11"/>
  <c r="N124" i="11"/>
  <c r="AC123" i="11"/>
  <c r="Y123" i="11"/>
  <c r="W123" i="11"/>
  <c r="S123" i="11"/>
  <c r="N123" i="11"/>
  <c r="AC122" i="11"/>
  <c r="S122" i="11"/>
  <c r="U122" i="11" s="1"/>
  <c r="N122" i="11"/>
  <c r="AC121" i="11"/>
  <c r="S121" i="11"/>
  <c r="U121" i="11" s="1"/>
  <c r="W121" i="11" s="1"/>
  <c r="N121" i="11"/>
  <c r="AC120" i="11"/>
  <c r="Y120" i="11"/>
  <c r="W120" i="11"/>
  <c r="S120" i="11"/>
  <c r="N120" i="11"/>
  <c r="AC119" i="11"/>
  <c r="Y119" i="11"/>
  <c r="W119" i="11"/>
  <c r="S119" i="11"/>
  <c r="N119" i="11"/>
  <c r="AC118" i="11"/>
  <c r="Y118" i="11"/>
  <c r="W118" i="11"/>
  <c r="S118" i="11"/>
  <c r="N118" i="11"/>
  <c r="AC117" i="11"/>
  <c r="Y117" i="11"/>
  <c r="W117" i="11"/>
  <c r="S117" i="11"/>
  <c r="N117" i="11"/>
  <c r="AC116" i="11"/>
  <c r="Y116" i="11"/>
  <c r="W116" i="11"/>
  <c r="S116" i="11"/>
  <c r="N116" i="11"/>
  <c r="O115" i="11"/>
  <c r="M115" i="11"/>
  <c r="AC114" i="11"/>
  <c r="AC113" i="11" s="1"/>
  <c r="Y114" i="11"/>
  <c r="W114" i="11"/>
  <c r="S114" i="11"/>
  <c r="S113" i="11" s="1"/>
  <c r="N114" i="11"/>
  <c r="AB113" i="11"/>
  <c r="U113" i="11"/>
  <c r="O113" i="11"/>
  <c r="M113" i="11"/>
  <c r="S112" i="11"/>
  <c r="U112" i="11" s="1"/>
  <c r="N112" i="11"/>
  <c r="AC111" i="11"/>
  <c r="Y111" i="11"/>
  <c r="W111" i="11"/>
  <c r="S111" i="11"/>
  <c r="N111" i="11"/>
  <c r="O110" i="11"/>
  <c r="M110" i="11"/>
  <c r="AC109" i="11"/>
  <c r="Y109" i="11"/>
  <c r="W109" i="11"/>
  <c r="S109" i="11"/>
  <c r="N109" i="11"/>
  <c r="AC108" i="11"/>
  <c r="Y108" i="11"/>
  <c r="W108" i="11"/>
  <c r="S108" i="11"/>
  <c r="N108" i="11"/>
  <c r="AC107" i="11"/>
  <c r="Y107" i="11"/>
  <c r="W107" i="11"/>
  <c r="S107" i="11"/>
  <c r="N107" i="11"/>
  <c r="AC106" i="11"/>
  <c r="Y106" i="11"/>
  <c r="W106" i="11"/>
  <c r="S106" i="11"/>
  <c r="N106" i="11"/>
  <c r="AC105" i="11"/>
  <c r="Y105" i="11"/>
  <c r="W105" i="11"/>
  <c r="S105" i="11"/>
  <c r="N105" i="11"/>
  <c r="AC104" i="11"/>
  <c r="Y104" i="11"/>
  <c r="W104" i="11"/>
  <c r="S104" i="11"/>
  <c r="N104" i="11"/>
  <c r="AB103" i="11"/>
  <c r="U103" i="11"/>
  <c r="O103" i="11"/>
  <c r="M103" i="11"/>
  <c r="Q100" i="11"/>
  <c r="Q99" i="11"/>
  <c r="Q98" i="11"/>
  <c r="AC97" i="11"/>
  <c r="AC96" i="11" s="1"/>
  <c r="AB97" i="11"/>
  <c r="AB96" i="11" s="1"/>
  <c r="O1447" i="11" s="1"/>
  <c r="O1446" i="11" s="1"/>
  <c r="W97" i="11"/>
  <c r="W96" i="11" s="1"/>
  <c r="U97" i="11"/>
  <c r="U96" i="11" s="1"/>
  <c r="S97" i="11"/>
  <c r="S96" i="11" s="1"/>
  <c r="R97" i="11"/>
  <c r="R96" i="11" s="1"/>
  <c r="P97" i="11"/>
  <c r="P96" i="11" s="1"/>
  <c r="O97" i="11"/>
  <c r="O96" i="11" s="1"/>
  <c r="M97" i="11"/>
  <c r="M96" i="11" s="1"/>
  <c r="Q95" i="11"/>
  <c r="AC94" i="11"/>
  <c r="AB94" i="11"/>
  <c r="Z94" i="11"/>
  <c r="Y94" i="11"/>
  <c r="W94" i="11"/>
  <c r="U94" i="11"/>
  <c r="S94" i="11"/>
  <c r="R94" i="11"/>
  <c r="P94" i="11"/>
  <c r="O94" i="11"/>
  <c r="M94" i="11"/>
  <c r="Q93" i="11"/>
  <c r="AC92" i="11"/>
  <c r="AB92" i="11"/>
  <c r="Z92" i="11"/>
  <c r="Y92" i="11"/>
  <c r="W92" i="11"/>
  <c r="U92" i="11"/>
  <c r="S92" i="11"/>
  <c r="R92" i="11"/>
  <c r="P92" i="11"/>
  <c r="O92" i="11"/>
  <c r="M92" i="11"/>
  <c r="Q91" i="11"/>
  <c r="AC90" i="11"/>
  <c r="AB90" i="11"/>
  <c r="Z90" i="11"/>
  <c r="Y90" i="11"/>
  <c r="W90" i="11"/>
  <c r="W89" i="11" s="1"/>
  <c r="U90" i="11"/>
  <c r="S90" i="11"/>
  <c r="R90" i="11"/>
  <c r="P90" i="11"/>
  <c r="O90" i="11"/>
  <c r="M90" i="11"/>
  <c r="Q88" i="11"/>
  <c r="AC87" i="11"/>
  <c r="AB87" i="11"/>
  <c r="Z87" i="11"/>
  <c r="Y87" i="11"/>
  <c r="W87" i="11"/>
  <c r="U87" i="11"/>
  <c r="S87" i="11"/>
  <c r="R87" i="11"/>
  <c r="P87" i="11"/>
  <c r="O87" i="11"/>
  <c r="M87" i="11"/>
  <c r="Q86" i="11"/>
  <c r="AC85" i="11"/>
  <c r="AB85" i="11"/>
  <c r="Z85" i="11"/>
  <c r="Y85" i="11"/>
  <c r="W85" i="11"/>
  <c r="U85" i="11"/>
  <c r="S85" i="11"/>
  <c r="R85" i="11"/>
  <c r="P85" i="11"/>
  <c r="O85" i="11"/>
  <c r="M85" i="11"/>
  <c r="Q84" i="11"/>
  <c r="AC83" i="11"/>
  <c r="AB83" i="11"/>
  <c r="Z83" i="11"/>
  <c r="Y83" i="11"/>
  <c r="W83" i="11"/>
  <c r="U83" i="11"/>
  <c r="S83" i="11"/>
  <c r="R83" i="11"/>
  <c r="P83" i="11"/>
  <c r="O83" i="11"/>
  <c r="M83" i="11"/>
  <c r="Q82" i="11"/>
  <c r="AB80" i="11"/>
  <c r="AB79" i="11" s="1"/>
  <c r="U80" i="11"/>
  <c r="S80" i="11"/>
  <c r="O80" i="11"/>
  <c r="M80" i="11"/>
  <c r="AC79" i="11"/>
  <c r="Z79" i="11"/>
  <c r="Y79" i="11"/>
  <c r="W79" i="11"/>
  <c r="U79" i="11"/>
  <c r="S79" i="11"/>
  <c r="R79" i="11"/>
  <c r="P79" i="11"/>
  <c r="O79" i="11"/>
  <c r="M79" i="11"/>
  <c r="AA78" i="11"/>
  <c r="S78" i="11"/>
  <c r="U78" i="11" s="1"/>
  <c r="Y78" i="11" s="1"/>
  <c r="AA77" i="11"/>
  <c r="S77" i="11"/>
  <c r="U77" i="11" s="1"/>
  <c r="Y77" i="11" s="1"/>
  <c r="AA76" i="11"/>
  <c r="S76" i="11"/>
  <c r="U76" i="11" s="1"/>
  <c r="Y76" i="11" s="1"/>
  <c r="AA75" i="11"/>
  <c r="S75" i="11"/>
  <c r="U75" i="11" s="1"/>
  <c r="Y75" i="11" s="1"/>
  <c r="AA74" i="11"/>
  <c r="S74" i="11"/>
  <c r="U74" i="11" s="1"/>
  <c r="Y74" i="11" s="1"/>
  <c r="AA73" i="11"/>
  <c r="S73" i="11"/>
  <c r="U73" i="11" s="1"/>
  <c r="Y73" i="11" s="1"/>
  <c r="S72" i="11"/>
  <c r="U72" i="11" s="1"/>
  <c r="AB72" i="11" s="1"/>
  <c r="AC72" i="11" s="1"/>
  <c r="S71" i="11"/>
  <c r="U71" i="11" s="1"/>
  <c r="S70" i="11"/>
  <c r="U70" i="11" s="1"/>
  <c r="AB70" i="11" s="1"/>
  <c r="AC70" i="11" s="1"/>
  <c r="S69" i="11"/>
  <c r="U69" i="11" s="1"/>
  <c r="S68" i="11"/>
  <c r="U68" i="11" s="1"/>
  <c r="S67" i="11"/>
  <c r="U67" i="11" s="1"/>
  <c r="S66" i="11"/>
  <c r="U66" i="11" s="1"/>
  <c r="AB66" i="11" s="1"/>
  <c r="AC66" i="11" s="1"/>
  <c r="S65" i="11"/>
  <c r="U65" i="11" s="1"/>
  <c r="S64" i="11"/>
  <c r="U64" i="11" s="1"/>
  <c r="Y64" i="11" s="1"/>
  <c r="S63" i="11"/>
  <c r="AC62" i="11"/>
  <c r="Y62" i="11"/>
  <c r="W62" i="11"/>
  <c r="S62" i="11"/>
  <c r="AC61" i="11"/>
  <c r="Y61" i="11"/>
  <c r="W61" i="11"/>
  <c r="S61" i="11"/>
  <c r="AC60" i="11"/>
  <c r="Y60" i="11"/>
  <c r="W60" i="11"/>
  <c r="S60" i="11"/>
  <c r="AC59" i="11"/>
  <c r="W59" i="11"/>
  <c r="Z59" i="11" s="1"/>
  <c r="S59" i="11"/>
  <c r="O58" i="11"/>
  <c r="M58" i="11"/>
  <c r="S57" i="11"/>
  <c r="S56" i="11" s="1"/>
  <c r="O56" i="11"/>
  <c r="M56" i="11"/>
  <c r="AA55" i="11"/>
  <c r="S55" i="11"/>
  <c r="U55" i="11" s="1"/>
  <c r="S54" i="11"/>
  <c r="U54" i="11" s="1"/>
  <c r="S53" i="11"/>
  <c r="U53" i="11" s="1"/>
  <c r="AB53" i="11" s="1"/>
  <c r="AC53" i="11" s="1"/>
  <c r="S52" i="11"/>
  <c r="U52" i="11" s="1"/>
  <c r="AC51" i="11"/>
  <c r="Y51" i="11"/>
  <c r="W51" i="11"/>
  <c r="S51" i="11"/>
  <c r="AC50" i="11"/>
  <c r="Y50" i="11"/>
  <c r="W50" i="11"/>
  <c r="S50" i="11"/>
  <c r="S49" i="11"/>
  <c r="U49" i="11" s="1"/>
  <c r="AC48" i="11"/>
  <c r="Y48" i="11"/>
  <c r="W48" i="11"/>
  <c r="S48" i="11"/>
  <c r="AC47" i="11"/>
  <c r="Y47" i="11"/>
  <c r="W47" i="11"/>
  <c r="S47" i="11"/>
  <c r="O46" i="11"/>
  <c r="M46" i="11"/>
  <c r="R45" i="11"/>
  <c r="Q45" i="11"/>
  <c r="P45" i="11"/>
  <c r="S42" i="11"/>
  <c r="S41" i="11" s="1"/>
  <c r="S40" i="11" s="1"/>
  <c r="S31" i="11" s="1"/>
  <c r="O41" i="11"/>
  <c r="O40" i="11" s="1"/>
  <c r="O31" i="11" s="1"/>
  <c r="M41" i="11"/>
  <c r="M40" i="11" s="1"/>
  <c r="M31" i="11" s="1"/>
  <c r="Y40" i="11"/>
  <c r="R40" i="11"/>
  <c r="Q40" i="11"/>
  <c r="P40" i="11"/>
  <c r="AC36" i="11"/>
  <c r="AB36" i="11"/>
  <c r="Z36" i="11"/>
  <c r="Y36" i="11"/>
  <c r="W36" i="11"/>
  <c r="U36" i="11"/>
  <c r="S36" i="11"/>
  <c r="R36" i="11"/>
  <c r="Q36" i="11"/>
  <c r="P36" i="11"/>
  <c r="O36" i="11"/>
  <c r="M36" i="11"/>
  <c r="AC32" i="11"/>
  <c r="AB32" i="11"/>
  <c r="Z32" i="11"/>
  <c r="Y32" i="11"/>
  <c r="W32" i="11"/>
  <c r="U32" i="11"/>
  <c r="S32" i="11"/>
  <c r="R32" i="11"/>
  <c r="Q32" i="11"/>
  <c r="P32" i="11"/>
  <c r="O32" i="11"/>
  <c r="M32" i="11"/>
  <c r="AC24" i="11"/>
  <c r="AB24" i="11"/>
  <c r="Z24" i="11"/>
  <c r="Y24" i="11"/>
  <c r="W24" i="11"/>
  <c r="U24" i="11"/>
  <c r="S24" i="11"/>
  <c r="R24" i="11"/>
  <c r="Q24" i="11"/>
  <c r="P24" i="11"/>
  <c r="O24" i="11"/>
  <c r="M24" i="11"/>
  <c r="AC19" i="11"/>
  <c r="AB19" i="11"/>
  <c r="Z19" i="11"/>
  <c r="Y19" i="11"/>
  <c r="W19" i="11"/>
  <c r="U19" i="11"/>
  <c r="S19" i="11"/>
  <c r="R19" i="11"/>
  <c r="Q19" i="11"/>
  <c r="P19" i="11"/>
  <c r="O19" i="11"/>
  <c r="M19" i="11"/>
  <c r="AC14" i="11"/>
  <c r="AB14" i="11"/>
  <c r="Z14" i="11"/>
  <c r="Y14" i="11"/>
  <c r="W14" i="11"/>
  <c r="U14" i="11"/>
  <c r="S14" i="11"/>
  <c r="R14" i="11"/>
  <c r="Q14" i="11"/>
  <c r="P14" i="11"/>
  <c r="O14" i="11"/>
  <c r="M14" i="11"/>
  <c r="AC9" i="11"/>
  <c r="AC8" i="11" s="1"/>
  <c r="AB9" i="11"/>
  <c r="Z9" i="11"/>
  <c r="Y9" i="11"/>
  <c r="W9" i="11"/>
  <c r="U9" i="11"/>
  <c r="S9" i="11"/>
  <c r="R9" i="11"/>
  <c r="Q9" i="11"/>
  <c r="P9" i="11"/>
  <c r="O9" i="11"/>
  <c r="O8" i="11" s="1"/>
  <c r="M9" i="11"/>
  <c r="AC1019" i="11" l="1"/>
  <c r="Z837" i="11"/>
  <c r="P1040" i="11"/>
  <c r="S1370" i="11"/>
  <c r="P1344" i="11"/>
  <c r="Q837" i="11"/>
  <c r="R1296" i="11"/>
  <c r="S1199" i="11"/>
  <c r="M8" i="11"/>
  <c r="AC1344" i="11"/>
  <c r="R1040" i="11"/>
  <c r="AC1296" i="11"/>
  <c r="W1344" i="11"/>
  <c r="Y1199" i="11"/>
  <c r="S8" i="11"/>
  <c r="U1184" i="11"/>
  <c r="Y1184" i="11" s="1"/>
  <c r="T1185" i="11"/>
  <c r="U1185" i="11" s="1"/>
  <c r="AB1185" i="11" s="1"/>
  <c r="Y1033" i="11"/>
  <c r="Y1206" i="11"/>
  <c r="W837" i="11"/>
  <c r="P1019" i="11"/>
  <c r="AB1344" i="11"/>
  <c r="W1055" i="11"/>
  <c r="Q1296" i="11"/>
  <c r="W1296" i="11"/>
  <c r="AC1357" i="11"/>
  <c r="U1370" i="11"/>
  <c r="W8" i="11"/>
  <c r="M1040" i="11"/>
  <c r="P816" i="11"/>
  <c r="W816" i="11"/>
  <c r="U1091" i="11"/>
  <c r="Y1091" i="11" s="1"/>
  <c r="T1092" i="11"/>
  <c r="U1092" i="11" s="1"/>
  <c r="Q816" i="11"/>
  <c r="R8" i="11"/>
  <c r="Y8" i="11"/>
  <c r="Y1156" i="11"/>
  <c r="Z1156" i="11" s="1"/>
  <c r="AB1156" i="11"/>
  <c r="AC1156" i="11" s="1"/>
  <c r="Z1055" i="11"/>
  <c r="AB1199" i="11"/>
  <c r="O1529" i="11" s="1"/>
  <c r="O1528" i="11" s="1"/>
  <c r="O816" i="11"/>
  <c r="AB1370" i="11"/>
  <c r="S1296" i="11"/>
  <c r="P1370" i="11"/>
  <c r="Z8" i="11"/>
  <c r="AC1199" i="11"/>
  <c r="Q8" i="11"/>
  <c r="U1055" i="11"/>
  <c r="P8" i="11"/>
  <c r="U1024" i="11"/>
  <c r="Y1055" i="11"/>
  <c r="P1206" i="11"/>
  <c r="U816" i="11"/>
  <c r="AB1206" i="11"/>
  <c r="O1533" i="11" s="1"/>
  <c r="O1532" i="11" s="1"/>
  <c r="O1055" i="11"/>
  <c r="Y1370" i="11"/>
  <c r="Y1295" i="11" s="1"/>
  <c r="P837" i="11"/>
  <c r="M1296" i="11"/>
  <c r="M1295" i="11" s="1"/>
  <c r="P1357" i="11"/>
  <c r="U1357" i="11"/>
  <c r="P1055" i="11"/>
  <c r="AC837" i="11"/>
  <c r="Z1024" i="11"/>
  <c r="O837" i="11"/>
  <c r="W1040" i="11"/>
  <c r="Q1033" i="11"/>
  <c r="W1357" i="11"/>
  <c r="S816" i="11"/>
  <c r="Q1055" i="11"/>
  <c r="Z1199" i="11"/>
  <c r="R1206" i="11"/>
  <c r="O1357" i="11"/>
  <c r="O1295" i="11" s="1"/>
  <c r="AB1033" i="11"/>
  <c r="O1487" i="11" s="1"/>
  <c r="O1486" i="11" s="1"/>
  <c r="Q1344" i="11"/>
  <c r="Y837" i="11"/>
  <c r="U8" i="11"/>
  <c r="AC89" i="11"/>
  <c r="Z1344" i="11"/>
  <c r="Z1295" i="11" s="1"/>
  <c r="AB8" i="11"/>
  <c r="Z816" i="11"/>
  <c r="R1370" i="11"/>
  <c r="M1055" i="11"/>
  <c r="W1370" i="11"/>
  <c r="AB1055" i="11"/>
  <c r="O1503" i="11" s="1"/>
  <c r="O1502" i="11" s="1"/>
  <c r="U1206" i="11"/>
  <c r="U1033" i="11"/>
  <c r="S1024" i="11"/>
  <c r="Z551" i="11"/>
  <c r="AG551" i="11" s="1"/>
  <c r="AB837" i="11"/>
  <c r="O1467" i="11" s="1"/>
  <c r="O1466" i="11" s="1"/>
  <c r="AB816" i="11"/>
  <c r="O1463" i="11" s="1"/>
  <c r="O1462" i="11" s="1"/>
  <c r="Z157" i="11"/>
  <c r="AG157" i="11" s="1"/>
  <c r="Z165" i="11"/>
  <c r="AG165" i="11" s="1"/>
  <c r="Z555" i="11"/>
  <c r="AG555" i="11" s="1"/>
  <c r="Z205" i="11"/>
  <c r="AG205" i="11" s="1"/>
  <c r="Z209" i="11"/>
  <c r="AG209" i="11" s="1"/>
  <c r="Z213" i="11"/>
  <c r="AG213" i="11" s="1"/>
  <c r="Z243" i="11"/>
  <c r="Z249" i="11"/>
  <c r="Z251" i="11"/>
  <c r="Z306" i="11"/>
  <c r="AG306" i="11" s="1"/>
  <c r="Z310" i="11"/>
  <c r="AG310" i="11" s="1"/>
  <c r="Z314" i="11"/>
  <c r="AG314" i="11" s="1"/>
  <c r="Z322" i="11"/>
  <c r="AG322" i="11" s="1"/>
  <c r="Z326" i="11"/>
  <c r="AG326" i="11" s="1"/>
  <c r="Z330" i="11"/>
  <c r="AG330" i="11" s="1"/>
  <c r="Z334" i="11"/>
  <c r="AG334" i="11" s="1"/>
  <c r="Z530" i="11"/>
  <c r="AG530" i="11" s="1"/>
  <c r="Z534" i="11"/>
  <c r="AG534" i="11" s="1"/>
  <c r="Z538" i="11"/>
  <c r="AG538" i="11" s="1"/>
  <c r="Z595" i="11"/>
  <c r="AG595" i="11" s="1"/>
  <c r="Z567" i="11"/>
  <c r="AG567" i="11" s="1"/>
  <c r="AB657" i="11"/>
  <c r="AC657" i="11" s="1"/>
  <c r="Z204" i="11"/>
  <c r="AG204" i="11" s="1"/>
  <c r="Z875" i="11"/>
  <c r="Z360" i="11"/>
  <c r="AG360" i="11" s="1"/>
  <c r="Z394" i="11"/>
  <c r="AG394" i="11" s="1"/>
  <c r="Z400" i="11"/>
  <c r="AG400" i="11" s="1"/>
  <c r="Z528" i="11"/>
  <c r="AG528" i="11" s="1"/>
  <c r="Z597" i="11"/>
  <c r="AG597" i="11" s="1"/>
  <c r="Z678" i="11"/>
  <c r="AG678" i="11" s="1"/>
  <c r="Z892" i="11"/>
  <c r="Z900" i="11"/>
  <c r="Z904" i="11"/>
  <c r="P1072" i="11"/>
  <c r="P1071" i="11" s="1"/>
  <c r="P1070" i="11" s="1"/>
  <c r="R1070" i="11"/>
  <c r="O808" i="11"/>
  <c r="Z408" i="11"/>
  <c r="AG408" i="11" s="1"/>
  <c r="Z412" i="11"/>
  <c r="AG412" i="11" s="1"/>
  <c r="AB571" i="11"/>
  <c r="AC571" i="11" s="1"/>
  <c r="Y31" i="11"/>
  <c r="Z51" i="11"/>
  <c r="Z159" i="11"/>
  <c r="AG159" i="11" s="1"/>
  <c r="Z339" i="11"/>
  <c r="AG339" i="11" s="1"/>
  <c r="Z351" i="11"/>
  <c r="AG351" i="11" s="1"/>
  <c r="Z413" i="11"/>
  <c r="AG413" i="11" s="1"/>
  <c r="Z417" i="11"/>
  <c r="AG417" i="11" s="1"/>
  <c r="Z433" i="11"/>
  <c r="AG433" i="11" s="1"/>
  <c r="Z720" i="11"/>
  <c r="AB1182" i="11"/>
  <c r="AC1182" i="11" s="1"/>
  <c r="AB694" i="11"/>
  <c r="AC694" i="11" s="1"/>
  <c r="Z178" i="11"/>
  <c r="AG178" i="11" s="1"/>
  <c r="Z193" i="11"/>
  <c r="AG193" i="11" s="1"/>
  <c r="Z361" i="11"/>
  <c r="AG361" i="11" s="1"/>
  <c r="Z362" i="11"/>
  <c r="AG362" i="11" s="1"/>
  <c r="Z365" i="11"/>
  <c r="AG365" i="11" s="1"/>
  <c r="Z410" i="11"/>
  <c r="AG410" i="11" s="1"/>
  <c r="R1510" i="11"/>
  <c r="Z1565" i="11"/>
  <c r="Q92" i="11"/>
  <c r="Z416" i="11"/>
  <c r="AG416" i="11" s="1"/>
  <c r="Z428" i="11"/>
  <c r="AG428" i="11" s="1"/>
  <c r="Q808" i="11"/>
  <c r="AB1177" i="11"/>
  <c r="Z427" i="11"/>
  <c r="AG427" i="11" s="1"/>
  <c r="Z443" i="11"/>
  <c r="AG443" i="11" s="1"/>
  <c r="W499" i="11"/>
  <c r="Z676" i="11"/>
  <c r="AG676" i="11" s="1"/>
  <c r="Z680" i="11"/>
  <c r="AG680" i="11" s="1"/>
  <c r="Z684" i="11"/>
  <c r="AG684" i="11" s="1"/>
  <c r="Z688" i="11"/>
  <c r="AG688" i="11" s="1"/>
  <c r="Q846" i="11"/>
  <c r="Z905" i="11"/>
  <c r="Z909" i="11"/>
  <c r="P1270" i="11"/>
  <c r="AB1549" i="11"/>
  <c r="O1579" i="11" s="1"/>
  <c r="O1578" i="11" s="1"/>
  <c r="O1577" i="11" s="1"/>
  <c r="O1576" i="11" s="1"/>
  <c r="O1549" i="11" s="1"/>
  <c r="Z123" i="11"/>
  <c r="AG123" i="11" s="1"/>
  <c r="Z131" i="11"/>
  <c r="AG131" i="11" s="1"/>
  <c r="Z160" i="11"/>
  <c r="AG160" i="11" s="1"/>
  <c r="W490" i="11"/>
  <c r="Z490" i="11" s="1"/>
  <c r="Z585" i="11"/>
  <c r="AG585" i="11" s="1"/>
  <c r="Z589" i="11"/>
  <c r="AG589" i="11" s="1"/>
  <c r="Z640" i="11"/>
  <c r="AG640" i="11" s="1"/>
  <c r="Z642" i="11"/>
  <c r="AG642" i="11" s="1"/>
  <c r="Z668" i="11"/>
  <c r="AG668" i="11" s="1"/>
  <c r="Z779" i="11"/>
  <c r="Z780" i="11"/>
  <c r="AC794" i="11"/>
  <c r="R846" i="11"/>
  <c r="Z940" i="11"/>
  <c r="Z944" i="11"/>
  <c r="Z948" i="11"/>
  <c r="Z952" i="11"/>
  <c r="Z956" i="11"/>
  <c r="Z960" i="11"/>
  <c r="Z1000" i="11"/>
  <c r="Y1114" i="11"/>
  <c r="Z1114" i="11" s="1"/>
  <c r="T1165" i="11"/>
  <c r="U1165" i="11" s="1"/>
  <c r="Y1165" i="11" s="1"/>
  <c r="P1221" i="11"/>
  <c r="Z48" i="11"/>
  <c r="U57" i="11"/>
  <c r="AB57" i="11" s="1"/>
  <c r="AB56" i="11" s="1"/>
  <c r="Z114" i="11"/>
  <c r="Y504" i="11"/>
  <c r="Z631" i="11"/>
  <c r="AG631" i="11" s="1"/>
  <c r="Z635" i="11"/>
  <c r="AG635" i="11" s="1"/>
  <c r="Z651" i="11"/>
  <c r="AG651" i="11" s="1"/>
  <c r="Z662" i="11"/>
  <c r="AG662" i="11" s="1"/>
  <c r="Z670" i="11"/>
  <c r="AG670" i="11" s="1"/>
  <c r="Z677" i="11"/>
  <c r="AG677" i="11" s="1"/>
  <c r="Z762" i="11"/>
  <c r="Z765" i="11"/>
  <c r="Z766" i="11"/>
  <c r="Z770" i="11"/>
  <c r="Z774" i="11"/>
  <c r="Z778" i="11"/>
  <c r="Z796" i="11"/>
  <c r="Y794" i="11"/>
  <c r="Z983" i="11"/>
  <c r="Z987" i="11"/>
  <c r="Z991" i="11"/>
  <c r="Z995" i="11"/>
  <c r="Z998" i="11"/>
  <c r="AB1081" i="11"/>
  <c r="AB1124" i="11"/>
  <c r="AC1124" i="11" s="1"/>
  <c r="Y1125" i="11"/>
  <c r="U42" i="11"/>
  <c r="Y42" i="11" s="1"/>
  <c r="S110" i="11"/>
  <c r="Z163" i="11"/>
  <c r="AG163" i="11" s="1"/>
  <c r="S238" i="11"/>
  <c r="Z244" i="11"/>
  <c r="Z248" i="11"/>
  <c r="Z308" i="11"/>
  <c r="AG308" i="11" s="1"/>
  <c r="Z316" i="11"/>
  <c r="AG316" i="11" s="1"/>
  <c r="Z337" i="11"/>
  <c r="AG337" i="11" s="1"/>
  <c r="Z342" i="11"/>
  <c r="AG342" i="11" s="1"/>
  <c r="Z350" i="11"/>
  <c r="AG350" i="11" s="1"/>
  <c r="Z353" i="11"/>
  <c r="AG353" i="11" s="1"/>
  <c r="Z358" i="11"/>
  <c r="AG358" i="11" s="1"/>
  <c r="Z363" i="11"/>
  <c r="AG363" i="11" s="1"/>
  <c r="Z411" i="11"/>
  <c r="AG411" i="11" s="1"/>
  <c r="Z414" i="11"/>
  <c r="AG414" i="11" s="1"/>
  <c r="Z430" i="11"/>
  <c r="AG430" i="11" s="1"/>
  <c r="Z446" i="11"/>
  <c r="AG446" i="11" s="1"/>
  <c r="Z453" i="11"/>
  <c r="AG453" i="11" s="1"/>
  <c r="Z457" i="11"/>
  <c r="AG457" i="11" s="1"/>
  <c r="Z514" i="11"/>
  <c r="AG514" i="11" s="1"/>
  <c r="Z565" i="11"/>
  <c r="AG565" i="11" s="1"/>
  <c r="Y578" i="11"/>
  <c r="Z578" i="11" s="1"/>
  <c r="AG578" i="11" s="1"/>
  <c r="Z581" i="11"/>
  <c r="AG581" i="11" s="1"/>
  <c r="Z582" i="11"/>
  <c r="AG582" i="11" s="1"/>
  <c r="Y590" i="11"/>
  <c r="Z591" i="11"/>
  <c r="AG591" i="11" s="1"/>
  <c r="Z685" i="11"/>
  <c r="AG685" i="11" s="1"/>
  <c r="Z718" i="11"/>
  <c r="Z719" i="11"/>
  <c r="Z722" i="11"/>
  <c r="Z726" i="11"/>
  <c r="Z749" i="11"/>
  <c r="Z753" i="11"/>
  <c r="Z773" i="11"/>
  <c r="Z781" i="11"/>
  <c r="S787" i="11"/>
  <c r="Z791" i="11"/>
  <c r="M786" i="11"/>
  <c r="R786" i="11"/>
  <c r="Z899" i="11"/>
  <c r="Z939" i="11"/>
  <c r="Z943" i="11"/>
  <c r="Z947" i="11"/>
  <c r="Z951" i="11"/>
  <c r="Z955" i="11"/>
  <c r="Z959" i="11"/>
  <c r="Z963" i="11"/>
  <c r="Z984" i="11"/>
  <c r="Z988" i="11"/>
  <c r="Z992" i="11"/>
  <c r="Z996" i="11"/>
  <c r="Y1121" i="11"/>
  <c r="Z1121" i="11" s="1"/>
  <c r="W1122" i="11"/>
  <c r="AB1160" i="11"/>
  <c r="W1167" i="11"/>
  <c r="Z1167" i="11" s="1"/>
  <c r="U1192" i="11"/>
  <c r="U1191" i="11" s="1"/>
  <c r="W1193" i="11"/>
  <c r="W1192" i="11" s="1"/>
  <c r="W1191" i="11" s="1"/>
  <c r="AC1433" i="11"/>
  <c r="R31" i="11"/>
  <c r="O45" i="11"/>
  <c r="AB1121" i="11"/>
  <c r="AC1121" i="11" s="1"/>
  <c r="AB1167" i="11"/>
  <c r="AC1167" i="11" s="1"/>
  <c r="Y1193" i="11"/>
  <c r="Y1192" i="11" s="1"/>
  <c r="Y1191" i="11" s="1"/>
  <c r="O1221" i="11"/>
  <c r="S1222" i="11"/>
  <c r="S1221" i="11" s="1"/>
  <c r="Q1221" i="11"/>
  <c r="R44" i="11"/>
  <c r="P1549" i="11"/>
  <c r="Z184" i="11"/>
  <c r="AG184" i="11" s="1"/>
  <c r="Z186" i="11"/>
  <c r="AG186" i="11" s="1"/>
  <c r="Z190" i="11"/>
  <c r="AG190" i="11" s="1"/>
  <c r="Z194" i="11"/>
  <c r="AG194" i="11" s="1"/>
  <c r="Z307" i="11"/>
  <c r="AG307" i="11" s="1"/>
  <c r="Z311" i="11"/>
  <c r="AG311" i="11" s="1"/>
  <c r="Z379" i="11"/>
  <c r="AG379" i="11" s="1"/>
  <c r="Z432" i="11"/>
  <c r="AG432" i="11" s="1"/>
  <c r="Z440" i="11"/>
  <c r="AG440" i="11" s="1"/>
  <c r="Z444" i="11"/>
  <c r="AG444" i="11" s="1"/>
  <c r="Z452" i="11"/>
  <c r="AG452" i="11" s="1"/>
  <c r="Z456" i="11"/>
  <c r="AG456" i="11" s="1"/>
  <c r="Z515" i="11"/>
  <c r="AG515" i="11" s="1"/>
  <c r="Z516" i="11"/>
  <c r="AG516" i="11" s="1"/>
  <c r="Z536" i="11"/>
  <c r="AG536" i="11" s="1"/>
  <c r="Z563" i="11"/>
  <c r="AG563" i="11" s="1"/>
  <c r="Z564" i="11"/>
  <c r="AG564" i="11" s="1"/>
  <c r="Z583" i="11"/>
  <c r="AG583" i="11" s="1"/>
  <c r="Z686" i="11"/>
  <c r="AG686" i="11" s="1"/>
  <c r="Z783" i="11"/>
  <c r="S809" i="11"/>
  <c r="S808" i="11" s="1"/>
  <c r="Z893" i="11"/>
  <c r="Z897" i="11"/>
  <c r="W1107" i="11"/>
  <c r="Z1107" i="11" s="1"/>
  <c r="W1112" i="11"/>
  <c r="Z1112" i="11" s="1"/>
  <c r="W1113" i="11"/>
  <c r="Z1113" i="11" s="1"/>
  <c r="Y1527" i="11"/>
  <c r="Q1549" i="11"/>
  <c r="AB182" i="11"/>
  <c r="AC182" i="11" s="1"/>
  <c r="Y182" i="11"/>
  <c r="Y275" i="11"/>
  <c r="W275" i="11"/>
  <c r="Y147" i="11"/>
  <c r="AB147" i="11"/>
  <c r="AG147" i="11" s="1"/>
  <c r="M89" i="11"/>
  <c r="S172" i="11"/>
  <c r="Z309" i="11"/>
  <c r="AG309" i="11" s="1"/>
  <c r="Z313" i="11"/>
  <c r="AG313" i="11" s="1"/>
  <c r="AB614" i="11"/>
  <c r="Y614" i="11"/>
  <c r="M846" i="11"/>
  <c r="Z898" i="11"/>
  <c r="AB711" i="11"/>
  <c r="Y711" i="11"/>
  <c r="Q31" i="11"/>
  <c r="S46" i="11"/>
  <c r="AB64" i="11"/>
  <c r="AC64" i="11" s="1"/>
  <c r="W103" i="11"/>
  <c r="AB143" i="11"/>
  <c r="AG143" i="11" s="1"/>
  <c r="Z212" i="11"/>
  <c r="AG212" i="11" s="1"/>
  <c r="Z234" i="11"/>
  <c r="AG234" i="11" s="1"/>
  <c r="P31" i="11"/>
  <c r="Q83" i="11"/>
  <c r="Q87" i="11"/>
  <c r="Q90" i="11"/>
  <c r="Z129" i="11"/>
  <c r="AG129" i="11" s="1"/>
  <c r="Z150" i="11"/>
  <c r="AG150" i="11" s="1"/>
  <c r="Z151" i="11"/>
  <c r="AG151" i="11" s="1"/>
  <c r="Z154" i="11"/>
  <c r="AG154" i="11" s="1"/>
  <c r="Z158" i="11"/>
  <c r="AG158" i="11" s="1"/>
  <c r="Z250" i="11"/>
  <c r="Y267" i="11"/>
  <c r="W267" i="11"/>
  <c r="AC304" i="11"/>
  <c r="Z506" i="11"/>
  <c r="AG506" i="11" s="1"/>
  <c r="AG508" i="11"/>
  <c r="AC508" i="11"/>
  <c r="W548" i="11"/>
  <c r="Z548" i="11" s="1"/>
  <c r="AG602" i="11"/>
  <c r="AC602" i="11"/>
  <c r="AG541" i="11"/>
  <c r="AC541" i="11"/>
  <c r="AB55" i="11"/>
  <c r="AC55" i="11" s="1"/>
  <c r="Z60" i="11"/>
  <c r="Z104" i="11"/>
  <c r="AG104" i="11" s="1"/>
  <c r="Z119" i="11"/>
  <c r="AG119" i="11" s="1"/>
  <c r="Z126" i="11"/>
  <c r="AG126" i="11" s="1"/>
  <c r="Z134" i="11"/>
  <c r="AG134" i="11" s="1"/>
  <c r="Z138" i="11"/>
  <c r="AG138" i="11" s="1"/>
  <c r="Z179" i="11"/>
  <c r="AG179" i="11" s="1"/>
  <c r="Z187" i="11"/>
  <c r="AG187" i="11" s="1"/>
  <c r="M237" i="11"/>
  <c r="Z320" i="11"/>
  <c r="AG320" i="11" s="1"/>
  <c r="Z324" i="11"/>
  <c r="AG324" i="11" s="1"/>
  <c r="Z328" i="11"/>
  <c r="AG328" i="11" s="1"/>
  <c r="Z332" i="11"/>
  <c r="AG332" i="11" s="1"/>
  <c r="Z341" i="11"/>
  <c r="AG341" i="11" s="1"/>
  <c r="Z345" i="11"/>
  <c r="AG345" i="11" s="1"/>
  <c r="Z352" i="11"/>
  <c r="AG352" i="11" s="1"/>
  <c r="Z356" i="11"/>
  <c r="AG356" i="11" s="1"/>
  <c r="Z369" i="11"/>
  <c r="AG369" i="11" s="1"/>
  <c r="AB370" i="11"/>
  <c r="AG370" i="11" s="1"/>
  <c r="Z375" i="11"/>
  <c r="AG375" i="11" s="1"/>
  <c r="Z378" i="11"/>
  <c r="AG378" i="11" s="1"/>
  <c r="Y499" i="11"/>
  <c r="AB499" i="11"/>
  <c r="AC499" i="11" s="1"/>
  <c r="Y542" i="11"/>
  <c r="AB542" i="11"/>
  <c r="AC542" i="11" s="1"/>
  <c r="Z661" i="11"/>
  <c r="AG661" i="11" s="1"/>
  <c r="W748" i="11"/>
  <c r="Z748" i="11" s="1"/>
  <c r="Z798" i="11"/>
  <c r="Y1097" i="11"/>
  <c r="W1097" i="11"/>
  <c r="Z407" i="11"/>
  <c r="AG407" i="11" s="1"/>
  <c r="AG543" i="11"/>
  <c r="AC543" i="11"/>
  <c r="Q786" i="11"/>
  <c r="AB1093" i="11"/>
  <c r="Y1093" i="11"/>
  <c r="W1096" i="11"/>
  <c r="AB1096" i="11"/>
  <c r="AC1096" i="11" s="1"/>
  <c r="Y1096" i="11"/>
  <c r="Y1103" i="11"/>
  <c r="W1103" i="11"/>
  <c r="Y1143" i="11"/>
  <c r="W1143" i="11"/>
  <c r="O102" i="11"/>
  <c r="S103" i="11"/>
  <c r="Z107" i="11"/>
  <c r="AG107" i="11" s="1"/>
  <c r="Z117" i="11"/>
  <c r="AG117" i="11" s="1"/>
  <c r="Z124" i="11"/>
  <c r="AG124" i="11" s="1"/>
  <c r="Z127" i="11"/>
  <c r="AG127" i="11" s="1"/>
  <c r="Z149" i="11"/>
  <c r="AG149" i="11" s="1"/>
  <c r="Z152" i="11"/>
  <c r="AG152" i="11" s="1"/>
  <c r="Z166" i="11"/>
  <c r="AG166" i="11" s="1"/>
  <c r="Z183" i="11"/>
  <c r="AG183" i="11" s="1"/>
  <c r="Z188" i="11"/>
  <c r="AG188" i="11" s="1"/>
  <c r="Z211" i="11"/>
  <c r="AG211" i="11" s="1"/>
  <c r="Z214" i="11"/>
  <c r="AG214" i="11" s="1"/>
  <c r="Z218" i="11"/>
  <c r="AG218" i="11" s="1"/>
  <c r="Z224" i="11"/>
  <c r="AG224" i="11" s="1"/>
  <c r="Z228" i="11"/>
  <c r="AG228" i="11" s="1"/>
  <c r="Z232" i="11"/>
  <c r="AG232" i="11" s="1"/>
  <c r="Z279" i="11"/>
  <c r="AG279" i="11" s="1"/>
  <c r="Z283" i="11"/>
  <c r="AG283" i="11" s="1"/>
  <c r="Z315" i="11"/>
  <c r="AG315" i="11" s="1"/>
  <c r="Z344" i="11"/>
  <c r="AG344" i="11" s="1"/>
  <c r="Z355" i="11"/>
  <c r="AG355" i="11" s="1"/>
  <c r="Z377" i="11"/>
  <c r="AG377" i="11" s="1"/>
  <c r="Z387" i="11"/>
  <c r="AG387" i="11" s="1"/>
  <c r="Z398" i="11"/>
  <c r="AG398" i="11" s="1"/>
  <c r="Z401" i="11"/>
  <c r="AG401" i="11" s="1"/>
  <c r="Z420" i="11"/>
  <c r="AG420" i="11" s="1"/>
  <c r="Z423" i="11"/>
  <c r="AG423" i="11" s="1"/>
  <c r="Z424" i="11"/>
  <c r="AG424" i="11" s="1"/>
  <c r="Z437" i="11"/>
  <c r="AG437" i="11" s="1"/>
  <c r="Z441" i="11"/>
  <c r="AG441" i="11" s="1"/>
  <c r="Z442" i="11"/>
  <c r="AG442" i="11" s="1"/>
  <c r="Z445" i="11"/>
  <c r="AG445" i="11" s="1"/>
  <c r="Z448" i="11"/>
  <c r="AG448" i="11" s="1"/>
  <c r="W485" i="11"/>
  <c r="Z485" i="11" s="1"/>
  <c r="Z532" i="11"/>
  <c r="AG532" i="11" s="1"/>
  <c r="Y543" i="11"/>
  <c r="Z562" i="11"/>
  <c r="AG562" i="11" s="1"/>
  <c r="Z570" i="11"/>
  <c r="AG570" i="11" s="1"/>
  <c r="AC574" i="11"/>
  <c r="Z584" i="11"/>
  <c r="AG584" i="11" s="1"/>
  <c r="Z587" i="11"/>
  <c r="AG587" i="11" s="1"/>
  <c r="Z588" i="11"/>
  <c r="AG588" i="11" s="1"/>
  <c r="Z593" i="11"/>
  <c r="AG593" i="11" s="1"/>
  <c r="Y657" i="11"/>
  <c r="W657" i="11"/>
  <c r="Z664" i="11"/>
  <c r="AG664" i="11" s="1"/>
  <c r="Y710" i="11"/>
  <c r="AB710" i="11"/>
  <c r="AC710" i="11" s="1"/>
  <c r="Z755" i="11"/>
  <c r="AB1078" i="11"/>
  <c r="AC1078" i="11" s="1"/>
  <c r="Y1078" i="11"/>
  <c r="Y1102" i="11"/>
  <c r="W1102" i="11"/>
  <c r="Y1170" i="11"/>
  <c r="AB1170" i="11"/>
  <c r="AC1170" i="11" s="1"/>
  <c r="R1433" i="11"/>
  <c r="Y1433" i="11"/>
  <c r="W1433" i="11"/>
  <c r="R1527" i="11"/>
  <c r="P1527" i="11"/>
  <c r="U1527" i="11"/>
  <c r="AB1527" i="11"/>
  <c r="R1549" i="11"/>
  <c r="AC1549" i="11"/>
  <c r="Z763" i="11"/>
  <c r="Z777" i="11"/>
  <c r="S794" i="11"/>
  <c r="AB1107" i="11"/>
  <c r="AC1107" i="11" s="1"/>
  <c r="AB1112" i="11"/>
  <c r="AC1112" i="11" s="1"/>
  <c r="Q1510" i="11"/>
  <c r="W1510" i="11"/>
  <c r="AC1510" i="11"/>
  <c r="S1510" i="11"/>
  <c r="Z1510" i="11"/>
  <c r="S1549" i="11"/>
  <c r="Z518" i="11"/>
  <c r="AG518" i="11" s="1"/>
  <c r="Z561" i="11"/>
  <c r="AG561" i="11" s="1"/>
  <c r="Z650" i="11"/>
  <c r="AG650" i="11" s="1"/>
  <c r="Z655" i="11"/>
  <c r="AG655" i="11" s="1"/>
  <c r="Z660" i="11"/>
  <c r="AG660" i="11" s="1"/>
  <c r="Z663" i="11"/>
  <c r="AG663" i="11" s="1"/>
  <c r="Z666" i="11"/>
  <c r="AG666" i="11" s="1"/>
  <c r="Z669" i="11"/>
  <c r="AG669" i="11" s="1"/>
  <c r="Z672" i="11"/>
  <c r="AG672" i="11" s="1"/>
  <c r="Z689" i="11"/>
  <c r="AG689" i="11" s="1"/>
  <c r="Z693" i="11"/>
  <c r="AG693" i="11" s="1"/>
  <c r="Y707" i="11"/>
  <c r="Z751" i="11"/>
  <c r="Z754" i="11"/>
  <c r="Z757" i="11"/>
  <c r="Z761" i="11"/>
  <c r="Z771" i="11"/>
  <c r="Z772" i="11"/>
  <c r="Z775" i="11"/>
  <c r="Z853" i="11"/>
  <c r="Z857" i="11"/>
  <c r="Z861" i="11"/>
  <c r="Z869" i="11"/>
  <c r="Z891" i="11"/>
  <c r="Z894" i="11"/>
  <c r="Z908" i="11"/>
  <c r="Z941" i="11"/>
  <c r="Z945" i="11"/>
  <c r="Z949" i="11"/>
  <c r="Z953" i="11"/>
  <c r="Z957" i="11"/>
  <c r="Z961" i="11"/>
  <c r="Z965" i="11"/>
  <c r="Z982" i="11"/>
  <c r="Z986" i="11"/>
  <c r="Z990" i="11"/>
  <c r="Z994" i="11"/>
  <c r="Z1001" i="11"/>
  <c r="AB1097" i="11"/>
  <c r="AC1097" i="11" s="1"/>
  <c r="AB1102" i="11"/>
  <c r="AC1102" i="11" s="1"/>
  <c r="W1124" i="11"/>
  <c r="Z1124" i="11" s="1"/>
  <c r="Y1129" i="11"/>
  <c r="AB1138" i="11"/>
  <c r="AC1138" i="11" s="1"/>
  <c r="M1072" i="11"/>
  <c r="M1071" i="11" s="1"/>
  <c r="M1070" i="11" s="1"/>
  <c r="O1270" i="11"/>
  <c r="S1270" i="11"/>
  <c r="Q1270" i="11"/>
  <c r="Y259" i="11"/>
  <c r="AB259" i="11"/>
  <c r="AC259" i="11" s="1"/>
  <c r="W259" i="11"/>
  <c r="Y68" i="11"/>
  <c r="AB68" i="11"/>
  <c r="AC68" i="11" s="1"/>
  <c r="W122" i="11"/>
  <c r="Y122" i="11"/>
  <c r="Y139" i="11"/>
  <c r="AB139" i="11"/>
  <c r="AG139" i="11" s="1"/>
  <c r="Z89" i="11"/>
  <c r="AB167" i="11"/>
  <c r="AC167" i="11" s="1"/>
  <c r="Y167" i="11"/>
  <c r="AB576" i="11"/>
  <c r="AC576" i="11" s="1"/>
  <c r="Y576" i="11"/>
  <c r="Z576" i="11" s="1"/>
  <c r="AB790" i="11"/>
  <c r="AC790" i="11" s="1"/>
  <c r="Y790" i="11"/>
  <c r="Y787" i="11" s="1"/>
  <c r="M808" i="11"/>
  <c r="R808" i="11"/>
  <c r="O44" i="11"/>
  <c r="Z47" i="11"/>
  <c r="Y55" i="11"/>
  <c r="Z61" i="11"/>
  <c r="Z62" i="11"/>
  <c r="U89" i="11"/>
  <c r="AB89" i="11"/>
  <c r="O1443" i="11" s="1"/>
  <c r="O1442" i="11" s="1"/>
  <c r="Q94" i="11"/>
  <c r="Q96" i="11"/>
  <c r="M102" i="11"/>
  <c r="S115" i="11"/>
  <c r="Z118" i="11"/>
  <c r="AG118" i="11" s="1"/>
  <c r="Y121" i="11"/>
  <c r="Z121" i="11" s="1"/>
  <c r="AG121" i="11" s="1"/>
  <c r="Z125" i="11"/>
  <c r="AG125" i="11" s="1"/>
  <c r="Z128" i="11"/>
  <c r="AG128" i="11" s="1"/>
  <c r="Z135" i="11"/>
  <c r="AG135" i="11" s="1"/>
  <c r="Z161" i="11"/>
  <c r="AG161" i="11" s="1"/>
  <c r="Z164" i="11"/>
  <c r="AG164" i="11" s="1"/>
  <c r="W167" i="11"/>
  <c r="AB174" i="11"/>
  <c r="AC174" i="11" s="1"/>
  <c r="AB175" i="11"/>
  <c r="AG175" i="11" s="1"/>
  <c r="Z177" i="11"/>
  <c r="AG177" i="11" s="1"/>
  <c r="Z180" i="11"/>
  <c r="AG180" i="11" s="1"/>
  <c r="AB185" i="11"/>
  <c r="AC185" i="11" s="1"/>
  <c r="Y185" i="11"/>
  <c r="W185" i="11"/>
  <c r="Z242" i="11"/>
  <c r="AB255" i="11"/>
  <c r="AC255" i="11" s="1"/>
  <c r="AB275" i="11"/>
  <c r="AC275" i="11" s="1"/>
  <c r="AB519" i="11"/>
  <c r="AC519" i="11" s="1"/>
  <c r="Y519" i="11"/>
  <c r="Z519" i="11" s="1"/>
  <c r="AB556" i="11"/>
  <c r="Y556" i="11"/>
  <c r="Y611" i="11"/>
  <c r="AB611" i="11"/>
  <c r="AC611" i="11" s="1"/>
  <c r="Z962" i="11"/>
  <c r="AG962" i="11"/>
  <c r="AB976" i="11"/>
  <c r="AC976" i="11" s="1"/>
  <c r="W976" i="11"/>
  <c r="Y976" i="11"/>
  <c r="S58" i="11"/>
  <c r="S89" i="11"/>
  <c r="Y263" i="11"/>
  <c r="AB263" i="11"/>
  <c r="AC263" i="11" s="1"/>
  <c r="M45" i="11"/>
  <c r="AB73" i="11"/>
  <c r="AC73" i="11" s="1"/>
  <c r="AB74" i="11"/>
  <c r="AC74" i="11" s="1"/>
  <c r="AB75" i="11"/>
  <c r="AC75" i="11" s="1"/>
  <c r="AB76" i="11"/>
  <c r="AC76" i="11" s="1"/>
  <c r="AB77" i="11"/>
  <c r="AC77" i="11" s="1"/>
  <c r="AB78" i="11"/>
  <c r="AC78" i="11" s="1"/>
  <c r="Q85" i="11"/>
  <c r="Z109" i="11"/>
  <c r="Z111" i="11"/>
  <c r="AG111" i="11" s="1"/>
  <c r="Z155" i="11"/>
  <c r="AG155" i="11" s="1"/>
  <c r="Z181" i="11"/>
  <c r="AG181" i="11" s="1"/>
  <c r="Z191" i="11"/>
  <c r="AG191" i="11" s="1"/>
  <c r="Y195" i="11"/>
  <c r="AB195" i="11"/>
  <c r="AG195" i="11" s="1"/>
  <c r="Z203" i="11"/>
  <c r="AG203" i="11" s="1"/>
  <c r="Z206" i="11"/>
  <c r="AG206" i="11" s="1"/>
  <c r="Z216" i="11"/>
  <c r="AG216" i="11" s="1"/>
  <c r="W220" i="11"/>
  <c r="Y220" i="11"/>
  <c r="Z222" i="11"/>
  <c r="AG222" i="11" s="1"/>
  <c r="Z226" i="11"/>
  <c r="AG226" i="11" s="1"/>
  <c r="Z246" i="11"/>
  <c r="AB267" i="11"/>
  <c r="AC267" i="11" s="1"/>
  <c r="AB271" i="11"/>
  <c r="AC271" i="11" s="1"/>
  <c r="Y627" i="11"/>
  <c r="W627" i="11"/>
  <c r="AB627" i="11"/>
  <c r="AC627" i="11" s="1"/>
  <c r="U734" i="11"/>
  <c r="Y734" i="11" s="1"/>
  <c r="Y714" i="11" s="1"/>
  <c r="Y713" i="11" s="1"/>
  <c r="S714" i="11"/>
  <c r="S713" i="11" s="1"/>
  <c r="AG896" i="11"/>
  <c r="Z896" i="11"/>
  <c r="Z50" i="11"/>
  <c r="R89" i="11"/>
  <c r="Y89" i="11"/>
  <c r="AC103" i="11"/>
  <c r="Z106" i="11"/>
  <c r="AG106" i="11" s="1"/>
  <c r="AB112" i="11"/>
  <c r="AC112" i="11" s="1"/>
  <c r="AC110" i="11" s="1"/>
  <c r="W112" i="11"/>
  <c r="Y112" i="11"/>
  <c r="Y110" i="11" s="1"/>
  <c r="Z137" i="11"/>
  <c r="AG137" i="11" s="1"/>
  <c r="Z207" i="11"/>
  <c r="AG207" i="11" s="1"/>
  <c r="Z210" i="11"/>
  <c r="AG210" i="11" s="1"/>
  <c r="Z217" i="11"/>
  <c r="AG217" i="11" s="1"/>
  <c r="Z231" i="11"/>
  <c r="AG231" i="11" s="1"/>
  <c r="Z235" i="11"/>
  <c r="AG235" i="11" s="1"/>
  <c r="Z241" i="11"/>
  <c r="Z312" i="11"/>
  <c r="AG312" i="11" s="1"/>
  <c r="S488" i="11"/>
  <c r="U488" i="11" s="1"/>
  <c r="Y488" i="11" s="1"/>
  <c r="O393" i="11"/>
  <c r="O237" i="11" s="1"/>
  <c r="Y656" i="11"/>
  <c r="W656" i="11"/>
  <c r="Z870" i="11"/>
  <c r="AG870" i="11"/>
  <c r="AG871" i="11"/>
  <c r="Z871" i="11"/>
  <c r="AG890" i="11"/>
  <c r="Z890" i="11"/>
  <c r="Y103" i="11"/>
  <c r="Z105" i="11"/>
  <c r="AG105" i="11" s="1"/>
  <c r="Z108" i="11"/>
  <c r="AG108" i="11" s="1"/>
  <c r="Z116" i="11"/>
  <c r="AG116" i="11" s="1"/>
  <c r="Z120" i="11"/>
  <c r="AG120" i="11" s="1"/>
  <c r="Z130" i="11"/>
  <c r="AG130" i="11" s="1"/>
  <c r="Z132" i="11"/>
  <c r="AG132" i="11" s="1"/>
  <c r="Z133" i="11"/>
  <c r="AG133" i="11" s="1"/>
  <c r="Z136" i="11"/>
  <c r="AG136" i="11" s="1"/>
  <c r="Z153" i="11"/>
  <c r="AG153" i="11" s="1"/>
  <c r="Z156" i="11"/>
  <c r="AG156" i="11" s="1"/>
  <c r="Z162" i="11"/>
  <c r="AG162" i="11" s="1"/>
  <c r="Z170" i="11"/>
  <c r="AG170" i="11" s="1"/>
  <c r="Z173" i="11"/>
  <c r="AG173" i="11" s="1"/>
  <c r="Z176" i="11"/>
  <c r="AG176" i="11" s="1"/>
  <c r="Z189" i="11"/>
  <c r="AG189" i="11" s="1"/>
  <c r="Z192" i="11"/>
  <c r="AG192" i="11" s="1"/>
  <c r="Z202" i="11"/>
  <c r="AG202" i="11" s="1"/>
  <c r="Z208" i="11"/>
  <c r="AG208" i="11" s="1"/>
  <c r="Z215" i="11"/>
  <c r="AG215" i="11" s="1"/>
  <c r="Z219" i="11"/>
  <c r="AG219" i="11" s="1"/>
  <c r="Z233" i="11"/>
  <c r="AG233" i="11" s="1"/>
  <c r="Z245" i="11"/>
  <c r="Z247" i="11"/>
  <c r="Z281" i="11"/>
  <c r="AG281" i="11" s="1"/>
  <c r="Z285" i="11"/>
  <c r="AG285" i="11" s="1"/>
  <c r="Z289" i="11"/>
  <c r="AG289" i="11" s="1"/>
  <c r="Z292" i="11"/>
  <c r="AG292" i="11" s="1"/>
  <c r="Z293" i="11"/>
  <c r="AG293" i="11" s="1"/>
  <c r="Z296" i="11"/>
  <c r="AG296" i="11" s="1"/>
  <c r="Z297" i="11"/>
  <c r="AG297" i="11" s="1"/>
  <c r="Z303" i="11"/>
  <c r="AG303" i="11" s="1"/>
  <c r="Z321" i="11"/>
  <c r="AG321" i="11" s="1"/>
  <c r="Z325" i="11"/>
  <c r="AG325" i="11" s="1"/>
  <c r="Z329" i="11"/>
  <c r="AG329" i="11" s="1"/>
  <c r="Z333" i="11"/>
  <c r="AG333" i="11" s="1"/>
  <c r="Z340" i="11"/>
  <c r="AG340" i="11" s="1"/>
  <c r="Z343" i="11"/>
  <c r="AG343" i="11" s="1"/>
  <c r="Z346" i="11"/>
  <c r="AG346" i="11" s="1"/>
  <c r="Z373" i="11"/>
  <c r="AG373" i="11" s="1"/>
  <c r="Z376" i="11"/>
  <c r="AG376" i="11" s="1"/>
  <c r="Z439" i="11"/>
  <c r="AG439" i="11" s="1"/>
  <c r="W521" i="11"/>
  <c r="Y521" i="11"/>
  <c r="Y523" i="11"/>
  <c r="W523" i="11"/>
  <c r="Y559" i="11"/>
  <c r="W559" i="11"/>
  <c r="Z566" i="11"/>
  <c r="AG566" i="11" s="1"/>
  <c r="W580" i="11"/>
  <c r="Y580" i="11"/>
  <c r="Y613" i="11"/>
  <c r="AB613" i="11"/>
  <c r="AC613" i="11" s="1"/>
  <c r="W622" i="11"/>
  <c r="Y622" i="11"/>
  <c r="Y625" i="11"/>
  <c r="W625" i="11"/>
  <c r="Y706" i="11"/>
  <c r="AB706" i="11"/>
  <c r="AC706" i="11" s="1"/>
  <c r="Z397" i="11"/>
  <c r="AG397" i="11" s="1"/>
  <c r="Z404" i="11"/>
  <c r="AG404" i="11" s="1"/>
  <c r="Z426" i="11"/>
  <c r="AG426" i="11" s="1"/>
  <c r="Z429" i="11"/>
  <c r="AG429" i="11" s="1"/>
  <c r="Z436" i="11"/>
  <c r="AG436" i="11" s="1"/>
  <c r="Z458" i="11"/>
  <c r="AG458" i="11" s="1"/>
  <c r="Z462" i="11"/>
  <c r="AG462" i="11" s="1"/>
  <c r="Y487" i="11"/>
  <c r="W487" i="11"/>
  <c r="AB503" i="11"/>
  <c r="AC503" i="11" s="1"/>
  <c r="Z507" i="11"/>
  <c r="AG507" i="11" s="1"/>
  <c r="Z513" i="11"/>
  <c r="AG513" i="11" s="1"/>
  <c r="S525" i="11"/>
  <c r="Y575" i="11"/>
  <c r="AB575" i="11"/>
  <c r="AC575" i="11" s="1"/>
  <c r="AB619" i="11"/>
  <c r="AC619" i="11" s="1"/>
  <c r="W619" i="11"/>
  <c r="Y619" i="11"/>
  <c r="Y624" i="11"/>
  <c r="W624" i="11"/>
  <c r="Z674" i="11"/>
  <c r="AG674" i="11" s="1"/>
  <c r="Z769" i="11"/>
  <c r="Z801" i="11"/>
  <c r="W794" i="11"/>
  <c r="Z287" i="11"/>
  <c r="AG287" i="11" s="1"/>
  <c r="Z291" i="11"/>
  <c r="AG291" i="11" s="1"/>
  <c r="Z295" i="11"/>
  <c r="AG295" i="11" s="1"/>
  <c r="Z299" i="11"/>
  <c r="AG299" i="11" s="1"/>
  <c r="Z301" i="11"/>
  <c r="AG301" i="11" s="1"/>
  <c r="Z319" i="11"/>
  <c r="AG319" i="11" s="1"/>
  <c r="Z323" i="11"/>
  <c r="AG323" i="11" s="1"/>
  <c r="Z327" i="11"/>
  <c r="AG327" i="11" s="1"/>
  <c r="Z331" i="11"/>
  <c r="AG331" i="11" s="1"/>
  <c r="Z335" i="11"/>
  <c r="AG335" i="11" s="1"/>
  <c r="Z338" i="11"/>
  <c r="AG338" i="11" s="1"/>
  <c r="Z359" i="11"/>
  <c r="AG359" i="11" s="1"/>
  <c r="Z366" i="11"/>
  <c r="AG366" i="11" s="1"/>
  <c r="Z455" i="11"/>
  <c r="AG455" i="11" s="1"/>
  <c r="Z550" i="11"/>
  <c r="AG550" i="11" s="1"/>
  <c r="Z554" i="11"/>
  <c r="AG554" i="11" s="1"/>
  <c r="Z569" i="11"/>
  <c r="AG569" i="11" s="1"/>
  <c r="AB572" i="11"/>
  <c r="Y572" i="11"/>
  <c r="Y579" i="11"/>
  <c r="Z579" i="11" s="1"/>
  <c r="AB579" i="11"/>
  <c r="AC579" i="11" s="1"/>
  <c r="W621" i="11"/>
  <c r="Y621" i="11"/>
  <c r="AB621" i="11"/>
  <c r="AC621" i="11" s="1"/>
  <c r="Z665" i="11"/>
  <c r="AG665" i="11" s="1"/>
  <c r="Z671" i="11"/>
  <c r="AG671" i="11" s="1"/>
  <c r="Z692" i="11"/>
  <c r="AG692" i="11" s="1"/>
  <c r="AB695" i="11"/>
  <c r="Y695" i="11"/>
  <c r="Z716" i="11"/>
  <c r="AB975" i="11"/>
  <c r="AC975" i="11" s="1"/>
  <c r="Y975" i="11"/>
  <c r="W975" i="11"/>
  <c r="Z347" i="11"/>
  <c r="AG347" i="11" s="1"/>
  <c r="Z354" i="11"/>
  <c r="AG354" i="11" s="1"/>
  <c r="Z364" i="11"/>
  <c r="AG364" i="11" s="1"/>
  <c r="Z367" i="11"/>
  <c r="AG367" i="11" s="1"/>
  <c r="Z374" i="11"/>
  <c r="AG374" i="11" s="1"/>
  <c r="Z388" i="11"/>
  <c r="AG388" i="11" s="1"/>
  <c r="Z399" i="11"/>
  <c r="AG399" i="11" s="1"/>
  <c r="Z402" i="11"/>
  <c r="AG402" i="11" s="1"/>
  <c r="Z405" i="11"/>
  <c r="AG405" i="11" s="1"/>
  <c r="Z415" i="11"/>
  <c r="AG415" i="11" s="1"/>
  <c r="Z418" i="11"/>
  <c r="AG418" i="11" s="1"/>
  <c r="Z421" i="11"/>
  <c r="AG421" i="11" s="1"/>
  <c r="Z431" i="11"/>
  <c r="AG431" i="11" s="1"/>
  <c r="Z434" i="11"/>
  <c r="AG434" i="11" s="1"/>
  <c r="Z447" i="11"/>
  <c r="AG447" i="11" s="1"/>
  <c r="Z449" i="11"/>
  <c r="AG449" i="11" s="1"/>
  <c r="Z450" i="11"/>
  <c r="AG450" i="11" s="1"/>
  <c r="Z463" i="11"/>
  <c r="AG463" i="11" s="1"/>
  <c r="Z505" i="11"/>
  <c r="AG505" i="11" s="1"/>
  <c r="Z517" i="11"/>
  <c r="AG517" i="11" s="1"/>
  <c r="Z537" i="11"/>
  <c r="AG537" i="11" s="1"/>
  <c r="Z552" i="11"/>
  <c r="AG552" i="11" s="1"/>
  <c r="Z557" i="11"/>
  <c r="AG557" i="11" s="1"/>
  <c r="Y612" i="11"/>
  <c r="W612" i="11"/>
  <c r="Y620" i="11"/>
  <c r="W620" i="11"/>
  <c r="Y623" i="11"/>
  <c r="W623" i="11"/>
  <c r="Z633" i="11"/>
  <c r="AG633" i="11" s="1"/>
  <c r="Z681" i="11"/>
  <c r="AG681" i="11" s="1"/>
  <c r="Z687" i="11"/>
  <c r="AG687" i="11" s="1"/>
  <c r="Z690" i="11"/>
  <c r="AG690" i="11" s="1"/>
  <c r="Z700" i="11"/>
  <c r="AG700" i="11" s="1"/>
  <c r="S704" i="11"/>
  <c r="Z723" i="11"/>
  <c r="Z758" i="11"/>
  <c r="Z764" i="11"/>
  <c r="Z767" i="11"/>
  <c r="Z788" i="11"/>
  <c r="AB919" i="11"/>
  <c r="AC919" i="11" s="1"/>
  <c r="Y919" i="11"/>
  <c r="AB924" i="11"/>
  <c r="AC924" i="11" s="1"/>
  <c r="Y924" i="11"/>
  <c r="Y1123" i="11"/>
  <c r="Z1123" i="11" s="1"/>
  <c r="W1163" i="11"/>
  <c r="Y1163" i="11"/>
  <c r="AB1163" i="11"/>
  <c r="Z368" i="11"/>
  <c r="AG368" i="11" s="1"/>
  <c r="AB389" i="11"/>
  <c r="AC389" i="11" s="1"/>
  <c r="Z403" i="11"/>
  <c r="AG403" i="11" s="1"/>
  <c r="Z406" i="11"/>
  <c r="AG406" i="11" s="1"/>
  <c r="Z409" i="11"/>
  <c r="AG409" i="11" s="1"/>
  <c r="Z419" i="11"/>
  <c r="AG419" i="11" s="1"/>
  <c r="Z422" i="11"/>
  <c r="AG422" i="11" s="1"/>
  <c r="Z425" i="11"/>
  <c r="AG425" i="11" s="1"/>
  <c r="Z435" i="11"/>
  <c r="AG435" i="11" s="1"/>
  <c r="Z438" i="11"/>
  <c r="AG438" i="11" s="1"/>
  <c r="Z451" i="11"/>
  <c r="AG451" i="11" s="1"/>
  <c r="Z454" i="11"/>
  <c r="AG454" i="11" s="1"/>
  <c r="Z461" i="11"/>
  <c r="AG461" i="11" s="1"/>
  <c r="Z464" i="11"/>
  <c r="AG464" i="11" s="1"/>
  <c r="Z553" i="11"/>
  <c r="AG553" i="11" s="1"/>
  <c r="Z560" i="11"/>
  <c r="AG560" i="11" s="1"/>
  <c r="Z607" i="11"/>
  <c r="AG607" i="11" s="1"/>
  <c r="Y628" i="11"/>
  <c r="W628" i="11"/>
  <c r="Z630" i="11"/>
  <c r="AG630" i="11" s="1"/>
  <c r="Z634" i="11"/>
  <c r="AG634" i="11" s="1"/>
  <c r="Z646" i="11"/>
  <c r="AG646" i="11" s="1"/>
  <c r="Z673" i="11"/>
  <c r="AG673" i="11" s="1"/>
  <c r="Z679" i="11"/>
  <c r="AG679" i="11" s="1"/>
  <c r="Z682" i="11"/>
  <c r="AG682" i="11" s="1"/>
  <c r="Z721" i="11"/>
  <c r="Z724" i="11"/>
  <c r="Z750" i="11"/>
  <c r="Z756" i="11"/>
  <c r="Z759" i="11"/>
  <c r="Z782" i="11"/>
  <c r="O786" i="11"/>
  <c r="P786" i="11"/>
  <c r="P846" i="11"/>
  <c r="O846" i="11"/>
  <c r="Z849" i="11"/>
  <c r="Y885" i="11"/>
  <c r="W885" i="11"/>
  <c r="Y889" i="11"/>
  <c r="W889" i="11"/>
  <c r="Z902" i="11"/>
  <c r="AB923" i="11"/>
  <c r="AC923" i="11" s="1"/>
  <c r="Y923" i="11"/>
  <c r="Z568" i="11"/>
  <c r="AG568" i="11" s="1"/>
  <c r="Z586" i="11"/>
  <c r="AG586" i="11" s="1"/>
  <c r="Z605" i="11"/>
  <c r="AG605" i="11" s="1"/>
  <c r="Z609" i="11"/>
  <c r="AG609" i="11" s="1"/>
  <c r="W626" i="11"/>
  <c r="Y626" i="11"/>
  <c r="Z632" i="11"/>
  <c r="AG632" i="11" s="1"/>
  <c r="Z647" i="11"/>
  <c r="AG647" i="11" s="1"/>
  <c r="Z648" i="11"/>
  <c r="AG648" i="11" s="1"/>
  <c r="Z667" i="11"/>
  <c r="AG667" i="11" s="1"/>
  <c r="Z675" i="11"/>
  <c r="AG675" i="11" s="1"/>
  <c r="Z683" i="11"/>
  <c r="AG683" i="11" s="1"/>
  <c r="Z691" i="11"/>
  <c r="AG691" i="11" s="1"/>
  <c r="Z698" i="11"/>
  <c r="AG698" i="11" s="1"/>
  <c r="Z702" i="11"/>
  <c r="AG702" i="11" s="1"/>
  <c r="Z717" i="11"/>
  <c r="Z725" i="11"/>
  <c r="Z752" i="11"/>
  <c r="Z760" i="11"/>
  <c r="Z768" i="11"/>
  <c r="Z776" i="11"/>
  <c r="Z784" i="11"/>
  <c r="Z876" i="11"/>
  <c r="AG876" i="11"/>
  <c r="Y883" i="11"/>
  <c r="W883" i="11"/>
  <c r="Y887" i="11"/>
  <c r="W887" i="11"/>
  <c r="Z901" i="11"/>
  <c r="Z906" i="11"/>
  <c r="Z907" i="11"/>
  <c r="Z910" i="11"/>
  <c r="W1098" i="11"/>
  <c r="AB1157" i="11"/>
  <c r="AC1157" i="11" s="1"/>
  <c r="Y1157" i="11"/>
  <c r="W1157" i="11"/>
  <c r="AB1183" i="11"/>
  <c r="Y1183" i="11"/>
  <c r="Q1433" i="11"/>
  <c r="Y1510" i="11"/>
  <c r="M1549" i="11"/>
  <c r="U1549" i="11"/>
  <c r="Z1566" i="11"/>
  <c r="W1564" i="11"/>
  <c r="W1563" i="11" s="1"/>
  <c r="W1562" i="11" s="1"/>
  <c r="W1549" i="11" s="1"/>
  <c r="Z1568" i="11"/>
  <c r="Z872" i="11"/>
  <c r="AG872" i="11"/>
  <c r="AG873" i="11"/>
  <c r="Z873" i="11"/>
  <c r="S935" i="11"/>
  <c r="S934" i="11" s="1"/>
  <c r="S1072" i="11"/>
  <c r="S1071" i="11" s="1"/>
  <c r="S1070" i="11" s="1"/>
  <c r="Y1108" i="11"/>
  <c r="Z1108" i="11" s="1"/>
  <c r="AB1108" i="11"/>
  <c r="AC1108" i="11" s="1"/>
  <c r="N1141" i="11"/>
  <c r="AB1146" i="11"/>
  <c r="M1527" i="11"/>
  <c r="Z964" i="11"/>
  <c r="AG964" i="11"/>
  <c r="P1433" i="11"/>
  <c r="U1433" i="11"/>
  <c r="AB1433" i="11"/>
  <c r="P1510" i="11"/>
  <c r="U1510" i="11"/>
  <c r="AB1510" i="11"/>
  <c r="Q1527" i="11"/>
  <c r="W1527" i="11"/>
  <c r="AC1527" i="11"/>
  <c r="S1527" i="11"/>
  <c r="Z1527" i="11"/>
  <c r="P808" i="11"/>
  <c r="Z851" i="11"/>
  <c r="Z855" i="11"/>
  <c r="Z859" i="11"/>
  <c r="Z863" i="11"/>
  <c r="Z874" i="11"/>
  <c r="AG874" i="11"/>
  <c r="Z895" i="11"/>
  <c r="Z903" i="11"/>
  <c r="W918" i="11"/>
  <c r="Y918" i="11"/>
  <c r="Z938" i="11"/>
  <c r="Z942" i="11"/>
  <c r="Z946" i="11"/>
  <c r="Z950" i="11"/>
  <c r="Z954" i="11"/>
  <c r="Z958" i="11"/>
  <c r="Z979" i="11"/>
  <c r="Y980" i="11"/>
  <c r="W980" i="11"/>
  <c r="Z985" i="11"/>
  <c r="Z989" i="11"/>
  <c r="Z993" i="11"/>
  <c r="Z999" i="11"/>
  <c r="S1064" i="11"/>
  <c r="W1078" i="11"/>
  <c r="AB1082" i="11"/>
  <c r="T1095" i="11"/>
  <c r="U1095" i="11" s="1"/>
  <c r="W1095" i="11" s="1"/>
  <c r="T1105" i="11"/>
  <c r="W1115" i="11"/>
  <c r="Z1115" i="11" s="1"/>
  <c r="W1116" i="11"/>
  <c r="W1125" i="11"/>
  <c r="W1129" i="11"/>
  <c r="Y1146" i="11"/>
  <c r="W1170" i="11"/>
  <c r="Y1172" i="11"/>
  <c r="Z1172" i="11" s="1"/>
  <c r="M1221" i="11"/>
  <c r="R1221" i="11"/>
  <c r="M1270" i="11"/>
  <c r="R1270" i="11"/>
  <c r="M1433" i="11"/>
  <c r="M1510" i="11"/>
  <c r="Q1073" i="11"/>
  <c r="Q1072" i="11"/>
  <c r="U46" i="11"/>
  <c r="Y140" i="11"/>
  <c r="AB140" i="11"/>
  <c r="AB146" i="11"/>
  <c r="Y146" i="11"/>
  <c r="Y196" i="11"/>
  <c r="AB196" i="11"/>
  <c r="Y54" i="11"/>
  <c r="AB54" i="11"/>
  <c r="AC54" i="11" s="1"/>
  <c r="Y71" i="11"/>
  <c r="AB71" i="11"/>
  <c r="AC71" i="11" s="1"/>
  <c r="AB142" i="11"/>
  <c r="Y142" i="11"/>
  <c r="Y168" i="11"/>
  <c r="AB168" i="11"/>
  <c r="AG168" i="11" s="1"/>
  <c r="AB52" i="11"/>
  <c r="Y52" i="11"/>
  <c r="Y67" i="11"/>
  <c r="AB67" i="11"/>
  <c r="AC67" i="11" s="1"/>
  <c r="AB69" i="11"/>
  <c r="AC69" i="11" s="1"/>
  <c r="Y69" i="11"/>
  <c r="AG145" i="11"/>
  <c r="AC145" i="11"/>
  <c r="Y148" i="11"/>
  <c r="AB148" i="11"/>
  <c r="AB65" i="11"/>
  <c r="AC65" i="11" s="1"/>
  <c r="Y65" i="11"/>
  <c r="AG141" i="11"/>
  <c r="AC141" i="11"/>
  <c r="Y144" i="11"/>
  <c r="AB144" i="11"/>
  <c r="M44" i="11"/>
  <c r="W55" i="11"/>
  <c r="W73" i="11"/>
  <c r="W74" i="11"/>
  <c r="Z74" i="11" s="1"/>
  <c r="W75" i="11"/>
  <c r="Z75" i="11" s="1"/>
  <c r="W76" i="11"/>
  <c r="Z76" i="11" s="1"/>
  <c r="W77" i="11"/>
  <c r="Z77" i="11" s="1"/>
  <c r="W78" i="11"/>
  <c r="Z78" i="11" s="1"/>
  <c r="P89" i="11"/>
  <c r="U110" i="11"/>
  <c r="U115" i="11"/>
  <c r="U172" i="11"/>
  <c r="Y174" i="11"/>
  <c r="W182" i="11"/>
  <c r="AB220" i="11"/>
  <c r="AC220" i="11" s="1"/>
  <c r="Z221" i="11"/>
  <c r="AG221" i="11" s="1"/>
  <c r="Z223" i="11"/>
  <c r="AG223" i="11" s="1"/>
  <c r="Z225" i="11"/>
  <c r="AG225" i="11" s="1"/>
  <c r="Z227" i="11"/>
  <c r="AG227" i="11" s="1"/>
  <c r="Z229" i="11"/>
  <c r="AG229" i="11" s="1"/>
  <c r="AB254" i="11"/>
  <c r="AC254" i="11" s="1"/>
  <c r="W254" i="11"/>
  <c r="Z254" i="11" s="1"/>
  <c r="W255" i="11"/>
  <c r="Z255" i="11" s="1"/>
  <c r="AB260" i="11"/>
  <c r="W260" i="11"/>
  <c r="Z260" i="11" s="1"/>
  <c r="AB261" i="11"/>
  <c r="W263" i="11"/>
  <c r="AB268" i="11"/>
  <c r="W268" i="11"/>
  <c r="Z268" i="11" s="1"/>
  <c r="AB269" i="11"/>
  <c r="W271" i="11"/>
  <c r="Z271" i="11" s="1"/>
  <c r="AB276" i="11"/>
  <c r="W276" i="11"/>
  <c r="Z276" i="11" s="1"/>
  <c r="Y348" i="11"/>
  <c r="AB348" i="11"/>
  <c r="AC348" i="11" s="1"/>
  <c r="W348" i="11"/>
  <c r="Y391" i="11"/>
  <c r="AB391" i="11"/>
  <c r="AC391" i="11" s="1"/>
  <c r="W391" i="11"/>
  <c r="Y467" i="11"/>
  <c r="AB467" i="11"/>
  <c r="AC467" i="11" s="1"/>
  <c r="W467" i="11"/>
  <c r="AB470" i="11"/>
  <c r="Y470" i="11"/>
  <c r="AB475" i="11"/>
  <c r="AC475" i="11" s="1"/>
  <c r="W475" i="11"/>
  <c r="Y475" i="11"/>
  <c r="AB479" i="11"/>
  <c r="AC479" i="11" s="1"/>
  <c r="W479" i="11"/>
  <c r="Y479" i="11"/>
  <c r="AB483" i="11"/>
  <c r="AC483" i="11" s="1"/>
  <c r="W483" i="11"/>
  <c r="Y483" i="11"/>
  <c r="Z239" i="11"/>
  <c r="AB258" i="11"/>
  <c r="W258" i="11"/>
  <c r="W261" i="11"/>
  <c r="Z261" i="11" s="1"/>
  <c r="AB266" i="11"/>
  <c r="W266" i="11"/>
  <c r="W269" i="11"/>
  <c r="Z269" i="11" s="1"/>
  <c r="AB274" i="11"/>
  <c r="W274" i="11"/>
  <c r="AB278" i="11"/>
  <c r="AC278" i="11" s="1"/>
  <c r="W278" i="11"/>
  <c r="AB300" i="11"/>
  <c r="AC300" i="11" s="1"/>
  <c r="AG381" i="11"/>
  <c r="AC381" i="11"/>
  <c r="AB466" i="11"/>
  <c r="AC466" i="11" s="1"/>
  <c r="W466" i="11"/>
  <c r="Y466" i="11"/>
  <c r="Y474" i="11"/>
  <c r="AB474" i="11"/>
  <c r="AC474" i="11" s="1"/>
  <c r="W474" i="11"/>
  <c r="Y478" i="11"/>
  <c r="AB478" i="11"/>
  <c r="AC478" i="11" s="1"/>
  <c r="W478" i="11"/>
  <c r="Y482" i="11"/>
  <c r="AB482" i="11"/>
  <c r="AC482" i="11" s="1"/>
  <c r="W482" i="11"/>
  <c r="P44" i="11"/>
  <c r="Y53" i="11"/>
  <c r="U63" i="11"/>
  <c r="Y66" i="11"/>
  <c r="Y70" i="11"/>
  <c r="Q97" i="11"/>
  <c r="Y141" i="11"/>
  <c r="Y145" i="11"/>
  <c r="W201" i="11"/>
  <c r="Z201" i="11" s="1"/>
  <c r="AG201" i="11" s="1"/>
  <c r="AB253" i="11"/>
  <c r="AC253" i="11" s="1"/>
  <c r="W253" i="11"/>
  <c r="Z253" i="11" s="1"/>
  <c r="AB256" i="11"/>
  <c r="W256" i="11"/>
  <c r="Z256" i="11" s="1"/>
  <c r="AB257" i="11"/>
  <c r="AB264" i="11"/>
  <c r="W264" i="11"/>
  <c r="Z264" i="11" s="1"/>
  <c r="AB265" i="11"/>
  <c r="AB272" i="11"/>
  <c r="W272" i="11"/>
  <c r="Z272" i="11" s="1"/>
  <c r="AB273" i="11"/>
  <c r="Y278" i="11"/>
  <c r="Z280" i="11"/>
  <c r="AG280" i="11" s="1"/>
  <c r="Z282" i="11"/>
  <c r="AG282" i="11" s="1"/>
  <c r="Z284" i="11"/>
  <c r="AG284" i="11" s="1"/>
  <c r="Z286" i="11"/>
  <c r="AG286" i="11" s="1"/>
  <c r="Z288" i="11"/>
  <c r="AG288" i="11" s="1"/>
  <c r="Z290" i="11"/>
  <c r="AG290" i="11" s="1"/>
  <c r="Z294" i="11"/>
  <c r="AG294" i="11" s="1"/>
  <c r="Z298" i="11"/>
  <c r="AG298" i="11" s="1"/>
  <c r="Y300" i="11"/>
  <c r="Z300" i="11" s="1"/>
  <c r="Z302" i="11"/>
  <c r="AG302" i="11" s="1"/>
  <c r="Y304" i="11"/>
  <c r="AB305" i="11"/>
  <c r="AC305" i="11" s="1"/>
  <c r="W305" i="11"/>
  <c r="Z305" i="11" s="1"/>
  <c r="AB336" i="11"/>
  <c r="AC336" i="11" s="1"/>
  <c r="W336" i="11"/>
  <c r="Z336" i="11" s="1"/>
  <c r="Y380" i="11"/>
  <c r="AB380" i="11"/>
  <c r="AB460" i="11"/>
  <c r="AC460" i="11" s="1"/>
  <c r="W460" i="11"/>
  <c r="Y460" i="11"/>
  <c r="Y465" i="11"/>
  <c r="AB465" i="11"/>
  <c r="AC465" i="11" s="1"/>
  <c r="W465" i="11"/>
  <c r="AG469" i="11"/>
  <c r="AC469" i="11"/>
  <c r="AB477" i="11"/>
  <c r="AC477" i="11" s="1"/>
  <c r="W477" i="11"/>
  <c r="Y477" i="11"/>
  <c r="AB481" i="11"/>
  <c r="AC481" i="11" s="1"/>
  <c r="W481" i="11"/>
  <c r="Y481" i="11"/>
  <c r="AC540" i="11"/>
  <c r="AG540" i="11"/>
  <c r="O89" i="11"/>
  <c r="Z240" i="11"/>
  <c r="U238" i="11"/>
  <c r="Y252" i="11"/>
  <c r="Z252" i="11" s="1"/>
  <c r="AB252" i="11"/>
  <c r="W257" i="11"/>
  <c r="Z257" i="11" s="1"/>
  <c r="Y258" i="11"/>
  <c r="AB262" i="11"/>
  <c r="W262" i="11"/>
  <c r="Z262" i="11" s="1"/>
  <c r="W265" i="11"/>
  <c r="Z265" i="11" s="1"/>
  <c r="Y266" i="11"/>
  <c r="AB270" i="11"/>
  <c r="W270" i="11"/>
  <c r="Z270" i="11" s="1"/>
  <c r="W273" i="11"/>
  <c r="Z273" i="11" s="1"/>
  <c r="Y274" i="11"/>
  <c r="AB277" i="11"/>
  <c r="AC277" i="11" s="1"/>
  <c r="W277" i="11"/>
  <c r="Z277" i="11" s="1"/>
  <c r="AB349" i="11"/>
  <c r="AC349" i="11" s="1"/>
  <c r="W349" i="11"/>
  <c r="Y349" i="11"/>
  <c r="Y371" i="11"/>
  <c r="AB371" i="11"/>
  <c r="AB382" i="11"/>
  <c r="Y382" i="11"/>
  <c r="Y396" i="11"/>
  <c r="AB396" i="11"/>
  <c r="AC396" i="11" s="1"/>
  <c r="W396" i="11"/>
  <c r="Y459" i="11"/>
  <c r="AB459" i="11"/>
  <c r="AC459" i="11" s="1"/>
  <c r="W459" i="11"/>
  <c r="Y468" i="11"/>
  <c r="AB468" i="11"/>
  <c r="Y476" i="11"/>
  <c r="AB476" i="11"/>
  <c r="AC476" i="11" s="1"/>
  <c r="W476" i="11"/>
  <c r="Y480" i="11"/>
  <c r="AB480" i="11"/>
  <c r="AC480" i="11" s="1"/>
  <c r="W480" i="11"/>
  <c r="Y484" i="11"/>
  <c r="AB484" i="11"/>
  <c r="AC484" i="11" s="1"/>
  <c r="W484" i="11"/>
  <c r="AC520" i="11"/>
  <c r="AG520" i="11"/>
  <c r="W385" i="11"/>
  <c r="Z385" i="11" s="1"/>
  <c r="AB385" i="11"/>
  <c r="AC385" i="11" s="1"/>
  <c r="W390" i="11"/>
  <c r="Z390" i="11" s="1"/>
  <c r="AB390" i="11"/>
  <c r="AC390" i="11" s="1"/>
  <c r="W395" i="11"/>
  <c r="AB395" i="11"/>
  <c r="AB485" i="11"/>
  <c r="AC485" i="11" s="1"/>
  <c r="W486" i="11"/>
  <c r="Z486" i="11" s="1"/>
  <c r="AB489" i="11"/>
  <c r="AC489" i="11" s="1"/>
  <c r="W489" i="11"/>
  <c r="Z489" i="11" s="1"/>
  <c r="AB490" i="11"/>
  <c r="AC490" i="11" s="1"/>
  <c r="W492" i="11"/>
  <c r="Z492" i="11" s="1"/>
  <c r="AB494" i="11"/>
  <c r="AC494" i="11" s="1"/>
  <c r="W494" i="11"/>
  <c r="Z494" i="11" s="1"/>
  <c r="AB496" i="11"/>
  <c r="AC496" i="11" s="1"/>
  <c r="W496" i="11"/>
  <c r="Z496" i="11" s="1"/>
  <c r="AB498" i="11"/>
  <c r="AC498" i="11" s="1"/>
  <c r="W498" i="11"/>
  <c r="Z498" i="11" s="1"/>
  <c r="Y508" i="11"/>
  <c r="AB523" i="11"/>
  <c r="AC523" i="11" s="1"/>
  <c r="Y541" i="11"/>
  <c r="W547" i="11"/>
  <c r="Z547" i="11" s="1"/>
  <c r="Z558" i="11"/>
  <c r="AG558" i="11" s="1"/>
  <c r="Y577" i="11"/>
  <c r="Z577" i="11" s="1"/>
  <c r="AG577" i="11" s="1"/>
  <c r="AC590" i="11"/>
  <c r="Z604" i="11"/>
  <c r="AG604" i="11" s="1"/>
  <c r="Z606" i="11"/>
  <c r="AG606" i="11" s="1"/>
  <c r="Z608" i="11"/>
  <c r="AG608" i="11" s="1"/>
  <c r="Y610" i="11"/>
  <c r="AB612" i="11"/>
  <c r="AC612" i="11" s="1"/>
  <c r="AB622" i="11"/>
  <c r="AC622" i="11" s="1"/>
  <c r="AB626" i="11"/>
  <c r="AC626" i="11" s="1"/>
  <c r="Y652" i="11"/>
  <c r="AB652" i="11"/>
  <c r="AB502" i="11"/>
  <c r="AC502" i="11" s="1"/>
  <c r="W502" i="11"/>
  <c r="AB512" i="11"/>
  <c r="AC512" i="11" s="1"/>
  <c r="AB521" i="11"/>
  <c r="AC521" i="11" s="1"/>
  <c r="AB522" i="11"/>
  <c r="AC522" i="11" s="1"/>
  <c r="Z526" i="11"/>
  <c r="AB549" i="11"/>
  <c r="AC549" i="11" s="1"/>
  <c r="AC610" i="11"/>
  <c r="AB637" i="11"/>
  <c r="AC637" i="11" s="1"/>
  <c r="W637" i="11"/>
  <c r="Y637" i="11"/>
  <c r="AB638" i="11"/>
  <c r="AC638" i="11" s="1"/>
  <c r="W638" i="11"/>
  <c r="Y638" i="11"/>
  <c r="W357" i="11"/>
  <c r="Z357" i="11" s="1"/>
  <c r="AB357" i="11"/>
  <c r="AC357" i="11" s="1"/>
  <c r="Y381" i="11"/>
  <c r="W384" i="11"/>
  <c r="Z384" i="11" s="1"/>
  <c r="AB384" i="11"/>
  <c r="AC384" i="11" s="1"/>
  <c r="W386" i="11"/>
  <c r="Z386" i="11" s="1"/>
  <c r="AB386" i="11"/>
  <c r="AC386" i="11" s="1"/>
  <c r="W389" i="11"/>
  <c r="Z389" i="11" s="1"/>
  <c r="Y469" i="11"/>
  <c r="AB487" i="11"/>
  <c r="AB493" i="11"/>
  <c r="AC493" i="11" s="1"/>
  <c r="W493" i="11"/>
  <c r="Z493" i="11" s="1"/>
  <c r="AB495" i="11"/>
  <c r="AC495" i="11" s="1"/>
  <c r="W495" i="11"/>
  <c r="Z495" i="11" s="1"/>
  <c r="AB497" i="11"/>
  <c r="AC497" i="11" s="1"/>
  <c r="W497" i="11"/>
  <c r="Z497" i="11" s="1"/>
  <c r="AB500" i="11"/>
  <c r="AC500" i="11" s="1"/>
  <c r="W500" i="11"/>
  <c r="Z500" i="11" s="1"/>
  <c r="AG500" i="11" s="1"/>
  <c r="AB501" i="11"/>
  <c r="AC501" i="11" s="1"/>
  <c r="W503" i="11"/>
  <c r="Z503" i="11" s="1"/>
  <c r="AG503" i="11" s="1"/>
  <c r="AC504" i="11"/>
  <c r="U511" i="11"/>
  <c r="S510" i="11"/>
  <c r="W512" i="11"/>
  <c r="Z512" i="11" s="1"/>
  <c r="W522" i="11"/>
  <c r="Z522" i="11" s="1"/>
  <c r="Z527" i="11"/>
  <c r="AG527" i="11" s="1"/>
  <c r="Z529" i="11"/>
  <c r="AG529" i="11" s="1"/>
  <c r="Z531" i="11"/>
  <c r="AG531" i="11" s="1"/>
  <c r="Z533" i="11"/>
  <c r="AG533" i="11" s="1"/>
  <c r="Z535" i="11"/>
  <c r="AG535" i="11" s="1"/>
  <c r="Z539" i="11"/>
  <c r="AG539" i="11" s="1"/>
  <c r="AB544" i="11"/>
  <c r="Y545" i="11"/>
  <c r="AB548" i="11"/>
  <c r="AC548" i="11" s="1"/>
  <c r="W549" i="11"/>
  <c r="Z549" i="11" s="1"/>
  <c r="AB573" i="11"/>
  <c r="Y574" i="11"/>
  <c r="AB580" i="11"/>
  <c r="AC580" i="11" s="1"/>
  <c r="Z592" i="11"/>
  <c r="AG592" i="11" s="1"/>
  <c r="Z594" i="11"/>
  <c r="AG594" i="11" s="1"/>
  <c r="Z596" i="11"/>
  <c r="AG596" i="11" s="1"/>
  <c r="Z598" i="11"/>
  <c r="AG598" i="11" s="1"/>
  <c r="AB600" i="11"/>
  <c r="Y601" i="11"/>
  <c r="AB486" i="11"/>
  <c r="AC486" i="11" s="1"/>
  <c r="AB491" i="11"/>
  <c r="AC491" i="11" s="1"/>
  <c r="W491" i="11"/>
  <c r="Z491" i="11" s="1"/>
  <c r="AB492" i="11"/>
  <c r="AC492" i="11" s="1"/>
  <c r="W501" i="11"/>
  <c r="Z501" i="11" s="1"/>
  <c r="AG501" i="11" s="1"/>
  <c r="Y502" i="11"/>
  <c r="Y540" i="11"/>
  <c r="U525" i="11"/>
  <c r="AC545" i="11"/>
  <c r="AB547" i="11"/>
  <c r="AC547" i="11" s="1"/>
  <c r="AB559" i="11"/>
  <c r="AC559" i="11" s="1"/>
  <c r="AB599" i="11"/>
  <c r="AC599" i="11" s="1"/>
  <c r="W599" i="11"/>
  <c r="Z599" i="11" s="1"/>
  <c r="AC601" i="11"/>
  <c r="AB615" i="11"/>
  <c r="AC615" i="11" s="1"/>
  <c r="Y615" i="11"/>
  <c r="Z615" i="11" s="1"/>
  <c r="AB617" i="11"/>
  <c r="AC617" i="11" s="1"/>
  <c r="Y617" i="11"/>
  <c r="Z617" i="11" s="1"/>
  <c r="AB644" i="11"/>
  <c r="AC644" i="11" s="1"/>
  <c r="W644" i="11"/>
  <c r="Y644" i="11"/>
  <c r="AB618" i="11"/>
  <c r="AC618" i="11" s="1"/>
  <c r="Y618" i="11"/>
  <c r="Z618" i="11" s="1"/>
  <c r="AB624" i="11"/>
  <c r="AC624" i="11" s="1"/>
  <c r="AB625" i="11"/>
  <c r="AC625" i="11" s="1"/>
  <c r="AB629" i="11"/>
  <c r="AC629" i="11" s="1"/>
  <c r="W629" i="11"/>
  <c r="Z629" i="11" s="1"/>
  <c r="Y653" i="11"/>
  <c r="AB654" i="11"/>
  <c r="AC654" i="11" s="1"/>
  <c r="W654" i="11"/>
  <c r="Z654" i="11" s="1"/>
  <c r="AB656" i="11"/>
  <c r="AC656" i="11" s="1"/>
  <c r="AC707" i="11"/>
  <c r="AB708" i="11"/>
  <c r="Y709" i="11"/>
  <c r="Z797" i="11"/>
  <c r="AB645" i="11"/>
  <c r="AC645" i="11" s="1"/>
  <c r="W645" i="11"/>
  <c r="AC653" i="11"/>
  <c r="AB705" i="11"/>
  <c r="U704" i="11"/>
  <c r="AC709" i="11"/>
  <c r="Z715" i="11"/>
  <c r="AB727" i="11"/>
  <c r="W727" i="11"/>
  <c r="Z727" i="11" s="1"/>
  <c r="AB729" i="11"/>
  <c r="AC729" i="11" s="1"/>
  <c r="W729" i="11"/>
  <c r="Z729" i="11" s="1"/>
  <c r="AB731" i="11"/>
  <c r="AC731" i="11" s="1"/>
  <c r="W731" i="11"/>
  <c r="Z731" i="11" s="1"/>
  <c r="AB733" i="11"/>
  <c r="AC733" i="11" s="1"/>
  <c r="W733" i="11"/>
  <c r="Z733" i="11" s="1"/>
  <c r="AB735" i="11"/>
  <c r="AC735" i="11" s="1"/>
  <c r="W735" i="11"/>
  <c r="Z735" i="11" s="1"/>
  <c r="AB737" i="11"/>
  <c r="AC737" i="11" s="1"/>
  <c r="W737" i="11"/>
  <c r="Z737" i="11" s="1"/>
  <c r="AB739" i="11"/>
  <c r="AC739" i="11" s="1"/>
  <c r="W739" i="11"/>
  <c r="Z739" i="11" s="1"/>
  <c r="AB741" i="11"/>
  <c r="AC741" i="11" s="1"/>
  <c r="W741" i="11"/>
  <c r="Z741" i="11" s="1"/>
  <c r="AB616" i="11"/>
  <c r="AC616" i="11" s="1"/>
  <c r="Y616" i="11"/>
  <c r="Z616" i="11" s="1"/>
  <c r="AB620" i="11"/>
  <c r="AC620" i="11" s="1"/>
  <c r="AB628" i="11"/>
  <c r="AC628" i="11" s="1"/>
  <c r="Z643" i="11"/>
  <c r="AG643" i="11" s="1"/>
  <c r="Y645" i="11"/>
  <c r="Z649" i="11"/>
  <c r="AG649" i="11" s="1"/>
  <c r="AB659" i="11"/>
  <c r="AC659" i="11" s="1"/>
  <c r="W659" i="11"/>
  <c r="Z659" i="11" s="1"/>
  <c r="AB696" i="11"/>
  <c r="Z697" i="11"/>
  <c r="AG697" i="11" s="1"/>
  <c r="Z699" i="11"/>
  <c r="AG699" i="11" s="1"/>
  <c r="Z701" i="11"/>
  <c r="AG701" i="11" s="1"/>
  <c r="Y705" i="11"/>
  <c r="Z743" i="11"/>
  <c r="AB748" i="11"/>
  <c r="AC748" i="11" s="1"/>
  <c r="Z792" i="11"/>
  <c r="Z795" i="11"/>
  <c r="Z800" i="11"/>
  <c r="Z804" i="11"/>
  <c r="Z803" i="11" s="1"/>
  <c r="Y810" i="11"/>
  <c r="Y809" i="11" s="1"/>
  <c r="Y808" i="11" s="1"/>
  <c r="AB810" i="11"/>
  <c r="W810" i="11"/>
  <c r="U809" i="11"/>
  <c r="U808" i="11" s="1"/>
  <c r="AB728" i="11"/>
  <c r="AC728" i="11" s="1"/>
  <c r="W728" i="11"/>
  <c r="Z728" i="11" s="1"/>
  <c r="AB730" i="11"/>
  <c r="AC730" i="11" s="1"/>
  <c r="W730" i="11"/>
  <c r="Z730" i="11" s="1"/>
  <c r="AB732" i="11"/>
  <c r="AC732" i="11" s="1"/>
  <c r="W732" i="11"/>
  <c r="Z732" i="11" s="1"/>
  <c r="AB736" i="11"/>
  <c r="AC736" i="11" s="1"/>
  <c r="W736" i="11"/>
  <c r="Z736" i="11" s="1"/>
  <c r="AB738" i="11"/>
  <c r="AC738" i="11" s="1"/>
  <c r="W738" i="11"/>
  <c r="Z738" i="11" s="1"/>
  <c r="AB740" i="11"/>
  <c r="AC740" i="11" s="1"/>
  <c r="W740" i="11"/>
  <c r="Z740" i="11" s="1"/>
  <c r="AB742" i="11"/>
  <c r="AC742" i="11" s="1"/>
  <c r="W742" i="11"/>
  <c r="Z742" i="11" s="1"/>
  <c r="AB789" i="11"/>
  <c r="W789" i="11"/>
  <c r="Z789" i="11" s="1"/>
  <c r="U787" i="11"/>
  <c r="U786" i="11" s="1"/>
  <c r="S848" i="11"/>
  <c r="U850" i="11"/>
  <c r="Z854" i="11"/>
  <c r="Z858" i="11"/>
  <c r="Z862" i="11"/>
  <c r="Y920" i="11"/>
  <c r="AB920" i="11"/>
  <c r="AC920" i="11" s="1"/>
  <c r="W920" i="11"/>
  <c r="Y937" i="11"/>
  <c r="AB937" i="11"/>
  <c r="AC937" i="11" s="1"/>
  <c r="Y1178" i="11"/>
  <c r="AB1178" i="11"/>
  <c r="AC1178" i="11" s="1"/>
  <c r="W1178" i="11"/>
  <c r="AB882" i="11"/>
  <c r="AC882" i="11" s="1"/>
  <c r="W882" i="11"/>
  <c r="AB884" i="11"/>
  <c r="AC884" i="11" s="1"/>
  <c r="W884" i="11"/>
  <c r="AB886" i="11"/>
  <c r="AC886" i="11" s="1"/>
  <c r="W886" i="11"/>
  <c r="AB888" i="11"/>
  <c r="AC888" i="11" s="1"/>
  <c r="W888" i="11"/>
  <c r="AB981" i="11"/>
  <c r="AC981" i="11" s="1"/>
  <c r="Y981" i="11"/>
  <c r="Y1065" i="11"/>
  <c r="AB1065" i="11"/>
  <c r="Y1067" i="11"/>
  <c r="AB1067" i="11"/>
  <c r="AC1067" i="11" s="1"/>
  <c r="Y1083" i="11"/>
  <c r="AB1083" i="11"/>
  <c r="AC1083" i="11" s="1"/>
  <c r="W1083" i="11"/>
  <c r="Z852" i="11"/>
  <c r="Z856" i="11"/>
  <c r="Z860" i="11"/>
  <c r="Y882" i="11"/>
  <c r="AB883" i="11"/>
  <c r="AC883" i="11" s="1"/>
  <c r="Y884" i="11"/>
  <c r="AB885" i="11"/>
  <c r="AC885" i="11" s="1"/>
  <c r="Y886" i="11"/>
  <c r="AB887" i="11"/>
  <c r="AC887" i="11" s="1"/>
  <c r="Y888" i="11"/>
  <c r="AB889" i="11"/>
  <c r="AC889" i="11" s="1"/>
  <c r="AB918" i="11"/>
  <c r="AC918" i="11" s="1"/>
  <c r="AB922" i="11"/>
  <c r="AC922" i="11" s="1"/>
  <c r="W922" i="11"/>
  <c r="Y922" i="11"/>
  <c r="AB978" i="11"/>
  <c r="AC978" i="11" s="1"/>
  <c r="W978" i="11"/>
  <c r="Y978" i="11"/>
  <c r="AB980" i="11"/>
  <c r="AC980" i="11" s="1"/>
  <c r="AB1076" i="11"/>
  <c r="W1076" i="11"/>
  <c r="Y1076" i="11"/>
  <c r="AB1120" i="11"/>
  <c r="AC1120" i="11" s="1"/>
  <c r="W1120" i="11"/>
  <c r="Y1120" i="11"/>
  <c r="W919" i="11"/>
  <c r="W923" i="11"/>
  <c r="U936" i="11"/>
  <c r="W997" i="11"/>
  <c r="Z997" i="11" s="1"/>
  <c r="AB997" i="11"/>
  <c r="AC997" i="11" s="1"/>
  <c r="S1063" i="11"/>
  <c r="S1062" i="11" s="1"/>
  <c r="U1066" i="11"/>
  <c r="U1063" i="11" s="1"/>
  <c r="U1062" i="11" s="1"/>
  <c r="W1068" i="11"/>
  <c r="AB1068" i="11"/>
  <c r="AC1068" i="11" s="1"/>
  <c r="O1073" i="11"/>
  <c r="W1075" i="11"/>
  <c r="W1080" i="11"/>
  <c r="AB1099" i="11"/>
  <c r="AC1099" i="11" s="1"/>
  <c r="W1099" i="11"/>
  <c r="Z1099" i="11" s="1"/>
  <c r="Y1101" i="11"/>
  <c r="Z1101" i="11" s="1"/>
  <c r="AB1114" i="11"/>
  <c r="AB1123" i="11"/>
  <c r="AC1123" i="11" s="1"/>
  <c r="AB1126" i="11"/>
  <c r="AC1126" i="11" s="1"/>
  <c r="W1126" i="11"/>
  <c r="Z1126" i="11" s="1"/>
  <c r="AB1131" i="11"/>
  <c r="W1131" i="11"/>
  <c r="Z1131" i="11" s="1"/>
  <c r="Y1138" i="11"/>
  <c r="W1138" i="11"/>
  <c r="O1141" i="11"/>
  <c r="AB1144" i="11"/>
  <c r="W1144" i="11"/>
  <c r="Z1144" i="11" s="1"/>
  <c r="AB1154" i="11"/>
  <c r="AC1154" i="11" s="1"/>
  <c r="Y1154" i="11"/>
  <c r="Y1075" i="11"/>
  <c r="T1077" i="11"/>
  <c r="U1077" i="11" s="1"/>
  <c r="Y1080" i="11"/>
  <c r="AB1100" i="11"/>
  <c r="AC1100" i="11" s="1"/>
  <c r="W1100" i="11"/>
  <c r="AB1101" i="11"/>
  <c r="AC1101" i="11" s="1"/>
  <c r="Y1139" i="11"/>
  <c r="AB1139" i="11"/>
  <c r="AC1139" i="11" s="1"/>
  <c r="W1139" i="11"/>
  <c r="AB1147" i="11"/>
  <c r="W1147" i="11"/>
  <c r="Y1147" i="11"/>
  <c r="W1152" i="11"/>
  <c r="Y1152" i="11"/>
  <c r="Y1175" i="11"/>
  <c r="W1175" i="11"/>
  <c r="AB1175" i="11"/>
  <c r="AC1175" i="11" s="1"/>
  <c r="W921" i="11"/>
  <c r="Z921" i="11" s="1"/>
  <c r="AB921" i="11"/>
  <c r="AC921" i="11" s="1"/>
  <c r="W924" i="11"/>
  <c r="W977" i="11"/>
  <c r="Z977" i="11" s="1"/>
  <c r="AB977" i="11"/>
  <c r="AC977" i="11" s="1"/>
  <c r="W1082" i="11"/>
  <c r="Z1082" i="11" s="1"/>
  <c r="Y1084" i="11"/>
  <c r="Z1084" i="11" s="1"/>
  <c r="AB1085" i="11"/>
  <c r="W1085" i="11"/>
  <c r="Z1085" i="11" s="1"/>
  <c r="AB1086" i="11"/>
  <c r="AC1086" i="11" s="1"/>
  <c r="W1086" i="11"/>
  <c r="Z1086" i="11" s="1"/>
  <c r="AB1090" i="11"/>
  <c r="W1090" i="11"/>
  <c r="Z1090" i="11" s="1"/>
  <c r="AB1094" i="11"/>
  <c r="W1094" i="11"/>
  <c r="Z1094" i="11" s="1"/>
  <c r="Y1100" i="11"/>
  <c r="AB1104" i="11"/>
  <c r="W1104" i="11"/>
  <c r="Z1104" i="11" s="1"/>
  <c r="AB1115" i="11"/>
  <c r="AC1115" i="11" s="1"/>
  <c r="Y1117" i="11"/>
  <c r="Z1117" i="11" s="1"/>
  <c r="T1133" i="11"/>
  <c r="U1132" i="11"/>
  <c r="Y1151" i="11"/>
  <c r="Z1151" i="11" s="1"/>
  <c r="AB1151" i="11"/>
  <c r="AC1151" i="11" s="1"/>
  <c r="AB1152" i="11"/>
  <c r="AC1152" i="11" s="1"/>
  <c r="U1155" i="11"/>
  <c r="AB1164" i="11"/>
  <c r="W1164" i="11"/>
  <c r="Z1164" i="11" s="1"/>
  <c r="AB1117" i="11"/>
  <c r="AC1117" i="11" s="1"/>
  <c r="AB1119" i="11"/>
  <c r="W1119" i="11"/>
  <c r="Z1119" i="11" s="1"/>
  <c r="AB1161" i="11"/>
  <c r="AC1161" i="11" s="1"/>
  <c r="W1161" i="11"/>
  <c r="Y1161" i="11"/>
  <c r="Y1181" i="11"/>
  <c r="AB1181" i="11"/>
  <c r="W1181" i="11"/>
  <c r="AB1184" i="11"/>
  <c r="AB1192" i="11"/>
  <c r="AB1191" i="11" s="1"/>
  <c r="O1520" i="11" s="1"/>
  <c r="O1519" i="11" s="1"/>
  <c r="AB1230" i="11"/>
  <c r="AC1230" i="11" s="1"/>
  <c r="W1230" i="11"/>
  <c r="Y1230" i="11"/>
  <c r="AB1232" i="11"/>
  <c r="AC1232" i="11" s="1"/>
  <c r="W1232" i="11"/>
  <c r="Y1232" i="11"/>
  <c r="Y1098" i="11"/>
  <c r="AB1103" i="11"/>
  <c r="AB1113" i="11"/>
  <c r="AC1113" i="11" s="1"/>
  <c r="Y1116" i="11"/>
  <c r="Y1122" i="11"/>
  <c r="T1148" i="11"/>
  <c r="U1148" i="11" s="1"/>
  <c r="Q1141" i="11"/>
  <c r="AB1150" i="11"/>
  <c r="Y1150" i="11"/>
  <c r="Y1186" i="11"/>
  <c r="W1186" i="11"/>
  <c r="Y1171" i="11"/>
  <c r="W1171" i="11"/>
  <c r="Y1177" i="11"/>
  <c r="W1177" i="11"/>
  <c r="Y1182" i="11"/>
  <c r="Z1182" i="11" s="1"/>
  <c r="AB1169" i="11"/>
  <c r="AB1174" i="11"/>
  <c r="AB1276" i="11"/>
  <c r="W1276" i="11"/>
  <c r="Y1276" i="11"/>
  <c r="U1275" i="11"/>
  <c r="U1270" i="11" s="1"/>
  <c r="AB1277" i="11"/>
  <c r="AC1277" i="11" s="1"/>
  <c r="W1277" i="11"/>
  <c r="Y1277" i="11"/>
  <c r="AB1278" i="11"/>
  <c r="AC1278" i="11" s="1"/>
  <c r="W1278" i="11"/>
  <c r="Y1278" i="11"/>
  <c r="AB1279" i="11"/>
  <c r="AC1279" i="11" s="1"/>
  <c r="W1279" i="11"/>
  <c r="Y1279" i="11"/>
  <c r="AB1280" i="11"/>
  <c r="AC1280" i="11" s="1"/>
  <c r="W1280" i="11"/>
  <c r="Y1280" i="11"/>
  <c r="AB1281" i="11"/>
  <c r="AC1281" i="11" s="1"/>
  <c r="W1281" i="11"/>
  <c r="Y1281" i="11"/>
  <c r="AB1282" i="11"/>
  <c r="AC1282" i="11" s="1"/>
  <c r="W1282" i="11"/>
  <c r="Y1282" i="11"/>
  <c r="AB1283" i="11"/>
  <c r="AC1283" i="11" s="1"/>
  <c r="W1283" i="11"/>
  <c r="Y1283" i="11"/>
  <c r="AB1284" i="11"/>
  <c r="AC1284" i="11" s="1"/>
  <c r="W1284" i="11"/>
  <c r="Y1284" i="11"/>
  <c r="AB1285" i="11"/>
  <c r="AC1285" i="11" s="1"/>
  <c r="W1285" i="11"/>
  <c r="Y1285" i="11"/>
  <c r="S1433" i="11"/>
  <c r="Z1433" i="11"/>
  <c r="AB1172" i="11"/>
  <c r="AC1172" i="11" s="1"/>
  <c r="W1183" i="11"/>
  <c r="U1223" i="11"/>
  <c r="U1224" i="11"/>
  <c r="U1225" i="11"/>
  <c r="U1226" i="11"/>
  <c r="U1227" i="11"/>
  <c r="AB1228" i="11"/>
  <c r="AC1228" i="11" s="1"/>
  <c r="W1228" i="11"/>
  <c r="Y1228" i="11"/>
  <c r="AB1229" i="11"/>
  <c r="W1229" i="11"/>
  <c r="Y1229" i="11"/>
  <c r="AB1231" i="11"/>
  <c r="W1231" i="11"/>
  <c r="Y1231" i="11"/>
  <c r="Z1567" i="11"/>
  <c r="Y1564" i="11"/>
  <c r="Y1563" i="11" s="1"/>
  <c r="Y1562" i="11" s="1"/>
  <c r="Y1549" i="11" s="1"/>
  <c r="S1295" i="11" l="1"/>
  <c r="R1295" i="11"/>
  <c r="AC1295" i="11"/>
  <c r="W1184" i="11"/>
  <c r="Z1184" i="11" s="1"/>
  <c r="Y1185" i="11"/>
  <c r="Z1185" i="11" s="1"/>
  <c r="AC1185" i="11"/>
  <c r="AB1295" i="11"/>
  <c r="O1546" i="11" s="1"/>
  <c r="O1545" i="11" s="1"/>
  <c r="O1544" i="11" s="1"/>
  <c r="U1105" i="11"/>
  <c r="W1105" i="11" s="1"/>
  <c r="T1106" i="11"/>
  <c r="U1106" i="11" s="1"/>
  <c r="Q1295" i="11"/>
  <c r="U1295" i="11"/>
  <c r="Y1092" i="11"/>
  <c r="Z1092" i="11" s="1"/>
  <c r="AB1092" i="11"/>
  <c r="AC1092" i="11" s="1"/>
  <c r="AB1091" i="11"/>
  <c r="W1091" i="11"/>
  <c r="P1295" i="11"/>
  <c r="W1295" i="11"/>
  <c r="AC147" i="11"/>
  <c r="AB1095" i="11"/>
  <c r="AC1095" i="11" s="1"/>
  <c r="U41" i="11"/>
  <c r="U40" i="11" s="1"/>
  <c r="U31" i="11" s="1"/>
  <c r="AB42" i="11"/>
  <c r="AB41" i="11" s="1"/>
  <c r="AB40" i="11" s="1"/>
  <c r="AB31" i="11" s="1"/>
  <c r="Z1122" i="11"/>
  <c r="Z1116" i="11"/>
  <c r="Z1170" i="11"/>
  <c r="Y1432" i="11"/>
  <c r="Q1198" i="11"/>
  <c r="AB734" i="11"/>
  <c r="AC734" i="11" s="1"/>
  <c r="AG542" i="11"/>
  <c r="W42" i="11"/>
  <c r="Z42" i="11" s="1"/>
  <c r="Z41" i="11" s="1"/>
  <c r="Z40" i="11" s="1"/>
  <c r="Z31" i="11" s="1"/>
  <c r="Z1129" i="11"/>
  <c r="R102" i="11"/>
  <c r="R101" i="11" s="1"/>
  <c r="R30" i="11" s="1"/>
  <c r="Z1102" i="11"/>
  <c r="S786" i="11"/>
  <c r="P1198" i="11"/>
  <c r="Z1098" i="11"/>
  <c r="AC175" i="11"/>
  <c r="U1432" i="11"/>
  <c r="M101" i="11"/>
  <c r="M30" i="11" s="1"/>
  <c r="U714" i="11"/>
  <c r="U713" i="11" s="1"/>
  <c r="AG389" i="11"/>
  <c r="AC57" i="11"/>
  <c r="AC56" i="11" s="1"/>
  <c r="Z499" i="11"/>
  <c r="AG499" i="11" s="1"/>
  <c r="Z1183" i="11"/>
  <c r="Z1564" i="11"/>
  <c r="Z1563" i="11" s="1"/>
  <c r="Z1562" i="11" s="1"/>
  <c r="Z1549" i="11" s="1"/>
  <c r="W734" i="11"/>
  <c r="Z734" i="11" s="1"/>
  <c r="Z714" i="11" s="1"/>
  <c r="Z713" i="11" s="1"/>
  <c r="AG694" i="11"/>
  <c r="Z887" i="11"/>
  <c r="Z628" i="11"/>
  <c r="AG628" i="11" s="1"/>
  <c r="W1165" i="11"/>
  <c r="Z1165" i="11" s="1"/>
  <c r="Y115" i="11"/>
  <c r="Z1096" i="11"/>
  <c r="AB1165" i="11"/>
  <c r="AC1165" i="11" s="1"/>
  <c r="Z1175" i="11"/>
  <c r="Z1125" i="11"/>
  <c r="Z623" i="11"/>
  <c r="AG623" i="11" s="1"/>
  <c r="Z185" i="11"/>
  <c r="AG185" i="11" s="1"/>
  <c r="Q102" i="11"/>
  <c r="Q101" i="11" s="1"/>
  <c r="AG571" i="11"/>
  <c r="Z794" i="11"/>
  <c r="Z1193" i="11"/>
  <c r="Z1192" i="11" s="1"/>
  <c r="Z1191" i="11" s="1"/>
  <c r="Z275" i="11"/>
  <c r="AC370" i="11"/>
  <c r="W57" i="11"/>
  <c r="W56" i="11" s="1"/>
  <c r="Z624" i="11"/>
  <c r="AG624" i="11" s="1"/>
  <c r="Z580" i="11"/>
  <c r="AG580" i="11" s="1"/>
  <c r="Y786" i="11"/>
  <c r="AH167" i="11"/>
  <c r="Z478" i="11"/>
  <c r="AG478" i="11" s="1"/>
  <c r="W1432" i="11"/>
  <c r="Z923" i="11"/>
  <c r="AG654" i="11"/>
  <c r="AC139" i="11"/>
  <c r="Z889" i="11"/>
  <c r="U56" i="11"/>
  <c r="Z976" i="11"/>
  <c r="Y57" i="11"/>
  <c r="AG576" i="11"/>
  <c r="Z122" i="11"/>
  <c r="AG122" i="11" s="1"/>
  <c r="O1198" i="11"/>
  <c r="AC1432" i="11"/>
  <c r="R1432" i="11"/>
  <c r="Z1103" i="11"/>
  <c r="Q44" i="11"/>
  <c r="S1198" i="11"/>
  <c r="Z924" i="11"/>
  <c r="Z787" i="11"/>
  <c r="AG613" i="11"/>
  <c r="Z620" i="11"/>
  <c r="AG620" i="11" s="1"/>
  <c r="AG579" i="11"/>
  <c r="Z559" i="11"/>
  <c r="AG559" i="11" s="1"/>
  <c r="Z521" i="11"/>
  <c r="AG521" i="11" s="1"/>
  <c r="Z627" i="11"/>
  <c r="AG627" i="11" s="1"/>
  <c r="Z625" i="11"/>
  <c r="AG625" i="11" s="1"/>
  <c r="O101" i="11"/>
  <c r="O30" i="11" s="1"/>
  <c r="AC143" i="11"/>
  <c r="AB110" i="11"/>
  <c r="P102" i="11"/>
  <c r="P101" i="11" s="1"/>
  <c r="P30" i="11" s="1"/>
  <c r="Z612" i="11"/>
  <c r="AG612" i="11" s="1"/>
  <c r="Z621" i="11"/>
  <c r="AG621" i="11" s="1"/>
  <c r="S45" i="11"/>
  <c r="Q1071" i="11"/>
  <c r="Q1070" i="11" s="1"/>
  <c r="Y1095" i="11"/>
  <c r="Z1095" i="11" s="1"/>
  <c r="AG922" i="11"/>
  <c r="AG710" i="11"/>
  <c r="Z391" i="11"/>
  <c r="AG391" i="11" s="1"/>
  <c r="Z55" i="11"/>
  <c r="Z46" i="11" s="1"/>
  <c r="AG980" i="11"/>
  <c r="AG918" i="11"/>
  <c r="AG711" i="11"/>
  <c r="AC711" i="11"/>
  <c r="AG614" i="11"/>
  <c r="AC614" i="11"/>
  <c r="Z1432" i="11"/>
  <c r="AG920" i="11"/>
  <c r="Z919" i="11"/>
  <c r="Z922" i="11"/>
  <c r="AG575" i="11"/>
  <c r="U393" i="11"/>
  <c r="AG252" i="11"/>
  <c r="AC195" i="11"/>
  <c r="Z474" i="11"/>
  <c r="AG474" i="11" s="1"/>
  <c r="Z467" i="11"/>
  <c r="AG467" i="11" s="1"/>
  <c r="AG254" i="11"/>
  <c r="AB115" i="11"/>
  <c r="R1198" i="11"/>
  <c r="Z1078" i="11"/>
  <c r="Z220" i="11"/>
  <c r="AG220" i="11" s="1"/>
  <c r="S44" i="11"/>
  <c r="Z1097" i="11"/>
  <c r="Z267" i="11"/>
  <c r="AG491" i="11"/>
  <c r="Z883" i="11"/>
  <c r="Z885" i="11"/>
  <c r="AG519" i="11"/>
  <c r="S102" i="11"/>
  <c r="Z657" i="11"/>
  <c r="AG657" i="11" s="1"/>
  <c r="Z1285" i="11"/>
  <c r="AG1285" i="11" s="1"/>
  <c r="Z1281" i="11"/>
  <c r="AG1281" i="11" s="1"/>
  <c r="Z1277" i="11"/>
  <c r="AG1277" i="11" s="1"/>
  <c r="Z1139" i="11"/>
  <c r="AG886" i="11"/>
  <c r="AG882" i="11"/>
  <c r="Z1083" i="11"/>
  <c r="AG981" i="11"/>
  <c r="AG937" i="11"/>
  <c r="AG617" i="11"/>
  <c r="AB488" i="11"/>
  <c r="AC488" i="11" s="1"/>
  <c r="AG498" i="11"/>
  <c r="AG494" i="11"/>
  <c r="AG489" i="11"/>
  <c r="Z476" i="11"/>
  <c r="AG476" i="11" s="1"/>
  <c r="Z396" i="11"/>
  <c r="AG396" i="11" s="1"/>
  <c r="Z349" i="11"/>
  <c r="AG349" i="11" s="1"/>
  <c r="Y238" i="11"/>
  <c r="Z479" i="11"/>
  <c r="AG479" i="11" s="1"/>
  <c r="W115" i="11"/>
  <c r="M1432" i="11"/>
  <c r="M1198" i="11"/>
  <c r="P1432" i="11"/>
  <c r="AG997" i="11"/>
  <c r="AG883" i="11"/>
  <c r="AG923" i="11"/>
  <c r="AG889" i="11"/>
  <c r="AG924" i="11"/>
  <c r="AG933" i="11"/>
  <c r="Z523" i="11"/>
  <c r="AG523" i="11" s="1"/>
  <c r="Z656" i="11"/>
  <c r="AG656" i="11" s="1"/>
  <c r="Z259" i="11"/>
  <c r="AG695" i="11"/>
  <c r="AC695" i="11"/>
  <c r="AG978" i="11"/>
  <c r="Z920" i="11"/>
  <c r="AG706" i="11"/>
  <c r="AG522" i="11"/>
  <c r="W488" i="11"/>
  <c r="Z488" i="11" s="1"/>
  <c r="Z480" i="11"/>
  <c r="AG480" i="11" s="1"/>
  <c r="Z459" i="11"/>
  <c r="AG459" i="11" s="1"/>
  <c r="Y172" i="11"/>
  <c r="AG174" i="11"/>
  <c r="AG572" i="11"/>
  <c r="AC572" i="11"/>
  <c r="AG976" i="11"/>
  <c r="S393" i="11"/>
  <c r="S237" i="11" s="1"/>
  <c r="Z1181" i="11"/>
  <c r="S1432" i="11"/>
  <c r="Z1283" i="11"/>
  <c r="AG1283" i="11" s="1"/>
  <c r="Z1279" i="11"/>
  <c r="AG1279" i="11" s="1"/>
  <c r="Z1076" i="11"/>
  <c r="Z978" i="11"/>
  <c r="Z918" i="11"/>
  <c r="AG888" i="11"/>
  <c r="AG884" i="11"/>
  <c r="AG615" i="11"/>
  <c r="AG611" i="11"/>
  <c r="AG549" i="11"/>
  <c r="Z638" i="11"/>
  <c r="AG638" i="11" s="1"/>
  <c r="AG496" i="11"/>
  <c r="AG492" i="11"/>
  <c r="Y393" i="11"/>
  <c r="AG277" i="11"/>
  <c r="Z167" i="11"/>
  <c r="AG548" i="11"/>
  <c r="Z481" i="11"/>
  <c r="AG481" i="11" s="1"/>
  <c r="Z263" i="11"/>
  <c r="Z103" i="11"/>
  <c r="AB1432" i="11"/>
  <c r="AG977" i="11"/>
  <c r="Q1432" i="11"/>
  <c r="Z1157" i="11"/>
  <c r="AG887" i="11"/>
  <c r="AG885" i="11"/>
  <c r="AG919" i="11"/>
  <c r="AG975" i="11"/>
  <c r="Z487" i="11"/>
  <c r="AG487" i="11" s="1"/>
  <c r="AG921" i="11"/>
  <c r="AG556" i="11"/>
  <c r="AC556" i="11"/>
  <c r="AB1226" i="11"/>
  <c r="AC1226" i="11" s="1"/>
  <c r="W1226" i="11"/>
  <c r="Y1226" i="11"/>
  <c r="AB1224" i="11"/>
  <c r="AC1224" i="11" s="1"/>
  <c r="W1224" i="11"/>
  <c r="Y1224" i="11"/>
  <c r="O1072" i="11"/>
  <c r="O1071" i="11" s="1"/>
  <c r="O1070" i="11" s="1"/>
  <c r="Z975" i="11"/>
  <c r="W935" i="11"/>
  <c r="AG1231" i="11"/>
  <c r="Z1231" i="11"/>
  <c r="Z1284" i="11"/>
  <c r="AG1284" i="11" s="1"/>
  <c r="Z1280" i="11"/>
  <c r="AG1280" i="11" s="1"/>
  <c r="Y1275" i="11"/>
  <c r="Y1270" i="11" s="1"/>
  <c r="Z1186" i="11"/>
  <c r="Z1230" i="11"/>
  <c r="AG1230" i="11"/>
  <c r="Y1155" i="11"/>
  <c r="W1155" i="11"/>
  <c r="AB1155" i="11"/>
  <c r="T1134" i="11"/>
  <c r="U1133" i="11"/>
  <c r="Y1133" i="11" s="1"/>
  <c r="Z1133" i="11" s="1"/>
  <c r="Z1152" i="11"/>
  <c r="AB1077" i="11"/>
  <c r="W1077" i="11"/>
  <c r="Y1077" i="11"/>
  <c r="AC1144" i="11"/>
  <c r="Z1080" i="11"/>
  <c r="U935" i="11"/>
  <c r="AB936" i="11"/>
  <c r="Y936" i="11"/>
  <c r="Z1120" i="11"/>
  <c r="AC1065" i="11"/>
  <c r="Z888" i="11"/>
  <c r="Z884" i="11"/>
  <c r="Z1178" i="11"/>
  <c r="Y850" i="11"/>
  <c r="W850" i="11"/>
  <c r="AB850" i="11"/>
  <c r="U848" i="11"/>
  <c r="AC696" i="11"/>
  <c r="AG696" i="11"/>
  <c r="AG616" i="11"/>
  <c r="Z645" i="11"/>
  <c r="AG645" i="11" s="1"/>
  <c r="AG629" i="11"/>
  <c r="AG599" i="11"/>
  <c r="AC600" i="11"/>
  <c r="AG600" i="11"/>
  <c r="AC573" i="11"/>
  <c r="AG573" i="11"/>
  <c r="AG512" i="11"/>
  <c r="AG497" i="11"/>
  <c r="AG493" i="11"/>
  <c r="AG386" i="11"/>
  <c r="Z637" i="11"/>
  <c r="AG637" i="11" s="1"/>
  <c r="Z626" i="11"/>
  <c r="AG626" i="11" s="1"/>
  <c r="AG547" i="11"/>
  <c r="AG486" i="11"/>
  <c r="AG385" i="11"/>
  <c r="AG485" i="11"/>
  <c r="AG371" i="11"/>
  <c r="AC371" i="11"/>
  <c r="AG380" i="11"/>
  <c r="AC380" i="11"/>
  <c r="AG305" i="11"/>
  <c r="AG300" i="11"/>
  <c r="Z466" i="11"/>
  <c r="AG466" i="11" s="1"/>
  <c r="Z274" i="11"/>
  <c r="AC266" i="11"/>
  <c r="AG490" i="11"/>
  <c r="Z475" i="11"/>
  <c r="AG475" i="11" s="1"/>
  <c r="AC260" i="11"/>
  <c r="Z182" i="11"/>
  <c r="W172" i="11"/>
  <c r="AC146" i="11"/>
  <c r="AG146" i="11"/>
  <c r="AB1225" i="11"/>
  <c r="AC1225" i="11" s="1"/>
  <c r="W1225" i="11"/>
  <c r="Y1225" i="11"/>
  <c r="Z1232" i="11"/>
  <c r="AG1232" i="11"/>
  <c r="Z1100" i="11"/>
  <c r="S847" i="11"/>
  <c r="S846" i="11" s="1"/>
  <c r="AC727" i="11"/>
  <c r="AC708" i="11"/>
  <c r="AG708" i="11"/>
  <c r="AG526" i="11"/>
  <c r="AC487" i="11"/>
  <c r="Z484" i="11"/>
  <c r="AG484" i="11" s="1"/>
  <c r="AB238" i="11"/>
  <c r="AC252" i="11"/>
  <c r="AB525" i="11"/>
  <c r="AC272" i="11"/>
  <c r="AC264" i="11"/>
  <c r="AC256" i="11"/>
  <c r="AC274" i="11"/>
  <c r="AC269" i="11"/>
  <c r="Z112" i="11"/>
  <c r="Z110" i="11" s="1"/>
  <c r="W110" i="11"/>
  <c r="Z73" i="11"/>
  <c r="Z58" i="11" s="1"/>
  <c r="W58" i="11"/>
  <c r="AG144" i="11"/>
  <c r="AC144" i="11"/>
  <c r="Y46" i="11"/>
  <c r="W238" i="11"/>
  <c r="AG196" i="11"/>
  <c r="AC196" i="11"/>
  <c r="AG140" i="11"/>
  <c r="AC140" i="11"/>
  <c r="AB1227" i="11"/>
  <c r="AC1227" i="11" s="1"/>
  <c r="W1227" i="11"/>
  <c r="Y1227" i="11"/>
  <c r="AB1223" i="11"/>
  <c r="U1222" i="11"/>
  <c r="U1221" i="11" s="1"/>
  <c r="U1198" i="11" s="1"/>
  <c r="W1223" i="11"/>
  <c r="Y1223" i="11"/>
  <c r="Z1276" i="11"/>
  <c r="W1275" i="11"/>
  <c r="W1270" i="11" s="1"/>
  <c r="Z1075" i="11"/>
  <c r="W1064" i="11"/>
  <c r="Z1068" i="11"/>
  <c r="W1063" i="11"/>
  <c r="W1062" i="11" s="1"/>
  <c r="Z1228" i="11"/>
  <c r="AG1228" i="11"/>
  <c r="Z1282" i="11"/>
  <c r="AG1282" i="11" s="1"/>
  <c r="Z1278" i="11"/>
  <c r="AG1278" i="11" s="1"/>
  <c r="AC1276" i="11"/>
  <c r="AC1275" i="11" s="1"/>
  <c r="AC1270" i="11" s="1"/>
  <c r="AB1275" i="11"/>
  <c r="AB1270" i="11" s="1"/>
  <c r="O1541" i="11" s="1"/>
  <c r="O1540" i="11" s="1"/>
  <c r="Z1171" i="11"/>
  <c r="Y1148" i="11"/>
  <c r="AB1148" i="11"/>
  <c r="AC1148" i="11" s="1"/>
  <c r="W1148" i="11"/>
  <c r="Z1161" i="11"/>
  <c r="Z1147" i="11"/>
  <c r="U1141" i="11"/>
  <c r="Z1138" i="11"/>
  <c r="AB1066" i="11"/>
  <c r="AC1066" i="11" s="1"/>
  <c r="Y1066" i="11"/>
  <c r="Y1063" i="11" s="1"/>
  <c r="Y1062" i="11" s="1"/>
  <c r="Z980" i="11"/>
  <c r="U1064" i="11"/>
  <c r="Z886" i="11"/>
  <c r="Z882" i="11"/>
  <c r="AB787" i="11"/>
  <c r="AB786" i="11" s="1"/>
  <c r="AC789" i="11"/>
  <c r="AC787" i="11" s="1"/>
  <c r="AC786" i="11" s="1"/>
  <c r="Z810" i="11"/>
  <c r="Z809" i="11" s="1"/>
  <c r="Z808" i="11" s="1"/>
  <c r="W809" i="11"/>
  <c r="W808" i="11" s="1"/>
  <c r="AG659" i="11"/>
  <c r="AG705" i="11"/>
  <c r="AC705" i="11"/>
  <c r="AB704" i="11"/>
  <c r="AG704" i="11" s="1"/>
  <c r="AG618" i="11"/>
  <c r="Z644" i="11"/>
  <c r="AG644" i="11" s="1"/>
  <c r="Z619" i="11"/>
  <c r="AG619" i="11" s="1"/>
  <c r="AC544" i="11"/>
  <c r="AG544" i="11"/>
  <c r="Y511" i="11"/>
  <c r="Y510" i="11" s="1"/>
  <c r="W511" i="11"/>
  <c r="AB511" i="11"/>
  <c r="U510" i="11"/>
  <c r="AG495" i="11"/>
  <c r="AG384" i="11"/>
  <c r="AG357" i="11"/>
  <c r="Z502" i="11"/>
  <c r="AG502" i="11" s="1"/>
  <c r="Z622" i="11"/>
  <c r="AG622" i="11" s="1"/>
  <c r="AC395" i="11"/>
  <c r="AG390" i="11"/>
  <c r="AG468" i="11"/>
  <c r="AC468" i="11"/>
  <c r="AC270" i="11"/>
  <c r="AC262" i="11"/>
  <c r="Z477" i="11"/>
  <c r="AG477" i="11" s="1"/>
  <c r="Z465" i="11"/>
  <c r="AG465" i="11" s="1"/>
  <c r="Z460" i="11"/>
  <c r="AG460" i="11" s="1"/>
  <c r="AG336" i="11"/>
  <c r="AG253" i="11"/>
  <c r="Y63" i="11"/>
  <c r="Y58" i="11" s="1"/>
  <c r="AB63" i="11"/>
  <c r="U58" i="11"/>
  <c r="Z482" i="11"/>
  <c r="AG482" i="11" s="1"/>
  <c r="Z278" i="11"/>
  <c r="AG278" i="11" s="1"/>
  <c r="Z258" i="11"/>
  <c r="Z483" i="11"/>
  <c r="AG483" i="11" s="1"/>
  <c r="Z348" i="11"/>
  <c r="AG348" i="11" s="1"/>
  <c r="AC276" i="11"/>
  <c r="AC261" i="11"/>
  <c r="U102" i="11"/>
  <c r="AG148" i="11"/>
  <c r="AC148" i="11"/>
  <c r="AC52" i="11"/>
  <c r="AC46" i="11" s="1"/>
  <c r="AB46" i="11"/>
  <c r="AB172" i="11"/>
  <c r="AC142" i="11"/>
  <c r="AG142" i="11"/>
  <c r="AG1229" i="11"/>
  <c r="Z1229" i="11"/>
  <c r="Y1132" i="11"/>
  <c r="AB1132" i="11"/>
  <c r="AC810" i="11"/>
  <c r="AC809" i="11" s="1"/>
  <c r="AB809" i="11"/>
  <c r="AB808" i="11" s="1"/>
  <c r="O1459" i="11" s="1"/>
  <c r="O1458" i="11" s="1"/>
  <c r="W787" i="11"/>
  <c r="W786" i="11" s="1"/>
  <c r="Y525" i="11"/>
  <c r="AC652" i="11"/>
  <c r="AG652" i="11"/>
  <c r="Z395" i="11"/>
  <c r="AC382" i="11"/>
  <c r="AG382" i="11"/>
  <c r="W525" i="11"/>
  <c r="AC273" i="11"/>
  <c r="AC265" i="11"/>
  <c r="AC257" i="11"/>
  <c r="Z266" i="11"/>
  <c r="AC258" i="11"/>
  <c r="AC470" i="11"/>
  <c r="AG470" i="11"/>
  <c r="AC268" i="11"/>
  <c r="Q89" i="11"/>
  <c r="AC168" i="11"/>
  <c r="W46" i="11"/>
  <c r="Z786" i="11" l="1"/>
  <c r="AB1105" i="11"/>
  <c r="U846" i="11"/>
  <c r="Y1105" i="11"/>
  <c r="Z1105" i="11" s="1"/>
  <c r="Y1106" i="11"/>
  <c r="Z1106" i="11" s="1"/>
  <c r="AB1106" i="11"/>
  <c r="AC1106" i="11" s="1"/>
  <c r="AB714" i="11"/>
  <c r="AB713" i="11" s="1"/>
  <c r="AG712" i="11" s="1"/>
  <c r="AC42" i="11"/>
  <c r="AC41" i="11" s="1"/>
  <c r="AC40" i="11" s="1"/>
  <c r="AC31" i="11" s="1"/>
  <c r="W41" i="11"/>
  <c r="W40" i="11" s="1"/>
  <c r="W31" i="11" s="1"/>
  <c r="W714" i="11"/>
  <c r="W713" i="11" s="1"/>
  <c r="Y102" i="11"/>
  <c r="AG786" i="11"/>
  <c r="U45" i="11"/>
  <c r="AC714" i="11"/>
  <c r="AC713" i="11" s="1"/>
  <c r="Q30" i="11"/>
  <c r="Q1582" i="11" s="1"/>
  <c r="Z57" i="11"/>
  <c r="Z56" i="11" s="1"/>
  <c r="Z44" i="11" s="1"/>
  <c r="U237" i="11"/>
  <c r="U101" i="11" s="1"/>
  <c r="Z115" i="11"/>
  <c r="W393" i="11"/>
  <c r="R1582" i="11"/>
  <c r="AB102" i="11"/>
  <c r="S101" i="11"/>
  <c r="S30" i="11" s="1"/>
  <c r="S1582" i="11" s="1"/>
  <c r="Y1141" i="11"/>
  <c r="U44" i="11"/>
  <c r="AC172" i="11"/>
  <c r="O1582" i="11"/>
  <c r="P1582" i="11"/>
  <c r="M1582" i="11"/>
  <c r="AG524" i="11"/>
  <c r="AG488" i="11"/>
  <c r="AC704" i="11"/>
  <c r="AB393" i="11"/>
  <c r="AG392" i="11" s="1"/>
  <c r="Z238" i="11"/>
  <c r="AC115" i="11"/>
  <c r="AG808" i="11"/>
  <c r="AC525" i="11"/>
  <c r="Y935" i="11"/>
  <c r="AG936" i="11"/>
  <c r="Y848" i="11"/>
  <c r="AG850" i="11"/>
  <c r="Z935" i="11"/>
  <c r="Y237" i="11"/>
  <c r="Z1064" i="11"/>
  <c r="Z1063" i="11"/>
  <c r="Z1062" i="11" s="1"/>
  <c r="O1455" i="11"/>
  <c r="O1454" i="11" s="1"/>
  <c r="AF787" i="11"/>
  <c r="Z1148" i="11"/>
  <c r="W1141" i="11"/>
  <c r="Y1222" i="11"/>
  <c r="Y1221" i="11" s="1"/>
  <c r="Y1198" i="11" s="1"/>
  <c r="Y45" i="11"/>
  <c r="Y44" i="11" s="1"/>
  <c r="AC238" i="11"/>
  <c r="AB1063" i="11"/>
  <c r="AB1062" i="11" s="1"/>
  <c r="Z1077" i="11"/>
  <c r="T1135" i="11"/>
  <c r="U1134" i="11"/>
  <c r="Y1064" i="11"/>
  <c r="AC63" i="11"/>
  <c r="AC58" i="11" s="1"/>
  <c r="AC44" i="11" s="1"/>
  <c r="AB58" i="11"/>
  <c r="AG182" i="11"/>
  <c r="Z172" i="11"/>
  <c r="AC1064" i="11"/>
  <c r="AC1063" i="11"/>
  <c r="AC1062" i="11" s="1"/>
  <c r="AC1141" i="11"/>
  <c r="AC1077" i="11"/>
  <c r="W45" i="11"/>
  <c r="W44" i="11"/>
  <c r="Z393" i="11"/>
  <c r="AG395" i="11"/>
  <c r="AC393" i="11"/>
  <c r="AC511" i="11"/>
  <c r="AC510" i="11" s="1"/>
  <c r="AB510" i="11"/>
  <c r="AG509" i="11" s="1"/>
  <c r="W1222" i="11"/>
  <c r="AG1223" i="11"/>
  <c r="Z1223" i="11"/>
  <c r="AG1227" i="11"/>
  <c r="Z1227" i="11"/>
  <c r="Z525" i="11"/>
  <c r="AG525" i="11" s="1"/>
  <c r="W510" i="11"/>
  <c r="Z511" i="11"/>
  <c r="AF809" i="11"/>
  <c r="W102" i="11"/>
  <c r="O1435" i="11"/>
  <c r="O1434" i="11" s="1"/>
  <c r="AG1225" i="11"/>
  <c r="Z1225" i="11"/>
  <c r="AC850" i="11"/>
  <c r="AC848" i="11" s="1"/>
  <c r="AB848" i="11"/>
  <c r="AB1064" i="11"/>
  <c r="AC936" i="11"/>
  <c r="AC935" i="11" s="1"/>
  <c r="AB935" i="11"/>
  <c r="AB1141" i="11"/>
  <c r="Z1155" i="11"/>
  <c r="AG1226" i="11"/>
  <c r="Z1226" i="11"/>
  <c r="Z1275" i="11"/>
  <c r="Z1270" i="11" s="1"/>
  <c r="AG1276" i="11"/>
  <c r="AB1222" i="11"/>
  <c r="AB1221" i="11" s="1"/>
  <c r="AC1223" i="11"/>
  <c r="AC1222" i="11" s="1"/>
  <c r="AC1221" i="11" s="1"/>
  <c r="AC1198" i="11" s="1"/>
  <c r="Z850" i="11"/>
  <c r="Z848" i="11" s="1"/>
  <c r="W848" i="11"/>
  <c r="W846" i="11" s="1"/>
  <c r="AG1224" i="11"/>
  <c r="Z1224" i="11"/>
  <c r="AC45" i="11" l="1"/>
  <c r="Z45" i="11"/>
  <c r="AF935" i="11"/>
  <c r="Z102" i="11"/>
  <c r="W237" i="11"/>
  <c r="W101" i="11" s="1"/>
  <c r="U30" i="11"/>
  <c r="Y846" i="11"/>
  <c r="AC102" i="11"/>
  <c r="AB237" i="11"/>
  <c r="AF238" i="11" s="1"/>
  <c r="AG393" i="11"/>
  <c r="Y101" i="11"/>
  <c r="AC846" i="11"/>
  <c r="Z1141" i="11"/>
  <c r="Z846" i="11"/>
  <c r="O1439" i="11"/>
  <c r="O1438" i="11" s="1"/>
  <c r="Z1222" i="11"/>
  <c r="Z1221" i="11" s="1"/>
  <c r="Z1198" i="11" s="1"/>
  <c r="U1135" i="11"/>
  <c r="T1136" i="11"/>
  <c r="U1136" i="11" s="1"/>
  <c r="AC237" i="11"/>
  <c r="AB45" i="11"/>
  <c r="AG1062" i="11"/>
  <c r="AB846" i="11"/>
  <c r="O1471" i="11" s="1"/>
  <c r="O1470" i="11" s="1"/>
  <c r="Z510" i="11"/>
  <c r="AG510" i="11" s="1"/>
  <c r="AG511" i="11"/>
  <c r="O1537" i="11"/>
  <c r="O1536" i="11" s="1"/>
  <c r="O1527" i="11" s="1"/>
  <c r="AB1198" i="11"/>
  <c r="W1221" i="11"/>
  <c r="AG1222" i="11"/>
  <c r="O1507" i="11"/>
  <c r="O1506" i="11" s="1"/>
  <c r="AF1063" i="11"/>
  <c r="AB1134" i="11"/>
  <c r="W1134" i="11"/>
  <c r="Y1134" i="11"/>
  <c r="AG1141" i="11"/>
  <c r="AA74" i="4"/>
  <c r="AA75" i="4"/>
  <c r="AA76" i="4"/>
  <c r="AA77" i="4"/>
  <c r="AA78" i="4"/>
  <c r="AA73" i="4"/>
  <c r="L790" i="9"/>
  <c r="M790" i="9"/>
  <c r="Y30" i="11" l="1"/>
  <c r="AC101" i="11"/>
  <c r="AC30" i="11" s="1"/>
  <c r="AB101" i="11"/>
  <c r="O1451" i="11" s="1"/>
  <c r="O1450" i="11" s="1"/>
  <c r="O1433" i="11" s="1"/>
  <c r="AG236" i="11"/>
  <c r="AG847" i="11"/>
  <c r="AG846" i="11"/>
  <c r="AF848" i="11"/>
  <c r="Z237" i="11"/>
  <c r="AG237" i="11" s="1"/>
  <c r="W30" i="11"/>
  <c r="AB1136" i="11"/>
  <c r="AC1136" i="11" s="1"/>
  <c r="AC1073" i="11" s="1"/>
  <c r="AC1072" i="11" s="1"/>
  <c r="AC1071" i="11" s="1"/>
  <c r="AC1070" i="11" s="1"/>
  <c r="Y1136" i="11"/>
  <c r="Z1136" i="11" s="1"/>
  <c r="Z1134" i="11"/>
  <c r="AB1135" i="11"/>
  <c r="W1135" i="11"/>
  <c r="W1073" i="11" s="1"/>
  <c r="Y1135" i="11"/>
  <c r="AG1221" i="11"/>
  <c r="W1198" i="11"/>
  <c r="AF1199" i="11" s="1"/>
  <c r="U1073" i="11"/>
  <c r="U1072" i="11" s="1"/>
  <c r="U1071" i="11" s="1"/>
  <c r="U1070" i="11" s="1"/>
  <c r="U1582" i="11" s="1"/>
  <c r="I1851" i="9"/>
  <c r="P1837" i="9"/>
  <c r="O1837" i="9"/>
  <c r="O1836" i="9" s="1"/>
  <c r="O1835" i="9" s="1"/>
  <c r="N1837" i="9"/>
  <c r="N1836" i="9" s="1"/>
  <c r="N1835" i="9" s="1"/>
  <c r="M1837" i="9"/>
  <c r="M1836" i="9" s="1"/>
  <c r="M1835" i="9" s="1"/>
  <c r="L1837" i="9"/>
  <c r="L1836" i="9" s="1"/>
  <c r="L1835" i="9" s="1"/>
  <c r="K1837" i="9"/>
  <c r="K1836" i="9" s="1"/>
  <c r="K1835" i="9" s="1"/>
  <c r="J1837" i="9"/>
  <c r="J1836" i="9" s="1"/>
  <c r="J1835" i="9" s="1"/>
  <c r="I1837" i="9"/>
  <c r="I1836" i="9" s="1"/>
  <c r="I1835" i="9" s="1"/>
  <c r="P1836" i="9"/>
  <c r="P1835" i="9" s="1"/>
  <c r="P1829" i="9"/>
  <c r="P1828" i="9" s="1"/>
  <c r="P1827" i="9" s="1"/>
  <c r="O1829" i="9"/>
  <c r="O1828" i="9" s="1"/>
  <c r="O1827" i="9" s="1"/>
  <c r="N1829" i="9"/>
  <c r="N1828" i="9" s="1"/>
  <c r="N1827" i="9" s="1"/>
  <c r="M1829" i="9"/>
  <c r="M1828" i="9" s="1"/>
  <c r="M1827" i="9" s="1"/>
  <c r="L1829" i="9"/>
  <c r="L1828" i="9" s="1"/>
  <c r="L1827" i="9" s="1"/>
  <c r="K1829" i="9"/>
  <c r="K1828" i="9" s="1"/>
  <c r="K1827" i="9" s="1"/>
  <c r="J1829" i="9"/>
  <c r="J1828" i="9" s="1"/>
  <c r="J1827" i="9" s="1"/>
  <c r="I1829" i="9"/>
  <c r="I1828" i="9" s="1"/>
  <c r="I1827" i="9" s="1"/>
  <c r="P1824" i="9"/>
  <c r="P1823" i="9" s="1"/>
  <c r="P1822" i="9" s="1"/>
  <c r="O1824" i="9"/>
  <c r="O1823" i="9" s="1"/>
  <c r="O1822" i="9" s="1"/>
  <c r="N1824" i="9"/>
  <c r="N1823" i="9" s="1"/>
  <c r="N1822" i="9" s="1"/>
  <c r="M1824" i="9"/>
  <c r="M1823" i="9" s="1"/>
  <c r="M1822" i="9" s="1"/>
  <c r="L1824" i="9"/>
  <c r="L1823" i="9" s="1"/>
  <c r="L1822" i="9" s="1"/>
  <c r="K1824" i="9"/>
  <c r="K1823" i="9" s="1"/>
  <c r="K1822" i="9" s="1"/>
  <c r="J1824" i="9"/>
  <c r="J1823" i="9" s="1"/>
  <c r="J1822" i="9" s="1"/>
  <c r="I1824" i="9"/>
  <c r="I1823" i="9" s="1"/>
  <c r="I1822" i="9" s="1"/>
  <c r="P1812" i="9"/>
  <c r="P1811" i="9" s="1"/>
  <c r="P1810" i="9" s="1"/>
  <c r="O1812" i="9"/>
  <c r="O1811" i="9" s="1"/>
  <c r="O1810" i="9" s="1"/>
  <c r="N1812" i="9"/>
  <c r="N1811" i="9" s="1"/>
  <c r="N1810" i="9" s="1"/>
  <c r="M1812" i="9"/>
  <c r="M1811" i="9" s="1"/>
  <c r="M1810" i="9" s="1"/>
  <c r="L1812" i="9"/>
  <c r="L1811" i="9" s="1"/>
  <c r="L1810" i="9" s="1"/>
  <c r="K1812" i="9"/>
  <c r="K1811" i="9" s="1"/>
  <c r="K1810" i="9" s="1"/>
  <c r="J1812" i="9"/>
  <c r="J1811" i="9" s="1"/>
  <c r="J1810" i="9" s="1"/>
  <c r="I1812" i="9"/>
  <c r="I1811" i="9" s="1"/>
  <c r="I1810" i="9" s="1"/>
  <c r="P1805" i="9"/>
  <c r="P1804" i="9" s="1"/>
  <c r="P1803" i="9" s="1"/>
  <c r="O1805" i="9"/>
  <c r="O1804" i="9" s="1"/>
  <c r="O1803" i="9" s="1"/>
  <c r="N1805" i="9"/>
  <c r="N1804" i="9" s="1"/>
  <c r="N1803" i="9" s="1"/>
  <c r="M1805" i="9"/>
  <c r="M1804" i="9" s="1"/>
  <c r="M1803" i="9" s="1"/>
  <c r="L1805" i="9"/>
  <c r="L1804" i="9" s="1"/>
  <c r="L1803" i="9" s="1"/>
  <c r="K1805" i="9"/>
  <c r="K1804" i="9" s="1"/>
  <c r="K1803" i="9" s="1"/>
  <c r="J1805" i="9"/>
  <c r="J1804" i="9" s="1"/>
  <c r="J1803" i="9" s="1"/>
  <c r="I1805" i="9"/>
  <c r="I1804" i="9" s="1"/>
  <c r="I1803" i="9" s="1"/>
  <c r="P1801" i="9"/>
  <c r="O1801" i="9"/>
  <c r="N1801" i="9"/>
  <c r="M1801" i="9"/>
  <c r="L1801" i="9"/>
  <c r="K1801" i="9"/>
  <c r="J1801" i="9"/>
  <c r="I1801" i="9"/>
  <c r="P1799" i="9"/>
  <c r="O1799" i="9"/>
  <c r="O1798" i="9" s="1"/>
  <c r="N1799" i="9"/>
  <c r="M1799" i="9"/>
  <c r="L1799" i="9"/>
  <c r="K1799" i="9"/>
  <c r="K1798" i="9" s="1"/>
  <c r="J1799" i="9"/>
  <c r="I1799" i="9"/>
  <c r="I1798" i="9" s="1"/>
  <c r="P1794" i="9"/>
  <c r="P1793" i="9" s="1"/>
  <c r="O1794" i="9"/>
  <c r="O1793" i="9" s="1"/>
  <c r="N1794" i="9"/>
  <c r="N1793" i="9" s="1"/>
  <c r="M1794" i="9"/>
  <c r="M1793" i="9" s="1"/>
  <c r="L1794" i="9"/>
  <c r="L1793" i="9" s="1"/>
  <c r="K1794" i="9"/>
  <c r="K1793" i="9" s="1"/>
  <c r="J1794" i="9"/>
  <c r="J1793" i="9" s="1"/>
  <c r="I1794" i="9"/>
  <c r="I1793" i="9" s="1"/>
  <c r="P1788" i="9"/>
  <c r="O1788" i="9"/>
  <c r="N1788" i="9"/>
  <c r="M1788" i="9"/>
  <c r="L1788" i="9"/>
  <c r="K1788" i="9"/>
  <c r="J1788" i="9"/>
  <c r="I1788" i="9"/>
  <c r="P1780" i="9"/>
  <c r="O1780" i="9"/>
  <c r="N1780" i="9"/>
  <c r="M1780" i="9"/>
  <c r="L1780" i="9"/>
  <c r="K1780" i="9"/>
  <c r="J1780" i="9"/>
  <c r="I1780" i="9"/>
  <c r="P1778" i="9"/>
  <c r="O1778" i="9"/>
  <c r="N1778" i="9"/>
  <c r="M1778" i="9"/>
  <c r="L1778" i="9"/>
  <c r="K1778" i="9"/>
  <c r="J1778" i="9"/>
  <c r="I1778" i="9"/>
  <c r="P1767" i="9"/>
  <c r="O1767" i="9"/>
  <c r="N1767" i="9"/>
  <c r="M1767" i="9"/>
  <c r="L1767" i="9"/>
  <c r="K1767" i="9"/>
  <c r="J1767" i="9"/>
  <c r="I1767" i="9"/>
  <c r="P1757" i="9"/>
  <c r="O1757" i="9"/>
  <c r="N1757" i="9"/>
  <c r="M1757" i="9"/>
  <c r="L1757" i="9"/>
  <c r="K1757" i="9"/>
  <c r="J1757" i="9"/>
  <c r="I1757" i="9"/>
  <c r="P1746" i="9"/>
  <c r="O1746" i="9"/>
  <c r="N1746" i="9"/>
  <c r="M1746" i="9"/>
  <c r="L1746" i="9"/>
  <c r="K1746" i="9"/>
  <c r="J1746" i="9"/>
  <c r="I1746" i="9"/>
  <c r="P1718" i="9"/>
  <c r="O1718" i="9"/>
  <c r="O1717" i="9" s="1"/>
  <c r="N1718" i="9"/>
  <c r="N1717" i="9" s="1"/>
  <c r="M1718" i="9"/>
  <c r="L1718" i="9"/>
  <c r="K1718" i="9"/>
  <c r="K1717" i="9" s="1"/>
  <c r="J1718" i="9"/>
  <c r="I1718" i="9"/>
  <c r="P1698" i="9"/>
  <c r="O1698" i="9"/>
  <c r="N1698" i="9"/>
  <c r="M1698" i="9"/>
  <c r="L1698" i="9"/>
  <c r="K1698" i="9"/>
  <c r="J1698" i="9"/>
  <c r="I1698" i="9"/>
  <c r="P1653" i="9"/>
  <c r="O1653" i="9"/>
  <c r="N1653" i="9"/>
  <c r="M1653" i="9"/>
  <c r="L1653" i="9"/>
  <c r="K1653" i="9"/>
  <c r="J1653" i="9"/>
  <c r="I1653" i="9"/>
  <c r="P1601" i="9"/>
  <c r="O1601" i="9"/>
  <c r="N1601" i="9"/>
  <c r="M1601" i="9"/>
  <c r="L1601" i="9"/>
  <c r="K1601" i="9"/>
  <c r="J1601" i="9"/>
  <c r="I1601" i="9"/>
  <c r="P1577" i="9"/>
  <c r="O1577" i="9"/>
  <c r="N1577" i="9"/>
  <c r="N1576" i="9" s="1"/>
  <c r="M1577" i="9"/>
  <c r="L1577" i="9"/>
  <c r="K1577" i="9"/>
  <c r="J1577" i="9"/>
  <c r="I1577" i="9"/>
  <c r="I1576" i="9" s="1"/>
  <c r="P1570" i="9"/>
  <c r="O1570" i="9"/>
  <c r="N1570" i="9"/>
  <c r="M1570" i="9"/>
  <c r="L1570" i="9"/>
  <c r="K1570" i="9"/>
  <c r="J1570" i="9"/>
  <c r="I1570" i="9"/>
  <c r="P1564" i="9"/>
  <c r="O1564" i="9"/>
  <c r="N1564" i="9"/>
  <c r="M1564" i="9"/>
  <c r="L1564" i="9"/>
  <c r="K1564" i="9"/>
  <c r="J1564" i="9"/>
  <c r="I1564" i="9"/>
  <c r="P1559" i="9"/>
  <c r="O1559" i="9"/>
  <c r="N1559" i="9"/>
  <c r="M1559" i="9"/>
  <c r="L1559" i="9"/>
  <c r="K1559" i="9"/>
  <c r="J1559" i="9"/>
  <c r="I1559" i="9"/>
  <c r="P1508" i="9"/>
  <c r="O1508" i="9"/>
  <c r="O1507" i="9" s="1"/>
  <c r="N1508" i="9"/>
  <c r="M1508" i="9"/>
  <c r="M1507" i="9" s="1"/>
  <c r="L1508" i="9"/>
  <c r="K1508" i="9"/>
  <c r="J1508" i="9"/>
  <c r="J1507" i="9" s="1"/>
  <c r="I1508" i="9"/>
  <c r="I1507" i="9" s="1"/>
  <c r="P1500" i="9"/>
  <c r="O1500" i="9"/>
  <c r="N1500" i="9"/>
  <c r="M1500" i="9"/>
  <c r="L1500" i="9"/>
  <c r="K1500" i="9"/>
  <c r="J1500" i="9"/>
  <c r="I1500" i="9"/>
  <c r="P1487" i="9"/>
  <c r="O1487" i="9"/>
  <c r="N1487" i="9"/>
  <c r="M1487" i="9"/>
  <c r="L1487" i="9"/>
  <c r="K1487" i="9"/>
  <c r="J1487" i="9"/>
  <c r="I1487" i="9"/>
  <c r="P1460" i="9"/>
  <c r="O1460" i="9"/>
  <c r="N1460" i="9"/>
  <c r="M1460" i="9"/>
  <c r="L1460" i="9"/>
  <c r="K1460" i="9"/>
  <c r="J1460" i="9"/>
  <c r="I1460" i="9"/>
  <c r="P1456" i="9"/>
  <c r="O1456" i="9"/>
  <c r="N1456" i="9"/>
  <c r="M1456" i="9"/>
  <c r="L1456" i="9"/>
  <c r="K1456" i="9"/>
  <c r="J1456" i="9"/>
  <c r="I1456" i="9"/>
  <c r="P1435" i="9"/>
  <c r="O1435" i="9"/>
  <c r="N1435" i="9"/>
  <c r="M1435" i="9"/>
  <c r="L1435" i="9"/>
  <c r="K1435" i="9"/>
  <c r="J1435" i="9"/>
  <c r="I1435" i="9"/>
  <c r="P1428" i="9"/>
  <c r="O1428" i="9"/>
  <c r="N1428" i="9"/>
  <c r="M1428" i="9"/>
  <c r="L1428" i="9"/>
  <c r="K1428" i="9"/>
  <c r="J1428" i="9"/>
  <c r="I1428" i="9"/>
  <c r="P1417" i="9"/>
  <c r="O1417" i="9"/>
  <c r="N1417" i="9"/>
  <c r="M1417" i="9"/>
  <c r="L1417" i="9"/>
  <c r="K1417" i="9"/>
  <c r="J1417" i="9"/>
  <c r="I1417" i="9"/>
  <c r="P1408" i="9"/>
  <c r="O1408" i="9"/>
  <c r="N1408" i="9"/>
  <c r="M1408" i="9"/>
  <c r="L1408" i="9"/>
  <c r="K1408" i="9"/>
  <c r="J1408" i="9"/>
  <c r="I1408" i="9"/>
  <c r="P1400" i="9"/>
  <c r="O1400" i="9"/>
  <c r="N1400" i="9"/>
  <c r="M1400" i="9"/>
  <c r="L1400" i="9"/>
  <c r="K1400" i="9"/>
  <c r="J1400" i="9"/>
  <c r="I1400" i="9"/>
  <c r="P1391" i="9"/>
  <c r="O1391" i="9"/>
  <c r="N1391" i="9"/>
  <c r="M1391" i="9"/>
  <c r="L1391" i="9"/>
  <c r="K1391" i="9"/>
  <c r="J1391" i="9"/>
  <c r="I1391" i="9"/>
  <c r="P1251" i="9"/>
  <c r="O1251" i="9"/>
  <c r="N1251" i="9"/>
  <c r="M1251" i="9"/>
  <c r="L1251" i="9"/>
  <c r="K1251" i="9"/>
  <c r="J1251" i="9"/>
  <c r="I1251" i="9"/>
  <c r="P1216" i="9"/>
  <c r="O1216" i="9"/>
  <c r="N1216" i="9"/>
  <c r="M1216" i="9"/>
  <c r="L1216" i="9"/>
  <c r="K1216" i="9"/>
  <c r="J1216" i="9"/>
  <c r="I1216" i="9"/>
  <c r="P1143" i="9"/>
  <c r="O1143" i="9"/>
  <c r="N1143" i="9"/>
  <c r="M1143" i="9"/>
  <c r="L1143" i="9"/>
  <c r="K1143" i="9"/>
  <c r="J1143" i="9"/>
  <c r="I1143" i="9"/>
  <c r="P1123" i="9"/>
  <c r="O1123" i="9"/>
  <c r="N1123" i="9"/>
  <c r="M1123" i="9"/>
  <c r="L1123" i="9"/>
  <c r="K1123" i="9"/>
  <c r="J1123" i="9"/>
  <c r="I1123" i="9"/>
  <c r="P1112" i="9"/>
  <c r="O1112" i="9"/>
  <c r="N1112" i="9"/>
  <c r="M1112" i="9"/>
  <c r="L1112" i="9"/>
  <c r="K1112" i="9"/>
  <c r="J1112" i="9"/>
  <c r="I1112" i="9"/>
  <c r="P1067" i="9"/>
  <c r="O1067" i="9"/>
  <c r="N1067" i="9"/>
  <c r="M1067" i="9"/>
  <c r="L1067" i="9"/>
  <c r="K1067" i="9"/>
  <c r="J1067" i="9"/>
  <c r="I1067" i="9"/>
  <c r="P1042" i="9"/>
  <c r="O1042" i="9"/>
  <c r="N1042" i="9"/>
  <c r="M1042" i="9"/>
  <c r="L1042" i="9"/>
  <c r="K1042" i="9"/>
  <c r="J1042" i="9"/>
  <c r="I1042" i="9"/>
  <c r="P1007" i="9"/>
  <c r="O1007" i="9"/>
  <c r="N1007" i="9"/>
  <c r="M1007" i="9"/>
  <c r="L1007" i="9"/>
  <c r="K1007" i="9"/>
  <c r="J1007" i="9"/>
  <c r="I1007" i="9"/>
  <c r="P970" i="9"/>
  <c r="P969" i="9" s="1"/>
  <c r="O970" i="9"/>
  <c r="O969" i="9" s="1"/>
  <c r="N970" i="9"/>
  <c r="N969" i="9" s="1"/>
  <c r="M970" i="9"/>
  <c r="M969" i="9" s="1"/>
  <c r="L970" i="9"/>
  <c r="L969" i="9" s="1"/>
  <c r="K970" i="9"/>
  <c r="K969" i="9" s="1"/>
  <c r="J970" i="9"/>
  <c r="J969" i="9" s="1"/>
  <c r="I970" i="9"/>
  <c r="I969" i="9" s="1"/>
  <c r="P965" i="9"/>
  <c r="P964" i="9" s="1"/>
  <c r="O965" i="9"/>
  <c r="O964" i="9" s="1"/>
  <c r="N965" i="9"/>
  <c r="N964" i="9" s="1"/>
  <c r="M965" i="9"/>
  <c r="M964" i="9" s="1"/>
  <c r="L965" i="9"/>
  <c r="L964" i="9" s="1"/>
  <c r="K965" i="9"/>
  <c r="K964" i="9" s="1"/>
  <c r="J965" i="9"/>
  <c r="J964" i="9" s="1"/>
  <c r="I965" i="9"/>
  <c r="I964" i="9" s="1"/>
  <c r="P956" i="9"/>
  <c r="P955" i="9" s="1"/>
  <c r="O956" i="9"/>
  <c r="O955" i="9" s="1"/>
  <c r="N956" i="9"/>
  <c r="N955" i="9" s="1"/>
  <c r="M956" i="9"/>
  <c r="M955" i="9" s="1"/>
  <c r="L956" i="9"/>
  <c r="L955" i="9" s="1"/>
  <c r="K956" i="9"/>
  <c r="K955" i="9" s="1"/>
  <c r="J956" i="9"/>
  <c r="J955" i="9" s="1"/>
  <c r="I956" i="9"/>
  <c r="I955" i="9" s="1"/>
  <c r="P953" i="9"/>
  <c r="P952" i="9" s="1"/>
  <c r="O953" i="9"/>
  <c r="O952" i="9" s="1"/>
  <c r="N953" i="9"/>
  <c r="N952" i="9" s="1"/>
  <c r="M953" i="9"/>
  <c r="M952" i="9" s="1"/>
  <c r="L953" i="9"/>
  <c r="L952" i="9" s="1"/>
  <c r="K953" i="9"/>
  <c r="K952" i="9" s="1"/>
  <c r="J953" i="9"/>
  <c r="J952" i="9" s="1"/>
  <c r="I953" i="9"/>
  <c r="I952" i="9" s="1"/>
  <c r="P950" i="9"/>
  <c r="O950" i="9"/>
  <c r="N950" i="9"/>
  <c r="M950" i="9"/>
  <c r="L950" i="9"/>
  <c r="K950" i="9"/>
  <c r="J950" i="9"/>
  <c r="I950" i="9"/>
  <c r="P948" i="9"/>
  <c r="O948" i="9"/>
  <c r="N948" i="9"/>
  <c r="M948" i="9"/>
  <c r="L948" i="9"/>
  <c r="K948" i="9"/>
  <c r="J948" i="9"/>
  <c r="I948" i="9"/>
  <c r="P946" i="9"/>
  <c r="O946" i="9"/>
  <c r="N946" i="9"/>
  <c r="M946" i="9"/>
  <c r="L946" i="9"/>
  <c r="K946" i="9"/>
  <c r="J946" i="9"/>
  <c r="I946" i="9"/>
  <c r="P944" i="9"/>
  <c r="O944" i="9"/>
  <c r="N944" i="9"/>
  <c r="M944" i="9"/>
  <c r="L944" i="9"/>
  <c r="K944" i="9"/>
  <c r="J944" i="9"/>
  <c r="I944" i="9"/>
  <c r="P942" i="9"/>
  <c r="O942" i="9"/>
  <c r="N942" i="9"/>
  <c r="M942" i="9"/>
  <c r="L942" i="9"/>
  <c r="K942" i="9"/>
  <c r="J942" i="9"/>
  <c r="I942" i="9"/>
  <c r="P940" i="9"/>
  <c r="O940" i="9"/>
  <c r="N940" i="9"/>
  <c r="M940" i="9"/>
  <c r="L940" i="9"/>
  <c r="K940" i="9"/>
  <c r="J940" i="9"/>
  <c r="I940" i="9"/>
  <c r="P938" i="9"/>
  <c r="O938" i="9"/>
  <c r="N938" i="9"/>
  <c r="M938" i="9"/>
  <c r="L938" i="9"/>
  <c r="K938" i="9"/>
  <c r="J938" i="9"/>
  <c r="I938" i="9"/>
  <c r="P936" i="9"/>
  <c r="O936" i="9"/>
  <c r="N936" i="9"/>
  <c r="M936" i="9"/>
  <c r="L936" i="9"/>
  <c r="K936" i="9"/>
  <c r="J936" i="9"/>
  <c r="I936" i="9"/>
  <c r="P934" i="9"/>
  <c r="O934" i="9"/>
  <c r="N934" i="9"/>
  <c r="M934" i="9"/>
  <c r="L934" i="9"/>
  <c r="K934" i="9"/>
  <c r="J934" i="9"/>
  <c r="I934" i="9"/>
  <c r="P932" i="9"/>
  <c r="O932" i="9"/>
  <c r="O931" i="9" s="1"/>
  <c r="N932" i="9"/>
  <c r="M932" i="9"/>
  <c r="L932" i="9"/>
  <c r="K932" i="9"/>
  <c r="K931" i="9" s="1"/>
  <c r="J932" i="9"/>
  <c r="J931" i="9" s="1"/>
  <c r="I932" i="9"/>
  <c r="P929" i="9"/>
  <c r="O929" i="9"/>
  <c r="N929" i="9"/>
  <c r="M929" i="9"/>
  <c r="L929" i="9"/>
  <c r="K929" i="9"/>
  <c r="J929" i="9"/>
  <c r="I929" i="9"/>
  <c r="P924" i="9"/>
  <c r="O924" i="9"/>
  <c r="N924" i="9"/>
  <c r="M924" i="9"/>
  <c r="L924" i="9"/>
  <c r="K924" i="9"/>
  <c r="J924" i="9"/>
  <c r="I924" i="9"/>
  <c r="P919" i="9"/>
  <c r="P918" i="9" s="1"/>
  <c r="O919" i="9"/>
  <c r="O918" i="9" s="1"/>
  <c r="N919" i="9"/>
  <c r="N918" i="9" s="1"/>
  <c r="M919" i="9"/>
  <c r="L919" i="9"/>
  <c r="K919" i="9"/>
  <c r="J919" i="9"/>
  <c r="J918" i="9" s="1"/>
  <c r="I919" i="9"/>
  <c r="P915" i="9"/>
  <c r="O915" i="9"/>
  <c r="N915" i="9"/>
  <c r="M915" i="9"/>
  <c r="L915" i="9"/>
  <c r="K915" i="9"/>
  <c r="J915" i="9"/>
  <c r="I915" i="9"/>
  <c r="P910" i="9"/>
  <c r="O910" i="9"/>
  <c r="N910" i="9"/>
  <c r="M910" i="9"/>
  <c r="L910" i="9"/>
  <c r="K910" i="9"/>
  <c r="J910" i="9"/>
  <c r="I910" i="9"/>
  <c r="P905" i="9"/>
  <c r="O905" i="9"/>
  <c r="N905" i="9"/>
  <c r="M905" i="9"/>
  <c r="L905" i="9"/>
  <c r="K905" i="9"/>
  <c r="K904" i="9" s="1"/>
  <c r="J905" i="9"/>
  <c r="I905" i="9"/>
  <c r="P901" i="9"/>
  <c r="O901" i="9"/>
  <c r="N901" i="9"/>
  <c r="M901" i="9"/>
  <c r="L901" i="9"/>
  <c r="K901" i="9"/>
  <c r="J901" i="9"/>
  <c r="I901" i="9"/>
  <c r="P898" i="9"/>
  <c r="O898" i="9"/>
  <c r="N898" i="9"/>
  <c r="M898" i="9"/>
  <c r="L898" i="9"/>
  <c r="K898" i="9"/>
  <c r="J898" i="9"/>
  <c r="I898" i="9"/>
  <c r="P895" i="9"/>
  <c r="O895" i="9"/>
  <c r="N895" i="9"/>
  <c r="M895" i="9"/>
  <c r="L895" i="9"/>
  <c r="K895" i="9"/>
  <c r="J895" i="9"/>
  <c r="I895" i="9"/>
  <c r="P892" i="9"/>
  <c r="O892" i="9"/>
  <c r="N892" i="9"/>
  <c r="M892" i="9"/>
  <c r="L892" i="9"/>
  <c r="K892" i="9"/>
  <c r="J892" i="9"/>
  <c r="I892" i="9"/>
  <c r="P887" i="9"/>
  <c r="O887" i="9"/>
  <c r="N887" i="9"/>
  <c r="M887" i="9"/>
  <c r="L887" i="9"/>
  <c r="K887" i="9"/>
  <c r="J887" i="9"/>
  <c r="I887" i="9"/>
  <c r="P883" i="9"/>
  <c r="O883" i="9"/>
  <c r="N883" i="9"/>
  <c r="M883" i="9"/>
  <c r="L883" i="9"/>
  <c r="K883" i="9"/>
  <c r="J883" i="9"/>
  <c r="I883" i="9"/>
  <c r="P870" i="9"/>
  <c r="O870" i="9"/>
  <c r="O869" i="9" s="1"/>
  <c r="N870" i="9"/>
  <c r="M870" i="9"/>
  <c r="L870" i="9"/>
  <c r="K870" i="9"/>
  <c r="J870" i="9"/>
  <c r="I870" i="9"/>
  <c r="I869" i="9" s="1"/>
  <c r="P861" i="9"/>
  <c r="O861" i="9"/>
  <c r="N861" i="9"/>
  <c r="M861" i="9"/>
  <c r="L861" i="9"/>
  <c r="K861" i="9"/>
  <c r="J861" i="9"/>
  <c r="I861" i="9"/>
  <c r="P855" i="9"/>
  <c r="O855" i="9"/>
  <c r="N855" i="9"/>
  <c r="M855" i="9"/>
  <c r="L855" i="9"/>
  <c r="K855" i="9"/>
  <c r="J855" i="9"/>
  <c r="I855" i="9"/>
  <c r="P851" i="9"/>
  <c r="O851" i="9"/>
  <c r="N851" i="9"/>
  <c r="M851" i="9"/>
  <c r="L851" i="9"/>
  <c r="K851" i="9"/>
  <c r="J851" i="9"/>
  <c r="I851" i="9"/>
  <c r="P845" i="9"/>
  <c r="O845" i="9"/>
  <c r="O844" i="9" s="1"/>
  <c r="N845" i="9"/>
  <c r="N844" i="9" s="1"/>
  <c r="M845" i="9"/>
  <c r="L845" i="9"/>
  <c r="K845" i="9"/>
  <c r="J845" i="9"/>
  <c r="J844" i="9" s="1"/>
  <c r="I845" i="9"/>
  <c r="I844" i="9" s="1"/>
  <c r="P842" i="9"/>
  <c r="O842" i="9"/>
  <c r="N842" i="9"/>
  <c r="M842" i="9"/>
  <c r="L842" i="9"/>
  <c r="K842" i="9"/>
  <c r="J842" i="9"/>
  <c r="I842" i="9"/>
  <c r="P837" i="9"/>
  <c r="O837" i="9"/>
  <c r="N837" i="9"/>
  <c r="M837" i="9"/>
  <c r="L837" i="9"/>
  <c r="K837" i="9"/>
  <c r="J837" i="9"/>
  <c r="I837" i="9"/>
  <c r="P832" i="9"/>
  <c r="O832" i="9"/>
  <c r="N832" i="9"/>
  <c r="M832" i="9"/>
  <c r="L832" i="9"/>
  <c r="K832" i="9"/>
  <c r="J832" i="9"/>
  <c r="I832" i="9"/>
  <c r="P829" i="9"/>
  <c r="O829" i="9"/>
  <c r="N829" i="9"/>
  <c r="M829" i="9"/>
  <c r="L829" i="9"/>
  <c r="K829" i="9"/>
  <c r="J829" i="9"/>
  <c r="I829" i="9"/>
  <c r="P824" i="9"/>
  <c r="O824" i="9"/>
  <c r="N824" i="9"/>
  <c r="M824" i="9"/>
  <c r="L824" i="9"/>
  <c r="K824" i="9"/>
  <c r="J824" i="9"/>
  <c r="I824" i="9"/>
  <c r="P811" i="9"/>
  <c r="O811" i="9"/>
  <c r="N811" i="9"/>
  <c r="M811" i="9"/>
  <c r="L811" i="9"/>
  <c r="K811" i="9"/>
  <c r="J811" i="9"/>
  <c r="I811" i="9"/>
  <c r="P806" i="9"/>
  <c r="O806" i="9"/>
  <c r="N806" i="9"/>
  <c r="M806" i="9"/>
  <c r="L806" i="9"/>
  <c r="K806" i="9"/>
  <c r="J806" i="9"/>
  <c r="I806" i="9"/>
  <c r="P801" i="9"/>
  <c r="O801" i="9"/>
  <c r="N801" i="9"/>
  <c r="M801" i="9"/>
  <c r="L801" i="9"/>
  <c r="K801" i="9"/>
  <c r="J801" i="9"/>
  <c r="I801" i="9"/>
  <c r="P796" i="9"/>
  <c r="O796" i="9"/>
  <c r="N796" i="9"/>
  <c r="M796" i="9"/>
  <c r="L796" i="9"/>
  <c r="K796" i="9"/>
  <c r="J796" i="9"/>
  <c r="I796" i="9"/>
  <c r="P790" i="9"/>
  <c r="O790" i="9"/>
  <c r="N790" i="9"/>
  <c r="K790" i="9"/>
  <c r="J790" i="9"/>
  <c r="I790" i="9"/>
  <c r="P782" i="9"/>
  <c r="O782" i="9"/>
  <c r="N782" i="9"/>
  <c r="M782" i="9"/>
  <c r="L782" i="9"/>
  <c r="K782" i="9"/>
  <c r="J782" i="9"/>
  <c r="I782" i="9"/>
  <c r="P775" i="9"/>
  <c r="O775" i="9"/>
  <c r="N775" i="9"/>
  <c r="M775" i="9"/>
  <c r="L775" i="9"/>
  <c r="K775" i="9"/>
  <c r="J775" i="9"/>
  <c r="I775" i="9"/>
  <c r="P766" i="9"/>
  <c r="O766" i="9"/>
  <c r="N766" i="9"/>
  <c r="M766" i="9"/>
  <c r="L766" i="9"/>
  <c r="K766" i="9"/>
  <c r="J766" i="9"/>
  <c r="I766" i="9"/>
  <c r="P758" i="9"/>
  <c r="O758" i="9"/>
  <c r="N758" i="9"/>
  <c r="M758" i="9"/>
  <c r="L758" i="9"/>
  <c r="K758" i="9"/>
  <c r="J758" i="9"/>
  <c r="I758" i="9"/>
  <c r="P749" i="9"/>
  <c r="O749" i="9"/>
  <c r="N749" i="9"/>
  <c r="M749" i="9"/>
  <c r="L749" i="9"/>
  <c r="K749" i="9"/>
  <c r="J749" i="9"/>
  <c r="I749" i="9"/>
  <c r="P740" i="9"/>
  <c r="O740" i="9"/>
  <c r="N740" i="9"/>
  <c r="M740" i="9"/>
  <c r="L740" i="9"/>
  <c r="K740" i="9"/>
  <c r="J740" i="9"/>
  <c r="I740" i="9"/>
  <c r="P731" i="9"/>
  <c r="O731" i="9"/>
  <c r="N731" i="9"/>
  <c r="M731" i="9"/>
  <c r="L731" i="9"/>
  <c r="K731" i="9"/>
  <c r="J731" i="9"/>
  <c r="I731" i="9"/>
  <c r="P716" i="9"/>
  <c r="O716" i="9"/>
  <c r="N716" i="9"/>
  <c r="M716" i="9"/>
  <c r="L716" i="9"/>
  <c r="K716" i="9"/>
  <c r="J716" i="9"/>
  <c r="I716" i="9"/>
  <c r="P705" i="9"/>
  <c r="O705" i="9"/>
  <c r="N705" i="9"/>
  <c r="M705" i="9"/>
  <c r="L705" i="9"/>
  <c r="L704" i="9" s="1"/>
  <c r="K705" i="9"/>
  <c r="J705" i="9"/>
  <c r="I705" i="9"/>
  <c r="I704" i="9" s="1"/>
  <c r="P696" i="9"/>
  <c r="P695" i="9" s="1"/>
  <c r="O696" i="9"/>
  <c r="O695" i="9" s="1"/>
  <c r="N696" i="9"/>
  <c r="N695" i="9" s="1"/>
  <c r="M696" i="9"/>
  <c r="M695" i="9" s="1"/>
  <c r="L696" i="9"/>
  <c r="L695" i="9" s="1"/>
  <c r="K696" i="9"/>
  <c r="K695" i="9" s="1"/>
  <c r="J696" i="9"/>
  <c r="J695" i="9" s="1"/>
  <c r="I696" i="9"/>
  <c r="I695" i="9" s="1"/>
  <c r="P689" i="9"/>
  <c r="P688" i="9" s="1"/>
  <c r="O689" i="9"/>
  <c r="O688" i="9" s="1"/>
  <c r="N689" i="9"/>
  <c r="N688" i="9" s="1"/>
  <c r="M689" i="9"/>
  <c r="M688" i="9" s="1"/>
  <c r="L689" i="9"/>
  <c r="L688" i="9" s="1"/>
  <c r="K689" i="9"/>
  <c r="K688" i="9" s="1"/>
  <c r="J689" i="9"/>
  <c r="J688" i="9" s="1"/>
  <c r="I689" i="9"/>
  <c r="I688" i="9" s="1"/>
  <c r="P683" i="9"/>
  <c r="P682" i="9" s="1"/>
  <c r="O683" i="9"/>
  <c r="O682" i="9" s="1"/>
  <c r="N683" i="9"/>
  <c r="N682" i="9" s="1"/>
  <c r="M683" i="9"/>
  <c r="M682" i="9" s="1"/>
  <c r="L683" i="9"/>
  <c r="L682" i="9" s="1"/>
  <c r="K683" i="9"/>
  <c r="K682" i="9" s="1"/>
  <c r="J683" i="9"/>
  <c r="J682" i="9" s="1"/>
  <c r="I683" i="9"/>
  <c r="I682" i="9" s="1"/>
  <c r="P668" i="9"/>
  <c r="O668" i="9"/>
  <c r="N668" i="9"/>
  <c r="L668" i="9"/>
  <c r="K668" i="9"/>
  <c r="J668" i="9"/>
  <c r="I668" i="9"/>
  <c r="P630" i="9"/>
  <c r="O630" i="9"/>
  <c r="N630" i="9"/>
  <c r="M630" i="9"/>
  <c r="L630" i="9"/>
  <c r="K630" i="9"/>
  <c r="K629" i="9" s="1"/>
  <c r="J630" i="9"/>
  <c r="I630" i="9"/>
  <c r="P620" i="9"/>
  <c r="O620" i="9"/>
  <c r="O619" i="9" s="1"/>
  <c r="N620" i="9"/>
  <c r="N619" i="9" s="1"/>
  <c r="M620" i="9"/>
  <c r="M619" i="9" s="1"/>
  <c r="L620" i="9"/>
  <c r="L619" i="9" s="1"/>
  <c r="K620" i="9"/>
  <c r="K619" i="9" s="1"/>
  <c r="J620" i="9"/>
  <c r="J619" i="9" s="1"/>
  <c r="I620" i="9"/>
  <c r="I619" i="9" s="1"/>
  <c r="P619" i="9"/>
  <c r="P616" i="9"/>
  <c r="O616" i="9"/>
  <c r="N616" i="9"/>
  <c r="M616" i="9"/>
  <c r="L616" i="9"/>
  <c r="K616" i="9"/>
  <c r="J616" i="9"/>
  <c r="I616" i="9"/>
  <c r="P608" i="9"/>
  <c r="O608" i="9"/>
  <c r="N608" i="9"/>
  <c r="M608" i="9"/>
  <c r="L608" i="9"/>
  <c r="K608" i="9"/>
  <c r="J608" i="9"/>
  <c r="I608" i="9"/>
  <c r="P604" i="9"/>
  <c r="P603" i="9" s="1"/>
  <c r="O604" i="9"/>
  <c r="N604" i="9"/>
  <c r="N603" i="9" s="1"/>
  <c r="M604" i="9"/>
  <c r="L604" i="9"/>
  <c r="K604" i="9"/>
  <c r="K603" i="9" s="1"/>
  <c r="J604" i="9"/>
  <c r="J603" i="9" s="1"/>
  <c r="I604" i="9"/>
  <c r="P576" i="9"/>
  <c r="P575" i="9" s="1"/>
  <c r="O576" i="9"/>
  <c r="O575" i="9" s="1"/>
  <c r="N576" i="9"/>
  <c r="N575" i="9" s="1"/>
  <c r="M576" i="9"/>
  <c r="M575" i="9" s="1"/>
  <c r="L576" i="9"/>
  <c r="L575" i="9" s="1"/>
  <c r="K576" i="9"/>
  <c r="K575" i="9" s="1"/>
  <c r="J576" i="9"/>
  <c r="J575" i="9" s="1"/>
  <c r="I576" i="9"/>
  <c r="I575" i="9" s="1"/>
  <c r="P571" i="9"/>
  <c r="P570" i="9" s="1"/>
  <c r="O571" i="9"/>
  <c r="O570" i="9" s="1"/>
  <c r="N571" i="9"/>
  <c r="N570" i="9" s="1"/>
  <c r="M571" i="9"/>
  <c r="M570" i="9" s="1"/>
  <c r="L571" i="9"/>
  <c r="L570" i="9" s="1"/>
  <c r="K571" i="9"/>
  <c r="K570" i="9" s="1"/>
  <c r="J571" i="9"/>
  <c r="J570" i="9" s="1"/>
  <c r="I571" i="9"/>
  <c r="I570" i="9" s="1"/>
  <c r="P562" i="9"/>
  <c r="O562" i="9"/>
  <c r="N562" i="9"/>
  <c r="M562" i="9"/>
  <c r="L562" i="9"/>
  <c r="K562" i="9"/>
  <c r="J562" i="9"/>
  <c r="I562" i="9"/>
  <c r="P557" i="9"/>
  <c r="O557" i="9"/>
  <c r="N557" i="9"/>
  <c r="M557" i="9"/>
  <c r="L557" i="9"/>
  <c r="K557" i="9"/>
  <c r="J557" i="9"/>
  <c r="I557" i="9"/>
  <c r="P550" i="9"/>
  <c r="O550" i="9"/>
  <c r="N550" i="9"/>
  <c r="M550" i="9"/>
  <c r="L550" i="9"/>
  <c r="K550" i="9"/>
  <c r="J550" i="9"/>
  <c r="I550" i="9"/>
  <c r="P546" i="9"/>
  <c r="O546" i="9"/>
  <c r="N546" i="9"/>
  <c r="M546" i="9"/>
  <c r="L546" i="9"/>
  <c r="K546" i="9"/>
  <c r="J546" i="9"/>
  <c r="J545" i="9" s="1"/>
  <c r="I546" i="9"/>
  <c r="P541" i="9"/>
  <c r="O541" i="9"/>
  <c r="N541" i="9"/>
  <c r="M541" i="9"/>
  <c r="L541" i="9"/>
  <c r="K541" i="9"/>
  <c r="J541" i="9"/>
  <c r="I541" i="9"/>
  <c r="P537" i="9"/>
  <c r="P536" i="9" s="1"/>
  <c r="O537" i="9"/>
  <c r="N537" i="9"/>
  <c r="M537" i="9"/>
  <c r="L537" i="9"/>
  <c r="K537" i="9"/>
  <c r="K536" i="9" s="1"/>
  <c r="J537" i="9"/>
  <c r="I537" i="9"/>
  <c r="P530" i="9"/>
  <c r="O530" i="9"/>
  <c r="N530" i="9"/>
  <c r="M530" i="9"/>
  <c r="L530" i="9"/>
  <c r="K530" i="9"/>
  <c r="J530" i="9"/>
  <c r="I530" i="9"/>
  <c r="P527" i="9"/>
  <c r="O527" i="9"/>
  <c r="N527" i="9"/>
  <c r="M527" i="9"/>
  <c r="L527" i="9"/>
  <c r="K527" i="9"/>
  <c r="J527" i="9"/>
  <c r="I527" i="9"/>
  <c r="P523" i="9"/>
  <c r="P522" i="9" s="1"/>
  <c r="O523" i="9"/>
  <c r="O522" i="9" s="1"/>
  <c r="N523" i="9"/>
  <c r="M523" i="9"/>
  <c r="L523" i="9"/>
  <c r="K523" i="9"/>
  <c r="J523" i="9"/>
  <c r="I523" i="9"/>
  <c r="P516" i="9"/>
  <c r="O516" i="9"/>
  <c r="N516" i="9"/>
  <c r="M516" i="9"/>
  <c r="L516" i="9"/>
  <c r="K516" i="9"/>
  <c r="J516" i="9"/>
  <c r="I516" i="9"/>
  <c r="P512" i="9"/>
  <c r="O512" i="9"/>
  <c r="N512" i="9"/>
  <c r="N511" i="9" s="1"/>
  <c r="M512" i="9"/>
  <c r="L512" i="9"/>
  <c r="K512" i="9"/>
  <c r="J512" i="9"/>
  <c r="I512" i="9"/>
  <c r="P511" i="9"/>
  <c r="P506" i="9"/>
  <c r="O506" i="9"/>
  <c r="N506" i="9"/>
  <c r="M506" i="9"/>
  <c r="L506" i="9"/>
  <c r="K506" i="9"/>
  <c r="J506" i="9"/>
  <c r="I506" i="9"/>
  <c r="P502" i="9"/>
  <c r="O502" i="9"/>
  <c r="N502" i="9"/>
  <c r="N501" i="9" s="1"/>
  <c r="M502" i="9"/>
  <c r="M501" i="9" s="1"/>
  <c r="L502" i="9"/>
  <c r="K502" i="9"/>
  <c r="K501" i="9" s="1"/>
  <c r="J502" i="9"/>
  <c r="J501" i="9" s="1"/>
  <c r="I502" i="9"/>
  <c r="I501" i="9" s="1"/>
  <c r="P495" i="9"/>
  <c r="O495" i="9"/>
  <c r="N495" i="9"/>
  <c r="M495" i="9"/>
  <c r="L495" i="9"/>
  <c r="K495" i="9"/>
  <c r="J495" i="9"/>
  <c r="I495" i="9"/>
  <c r="O491" i="9"/>
  <c r="N491" i="9"/>
  <c r="M491" i="9"/>
  <c r="L491" i="9"/>
  <c r="K491" i="9"/>
  <c r="J491" i="9"/>
  <c r="I491" i="9"/>
  <c r="O487" i="9"/>
  <c r="N487" i="9"/>
  <c r="M487" i="9"/>
  <c r="L487" i="9"/>
  <c r="K487" i="9"/>
  <c r="J487" i="9"/>
  <c r="I487" i="9"/>
  <c r="O481" i="9"/>
  <c r="N481" i="9"/>
  <c r="M481" i="9"/>
  <c r="L481" i="9"/>
  <c r="K481" i="9"/>
  <c r="J481" i="9"/>
  <c r="I481" i="9"/>
  <c r="O470" i="9"/>
  <c r="N470" i="9"/>
  <c r="M470" i="9"/>
  <c r="L470" i="9"/>
  <c r="K470" i="9"/>
  <c r="J470" i="9"/>
  <c r="I470" i="9"/>
  <c r="O457" i="9"/>
  <c r="N457" i="9"/>
  <c r="M457" i="9"/>
  <c r="L457" i="9"/>
  <c r="K457" i="9"/>
  <c r="J457" i="9"/>
  <c r="I457" i="9"/>
  <c r="O440" i="9"/>
  <c r="N440" i="9"/>
  <c r="M440" i="9"/>
  <c r="L440" i="9"/>
  <c r="K440" i="9"/>
  <c r="J440" i="9"/>
  <c r="I440" i="9"/>
  <c r="O433" i="9"/>
  <c r="N433" i="9"/>
  <c r="M433" i="9"/>
  <c r="L433" i="9"/>
  <c r="K433" i="9"/>
  <c r="J433" i="9"/>
  <c r="I433" i="9"/>
  <c r="O428" i="9"/>
  <c r="N428" i="9"/>
  <c r="M428" i="9"/>
  <c r="L428" i="9"/>
  <c r="K428" i="9"/>
  <c r="J428" i="9"/>
  <c r="I428" i="9"/>
  <c r="O421" i="9"/>
  <c r="N421" i="9"/>
  <c r="M421" i="9"/>
  <c r="L421" i="9"/>
  <c r="K421" i="9"/>
  <c r="J421" i="9"/>
  <c r="I421" i="9"/>
  <c r="O410" i="9"/>
  <c r="N410" i="9"/>
  <c r="M410" i="9"/>
  <c r="L410" i="9"/>
  <c r="K410" i="9"/>
  <c r="J410" i="9"/>
  <c r="I410" i="9"/>
  <c r="O393" i="9"/>
  <c r="N393" i="9"/>
  <c r="M393" i="9"/>
  <c r="L393" i="9"/>
  <c r="K393" i="9"/>
  <c r="J393" i="9"/>
  <c r="I393" i="9"/>
  <c r="O386" i="9"/>
  <c r="N386" i="9"/>
  <c r="M386" i="9"/>
  <c r="L386" i="9"/>
  <c r="K386" i="9"/>
  <c r="J386" i="9"/>
  <c r="I386" i="9"/>
  <c r="O321" i="9"/>
  <c r="N321" i="9"/>
  <c r="M321" i="9"/>
  <c r="L321" i="9"/>
  <c r="K321" i="9"/>
  <c r="J321" i="9"/>
  <c r="I321" i="9"/>
  <c r="O314" i="9"/>
  <c r="N314" i="9"/>
  <c r="M314" i="9"/>
  <c r="L314" i="9"/>
  <c r="K314" i="9"/>
  <c r="J314" i="9"/>
  <c r="I314" i="9"/>
  <c r="O284" i="9"/>
  <c r="N284" i="9"/>
  <c r="M284" i="9"/>
  <c r="L284" i="9"/>
  <c r="K284" i="9"/>
  <c r="J284" i="9"/>
  <c r="I284" i="9"/>
  <c r="O275" i="9"/>
  <c r="N275" i="9"/>
  <c r="M275" i="9"/>
  <c r="L275" i="9"/>
  <c r="K275" i="9"/>
  <c r="J275" i="9"/>
  <c r="I275" i="9"/>
  <c r="O226" i="9"/>
  <c r="N226" i="9"/>
  <c r="M226" i="9"/>
  <c r="L226" i="9"/>
  <c r="K226" i="9"/>
  <c r="J226" i="9"/>
  <c r="I226" i="9"/>
  <c r="O214" i="9"/>
  <c r="N214" i="9"/>
  <c r="M214" i="9"/>
  <c r="L214" i="9"/>
  <c r="K214" i="9"/>
  <c r="J214" i="9"/>
  <c r="I214" i="9"/>
  <c r="O207" i="9"/>
  <c r="N207" i="9"/>
  <c r="M207" i="9"/>
  <c r="L207" i="9"/>
  <c r="K207" i="9"/>
  <c r="J207" i="9"/>
  <c r="I207" i="9"/>
  <c r="O198" i="9"/>
  <c r="N198" i="9"/>
  <c r="M198" i="9"/>
  <c r="L198" i="9"/>
  <c r="K198" i="9"/>
  <c r="J198" i="9"/>
  <c r="I198" i="9"/>
  <c r="O190" i="9"/>
  <c r="N190" i="9"/>
  <c r="M190" i="9"/>
  <c r="L190" i="9"/>
  <c r="K190" i="9"/>
  <c r="J190" i="9"/>
  <c r="I190" i="9"/>
  <c r="O184" i="9"/>
  <c r="N184" i="9"/>
  <c r="M184" i="9"/>
  <c r="L184" i="9"/>
  <c r="K184" i="9"/>
  <c r="J184" i="9"/>
  <c r="I184" i="9"/>
  <c r="O172" i="9"/>
  <c r="O171" i="9" s="1"/>
  <c r="N172" i="9"/>
  <c r="N171" i="9" s="1"/>
  <c r="M172" i="9"/>
  <c r="M171" i="9" s="1"/>
  <c r="L172" i="9"/>
  <c r="L171" i="9" s="1"/>
  <c r="K172" i="9"/>
  <c r="K171" i="9" s="1"/>
  <c r="J172" i="9"/>
  <c r="J171" i="9" s="1"/>
  <c r="I172" i="9"/>
  <c r="I171" i="9" s="1"/>
  <c r="O149" i="9"/>
  <c r="N149" i="9"/>
  <c r="M149" i="9"/>
  <c r="L149" i="9"/>
  <c r="K149" i="9"/>
  <c r="J149" i="9"/>
  <c r="I149" i="9"/>
  <c r="O135" i="9"/>
  <c r="N135" i="9"/>
  <c r="M135" i="9"/>
  <c r="L135" i="9"/>
  <c r="K135" i="9"/>
  <c r="J135" i="9"/>
  <c r="I135" i="9"/>
  <c r="O124" i="9"/>
  <c r="N124" i="9"/>
  <c r="M124" i="9"/>
  <c r="L124" i="9"/>
  <c r="K124" i="9"/>
  <c r="J124" i="9"/>
  <c r="I124" i="9"/>
  <c r="O120" i="9"/>
  <c r="N120" i="9"/>
  <c r="M120" i="9"/>
  <c r="L120" i="9"/>
  <c r="K120" i="9"/>
  <c r="J120" i="9"/>
  <c r="I120" i="9"/>
  <c r="O115" i="9"/>
  <c r="N115" i="9"/>
  <c r="M115" i="9"/>
  <c r="L115" i="9"/>
  <c r="K115" i="9"/>
  <c r="J115" i="9"/>
  <c r="I115" i="9"/>
  <c r="O109" i="9"/>
  <c r="N109" i="9"/>
  <c r="M109" i="9"/>
  <c r="L109" i="9"/>
  <c r="K109" i="9"/>
  <c r="J109" i="9"/>
  <c r="I109" i="9"/>
  <c r="O104" i="9"/>
  <c r="N104" i="9"/>
  <c r="M104" i="9"/>
  <c r="L104" i="9"/>
  <c r="K104" i="9"/>
  <c r="J104" i="9"/>
  <c r="I104" i="9"/>
  <c r="O94" i="9"/>
  <c r="N94" i="9"/>
  <c r="M94" i="9"/>
  <c r="L94" i="9"/>
  <c r="O76" i="9"/>
  <c r="M76" i="9"/>
  <c r="L76" i="9"/>
  <c r="K76" i="9"/>
  <c r="I76" i="9"/>
  <c r="O69" i="9"/>
  <c r="N69" i="9"/>
  <c r="M69" i="9"/>
  <c r="L69" i="9"/>
  <c r="K69" i="9"/>
  <c r="J69" i="9"/>
  <c r="I69" i="9"/>
  <c r="O56" i="9"/>
  <c r="N56" i="9"/>
  <c r="M56" i="9"/>
  <c r="L56" i="9"/>
  <c r="K56" i="9"/>
  <c r="J56" i="9"/>
  <c r="I56" i="9"/>
  <c r="O33" i="9"/>
  <c r="N33" i="9"/>
  <c r="M33" i="9"/>
  <c r="L33" i="9"/>
  <c r="K33" i="9"/>
  <c r="J33" i="9"/>
  <c r="I33" i="9"/>
  <c r="O23" i="9"/>
  <c r="N23" i="9"/>
  <c r="M23" i="9"/>
  <c r="L23" i="9"/>
  <c r="K23" i="9"/>
  <c r="J23" i="9"/>
  <c r="I23" i="9"/>
  <c r="O15" i="9"/>
  <c r="N15" i="9"/>
  <c r="M15" i="9"/>
  <c r="L15" i="9"/>
  <c r="K15" i="9"/>
  <c r="J15" i="9"/>
  <c r="I15" i="9"/>
  <c r="M668" i="9" l="1"/>
  <c r="M629" i="9" s="1"/>
  <c r="M628" i="9" s="1"/>
  <c r="P629" i="9"/>
  <c r="P628" i="9" s="1"/>
  <c r="N931" i="9"/>
  <c r="K918" i="9"/>
  <c r="L904" i="9"/>
  <c r="O536" i="9"/>
  <c r="O511" i="9"/>
  <c r="K1576" i="9"/>
  <c r="L511" i="9"/>
  <c r="L869" i="9"/>
  <c r="M730" i="9"/>
  <c r="O629" i="9"/>
  <c r="O628" i="9" s="1"/>
  <c r="P1717" i="9"/>
  <c r="M1576" i="9"/>
  <c r="P1798" i="9"/>
  <c r="P1792" i="9" s="1"/>
  <c r="P1791" i="9" s="1"/>
  <c r="P1844" i="9" s="1"/>
  <c r="K1507" i="9"/>
  <c r="P869" i="9"/>
  <c r="J704" i="9"/>
  <c r="L931" i="9"/>
  <c r="N730" i="9"/>
  <c r="N704" i="9"/>
  <c r="P844" i="9"/>
  <c r="P904" i="9"/>
  <c r="P789" i="9"/>
  <c r="J904" i="9"/>
  <c r="M704" i="9"/>
  <c r="L536" i="9"/>
  <c r="L603" i="9"/>
  <c r="M869" i="9"/>
  <c r="I1717" i="9"/>
  <c r="N522" i="9"/>
  <c r="L629" i="9"/>
  <c r="L628" i="9" s="1"/>
  <c r="N789" i="9"/>
  <c r="L789" i="9"/>
  <c r="L1717" i="9"/>
  <c r="K869" i="9"/>
  <c r="K868" i="9" s="1"/>
  <c r="M511" i="9"/>
  <c r="N1798" i="9"/>
  <c r="N1792" i="9" s="1"/>
  <c r="N1791" i="9" s="1"/>
  <c r="O904" i="9"/>
  <c r="O868" i="9" s="1"/>
  <c r="O704" i="9"/>
  <c r="L1798" i="9"/>
  <c r="L1792" i="9" s="1"/>
  <c r="L1791" i="9" s="1"/>
  <c r="J536" i="9"/>
  <c r="I1006" i="9"/>
  <c r="N545" i="9"/>
  <c r="N869" i="9"/>
  <c r="L1507" i="9"/>
  <c r="L1006" i="9"/>
  <c r="J869" i="9"/>
  <c r="K730" i="9"/>
  <c r="I522" i="9"/>
  <c r="K704" i="9"/>
  <c r="I904" i="9"/>
  <c r="M1006" i="9"/>
  <c r="M603" i="9"/>
  <c r="L522" i="9"/>
  <c r="O1006" i="9"/>
  <c r="K844" i="9"/>
  <c r="P1507" i="9"/>
  <c r="P730" i="9"/>
  <c r="O501" i="9"/>
  <c r="O545" i="9"/>
  <c r="I511" i="9"/>
  <c r="K1006" i="9"/>
  <c r="O603" i="9"/>
  <c r="J511" i="9"/>
  <c r="O730" i="9"/>
  <c r="M904" i="9"/>
  <c r="P704" i="9"/>
  <c r="J1717" i="9"/>
  <c r="N536" i="9"/>
  <c r="L730" i="9"/>
  <c r="N1006" i="9"/>
  <c r="I931" i="9"/>
  <c r="I918" i="9"/>
  <c r="M522" i="9"/>
  <c r="I730" i="9"/>
  <c r="J1798" i="9"/>
  <c r="J1792" i="9" s="1"/>
  <c r="J1791" i="9" s="1"/>
  <c r="AB30" i="11"/>
  <c r="AG8" i="11" s="1"/>
  <c r="N904" i="9"/>
  <c r="L918" i="9"/>
  <c r="M1717" i="9"/>
  <c r="I536" i="9"/>
  <c r="P501" i="9"/>
  <c r="L501" i="9"/>
  <c r="J522" i="9"/>
  <c r="P931" i="9"/>
  <c r="M536" i="9"/>
  <c r="J1006" i="9"/>
  <c r="O1576" i="9"/>
  <c r="I603" i="9"/>
  <c r="P545" i="9"/>
  <c r="L545" i="9"/>
  <c r="M545" i="9"/>
  <c r="I545" i="9"/>
  <c r="M789" i="9"/>
  <c r="P1006" i="9"/>
  <c r="P1576" i="9"/>
  <c r="K545" i="9"/>
  <c r="M931" i="9"/>
  <c r="J730" i="9"/>
  <c r="M918" i="9"/>
  <c r="K522" i="9"/>
  <c r="AG101" i="11"/>
  <c r="AG100" i="11"/>
  <c r="J1576" i="9"/>
  <c r="M1798" i="9"/>
  <c r="M1792" i="9" s="1"/>
  <c r="M1791" i="9" s="1"/>
  <c r="I1792" i="9"/>
  <c r="I1791" i="9" s="1"/>
  <c r="O1792" i="9"/>
  <c r="O1791" i="9" s="1"/>
  <c r="K1792" i="9"/>
  <c r="K1791" i="9" s="1"/>
  <c r="L1576" i="9"/>
  <c r="Y1073" i="11"/>
  <c r="Y1072" i="11" s="1"/>
  <c r="Y1071" i="11" s="1"/>
  <c r="Y1070" i="11" s="1"/>
  <c r="Y1582" i="11" s="1"/>
  <c r="K320" i="9"/>
  <c r="O490" i="9"/>
  <c r="K511" i="9"/>
  <c r="I123" i="9"/>
  <c r="L55" i="9"/>
  <c r="J789" i="9"/>
  <c r="I469" i="9"/>
  <c r="O55" i="9"/>
  <c r="M123" i="9"/>
  <c r="J469" i="9"/>
  <c r="N469" i="9"/>
  <c r="K469" i="9"/>
  <c r="O469" i="9"/>
  <c r="O789" i="9"/>
  <c r="O320" i="9"/>
  <c r="M469" i="9"/>
  <c r="M55" i="9"/>
  <c r="L93" i="9"/>
  <c r="O14" i="9"/>
  <c r="O13" i="9" s="1"/>
  <c r="K206" i="9"/>
  <c r="O206" i="9"/>
  <c r="J206" i="9"/>
  <c r="N206" i="9"/>
  <c r="K283" i="9"/>
  <c r="L123" i="9"/>
  <c r="L283" i="9"/>
  <c r="L320" i="9"/>
  <c r="M320" i="9"/>
  <c r="J320" i="9"/>
  <c r="L14" i="9"/>
  <c r="L13" i="9" s="1"/>
  <c r="I14" i="9"/>
  <c r="I13" i="9" s="1"/>
  <c r="M14" i="9"/>
  <c r="M13" i="9" s="1"/>
  <c r="J14" i="9"/>
  <c r="J13" i="9" s="1"/>
  <c r="I283" i="9"/>
  <c r="M283" i="9"/>
  <c r="L469" i="9"/>
  <c r="N490" i="9"/>
  <c r="K14" i="9"/>
  <c r="K13" i="9" s="1"/>
  <c r="J183" i="9"/>
  <c r="I320" i="9"/>
  <c r="N320" i="9"/>
  <c r="J123" i="9"/>
  <c r="N123" i="9"/>
  <c r="K123" i="9"/>
  <c r="O123" i="9"/>
  <c r="L844" i="9"/>
  <c r="M93" i="9"/>
  <c r="O183" i="9"/>
  <c r="L206" i="9"/>
  <c r="J283" i="9"/>
  <c r="N283" i="9"/>
  <c r="I490" i="9"/>
  <c r="M490" i="9"/>
  <c r="N93" i="9"/>
  <c r="I206" i="9"/>
  <c r="M206" i="9"/>
  <c r="I789" i="9"/>
  <c r="K55" i="9"/>
  <c r="O93" i="9"/>
  <c r="I183" i="9"/>
  <c r="K789" i="9"/>
  <c r="K490" i="9"/>
  <c r="Z101" i="11"/>
  <c r="Z30" i="11" s="1"/>
  <c r="W1072" i="11"/>
  <c r="W1071" i="11" s="1"/>
  <c r="W1070" i="11" s="1"/>
  <c r="AG42" i="11"/>
  <c r="Z1135" i="11"/>
  <c r="Z1072" i="11" s="1"/>
  <c r="Z1071" i="11" s="1"/>
  <c r="Z1070" i="11" s="1"/>
  <c r="Z1582" i="11" s="1"/>
  <c r="AB1073" i="11"/>
  <c r="AB1072" i="11" s="1"/>
  <c r="AB1071" i="11" s="1"/>
  <c r="I629" i="9"/>
  <c r="I628" i="9" s="1"/>
  <c r="M844" i="9"/>
  <c r="I55" i="9"/>
  <c r="J490" i="9"/>
  <c r="N1507" i="9"/>
  <c r="K628" i="9"/>
  <c r="J629" i="9"/>
  <c r="J628" i="9" s="1"/>
  <c r="N14" i="9"/>
  <c r="N13" i="9" s="1"/>
  <c r="N629" i="9"/>
  <c r="N628" i="9" s="1"/>
  <c r="L490" i="9"/>
  <c r="O283" i="9"/>
  <c r="M183" i="9"/>
  <c r="L183" i="9"/>
  <c r="K183" i="9"/>
  <c r="N183" i="9"/>
  <c r="AA1072" i="4"/>
  <c r="V1156" i="4"/>
  <c r="V1141" i="4"/>
  <c r="AA1100" i="4"/>
  <c r="V1100" i="4"/>
  <c r="AA1087" i="4"/>
  <c r="V1087" i="4"/>
  <c r="N198" i="5"/>
  <c r="AA728" i="4"/>
  <c r="AA729" i="4"/>
  <c r="AA730" i="4"/>
  <c r="AA731" i="4"/>
  <c r="AA732" i="4"/>
  <c r="AA733" i="4"/>
  <c r="AA734" i="4"/>
  <c r="AA735" i="4"/>
  <c r="AA736" i="4"/>
  <c r="AA737" i="4"/>
  <c r="AA738" i="4"/>
  <c r="AA739" i="4"/>
  <c r="AA740" i="4"/>
  <c r="AA741" i="4"/>
  <c r="AA742" i="4"/>
  <c r="AA727" i="4"/>
  <c r="V738" i="4"/>
  <c r="V739" i="4"/>
  <c r="V740" i="4"/>
  <c r="V741" i="4"/>
  <c r="V742" i="4"/>
  <c r="V728" i="4"/>
  <c r="V729" i="4"/>
  <c r="V730" i="4"/>
  <c r="V731" i="4"/>
  <c r="V732" i="4"/>
  <c r="V733" i="4"/>
  <c r="V734" i="4"/>
  <c r="V735" i="4"/>
  <c r="V736" i="4"/>
  <c r="V737" i="4"/>
  <c r="V727" i="4"/>
  <c r="AA503" i="4"/>
  <c r="AA502" i="4"/>
  <c r="AA501" i="4"/>
  <c r="AA500" i="4"/>
  <c r="AA499" i="4"/>
  <c r="V500" i="4"/>
  <c r="V501" i="4"/>
  <c r="V502" i="4"/>
  <c r="V503" i="4"/>
  <c r="V499" i="4"/>
  <c r="AA276" i="4"/>
  <c r="AA275" i="4"/>
  <c r="AA274" i="4"/>
  <c r="AA273" i="4"/>
  <c r="AA272" i="4"/>
  <c r="AA271" i="4"/>
  <c r="AA270" i="4"/>
  <c r="AA269" i="4"/>
  <c r="AA268" i="4"/>
  <c r="AA267" i="4"/>
  <c r="AA266" i="4"/>
  <c r="AA265" i="4"/>
  <c r="AA264" i="4"/>
  <c r="AA263" i="4"/>
  <c r="AA262" i="4"/>
  <c r="AA261" i="4"/>
  <c r="AA260" i="4"/>
  <c r="AA259" i="4"/>
  <c r="AA258" i="4"/>
  <c r="AA257" i="4"/>
  <c r="AA256" i="4"/>
  <c r="AA255" i="4"/>
  <c r="V256" i="4"/>
  <c r="V257" i="4"/>
  <c r="V258" i="4"/>
  <c r="V259" i="4"/>
  <c r="V260" i="4"/>
  <c r="V261" i="4"/>
  <c r="V262" i="4"/>
  <c r="V263" i="4"/>
  <c r="V264" i="4"/>
  <c r="V265" i="4"/>
  <c r="V266" i="4"/>
  <c r="V267" i="4"/>
  <c r="V268" i="4"/>
  <c r="V269" i="4"/>
  <c r="V270" i="4"/>
  <c r="V271" i="4"/>
  <c r="V272" i="4"/>
  <c r="V273" i="4"/>
  <c r="V274" i="4"/>
  <c r="V275" i="4"/>
  <c r="V276" i="4"/>
  <c r="V255" i="4"/>
  <c r="AA167" i="4"/>
  <c r="V167" i="4"/>
  <c r="K968" i="9" l="1"/>
  <c r="L868" i="9"/>
  <c r="N703" i="9"/>
  <c r="P868" i="9"/>
  <c r="J868" i="9"/>
  <c r="I968" i="9"/>
  <c r="L703" i="9"/>
  <c r="M968" i="9"/>
  <c r="N868" i="9"/>
  <c r="L968" i="9"/>
  <c r="K703" i="9"/>
  <c r="O968" i="9"/>
  <c r="P703" i="9"/>
  <c r="O703" i="9"/>
  <c r="N968" i="9"/>
  <c r="I868" i="9"/>
  <c r="AG40" i="11"/>
  <c r="AG30" i="11"/>
  <c r="AG7" i="11"/>
  <c r="I703" i="9"/>
  <c r="J968" i="9"/>
  <c r="M703" i="9"/>
  <c r="M868" i="9"/>
  <c r="P968" i="9"/>
  <c r="J703" i="9"/>
  <c r="O54" i="9"/>
  <c r="O1512" i="11"/>
  <c r="O1511" i="11" s="1"/>
  <c r="O1510" i="11" s="1"/>
  <c r="O1432" i="11" s="1"/>
  <c r="AB1070" i="11"/>
  <c r="AG1070" i="11" s="1"/>
  <c r="AG1071" i="11" s="1"/>
  <c r="AG1072" i="11" s="1"/>
  <c r="AG1073" i="11"/>
  <c r="W1582" i="11"/>
  <c r="L54" i="9"/>
  <c r="AF1071" i="11" l="1"/>
  <c r="L11" i="9"/>
  <c r="L1844" i="9" s="1"/>
  <c r="O11" i="9"/>
  <c r="O1844" i="9" s="1"/>
  <c r="AI1070" i="11"/>
  <c r="AG1069" i="11"/>
  <c r="J76" i="9"/>
  <c r="J55" i="9" s="1"/>
  <c r="Q1141" i="4"/>
  <c r="I94" i="9" l="1"/>
  <c r="I93" i="9" s="1"/>
  <c r="I54" i="9" s="1"/>
  <c r="N76" i="9"/>
  <c r="N55" i="9" s="1"/>
  <c r="N54" i="9" s="1"/>
  <c r="N1844" i="9" s="1"/>
  <c r="J94" i="9"/>
  <c r="J93" i="9" s="1"/>
  <c r="J54" i="9" s="1"/>
  <c r="J11" i="9" s="1"/>
  <c r="J1844" i="9" s="1"/>
  <c r="I11" i="9" l="1"/>
  <c r="I1844" i="9" s="1"/>
  <c r="K94" i="9"/>
  <c r="K93" i="9" s="1"/>
  <c r="K54" i="9" s="1"/>
  <c r="K11" i="9" l="1"/>
  <c r="M54" i="9"/>
  <c r="K1844" i="9" l="1"/>
  <c r="M11" i="9"/>
  <c r="AG1087" i="4" l="1"/>
  <c r="I1851" i="5"/>
  <c r="P1837" i="5" l="1"/>
  <c r="O1837" i="5"/>
  <c r="N1837" i="5"/>
  <c r="N1836" i="5" s="1"/>
  <c r="N1835" i="5" s="1"/>
  <c r="M1837" i="5"/>
  <c r="M1836" i="5" s="1"/>
  <c r="M1835" i="5" s="1"/>
  <c r="L1837" i="5"/>
  <c r="L1836" i="5" s="1"/>
  <c r="L1835" i="5" s="1"/>
  <c r="K1837" i="5"/>
  <c r="K1836" i="5" s="1"/>
  <c r="K1835" i="5" s="1"/>
  <c r="J1837" i="5"/>
  <c r="J1836" i="5" s="1"/>
  <c r="J1835" i="5" s="1"/>
  <c r="I1837" i="5"/>
  <c r="I1836" i="5" s="1"/>
  <c r="I1835" i="5" s="1"/>
  <c r="P1836" i="5"/>
  <c r="P1835" i="5" s="1"/>
  <c r="O1836" i="5"/>
  <c r="O1835" i="5" s="1"/>
  <c r="P1829" i="5"/>
  <c r="P1828" i="5" s="1"/>
  <c r="P1827" i="5" s="1"/>
  <c r="O1829" i="5"/>
  <c r="O1828" i="5" s="1"/>
  <c r="O1827" i="5" s="1"/>
  <c r="N1829" i="5"/>
  <c r="N1828" i="5" s="1"/>
  <c r="N1827" i="5" s="1"/>
  <c r="M1829" i="5"/>
  <c r="M1828" i="5" s="1"/>
  <c r="M1827" i="5" s="1"/>
  <c r="L1829" i="5"/>
  <c r="L1828" i="5" s="1"/>
  <c r="L1827" i="5" s="1"/>
  <c r="K1829" i="5"/>
  <c r="K1828" i="5" s="1"/>
  <c r="K1827" i="5" s="1"/>
  <c r="J1829" i="5"/>
  <c r="J1828" i="5" s="1"/>
  <c r="J1827" i="5" s="1"/>
  <c r="I1829" i="5"/>
  <c r="I1828" i="5" s="1"/>
  <c r="I1827" i="5" s="1"/>
  <c r="P1824" i="5"/>
  <c r="O1824" i="5"/>
  <c r="O1823" i="5" s="1"/>
  <c r="O1822" i="5" s="1"/>
  <c r="N1824" i="5"/>
  <c r="M1824" i="5"/>
  <c r="M1823" i="5" s="1"/>
  <c r="M1822" i="5" s="1"/>
  <c r="L1824" i="5"/>
  <c r="L1823" i="5" s="1"/>
  <c r="L1822" i="5" s="1"/>
  <c r="K1824" i="5"/>
  <c r="K1823" i="5" s="1"/>
  <c r="K1822" i="5" s="1"/>
  <c r="J1824" i="5"/>
  <c r="J1823" i="5" s="1"/>
  <c r="J1822" i="5" s="1"/>
  <c r="I1824" i="5"/>
  <c r="I1823" i="5" s="1"/>
  <c r="I1822" i="5" s="1"/>
  <c r="P1823" i="5"/>
  <c r="P1822" i="5" s="1"/>
  <c r="N1823" i="5"/>
  <c r="N1822" i="5" s="1"/>
  <c r="P1812" i="5"/>
  <c r="O1812" i="5"/>
  <c r="N1812" i="5"/>
  <c r="N1811" i="5" s="1"/>
  <c r="N1810" i="5" s="1"/>
  <c r="M1812" i="5"/>
  <c r="M1811" i="5" s="1"/>
  <c r="M1810" i="5" s="1"/>
  <c r="L1812" i="5"/>
  <c r="L1811" i="5" s="1"/>
  <c r="L1810" i="5" s="1"/>
  <c r="K1812" i="5"/>
  <c r="K1811" i="5" s="1"/>
  <c r="K1810" i="5" s="1"/>
  <c r="J1812" i="5"/>
  <c r="J1811" i="5" s="1"/>
  <c r="J1810" i="5" s="1"/>
  <c r="I1812" i="5"/>
  <c r="I1811" i="5" s="1"/>
  <c r="I1810" i="5" s="1"/>
  <c r="P1811" i="5"/>
  <c r="P1810" i="5" s="1"/>
  <c r="O1811" i="5"/>
  <c r="O1810" i="5" s="1"/>
  <c r="P1805" i="5"/>
  <c r="O1805" i="5"/>
  <c r="O1804" i="5" s="1"/>
  <c r="O1803" i="5" s="1"/>
  <c r="N1805" i="5"/>
  <c r="N1804" i="5" s="1"/>
  <c r="N1803" i="5" s="1"/>
  <c r="M1805" i="5"/>
  <c r="M1804" i="5" s="1"/>
  <c r="M1803" i="5" s="1"/>
  <c r="L1805" i="5"/>
  <c r="L1804" i="5" s="1"/>
  <c r="L1803" i="5" s="1"/>
  <c r="K1805" i="5"/>
  <c r="K1804" i="5" s="1"/>
  <c r="K1803" i="5" s="1"/>
  <c r="J1805" i="5"/>
  <c r="J1804" i="5" s="1"/>
  <c r="J1803" i="5" s="1"/>
  <c r="I1805" i="5"/>
  <c r="I1804" i="5" s="1"/>
  <c r="I1803" i="5" s="1"/>
  <c r="P1804" i="5"/>
  <c r="P1803" i="5" s="1"/>
  <c r="P1801" i="5"/>
  <c r="O1801" i="5"/>
  <c r="N1801" i="5"/>
  <c r="M1801" i="5"/>
  <c r="L1801" i="5"/>
  <c r="K1801" i="5"/>
  <c r="J1801" i="5"/>
  <c r="I1801" i="5"/>
  <c r="P1799" i="5"/>
  <c r="O1799" i="5"/>
  <c r="N1799" i="5"/>
  <c r="M1799" i="5"/>
  <c r="L1799" i="5"/>
  <c r="L1798" i="5" s="1"/>
  <c r="K1799" i="5"/>
  <c r="K1798" i="5" s="1"/>
  <c r="J1799" i="5"/>
  <c r="J1798" i="5" s="1"/>
  <c r="I1799" i="5"/>
  <c r="P1798" i="5"/>
  <c r="O1798" i="5"/>
  <c r="N1798" i="5"/>
  <c r="P1794" i="5"/>
  <c r="P1793" i="5" s="1"/>
  <c r="O1794" i="5"/>
  <c r="O1793" i="5" s="1"/>
  <c r="N1794" i="5"/>
  <c r="N1793" i="5" s="1"/>
  <c r="M1794" i="5"/>
  <c r="M1793" i="5" s="1"/>
  <c r="L1794" i="5"/>
  <c r="L1793" i="5" s="1"/>
  <c r="K1794" i="5"/>
  <c r="K1793" i="5" s="1"/>
  <c r="J1794" i="5"/>
  <c r="J1793" i="5" s="1"/>
  <c r="I1794" i="5"/>
  <c r="I1793" i="5" s="1"/>
  <c r="P1788" i="5"/>
  <c r="O1788" i="5"/>
  <c r="N1788" i="5"/>
  <c r="M1788" i="5"/>
  <c r="L1788" i="5"/>
  <c r="K1788" i="5"/>
  <c r="J1788" i="5"/>
  <c r="I1788" i="5"/>
  <c r="P1780" i="5"/>
  <c r="O1780" i="5"/>
  <c r="N1780" i="5"/>
  <c r="M1780" i="5"/>
  <c r="L1780" i="5"/>
  <c r="K1780" i="5"/>
  <c r="J1780" i="5"/>
  <c r="I1780" i="5"/>
  <c r="P1778" i="5"/>
  <c r="O1778" i="5"/>
  <c r="N1778" i="5"/>
  <c r="M1778" i="5"/>
  <c r="L1778" i="5"/>
  <c r="K1778" i="5"/>
  <c r="J1778" i="5"/>
  <c r="I1778" i="5"/>
  <c r="P1767" i="5"/>
  <c r="O1767" i="5"/>
  <c r="N1767" i="5"/>
  <c r="M1767" i="5"/>
  <c r="L1767" i="5"/>
  <c r="K1767" i="5"/>
  <c r="J1767" i="5"/>
  <c r="I1767" i="5"/>
  <c r="P1757" i="5"/>
  <c r="O1757" i="5"/>
  <c r="N1757" i="5"/>
  <c r="M1757" i="5"/>
  <c r="L1757" i="5"/>
  <c r="K1757" i="5"/>
  <c r="J1757" i="5"/>
  <c r="I1757" i="5"/>
  <c r="P1746" i="5"/>
  <c r="O1746" i="5"/>
  <c r="N1746" i="5"/>
  <c r="M1746" i="5"/>
  <c r="L1746" i="5"/>
  <c r="K1746" i="5"/>
  <c r="J1746" i="5"/>
  <c r="I1746" i="5"/>
  <c r="P1718" i="5"/>
  <c r="P1717" i="5" s="1"/>
  <c r="O1718" i="5"/>
  <c r="O1717" i="5" s="1"/>
  <c r="N1718" i="5"/>
  <c r="M1718" i="5"/>
  <c r="M1717" i="5" s="1"/>
  <c r="L1718" i="5"/>
  <c r="L1717" i="5" s="1"/>
  <c r="K1718" i="5"/>
  <c r="K1717" i="5" s="1"/>
  <c r="J1718" i="5"/>
  <c r="I1718" i="5"/>
  <c r="I1717" i="5" s="1"/>
  <c r="P1698" i="5"/>
  <c r="O1698" i="5"/>
  <c r="N1698" i="5"/>
  <c r="M1698" i="5"/>
  <c r="L1698" i="5"/>
  <c r="K1698" i="5"/>
  <c r="J1698" i="5"/>
  <c r="I1698" i="5"/>
  <c r="P1653" i="5"/>
  <c r="O1653" i="5"/>
  <c r="N1653" i="5"/>
  <c r="M1653" i="5"/>
  <c r="L1653" i="5"/>
  <c r="K1653" i="5"/>
  <c r="J1653" i="5"/>
  <c r="I1653" i="5"/>
  <c r="P1601" i="5"/>
  <c r="O1601" i="5"/>
  <c r="N1601" i="5"/>
  <c r="M1601" i="5"/>
  <c r="L1601" i="5"/>
  <c r="K1601" i="5"/>
  <c r="J1601" i="5"/>
  <c r="I1601" i="5"/>
  <c r="P1577" i="5"/>
  <c r="O1577" i="5"/>
  <c r="N1577" i="5"/>
  <c r="M1577" i="5"/>
  <c r="M1576" i="5" s="1"/>
  <c r="L1577" i="5"/>
  <c r="L1576" i="5" s="1"/>
  <c r="K1577" i="5"/>
  <c r="J1577" i="5"/>
  <c r="J1576" i="5" s="1"/>
  <c r="I1577" i="5"/>
  <c r="I1576" i="5" s="1"/>
  <c r="P1570" i="5"/>
  <c r="O1570" i="5"/>
  <c r="N1570" i="5"/>
  <c r="M1570" i="5"/>
  <c r="L1570" i="5"/>
  <c r="K1570" i="5"/>
  <c r="J1570" i="5"/>
  <c r="I1570" i="5"/>
  <c r="P1564" i="5"/>
  <c r="O1564" i="5"/>
  <c r="N1564" i="5"/>
  <c r="M1564" i="5"/>
  <c r="L1564" i="5"/>
  <c r="K1564" i="5"/>
  <c r="J1564" i="5"/>
  <c r="I1564" i="5"/>
  <c r="P1559" i="5"/>
  <c r="O1559" i="5"/>
  <c r="N1559" i="5"/>
  <c r="M1559" i="5"/>
  <c r="L1559" i="5"/>
  <c r="K1559" i="5"/>
  <c r="J1559" i="5"/>
  <c r="I1559" i="5"/>
  <c r="P1508" i="5"/>
  <c r="O1508" i="5"/>
  <c r="N1508" i="5"/>
  <c r="N1507" i="5" s="1"/>
  <c r="M1508" i="5"/>
  <c r="M1507" i="5" s="1"/>
  <c r="L1508" i="5"/>
  <c r="K1508" i="5"/>
  <c r="K1507" i="5" s="1"/>
  <c r="J1508" i="5"/>
  <c r="J1507" i="5" s="1"/>
  <c r="I1508" i="5"/>
  <c r="I1507" i="5" s="1"/>
  <c r="P1500" i="5"/>
  <c r="O1500" i="5"/>
  <c r="N1500" i="5"/>
  <c r="M1500" i="5"/>
  <c r="L1500" i="5"/>
  <c r="K1500" i="5"/>
  <c r="J1500" i="5"/>
  <c r="I1500" i="5"/>
  <c r="P1487" i="5"/>
  <c r="O1487" i="5"/>
  <c r="N1487" i="5"/>
  <c r="M1487" i="5"/>
  <c r="L1487" i="5"/>
  <c r="K1487" i="5"/>
  <c r="J1487" i="5"/>
  <c r="I1487" i="5"/>
  <c r="P1460" i="5"/>
  <c r="O1460" i="5"/>
  <c r="N1460" i="5"/>
  <c r="M1460" i="5"/>
  <c r="L1460" i="5"/>
  <c r="K1460" i="5"/>
  <c r="J1460" i="5"/>
  <c r="I1460" i="5"/>
  <c r="P1456" i="5"/>
  <c r="O1456" i="5"/>
  <c r="N1456" i="5"/>
  <c r="M1456" i="5"/>
  <c r="L1456" i="5"/>
  <c r="K1456" i="5"/>
  <c r="J1456" i="5"/>
  <c r="I1456" i="5"/>
  <c r="P1435" i="5"/>
  <c r="O1435" i="5"/>
  <c r="N1435" i="5"/>
  <c r="M1435" i="5"/>
  <c r="L1435" i="5"/>
  <c r="K1435" i="5"/>
  <c r="J1435" i="5"/>
  <c r="I1435" i="5"/>
  <c r="P1428" i="5"/>
  <c r="O1428" i="5"/>
  <c r="N1428" i="5"/>
  <c r="M1428" i="5"/>
  <c r="L1428" i="5"/>
  <c r="K1428" i="5"/>
  <c r="J1428" i="5"/>
  <c r="I1428" i="5"/>
  <c r="P1417" i="5"/>
  <c r="O1417" i="5"/>
  <c r="N1417" i="5"/>
  <c r="M1417" i="5"/>
  <c r="L1417" i="5"/>
  <c r="K1417" i="5"/>
  <c r="J1417" i="5"/>
  <c r="I1417" i="5"/>
  <c r="P1408" i="5"/>
  <c r="O1408" i="5"/>
  <c r="N1408" i="5"/>
  <c r="M1408" i="5"/>
  <c r="L1408" i="5"/>
  <c r="K1408" i="5"/>
  <c r="J1408" i="5"/>
  <c r="I1408" i="5"/>
  <c r="P1400" i="5"/>
  <c r="O1400" i="5"/>
  <c r="N1400" i="5"/>
  <c r="M1400" i="5"/>
  <c r="L1400" i="5"/>
  <c r="K1400" i="5"/>
  <c r="J1400" i="5"/>
  <c r="I1400" i="5"/>
  <c r="P1391" i="5"/>
  <c r="O1391" i="5"/>
  <c r="N1391" i="5"/>
  <c r="M1391" i="5"/>
  <c r="L1391" i="5"/>
  <c r="K1391" i="5"/>
  <c r="J1391" i="5"/>
  <c r="I1391" i="5"/>
  <c r="P1251" i="5"/>
  <c r="O1251" i="5"/>
  <c r="N1251" i="5"/>
  <c r="M1251" i="5"/>
  <c r="L1251" i="5"/>
  <c r="K1251" i="5"/>
  <c r="J1251" i="5"/>
  <c r="I1251" i="5"/>
  <c r="P1216" i="5"/>
  <c r="O1216" i="5"/>
  <c r="N1216" i="5"/>
  <c r="M1216" i="5"/>
  <c r="L1216" i="5"/>
  <c r="K1216" i="5"/>
  <c r="J1216" i="5"/>
  <c r="I1216" i="5"/>
  <c r="P1143" i="5"/>
  <c r="O1143" i="5"/>
  <c r="N1143" i="5"/>
  <c r="M1143" i="5"/>
  <c r="L1143" i="5"/>
  <c r="K1143" i="5"/>
  <c r="J1143" i="5"/>
  <c r="I1143" i="5"/>
  <c r="P1123" i="5"/>
  <c r="O1123" i="5"/>
  <c r="N1123" i="5"/>
  <c r="M1123" i="5"/>
  <c r="L1123" i="5"/>
  <c r="K1123" i="5"/>
  <c r="J1123" i="5"/>
  <c r="I1123" i="5"/>
  <c r="P1112" i="5"/>
  <c r="O1112" i="5"/>
  <c r="N1112" i="5"/>
  <c r="M1112" i="5"/>
  <c r="L1112" i="5"/>
  <c r="K1112" i="5"/>
  <c r="J1112" i="5"/>
  <c r="I1112" i="5"/>
  <c r="P1067" i="5"/>
  <c r="O1067" i="5"/>
  <c r="N1067" i="5"/>
  <c r="M1067" i="5"/>
  <c r="L1067" i="5"/>
  <c r="K1067" i="5"/>
  <c r="J1067" i="5"/>
  <c r="I1067" i="5"/>
  <c r="P1042" i="5"/>
  <c r="O1042" i="5"/>
  <c r="N1042" i="5"/>
  <c r="M1042" i="5"/>
  <c r="L1042" i="5"/>
  <c r="K1042" i="5"/>
  <c r="J1042" i="5"/>
  <c r="I1042" i="5"/>
  <c r="P1007" i="5"/>
  <c r="O1007" i="5"/>
  <c r="N1007" i="5"/>
  <c r="M1007" i="5"/>
  <c r="L1007" i="5"/>
  <c r="K1007" i="5"/>
  <c r="J1007" i="5"/>
  <c r="J1006" i="5" s="1"/>
  <c r="I1007" i="5"/>
  <c r="P970" i="5"/>
  <c r="P969" i="5" s="1"/>
  <c r="O970" i="5"/>
  <c r="O969" i="5" s="1"/>
  <c r="N970" i="5"/>
  <c r="N969" i="5" s="1"/>
  <c r="M970" i="5"/>
  <c r="M969" i="5" s="1"/>
  <c r="L970" i="5"/>
  <c r="L969" i="5" s="1"/>
  <c r="K970" i="5"/>
  <c r="K969" i="5" s="1"/>
  <c r="J970" i="5"/>
  <c r="J969" i="5" s="1"/>
  <c r="I970" i="5"/>
  <c r="I969" i="5" s="1"/>
  <c r="P965" i="5"/>
  <c r="P964" i="5" s="1"/>
  <c r="O965" i="5"/>
  <c r="O964" i="5" s="1"/>
  <c r="N965" i="5"/>
  <c r="N964" i="5" s="1"/>
  <c r="M965" i="5"/>
  <c r="M964" i="5" s="1"/>
  <c r="L965" i="5"/>
  <c r="L964" i="5" s="1"/>
  <c r="K965" i="5"/>
  <c r="K964" i="5" s="1"/>
  <c r="J965" i="5"/>
  <c r="J964" i="5" s="1"/>
  <c r="I965" i="5"/>
  <c r="I964" i="5" s="1"/>
  <c r="P956" i="5"/>
  <c r="P955" i="5" s="1"/>
  <c r="O956" i="5"/>
  <c r="O955" i="5" s="1"/>
  <c r="N956" i="5"/>
  <c r="N955" i="5" s="1"/>
  <c r="M956" i="5"/>
  <c r="M955" i="5" s="1"/>
  <c r="L956" i="5"/>
  <c r="L955" i="5" s="1"/>
  <c r="K956" i="5"/>
  <c r="K955" i="5" s="1"/>
  <c r="J956" i="5"/>
  <c r="J955" i="5" s="1"/>
  <c r="I956" i="5"/>
  <c r="I955" i="5" s="1"/>
  <c r="P953" i="5"/>
  <c r="P952" i="5" s="1"/>
  <c r="O953" i="5"/>
  <c r="O952" i="5" s="1"/>
  <c r="N953" i="5"/>
  <c r="N952" i="5" s="1"/>
  <c r="M953" i="5"/>
  <c r="M952" i="5" s="1"/>
  <c r="L953" i="5"/>
  <c r="L952" i="5" s="1"/>
  <c r="K953" i="5"/>
  <c r="K952" i="5" s="1"/>
  <c r="J953" i="5"/>
  <c r="J952" i="5" s="1"/>
  <c r="I953" i="5"/>
  <c r="I952" i="5" s="1"/>
  <c r="P950" i="5"/>
  <c r="O950" i="5"/>
  <c r="N950" i="5"/>
  <c r="M950" i="5"/>
  <c r="L950" i="5"/>
  <c r="K950" i="5"/>
  <c r="J950" i="5"/>
  <c r="I950" i="5"/>
  <c r="P948" i="5"/>
  <c r="O948" i="5"/>
  <c r="N948" i="5"/>
  <c r="M948" i="5"/>
  <c r="L948" i="5"/>
  <c r="K948" i="5"/>
  <c r="J948" i="5"/>
  <c r="I948" i="5"/>
  <c r="P946" i="5"/>
  <c r="O946" i="5"/>
  <c r="N946" i="5"/>
  <c r="M946" i="5"/>
  <c r="L946" i="5"/>
  <c r="K946" i="5"/>
  <c r="J946" i="5"/>
  <c r="I946" i="5"/>
  <c r="P944" i="5"/>
  <c r="O944" i="5"/>
  <c r="N944" i="5"/>
  <c r="M944" i="5"/>
  <c r="L944" i="5"/>
  <c r="K944" i="5"/>
  <c r="J944" i="5"/>
  <c r="I944" i="5"/>
  <c r="P942" i="5"/>
  <c r="O942" i="5"/>
  <c r="N942" i="5"/>
  <c r="M942" i="5"/>
  <c r="L942" i="5"/>
  <c r="K942" i="5"/>
  <c r="J942" i="5"/>
  <c r="I942" i="5"/>
  <c r="P940" i="5"/>
  <c r="O940" i="5"/>
  <c r="N940" i="5"/>
  <c r="M940" i="5"/>
  <c r="L940" i="5"/>
  <c r="K940" i="5"/>
  <c r="J940" i="5"/>
  <c r="I940" i="5"/>
  <c r="P938" i="5"/>
  <c r="O938" i="5"/>
  <c r="N938" i="5"/>
  <c r="M938" i="5"/>
  <c r="L938" i="5"/>
  <c r="K938" i="5"/>
  <c r="J938" i="5"/>
  <c r="I938" i="5"/>
  <c r="P936" i="5"/>
  <c r="O936" i="5"/>
  <c r="N936" i="5"/>
  <c r="M936" i="5"/>
  <c r="L936" i="5"/>
  <c r="K936" i="5"/>
  <c r="J936" i="5"/>
  <c r="I936" i="5"/>
  <c r="P934" i="5"/>
  <c r="O934" i="5"/>
  <c r="N934" i="5"/>
  <c r="M934" i="5"/>
  <c r="L934" i="5"/>
  <c r="K934" i="5"/>
  <c r="J934" i="5"/>
  <c r="I934" i="5"/>
  <c r="P932" i="5"/>
  <c r="P931" i="5" s="1"/>
  <c r="O932" i="5"/>
  <c r="O931" i="5" s="1"/>
  <c r="N932" i="5"/>
  <c r="N931" i="5" s="1"/>
  <c r="M932" i="5"/>
  <c r="M931" i="5" s="1"/>
  <c r="L932" i="5"/>
  <c r="L931" i="5" s="1"/>
  <c r="K932" i="5"/>
  <c r="J932" i="5"/>
  <c r="J931" i="5" s="1"/>
  <c r="I932" i="5"/>
  <c r="P929" i="5"/>
  <c r="O929" i="5"/>
  <c r="N929" i="5"/>
  <c r="M929" i="5"/>
  <c r="L929" i="5"/>
  <c r="K929" i="5"/>
  <c r="J929" i="5"/>
  <c r="I929" i="5"/>
  <c r="P924" i="5"/>
  <c r="O924" i="5"/>
  <c r="N924" i="5"/>
  <c r="M924" i="5"/>
  <c r="L924" i="5"/>
  <c r="K924" i="5"/>
  <c r="J924" i="5"/>
  <c r="I924" i="5"/>
  <c r="P919" i="5"/>
  <c r="P918" i="5" s="1"/>
  <c r="O919" i="5"/>
  <c r="O918" i="5" s="1"/>
  <c r="N919" i="5"/>
  <c r="N918" i="5" s="1"/>
  <c r="M919" i="5"/>
  <c r="M918" i="5" s="1"/>
  <c r="L919" i="5"/>
  <c r="L918" i="5" s="1"/>
  <c r="K919" i="5"/>
  <c r="K918" i="5" s="1"/>
  <c r="J919" i="5"/>
  <c r="J918" i="5" s="1"/>
  <c r="I919" i="5"/>
  <c r="I918" i="5" s="1"/>
  <c r="P915" i="5"/>
  <c r="O915" i="5"/>
  <c r="N915" i="5"/>
  <c r="M915" i="5"/>
  <c r="L915" i="5"/>
  <c r="K915" i="5"/>
  <c r="J915" i="5"/>
  <c r="I915" i="5"/>
  <c r="P910" i="5"/>
  <c r="O910" i="5"/>
  <c r="N910" i="5"/>
  <c r="M910" i="5"/>
  <c r="L910" i="5"/>
  <c r="K910" i="5"/>
  <c r="J910" i="5"/>
  <c r="I910" i="5"/>
  <c r="P905" i="5"/>
  <c r="O905" i="5"/>
  <c r="O904" i="5" s="1"/>
  <c r="N905" i="5"/>
  <c r="N904" i="5" s="1"/>
  <c r="M905" i="5"/>
  <c r="M904" i="5" s="1"/>
  <c r="L905" i="5"/>
  <c r="L904" i="5" s="1"/>
  <c r="K905" i="5"/>
  <c r="K904" i="5" s="1"/>
  <c r="J905" i="5"/>
  <c r="J904" i="5" s="1"/>
  <c r="I905" i="5"/>
  <c r="P901" i="5"/>
  <c r="O901" i="5"/>
  <c r="N901" i="5"/>
  <c r="M901" i="5"/>
  <c r="L901" i="5"/>
  <c r="K901" i="5"/>
  <c r="J901" i="5"/>
  <c r="I901" i="5"/>
  <c r="P898" i="5"/>
  <c r="O898" i="5"/>
  <c r="N898" i="5"/>
  <c r="M898" i="5"/>
  <c r="L898" i="5"/>
  <c r="K898" i="5"/>
  <c r="J898" i="5"/>
  <c r="I898" i="5"/>
  <c r="P895" i="5"/>
  <c r="O895" i="5"/>
  <c r="N895" i="5"/>
  <c r="M895" i="5"/>
  <c r="L895" i="5"/>
  <c r="K895" i="5"/>
  <c r="J895" i="5"/>
  <c r="I895" i="5"/>
  <c r="P892" i="5"/>
  <c r="O892" i="5"/>
  <c r="N892" i="5"/>
  <c r="M892" i="5"/>
  <c r="L892" i="5"/>
  <c r="K892" i="5"/>
  <c r="J892" i="5"/>
  <c r="I892" i="5"/>
  <c r="P887" i="5"/>
  <c r="O887" i="5"/>
  <c r="N887" i="5"/>
  <c r="M887" i="5"/>
  <c r="L887" i="5"/>
  <c r="K887" i="5"/>
  <c r="J887" i="5"/>
  <c r="I887" i="5"/>
  <c r="P883" i="5"/>
  <c r="O883" i="5"/>
  <c r="N883" i="5"/>
  <c r="M883" i="5"/>
  <c r="L883" i="5"/>
  <c r="K883" i="5"/>
  <c r="J883" i="5"/>
  <c r="I883" i="5"/>
  <c r="P870" i="5"/>
  <c r="P869" i="5" s="1"/>
  <c r="O870" i="5"/>
  <c r="N870" i="5"/>
  <c r="M870" i="5"/>
  <c r="L870" i="5"/>
  <c r="L869" i="5" s="1"/>
  <c r="K870" i="5"/>
  <c r="K869" i="5" s="1"/>
  <c r="J870" i="5"/>
  <c r="J869" i="5" s="1"/>
  <c r="I870" i="5"/>
  <c r="I869" i="5" s="1"/>
  <c r="P861" i="5"/>
  <c r="O861" i="5"/>
  <c r="N861" i="5"/>
  <c r="M861" i="5"/>
  <c r="L861" i="5"/>
  <c r="K861" i="5"/>
  <c r="J861" i="5"/>
  <c r="I861" i="5"/>
  <c r="P855" i="5"/>
  <c r="O855" i="5"/>
  <c r="N855" i="5"/>
  <c r="M855" i="5"/>
  <c r="L855" i="5"/>
  <c r="K855" i="5"/>
  <c r="J855" i="5"/>
  <c r="I855" i="5"/>
  <c r="P851" i="5"/>
  <c r="O851" i="5"/>
  <c r="N851" i="5"/>
  <c r="M851" i="5"/>
  <c r="L851" i="5"/>
  <c r="K851" i="5"/>
  <c r="J851" i="5"/>
  <c r="I851" i="5"/>
  <c r="P845" i="5"/>
  <c r="P844" i="5" s="1"/>
  <c r="O845" i="5"/>
  <c r="O844" i="5" s="1"/>
  <c r="N845" i="5"/>
  <c r="M845" i="5"/>
  <c r="M844" i="5" s="1"/>
  <c r="L845" i="5"/>
  <c r="L844" i="5" s="1"/>
  <c r="K845" i="5"/>
  <c r="K844" i="5" s="1"/>
  <c r="J845" i="5"/>
  <c r="I845" i="5"/>
  <c r="I844" i="5" s="1"/>
  <c r="P842" i="5"/>
  <c r="O842" i="5"/>
  <c r="N842" i="5"/>
  <c r="M842" i="5"/>
  <c r="L842" i="5"/>
  <c r="K842" i="5"/>
  <c r="J842" i="5"/>
  <c r="I842" i="5"/>
  <c r="P837" i="5"/>
  <c r="O837" i="5"/>
  <c r="N837" i="5"/>
  <c r="M837" i="5"/>
  <c r="L837" i="5"/>
  <c r="K837" i="5"/>
  <c r="J837" i="5"/>
  <c r="I837" i="5"/>
  <c r="P832" i="5"/>
  <c r="O832" i="5"/>
  <c r="N832" i="5"/>
  <c r="M832" i="5"/>
  <c r="L832" i="5"/>
  <c r="K832" i="5"/>
  <c r="J832" i="5"/>
  <c r="I832" i="5"/>
  <c r="P829" i="5"/>
  <c r="O829" i="5"/>
  <c r="N829" i="5"/>
  <c r="M829" i="5"/>
  <c r="L829" i="5"/>
  <c r="K829" i="5"/>
  <c r="J829" i="5"/>
  <c r="I829" i="5"/>
  <c r="P824" i="5"/>
  <c r="O824" i="5"/>
  <c r="N824" i="5"/>
  <c r="M824" i="5"/>
  <c r="L824" i="5"/>
  <c r="K824" i="5"/>
  <c r="J824" i="5"/>
  <c r="I824" i="5"/>
  <c r="P811" i="5"/>
  <c r="O811" i="5"/>
  <c r="N811" i="5"/>
  <c r="M811" i="5"/>
  <c r="L811" i="5"/>
  <c r="K811" i="5"/>
  <c r="J811" i="5"/>
  <c r="I811" i="5"/>
  <c r="P806" i="5"/>
  <c r="O806" i="5"/>
  <c r="N806" i="5"/>
  <c r="M806" i="5"/>
  <c r="L806" i="5"/>
  <c r="K806" i="5"/>
  <c r="J806" i="5"/>
  <c r="I806" i="5"/>
  <c r="P801" i="5"/>
  <c r="O801" i="5"/>
  <c r="N801" i="5"/>
  <c r="M801" i="5"/>
  <c r="L801" i="5"/>
  <c r="K801" i="5"/>
  <c r="J801" i="5"/>
  <c r="I801" i="5"/>
  <c r="P796" i="5"/>
  <c r="O796" i="5"/>
  <c r="N796" i="5"/>
  <c r="M796" i="5"/>
  <c r="L796" i="5"/>
  <c r="K796" i="5"/>
  <c r="J796" i="5"/>
  <c r="I796" i="5"/>
  <c r="P790" i="5"/>
  <c r="P789" i="5" s="1"/>
  <c r="O790" i="5"/>
  <c r="N790" i="5"/>
  <c r="N789" i="5" s="1"/>
  <c r="M790" i="5"/>
  <c r="M789" i="5" s="1"/>
  <c r="L790" i="5"/>
  <c r="L789" i="5" s="1"/>
  <c r="K790" i="5"/>
  <c r="K789" i="5" s="1"/>
  <c r="J790" i="5"/>
  <c r="I790" i="5"/>
  <c r="I789" i="5" s="1"/>
  <c r="P782" i="5"/>
  <c r="O782" i="5"/>
  <c r="N782" i="5"/>
  <c r="M782" i="5"/>
  <c r="L782" i="5"/>
  <c r="K782" i="5"/>
  <c r="J782" i="5"/>
  <c r="I782" i="5"/>
  <c r="P775" i="5"/>
  <c r="O775" i="5"/>
  <c r="N775" i="5"/>
  <c r="M775" i="5"/>
  <c r="L775" i="5"/>
  <c r="K775" i="5"/>
  <c r="J775" i="5"/>
  <c r="I775" i="5"/>
  <c r="P766" i="5"/>
  <c r="O766" i="5"/>
  <c r="N766" i="5"/>
  <c r="M766" i="5"/>
  <c r="L766" i="5"/>
  <c r="K766" i="5"/>
  <c r="J766" i="5"/>
  <c r="I766" i="5"/>
  <c r="P758" i="5"/>
  <c r="O758" i="5"/>
  <c r="N758" i="5"/>
  <c r="M758" i="5"/>
  <c r="L758" i="5"/>
  <c r="K758" i="5"/>
  <c r="J758" i="5"/>
  <c r="I758" i="5"/>
  <c r="P749" i="5"/>
  <c r="O749" i="5"/>
  <c r="N749" i="5"/>
  <c r="M749" i="5"/>
  <c r="L749" i="5"/>
  <c r="K749" i="5"/>
  <c r="J749" i="5"/>
  <c r="I749" i="5"/>
  <c r="P740" i="5"/>
  <c r="O740" i="5"/>
  <c r="N740" i="5"/>
  <c r="M740" i="5"/>
  <c r="L740" i="5"/>
  <c r="K740" i="5"/>
  <c r="J740" i="5"/>
  <c r="I740" i="5"/>
  <c r="P731" i="5"/>
  <c r="P730" i="5" s="1"/>
  <c r="O731" i="5"/>
  <c r="O730" i="5" s="1"/>
  <c r="N731" i="5"/>
  <c r="N730" i="5" s="1"/>
  <c r="M731" i="5"/>
  <c r="L731" i="5"/>
  <c r="K731" i="5"/>
  <c r="K730" i="5" s="1"/>
  <c r="J731" i="5"/>
  <c r="I731" i="5"/>
  <c r="I730" i="5" s="1"/>
  <c r="P716" i="5"/>
  <c r="O716" i="5"/>
  <c r="N716" i="5"/>
  <c r="M716" i="5"/>
  <c r="L716" i="5"/>
  <c r="K716" i="5"/>
  <c r="J716" i="5"/>
  <c r="I716" i="5"/>
  <c r="P705" i="5"/>
  <c r="P704" i="5" s="1"/>
  <c r="O705" i="5"/>
  <c r="O704" i="5" s="1"/>
  <c r="N705" i="5"/>
  <c r="M705" i="5"/>
  <c r="L705" i="5"/>
  <c r="L704" i="5" s="1"/>
  <c r="K705" i="5"/>
  <c r="K704" i="5" s="1"/>
  <c r="J705" i="5"/>
  <c r="I705" i="5"/>
  <c r="I704" i="5" s="1"/>
  <c r="P696" i="5"/>
  <c r="O696" i="5"/>
  <c r="N696" i="5"/>
  <c r="N695" i="5" s="1"/>
  <c r="M696" i="5"/>
  <c r="M695" i="5" s="1"/>
  <c r="L696" i="5"/>
  <c r="L695" i="5" s="1"/>
  <c r="K696" i="5"/>
  <c r="K695" i="5" s="1"/>
  <c r="J696" i="5"/>
  <c r="J695" i="5" s="1"/>
  <c r="I696" i="5"/>
  <c r="I695" i="5" s="1"/>
  <c r="P695" i="5"/>
  <c r="O695" i="5"/>
  <c r="P689" i="5"/>
  <c r="P688" i="5" s="1"/>
  <c r="O689" i="5"/>
  <c r="O688" i="5" s="1"/>
  <c r="N689" i="5"/>
  <c r="N688" i="5" s="1"/>
  <c r="M689" i="5"/>
  <c r="M688" i="5" s="1"/>
  <c r="L689" i="5"/>
  <c r="L688" i="5" s="1"/>
  <c r="K689" i="5"/>
  <c r="K688" i="5" s="1"/>
  <c r="J689" i="5"/>
  <c r="J688" i="5" s="1"/>
  <c r="I689" i="5"/>
  <c r="I688" i="5" s="1"/>
  <c r="P683" i="5"/>
  <c r="P682" i="5" s="1"/>
  <c r="O683" i="5"/>
  <c r="O682" i="5" s="1"/>
  <c r="N683" i="5"/>
  <c r="N682" i="5" s="1"/>
  <c r="M683" i="5"/>
  <c r="M682" i="5" s="1"/>
  <c r="L683" i="5"/>
  <c r="L682" i="5" s="1"/>
  <c r="K683" i="5"/>
  <c r="K682" i="5" s="1"/>
  <c r="J683" i="5"/>
  <c r="J682" i="5" s="1"/>
  <c r="I683" i="5"/>
  <c r="I682" i="5" s="1"/>
  <c r="P668" i="5"/>
  <c r="M668" i="5"/>
  <c r="L668" i="5"/>
  <c r="K668" i="5"/>
  <c r="J668" i="5"/>
  <c r="I668" i="5"/>
  <c r="P630" i="5"/>
  <c r="O630" i="5"/>
  <c r="O629" i="5" s="1"/>
  <c r="M630" i="5"/>
  <c r="L630" i="5"/>
  <c r="K630" i="5"/>
  <c r="J630" i="5"/>
  <c r="I630" i="5"/>
  <c r="P620" i="5"/>
  <c r="P619" i="5" s="1"/>
  <c r="O620" i="5"/>
  <c r="O619" i="5" s="1"/>
  <c r="N620" i="5"/>
  <c r="N619" i="5" s="1"/>
  <c r="M620" i="5"/>
  <c r="M619" i="5" s="1"/>
  <c r="L620" i="5"/>
  <c r="L619" i="5" s="1"/>
  <c r="K620" i="5"/>
  <c r="K619" i="5" s="1"/>
  <c r="J620" i="5"/>
  <c r="J619" i="5" s="1"/>
  <c r="I620" i="5"/>
  <c r="I619" i="5" s="1"/>
  <c r="P616" i="5"/>
  <c r="O616" i="5"/>
  <c r="N616" i="5"/>
  <c r="M616" i="5"/>
  <c r="L616" i="5"/>
  <c r="K616" i="5"/>
  <c r="J616" i="5"/>
  <c r="I616" i="5"/>
  <c r="P608" i="5"/>
  <c r="O608" i="5"/>
  <c r="N608" i="5"/>
  <c r="M608" i="5"/>
  <c r="L608" i="5"/>
  <c r="K608" i="5"/>
  <c r="J608" i="5"/>
  <c r="I608" i="5"/>
  <c r="P604" i="5"/>
  <c r="P603" i="5" s="1"/>
  <c r="O604" i="5"/>
  <c r="O603" i="5" s="1"/>
  <c r="N604" i="5"/>
  <c r="N603" i="5" s="1"/>
  <c r="M604" i="5"/>
  <c r="M603" i="5" s="1"/>
  <c r="L604" i="5"/>
  <c r="L603" i="5" s="1"/>
  <c r="K604" i="5"/>
  <c r="K603" i="5" s="1"/>
  <c r="J604" i="5"/>
  <c r="I604" i="5"/>
  <c r="I603" i="5" s="1"/>
  <c r="P576" i="5"/>
  <c r="P575" i="5" s="1"/>
  <c r="O576" i="5"/>
  <c r="O575" i="5" s="1"/>
  <c r="N576" i="5"/>
  <c r="N575" i="5" s="1"/>
  <c r="M576" i="5"/>
  <c r="M575" i="5" s="1"/>
  <c r="L576" i="5"/>
  <c r="L575" i="5" s="1"/>
  <c r="K576" i="5"/>
  <c r="K575" i="5" s="1"/>
  <c r="J576" i="5"/>
  <c r="J575" i="5" s="1"/>
  <c r="I576" i="5"/>
  <c r="I575" i="5" s="1"/>
  <c r="P571" i="5"/>
  <c r="P570" i="5" s="1"/>
  <c r="O571" i="5"/>
  <c r="O570" i="5" s="1"/>
  <c r="N571" i="5"/>
  <c r="N570" i="5" s="1"/>
  <c r="M571" i="5"/>
  <c r="M570" i="5" s="1"/>
  <c r="L571" i="5"/>
  <c r="L570" i="5" s="1"/>
  <c r="K571" i="5"/>
  <c r="K570" i="5" s="1"/>
  <c r="J571" i="5"/>
  <c r="J570" i="5" s="1"/>
  <c r="I571" i="5"/>
  <c r="I570" i="5" s="1"/>
  <c r="P562" i="5"/>
  <c r="O562" i="5"/>
  <c r="N562" i="5"/>
  <c r="M562" i="5"/>
  <c r="L562" i="5"/>
  <c r="K562" i="5"/>
  <c r="J562" i="5"/>
  <c r="I562" i="5"/>
  <c r="P557" i="5"/>
  <c r="O557" i="5"/>
  <c r="N557" i="5"/>
  <c r="M557" i="5"/>
  <c r="L557" i="5"/>
  <c r="K557" i="5"/>
  <c r="J557" i="5"/>
  <c r="I557" i="5"/>
  <c r="P550" i="5"/>
  <c r="O550" i="5"/>
  <c r="N550" i="5"/>
  <c r="M550" i="5"/>
  <c r="L550" i="5"/>
  <c r="K550" i="5"/>
  <c r="J550" i="5"/>
  <c r="I550" i="5"/>
  <c r="P546" i="5"/>
  <c r="O546" i="5"/>
  <c r="N546" i="5"/>
  <c r="M546" i="5"/>
  <c r="M545" i="5" s="1"/>
  <c r="L546" i="5"/>
  <c r="K546" i="5"/>
  <c r="K545" i="5" s="1"/>
  <c r="J546" i="5"/>
  <c r="J545" i="5" s="1"/>
  <c r="I546" i="5"/>
  <c r="I545" i="5" s="1"/>
  <c r="P541" i="5"/>
  <c r="O541" i="5"/>
  <c r="N541" i="5"/>
  <c r="M541" i="5"/>
  <c r="L541" i="5"/>
  <c r="K541" i="5"/>
  <c r="J541" i="5"/>
  <c r="I541" i="5"/>
  <c r="P537" i="5"/>
  <c r="P536" i="5" s="1"/>
  <c r="O537" i="5"/>
  <c r="O536" i="5" s="1"/>
  <c r="N537" i="5"/>
  <c r="N536" i="5" s="1"/>
  <c r="M537" i="5"/>
  <c r="M536" i="5" s="1"/>
  <c r="L537" i="5"/>
  <c r="K537" i="5"/>
  <c r="K536" i="5" s="1"/>
  <c r="J537" i="5"/>
  <c r="J536" i="5" s="1"/>
  <c r="I537" i="5"/>
  <c r="I536" i="5" s="1"/>
  <c r="P530" i="5"/>
  <c r="O530" i="5"/>
  <c r="N530" i="5"/>
  <c r="M530" i="5"/>
  <c r="L530" i="5"/>
  <c r="K530" i="5"/>
  <c r="J530" i="5"/>
  <c r="I530" i="5"/>
  <c r="P527" i="5"/>
  <c r="O527" i="5"/>
  <c r="N527" i="5"/>
  <c r="M527" i="5"/>
  <c r="L527" i="5"/>
  <c r="K527" i="5"/>
  <c r="J527" i="5"/>
  <c r="I527" i="5"/>
  <c r="P523" i="5"/>
  <c r="O523" i="5"/>
  <c r="O522" i="5" s="1"/>
  <c r="N523" i="5"/>
  <c r="N522" i="5" s="1"/>
  <c r="M523" i="5"/>
  <c r="L523" i="5"/>
  <c r="K523" i="5"/>
  <c r="J523" i="5"/>
  <c r="J522" i="5" s="1"/>
  <c r="I523" i="5"/>
  <c r="I522" i="5" s="1"/>
  <c r="P516" i="5"/>
  <c r="O516" i="5"/>
  <c r="N516" i="5"/>
  <c r="M516" i="5"/>
  <c r="L516" i="5"/>
  <c r="K516" i="5"/>
  <c r="J516" i="5"/>
  <c r="I516" i="5"/>
  <c r="P512" i="5"/>
  <c r="O512" i="5"/>
  <c r="O511" i="5" s="1"/>
  <c r="N512" i="5"/>
  <c r="N511" i="5" s="1"/>
  <c r="M512" i="5"/>
  <c r="M511" i="5" s="1"/>
  <c r="L512" i="5"/>
  <c r="L511" i="5" s="1"/>
  <c r="K512" i="5"/>
  <c r="K511" i="5" s="1"/>
  <c r="J512" i="5"/>
  <c r="I512" i="5"/>
  <c r="I511" i="5" s="1"/>
  <c r="P511" i="5"/>
  <c r="P506" i="5"/>
  <c r="O506" i="5"/>
  <c r="N506" i="5"/>
  <c r="M506" i="5"/>
  <c r="L506" i="5"/>
  <c r="K506" i="5"/>
  <c r="J506" i="5"/>
  <c r="I506" i="5"/>
  <c r="P502" i="5"/>
  <c r="O502" i="5"/>
  <c r="O501" i="5" s="1"/>
  <c r="N502" i="5"/>
  <c r="N501" i="5" s="1"/>
  <c r="M502" i="5"/>
  <c r="M501" i="5" s="1"/>
  <c r="L502" i="5"/>
  <c r="L501" i="5" s="1"/>
  <c r="K502" i="5"/>
  <c r="K501" i="5" s="1"/>
  <c r="J502" i="5"/>
  <c r="J501" i="5" s="1"/>
  <c r="I502" i="5"/>
  <c r="I501" i="5" s="1"/>
  <c r="P501" i="5"/>
  <c r="P495" i="5"/>
  <c r="O495" i="5"/>
  <c r="M495" i="5"/>
  <c r="L495" i="5"/>
  <c r="K495" i="5"/>
  <c r="J495" i="5"/>
  <c r="I495" i="5"/>
  <c r="M491" i="5"/>
  <c r="L491" i="5"/>
  <c r="K491" i="5"/>
  <c r="J491" i="5"/>
  <c r="I491" i="5"/>
  <c r="O487" i="5"/>
  <c r="N487" i="5"/>
  <c r="M487" i="5"/>
  <c r="L487" i="5"/>
  <c r="K487" i="5"/>
  <c r="J487" i="5"/>
  <c r="I487" i="5"/>
  <c r="P481" i="5"/>
  <c r="O481" i="5"/>
  <c r="N481" i="5"/>
  <c r="M481" i="5"/>
  <c r="L481" i="5"/>
  <c r="K481" i="5"/>
  <c r="J481" i="5"/>
  <c r="I481" i="5"/>
  <c r="P470" i="5"/>
  <c r="O470" i="5"/>
  <c r="O469" i="5" s="1"/>
  <c r="N470" i="5"/>
  <c r="N469" i="5" s="1"/>
  <c r="M470" i="5"/>
  <c r="M469" i="5" s="1"/>
  <c r="L470" i="5"/>
  <c r="L469" i="5" s="1"/>
  <c r="K470" i="5"/>
  <c r="K469" i="5" s="1"/>
  <c r="J470" i="5"/>
  <c r="I470" i="5"/>
  <c r="I469" i="5" s="1"/>
  <c r="P457" i="5"/>
  <c r="O457" i="5"/>
  <c r="N457" i="5"/>
  <c r="M457" i="5"/>
  <c r="L457" i="5"/>
  <c r="K457" i="5"/>
  <c r="J457" i="5"/>
  <c r="I457" i="5"/>
  <c r="P440" i="5"/>
  <c r="O440" i="5"/>
  <c r="N440" i="5"/>
  <c r="M440" i="5"/>
  <c r="L440" i="5"/>
  <c r="K440" i="5"/>
  <c r="J440" i="5"/>
  <c r="I440" i="5"/>
  <c r="P433" i="5"/>
  <c r="O433" i="5"/>
  <c r="N433" i="5"/>
  <c r="M433" i="5"/>
  <c r="L433" i="5"/>
  <c r="K433" i="5"/>
  <c r="J433" i="5"/>
  <c r="I433" i="5"/>
  <c r="P428" i="5"/>
  <c r="O428" i="5"/>
  <c r="N428" i="5"/>
  <c r="M428" i="5"/>
  <c r="L428" i="5"/>
  <c r="K428" i="5"/>
  <c r="J428" i="5"/>
  <c r="I428" i="5"/>
  <c r="P421" i="5"/>
  <c r="O421" i="5"/>
  <c r="N421" i="5"/>
  <c r="M421" i="5"/>
  <c r="L421" i="5"/>
  <c r="K421" i="5"/>
  <c r="J421" i="5"/>
  <c r="I421" i="5"/>
  <c r="P410" i="5"/>
  <c r="O410" i="5"/>
  <c r="N410" i="5"/>
  <c r="M410" i="5"/>
  <c r="L410" i="5"/>
  <c r="K410" i="5"/>
  <c r="J410" i="5"/>
  <c r="I410" i="5"/>
  <c r="P393" i="5"/>
  <c r="O393" i="5"/>
  <c r="N393" i="5"/>
  <c r="M393" i="5"/>
  <c r="L393" i="5"/>
  <c r="K393" i="5"/>
  <c r="J393" i="5"/>
  <c r="I393" i="5"/>
  <c r="P386" i="5"/>
  <c r="O386" i="5"/>
  <c r="N386" i="5"/>
  <c r="M386" i="5"/>
  <c r="L386" i="5"/>
  <c r="K386" i="5"/>
  <c r="J386" i="5"/>
  <c r="I386" i="5"/>
  <c r="P321" i="5"/>
  <c r="P320" i="5" s="1"/>
  <c r="O321" i="5"/>
  <c r="O320" i="5" s="1"/>
  <c r="N321" i="5"/>
  <c r="N320" i="5" s="1"/>
  <c r="M321" i="5"/>
  <c r="M320" i="5" s="1"/>
  <c r="L321" i="5"/>
  <c r="K321" i="5"/>
  <c r="K320" i="5" s="1"/>
  <c r="J321" i="5"/>
  <c r="J320" i="5" s="1"/>
  <c r="I321" i="5"/>
  <c r="P314" i="5"/>
  <c r="O314" i="5"/>
  <c r="N314" i="5"/>
  <c r="M314" i="5"/>
  <c r="L314" i="5"/>
  <c r="K314" i="5"/>
  <c r="J314" i="5"/>
  <c r="I314" i="5"/>
  <c r="P284" i="5"/>
  <c r="P283" i="5" s="1"/>
  <c r="O284" i="5"/>
  <c r="O283" i="5" s="1"/>
  <c r="N284" i="5"/>
  <c r="M284" i="5"/>
  <c r="M283" i="5" s="1"/>
  <c r="L284" i="5"/>
  <c r="L283" i="5" s="1"/>
  <c r="K284" i="5"/>
  <c r="K283" i="5" s="1"/>
  <c r="J284" i="5"/>
  <c r="J283" i="5" s="1"/>
  <c r="I284" i="5"/>
  <c r="I283" i="5" s="1"/>
  <c r="P275" i="5"/>
  <c r="O275" i="5"/>
  <c r="N275" i="5"/>
  <c r="M275" i="5"/>
  <c r="L275" i="5"/>
  <c r="K275" i="5"/>
  <c r="J275" i="5"/>
  <c r="I275" i="5"/>
  <c r="P226" i="5"/>
  <c r="O226" i="5"/>
  <c r="N226" i="5"/>
  <c r="M226" i="5"/>
  <c r="L226" i="5"/>
  <c r="K226" i="5"/>
  <c r="J226" i="5"/>
  <c r="I226" i="5"/>
  <c r="P214" i="5"/>
  <c r="O214" i="5"/>
  <c r="N214" i="5"/>
  <c r="M214" i="5"/>
  <c r="L214" i="5"/>
  <c r="K214" i="5"/>
  <c r="J214" i="5"/>
  <c r="I214" i="5"/>
  <c r="P207" i="5"/>
  <c r="O207" i="5"/>
  <c r="N207" i="5"/>
  <c r="M207" i="5"/>
  <c r="M206" i="5" s="1"/>
  <c r="L207" i="5"/>
  <c r="L206" i="5" s="1"/>
  <c r="K207" i="5"/>
  <c r="J207" i="5"/>
  <c r="I207" i="5"/>
  <c r="I206" i="5" s="1"/>
  <c r="P198" i="5"/>
  <c r="O198" i="5"/>
  <c r="M198" i="5"/>
  <c r="L198" i="5"/>
  <c r="K198" i="5"/>
  <c r="J198" i="5"/>
  <c r="I198" i="5"/>
  <c r="P190" i="5"/>
  <c r="O190" i="5"/>
  <c r="N190" i="5"/>
  <c r="M190" i="5"/>
  <c r="L190" i="5"/>
  <c r="K190" i="5"/>
  <c r="J190" i="5"/>
  <c r="I190" i="5"/>
  <c r="P184" i="5"/>
  <c r="O184" i="5"/>
  <c r="N184" i="5"/>
  <c r="N183" i="5" s="1"/>
  <c r="M184" i="5"/>
  <c r="M183" i="5" s="1"/>
  <c r="L184" i="5"/>
  <c r="K184" i="5"/>
  <c r="J184" i="5"/>
  <c r="J183" i="5" s="1"/>
  <c r="I184" i="5"/>
  <c r="I183" i="5" s="1"/>
  <c r="P172" i="5"/>
  <c r="P171" i="5" s="1"/>
  <c r="O172" i="5"/>
  <c r="O171" i="5" s="1"/>
  <c r="N172" i="5"/>
  <c r="N171" i="5" s="1"/>
  <c r="M172" i="5"/>
  <c r="M171" i="5" s="1"/>
  <c r="L172" i="5"/>
  <c r="L171" i="5" s="1"/>
  <c r="K172" i="5"/>
  <c r="K171" i="5" s="1"/>
  <c r="J172" i="5"/>
  <c r="J171" i="5" s="1"/>
  <c r="I172" i="5"/>
  <c r="I171" i="5" s="1"/>
  <c r="P149" i="5"/>
  <c r="O149" i="5"/>
  <c r="N149" i="5"/>
  <c r="M149" i="5"/>
  <c r="L149" i="5"/>
  <c r="K149" i="5"/>
  <c r="J149" i="5"/>
  <c r="I149" i="5"/>
  <c r="P135" i="5"/>
  <c r="O135" i="5"/>
  <c r="N135" i="5"/>
  <c r="M135" i="5"/>
  <c r="L135" i="5"/>
  <c r="K135" i="5"/>
  <c r="J135" i="5"/>
  <c r="I135" i="5"/>
  <c r="P124" i="5"/>
  <c r="O124" i="5"/>
  <c r="N124" i="5"/>
  <c r="M124" i="5"/>
  <c r="L124" i="5"/>
  <c r="L123" i="5" s="1"/>
  <c r="K124" i="5"/>
  <c r="K123" i="5" s="1"/>
  <c r="J124" i="5"/>
  <c r="J123" i="5" s="1"/>
  <c r="I124" i="5"/>
  <c r="I123" i="5" s="1"/>
  <c r="P120" i="5"/>
  <c r="O120" i="5"/>
  <c r="N120" i="5"/>
  <c r="M120" i="5"/>
  <c r="L120" i="5"/>
  <c r="K120" i="5"/>
  <c r="J120" i="5"/>
  <c r="I120" i="5"/>
  <c r="P115" i="5"/>
  <c r="O115" i="5"/>
  <c r="N115" i="5"/>
  <c r="M115" i="5"/>
  <c r="L115" i="5"/>
  <c r="K115" i="5"/>
  <c r="J115" i="5"/>
  <c r="I115" i="5"/>
  <c r="P109" i="5"/>
  <c r="O109" i="5"/>
  <c r="N109" i="5"/>
  <c r="M109" i="5"/>
  <c r="L109" i="5"/>
  <c r="K109" i="5"/>
  <c r="J109" i="5"/>
  <c r="I109" i="5"/>
  <c r="P104" i="5"/>
  <c r="O104" i="5"/>
  <c r="N104" i="5"/>
  <c r="M104" i="5"/>
  <c r="L104" i="5"/>
  <c r="K104" i="5"/>
  <c r="J104" i="5"/>
  <c r="I104" i="5"/>
  <c r="P94" i="5"/>
  <c r="O94" i="5"/>
  <c r="O93" i="5" s="1"/>
  <c r="N94" i="5"/>
  <c r="N93" i="5" s="1"/>
  <c r="M94" i="5"/>
  <c r="M93" i="5" s="1"/>
  <c r="L94" i="5"/>
  <c r="L93" i="5" s="1"/>
  <c r="K94" i="5"/>
  <c r="K93" i="5" s="1"/>
  <c r="J94" i="5"/>
  <c r="J93" i="5" s="1"/>
  <c r="I94" i="5"/>
  <c r="I93" i="5" s="1"/>
  <c r="P76" i="5"/>
  <c r="O76" i="5"/>
  <c r="N76" i="5"/>
  <c r="M76" i="5"/>
  <c r="L76" i="5"/>
  <c r="K76" i="5"/>
  <c r="J76" i="5"/>
  <c r="I76" i="5"/>
  <c r="P69" i="5"/>
  <c r="O69" i="5"/>
  <c r="N69" i="5"/>
  <c r="M69" i="5"/>
  <c r="L69" i="5"/>
  <c r="K69" i="5"/>
  <c r="J69" i="5"/>
  <c r="I69" i="5"/>
  <c r="P56" i="5"/>
  <c r="P55" i="5" s="1"/>
  <c r="O56" i="5"/>
  <c r="N56" i="5"/>
  <c r="N55" i="5" s="1"/>
  <c r="M56" i="5"/>
  <c r="M55" i="5" s="1"/>
  <c r="L56" i="5"/>
  <c r="L55" i="5" s="1"/>
  <c r="K56" i="5"/>
  <c r="K55" i="5" s="1"/>
  <c r="J56" i="5"/>
  <c r="J55" i="5" s="1"/>
  <c r="I56" i="5"/>
  <c r="I55" i="5" s="1"/>
  <c r="P33" i="5"/>
  <c r="O33" i="5"/>
  <c r="N33" i="5"/>
  <c r="M33" i="5"/>
  <c r="L33" i="5"/>
  <c r="K33" i="5"/>
  <c r="J33" i="5"/>
  <c r="I33" i="5"/>
  <c r="P23" i="5"/>
  <c r="O23" i="5"/>
  <c r="N23" i="5"/>
  <c r="M23" i="5"/>
  <c r="L23" i="5"/>
  <c r="K23" i="5"/>
  <c r="J23" i="5"/>
  <c r="I23" i="5"/>
  <c r="P15" i="5"/>
  <c r="O15" i="5"/>
  <c r="N15" i="5"/>
  <c r="N14" i="5" s="1"/>
  <c r="N13" i="5" s="1"/>
  <c r="M15" i="5"/>
  <c r="M14" i="5" s="1"/>
  <c r="M13" i="5" s="1"/>
  <c r="L15" i="5"/>
  <c r="K15" i="5"/>
  <c r="K14" i="5" s="1"/>
  <c r="K13" i="5" s="1"/>
  <c r="J15" i="5"/>
  <c r="J14" i="5" s="1"/>
  <c r="J13" i="5" s="1"/>
  <c r="I15" i="5"/>
  <c r="I14" i="5" s="1"/>
  <c r="I13" i="5" s="1"/>
  <c r="AA1571" i="4"/>
  <c r="X1571" i="4"/>
  <c r="V1571" i="4"/>
  <c r="T1571" i="4"/>
  <c r="N1571" i="4"/>
  <c r="AC1567" i="4"/>
  <c r="AC1566" i="4" s="1"/>
  <c r="AC1565" i="4" s="1"/>
  <c r="AB1567" i="4"/>
  <c r="AB1566" i="4" s="1"/>
  <c r="AB1565" i="4" s="1"/>
  <c r="Z1567" i="4"/>
  <c r="Z1566" i="4" s="1"/>
  <c r="Z1565" i="4" s="1"/>
  <c r="Y1567" i="4"/>
  <c r="Y1566" i="4" s="1"/>
  <c r="Y1565" i="4" s="1"/>
  <c r="W1567" i="4"/>
  <c r="W1566" i="4" s="1"/>
  <c r="W1565" i="4" s="1"/>
  <c r="U1567" i="4"/>
  <c r="U1566" i="4" s="1"/>
  <c r="U1565" i="4" s="1"/>
  <c r="S1567" i="4"/>
  <c r="S1566" i="4" s="1"/>
  <c r="S1565" i="4" s="1"/>
  <c r="R1567" i="4"/>
  <c r="R1566" i="4" s="1"/>
  <c r="R1565" i="4" s="1"/>
  <c r="Q1567" i="4"/>
  <c r="Q1566" i="4" s="1"/>
  <c r="Q1565" i="4" s="1"/>
  <c r="P1567" i="4"/>
  <c r="P1566" i="4" s="1"/>
  <c r="P1565" i="4" s="1"/>
  <c r="M1567" i="4"/>
  <c r="M1566" i="4" s="1"/>
  <c r="M1565" i="4" s="1"/>
  <c r="AC1561" i="4"/>
  <c r="AB1561" i="4"/>
  <c r="Z1561" i="4"/>
  <c r="Y1561" i="4"/>
  <c r="W1561" i="4"/>
  <c r="U1561" i="4"/>
  <c r="S1561" i="4"/>
  <c r="S1560" i="4" s="1"/>
  <c r="S1559" i="4" s="1"/>
  <c r="R1561" i="4"/>
  <c r="R1560" i="4" s="1"/>
  <c r="R1559" i="4" s="1"/>
  <c r="Q1561" i="4"/>
  <c r="Q1560" i="4" s="1"/>
  <c r="Q1559" i="4" s="1"/>
  <c r="P1561" i="4"/>
  <c r="P1560" i="4" s="1"/>
  <c r="P1559" i="4" s="1"/>
  <c r="O1561" i="4"/>
  <c r="O1560" i="4" s="1"/>
  <c r="O1559" i="4" s="1"/>
  <c r="M1561" i="4"/>
  <c r="M1560" i="4" s="1"/>
  <c r="M1559" i="4" s="1"/>
  <c r="AC1560" i="4"/>
  <c r="AC1559" i="4" s="1"/>
  <c r="AB1560" i="4"/>
  <c r="AB1559" i="4" s="1"/>
  <c r="Z1560" i="4"/>
  <c r="Z1559" i="4" s="1"/>
  <c r="Y1560" i="4"/>
  <c r="Y1559" i="4" s="1"/>
  <c r="W1560" i="4"/>
  <c r="W1559" i="4" s="1"/>
  <c r="U1560" i="4"/>
  <c r="U1559" i="4" s="1"/>
  <c r="Y1557" i="4"/>
  <c r="W1557" i="4"/>
  <c r="Y1556" i="4"/>
  <c r="W1556" i="4"/>
  <c r="Y1555" i="4"/>
  <c r="W1555" i="4"/>
  <c r="Y1554" i="4"/>
  <c r="W1554" i="4"/>
  <c r="AC1553" i="4"/>
  <c r="AC1552" i="4" s="1"/>
  <c r="AC1551" i="4" s="1"/>
  <c r="AB1553" i="4"/>
  <c r="AB1552" i="4" s="1"/>
  <c r="AB1551" i="4" s="1"/>
  <c r="U1553" i="4"/>
  <c r="U1552" i="4" s="1"/>
  <c r="U1551" i="4" s="1"/>
  <c r="S1553" i="4"/>
  <c r="S1552" i="4" s="1"/>
  <c r="S1551" i="4" s="1"/>
  <c r="R1553" i="4"/>
  <c r="R1552" i="4" s="1"/>
  <c r="R1551" i="4" s="1"/>
  <c r="Q1553" i="4"/>
  <c r="Q1552" i="4" s="1"/>
  <c r="Q1551" i="4" s="1"/>
  <c r="P1553" i="4"/>
  <c r="P1552" i="4" s="1"/>
  <c r="P1551" i="4" s="1"/>
  <c r="O1553" i="4"/>
  <c r="O1552" i="4" s="1"/>
  <c r="O1551" i="4" s="1"/>
  <c r="M1553" i="4"/>
  <c r="M1552" i="4" s="1"/>
  <c r="M1551" i="4" s="1"/>
  <c r="AC1547" i="4"/>
  <c r="AC1546" i="4" s="1"/>
  <c r="AC1545" i="4" s="1"/>
  <c r="AB1547" i="4"/>
  <c r="AB1546" i="4" s="1"/>
  <c r="AB1545" i="4" s="1"/>
  <c r="Z1547" i="4"/>
  <c r="Z1546" i="4" s="1"/>
  <c r="Z1545" i="4" s="1"/>
  <c r="Y1547" i="4"/>
  <c r="Y1546" i="4" s="1"/>
  <c r="Y1545" i="4" s="1"/>
  <c r="W1547" i="4"/>
  <c r="W1546" i="4" s="1"/>
  <c r="W1545" i="4" s="1"/>
  <c r="U1547" i="4"/>
  <c r="U1546" i="4" s="1"/>
  <c r="U1545" i="4" s="1"/>
  <c r="S1547" i="4"/>
  <c r="S1546" i="4" s="1"/>
  <c r="S1545" i="4" s="1"/>
  <c r="R1547" i="4"/>
  <c r="R1546" i="4" s="1"/>
  <c r="R1545" i="4" s="1"/>
  <c r="Q1547" i="4"/>
  <c r="Q1546" i="4" s="1"/>
  <c r="Q1545" i="4" s="1"/>
  <c r="P1547" i="4"/>
  <c r="P1546" i="4" s="1"/>
  <c r="P1545" i="4" s="1"/>
  <c r="O1547" i="4"/>
  <c r="O1546" i="4" s="1"/>
  <c r="O1545" i="4" s="1"/>
  <c r="M1547" i="4"/>
  <c r="M1546" i="4" s="1"/>
  <c r="M1545" i="4" s="1"/>
  <c r="AC1541" i="4"/>
  <c r="AB1541" i="4"/>
  <c r="Z1541" i="4"/>
  <c r="Y1541" i="4"/>
  <c r="W1541" i="4"/>
  <c r="U1541" i="4"/>
  <c r="S1541" i="4"/>
  <c r="S1540" i="4" s="1"/>
  <c r="S1539" i="4" s="1"/>
  <c r="R1541" i="4"/>
  <c r="R1540" i="4" s="1"/>
  <c r="R1539" i="4" s="1"/>
  <c r="Q1541" i="4"/>
  <c r="Q1540" i="4" s="1"/>
  <c r="Q1539" i="4" s="1"/>
  <c r="P1541" i="4"/>
  <c r="P1540" i="4" s="1"/>
  <c r="P1539" i="4" s="1"/>
  <c r="O1541" i="4"/>
  <c r="O1540" i="4" s="1"/>
  <c r="O1539" i="4" s="1"/>
  <c r="M1541" i="4"/>
  <c r="M1540" i="4" s="1"/>
  <c r="M1539" i="4" s="1"/>
  <c r="AC1540" i="4"/>
  <c r="AC1539" i="4" s="1"/>
  <c r="AB1540" i="4"/>
  <c r="AB1539" i="4" s="1"/>
  <c r="Z1540" i="4"/>
  <c r="Z1539" i="4" s="1"/>
  <c r="Y1540" i="4"/>
  <c r="Y1539" i="4" s="1"/>
  <c r="W1540" i="4"/>
  <c r="W1539" i="4" s="1"/>
  <c r="U1540" i="4"/>
  <c r="U1539" i="4" s="1"/>
  <c r="AC1534" i="4"/>
  <c r="AC1533" i="4" s="1"/>
  <c r="AB1534" i="4"/>
  <c r="AB1533" i="4" s="1"/>
  <c r="Z1534" i="4"/>
  <c r="Z1533" i="4" s="1"/>
  <c r="Y1534" i="4"/>
  <c r="Y1533" i="4" s="1"/>
  <c r="W1534" i="4"/>
  <c r="W1533" i="4" s="1"/>
  <c r="U1534" i="4"/>
  <c r="U1533" i="4" s="1"/>
  <c r="S1534" i="4"/>
  <c r="S1533" i="4" s="1"/>
  <c r="R1534" i="4"/>
  <c r="R1533" i="4" s="1"/>
  <c r="Q1534" i="4"/>
  <c r="Q1533" i="4" s="1"/>
  <c r="P1534" i="4"/>
  <c r="P1533" i="4" s="1"/>
  <c r="M1534" i="4"/>
  <c r="M1533" i="4" s="1"/>
  <c r="AC1529" i="4"/>
  <c r="AB1529" i="4"/>
  <c r="Z1529" i="4"/>
  <c r="Y1529" i="4"/>
  <c r="W1529" i="4"/>
  <c r="U1529" i="4"/>
  <c r="S1529" i="4"/>
  <c r="R1529" i="4"/>
  <c r="Q1529" i="4"/>
  <c r="P1529" i="4"/>
  <c r="M1529" i="4"/>
  <c r="AC1525" i="4"/>
  <c r="AB1525" i="4"/>
  <c r="Z1525" i="4"/>
  <c r="Y1525" i="4"/>
  <c r="W1525" i="4"/>
  <c r="U1525" i="4"/>
  <c r="S1525" i="4"/>
  <c r="R1525" i="4"/>
  <c r="Q1525" i="4"/>
  <c r="P1525" i="4"/>
  <c r="M1525" i="4"/>
  <c r="AC1521" i="4"/>
  <c r="AB1521" i="4"/>
  <c r="Z1521" i="4"/>
  <c r="Y1521" i="4"/>
  <c r="W1521" i="4"/>
  <c r="U1521" i="4"/>
  <c r="S1521" i="4"/>
  <c r="R1521" i="4"/>
  <c r="Q1521" i="4"/>
  <c r="P1521" i="4"/>
  <c r="M1521" i="4"/>
  <c r="AC1517" i="4"/>
  <c r="AB1517" i="4"/>
  <c r="Z1517" i="4"/>
  <c r="Y1517" i="4"/>
  <c r="W1517" i="4"/>
  <c r="U1517" i="4"/>
  <c r="S1517" i="4"/>
  <c r="R1517" i="4"/>
  <c r="Q1517" i="4"/>
  <c r="P1517" i="4"/>
  <c r="M1517" i="4"/>
  <c r="AC1512" i="4"/>
  <c r="AB1512" i="4"/>
  <c r="Z1512" i="4"/>
  <c r="Y1512" i="4"/>
  <c r="W1512" i="4"/>
  <c r="U1512" i="4"/>
  <c r="S1512" i="4"/>
  <c r="R1512" i="4"/>
  <c r="Q1512" i="4"/>
  <c r="P1512" i="4"/>
  <c r="M1512" i="4"/>
  <c r="AC1508" i="4"/>
  <c r="AB1508" i="4"/>
  <c r="Z1508" i="4"/>
  <c r="Y1508" i="4"/>
  <c r="W1508" i="4"/>
  <c r="U1508" i="4"/>
  <c r="S1508" i="4"/>
  <c r="R1508" i="4"/>
  <c r="Q1508" i="4"/>
  <c r="P1508" i="4"/>
  <c r="M1508" i="4"/>
  <c r="AC1504" i="4"/>
  <c r="AB1504" i="4"/>
  <c r="Z1504" i="4"/>
  <c r="Y1504" i="4"/>
  <c r="W1504" i="4"/>
  <c r="U1504" i="4"/>
  <c r="S1504" i="4"/>
  <c r="R1504" i="4"/>
  <c r="Q1504" i="4"/>
  <c r="P1504" i="4"/>
  <c r="M1504" i="4"/>
  <c r="AC1500" i="4"/>
  <c r="AB1500" i="4"/>
  <c r="Z1500" i="4"/>
  <c r="Y1500" i="4"/>
  <c r="W1500" i="4"/>
  <c r="U1500" i="4"/>
  <c r="S1500" i="4"/>
  <c r="R1500" i="4"/>
  <c r="Q1500" i="4"/>
  <c r="P1500" i="4"/>
  <c r="M1500" i="4"/>
  <c r="AC1495" i="4"/>
  <c r="AB1495" i="4"/>
  <c r="Z1495" i="4"/>
  <c r="Y1495" i="4"/>
  <c r="W1495" i="4"/>
  <c r="U1495" i="4"/>
  <c r="S1495" i="4"/>
  <c r="R1495" i="4"/>
  <c r="Q1495" i="4"/>
  <c r="P1495" i="4"/>
  <c r="M1495" i="4"/>
  <c r="AC1491" i="4"/>
  <c r="AB1491" i="4"/>
  <c r="Z1491" i="4"/>
  <c r="Y1491" i="4"/>
  <c r="W1491" i="4"/>
  <c r="U1491" i="4"/>
  <c r="S1491" i="4"/>
  <c r="R1491" i="4"/>
  <c r="Q1491" i="4"/>
  <c r="P1491" i="4"/>
  <c r="M1491" i="4"/>
  <c r="AC1487" i="4"/>
  <c r="AB1487" i="4"/>
  <c r="Z1487" i="4"/>
  <c r="Y1487" i="4"/>
  <c r="W1487" i="4"/>
  <c r="U1487" i="4"/>
  <c r="S1487" i="4"/>
  <c r="R1487" i="4"/>
  <c r="Q1487" i="4"/>
  <c r="P1487" i="4"/>
  <c r="M1487" i="4"/>
  <c r="AC1483" i="4"/>
  <c r="AB1483" i="4"/>
  <c r="Z1483" i="4"/>
  <c r="Y1483" i="4"/>
  <c r="W1483" i="4"/>
  <c r="U1483" i="4"/>
  <c r="S1483" i="4"/>
  <c r="R1483" i="4"/>
  <c r="Q1483" i="4"/>
  <c r="P1483" i="4"/>
  <c r="M1483" i="4"/>
  <c r="AC1479" i="4"/>
  <c r="AB1479" i="4"/>
  <c r="Z1479" i="4"/>
  <c r="Y1479" i="4"/>
  <c r="W1479" i="4"/>
  <c r="U1479" i="4"/>
  <c r="S1479" i="4"/>
  <c r="R1479" i="4"/>
  <c r="Q1479" i="4"/>
  <c r="P1479" i="4"/>
  <c r="M1479" i="4"/>
  <c r="AC1475" i="4"/>
  <c r="AB1475" i="4"/>
  <c r="Z1475" i="4"/>
  <c r="Y1475" i="4"/>
  <c r="W1475" i="4"/>
  <c r="U1475" i="4"/>
  <c r="S1475" i="4"/>
  <c r="R1475" i="4"/>
  <c r="Q1475" i="4"/>
  <c r="P1475" i="4"/>
  <c r="M1475" i="4"/>
  <c r="AC1471" i="4"/>
  <c r="AB1471" i="4"/>
  <c r="Z1471" i="4"/>
  <c r="Y1471" i="4"/>
  <c r="W1471" i="4"/>
  <c r="U1471" i="4"/>
  <c r="S1471" i="4"/>
  <c r="R1471" i="4"/>
  <c r="Q1471" i="4"/>
  <c r="P1471" i="4"/>
  <c r="M1471" i="4"/>
  <c r="AC1467" i="4"/>
  <c r="AB1467" i="4"/>
  <c r="Z1467" i="4"/>
  <c r="Y1467" i="4"/>
  <c r="W1467" i="4"/>
  <c r="U1467" i="4"/>
  <c r="S1467" i="4"/>
  <c r="R1467" i="4"/>
  <c r="Q1467" i="4"/>
  <c r="P1467" i="4"/>
  <c r="M1467" i="4"/>
  <c r="O1464" i="4"/>
  <c r="O1463" i="4" s="1"/>
  <c r="AC1463" i="4"/>
  <c r="AB1463" i="4"/>
  <c r="Z1463" i="4"/>
  <c r="Y1463" i="4"/>
  <c r="W1463" i="4"/>
  <c r="U1463" i="4"/>
  <c r="S1463" i="4"/>
  <c r="R1463" i="4"/>
  <c r="Q1463" i="4"/>
  <c r="P1463" i="4"/>
  <c r="M1463" i="4"/>
  <c r="AC1459" i="4"/>
  <c r="AB1459" i="4"/>
  <c r="Z1459" i="4"/>
  <c r="Y1459" i="4"/>
  <c r="W1459" i="4"/>
  <c r="U1459" i="4"/>
  <c r="S1459" i="4"/>
  <c r="R1459" i="4"/>
  <c r="Q1459" i="4"/>
  <c r="P1459" i="4"/>
  <c r="M1459" i="4"/>
  <c r="AC1455" i="4"/>
  <c r="AB1455" i="4"/>
  <c r="Z1455" i="4"/>
  <c r="Y1455" i="4"/>
  <c r="W1455" i="4"/>
  <c r="U1455" i="4"/>
  <c r="S1455" i="4"/>
  <c r="R1455" i="4"/>
  <c r="Q1455" i="4"/>
  <c r="P1455" i="4"/>
  <c r="M1455" i="4"/>
  <c r="AC1451" i="4"/>
  <c r="AB1451" i="4"/>
  <c r="Z1451" i="4"/>
  <c r="Y1451" i="4"/>
  <c r="W1451" i="4"/>
  <c r="U1451" i="4"/>
  <c r="S1451" i="4"/>
  <c r="R1451" i="4"/>
  <c r="Q1451" i="4"/>
  <c r="P1451" i="4"/>
  <c r="M1451" i="4"/>
  <c r="AC1447" i="4"/>
  <c r="AB1447" i="4"/>
  <c r="Z1447" i="4"/>
  <c r="Y1447" i="4"/>
  <c r="W1447" i="4"/>
  <c r="U1447" i="4"/>
  <c r="S1447" i="4"/>
  <c r="R1447" i="4"/>
  <c r="Q1447" i="4"/>
  <c r="P1447" i="4"/>
  <c r="M1447" i="4"/>
  <c r="AC1443" i="4"/>
  <c r="AB1443" i="4"/>
  <c r="Z1443" i="4"/>
  <c r="Y1443" i="4"/>
  <c r="W1443" i="4"/>
  <c r="U1443" i="4"/>
  <c r="S1443" i="4"/>
  <c r="R1443" i="4"/>
  <c r="Q1443" i="4"/>
  <c r="P1443" i="4"/>
  <c r="M1443" i="4"/>
  <c r="AC1439" i="4"/>
  <c r="AB1439" i="4"/>
  <c r="Z1439" i="4"/>
  <c r="Y1439" i="4"/>
  <c r="W1439" i="4"/>
  <c r="U1439" i="4"/>
  <c r="S1439" i="4"/>
  <c r="R1439" i="4"/>
  <c r="Q1439" i="4"/>
  <c r="P1439" i="4"/>
  <c r="M1439" i="4"/>
  <c r="AC1435" i="4"/>
  <c r="AB1435" i="4"/>
  <c r="Z1435" i="4"/>
  <c r="Y1435" i="4"/>
  <c r="W1435" i="4"/>
  <c r="U1435" i="4"/>
  <c r="S1435" i="4"/>
  <c r="R1435" i="4"/>
  <c r="Q1435" i="4"/>
  <c r="P1435" i="4"/>
  <c r="M1435" i="4"/>
  <c r="AC1431" i="4"/>
  <c r="AB1431" i="4"/>
  <c r="Z1431" i="4"/>
  <c r="Y1431" i="4"/>
  <c r="W1431" i="4"/>
  <c r="U1431" i="4"/>
  <c r="S1431" i="4"/>
  <c r="R1431" i="4"/>
  <c r="Q1431" i="4"/>
  <c r="P1431" i="4"/>
  <c r="M1431" i="4"/>
  <c r="AC1427" i="4"/>
  <c r="AB1427" i="4"/>
  <c r="Z1427" i="4"/>
  <c r="Y1427" i="4"/>
  <c r="W1427" i="4"/>
  <c r="U1427" i="4"/>
  <c r="S1427" i="4"/>
  <c r="R1427" i="4"/>
  <c r="Q1427" i="4"/>
  <c r="P1427" i="4"/>
  <c r="M1427" i="4"/>
  <c r="AC1423" i="4"/>
  <c r="AB1423" i="4"/>
  <c r="Z1423" i="4"/>
  <c r="Y1423" i="4"/>
  <c r="W1423" i="4"/>
  <c r="U1423" i="4"/>
  <c r="S1423" i="4"/>
  <c r="R1423" i="4"/>
  <c r="Q1423" i="4"/>
  <c r="P1423" i="4"/>
  <c r="M1423" i="4"/>
  <c r="AC1417" i="4"/>
  <c r="AC1416" i="4" s="1"/>
  <c r="AC1415" i="4" s="1"/>
  <c r="AB1417" i="4"/>
  <c r="AB1416" i="4" s="1"/>
  <c r="AB1415" i="4" s="1"/>
  <c r="Z1417" i="4"/>
  <c r="Z1416" i="4" s="1"/>
  <c r="Z1415" i="4" s="1"/>
  <c r="Y1417" i="4"/>
  <c r="Y1416" i="4" s="1"/>
  <c r="Y1415" i="4" s="1"/>
  <c r="W1417" i="4"/>
  <c r="W1416" i="4" s="1"/>
  <c r="W1415" i="4" s="1"/>
  <c r="U1417" i="4"/>
  <c r="U1416" i="4" s="1"/>
  <c r="U1415" i="4" s="1"/>
  <c r="S1417" i="4"/>
  <c r="S1416" i="4" s="1"/>
  <c r="S1415" i="4" s="1"/>
  <c r="R1417" i="4"/>
  <c r="R1416" i="4" s="1"/>
  <c r="R1415" i="4" s="1"/>
  <c r="Q1417" i="4"/>
  <c r="Q1416" i="4" s="1"/>
  <c r="Q1415" i="4" s="1"/>
  <c r="P1417" i="4"/>
  <c r="P1416" i="4" s="1"/>
  <c r="P1415" i="4" s="1"/>
  <c r="O1417" i="4"/>
  <c r="O1416" i="4" s="1"/>
  <c r="O1415" i="4" s="1"/>
  <c r="M1417" i="4"/>
  <c r="M1416" i="4" s="1"/>
  <c r="M1415" i="4" s="1"/>
  <c r="AC1411" i="4"/>
  <c r="AB1411" i="4"/>
  <c r="AB1410" i="4" s="1"/>
  <c r="Z1411" i="4"/>
  <c r="Z1410" i="4" s="1"/>
  <c r="Y1411" i="4"/>
  <c r="Y1410" i="4" s="1"/>
  <c r="W1411" i="4"/>
  <c r="W1410" i="4" s="1"/>
  <c r="U1411" i="4"/>
  <c r="U1410" i="4" s="1"/>
  <c r="S1411" i="4"/>
  <c r="S1410" i="4" s="1"/>
  <c r="R1411" i="4"/>
  <c r="R1410" i="4" s="1"/>
  <c r="Q1411" i="4"/>
  <c r="Q1410" i="4" s="1"/>
  <c r="P1411" i="4"/>
  <c r="P1410" i="4" s="1"/>
  <c r="O1411" i="4"/>
  <c r="O1410" i="4" s="1"/>
  <c r="M1411" i="4"/>
  <c r="M1410" i="4" s="1"/>
  <c r="AC1410" i="4"/>
  <c r="AC1406" i="4"/>
  <c r="AB1406" i="4"/>
  <c r="Z1406" i="4"/>
  <c r="Y1406" i="4"/>
  <c r="W1406" i="4"/>
  <c r="U1406" i="4"/>
  <c r="S1406" i="4"/>
  <c r="S1405" i="4" s="1"/>
  <c r="R1406" i="4"/>
  <c r="R1405" i="4" s="1"/>
  <c r="Q1406" i="4"/>
  <c r="Q1405" i="4" s="1"/>
  <c r="P1406" i="4"/>
  <c r="P1405" i="4" s="1"/>
  <c r="O1406" i="4"/>
  <c r="O1405" i="4" s="1"/>
  <c r="M1406" i="4"/>
  <c r="M1405" i="4" s="1"/>
  <c r="AC1405" i="4"/>
  <c r="AB1405" i="4"/>
  <c r="Z1405" i="4"/>
  <c r="Y1405" i="4"/>
  <c r="W1405" i="4"/>
  <c r="U1405" i="4"/>
  <c r="AC1401" i="4"/>
  <c r="AC1400" i="4" s="1"/>
  <c r="AB1401" i="4"/>
  <c r="AB1400" i="4" s="1"/>
  <c r="Z1401" i="4"/>
  <c r="Z1400" i="4" s="1"/>
  <c r="Y1401" i="4"/>
  <c r="Y1400" i="4" s="1"/>
  <c r="W1401" i="4"/>
  <c r="W1400" i="4" s="1"/>
  <c r="U1401" i="4"/>
  <c r="U1400" i="4" s="1"/>
  <c r="S1401" i="4"/>
  <c r="S1400" i="4" s="1"/>
  <c r="R1401" i="4"/>
  <c r="R1400" i="4" s="1"/>
  <c r="Q1401" i="4"/>
  <c r="Q1400" i="4" s="1"/>
  <c r="P1401" i="4"/>
  <c r="P1400" i="4" s="1"/>
  <c r="O1401" i="4"/>
  <c r="O1400" i="4" s="1"/>
  <c r="M1401" i="4"/>
  <c r="M1400" i="4" s="1"/>
  <c r="AC1396" i="4"/>
  <c r="AB1396" i="4"/>
  <c r="Z1396" i="4"/>
  <c r="Y1396" i="4"/>
  <c r="W1396" i="4"/>
  <c r="U1396" i="4"/>
  <c r="S1396" i="4"/>
  <c r="R1396" i="4"/>
  <c r="Q1396" i="4"/>
  <c r="P1396" i="4"/>
  <c r="O1396" i="4"/>
  <c r="M1396" i="4"/>
  <c r="AC1392" i="4"/>
  <c r="AB1392" i="4"/>
  <c r="Z1392" i="4"/>
  <c r="Y1392" i="4"/>
  <c r="W1392" i="4"/>
  <c r="U1392" i="4"/>
  <c r="S1392" i="4"/>
  <c r="R1392" i="4"/>
  <c r="Q1392" i="4"/>
  <c r="P1392" i="4"/>
  <c r="O1392" i="4"/>
  <c r="M1392" i="4"/>
  <c r="AC1388" i="4"/>
  <c r="AB1388" i="4"/>
  <c r="Z1388" i="4"/>
  <c r="Y1388" i="4"/>
  <c r="W1388" i="4"/>
  <c r="U1388" i="4"/>
  <c r="S1388" i="4"/>
  <c r="R1388" i="4"/>
  <c r="Q1388" i="4"/>
  <c r="P1388" i="4"/>
  <c r="O1388" i="4"/>
  <c r="M1388" i="4"/>
  <c r="AC1384" i="4"/>
  <c r="AB1384" i="4"/>
  <c r="Z1384" i="4"/>
  <c r="Y1384" i="4"/>
  <c r="W1384" i="4"/>
  <c r="U1384" i="4"/>
  <c r="S1384" i="4"/>
  <c r="R1384" i="4"/>
  <c r="Q1384" i="4"/>
  <c r="P1384" i="4"/>
  <c r="O1384" i="4"/>
  <c r="M1384" i="4"/>
  <c r="AC1380" i="4"/>
  <c r="AB1380" i="4"/>
  <c r="Z1380" i="4"/>
  <c r="Y1380" i="4"/>
  <c r="W1380" i="4"/>
  <c r="U1380" i="4"/>
  <c r="S1380" i="4"/>
  <c r="R1380" i="4"/>
  <c r="Q1380" i="4"/>
  <c r="P1380" i="4"/>
  <c r="O1380" i="4"/>
  <c r="M1380" i="4"/>
  <c r="AC1376" i="4"/>
  <c r="AB1376" i="4"/>
  <c r="Z1376" i="4"/>
  <c r="Y1376" i="4"/>
  <c r="W1376" i="4"/>
  <c r="U1376" i="4"/>
  <c r="S1376" i="4"/>
  <c r="R1376" i="4"/>
  <c r="Q1376" i="4"/>
  <c r="P1376" i="4"/>
  <c r="O1376" i="4"/>
  <c r="M1376" i="4"/>
  <c r="AC1372" i="4"/>
  <c r="AB1372" i="4"/>
  <c r="Z1372" i="4"/>
  <c r="Y1372" i="4"/>
  <c r="W1372" i="4"/>
  <c r="U1372" i="4"/>
  <c r="S1372" i="4"/>
  <c r="R1372" i="4"/>
  <c r="Q1372" i="4"/>
  <c r="P1372" i="4"/>
  <c r="O1372" i="4"/>
  <c r="M1372" i="4"/>
  <c r="AC1368" i="4"/>
  <c r="AB1368" i="4"/>
  <c r="Z1368" i="4"/>
  <c r="Y1368" i="4"/>
  <c r="W1368" i="4"/>
  <c r="U1368" i="4"/>
  <c r="S1368" i="4"/>
  <c r="R1368" i="4"/>
  <c r="Q1368" i="4"/>
  <c r="P1368" i="4"/>
  <c r="O1368" i="4"/>
  <c r="M1368" i="4"/>
  <c r="AC1364" i="4"/>
  <c r="AB1364" i="4"/>
  <c r="Z1364" i="4"/>
  <c r="Y1364" i="4"/>
  <c r="W1364" i="4"/>
  <c r="U1364" i="4"/>
  <c r="S1364" i="4"/>
  <c r="R1364" i="4"/>
  <c r="Q1364" i="4"/>
  <c r="P1364" i="4"/>
  <c r="O1364" i="4"/>
  <c r="M1364" i="4"/>
  <c r="AC1360" i="4"/>
  <c r="AB1360" i="4"/>
  <c r="Z1360" i="4"/>
  <c r="Y1360" i="4"/>
  <c r="W1360" i="4"/>
  <c r="U1360" i="4"/>
  <c r="U1359" i="4" s="1"/>
  <c r="S1360" i="4"/>
  <c r="R1360" i="4"/>
  <c r="Q1360" i="4"/>
  <c r="P1360" i="4"/>
  <c r="O1360" i="4"/>
  <c r="O1359" i="4" s="1"/>
  <c r="M1360" i="4"/>
  <c r="M1359" i="4" s="1"/>
  <c r="AC1355" i="4"/>
  <c r="AB1355" i="4"/>
  <c r="Z1355" i="4"/>
  <c r="Y1355" i="4"/>
  <c r="W1355" i="4"/>
  <c r="U1355" i="4"/>
  <c r="S1355" i="4"/>
  <c r="R1355" i="4"/>
  <c r="Q1355" i="4"/>
  <c r="P1355" i="4"/>
  <c r="O1355" i="4"/>
  <c r="M1355" i="4"/>
  <c r="AC1351" i="4"/>
  <c r="AB1351" i="4"/>
  <c r="Z1351" i="4"/>
  <c r="Y1351" i="4"/>
  <c r="W1351" i="4"/>
  <c r="U1351" i="4"/>
  <c r="S1351" i="4"/>
  <c r="R1351" i="4"/>
  <c r="Q1351" i="4"/>
  <c r="P1351" i="4"/>
  <c r="O1351" i="4"/>
  <c r="M1351" i="4"/>
  <c r="AC1347" i="4"/>
  <c r="AB1347" i="4"/>
  <c r="Z1347" i="4"/>
  <c r="Y1347" i="4"/>
  <c r="Y1346" i="4" s="1"/>
  <c r="W1347" i="4"/>
  <c r="W1346" i="4" s="1"/>
  <c r="U1347" i="4"/>
  <c r="U1346" i="4" s="1"/>
  <c r="S1347" i="4"/>
  <c r="S1346" i="4" s="1"/>
  <c r="R1347" i="4"/>
  <c r="Q1347" i="4"/>
  <c r="Q1346" i="4" s="1"/>
  <c r="P1347" i="4"/>
  <c r="P1346" i="4" s="1"/>
  <c r="O1347" i="4"/>
  <c r="O1346" i="4" s="1"/>
  <c r="M1347" i="4"/>
  <c r="M1346" i="4" s="1"/>
  <c r="AC1346" i="4"/>
  <c r="AB1346" i="4"/>
  <c r="Z1346" i="4"/>
  <c r="AC1342" i="4"/>
  <c r="AB1342" i="4"/>
  <c r="Z1342" i="4"/>
  <c r="Y1342" i="4"/>
  <c r="W1342" i="4"/>
  <c r="U1342" i="4"/>
  <c r="S1342" i="4"/>
  <c r="R1342" i="4"/>
  <c r="Q1342" i="4"/>
  <c r="P1342" i="4"/>
  <c r="O1342" i="4"/>
  <c r="M1342" i="4"/>
  <c r="AC1338" i="4"/>
  <c r="AB1338" i="4"/>
  <c r="Z1338" i="4"/>
  <c r="Y1338" i="4"/>
  <c r="W1338" i="4"/>
  <c r="U1338" i="4"/>
  <c r="S1338" i="4"/>
  <c r="R1338" i="4"/>
  <c r="Q1338" i="4"/>
  <c r="P1338" i="4"/>
  <c r="O1338" i="4"/>
  <c r="M1338" i="4"/>
  <c r="AC1334" i="4"/>
  <c r="AB1334" i="4"/>
  <c r="AB1333" i="4" s="1"/>
  <c r="Z1334" i="4"/>
  <c r="Z1333" i="4" s="1"/>
  <c r="Y1334" i="4"/>
  <c r="W1334" i="4"/>
  <c r="U1334" i="4"/>
  <c r="S1334" i="4"/>
  <c r="S1333" i="4" s="1"/>
  <c r="R1334" i="4"/>
  <c r="R1333" i="4" s="1"/>
  <c r="Q1334" i="4"/>
  <c r="Q1333" i="4" s="1"/>
  <c r="P1334" i="4"/>
  <c r="P1333" i="4" s="1"/>
  <c r="O1334" i="4"/>
  <c r="O1333" i="4" s="1"/>
  <c r="M1334" i="4"/>
  <c r="M1333" i="4" s="1"/>
  <c r="AC1329" i="4"/>
  <c r="AB1329" i="4"/>
  <c r="Z1329" i="4"/>
  <c r="Y1329" i="4"/>
  <c r="W1329" i="4"/>
  <c r="U1329" i="4"/>
  <c r="S1329" i="4"/>
  <c r="R1329" i="4"/>
  <c r="Q1329" i="4"/>
  <c r="P1329" i="4"/>
  <c r="O1329" i="4"/>
  <c r="M1329" i="4"/>
  <c r="AC1325" i="4"/>
  <c r="AB1325" i="4"/>
  <c r="Z1325" i="4"/>
  <c r="Y1325" i="4"/>
  <c r="W1325" i="4"/>
  <c r="U1325" i="4"/>
  <c r="S1325" i="4"/>
  <c r="R1325" i="4"/>
  <c r="Q1325" i="4"/>
  <c r="P1325" i="4"/>
  <c r="O1325" i="4"/>
  <c r="M1325" i="4"/>
  <c r="AC1321" i="4"/>
  <c r="AB1321" i="4"/>
  <c r="Z1321" i="4"/>
  <c r="Y1321" i="4"/>
  <c r="W1321" i="4"/>
  <c r="U1321" i="4"/>
  <c r="S1321" i="4"/>
  <c r="R1321" i="4"/>
  <c r="Q1321" i="4"/>
  <c r="P1321" i="4"/>
  <c r="O1321" i="4"/>
  <c r="M1321" i="4"/>
  <c r="AC1317" i="4"/>
  <c r="AB1317" i="4"/>
  <c r="Z1317" i="4"/>
  <c r="Y1317" i="4"/>
  <c r="W1317" i="4"/>
  <c r="U1317" i="4"/>
  <c r="S1317" i="4"/>
  <c r="R1317" i="4"/>
  <c r="Q1317" i="4"/>
  <c r="P1317" i="4"/>
  <c r="O1317" i="4"/>
  <c r="M1317" i="4"/>
  <c r="AC1313" i="4"/>
  <c r="AB1313" i="4"/>
  <c r="Z1313" i="4"/>
  <c r="Y1313" i="4"/>
  <c r="W1313" i="4"/>
  <c r="U1313" i="4"/>
  <c r="S1313" i="4"/>
  <c r="R1313" i="4"/>
  <c r="Q1313" i="4"/>
  <c r="P1313" i="4"/>
  <c r="O1313" i="4"/>
  <c r="M1313" i="4"/>
  <c r="AC1309" i="4"/>
  <c r="AB1309" i="4"/>
  <c r="Z1309" i="4"/>
  <c r="Y1309" i="4"/>
  <c r="W1309" i="4"/>
  <c r="U1309" i="4"/>
  <c r="S1309" i="4"/>
  <c r="R1309" i="4"/>
  <c r="Q1309" i="4"/>
  <c r="P1309" i="4"/>
  <c r="O1309" i="4"/>
  <c r="M1309" i="4"/>
  <c r="AC1286" i="4"/>
  <c r="AC1285" i="4" s="1"/>
  <c r="AB1286" i="4"/>
  <c r="Z1286" i="4"/>
  <c r="Z1285" i="4" s="1"/>
  <c r="Y1286" i="4"/>
  <c r="W1286" i="4"/>
  <c r="W1285" i="4" s="1"/>
  <c r="U1286" i="4"/>
  <c r="U1285" i="4" s="1"/>
  <c r="S1286" i="4"/>
  <c r="R1286" i="4"/>
  <c r="R1285" i="4" s="1"/>
  <c r="Q1286" i="4"/>
  <c r="P1286" i="4"/>
  <c r="O1286" i="4"/>
  <c r="O1285" i="4" s="1"/>
  <c r="M1286" i="4"/>
  <c r="M1285" i="4" s="1"/>
  <c r="AC1280" i="4"/>
  <c r="AB1280" i="4"/>
  <c r="Z1280" i="4"/>
  <c r="Y1280" i="4"/>
  <c r="W1280" i="4"/>
  <c r="U1280" i="4"/>
  <c r="S1280" i="4"/>
  <c r="R1280" i="4"/>
  <c r="Q1280" i="4"/>
  <c r="P1280" i="4"/>
  <c r="O1280" i="4"/>
  <c r="M1280" i="4"/>
  <c r="AC1276" i="4"/>
  <c r="AB1276" i="4"/>
  <c r="Z1276" i="4"/>
  <c r="Y1276" i="4"/>
  <c r="W1276" i="4"/>
  <c r="U1276" i="4"/>
  <c r="S1276" i="4"/>
  <c r="R1276" i="4"/>
  <c r="Q1276" i="4"/>
  <c r="P1276" i="4"/>
  <c r="O1276" i="4"/>
  <c r="M1276" i="4"/>
  <c r="AA1274" i="4"/>
  <c r="U1274" i="4"/>
  <c r="Y1274" i="4" s="1"/>
  <c r="AA1273" i="4"/>
  <c r="U1273" i="4"/>
  <c r="Y1273" i="4" s="1"/>
  <c r="AA1272" i="4"/>
  <c r="U1272" i="4"/>
  <c r="AA1271" i="4"/>
  <c r="U1271" i="4"/>
  <c r="AA1270" i="4"/>
  <c r="U1270" i="4"/>
  <c r="AA1269" i="4"/>
  <c r="U1269" i="4"/>
  <c r="AA1268" i="4"/>
  <c r="U1268" i="4"/>
  <c r="AA1267" i="4"/>
  <c r="U1267" i="4"/>
  <c r="AA1266" i="4"/>
  <c r="U1266" i="4"/>
  <c r="AA1265" i="4"/>
  <c r="U1265" i="4"/>
  <c r="S1264" i="4"/>
  <c r="R1264" i="4"/>
  <c r="Q1264" i="4"/>
  <c r="P1264" i="4"/>
  <c r="O1264" i="4"/>
  <c r="M1264" i="4"/>
  <c r="AC1260" i="4"/>
  <c r="AB1260" i="4"/>
  <c r="Z1260" i="4"/>
  <c r="Y1260" i="4"/>
  <c r="W1260" i="4"/>
  <c r="U1260" i="4"/>
  <c r="S1260" i="4"/>
  <c r="R1260" i="4"/>
  <c r="Q1260" i="4"/>
  <c r="P1260" i="4"/>
  <c r="O1260" i="4"/>
  <c r="M1260" i="4"/>
  <c r="AC1255" i="4"/>
  <c r="AB1255" i="4"/>
  <c r="Z1255" i="4"/>
  <c r="Y1255" i="4"/>
  <c r="W1255" i="4"/>
  <c r="U1255" i="4"/>
  <c r="S1255" i="4"/>
  <c r="R1255" i="4"/>
  <c r="Q1255" i="4"/>
  <c r="P1255" i="4"/>
  <c r="O1255" i="4"/>
  <c r="M1255" i="4"/>
  <c r="AC1251" i="4"/>
  <c r="AB1251" i="4"/>
  <c r="Z1251" i="4"/>
  <c r="Y1251" i="4"/>
  <c r="W1251" i="4"/>
  <c r="U1251" i="4"/>
  <c r="S1251" i="4"/>
  <c r="R1251" i="4"/>
  <c r="Q1251" i="4"/>
  <c r="P1251" i="4"/>
  <c r="O1251" i="4"/>
  <c r="M1251" i="4"/>
  <c r="AC1247" i="4"/>
  <c r="AB1247" i="4"/>
  <c r="Z1247" i="4"/>
  <c r="Y1247" i="4"/>
  <c r="W1247" i="4"/>
  <c r="U1247" i="4"/>
  <c r="S1247" i="4"/>
  <c r="R1247" i="4"/>
  <c r="Q1247" i="4"/>
  <c r="P1247" i="4"/>
  <c r="O1247" i="4"/>
  <c r="M1247" i="4"/>
  <c r="AC1243" i="4"/>
  <c r="AB1243" i="4"/>
  <c r="Z1243" i="4"/>
  <c r="Y1243" i="4"/>
  <c r="W1243" i="4"/>
  <c r="U1243" i="4"/>
  <c r="S1243" i="4"/>
  <c r="R1243" i="4"/>
  <c r="Q1243" i="4"/>
  <c r="P1243" i="4"/>
  <c r="O1243" i="4"/>
  <c r="M1243" i="4"/>
  <c r="AC1239" i="4"/>
  <c r="AB1239" i="4"/>
  <c r="Z1239" i="4"/>
  <c r="Y1239" i="4"/>
  <c r="W1239" i="4"/>
  <c r="U1239" i="4"/>
  <c r="S1239" i="4"/>
  <c r="R1239" i="4"/>
  <c r="Q1239" i="4"/>
  <c r="P1239" i="4"/>
  <c r="O1239" i="4"/>
  <c r="M1239" i="4"/>
  <c r="AC1235" i="4"/>
  <c r="AB1235" i="4"/>
  <c r="Z1235" i="4"/>
  <c r="Y1235" i="4"/>
  <c r="W1235" i="4"/>
  <c r="U1235" i="4"/>
  <c r="S1235" i="4"/>
  <c r="R1235" i="4"/>
  <c r="Q1235" i="4"/>
  <c r="P1235" i="4"/>
  <c r="O1235" i="4"/>
  <c r="M1235" i="4"/>
  <c r="AC1231" i="4"/>
  <c r="AB1231" i="4"/>
  <c r="Z1231" i="4"/>
  <c r="Y1231" i="4"/>
  <c r="W1231" i="4"/>
  <c r="U1231" i="4"/>
  <c r="S1231" i="4"/>
  <c r="R1231" i="4"/>
  <c r="Q1231" i="4"/>
  <c r="P1231" i="4"/>
  <c r="O1231" i="4"/>
  <c r="M1231" i="4"/>
  <c r="AC1227" i="4"/>
  <c r="AB1227" i="4"/>
  <c r="Z1227" i="4"/>
  <c r="Y1227" i="4"/>
  <c r="W1227" i="4"/>
  <c r="U1227" i="4"/>
  <c r="S1227" i="4"/>
  <c r="R1227" i="4"/>
  <c r="Q1227" i="4"/>
  <c r="P1227" i="4"/>
  <c r="O1227" i="4"/>
  <c r="M1227" i="4"/>
  <c r="AC1223" i="4"/>
  <c r="AB1223" i="4"/>
  <c r="Z1223" i="4"/>
  <c r="Y1223" i="4"/>
  <c r="W1223" i="4"/>
  <c r="U1223" i="4"/>
  <c r="S1223" i="4"/>
  <c r="R1223" i="4"/>
  <c r="Q1223" i="4"/>
  <c r="P1223" i="4"/>
  <c r="O1223" i="4"/>
  <c r="M1223" i="4"/>
  <c r="AA1221" i="4"/>
  <c r="AA1220" i="4"/>
  <c r="T1221" i="4" s="1"/>
  <c r="U1221" i="4" s="1"/>
  <c r="U1220" i="4"/>
  <c r="AA1219" i="4"/>
  <c r="AA1218" i="4"/>
  <c r="T1219" i="4" s="1"/>
  <c r="U1219" i="4" s="1"/>
  <c r="Y1219" i="4" s="1"/>
  <c r="U1218" i="4"/>
  <c r="Y1218" i="4" s="1"/>
  <c r="AA1217" i="4"/>
  <c r="U1217" i="4"/>
  <c r="Y1217" i="4" s="1"/>
  <c r="S1216" i="4"/>
  <c r="U1216" i="4" s="1"/>
  <c r="S1215" i="4"/>
  <c r="U1215" i="4" s="1"/>
  <c r="AB1215" i="4" s="1"/>
  <c r="AC1215" i="4" s="1"/>
  <c r="S1214" i="4"/>
  <c r="U1214" i="4" s="1"/>
  <c r="AB1214" i="4" s="1"/>
  <c r="AC1214" i="4" s="1"/>
  <c r="S1213" i="4"/>
  <c r="U1213" i="4" s="1"/>
  <c r="S1212" i="4"/>
  <c r="U1212" i="4" s="1"/>
  <c r="R1211" i="4"/>
  <c r="Q1211" i="4"/>
  <c r="P1211" i="4"/>
  <c r="O1211" i="4"/>
  <c r="M1211" i="4"/>
  <c r="AC1208" i="4"/>
  <c r="AB1208" i="4"/>
  <c r="Z1208" i="4"/>
  <c r="Y1208" i="4"/>
  <c r="W1208" i="4"/>
  <c r="U1208" i="4"/>
  <c r="S1208" i="4"/>
  <c r="R1208" i="4"/>
  <c r="Q1208" i="4"/>
  <c r="P1208" i="4"/>
  <c r="O1208" i="4"/>
  <c r="M1208" i="4"/>
  <c r="AC1206" i="4"/>
  <c r="AB1206" i="4"/>
  <c r="Z1206" i="4"/>
  <c r="Y1206" i="4"/>
  <c r="W1206" i="4"/>
  <c r="U1206" i="4"/>
  <c r="S1206" i="4"/>
  <c r="R1206" i="4"/>
  <c r="Q1206" i="4"/>
  <c r="P1206" i="4"/>
  <c r="O1206" i="4"/>
  <c r="M1206" i="4"/>
  <c r="AC1204" i="4"/>
  <c r="AB1204" i="4"/>
  <c r="Z1204" i="4"/>
  <c r="Y1204" i="4"/>
  <c r="W1204" i="4"/>
  <c r="U1204" i="4"/>
  <c r="S1204" i="4"/>
  <c r="R1204" i="4"/>
  <c r="Q1204" i="4"/>
  <c r="P1204" i="4"/>
  <c r="O1204" i="4"/>
  <c r="M1204" i="4"/>
  <c r="AC1202" i="4"/>
  <c r="AB1202" i="4"/>
  <c r="Z1202" i="4"/>
  <c r="Y1202" i="4"/>
  <c r="W1202" i="4"/>
  <c r="U1202" i="4"/>
  <c r="S1202" i="4"/>
  <c r="R1202" i="4"/>
  <c r="Q1202" i="4"/>
  <c r="P1202" i="4"/>
  <c r="O1202" i="4"/>
  <c r="M1202" i="4"/>
  <c r="AC1200" i="4"/>
  <c r="AB1200" i="4"/>
  <c r="Z1200" i="4"/>
  <c r="Y1200" i="4"/>
  <c r="W1200" i="4"/>
  <c r="U1200" i="4"/>
  <c r="S1200" i="4"/>
  <c r="R1200" i="4"/>
  <c r="Q1200" i="4"/>
  <c r="P1200" i="4"/>
  <c r="O1200" i="4"/>
  <c r="M1200" i="4"/>
  <c r="AC1198" i="4"/>
  <c r="AB1198" i="4"/>
  <c r="Z1198" i="4"/>
  <c r="Y1198" i="4"/>
  <c r="W1198" i="4"/>
  <c r="U1198" i="4"/>
  <c r="S1198" i="4"/>
  <c r="R1198" i="4"/>
  <c r="Q1198" i="4"/>
  <c r="P1198" i="4"/>
  <c r="O1198" i="4"/>
  <c r="M1198" i="4"/>
  <c r="AC1196" i="4"/>
  <c r="AB1196" i="4"/>
  <c r="Z1196" i="4"/>
  <c r="Y1196" i="4"/>
  <c r="Y1195" i="4" s="1"/>
  <c r="W1196" i="4"/>
  <c r="U1196" i="4"/>
  <c r="U1195" i="4" s="1"/>
  <c r="S1196" i="4"/>
  <c r="R1196" i="4"/>
  <c r="Q1196" i="4"/>
  <c r="P1196" i="4"/>
  <c r="P1195" i="4" s="1"/>
  <c r="O1196" i="4"/>
  <c r="M1196" i="4"/>
  <c r="AC1195" i="4"/>
  <c r="AB1195" i="4"/>
  <c r="O1522" i="4" s="1"/>
  <c r="O1521" i="4" s="1"/>
  <c r="AC1191" i="4"/>
  <c r="AB1191" i="4"/>
  <c r="Z1191" i="4"/>
  <c r="Y1191" i="4"/>
  <c r="W1191" i="4"/>
  <c r="U1191" i="4"/>
  <c r="S1191" i="4"/>
  <c r="R1191" i="4"/>
  <c r="Q1191" i="4"/>
  <c r="P1191" i="4"/>
  <c r="O1191" i="4"/>
  <c r="M1191" i="4"/>
  <c r="AC1189" i="4"/>
  <c r="AB1189" i="4"/>
  <c r="Z1189" i="4"/>
  <c r="Y1189" i="4"/>
  <c r="Y1188" i="4" s="1"/>
  <c r="W1189" i="4"/>
  <c r="W1188" i="4" s="1"/>
  <c r="U1189" i="4"/>
  <c r="S1189" i="4"/>
  <c r="R1189" i="4"/>
  <c r="R1188" i="4" s="1"/>
  <c r="Q1189" i="4"/>
  <c r="Q1188" i="4" s="1"/>
  <c r="P1189" i="4"/>
  <c r="O1189" i="4"/>
  <c r="O1188" i="4" s="1"/>
  <c r="M1189" i="4"/>
  <c r="AC1188" i="4"/>
  <c r="AB1188" i="4"/>
  <c r="O1518" i="4" s="1"/>
  <c r="O1517" i="4" s="1"/>
  <c r="AC1185" i="4"/>
  <c r="AB1185" i="4"/>
  <c r="AB1184" i="4" s="1"/>
  <c r="O1513" i="4" s="1"/>
  <c r="O1512" i="4" s="1"/>
  <c r="Z1185" i="4"/>
  <c r="Z1184" i="4" s="1"/>
  <c r="Y1185" i="4"/>
  <c r="Y1184" i="4" s="1"/>
  <c r="W1185" i="4"/>
  <c r="W1184" i="4" s="1"/>
  <c r="U1185" i="4"/>
  <c r="U1184" i="4" s="1"/>
  <c r="S1185" i="4"/>
  <c r="S1184" i="4" s="1"/>
  <c r="R1185" i="4"/>
  <c r="R1184" i="4" s="1"/>
  <c r="Q1185" i="4"/>
  <c r="Q1184" i="4" s="1"/>
  <c r="P1185" i="4"/>
  <c r="P1184" i="4" s="1"/>
  <c r="O1185" i="4"/>
  <c r="O1184" i="4" s="1"/>
  <c r="M1185" i="4"/>
  <c r="M1184" i="4" s="1"/>
  <c r="AC1184" i="4"/>
  <c r="U1182" i="4"/>
  <c r="Q1182" i="4"/>
  <c r="Q1181" i="4" s="1"/>
  <c r="Q1180" i="4" s="1"/>
  <c r="S1181" i="4"/>
  <c r="S1180" i="4" s="1"/>
  <c r="R1181" i="4"/>
  <c r="R1180" i="4" s="1"/>
  <c r="P1181" i="4"/>
  <c r="P1180" i="4" s="1"/>
  <c r="O1181" i="4"/>
  <c r="O1180" i="4" s="1"/>
  <c r="M1181" i="4"/>
  <c r="M1180" i="4" s="1"/>
  <c r="AC1178" i="4"/>
  <c r="AB1178" i="4"/>
  <c r="Z1178" i="4"/>
  <c r="Z1177" i="4" s="1"/>
  <c r="Y1178" i="4"/>
  <c r="Y1177" i="4" s="1"/>
  <c r="W1178" i="4"/>
  <c r="W1177" i="4" s="1"/>
  <c r="U1178" i="4"/>
  <c r="U1177" i="4" s="1"/>
  <c r="S1178" i="4"/>
  <c r="S1177" i="4" s="1"/>
  <c r="R1178" i="4"/>
  <c r="R1177" i="4" s="1"/>
  <c r="Q1178" i="4"/>
  <c r="Q1177" i="4" s="1"/>
  <c r="P1178" i="4"/>
  <c r="P1177" i="4" s="1"/>
  <c r="O1178" i="4"/>
  <c r="O1177" i="4" s="1"/>
  <c r="M1178" i="4"/>
  <c r="M1177" i="4" s="1"/>
  <c r="AC1177" i="4"/>
  <c r="AB1177" i="4"/>
  <c r="O1505" i="4" s="1"/>
  <c r="O1504" i="4" s="1"/>
  <c r="U1175" i="4"/>
  <c r="W1175" i="4" s="1"/>
  <c r="O1175" i="4"/>
  <c r="Q1175" i="4" s="1"/>
  <c r="Q1134" i="4" s="1"/>
  <c r="N1175" i="4"/>
  <c r="AA1173" i="4"/>
  <c r="T1174" i="4" s="1"/>
  <c r="U1174" i="4" s="1"/>
  <c r="U1173" i="4"/>
  <c r="Y1173" i="4" s="1"/>
  <c r="AA1172" i="4"/>
  <c r="U1172" i="4"/>
  <c r="Z1171" i="4"/>
  <c r="U1171" i="4"/>
  <c r="AB1171" i="4" s="1"/>
  <c r="Y1170" i="4"/>
  <c r="Z1170" i="4" s="1"/>
  <c r="AA1169" i="4"/>
  <c r="O1169" i="4"/>
  <c r="N1169" i="4"/>
  <c r="AA1168" i="4"/>
  <c r="T1169" i="4" s="1"/>
  <c r="U1169" i="4" s="1"/>
  <c r="Y1169" i="4" s="1"/>
  <c r="U1168" i="4"/>
  <c r="O1168" i="4"/>
  <c r="N1168" i="4"/>
  <c r="Y1167" i="4"/>
  <c r="Z1167" i="4" s="1"/>
  <c r="O1167" i="4"/>
  <c r="N1167" i="4"/>
  <c r="AA1166" i="4"/>
  <c r="T1166" i="4"/>
  <c r="U1166" i="4" s="1"/>
  <c r="AA1165" i="4"/>
  <c r="U1165" i="4"/>
  <c r="O1165" i="4"/>
  <c r="N1165" i="4"/>
  <c r="Y1164" i="4"/>
  <c r="Z1164" i="4" s="1"/>
  <c r="O1164" i="4"/>
  <c r="N1164" i="4"/>
  <c r="U1163" i="4"/>
  <c r="AB1163" i="4" s="1"/>
  <c r="AC1163" i="4" s="1"/>
  <c r="U1162" i="4"/>
  <c r="AB1162" i="4" s="1"/>
  <c r="AC1162" i="4" s="1"/>
  <c r="O1162" i="4"/>
  <c r="N1162" i="4"/>
  <c r="AA1161" i="4"/>
  <c r="T1161" i="4"/>
  <c r="U1161" i="4" s="1"/>
  <c r="AA1160" i="4"/>
  <c r="U1160" i="4"/>
  <c r="O1160" i="4"/>
  <c r="N1160" i="4"/>
  <c r="Y1159" i="4"/>
  <c r="Z1159" i="4" s="1"/>
  <c r="O1159" i="4"/>
  <c r="N1159" i="4"/>
  <c r="AA1158" i="4"/>
  <c r="U1158" i="4"/>
  <c r="O1158" i="4"/>
  <c r="N1158" i="4"/>
  <c r="Y1157" i="4"/>
  <c r="Z1157" i="4" s="1"/>
  <c r="O1157" i="4"/>
  <c r="N1157" i="4"/>
  <c r="AA1155" i="4"/>
  <c r="AA1154" i="4"/>
  <c r="T1155" i="4" s="1"/>
  <c r="U1154" i="4"/>
  <c r="Z1153" i="4"/>
  <c r="U1153" i="4"/>
  <c r="AB1153" i="4" s="1"/>
  <c r="AA1152" i="4"/>
  <c r="T1152" i="4"/>
  <c r="U1152" i="4" s="1"/>
  <c r="AA1151" i="4"/>
  <c r="U1151" i="4"/>
  <c r="Y1151" i="4" s="1"/>
  <c r="O1151" i="4"/>
  <c r="N1151" i="4"/>
  <c r="Y1150" i="4"/>
  <c r="Z1150" i="4" s="1"/>
  <c r="O1150" i="4"/>
  <c r="N1150" i="4"/>
  <c r="U1149" i="4"/>
  <c r="W1149" i="4" s="1"/>
  <c r="AA1148" i="4"/>
  <c r="AA1147" i="4"/>
  <c r="U1147" i="4"/>
  <c r="Y1147" i="4" s="1"/>
  <c r="O1147" i="4"/>
  <c r="N1147" i="4"/>
  <c r="Y1146" i="4"/>
  <c r="Z1146" i="4" s="1"/>
  <c r="O1146" i="4"/>
  <c r="N1146" i="4"/>
  <c r="U1145" i="4"/>
  <c r="AB1145" i="4" s="1"/>
  <c r="AC1145" i="4" s="1"/>
  <c r="AA1144" i="4"/>
  <c r="AA1143" i="4"/>
  <c r="U1143" i="4"/>
  <c r="Y1143" i="4" s="1"/>
  <c r="O1143" i="4"/>
  <c r="N1143" i="4"/>
  <c r="Y1142" i="4"/>
  <c r="Z1142" i="4" s="1"/>
  <c r="O1142" i="4"/>
  <c r="N1142" i="4"/>
  <c r="AA1140" i="4"/>
  <c r="AA1139" i="4"/>
  <c r="T1140" i="4" s="1"/>
  <c r="U1139" i="4"/>
  <c r="Z1138" i="4"/>
  <c r="U1138" i="4"/>
  <c r="AB1138" i="4" s="1"/>
  <c r="AA1137" i="4"/>
  <c r="O1137" i="4"/>
  <c r="N1137" i="4"/>
  <c r="AA1136" i="4"/>
  <c r="T1137" i="4" s="1"/>
  <c r="U1137" i="4" s="1"/>
  <c r="U1136" i="4"/>
  <c r="O1136" i="4"/>
  <c r="N1136" i="4"/>
  <c r="Y1135" i="4"/>
  <c r="Z1135" i="4" s="1"/>
  <c r="O1135" i="4"/>
  <c r="N1135" i="4"/>
  <c r="S1134" i="4"/>
  <c r="R1134" i="4"/>
  <c r="R1067" i="4" s="1"/>
  <c r="P1134" i="4"/>
  <c r="M1134" i="4"/>
  <c r="U1132" i="4"/>
  <c r="AB1132" i="4" s="1"/>
  <c r="AC1132" i="4" s="1"/>
  <c r="Q1132" i="4"/>
  <c r="AA1131" i="4"/>
  <c r="U1131" i="4"/>
  <c r="Q1131" i="4"/>
  <c r="Y1130" i="4"/>
  <c r="Z1130" i="4" s="1"/>
  <c r="Q1130" i="4"/>
  <c r="AA1129" i="4"/>
  <c r="Q1129" i="4"/>
  <c r="AA1128" i="4"/>
  <c r="Q1128" i="4"/>
  <c r="AA1127" i="4"/>
  <c r="Q1127" i="4"/>
  <c r="AA1126" i="4"/>
  <c r="O1126" i="4"/>
  <c r="Q1126" i="4" s="1"/>
  <c r="N1126" i="4"/>
  <c r="AA1125" i="4"/>
  <c r="T1126" i="4" s="1"/>
  <c r="U1125" i="4"/>
  <c r="O1125" i="4"/>
  <c r="Q1125" i="4" s="1"/>
  <c r="N1125" i="4"/>
  <c r="Z1124" i="4"/>
  <c r="U1124" i="4"/>
  <c r="AB1124" i="4" s="1"/>
  <c r="O1124" i="4"/>
  <c r="Q1124" i="4" s="1"/>
  <c r="N1124" i="4"/>
  <c r="U1123" i="4"/>
  <c r="Q1123" i="4"/>
  <c r="Z1122" i="4"/>
  <c r="U1122" i="4"/>
  <c r="AB1122" i="4" s="1"/>
  <c r="Q1122" i="4"/>
  <c r="Y1121" i="4"/>
  <c r="Z1121" i="4" s="1"/>
  <c r="O1121" i="4"/>
  <c r="Q1121" i="4" s="1"/>
  <c r="N1121" i="4"/>
  <c r="AA1120" i="4"/>
  <c r="U1120" i="4"/>
  <c r="Y1120" i="4" s="1"/>
  <c r="Q1120" i="4"/>
  <c r="U1119" i="4"/>
  <c r="AB1119" i="4" s="1"/>
  <c r="AC1119" i="4" s="1"/>
  <c r="O1119" i="4"/>
  <c r="Q1119" i="4" s="1"/>
  <c r="N1119" i="4"/>
  <c r="AA1118" i="4"/>
  <c r="U1118" i="4"/>
  <c r="Q1118" i="4"/>
  <c r="U1117" i="4"/>
  <c r="O1117" i="4"/>
  <c r="Q1117" i="4" s="1"/>
  <c r="N1117" i="4"/>
  <c r="U1116" i="4"/>
  <c r="Y1116" i="4" s="1"/>
  <c r="Q1116" i="4"/>
  <c r="U1115" i="4"/>
  <c r="W1115" i="4" s="1"/>
  <c r="Q1115" i="4"/>
  <c r="AA1114" i="4"/>
  <c r="Q1114" i="4"/>
  <c r="AA1113" i="4"/>
  <c r="T1114" i="4" s="1"/>
  <c r="U1114" i="4" s="1"/>
  <c r="U1113" i="4"/>
  <c r="O1113" i="4"/>
  <c r="Q1113" i="4" s="1"/>
  <c r="N1113" i="4"/>
  <c r="Y1112" i="4"/>
  <c r="Z1112" i="4" s="1"/>
  <c r="O1112" i="4"/>
  <c r="Q1112" i="4" s="1"/>
  <c r="N1112" i="4"/>
  <c r="U1111" i="4"/>
  <c r="AB1111" i="4" s="1"/>
  <c r="AC1111" i="4" s="1"/>
  <c r="Q1111" i="4"/>
  <c r="U1110" i="4"/>
  <c r="AB1110" i="4" s="1"/>
  <c r="AC1110" i="4" s="1"/>
  <c r="Q1110" i="4"/>
  <c r="AA1109" i="4"/>
  <c r="T1109" i="4"/>
  <c r="U1109" i="4" s="1"/>
  <c r="Q1109" i="4"/>
  <c r="U1108" i="4"/>
  <c r="Q1108" i="4"/>
  <c r="U1107" i="4"/>
  <c r="Q1107" i="4"/>
  <c r="AA1106" i="4"/>
  <c r="U1106" i="4"/>
  <c r="Y1106" i="4" s="1"/>
  <c r="Q1106" i="4"/>
  <c r="Z1105" i="4"/>
  <c r="U1105" i="4"/>
  <c r="AB1105" i="4" s="1"/>
  <c r="Q1105" i="4"/>
  <c r="Y1104" i="4"/>
  <c r="Z1104" i="4" s="1"/>
  <c r="Q1104" i="4"/>
  <c r="Y1103" i="4"/>
  <c r="Z1103" i="4" s="1"/>
  <c r="O1103" i="4"/>
  <c r="Q1103" i="4" s="1"/>
  <c r="N1103" i="4"/>
  <c r="AA1102" i="4"/>
  <c r="U1102" i="4"/>
  <c r="Q1102" i="4"/>
  <c r="AA1101" i="4"/>
  <c r="U1101" i="4"/>
  <c r="Q1101" i="4"/>
  <c r="Q1100" i="4"/>
  <c r="AA1099" i="4"/>
  <c r="T1099" i="4"/>
  <c r="Q1099" i="4"/>
  <c r="U1098" i="4"/>
  <c r="AB1098" i="4" s="1"/>
  <c r="Q1098" i="4"/>
  <c r="AA1097" i="4"/>
  <c r="U1097" i="4"/>
  <c r="Y1097" i="4" s="1"/>
  <c r="Q1097" i="4"/>
  <c r="U1096" i="4"/>
  <c r="AB1096" i="4" s="1"/>
  <c r="AC1096" i="4" s="1"/>
  <c r="O1096" i="4"/>
  <c r="Q1096" i="4" s="1"/>
  <c r="N1096" i="4"/>
  <c r="AA1095" i="4"/>
  <c r="U1095" i="4"/>
  <c r="Q1095" i="4"/>
  <c r="AA1094" i="4"/>
  <c r="U1094" i="4"/>
  <c r="Y1094" i="4" s="1"/>
  <c r="O1094" i="4"/>
  <c r="Q1094" i="4" s="1"/>
  <c r="N1094" i="4"/>
  <c r="U1093" i="4"/>
  <c r="Q1093" i="4"/>
  <c r="AA1092" i="4"/>
  <c r="U1092" i="4"/>
  <c r="Y1092" i="4" s="1"/>
  <c r="Q1092" i="4"/>
  <c r="U1091" i="4"/>
  <c r="AB1091" i="4" s="1"/>
  <c r="AC1091" i="4" s="1"/>
  <c r="O1091" i="4"/>
  <c r="Q1091" i="4" s="1"/>
  <c r="N1091" i="4"/>
  <c r="AA1090" i="4"/>
  <c r="Q1090" i="4"/>
  <c r="AA1089" i="4"/>
  <c r="T1089" i="4"/>
  <c r="U1089" i="4" s="1"/>
  <c r="Q1089" i="4"/>
  <c r="U1088" i="4"/>
  <c r="AB1088" i="4" s="1"/>
  <c r="Q1088" i="4"/>
  <c r="Q1087" i="4"/>
  <c r="S1087" i="4" s="1"/>
  <c r="S1069" i="4" s="1"/>
  <c r="AG1070" i="4" s="1"/>
  <c r="AA1086" i="4"/>
  <c r="T1087" i="4" s="1"/>
  <c r="U1086" i="4"/>
  <c r="Y1086" i="4" s="1"/>
  <c r="Q1086" i="4"/>
  <c r="Z1085" i="4"/>
  <c r="U1085" i="4"/>
  <c r="AB1085" i="4" s="1"/>
  <c r="O1085" i="4"/>
  <c r="Q1085" i="4" s="1"/>
  <c r="N1085" i="4"/>
  <c r="Y1084" i="4"/>
  <c r="Z1084" i="4" s="1"/>
  <c r="Q1084" i="4"/>
  <c r="Y1083" i="4"/>
  <c r="Z1083" i="4" s="1"/>
  <c r="O1083" i="4"/>
  <c r="Q1083" i="4" s="1"/>
  <c r="N1083" i="4"/>
  <c r="AA1082" i="4"/>
  <c r="Q1082" i="4"/>
  <c r="AA1081" i="4"/>
  <c r="T1082" i="4" s="1"/>
  <c r="U1082" i="4" s="1"/>
  <c r="T1081" i="4"/>
  <c r="U1081" i="4" s="1"/>
  <c r="Q1081" i="4"/>
  <c r="U1080" i="4"/>
  <c r="Q1080" i="4"/>
  <c r="AA1079" i="4"/>
  <c r="Q1079" i="4"/>
  <c r="AA1078" i="4"/>
  <c r="T1079" i="4" s="1"/>
  <c r="U1079" i="4" s="1"/>
  <c r="Y1079" i="4" s="1"/>
  <c r="U1078" i="4"/>
  <c r="Q1078" i="4"/>
  <c r="Z1077" i="4"/>
  <c r="U1077" i="4"/>
  <c r="AB1077" i="4" s="1"/>
  <c r="O1077" i="4"/>
  <c r="Q1077" i="4" s="1"/>
  <c r="N1077" i="4"/>
  <c r="AA1076" i="4"/>
  <c r="U1076" i="4"/>
  <c r="Y1076" i="4" s="1"/>
  <c r="Q1076" i="4"/>
  <c r="AA1074" i="4"/>
  <c r="U1074" i="4"/>
  <c r="Y1074" i="4" s="1"/>
  <c r="O1074" i="4"/>
  <c r="Q1074" i="4" s="1"/>
  <c r="N1074" i="4"/>
  <c r="AA1073" i="4"/>
  <c r="Q1073" i="4"/>
  <c r="T1072" i="4"/>
  <c r="Q1072" i="4"/>
  <c r="AG1071" i="4"/>
  <c r="U1071" i="4"/>
  <c r="AB1071" i="4" s="1"/>
  <c r="O1071" i="4"/>
  <c r="Q1071" i="4" s="1"/>
  <c r="N1071" i="4"/>
  <c r="Y1070" i="4"/>
  <c r="Z1070" i="4" s="1"/>
  <c r="O1070" i="4"/>
  <c r="Q1070" i="4" s="1"/>
  <c r="N1070" i="4"/>
  <c r="P1069" i="4"/>
  <c r="M1069" i="4"/>
  <c r="AA1064" i="4"/>
  <c r="S1064" i="4"/>
  <c r="S1063" i="4"/>
  <c r="U1063" i="4" s="1"/>
  <c r="N1063" i="4"/>
  <c r="S1062" i="4"/>
  <c r="U1062" i="4" s="1"/>
  <c r="Y1062" i="4" s="1"/>
  <c r="N1062" i="4"/>
  <c r="S1061" i="4"/>
  <c r="U1061" i="4" s="1"/>
  <c r="N1061" i="4"/>
  <c r="O1060" i="4"/>
  <c r="R1059" i="4"/>
  <c r="R1058" i="4" s="1"/>
  <c r="Q1059" i="4"/>
  <c r="Q1058" i="4" s="1"/>
  <c r="P1059" i="4"/>
  <c r="P1058" i="4" s="1"/>
  <c r="O1059" i="4"/>
  <c r="O1058" i="4" s="1"/>
  <c r="M1059" i="4"/>
  <c r="M1058" i="4" s="1"/>
  <c r="AC1056" i="4"/>
  <c r="AB1056" i="4"/>
  <c r="Z1056" i="4"/>
  <c r="Y1056" i="4"/>
  <c r="W1056" i="4"/>
  <c r="U1056" i="4"/>
  <c r="S1056" i="4"/>
  <c r="R1056" i="4"/>
  <c r="Q1056" i="4"/>
  <c r="P1056" i="4"/>
  <c r="O1056" i="4"/>
  <c r="M1056" i="4"/>
  <c r="AC1054" i="4"/>
  <c r="AB1054" i="4"/>
  <c r="Z1054" i="4"/>
  <c r="Y1054" i="4"/>
  <c r="W1054" i="4"/>
  <c r="U1054" i="4"/>
  <c r="S1054" i="4"/>
  <c r="R1054" i="4"/>
  <c r="Q1054" i="4"/>
  <c r="P1054" i="4"/>
  <c r="O1054" i="4"/>
  <c r="M1054" i="4"/>
  <c r="AC1052" i="4"/>
  <c r="AC1051" i="4" s="1"/>
  <c r="AB1052" i="4"/>
  <c r="AB1051" i="4" s="1"/>
  <c r="O1492" i="4" s="1"/>
  <c r="O1491" i="4" s="1"/>
  <c r="Z1052" i="4"/>
  <c r="Z1051" i="4" s="1"/>
  <c r="Y1052" i="4"/>
  <c r="Y1051" i="4" s="1"/>
  <c r="W1052" i="4"/>
  <c r="U1052" i="4"/>
  <c r="U1051" i="4" s="1"/>
  <c r="S1052" i="4"/>
  <c r="R1052" i="4"/>
  <c r="R1051" i="4" s="1"/>
  <c r="Q1052" i="4"/>
  <c r="P1052" i="4"/>
  <c r="O1052" i="4"/>
  <c r="M1052" i="4"/>
  <c r="AC1049" i="4"/>
  <c r="AB1049" i="4"/>
  <c r="Z1049" i="4"/>
  <c r="Y1049" i="4"/>
  <c r="W1049" i="4"/>
  <c r="W1048" i="4" s="1"/>
  <c r="U1049" i="4"/>
  <c r="U1048" i="4" s="1"/>
  <c r="S1049" i="4"/>
  <c r="S1048" i="4" s="1"/>
  <c r="R1049" i="4"/>
  <c r="R1048" i="4" s="1"/>
  <c r="Q1049" i="4"/>
  <c r="Q1048" i="4" s="1"/>
  <c r="P1049" i="4"/>
  <c r="P1048" i="4" s="1"/>
  <c r="O1049" i="4"/>
  <c r="O1048" i="4" s="1"/>
  <c r="M1049" i="4"/>
  <c r="M1048" i="4" s="1"/>
  <c r="AC1048" i="4"/>
  <c r="AB1048" i="4"/>
  <c r="O1488" i="4" s="1"/>
  <c r="O1487" i="4" s="1"/>
  <c r="Z1048" i="4"/>
  <c r="Y1048" i="4"/>
  <c r="AC1046" i="4"/>
  <c r="AB1046" i="4"/>
  <c r="Z1046" i="4"/>
  <c r="Y1046" i="4"/>
  <c r="W1046" i="4"/>
  <c r="U1046" i="4"/>
  <c r="S1046" i="4"/>
  <c r="R1046" i="4"/>
  <c r="R1045" i="4" s="1"/>
  <c r="Q1046" i="4"/>
  <c r="Q1045" i="4" s="1"/>
  <c r="P1046" i="4"/>
  <c r="P1045" i="4" s="1"/>
  <c r="O1046" i="4"/>
  <c r="O1045" i="4" s="1"/>
  <c r="M1046" i="4"/>
  <c r="M1045" i="4" s="1"/>
  <c r="AC1045" i="4"/>
  <c r="AB1045" i="4"/>
  <c r="O1484" i="4" s="1"/>
  <c r="O1483" i="4" s="1"/>
  <c r="Z1045" i="4"/>
  <c r="Y1045" i="4"/>
  <c r="W1045" i="4"/>
  <c r="U1045" i="4"/>
  <c r="S1045" i="4"/>
  <c r="AC1043" i="4"/>
  <c r="AB1043" i="4"/>
  <c r="Z1043" i="4"/>
  <c r="Y1043" i="4"/>
  <c r="W1043" i="4"/>
  <c r="U1043" i="4"/>
  <c r="S1043" i="4"/>
  <c r="R1043" i="4"/>
  <c r="Q1043" i="4"/>
  <c r="P1043" i="4"/>
  <c r="O1043" i="4"/>
  <c r="M1043" i="4"/>
  <c r="AC1041" i="4"/>
  <c r="AB1041" i="4"/>
  <c r="Z1041" i="4"/>
  <c r="Y1041" i="4"/>
  <c r="W1041" i="4"/>
  <c r="U1041" i="4"/>
  <c r="S1041" i="4"/>
  <c r="R1041" i="4"/>
  <c r="Q1041" i="4"/>
  <c r="P1041" i="4"/>
  <c r="O1041" i="4"/>
  <c r="M1041" i="4"/>
  <c r="AC1039" i="4"/>
  <c r="AB1039" i="4"/>
  <c r="Z1039" i="4"/>
  <c r="Y1039" i="4"/>
  <c r="W1039" i="4"/>
  <c r="U1039" i="4"/>
  <c r="S1039" i="4"/>
  <c r="R1039" i="4"/>
  <c r="Q1039" i="4"/>
  <c r="P1039" i="4"/>
  <c r="O1039" i="4"/>
  <c r="M1039" i="4"/>
  <c r="AC1037" i="4"/>
  <c r="AB1037" i="4"/>
  <c r="AB1036" i="4" s="1"/>
  <c r="O1480" i="4" s="1"/>
  <c r="O1479" i="4" s="1"/>
  <c r="Z1037" i="4"/>
  <c r="Z1036" i="4" s="1"/>
  <c r="Y1037" i="4"/>
  <c r="Y1036" i="4" s="1"/>
  <c r="W1037" i="4"/>
  <c r="U1037" i="4"/>
  <c r="U1036" i="4" s="1"/>
  <c r="S1037" i="4"/>
  <c r="R1037" i="4"/>
  <c r="R1036" i="4" s="1"/>
  <c r="Q1037" i="4"/>
  <c r="Q1036" i="4" s="1"/>
  <c r="P1037" i="4"/>
  <c r="P1036" i="4" s="1"/>
  <c r="O1037" i="4"/>
  <c r="M1037" i="4"/>
  <c r="M1036" i="4" s="1"/>
  <c r="AC1032" i="4"/>
  <c r="AB1032" i="4"/>
  <c r="Z1032" i="4"/>
  <c r="Y1032" i="4"/>
  <c r="W1032" i="4"/>
  <c r="U1032" i="4"/>
  <c r="S1032" i="4"/>
  <c r="R1032" i="4"/>
  <c r="Q1032" i="4"/>
  <c r="P1032" i="4"/>
  <c r="O1032" i="4"/>
  <c r="M1032" i="4"/>
  <c r="AC1030" i="4"/>
  <c r="AB1030" i="4"/>
  <c r="AB1029" i="4" s="1"/>
  <c r="O1476" i="4" s="1"/>
  <c r="O1475" i="4" s="1"/>
  <c r="Z1030" i="4"/>
  <c r="Z1029" i="4" s="1"/>
  <c r="Y1030" i="4"/>
  <c r="W1030" i="4"/>
  <c r="W1029" i="4" s="1"/>
  <c r="U1030" i="4"/>
  <c r="U1029" i="4" s="1"/>
  <c r="S1030" i="4"/>
  <c r="S1029" i="4" s="1"/>
  <c r="R1030" i="4"/>
  <c r="R1029" i="4" s="1"/>
  <c r="Q1030" i="4"/>
  <c r="P1030" i="4"/>
  <c r="P1029" i="4" s="1"/>
  <c r="O1030" i="4"/>
  <c r="O1029" i="4" s="1"/>
  <c r="M1030" i="4"/>
  <c r="M1029" i="4" s="1"/>
  <c r="AC1025" i="4"/>
  <c r="AB1025" i="4"/>
  <c r="Z1025" i="4"/>
  <c r="Y1025" i="4"/>
  <c r="W1025" i="4"/>
  <c r="U1025" i="4"/>
  <c r="S1025" i="4"/>
  <c r="R1025" i="4"/>
  <c r="Q1025" i="4"/>
  <c r="P1025" i="4"/>
  <c r="O1025" i="4"/>
  <c r="M1025" i="4"/>
  <c r="AC1023" i="4"/>
  <c r="AB1023" i="4"/>
  <c r="Z1023" i="4"/>
  <c r="Y1023" i="4"/>
  <c r="W1023" i="4"/>
  <c r="U1023" i="4"/>
  <c r="S1023" i="4"/>
  <c r="R1023" i="4"/>
  <c r="Q1023" i="4"/>
  <c r="P1023" i="4"/>
  <c r="O1023" i="4"/>
  <c r="M1023" i="4"/>
  <c r="AC1021" i="4"/>
  <c r="AB1021" i="4"/>
  <c r="AB1020" i="4" s="1"/>
  <c r="O1472" i="4" s="1"/>
  <c r="O1471" i="4" s="1"/>
  <c r="Z1021" i="4"/>
  <c r="Z1020" i="4" s="1"/>
  <c r="Y1021" i="4"/>
  <c r="W1021" i="4"/>
  <c r="W1020" i="4" s="1"/>
  <c r="U1021" i="4"/>
  <c r="U1020" i="4" s="1"/>
  <c r="S1021" i="4"/>
  <c r="S1020" i="4" s="1"/>
  <c r="R1021" i="4"/>
  <c r="R1020" i="4" s="1"/>
  <c r="Q1021" i="4"/>
  <c r="Q1020" i="4" s="1"/>
  <c r="P1021" i="4"/>
  <c r="P1020" i="4" s="1"/>
  <c r="O1021" i="4"/>
  <c r="O1020" i="4" s="1"/>
  <c r="M1021" i="4"/>
  <c r="M1020" i="4" s="1"/>
  <c r="AC1020" i="4"/>
  <c r="AC1018" i="4"/>
  <c r="AB1018" i="4"/>
  <c r="Z1018" i="4"/>
  <c r="Y1018" i="4"/>
  <c r="W1018" i="4"/>
  <c r="U1018" i="4"/>
  <c r="S1018" i="4"/>
  <c r="R1018" i="4"/>
  <c r="Q1018" i="4"/>
  <c r="P1018" i="4"/>
  <c r="O1018" i="4"/>
  <c r="M1018" i="4"/>
  <c r="AC1016" i="4"/>
  <c r="AB1016" i="4"/>
  <c r="Z1016" i="4"/>
  <c r="Z1015" i="4" s="1"/>
  <c r="Y1016" i="4"/>
  <c r="W1016" i="4"/>
  <c r="W1015" i="4" s="1"/>
  <c r="U1016" i="4"/>
  <c r="U1015" i="4" s="1"/>
  <c r="S1016" i="4"/>
  <c r="S1015" i="4" s="1"/>
  <c r="R1016" i="4"/>
  <c r="R1015" i="4" s="1"/>
  <c r="Q1016" i="4"/>
  <c r="P1016" i="4"/>
  <c r="P1015" i="4" s="1"/>
  <c r="O1016" i="4"/>
  <c r="O1015" i="4" s="1"/>
  <c r="M1016" i="4"/>
  <c r="M1015" i="4" s="1"/>
  <c r="AC1001" i="4"/>
  <c r="Y1001" i="4"/>
  <c r="W1001" i="4"/>
  <c r="S1001" i="4"/>
  <c r="N1001" i="4"/>
  <c r="AC1000" i="4"/>
  <c r="Y1000" i="4"/>
  <c r="W1000" i="4"/>
  <c r="S1000" i="4"/>
  <c r="N1000" i="4"/>
  <c r="AC999" i="4"/>
  <c r="Y999" i="4"/>
  <c r="W999" i="4"/>
  <c r="S999" i="4"/>
  <c r="N999" i="4"/>
  <c r="AC998" i="4"/>
  <c r="Y998" i="4"/>
  <c r="W998" i="4"/>
  <c r="S998" i="4"/>
  <c r="N998" i="4"/>
  <c r="AA997" i="4"/>
  <c r="S997" i="4"/>
  <c r="U997" i="4" s="1"/>
  <c r="AC996" i="4"/>
  <c r="Y996" i="4"/>
  <c r="W996" i="4"/>
  <c r="S996" i="4"/>
  <c r="N996" i="4"/>
  <c r="AC995" i="4"/>
  <c r="Y995" i="4"/>
  <c r="W995" i="4"/>
  <c r="S995" i="4"/>
  <c r="N995" i="4"/>
  <c r="AC994" i="4"/>
  <c r="Y994" i="4"/>
  <c r="W994" i="4"/>
  <c r="S994" i="4"/>
  <c r="N994" i="4"/>
  <c r="AC993" i="4"/>
  <c r="Y993" i="4"/>
  <c r="W993" i="4"/>
  <c r="S993" i="4"/>
  <c r="N993" i="4"/>
  <c r="AC992" i="4"/>
  <c r="Y992" i="4"/>
  <c r="W992" i="4"/>
  <c r="S992" i="4"/>
  <c r="N992" i="4"/>
  <c r="AC991" i="4"/>
  <c r="Y991" i="4"/>
  <c r="W991" i="4"/>
  <c r="S991" i="4"/>
  <c r="N991" i="4"/>
  <c r="AC990" i="4"/>
  <c r="Y990" i="4"/>
  <c r="W990" i="4"/>
  <c r="S990" i="4"/>
  <c r="N990" i="4"/>
  <c r="AC989" i="4"/>
  <c r="Y989" i="4"/>
  <c r="W989" i="4"/>
  <c r="S989" i="4"/>
  <c r="N989" i="4"/>
  <c r="AC988" i="4"/>
  <c r="Y988" i="4"/>
  <c r="W988" i="4"/>
  <c r="S988" i="4"/>
  <c r="N988" i="4"/>
  <c r="AC987" i="4"/>
  <c r="Y987" i="4"/>
  <c r="W987" i="4"/>
  <c r="S987" i="4"/>
  <c r="N987" i="4"/>
  <c r="AC986" i="4"/>
  <c r="Y986" i="4"/>
  <c r="W986" i="4"/>
  <c r="S986" i="4"/>
  <c r="N986" i="4"/>
  <c r="AC985" i="4"/>
  <c r="Y985" i="4"/>
  <c r="W985" i="4"/>
  <c r="S985" i="4"/>
  <c r="N985" i="4"/>
  <c r="AC984" i="4"/>
  <c r="Y984" i="4"/>
  <c r="W984" i="4"/>
  <c r="S984" i="4"/>
  <c r="N984" i="4"/>
  <c r="AC983" i="4"/>
  <c r="Y983" i="4"/>
  <c r="W983" i="4"/>
  <c r="S983" i="4"/>
  <c r="N983" i="4"/>
  <c r="AC982" i="4"/>
  <c r="Y982" i="4"/>
  <c r="W982" i="4"/>
  <c r="S982" i="4"/>
  <c r="N982" i="4"/>
  <c r="S981" i="4"/>
  <c r="U981" i="4" s="1"/>
  <c r="N981" i="4"/>
  <c r="AA980" i="4"/>
  <c r="S980" i="4"/>
  <c r="U980" i="4" s="1"/>
  <c r="N980" i="4"/>
  <c r="AC979" i="4"/>
  <c r="Y979" i="4"/>
  <c r="W979" i="4"/>
  <c r="S979" i="4"/>
  <c r="N979" i="4"/>
  <c r="AA978" i="4"/>
  <c r="S978" i="4"/>
  <c r="U978" i="4" s="1"/>
  <c r="N978" i="4"/>
  <c r="AA977" i="4"/>
  <c r="U977" i="4"/>
  <c r="Y977" i="4" s="1"/>
  <c r="AA976" i="4"/>
  <c r="S976" i="4"/>
  <c r="U976" i="4" s="1"/>
  <c r="N976" i="4"/>
  <c r="AA975" i="4"/>
  <c r="S975" i="4"/>
  <c r="U975" i="4" s="1"/>
  <c r="N975" i="4"/>
  <c r="AC974" i="4"/>
  <c r="S974" i="4"/>
  <c r="N974" i="4"/>
  <c r="AC973" i="4"/>
  <c r="S973" i="4"/>
  <c r="N973" i="4"/>
  <c r="AC972" i="4"/>
  <c r="S972" i="4"/>
  <c r="N972" i="4"/>
  <c r="AC971" i="4"/>
  <c r="S971" i="4"/>
  <c r="N971" i="4"/>
  <c r="AC970" i="4"/>
  <c r="S970" i="4"/>
  <c r="N970" i="4"/>
  <c r="AC969" i="4"/>
  <c r="S969" i="4"/>
  <c r="N969" i="4"/>
  <c r="AC968" i="4"/>
  <c r="S968" i="4"/>
  <c r="N968" i="4"/>
  <c r="AC967" i="4"/>
  <c r="S967" i="4"/>
  <c r="N967" i="4"/>
  <c r="AC966" i="4"/>
  <c r="S966" i="4"/>
  <c r="N966" i="4"/>
  <c r="AC965" i="4"/>
  <c r="Y965" i="4"/>
  <c r="W965" i="4"/>
  <c r="S965" i="4"/>
  <c r="N965" i="4"/>
  <c r="AC964" i="4"/>
  <c r="Y964" i="4"/>
  <c r="W964" i="4"/>
  <c r="S964" i="4"/>
  <c r="N964" i="4"/>
  <c r="AC963" i="4"/>
  <c r="Y963" i="4"/>
  <c r="W963" i="4"/>
  <c r="S963" i="4"/>
  <c r="N963" i="4"/>
  <c r="AC962" i="4"/>
  <c r="Y962" i="4"/>
  <c r="W962" i="4"/>
  <c r="S962" i="4"/>
  <c r="N962" i="4"/>
  <c r="AC961" i="4"/>
  <c r="Y961" i="4"/>
  <c r="W961" i="4"/>
  <c r="S961" i="4"/>
  <c r="N961" i="4"/>
  <c r="AC960" i="4"/>
  <c r="Y960" i="4"/>
  <c r="W960" i="4"/>
  <c r="S960" i="4"/>
  <c r="N960" i="4"/>
  <c r="AC959" i="4"/>
  <c r="Y959" i="4"/>
  <c r="W959" i="4"/>
  <c r="S959" i="4"/>
  <c r="N959" i="4"/>
  <c r="AC958" i="4"/>
  <c r="Y958" i="4"/>
  <c r="W958" i="4"/>
  <c r="S958" i="4"/>
  <c r="N958" i="4"/>
  <c r="AC957" i="4"/>
  <c r="Y957" i="4"/>
  <c r="W957" i="4"/>
  <c r="S957" i="4"/>
  <c r="N957" i="4"/>
  <c r="AC956" i="4"/>
  <c r="Y956" i="4"/>
  <c r="W956" i="4"/>
  <c r="S956" i="4"/>
  <c r="N956" i="4"/>
  <c r="AC955" i="4"/>
  <c r="Y955" i="4"/>
  <c r="W955" i="4"/>
  <c r="S955" i="4"/>
  <c r="N955" i="4"/>
  <c r="AC954" i="4"/>
  <c r="Y954" i="4"/>
  <c r="W954" i="4"/>
  <c r="S954" i="4"/>
  <c r="N954" i="4"/>
  <c r="AC953" i="4"/>
  <c r="Y953" i="4"/>
  <c r="W953" i="4"/>
  <c r="S953" i="4"/>
  <c r="N953" i="4"/>
  <c r="AC952" i="4"/>
  <c r="Y952" i="4"/>
  <c r="W952" i="4"/>
  <c r="S952" i="4"/>
  <c r="N952" i="4"/>
  <c r="AC951" i="4"/>
  <c r="Y951" i="4"/>
  <c r="W951" i="4"/>
  <c r="S951" i="4"/>
  <c r="N951" i="4"/>
  <c r="AC950" i="4"/>
  <c r="Y950" i="4"/>
  <c r="W950" i="4"/>
  <c r="S950" i="4"/>
  <c r="N950" i="4"/>
  <c r="AC949" i="4"/>
  <c r="Y949" i="4"/>
  <c r="W949" i="4"/>
  <c r="S949" i="4"/>
  <c r="N949" i="4"/>
  <c r="AC948" i="4"/>
  <c r="Y948" i="4"/>
  <c r="W948" i="4"/>
  <c r="S948" i="4"/>
  <c r="N948" i="4"/>
  <c r="AC947" i="4"/>
  <c r="Y947" i="4"/>
  <c r="W947" i="4"/>
  <c r="S947" i="4"/>
  <c r="N947" i="4"/>
  <c r="AC946" i="4"/>
  <c r="Y946" i="4"/>
  <c r="W946" i="4"/>
  <c r="S946" i="4"/>
  <c r="N946" i="4"/>
  <c r="AC945" i="4"/>
  <c r="Y945" i="4"/>
  <c r="W945" i="4"/>
  <c r="S945" i="4"/>
  <c r="N945" i="4"/>
  <c r="AC944" i="4"/>
  <c r="Y944" i="4"/>
  <c r="W944" i="4"/>
  <c r="S944" i="4"/>
  <c r="N944" i="4"/>
  <c r="AC943" i="4"/>
  <c r="Y943" i="4"/>
  <c r="W943" i="4"/>
  <c r="S943" i="4"/>
  <c r="N943" i="4"/>
  <c r="AC942" i="4"/>
  <c r="Y942" i="4"/>
  <c r="W942" i="4"/>
  <c r="S942" i="4"/>
  <c r="N942" i="4"/>
  <c r="AC941" i="4"/>
  <c r="Y941" i="4"/>
  <c r="W941" i="4"/>
  <c r="S941" i="4"/>
  <c r="N941" i="4"/>
  <c r="AC940" i="4"/>
  <c r="Y940" i="4"/>
  <c r="W940" i="4"/>
  <c r="S940" i="4"/>
  <c r="N940" i="4"/>
  <c r="AC939" i="4"/>
  <c r="Y939" i="4"/>
  <c r="W939" i="4"/>
  <c r="S939" i="4"/>
  <c r="N939" i="4"/>
  <c r="AC938" i="4"/>
  <c r="Y938" i="4"/>
  <c r="W938" i="4"/>
  <c r="S938" i="4"/>
  <c r="N938" i="4"/>
  <c r="S937" i="4"/>
  <c r="U937" i="4" s="1"/>
  <c r="N937" i="4"/>
  <c r="S936" i="4"/>
  <c r="N936" i="4"/>
  <c r="O935" i="4"/>
  <c r="M935" i="4"/>
  <c r="R934" i="4"/>
  <c r="Q934" i="4"/>
  <c r="P934" i="4"/>
  <c r="AA924" i="4"/>
  <c r="S924" i="4"/>
  <c r="U924" i="4" s="1"/>
  <c r="N924" i="4"/>
  <c r="AA923" i="4"/>
  <c r="S923" i="4"/>
  <c r="U923" i="4" s="1"/>
  <c r="N923" i="4"/>
  <c r="AA922" i="4"/>
  <c r="S922" i="4"/>
  <c r="U922" i="4" s="1"/>
  <c r="Y922" i="4" s="1"/>
  <c r="N922" i="4"/>
  <c r="AA921" i="4"/>
  <c r="S921" i="4"/>
  <c r="U921" i="4" s="1"/>
  <c r="N921" i="4"/>
  <c r="AA920" i="4"/>
  <c r="S920" i="4"/>
  <c r="U920" i="4" s="1"/>
  <c r="N920" i="4"/>
  <c r="AA919" i="4"/>
  <c r="S919" i="4"/>
  <c r="U919" i="4" s="1"/>
  <c r="AA918" i="4"/>
  <c r="S918" i="4"/>
  <c r="U918" i="4" s="1"/>
  <c r="N918" i="4"/>
  <c r="AC917" i="4"/>
  <c r="S917" i="4"/>
  <c r="N917" i="4"/>
  <c r="AC916" i="4"/>
  <c r="S916" i="4"/>
  <c r="N916" i="4"/>
  <c r="AC915" i="4"/>
  <c r="S915" i="4"/>
  <c r="N915" i="4"/>
  <c r="AC914" i="4"/>
  <c r="S914" i="4"/>
  <c r="N914" i="4"/>
  <c r="AC913" i="4"/>
  <c r="S913" i="4"/>
  <c r="N913" i="4"/>
  <c r="AC912" i="4"/>
  <c r="S912" i="4"/>
  <c r="N912" i="4"/>
  <c r="AC911" i="4"/>
  <c r="S911" i="4"/>
  <c r="N911" i="4"/>
  <c r="AC910" i="4"/>
  <c r="Y910" i="4"/>
  <c r="W910" i="4"/>
  <c r="S910" i="4"/>
  <c r="N910" i="4"/>
  <c r="AC909" i="4"/>
  <c r="Y909" i="4"/>
  <c r="W909" i="4"/>
  <c r="S909" i="4"/>
  <c r="N909" i="4"/>
  <c r="AC908" i="4"/>
  <c r="Y908" i="4"/>
  <c r="W908" i="4"/>
  <c r="S908" i="4"/>
  <c r="N908" i="4"/>
  <c r="AC907" i="4"/>
  <c r="Y907" i="4"/>
  <c r="W907" i="4"/>
  <c r="S907" i="4"/>
  <c r="N907" i="4"/>
  <c r="AC906" i="4"/>
  <c r="Y906" i="4"/>
  <c r="W906" i="4"/>
  <c r="S906" i="4"/>
  <c r="N906" i="4"/>
  <c r="AC905" i="4"/>
  <c r="Y905" i="4"/>
  <c r="W905" i="4"/>
  <c r="S905" i="4"/>
  <c r="N905" i="4"/>
  <c r="AC904" i="4"/>
  <c r="Y904" i="4"/>
  <c r="W904" i="4"/>
  <c r="S904" i="4"/>
  <c r="N904" i="4"/>
  <c r="AC903" i="4"/>
  <c r="Y903" i="4"/>
  <c r="W903" i="4"/>
  <c r="S903" i="4"/>
  <c r="N903" i="4"/>
  <c r="AC902" i="4"/>
  <c r="Y902" i="4"/>
  <c r="W902" i="4"/>
  <c r="S902" i="4"/>
  <c r="N902" i="4"/>
  <c r="AC901" i="4"/>
  <c r="Y901" i="4"/>
  <c r="W901" i="4"/>
  <c r="S901" i="4"/>
  <c r="N901" i="4"/>
  <c r="AC900" i="4"/>
  <c r="Y900" i="4"/>
  <c r="W900" i="4"/>
  <c r="S900" i="4"/>
  <c r="N900" i="4"/>
  <c r="AC899" i="4"/>
  <c r="Y899" i="4"/>
  <c r="W899" i="4"/>
  <c r="S899" i="4"/>
  <c r="N899" i="4"/>
  <c r="AC898" i="4"/>
  <c r="Y898" i="4"/>
  <c r="W898" i="4"/>
  <c r="S898" i="4"/>
  <c r="N898" i="4"/>
  <c r="AC897" i="4"/>
  <c r="Y897" i="4"/>
  <c r="W897" i="4"/>
  <c r="S897" i="4"/>
  <c r="N897" i="4"/>
  <c r="AC896" i="4"/>
  <c r="Y896" i="4"/>
  <c r="W896" i="4"/>
  <c r="S896" i="4"/>
  <c r="N896" i="4"/>
  <c r="AC895" i="4"/>
  <c r="Y895" i="4"/>
  <c r="W895" i="4"/>
  <c r="S895" i="4"/>
  <c r="N895" i="4"/>
  <c r="AC894" i="4"/>
  <c r="Y894" i="4"/>
  <c r="W894" i="4"/>
  <c r="S894" i="4"/>
  <c r="N894" i="4"/>
  <c r="AC893" i="4"/>
  <c r="Y893" i="4"/>
  <c r="W893" i="4"/>
  <c r="S893" i="4"/>
  <c r="N893" i="4"/>
  <c r="AC892" i="4"/>
  <c r="Y892" i="4"/>
  <c r="W892" i="4"/>
  <c r="S892" i="4"/>
  <c r="N892" i="4"/>
  <c r="AC891" i="4"/>
  <c r="Y891" i="4"/>
  <c r="W891" i="4"/>
  <c r="S891" i="4"/>
  <c r="N891" i="4"/>
  <c r="AC890" i="4"/>
  <c r="Y890" i="4"/>
  <c r="W890" i="4"/>
  <c r="S890" i="4"/>
  <c r="N890" i="4"/>
  <c r="AA889" i="4"/>
  <c r="S889" i="4"/>
  <c r="U889" i="4" s="1"/>
  <c r="N889" i="4"/>
  <c r="AA888" i="4"/>
  <c r="S888" i="4"/>
  <c r="U888" i="4" s="1"/>
  <c r="W888" i="4" s="1"/>
  <c r="N888" i="4"/>
  <c r="AA887" i="4"/>
  <c r="S887" i="4"/>
  <c r="U887" i="4" s="1"/>
  <c r="N887" i="4"/>
  <c r="AA886" i="4"/>
  <c r="S886" i="4"/>
  <c r="U886" i="4" s="1"/>
  <c r="N886" i="4"/>
  <c r="AA885" i="4"/>
  <c r="S885" i="4"/>
  <c r="U885" i="4" s="1"/>
  <c r="N885" i="4"/>
  <c r="AA884" i="4"/>
  <c r="S884" i="4"/>
  <c r="U884" i="4" s="1"/>
  <c r="N884" i="4"/>
  <c r="AA883" i="4"/>
  <c r="S883" i="4"/>
  <c r="U883" i="4" s="1"/>
  <c r="Y883" i="4" s="1"/>
  <c r="N883" i="4"/>
  <c r="AA882" i="4"/>
  <c r="S882" i="4"/>
  <c r="U882" i="4" s="1"/>
  <c r="N882" i="4"/>
  <c r="AC881" i="4"/>
  <c r="W881" i="4"/>
  <c r="Z881" i="4" s="1"/>
  <c r="S881" i="4"/>
  <c r="N881" i="4"/>
  <c r="AC880" i="4"/>
  <c r="W880" i="4"/>
  <c r="Z880" i="4" s="1"/>
  <c r="S880" i="4"/>
  <c r="N880" i="4"/>
  <c r="AC879" i="4"/>
  <c r="W879" i="4"/>
  <c r="Z879" i="4" s="1"/>
  <c r="S879" i="4"/>
  <c r="N879" i="4"/>
  <c r="AC878" i="4"/>
  <c r="W878" i="4"/>
  <c r="Z878" i="4" s="1"/>
  <c r="S878" i="4"/>
  <c r="N878" i="4"/>
  <c r="AC877" i="4"/>
  <c r="W877" i="4"/>
  <c r="Z877" i="4" s="1"/>
  <c r="S877" i="4"/>
  <c r="N877" i="4"/>
  <c r="AC876" i="4"/>
  <c r="Y876" i="4"/>
  <c r="Z876" i="4" s="1"/>
  <c r="S876" i="4"/>
  <c r="N876" i="4"/>
  <c r="AC875" i="4"/>
  <c r="Y875" i="4"/>
  <c r="Z875" i="4" s="1"/>
  <c r="S875" i="4"/>
  <c r="N875" i="4"/>
  <c r="AC874" i="4"/>
  <c r="Y874" i="4"/>
  <c r="Z874" i="4" s="1"/>
  <c r="S874" i="4"/>
  <c r="N874" i="4"/>
  <c r="AC873" i="4"/>
  <c r="Y873" i="4"/>
  <c r="Z873" i="4" s="1"/>
  <c r="S873" i="4"/>
  <c r="N873" i="4"/>
  <c r="AC872" i="4"/>
  <c r="Y872" i="4"/>
  <c r="Z872" i="4" s="1"/>
  <c r="S872" i="4"/>
  <c r="N872" i="4"/>
  <c r="AC871" i="4"/>
  <c r="Y871" i="4"/>
  <c r="Z871" i="4" s="1"/>
  <c r="S871" i="4"/>
  <c r="N871" i="4"/>
  <c r="AC870" i="4"/>
  <c r="Y870" i="4"/>
  <c r="Z870" i="4" s="1"/>
  <c r="S870" i="4"/>
  <c r="N870" i="4"/>
  <c r="AC869" i="4"/>
  <c r="Y869" i="4"/>
  <c r="Z869" i="4" s="1"/>
  <c r="S869" i="4"/>
  <c r="N869" i="4"/>
  <c r="AC868" i="4"/>
  <c r="Y868" i="4"/>
  <c r="S868" i="4"/>
  <c r="N868" i="4"/>
  <c r="AC867" i="4"/>
  <c r="Y867" i="4"/>
  <c r="S867" i="4"/>
  <c r="N867" i="4"/>
  <c r="AC866" i="4"/>
  <c r="Y866" i="4"/>
  <c r="S866" i="4"/>
  <c r="N866" i="4"/>
  <c r="AC865" i="4"/>
  <c r="Y865" i="4"/>
  <c r="S865" i="4"/>
  <c r="N865" i="4"/>
  <c r="AC864" i="4"/>
  <c r="Y864" i="4"/>
  <c r="S864" i="4"/>
  <c r="N864" i="4"/>
  <c r="AC863" i="4"/>
  <c r="Y863" i="4"/>
  <c r="W863" i="4"/>
  <c r="S863" i="4"/>
  <c r="N863" i="4"/>
  <c r="AC862" i="4"/>
  <c r="Y862" i="4"/>
  <c r="W862" i="4"/>
  <c r="S862" i="4"/>
  <c r="N862" i="4"/>
  <c r="AC861" i="4"/>
  <c r="Y861" i="4"/>
  <c r="W861" i="4"/>
  <c r="S861" i="4"/>
  <c r="N861" i="4"/>
  <c r="AC860" i="4"/>
  <c r="Y860" i="4"/>
  <c r="W860" i="4"/>
  <c r="S860" i="4"/>
  <c r="N860" i="4"/>
  <c r="AC859" i="4"/>
  <c r="Y859" i="4"/>
  <c r="W859" i="4"/>
  <c r="S859" i="4"/>
  <c r="N859" i="4"/>
  <c r="AC858" i="4"/>
  <c r="Y858" i="4"/>
  <c r="W858" i="4"/>
  <c r="S858" i="4"/>
  <c r="N858" i="4"/>
  <c r="AC857" i="4"/>
  <c r="Y857" i="4"/>
  <c r="W857" i="4"/>
  <c r="S857" i="4"/>
  <c r="N857" i="4"/>
  <c r="AC856" i="4"/>
  <c r="Y856" i="4"/>
  <c r="W856" i="4"/>
  <c r="S856" i="4"/>
  <c r="N856" i="4"/>
  <c r="AC855" i="4"/>
  <c r="Y855" i="4"/>
  <c r="W855" i="4"/>
  <c r="S855" i="4"/>
  <c r="N855" i="4"/>
  <c r="AC854" i="4"/>
  <c r="Y854" i="4"/>
  <c r="W854" i="4"/>
  <c r="S854" i="4"/>
  <c r="N854" i="4"/>
  <c r="AC853" i="4"/>
  <c r="Y853" i="4"/>
  <c r="W853" i="4"/>
  <c r="S853" i="4"/>
  <c r="N853" i="4"/>
  <c r="AC852" i="4"/>
  <c r="Y852" i="4"/>
  <c r="W852" i="4"/>
  <c r="S852" i="4"/>
  <c r="N852" i="4"/>
  <c r="AC851" i="4"/>
  <c r="Y851" i="4"/>
  <c r="W851" i="4"/>
  <c r="S851" i="4"/>
  <c r="N851" i="4"/>
  <c r="AA850" i="4"/>
  <c r="S850" i="4"/>
  <c r="U850" i="4" s="1"/>
  <c r="AC849" i="4"/>
  <c r="Y849" i="4"/>
  <c r="W849" i="4"/>
  <c r="S849" i="4"/>
  <c r="N849" i="4"/>
  <c r="AG848" i="4"/>
  <c r="O848" i="4"/>
  <c r="O847" i="4" s="1"/>
  <c r="M848" i="4"/>
  <c r="M847" i="4" s="1"/>
  <c r="R847" i="4"/>
  <c r="Q847" i="4"/>
  <c r="Q846" i="4" s="1"/>
  <c r="P847" i="4"/>
  <c r="P846" i="4" s="1"/>
  <c r="AC844" i="4"/>
  <c r="AB844" i="4"/>
  <c r="Z844" i="4"/>
  <c r="Y844" i="4"/>
  <c r="W844" i="4"/>
  <c r="U844" i="4"/>
  <c r="S844" i="4"/>
  <c r="R844" i="4"/>
  <c r="Q844" i="4"/>
  <c r="P844" i="4"/>
  <c r="O844" i="4"/>
  <c r="M844" i="4"/>
  <c r="AC842" i="4"/>
  <c r="AB842" i="4"/>
  <c r="Z842" i="4"/>
  <c r="Y842" i="4"/>
  <c r="W842" i="4"/>
  <c r="U842" i="4"/>
  <c r="S842" i="4"/>
  <c r="R842" i="4"/>
  <c r="Q842" i="4"/>
  <c r="P842" i="4"/>
  <c r="O842" i="4"/>
  <c r="M842" i="4"/>
  <c r="AC840" i="4"/>
  <c r="AB840" i="4"/>
  <c r="Z840" i="4"/>
  <c r="Y840" i="4"/>
  <c r="W840" i="4"/>
  <c r="U840" i="4"/>
  <c r="S840" i="4"/>
  <c r="R840" i="4"/>
  <c r="Q840" i="4"/>
  <c r="P840" i="4"/>
  <c r="O840" i="4"/>
  <c r="M840" i="4"/>
  <c r="AC838" i="4"/>
  <c r="AB838" i="4"/>
  <c r="Z838" i="4"/>
  <c r="Z837" i="4" s="1"/>
  <c r="Y838" i="4"/>
  <c r="W838" i="4"/>
  <c r="W837" i="4" s="1"/>
  <c r="U838" i="4"/>
  <c r="S838" i="4"/>
  <c r="R838" i="4"/>
  <c r="Q838" i="4"/>
  <c r="Q837" i="4" s="1"/>
  <c r="P838" i="4"/>
  <c r="O838" i="4"/>
  <c r="O837" i="4" s="1"/>
  <c r="M838" i="4"/>
  <c r="M837" i="4" s="1"/>
  <c r="AC837" i="4"/>
  <c r="AB837" i="4"/>
  <c r="O1456" i="4" s="1"/>
  <c r="O1455" i="4" s="1"/>
  <c r="AC835" i="4"/>
  <c r="AB835" i="4"/>
  <c r="Z835" i="4"/>
  <c r="Y835" i="4"/>
  <c r="W835" i="4"/>
  <c r="U835" i="4"/>
  <c r="S835" i="4"/>
  <c r="R835" i="4"/>
  <c r="Q835" i="4"/>
  <c r="P835" i="4"/>
  <c r="O835" i="4"/>
  <c r="M835" i="4"/>
  <c r="AC831" i="4"/>
  <c r="AB831" i="4"/>
  <c r="Z831" i="4"/>
  <c r="Y831" i="4"/>
  <c r="W831" i="4"/>
  <c r="U831" i="4"/>
  <c r="S831" i="4"/>
  <c r="R831" i="4"/>
  <c r="Q831" i="4"/>
  <c r="P831" i="4"/>
  <c r="O831" i="4"/>
  <c r="M831" i="4"/>
  <c r="AC829" i="4"/>
  <c r="AB829" i="4"/>
  <c r="Z829" i="4"/>
  <c r="Y829" i="4"/>
  <c r="W829" i="4"/>
  <c r="U829" i="4"/>
  <c r="S829" i="4"/>
  <c r="R829" i="4"/>
  <c r="Q829" i="4"/>
  <c r="P829" i="4"/>
  <c r="O829" i="4"/>
  <c r="M829" i="4"/>
  <c r="AC827" i="4"/>
  <c r="AB827" i="4"/>
  <c r="Z827" i="4"/>
  <c r="Y827" i="4"/>
  <c r="W827" i="4"/>
  <c r="U827" i="4"/>
  <c r="S827" i="4"/>
  <c r="R827" i="4"/>
  <c r="Q827" i="4"/>
  <c r="P827" i="4"/>
  <c r="O827" i="4"/>
  <c r="M827" i="4"/>
  <c r="AC825" i="4"/>
  <c r="AB825" i="4"/>
  <c r="Z825" i="4"/>
  <c r="Y825" i="4"/>
  <c r="W825" i="4"/>
  <c r="U825" i="4"/>
  <c r="S825" i="4"/>
  <c r="R825" i="4"/>
  <c r="Q825" i="4"/>
  <c r="P825" i="4"/>
  <c r="O825" i="4"/>
  <c r="M825" i="4"/>
  <c r="AC823" i="4"/>
  <c r="AB823" i="4"/>
  <c r="Z823" i="4"/>
  <c r="Y823" i="4"/>
  <c r="W823" i="4"/>
  <c r="U823" i="4"/>
  <c r="S823" i="4"/>
  <c r="R823" i="4"/>
  <c r="Q823" i="4"/>
  <c r="P823" i="4"/>
  <c r="O823" i="4"/>
  <c r="M823" i="4"/>
  <c r="AC821" i="4"/>
  <c r="AB821" i="4"/>
  <c r="Z821" i="4"/>
  <c r="Y821" i="4"/>
  <c r="W821" i="4"/>
  <c r="U821" i="4"/>
  <c r="S821" i="4"/>
  <c r="R821" i="4"/>
  <c r="Q821" i="4"/>
  <c r="P821" i="4"/>
  <c r="O821" i="4"/>
  <c r="M821" i="4"/>
  <c r="AC819" i="4"/>
  <c r="AB819" i="4"/>
  <c r="Z819" i="4"/>
  <c r="Y819" i="4"/>
  <c r="W819" i="4"/>
  <c r="U819" i="4"/>
  <c r="S819" i="4"/>
  <c r="R819" i="4"/>
  <c r="Q819" i="4"/>
  <c r="P819" i="4"/>
  <c r="O819" i="4"/>
  <c r="M819" i="4"/>
  <c r="AC817" i="4"/>
  <c r="AB817" i="4"/>
  <c r="Z817" i="4"/>
  <c r="Z816" i="4" s="1"/>
  <c r="Y817" i="4"/>
  <c r="Y816" i="4" s="1"/>
  <c r="W817" i="4"/>
  <c r="U817" i="4"/>
  <c r="S817" i="4"/>
  <c r="S816" i="4" s="1"/>
  <c r="R817" i="4"/>
  <c r="Q817" i="4"/>
  <c r="P817" i="4"/>
  <c r="O817" i="4"/>
  <c r="M817" i="4"/>
  <c r="AC812" i="4"/>
  <c r="AB812" i="4"/>
  <c r="Z812" i="4"/>
  <c r="Y812" i="4"/>
  <c r="W812" i="4"/>
  <c r="U812" i="4"/>
  <c r="S812" i="4"/>
  <c r="R812" i="4"/>
  <c r="Q812" i="4"/>
  <c r="P812" i="4"/>
  <c r="O812" i="4"/>
  <c r="M812" i="4"/>
  <c r="AA810" i="4"/>
  <c r="S810" i="4"/>
  <c r="R809" i="4"/>
  <c r="Q809" i="4"/>
  <c r="P809" i="4"/>
  <c r="O809" i="4"/>
  <c r="M809" i="4"/>
  <c r="AC806" i="4"/>
  <c r="AB806" i="4"/>
  <c r="Z806" i="4"/>
  <c r="Y806" i="4"/>
  <c r="W806" i="4"/>
  <c r="U806" i="4"/>
  <c r="S806" i="4"/>
  <c r="R806" i="4"/>
  <c r="Q806" i="4"/>
  <c r="P806" i="4"/>
  <c r="O806" i="4"/>
  <c r="M806" i="4"/>
  <c r="AC804" i="4"/>
  <c r="AC803" i="4" s="1"/>
  <c r="Y804" i="4"/>
  <c r="Y803" i="4" s="1"/>
  <c r="W804" i="4"/>
  <c r="W803" i="4" s="1"/>
  <c r="S804" i="4"/>
  <c r="S803" i="4" s="1"/>
  <c r="N804" i="4"/>
  <c r="AB803" i="4"/>
  <c r="U803" i="4"/>
  <c r="R803" i="4"/>
  <c r="Q803" i="4"/>
  <c r="P803" i="4"/>
  <c r="O803" i="4"/>
  <c r="M803" i="4"/>
  <c r="AC801" i="4"/>
  <c r="Y801" i="4"/>
  <c r="W801" i="4"/>
  <c r="S801" i="4"/>
  <c r="N801" i="4"/>
  <c r="AC800" i="4"/>
  <c r="Y800" i="4"/>
  <c r="W800" i="4"/>
  <c r="S800" i="4"/>
  <c r="N800" i="4"/>
  <c r="AC799" i="4"/>
  <c r="Y799" i="4"/>
  <c r="S799" i="4"/>
  <c r="N799" i="4"/>
  <c r="AC798" i="4"/>
  <c r="Y798" i="4"/>
  <c r="W798" i="4"/>
  <c r="S798" i="4"/>
  <c r="N798" i="4"/>
  <c r="AC797" i="4"/>
  <c r="Y797" i="4"/>
  <c r="W797" i="4"/>
  <c r="S797" i="4"/>
  <c r="N797" i="4"/>
  <c r="AC796" i="4"/>
  <c r="Y796" i="4"/>
  <c r="W796" i="4"/>
  <c r="S796" i="4"/>
  <c r="N796" i="4"/>
  <c r="AC795" i="4"/>
  <c r="Y795" i="4"/>
  <c r="W795" i="4"/>
  <c r="S795" i="4"/>
  <c r="N795" i="4"/>
  <c r="AB794" i="4"/>
  <c r="U794" i="4"/>
  <c r="R794" i="4"/>
  <c r="Q794" i="4"/>
  <c r="P794" i="4"/>
  <c r="O794" i="4"/>
  <c r="M794" i="4"/>
  <c r="AC792" i="4"/>
  <c r="Y792" i="4"/>
  <c r="W792" i="4"/>
  <c r="S792" i="4"/>
  <c r="N792" i="4"/>
  <c r="AC791" i="4"/>
  <c r="Y791" i="4"/>
  <c r="W791" i="4"/>
  <c r="S791" i="4"/>
  <c r="N791" i="4"/>
  <c r="S790" i="4"/>
  <c r="U790" i="4" s="1"/>
  <c r="Y790" i="4" s="1"/>
  <c r="N790" i="4"/>
  <c r="AA789" i="4"/>
  <c r="S789" i="4"/>
  <c r="U789" i="4" s="1"/>
  <c r="N789" i="4"/>
  <c r="AC788" i="4"/>
  <c r="Y788" i="4"/>
  <c r="W788" i="4"/>
  <c r="S788" i="4"/>
  <c r="N788" i="4"/>
  <c r="R787" i="4"/>
  <c r="Q787" i="4"/>
  <c r="P787" i="4"/>
  <c r="O787" i="4"/>
  <c r="M787" i="4"/>
  <c r="AC784" i="4"/>
  <c r="Y784" i="4"/>
  <c r="W784" i="4"/>
  <c r="S784" i="4"/>
  <c r="N784" i="4"/>
  <c r="AC783" i="4"/>
  <c r="Y783" i="4"/>
  <c r="W783" i="4"/>
  <c r="S783" i="4"/>
  <c r="N783" i="4"/>
  <c r="AC782" i="4"/>
  <c r="Y782" i="4"/>
  <c r="W782" i="4"/>
  <c r="S782" i="4"/>
  <c r="N782" i="4"/>
  <c r="AC781" i="4"/>
  <c r="Y781" i="4"/>
  <c r="W781" i="4"/>
  <c r="S781" i="4"/>
  <c r="N781" i="4"/>
  <c r="AC780" i="4"/>
  <c r="Y780" i="4"/>
  <c r="W780" i="4"/>
  <c r="S780" i="4"/>
  <c r="N780" i="4"/>
  <c r="AC779" i="4"/>
  <c r="Y779" i="4"/>
  <c r="W779" i="4"/>
  <c r="S779" i="4"/>
  <c r="N779" i="4"/>
  <c r="AC778" i="4"/>
  <c r="Y778" i="4"/>
  <c r="W778" i="4"/>
  <c r="S778" i="4"/>
  <c r="N778" i="4"/>
  <c r="AC777" i="4"/>
  <c r="Y777" i="4"/>
  <c r="W777" i="4"/>
  <c r="S777" i="4"/>
  <c r="N777" i="4"/>
  <c r="AC776" i="4"/>
  <c r="Y776" i="4"/>
  <c r="W776" i="4"/>
  <c r="S776" i="4"/>
  <c r="N776" i="4"/>
  <c r="AC775" i="4"/>
  <c r="Y775" i="4"/>
  <c r="W775" i="4"/>
  <c r="S775" i="4"/>
  <c r="N775" i="4"/>
  <c r="AC774" i="4"/>
  <c r="Y774" i="4"/>
  <c r="W774" i="4"/>
  <c r="S774" i="4"/>
  <c r="N774" i="4"/>
  <c r="AC773" i="4"/>
  <c r="Y773" i="4"/>
  <c r="W773" i="4"/>
  <c r="S773" i="4"/>
  <c r="N773" i="4"/>
  <c r="AC772" i="4"/>
  <c r="Y772" i="4"/>
  <c r="W772" i="4"/>
  <c r="S772" i="4"/>
  <c r="N772" i="4"/>
  <c r="AC771" i="4"/>
  <c r="Y771" i="4"/>
  <c r="W771" i="4"/>
  <c r="S771" i="4"/>
  <c r="N771" i="4"/>
  <c r="AC770" i="4"/>
  <c r="Y770" i="4"/>
  <c r="W770" i="4"/>
  <c r="S770" i="4"/>
  <c r="N770" i="4"/>
  <c r="AC769" i="4"/>
  <c r="Y769" i="4"/>
  <c r="W769" i="4"/>
  <c r="S769" i="4"/>
  <c r="N769" i="4"/>
  <c r="AC768" i="4"/>
  <c r="Y768" i="4"/>
  <c r="W768" i="4"/>
  <c r="S768" i="4"/>
  <c r="N768" i="4"/>
  <c r="AC767" i="4"/>
  <c r="Y767" i="4"/>
  <c r="W767" i="4"/>
  <c r="S767" i="4"/>
  <c r="N767" i="4"/>
  <c r="AC766" i="4"/>
  <c r="Y766" i="4"/>
  <c r="W766" i="4"/>
  <c r="S766" i="4"/>
  <c r="N766" i="4"/>
  <c r="AC765" i="4"/>
  <c r="Y765" i="4"/>
  <c r="W765" i="4"/>
  <c r="S765" i="4"/>
  <c r="N765" i="4"/>
  <c r="AC764" i="4"/>
  <c r="Y764" i="4"/>
  <c r="W764" i="4"/>
  <c r="S764" i="4"/>
  <c r="N764" i="4"/>
  <c r="AC763" i="4"/>
  <c r="Y763" i="4"/>
  <c r="W763" i="4"/>
  <c r="S763" i="4"/>
  <c r="N763" i="4"/>
  <c r="AC762" i="4"/>
  <c r="Y762" i="4"/>
  <c r="W762" i="4"/>
  <c r="S762" i="4"/>
  <c r="N762" i="4"/>
  <c r="AC761" i="4"/>
  <c r="Y761" i="4"/>
  <c r="W761" i="4"/>
  <c r="S761" i="4"/>
  <c r="N761" i="4"/>
  <c r="AC760" i="4"/>
  <c r="Y760" i="4"/>
  <c r="W760" i="4"/>
  <c r="S760" i="4"/>
  <c r="N760" i="4"/>
  <c r="AC759" i="4"/>
  <c r="Y759" i="4"/>
  <c r="W759" i="4"/>
  <c r="S759" i="4"/>
  <c r="N759" i="4"/>
  <c r="AC758" i="4"/>
  <c r="Y758" i="4"/>
  <c r="W758" i="4"/>
  <c r="S758" i="4"/>
  <c r="N758" i="4"/>
  <c r="AC757" i="4"/>
  <c r="Y757" i="4"/>
  <c r="W757" i="4"/>
  <c r="S757" i="4"/>
  <c r="N757" i="4"/>
  <c r="AC756" i="4"/>
  <c r="Y756" i="4"/>
  <c r="W756" i="4"/>
  <c r="S756" i="4"/>
  <c r="N756" i="4"/>
  <c r="AC755" i="4"/>
  <c r="Y755" i="4"/>
  <c r="W755" i="4"/>
  <c r="S755" i="4"/>
  <c r="N755" i="4"/>
  <c r="AC754" i="4"/>
  <c r="Y754" i="4"/>
  <c r="W754" i="4"/>
  <c r="S754" i="4"/>
  <c r="N754" i="4"/>
  <c r="AC753" i="4"/>
  <c r="Y753" i="4"/>
  <c r="W753" i="4"/>
  <c r="S753" i="4"/>
  <c r="N753" i="4"/>
  <c r="AC752" i="4"/>
  <c r="Y752" i="4"/>
  <c r="W752" i="4"/>
  <c r="S752" i="4"/>
  <c r="N752" i="4"/>
  <c r="AC751" i="4"/>
  <c r="Y751" i="4"/>
  <c r="W751" i="4"/>
  <c r="S751" i="4"/>
  <c r="N751" i="4"/>
  <c r="AC750" i="4"/>
  <c r="Y750" i="4"/>
  <c r="W750" i="4"/>
  <c r="S750" i="4"/>
  <c r="N750" i="4"/>
  <c r="AC749" i="4"/>
  <c r="Y749" i="4"/>
  <c r="W749" i="4"/>
  <c r="S749" i="4"/>
  <c r="N749" i="4"/>
  <c r="AA748" i="4"/>
  <c r="S748" i="4"/>
  <c r="U748" i="4" s="1"/>
  <c r="N748" i="4"/>
  <c r="AC747" i="4"/>
  <c r="Y747" i="4"/>
  <c r="Z747" i="4" s="1"/>
  <c r="S747" i="4"/>
  <c r="N747" i="4"/>
  <c r="AC746" i="4"/>
  <c r="Y746" i="4"/>
  <c r="Z746" i="4" s="1"/>
  <c r="S746" i="4"/>
  <c r="N746" i="4"/>
  <c r="AC745" i="4"/>
  <c r="Y745" i="4"/>
  <c r="Z745" i="4" s="1"/>
  <c r="S745" i="4"/>
  <c r="N745" i="4"/>
  <c r="AC744" i="4"/>
  <c r="S744" i="4"/>
  <c r="N744" i="4"/>
  <c r="AC743" i="4"/>
  <c r="Y743" i="4"/>
  <c r="W743" i="4"/>
  <c r="S743" i="4"/>
  <c r="N743" i="4"/>
  <c r="S742" i="4"/>
  <c r="U742" i="4" s="1"/>
  <c r="N742" i="4"/>
  <c r="S741" i="4"/>
  <c r="U741" i="4" s="1"/>
  <c r="N741" i="4"/>
  <c r="S740" i="4"/>
  <c r="U740" i="4" s="1"/>
  <c r="N740" i="4"/>
  <c r="S739" i="4"/>
  <c r="U739" i="4" s="1"/>
  <c r="N739" i="4"/>
  <c r="S738" i="4"/>
  <c r="U738" i="4" s="1"/>
  <c r="N738" i="4"/>
  <c r="S737" i="4"/>
  <c r="U737" i="4" s="1"/>
  <c r="N737" i="4"/>
  <c r="S736" i="4"/>
  <c r="U736" i="4" s="1"/>
  <c r="N736" i="4"/>
  <c r="S735" i="4"/>
  <c r="U735" i="4" s="1"/>
  <c r="N735" i="4"/>
  <c r="S734" i="4"/>
  <c r="U734" i="4" s="1"/>
  <c r="N734" i="4"/>
  <c r="S733" i="4"/>
  <c r="U733" i="4" s="1"/>
  <c r="N733" i="4"/>
  <c r="S732" i="4"/>
  <c r="U732" i="4" s="1"/>
  <c r="N732" i="4"/>
  <c r="S731" i="4"/>
  <c r="U731" i="4" s="1"/>
  <c r="N731" i="4"/>
  <c r="S730" i="4"/>
  <c r="U730" i="4" s="1"/>
  <c r="N730" i="4"/>
  <c r="S729" i="4"/>
  <c r="U729" i="4" s="1"/>
  <c r="N729" i="4"/>
  <c r="S728" i="4"/>
  <c r="U728" i="4" s="1"/>
  <c r="N728" i="4"/>
  <c r="S727" i="4"/>
  <c r="U727" i="4" s="1"/>
  <c r="N727" i="4"/>
  <c r="Y726" i="4"/>
  <c r="W726" i="4"/>
  <c r="S726" i="4"/>
  <c r="N726" i="4"/>
  <c r="AC725" i="4"/>
  <c r="Y725" i="4"/>
  <c r="W725" i="4"/>
  <c r="S725" i="4"/>
  <c r="N725" i="4"/>
  <c r="AC724" i="4"/>
  <c r="Y724" i="4"/>
  <c r="W724" i="4"/>
  <c r="S724" i="4"/>
  <c r="N724" i="4"/>
  <c r="AC723" i="4"/>
  <c r="Y723" i="4"/>
  <c r="W723" i="4"/>
  <c r="S723" i="4"/>
  <c r="N723" i="4"/>
  <c r="AC722" i="4"/>
  <c r="Y722" i="4"/>
  <c r="W722" i="4"/>
  <c r="S722" i="4"/>
  <c r="N722" i="4"/>
  <c r="AC721" i="4"/>
  <c r="Y721" i="4"/>
  <c r="W721" i="4"/>
  <c r="S721" i="4"/>
  <c r="N721" i="4"/>
  <c r="AC720" i="4"/>
  <c r="Y720" i="4"/>
  <c r="W720" i="4"/>
  <c r="S720" i="4"/>
  <c r="N720" i="4"/>
  <c r="AC719" i="4"/>
  <c r="Y719" i="4"/>
  <c r="W719" i="4"/>
  <c r="S719" i="4"/>
  <c r="N719" i="4"/>
  <c r="AC718" i="4"/>
  <c r="Y718" i="4"/>
  <c r="W718" i="4"/>
  <c r="S718" i="4"/>
  <c r="N718" i="4"/>
  <c r="AC717" i="4"/>
  <c r="Y717" i="4"/>
  <c r="W717" i="4"/>
  <c r="S717" i="4"/>
  <c r="N717" i="4"/>
  <c r="AC716" i="4"/>
  <c r="Y716" i="4"/>
  <c r="W716" i="4"/>
  <c r="S716" i="4"/>
  <c r="N716" i="4"/>
  <c r="AC715" i="4"/>
  <c r="Y715" i="4"/>
  <c r="W715" i="4"/>
  <c r="S715" i="4"/>
  <c r="N715" i="4"/>
  <c r="O714" i="4"/>
  <c r="O713" i="4" s="1"/>
  <c r="M714" i="4"/>
  <c r="M713" i="4" s="1"/>
  <c r="R713" i="4"/>
  <c r="Q713" i="4"/>
  <c r="P713" i="4"/>
  <c r="S711" i="4"/>
  <c r="U711" i="4" s="1"/>
  <c r="Y711" i="4" s="1"/>
  <c r="N711" i="4"/>
  <c r="S710" i="4"/>
  <c r="U710" i="4" s="1"/>
  <c r="N710" i="4"/>
  <c r="S709" i="4"/>
  <c r="U709" i="4" s="1"/>
  <c r="N709" i="4"/>
  <c r="S708" i="4"/>
  <c r="U708" i="4" s="1"/>
  <c r="N708" i="4"/>
  <c r="S707" i="4"/>
  <c r="N707" i="4"/>
  <c r="S706" i="4"/>
  <c r="U706" i="4" s="1"/>
  <c r="Y706" i="4" s="1"/>
  <c r="N706" i="4"/>
  <c r="S705" i="4"/>
  <c r="U705" i="4" s="1"/>
  <c r="AB705" i="4" s="1"/>
  <c r="N705" i="4"/>
  <c r="Z704" i="4"/>
  <c r="W704" i="4"/>
  <c r="O704" i="4"/>
  <c r="M704" i="4"/>
  <c r="AG703" i="4"/>
  <c r="AC702" i="4"/>
  <c r="Y702" i="4"/>
  <c r="W702" i="4"/>
  <c r="S702" i="4"/>
  <c r="N702" i="4"/>
  <c r="AC701" i="4"/>
  <c r="Y701" i="4"/>
  <c r="W701" i="4"/>
  <c r="S701" i="4"/>
  <c r="N701" i="4"/>
  <c r="AC700" i="4"/>
  <c r="Y700" i="4"/>
  <c r="W700" i="4"/>
  <c r="S700" i="4"/>
  <c r="N700" i="4"/>
  <c r="AC699" i="4"/>
  <c r="Y699" i="4"/>
  <c r="W699" i="4"/>
  <c r="S699" i="4"/>
  <c r="N699" i="4"/>
  <c r="AC698" i="4"/>
  <c r="Y698" i="4"/>
  <c r="W698" i="4"/>
  <c r="S698" i="4"/>
  <c r="N698" i="4"/>
  <c r="AC697" i="4"/>
  <c r="Y697" i="4"/>
  <c r="W697" i="4"/>
  <c r="S697" i="4"/>
  <c r="N697" i="4"/>
  <c r="S696" i="4"/>
  <c r="U696" i="4" s="1"/>
  <c r="N696" i="4"/>
  <c r="S695" i="4"/>
  <c r="U695" i="4" s="1"/>
  <c r="Y695" i="4" s="1"/>
  <c r="N695" i="4"/>
  <c r="S694" i="4"/>
  <c r="U694" i="4" s="1"/>
  <c r="AB694" i="4" s="1"/>
  <c r="N694" i="4"/>
  <c r="AC693" i="4"/>
  <c r="Y693" i="4"/>
  <c r="W693" i="4"/>
  <c r="S693" i="4"/>
  <c r="N693" i="4"/>
  <c r="AC692" i="4"/>
  <c r="Y692" i="4"/>
  <c r="W692" i="4"/>
  <c r="S692" i="4"/>
  <c r="N692" i="4"/>
  <c r="AC691" i="4"/>
  <c r="Y691" i="4"/>
  <c r="W691" i="4"/>
  <c r="S691" i="4"/>
  <c r="N691" i="4"/>
  <c r="AC690" i="4"/>
  <c r="Y690" i="4"/>
  <c r="W690" i="4"/>
  <c r="S690" i="4"/>
  <c r="N690" i="4"/>
  <c r="AC689" i="4"/>
  <c r="Y689" i="4"/>
  <c r="W689" i="4"/>
  <c r="S689" i="4"/>
  <c r="N689" i="4"/>
  <c r="AC688" i="4"/>
  <c r="Y688" i="4"/>
  <c r="W688" i="4"/>
  <c r="S688" i="4"/>
  <c r="N688" i="4"/>
  <c r="AC687" i="4"/>
  <c r="Y687" i="4"/>
  <c r="W687" i="4"/>
  <c r="S687" i="4"/>
  <c r="N687" i="4"/>
  <c r="AC686" i="4"/>
  <c r="Y686" i="4"/>
  <c r="W686" i="4"/>
  <c r="S686" i="4"/>
  <c r="N686" i="4"/>
  <c r="AC685" i="4"/>
  <c r="Y685" i="4"/>
  <c r="W685" i="4"/>
  <c r="S685" i="4"/>
  <c r="N685" i="4"/>
  <c r="AC684" i="4"/>
  <c r="Y684" i="4"/>
  <c r="W684" i="4"/>
  <c r="S684" i="4"/>
  <c r="N684" i="4"/>
  <c r="AC683" i="4"/>
  <c r="Y683" i="4"/>
  <c r="W683" i="4"/>
  <c r="S683" i="4"/>
  <c r="N683" i="4"/>
  <c r="AC682" i="4"/>
  <c r="Y682" i="4"/>
  <c r="W682" i="4"/>
  <c r="S682" i="4"/>
  <c r="N682" i="4"/>
  <c r="AC681" i="4"/>
  <c r="Y681" i="4"/>
  <c r="W681" i="4"/>
  <c r="S681" i="4"/>
  <c r="N681" i="4"/>
  <c r="AC680" i="4"/>
  <c r="Y680" i="4"/>
  <c r="W680" i="4"/>
  <c r="S680" i="4"/>
  <c r="N680" i="4"/>
  <c r="AC679" i="4"/>
  <c r="Y679" i="4"/>
  <c r="W679" i="4"/>
  <c r="S679" i="4"/>
  <c r="N679" i="4"/>
  <c r="AC678" i="4"/>
  <c r="Y678" i="4"/>
  <c r="W678" i="4"/>
  <c r="S678" i="4"/>
  <c r="N678" i="4"/>
  <c r="AC677" i="4"/>
  <c r="Y677" i="4"/>
  <c r="W677" i="4"/>
  <c r="S677" i="4"/>
  <c r="N677" i="4"/>
  <c r="AC676" i="4"/>
  <c r="Y676" i="4"/>
  <c r="W676" i="4"/>
  <c r="S676" i="4"/>
  <c r="N676" i="4"/>
  <c r="AC675" i="4"/>
  <c r="Y675" i="4"/>
  <c r="W675" i="4"/>
  <c r="S675" i="4"/>
  <c r="N675" i="4"/>
  <c r="AC674" i="4"/>
  <c r="Y674" i="4"/>
  <c r="W674" i="4"/>
  <c r="S674" i="4"/>
  <c r="N674" i="4"/>
  <c r="AC673" i="4"/>
  <c r="Y673" i="4"/>
  <c r="W673" i="4"/>
  <c r="S673" i="4"/>
  <c r="N673" i="4"/>
  <c r="AC672" i="4"/>
  <c r="Y672" i="4"/>
  <c r="W672" i="4"/>
  <c r="S672" i="4"/>
  <c r="N672" i="4"/>
  <c r="AC671" i="4"/>
  <c r="Y671" i="4"/>
  <c r="W671" i="4"/>
  <c r="S671" i="4"/>
  <c r="N671" i="4"/>
  <c r="AC670" i="4"/>
  <c r="Y670" i="4"/>
  <c r="W670" i="4"/>
  <c r="S670" i="4"/>
  <c r="N670" i="4"/>
  <c r="AC669" i="4"/>
  <c r="Y669" i="4"/>
  <c r="W669" i="4"/>
  <c r="S669" i="4"/>
  <c r="N669" i="4"/>
  <c r="AC668" i="4"/>
  <c r="Y668" i="4"/>
  <c r="W668" i="4"/>
  <c r="S668" i="4"/>
  <c r="N668" i="4"/>
  <c r="AC667" i="4"/>
  <c r="Y667" i="4"/>
  <c r="W667" i="4"/>
  <c r="S667" i="4"/>
  <c r="N667" i="4"/>
  <c r="AC666" i="4"/>
  <c r="Y666" i="4"/>
  <c r="W666" i="4"/>
  <c r="S666" i="4"/>
  <c r="N666" i="4"/>
  <c r="AC665" i="4"/>
  <c r="Y665" i="4"/>
  <c r="W665" i="4"/>
  <c r="S665" i="4"/>
  <c r="N665" i="4"/>
  <c r="AC664" i="4"/>
  <c r="Y664" i="4"/>
  <c r="W664" i="4"/>
  <c r="S664" i="4"/>
  <c r="N664" i="4"/>
  <c r="AC663" i="4"/>
  <c r="Y663" i="4"/>
  <c r="W663" i="4"/>
  <c r="S663" i="4"/>
  <c r="N663" i="4"/>
  <c r="AC662" i="4"/>
  <c r="Y662" i="4"/>
  <c r="W662" i="4"/>
  <c r="S662" i="4"/>
  <c r="N662" i="4"/>
  <c r="AC661" i="4"/>
  <c r="Y661" i="4"/>
  <c r="W661" i="4"/>
  <c r="S661" i="4"/>
  <c r="N661" i="4"/>
  <c r="AC660" i="4"/>
  <c r="Y660" i="4"/>
  <c r="W660" i="4"/>
  <c r="S660" i="4"/>
  <c r="N660" i="4"/>
  <c r="AA659" i="4"/>
  <c r="S659" i="4"/>
  <c r="U659" i="4" s="1"/>
  <c r="N659" i="4"/>
  <c r="AG658" i="4"/>
  <c r="AC658" i="4"/>
  <c r="S658" i="4"/>
  <c r="U658" i="4" s="1"/>
  <c r="N658" i="4"/>
  <c r="AA657" i="4"/>
  <c r="U657" i="4"/>
  <c r="Y657" i="4" s="1"/>
  <c r="AA656" i="4"/>
  <c r="S656" i="4"/>
  <c r="U656" i="4" s="1"/>
  <c r="N656" i="4"/>
  <c r="AC655" i="4"/>
  <c r="Y655" i="4"/>
  <c r="W655" i="4"/>
  <c r="S655" i="4"/>
  <c r="N655" i="4"/>
  <c r="AA654" i="4"/>
  <c r="S654" i="4"/>
  <c r="U654" i="4" s="1"/>
  <c r="N654" i="4"/>
  <c r="S653" i="4"/>
  <c r="U653" i="4" s="1"/>
  <c r="N653" i="4"/>
  <c r="S652" i="4"/>
  <c r="U652" i="4" s="1"/>
  <c r="N652" i="4"/>
  <c r="AC651" i="4"/>
  <c r="Y651" i="4"/>
  <c r="W651" i="4"/>
  <c r="S651" i="4"/>
  <c r="N651" i="4"/>
  <c r="AC650" i="4"/>
  <c r="Y650" i="4"/>
  <c r="W650" i="4"/>
  <c r="S650" i="4"/>
  <c r="N650" i="4"/>
  <c r="AC649" i="4"/>
  <c r="Y649" i="4"/>
  <c r="W649" i="4"/>
  <c r="S649" i="4"/>
  <c r="N649" i="4"/>
  <c r="AC648" i="4"/>
  <c r="Y648" i="4"/>
  <c r="W648" i="4"/>
  <c r="S648" i="4"/>
  <c r="N648" i="4"/>
  <c r="AC647" i="4"/>
  <c r="Y647" i="4"/>
  <c r="W647" i="4"/>
  <c r="S647" i="4"/>
  <c r="N647" i="4"/>
  <c r="AC646" i="4"/>
  <c r="Y646" i="4"/>
  <c r="W646" i="4"/>
  <c r="S646" i="4"/>
  <c r="N646" i="4"/>
  <c r="AA645" i="4"/>
  <c r="S645" i="4"/>
  <c r="U645" i="4" s="1"/>
  <c r="N645" i="4"/>
  <c r="AA644" i="4"/>
  <c r="S644" i="4"/>
  <c r="U644" i="4" s="1"/>
  <c r="W644" i="4" s="1"/>
  <c r="N644" i="4"/>
  <c r="AC643" i="4"/>
  <c r="Y643" i="4"/>
  <c r="W643" i="4"/>
  <c r="S643" i="4"/>
  <c r="N643" i="4"/>
  <c r="AC642" i="4"/>
  <c r="Y642" i="4"/>
  <c r="W642" i="4"/>
  <c r="S642" i="4"/>
  <c r="N642" i="4"/>
  <c r="AG641" i="4"/>
  <c r="AC641" i="4"/>
  <c r="S641" i="4"/>
  <c r="U641" i="4" s="1"/>
  <c r="N641" i="4"/>
  <c r="AC640" i="4"/>
  <c r="Y640" i="4"/>
  <c r="W640" i="4"/>
  <c r="S640" i="4"/>
  <c r="N640" i="4"/>
  <c r="AG639" i="4"/>
  <c r="AC639" i="4"/>
  <c r="S639" i="4"/>
  <c r="U639" i="4" s="1"/>
  <c r="Y639" i="4" s="1"/>
  <c r="N639" i="4"/>
  <c r="AA638" i="4"/>
  <c r="S638" i="4"/>
  <c r="U638" i="4" s="1"/>
  <c r="N638" i="4"/>
  <c r="AA637" i="4"/>
  <c r="S637" i="4"/>
  <c r="U637" i="4" s="1"/>
  <c r="AC636" i="4"/>
  <c r="S636" i="4"/>
  <c r="U636" i="4" s="1"/>
  <c r="Y636" i="4" s="1"/>
  <c r="Z636" i="4" s="1"/>
  <c r="AG636" i="4" s="1"/>
  <c r="N636" i="4"/>
  <c r="AC635" i="4"/>
  <c r="Y635" i="4"/>
  <c r="W635" i="4"/>
  <c r="S635" i="4"/>
  <c r="N635" i="4"/>
  <c r="AC634" i="4"/>
  <c r="Y634" i="4"/>
  <c r="W634" i="4"/>
  <c r="S634" i="4"/>
  <c r="N634" i="4"/>
  <c r="AC633" i="4"/>
  <c r="Y633" i="4"/>
  <c r="W633" i="4"/>
  <c r="S633" i="4"/>
  <c r="N633" i="4"/>
  <c r="AC632" i="4"/>
  <c r="Y632" i="4"/>
  <c r="W632" i="4"/>
  <c r="S632" i="4"/>
  <c r="N632" i="4"/>
  <c r="AC631" i="4"/>
  <c r="Y631" i="4"/>
  <c r="W631" i="4"/>
  <c r="S631" i="4"/>
  <c r="N631" i="4"/>
  <c r="AC630" i="4"/>
  <c r="Y630" i="4"/>
  <c r="W630" i="4"/>
  <c r="S630" i="4"/>
  <c r="N630" i="4"/>
  <c r="AA629" i="4"/>
  <c r="S629" i="4"/>
  <c r="U629" i="4" s="1"/>
  <c r="N629" i="4"/>
  <c r="AA628" i="4"/>
  <c r="S628" i="4"/>
  <c r="U628" i="4" s="1"/>
  <c r="N628" i="4"/>
  <c r="AA627" i="4"/>
  <c r="S627" i="4"/>
  <c r="U627" i="4" s="1"/>
  <c r="N627" i="4"/>
  <c r="AA626" i="4"/>
  <c r="S626" i="4"/>
  <c r="U626" i="4" s="1"/>
  <c r="N626" i="4"/>
  <c r="AA625" i="4"/>
  <c r="S625" i="4"/>
  <c r="U625" i="4" s="1"/>
  <c r="N625" i="4"/>
  <c r="AA624" i="4"/>
  <c r="S624" i="4"/>
  <c r="U624" i="4" s="1"/>
  <c r="Y624" i="4" s="1"/>
  <c r="N624" i="4"/>
  <c r="AA623" i="4"/>
  <c r="S623" i="4"/>
  <c r="U623" i="4" s="1"/>
  <c r="N623" i="4"/>
  <c r="AA622" i="4"/>
  <c r="S622" i="4"/>
  <c r="U622" i="4" s="1"/>
  <c r="N622" i="4"/>
  <c r="AA621" i="4"/>
  <c r="S621" i="4"/>
  <c r="U621" i="4" s="1"/>
  <c r="N621" i="4"/>
  <c r="AA620" i="4"/>
  <c r="S620" i="4"/>
  <c r="U620" i="4" s="1"/>
  <c r="N620" i="4"/>
  <c r="AA619" i="4"/>
  <c r="S619" i="4"/>
  <c r="U619" i="4" s="1"/>
  <c r="N619" i="4"/>
  <c r="S618" i="4"/>
  <c r="U618" i="4" s="1"/>
  <c r="N618" i="4"/>
  <c r="S617" i="4"/>
  <c r="U617" i="4" s="1"/>
  <c r="Y617" i="4" s="1"/>
  <c r="Z617" i="4" s="1"/>
  <c r="N617" i="4"/>
  <c r="S616" i="4"/>
  <c r="U616" i="4" s="1"/>
  <c r="N616" i="4"/>
  <c r="S615" i="4"/>
  <c r="U615" i="4" s="1"/>
  <c r="N615" i="4"/>
  <c r="S614" i="4"/>
  <c r="U614" i="4" s="1"/>
  <c r="Y614" i="4" s="1"/>
  <c r="N614" i="4"/>
  <c r="S613" i="4"/>
  <c r="U613" i="4" s="1"/>
  <c r="N613" i="4"/>
  <c r="AA612" i="4"/>
  <c r="S612" i="4"/>
  <c r="U612" i="4" s="1"/>
  <c r="N612" i="4"/>
  <c r="S611" i="4"/>
  <c r="U611" i="4" s="1"/>
  <c r="Y611" i="4" s="1"/>
  <c r="N611" i="4"/>
  <c r="S610" i="4"/>
  <c r="U610" i="4" s="1"/>
  <c r="AB610" i="4" s="1"/>
  <c r="N610" i="4"/>
  <c r="AC609" i="4"/>
  <c r="Y609" i="4"/>
  <c r="W609" i="4"/>
  <c r="S609" i="4"/>
  <c r="N609" i="4"/>
  <c r="AC608" i="4"/>
  <c r="Y608" i="4"/>
  <c r="W608" i="4"/>
  <c r="S608" i="4"/>
  <c r="N608" i="4"/>
  <c r="AC607" i="4"/>
  <c r="Y607" i="4"/>
  <c r="W607" i="4"/>
  <c r="S607" i="4"/>
  <c r="N607" i="4"/>
  <c r="AC606" i="4"/>
  <c r="Y606" i="4"/>
  <c r="W606" i="4"/>
  <c r="S606" i="4"/>
  <c r="N606" i="4"/>
  <c r="AC605" i="4"/>
  <c r="Y605" i="4"/>
  <c r="W605" i="4"/>
  <c r="S605" i="4"/>
  <c r="N605" i="4"/>
  <c r="AC604" i="4"/>
  <c r="Y604" i="4"/>
  <c r="W604" i="4"/>
  <c r="S604" i="4"/>
  <c r="N604" i="4"/>
  <c r="AC603" i="4"/>
  <c r="S603" i="4"/>
  <c r="U603" i="4" s="1"/>
  <c r="W603" i="4" s="1"/>
  <c r="Z603" i="4" s="1"/>
  <c r="AG603" i="4" s="1"/>
  <c r="N603" i="4"/>
  <c r="S602" i="4"/>
  <c r="U602" i="4" s="1"/>
  <c r="AB602" i="4" s="1"/>
  <c r="N602" i="4"/>
  <c r="S601" i="4"/>
  <c r="U601" i="4" s="1"/>
  <c r="N601" i="4"/>
  <c r="S600" i="4"/>
  <c r="U600" i="4" s="1"/>
  <c r="N600" i="4"/>
  <c r="AA599" i="4"/>
  <c r="S599" i="4"/>
  <c r="U599" i="4" s="1"/>
  <c r="N599" i="4"/>
  <c r="AC598" i="4"/>
  <c r="Y598" i="4"/>
  <c r="W598" i="4"/>
  <c r="S598" i="4"/>
  <c r="N598" i="4"/>
  <c r="AC597" i="4"/>
  <c r="Y597" i="4"/>
  <c r="W597" i="4"/>
  <c r="S597" i="4"/>
  <c r="N597" i="4"/>
  <c r="AC596" i="4"/>
  <c r="Y596" i="4"/>
  <c r="W596" i="4"/>
  <c r="S596" i="4"/>
  <c r="N596" i="4"/>
  <c r="AC595" i="4"/>
  <c r="Y595" i="4"/>
  <c r="W595" i="4"/>
  <c r="S595" i="4"/>
  <c r="N595" i="4"/>
  <c r="AC594" i="4"/>
  <c r="Y594" i="4"/>
  <c r="W594" i="4"/>
  <c r="S594" i="4"/>
  <c r="N594" i="4"/>
  <c r="AC593" i="4"/>
  <c r="Y593" i="4"/>
  <c r="W593" i="4"/>
  <c r="S593" i="4"/>
  <c r="N593" i="4"/>
  <c r="AC592" i="4"/>
  <c r="Y592" i="4"/>
  <c r="W592" i="4"/>
  <c r="S592" i="4"/>
  <c r="N592" i="4"/>
  <c r="AC591" i="4"/>
  <c r="Y591" i="4"/>
  <c r="W591" i="4"/>
  <c r="S591" i="4"/>
  <c r="N591" i="4"/>
  <c r="S590" i="4"/>
  <c r="U590" i="4" s="1"/>
  <c r="AB590" i="4" s="1"/>
  <c r="N590" i="4"/>
  <c r="AC589" i="4"/>
  <c r="Y589" i="4"/>
  <c r="W589" i="4"/>
  <c r="S589" i="4"/>
  <c r="N589" i="4"/>
  <c r="AC588" i="4"/>
  <c r="Y588" i="4"/>
  <c r="W588" i="4"/>
  <c r="S588" i="4"/>
  <c r="N588" i="4"/>
  <c r="AC587" i="4"/>
  <c r="Y587" i="4"/>
  <c r="W587" i="4"/>
  <c r="S587" i="4"/>
  <c r="N587" i="4"/>
  <c r="AC586" i="4"/>
  <c r="Y586" i="4"/>
  <c r="W586" i="4"/>
  <c r="S586" i="4"/>
  <c r="N586" i="4"/>
  <c r="AC585" i="4"/>
  <c r="Y585" i="4"/>
  <c r="W585" i="4"/>
  <c r="S585" i="4"/>
  <c r="N585" i="4"/>
  <c r="AC584" i="4"/>
  <c r="Y584" i="4"/>
  <c r="W584" i="4"/>
  <c r="S584" i="4"/>
  <c r="N584" i="4"/>
  <c r="AC583" i="4"/>
  <c r="Y583" i="4"/>
  <c r="W583" i="4"/>
  <c r="S583" i="4"/>
  <c r="N583" i="4"/>
  <c r="AC582" i="4"/>
  <c r="Y582" i="4"/>
  <c r="W582" i="4"/>
  <c r="S582" i="4"/>
  <c r="N582" i="4"/>
  <c r="AC581" i="4"/>
  <c r="Y581" i="4"/>
  <c r="W581" i="4"/>
  <c r="S581" i="4"/>
  <c r="N581" i="4"/>
  <c r="AA580" i="4"/>
  <c r="S580" i="4"/>
  <c r="U580" i="4" s="1"/>
  <c r="N580" i="4"/>
  <c r="S579" i="4"/>
  <c r="U579" i="4" s="1"/>
  <c r="Y579" i="4" s="1"/>
  <c r="Z579" i="4" s="1"/>
  <c r="N579" i="4"/>
  <c r="S578" i="4"/>
  <c r="U578" i="4" s="1"/>
  <c r="Y578" i="4" s="1"/>
  <c r="Z578" i="4" s="1"/>
  <c r="N578" i="4"/>
  <c r="S577" i="4"/>
  <c r="U577" i="4" s="1"/>
  <c r="Y577" i="4" s="1"/>
  <c r="Z577" i="4" s="1"/>
  <c r="N577" i="4"/>
  <c r="S576" i="4"/>
  <c r="U576" i="4" s="1"/>
  <c r="Y576" i="4" s="1"/>
  <c r="Z576" i="4" s="1"/>
  <c r="N576" i="4"/>
  <c r="S575" i="4"/>
  <c r="U575" i="4" s="1"/>
  <c r="N575" i="4"/>
  <c r="S574" i="4"/>
  <c r="U574" i="4" s="1"/>
  <c r="N574" i="4"/>
  <c r="S573" i="4"/>
  <c r="U573" i="4" s="1"/>
  <c r="N573" i="4"/>
  <c r="S572" i="4"/>
  <c r="U572" i="4" s="1"/>
  <c r="N572" i="4"/>
  <c r="S571" i="4"/>
  <c r="U571" i="4" s="1"/>
  <c r="Y571" i="4" s="1"/>
  <c r="N571" i="4"/>
  <c r="AC570" i="4"/>
  <c r="Y570" i="4"/>
  <c r="W570" i="4"/>
  <c r="S570" i="4"/>
  <c r="N570" i="4"/>
  <c r="AC569" i="4"/>
  <c r="Y569" i="4"/>
  <c r="W569" i="4"/>
  <c r="S569" i="4"/>
  <c r="N569" i="4"/>
  <c r="AC568" i="4"/>
  <c r="Y568" i="4"/>
  <c r="W568" i="4"/>
  <c r="S568" i="4"/>
  <c r="N568" i="4"/>
  <c r="AC567" i="4"/>
  <c r="Y567" i="4"/>
  <c r="W567" i="4"/>
  <c r="S567" i="4"/>
  <c r="N567" i="4"/>
  <c r="AC566" i="4"/>
  <c r="Y566" i="4"/>
  <c r="W566" i="4"/>
  <c r="S566" i="4"/>
  <c r="N566" i="4"/>
  <c r="AC565" i="4"/>
  <c r="Y565" i="4"/>
  <c r="W565" i="4"/>
  <c r="S565" i="4"/>
  <c r="N565" i="4"/>
  <c r="AC564" i="4"/>
  <c r="Y564" i="4"/>
  <c r="W564" i="4"/>
  <c r="S564" i="4"/>
  <c r="N564" i="4"/>
  <c r="AC563" i="4"/>
  <c r="Y563" i="4"/>
  <c r="W563" i="4"/>
  <c r="S563" i="4"/>
  <c r="N563" i="4"/>
  <c r="AC562" i="4"/>
  <c r="Y562" i="4"/>
  <c r="W562" i="4"/>
  <c r="S562" i="4"/>
  <c r="N562" i="4"/>
  <c r="AC561" i="4"/>
  <c r="Y561" i="4"/>
  <c r="W561" i="4"/>
  <c r="S561" i="4"/>
  <c r="N561" i="4"/>
  <c r="AC560" i="4"/>
  <c r="Y560" i="4"/>
  <c r="W560" i="4"/>
  <c r="S560" i="4"/>
  <c r="N560" i="4"/>
  <c r="AA559" i="4"/>
  <c r="S559" i="4"/>
  <c r="U559" i="4" s="1"/>
  <c r="Y559" i="4" s="1"/>
  <c r="N559" i="4"/>
  <c r="AC558" i="4"/>
  <c r="Y558" i="4"/>
  <c r="W558" i="4"/>
  <c r="S558" i="4"/>
  <c r="N558" i="4"/>
  <c r="AC557" i="4"/>
  <c r="Y557" i="4"/>
  <c r="W557" i="4"/>
  <c r="S557" i="4"/>
  <c r="N557" i="4"/>
  <c r="S556" i="4"/>
  <c r="U556" i="4" s="1"/>
  <c r="AB556" i="4" s="1"/>
  <c r="N556" i="4"/>
  <c r="AC555" i="4"/>
  <c r="Y555" i="4"/>
  <c r="W555" i="4"/>
  <c r="S555" i="4"/>
  <c r="N555" i="4"/>
  <c r="AC554" i="4"/>
  <c r="Y554" i="4"/>
  <c r="W554" i="4"/>
  <c r="S554" i="4"/>
  <c r="N554" i="4"/>
  <c r="AC553" i="4"/>
  <c r="Y553" i="4"/>
  <c r="W553" i="4"/>
  <c r="S553" i="4"/>
  <c r="N553" i="4"/>
  <c r="AC552" i="4"/>
  <c r="Y552" i="4"/>
  <c r="W552" i="4"/>
  <c r="S552" i="4"/>
  <c r="N552" i="4"/>
  <c r="AC551" i="4"/>
  <c r="Y551" i="4"/>
  <c r="W551" i="4"/>
  <c r="S551" i="4"/>
  <c r="N551" i="4"/>
  <c r="AC550" i="4"/>
  <c r="Y550" i="4"/>
  <c r="W550" i="4"/>
  <c r="S550" i="4"/>
  <c r="N550" i="4"/>
  <c r="AA549" i="4"/>
  <c r="S549" i="4"/>
  <c r="U549" i="4" s="1"/>
  <c r="N549" i="4"/>
  <c r="AA548" i="4"/>
  <c r="S548" i="4"/>
  <c r="U548" i="4" s="1"/>
  <c r="N548" i="4"/>
  <c r="AA547" i="4"/>
  <c r="S547" i="4"/>
  <c r="U547" i="4" s="1"/>
  <c r="N547" i="4"/>
  <c r="AC546" i="4"/>
  <c r="S546" i="4"/>
  <c r="U546" i="4" s="1"/>
  <c r="W546" i="4" s="1"/>
  <c r="Z546" i="4" s="1"/>
  <c r="AG546" i="4" s="1"/>
  <c r="N546" i="4"/>
  <c r="S545" i="4"/>
  <c r="U545" i="4" s="1"/>
  <c r="N545" i="4"/>
  <c r="S544" i="4"/>
  <c r="U544" i="4" s="1"/>
  <c r="N544" i="4"/>
  <c r="S543" i="4"/>
  <c r="U543" i="4" s="1"/>
  <c r="N543" i="4"/>
  <c r="S542" i="4"/>
  <c r="U542" i="4" s="1"/>
  <c r="AB542" i="4" s="1"/>
  <c r="N542" i="4"/>
  <c r="S541" i="4"/>
  <c r="U541" i="4" s="1"/>
  <c r="N541" i="4"/>
  <c r="S540" i="4"/>
  <c r="U540" i="4" s="1"/>
  <c r="N540" i="4"/>
  <c r="AC539" i="4"/>
  <c r="Y539" i="4"/>
  <c r="W539" i="4"/>
  <c r="S539" i="4"/>
  <c r="N539" i="4"/>
  <c r="AC538" i="4"/>
  <c r="Y538" i="4"/>
  <c r="W538" i="4"/>
  <c r="S538" i="4"/>
  <c r="N538" i="4"/>
  <c r="AC537" i="4"/>
  <c r="Y537" i="4"/>
  <c r="W537" i="4"/>
  <c r="S537" i="4"/>
  <c r="N537" i="4"/>
  <c r="AC536" i="4"/>
  <c r="Y536" i="4"/>
  <c r="W536" i="4"/>
  <c r="S536" i="4"/>
  <c r="N536" i="4"/>
  <c r="AC535" i="4"/>
  <c r="Y535" i="4"/>
  <c r="W535" i="4"/>
  <c r="S535" i="4"/>
  <c r="N535" i="4"/>
  <c r="AC534" i="4"/>
  <c r="Y534" i="4"/>
  <c r="W534" i="4"/>
  <c r="S534" i="4"/>
  <c r="N534" i="4"/>
  <c r="AC533" i="4"/>
  <c r="Y533" i="4"/>
  <c r="W533" i="4"/>
  <c r="S533" i="4"/>
  <c r="N533" i="4"/>
  <c r="AC532" i="4"/>
  <c r="Y532" i="4"/>
  <c r="W532" i="4"/>
  <c r="S532" i="4"/>
  <c r="N532" i="4"/>
  <c r="AC531" i="4"/>
  <c r="Y531" i="4"/>
  <c r="W531" i="4"/>
  <c r="S531" i="4"/>
  <c r="N531" i="4"/>
  <c r="AC530" i="4"/>
  <c r="Y530" i="4"/>
  <c r="W530" i="4"/>
  <c r="S530" i="4"/>
  <c r="N530" i="4"/>
  <c r="AC529" i="4"/>
  <c r="Y529" i="4"/>
  <c r="W529" i="4"/>
  <c r="S529" i="4"/>
  <c r="N529" i="4"/>
  <c r="AC528" i="4"/>
  <c r="Y528" i="4"/>
  <c r="W528" i="4"/>
  <c r="S528" i="4"/>
  <c r="N528" i="4"/>
  <c r="AC527" i="4"/>
  <c r="Y527" i="4"/>
  <c r="W527" i="4"/>
  <c r="S527" i="4"/>
  <c r="N527" i="4"/>
  <c r="AC526" i="4"/>
  <c r="Y526" i="4"/>
  <c r="W526" i="4"/>
  <c r="S526" i="4"/>
  <c r="N526" i="4"/>
  <c r="O525" i="4"/>
  <c r="M525" i="4"/>
  <c r="AG524" i="4"/>
  <c r="AA523" i="4"/>
  <c r="S523" i="4"/>
  <c r="U523" i="4" s="1"/>
  <c r="Y523" i="4" s="1"/>
  <c r="N523" i="4"/>
  <c r="AA522" i="4"/>
  <c r="S522" i="4"/>
  <c r="U522" i="4" s="1"/>
  <c r="AA521" i="4"/>
  <c r="S521" i="4"/>
  <c r="U521" i="4" s="1"/>
  <c r="N521" i="4"/>
  <c r="S520" i="4"/>
  <c r="U520" i="4" s="1"/>
  <c r="AB520" i="4" s="1"/>
  <c r="AG520" i="4" s="1"/>
  <c r="N520" i="4"/>
  <c r="S519" i="4"/>
  <c r="U519" i="4" s="1"/>
  <c r="N519" i="4"/>
  <c r="AC518" i="4"/>
  <c r="Y518" i="4"/>
  <c r="W518" i="4"/>
  <c r="S518" i="4"/>
  <c r="N518" i="4"/>
  <c r="AC517" i="4"/>
  <c r="Y517" i="4"/>
  <c r="W517" i="4"/>
  <c r="S517" i="4"/>
  <c r="N517" i="4"/>
  <c r="AC516" i="4"/>
  <c r="Y516" i="4"/>
  <c r="W516" i="4"/>
  <c r="S516" i="4"/>
  <c r="N516" i="4"/>
  <c r="AC515" i="4"/>
  <c r="Y515" i="4"/>
  <c r="W515" i="4"/>
  <c r="S515" i="4"/>
  <c r="N515" i="4"/>
  <c r="AC514" i="4"/>
  <c r="Y514" i="4"/>
  <c r="W514" i="4"/>
  <c r="S514" i="4"/>
  <c r="N514" i="4"/>
  <c r="AC513" i="4"/>
  <c r="Y513" i="4"/>
  <c r="W513" i="4"/>
  <c r="S513" i="4"/>
  <c r="N513" i="4"/>
  <c r="AA512" i="4"/>
  <c r="S512" i="4"/>
  <c r="U512" i="4" s="1"/>
  <c r="N512" i="4"/>
  <c r="AA511" i="4"/>
  <c r="S511" i="4"/>
  <c r="U511" i="4" s="1"/>
  <c r="N511" i="4"/>
  <c r="O510" i="4"/>
  <c r="M510" i="4"/>
  <c r="AG509" i="4"/>
  <c r="S508" i="4"/>
  <c r="U508" i="4" s="1"/>
  <c r="AB508" i="4" s="1"/>
  <c r="AC508" i="4" s="1"/>
  <c r="N508" i="4"/>
  <c r="AC507" i="4"/>
  <c r="Y507" i="4"/>
  <c r="W507" i="4"/>
  <c r="S507" i="4"/>
  <c r="N507" i="4"/>
  <c r="AC506" i="4"/>
  <c r="Y506" i="4"/>
  <c r="W506" i="4"/>
  <c r="S506" i="4"/>
  <c r="N506" i="4"/>
  <c r="AC505" i="4"/>
  <c r="Y505" i="4"/>
  <c r="W505" i="4"/>
  <c r="S505" i="4"/>
  <c r="N505" i="4"/>
  <c r="S504" i="4"/>
  <c r="U504" i="4" s="1"/>
  <c r="AB504" i="4" s="1"/>
  <c r="AC504" i="4" s="1"/>
  <c r="N504" i="4"/>
  <c r="S503" i="4"/>
  <c r="U503" i="4" s="1"/>
  <c r="N503" i="4"/>
  <c r="S502" i="4"/>
  <c r="U502" i="4" s="1"/>
  <c r="N502" i="4"/>
  <c r="S501" i="4"/>
  <c r="U501" i="4" s="1"/>
  <c r="N501" i="4"/>
  <c r="S500" i="4"/>
  <c r="U500" i="4" s="1"/>
  <c r="N500" i="4"/>
  <c r="S499" i="4"/>
  <c r="U499" i="4" s="1"/>
  <c r="N499" i="4"/>
  <c r="AA498" i="4"/>
  <c r="S498" i="4"/>
  <c r="U498" i="4" s="1"/>
  <c r="N498" i="4"/>
  <c r="AA497" i="4"/>
  <c r="S497" i="4"/>
  <c r="U497" i="4" s="1"/>
  <c r="Y497" i="4" s="1"/>
  <c r="N497" i="4"/>
  <c r="AA496" i="4"/>
  <c r="S496" i="4"/>
  <c r="U496" i="4" s="1"/>
  <c r="Y496" i="4" s="1"/>
  <c r="N496" i="4"/>
  <c r="AA495" i="4"/>
  <c r="S495" i="4"/>
  <c r="U495" i="4" s="1"/>
  <c r="Y495" i="4" s="1"/>
  <c r="N495" i="4"/>
  <c r="AA494" i="4"/>
  <c r="S494" i="4"/>
  <c r="U494" i="4" s="1"/>
  <c r="Y494" i="4" s="1"/>
  <c r="N494" i="4"/>
  <c r="AA493" i="4"/>
  <c r="S493" i="4"/>
  <c r="U493" i="4" s="1"/>
  <c r="AA492" i="4"/>
  <c r="S492" i="4"/>
  <c r="U492" i="4" s="1"/>
  <c r="AA491" i="4"/>
  <c r="S491" i="4"/>
  <c r="U491" i="4" s="1"/>
  <c r="Y491" i="4" s="1"/>
  <c r="AA490" i="4"/>
  <c r="S490" i="4"/>
  <c r="U490" i="4" s="1"/>
  <c r="AA489" i="4"/>
  <c r="S489" i="4"/>
  <c r="U489" i="4" s="1"/>
  <c r="Y489" i="4" s="1"/>
  <c r="AA488" i="4"/>
  <c r="O488" i="4"/>
  <c r="S488" i="4" s="1"/>
  <c r="U488" i="4" s="1"/>
  <c r="AA487" i="4"/>
  <c r="O487" i="4"/>
  <c r="S487" i="4" s="1"/>
  <c r="U487" i="4" s="1"/>
  <c r="AA486" i="4"/>
  <c r="O486" i="4"/>
  <c r="AA485" i="4"/>
  <c r="S485" i="4"/>
  <c r="U485" i="4" s="1"/>
  <c r="N485" i="4"/>
  <c r="AA484" i="4"/>
  <c r="S484" i="4"/>
  <c r="U484" i="4" s="1"/>
  <c r="N484" i="4"/>
  <c r="AA483" i="4"/>
  <c r="S483" i="4"/>
  <c r="U483" i="4" s="1"/>
  <c r="Y483" i="4" s="1"/>
  <c r="N483" i="4"/>
  <c r="AA482" i="4"/>
  <c r="S482" i="4"/>
  <c r="U482" i="4" s="1"/>
  <c r="N482" i="4"/>
  <c r="AA481" i="4"/>
  <c r="S481" i="4"/>
  <c r="U481" i="4" s="1"/>
  <c r="N481" i="4"/>
  <c r="AA480" i="4"/>
  <c r="S480" i="4"/>
  <c r="U480" i="4" s="1"/>
  <c r="N480" i="4"/>
  <c r="AA479" i="4"/>
  <c r="S479" i="4"/>
  <c r="U479" i="4" s="1"/>
  <c r="N479" i="4"/>
  <c r="AA478" i="4"/>
  <c r="S478" i="4"/>
  <c r="U478" i="4" s="1"/>
  <c r="N478" i="4"/>
  <c r="AA477" i="4"/>
  <c r="S477" i="4"/>
  <c r="U477" i="4" s="1"/>
  <c r="N477" i="4"/>
  <c r="AA476" i="4"/>
  <c r="S476" i="4"/>
  <c r="U476" i="4" s="1"/>
  <c r="N476" i="4"/>
  <c r="AA475" i="4"/>
  <c r="S475" i="4"/>
  <c r="U475" i="4" s="1"/>
  <c r="Y475" i="4" s="1"/>
  <c r="N475" i="4"/>
  <c r="AA474" i="4"/>
  <c r="S474" i="4"/>
  <c r="U474" i="4" s="1"/>
  <c r="N474" i="4"/>
  <c r="AC473" i="4"/>
  <c r="S473" i="4"/>
  <c r="U473" i="4" s="1"/>
  <c r="W473" i="4" s="1"/>
  <c r="Z473" i="4" s="1"/>
  <c r="AG473" i="4" s="1"/>
  <c r="N473" i="4"/>
  <c r="AC472" i="4"/>
  <c r="S472" i="4"/>
  <c r="U472" i="4" s="1"/>
  <c r="W472" i="4" s="1"/>
  <c r="Z472" i="4" s="1"/>
  <c r="AG472" i="4" s="1"/>
  <c r="N472" i="4"/>
  <c r="AC471" i="4"/>
  <c r="S471" i="4"/>
  <c r="U471" i="4" s="1"/>
  <c r="W471" i="4" s="1"/>
  <c r="Z471" i="4" s="1"/>
  <c r="AG471" i="4" s="1"/>
  <c r="N471" i="4"/>
  <c r="S470" i="4"/>
  <c r="U470" i="4" s="1"/>
  <c r="N470" i="4"/>
  <c r="S469" i="4"/>
  <c r="U469" i="4" s="1"/>
  <c r="AB469" i="4" s="1"/>
  <c r="N469" i="4"/>
  <c r="S468" i="4"/>
  <c r="U468" i="4" s="1"/>
  <c r="N468" i="4"/>
  <c r="AA467" i="4"/>
  <c r="S467" i="4"/>
  <c r="U467" i="4" s="1"/>
  <c r="Y467" i="4" s="1"/>
  <c r="N467" i="4"/>
  <c r="AA466" i="4"/>
  <c r="S466" i="4"/>
  <c r="U466" i="4" s="1"/>
  <c r="Y466" i="4" s="1"/>
  <c r="N466" i="4"/>
  <c r="AA465" i="4"/>
  <c r="S465" i="4"/>
  <c r="U465" i="4" s="1"/>
  <c r="Y465" i="4" s="1"/>
  <c r="N465" i="4"/>
  <c r="AC464" i="4"/>
  <c r="Y464" i="4"/>
  <c r="W464" i="4"/>
  <c r="S464" i="4"/>
  <c r="N464" i="4"/>
  <c r="AC463" i="4"/>
  <c r="Y463" i="4"/>
  <c r="W463" i="4"/>
  <c r="S463" i="4"/>
  <c r="N463" i="4"/>
  <c r="AC462" i="4"/>
  <c r="Y462" i="4"/>
  <c r="W462" i="4"/>
  <c r="S462" i="4"/>
  <c r="N462" i="4"/>
  <c r="AC461" i="4"/>
  <c r="Y461" i="4"/>
  <c r="W461" i="4"/>
  <c r="S461" i="4"/>
  <c r="N461" i="4"/>
  <c r="AA460" i="4"/>
  <c r="S460" i="4"/>
  <c r="U460" i="4" s="1"/>
  <c r="N460" i="4"/>
  <c r="AA459" i="4"/>
  <c r="S459" i="4"/>
  <c r="U459" i="4" s="1"/>
  <c r="N459" i="4"/>
  <c r="AC458" i="4"/>
  <c r="Y458" i="4"/>
  <c r="W458" i="4"/>
  <c r="S458" i="4"/>
  <c r="N458" i="4"/>
  <c r="AC457" i="4"/>
  <c r="Y457" i="4"/>
  <c r="W457" i="4"/>
  <c r="S457" i="4"/>
  <c r="N457" i="4"/>
  <c r="AC456" i="4"/>
  <c r="Y456" i="4"/>
  <c r="W456" i="4"/>
  <c r="S456" i="4"/>
  <c r="N456" i="4"/>
  <c r="AC455" i="4"/>
  <c r="Y455" i="4"/>
  <c r="W455" i="4"/>
  <c r="S455" i="4"/>
  <c r="N455" i="4"/>
  <c r="AC454" i="4"/>
  <c r="Y454" i="4"/>
  <c r="W454" i="4"/>
  <c r="S454" i="4"/>
  <c r="N454" i="4"/>
  <c r="AC453" i="4"/>
  <c r="Y453" i="4"/>
  <c r="W453" i="4"/>
  <c r="S453" i="4"/>
  <c r="N453" i="4"/>
  <c r="AC452" i="4"/>
  <c r="Y452" i="4"/>
  <c r="W452" i="4"/>
  <c r="S452" i="4"/>
  <c r="N452" i="4"/>
  <c r="AC451" i="4"/>
  <c r="Y451" i="4"/>
  <c r="W451" i="4"/>
  <c r="S451" i="4"/>
  <c r="N451" i="4"/>
  <c r="AC450" i="4"/>
  <c r="Y450" i="4"/>
  <c r="W450" i="4"/>
  <c r="S450" i="4"/>
  <c r="N450" i="4"/>
  <c r="AC449" i="4"/>
  <c r="Y449" i="4"/>
  <c r="W449" i="4"/>
  <c r="S449" i="4"/>
  <c r="N449" i="4"/>
  <c r="AC448" i="4"/>
  <c r="Y448" i="4"/>
  <c r="W448" i="4"/>
  <c r="S448" i="4"/>
  <c r="N448" i="4"/>
  <c r="AC447" i="4"/>
  <c r="Y447" i="4"/>
  <c r="W447" i="4"/>
  <c r="S447" i="4"/>
  <c r="N447" i="4"/>
  <c r="AC446" i="4"/>
  <c r="Y446" i="4"/>
  <c r="W446" i="4"/>
  <c r="S446" i="4"/>
  <c r="N446" i="4"/>
  <c r="AC445" i="4"/>
  <c r="Y445" i="4"/>
  <c r="W445" i="4"/>
  <c r="S445" i="4"/>
  <c r="N445" i="4"/>
  <c r="AC444" i="4"/>
  <c r="Y444" i="4"/>
  <c r="W444" i="4"/>
  <c r="S444" i="4"/>
  <c r="N444" i="4"/>
  <c r="AC443" i="4"/>
  <c r="Y443" i="4"/>
  <c r="W443" i="4"/>
  <c r="S443" i="4"/>
  <c r="N443" i="4"/>
  <c r="AC442" i="4"/>
  <c r="Y442" i="4"/>
  <c r="W442" i="4"/>
  <c r="S442" i="4"/>
  <c r="N442" i="4"/>
  <c r="AC441" i="4"/>
  <c r="Y441" i="4"/>
  <c r="W441" i="4"/>
  <c r="S441" i="4"/>
  <c r="N441" i="4"/>
  <c r="AC440" i="4"/>
  <c r="Y440" i="4"/>
  <c r="W440" i="4"/>
  <c r="S440" i="4"/>
  <c r="N440" i="4"/>
  <c r="AC439" i="4"/>
  <c r="Y439" i="4"/>
  <c r="W439" i="4"/>
  <c r="S439" i="4"/>
  <c r="N439" i="4"/>
  <c r="AC438" i="4"/>
  <c r="Y438" i="4"/>
  <c r="W438" i="4"/>
  <c r="S438" i="4"/>
  <c r="N438" i="4"/>
  <c r="AC437" i="4"/>
  <c r="Y437" i="4"/>
  <c r="W437" i="4"/>
  <c r="S437" i="4"/>
  <c r="N437" i="4"/>
  <c r="AC436" i="4"/>
  <c r="Y436" i="4"/>
  <c r="W436" i="4"/>
  <c r="S436" i="4"/>
  <c r="N436" i="4"/>
  <c r="AC435" i="4"/>
  <c r="Y435" i="4"/>
  <c r="W435" i="4"/>
  <c r="S435" i="4"/>
  <c r="N435" i="4"/>
  <c r="AC434" i="4"/>
  <c r="Y434" i="4"/>
  <c r="W434" i="4"/>
  <c r="S434" i="4"/>
  <c r="N434" i="4"/>
  <c r="AC433" i="4"/>
  <c r="Y433" i="4"/>
  <c r="W433" i="4"/>
  <c r="S433" i="4"/>
  <c r="N433" i="4"/>
  <c r="AC432" i="4"/>
  <c r="Y432" i="4"/>
  <c r="W432" i="4"/>
  <c r="S432" i="4"/>
  <c r="N432" i="4"/>
  <c r="AC431" i="4"/>
  <c r="Y431" i="4"/>
  <c r="W431" i="4"/>
  <c r="S431" i="4"/>
  <c r="N431" i="4"/>
  <c r="AC430" i="4"/>
  <c r="Y430" i="4"/>
  <c r="W430" i="4"/>
  <c r="S430" i="4"/>
  <c r="N430" i="4"/>
  <c r="AC429" i="4"/>
  <c r="Y429" i="4"/>
  <c r="W429" i="4"/>
  <c r="S429" i="4"/>
  <c r="N429" i="4"/>
  <c r="AC428" i="4"/>
  <c r="Y428" i="4"/>
  <c r="W428" i="4"/>
  <c r="S428" i="4"/>
  <c r="N428" i="4"/>
  <c r="AC427" i="4"/>
  <c r="Y427" i="4"/>
  <c r="W427" i="4"/>
  <c r="S427" i="4"/>
  <c r="N427" i="4"/>
  <c r="AC426" i="4"/>
  <c r="Y426" i="4"/>
  <c r="W426" i="4"/>
  <c r="S426" i="4"/>
  <c r="N426" i="4"/>
  <c r="AC425" i="4"/>
  <c r="Y425" i="4"/>
  <c r="W425" i="4"/>
  <c r="S425" i="4"/>
  <c r="N425" i="4"/>
  <c r="AC424" i="4"/>
  <c r="Y424" i="4"/>
  <c r="W424" i="4"/>
  <c r="S424" i="4"/>
  <c r="N424" i="4"/>
  <c r="AC423" i="4"/>
  <c r="Y423" i="4"/>
  <c r="W423" i="4"/>
  <c r="S423" i="4"/>
  <c r="N423" i="4"/>
  <c r="AC422" i="4"/>
  <c r="Y422" i="4"/>
  <c r="W422" i="4"/>
  <c r="S422" i="4"/>
  <c r="N422" i="4"/>
  <c r="AC421" i="4"/>
  <c r="Y421" i="4"/>
  <c r="W421" i="4"/>
  <c r="S421" i="4"/>
  <c r="N421" i="4"/>
  <c r="AC420" i="4"/>
  <c r="Y420" i="4"/>
  <c r="W420" i="4"/>
  <c r="S420" i="4"/>
  <c r="N420" i="4"/>
  <c r="AC419" i="4"/>
  <c r="Y419" i="4"/>
  <c r="W419" i="4"/>
  <c r="S419" i="4"/>
  <c r="N419" i="4"/>
  <c r="AC418" i="4"/>
  <c r="Y418" i="4"/>
  <c r="W418" i="4"/>
  <c r="S418" i="4"/>
  <c r="N418" i="4"/>
  <c r="AC417" i="4"/>
  <c r="Y417" i="4"/>
  <c r="W417" i="4"/>
  <c r="S417" i="4"/>
  <c r="N417" i="4"/>
  <c r="AC416" i="4"/>
  <c r="Y416" i="4"/>
  <c r="W416" i="4"/>
  <c r="S416" i="4"/>
  <c r="N416" i="4"/>
  <c r="AC415" i="4"/>
  <c r="Y415" i="4"/>
  <c r="W415" i="4"/>
  <c r="S415" i="4"/>
  <c r="N415" i="4"/>
  <c r="AC414" i="4"/>
  <c r="Y414" i="4"/>
  <c r="W414" i="4"/>
  <c r="S414" i="4"/>
  <c r="N414" i="4"/>
  <c r="AC413" i="4"/>
  <c r="Y413" i="4"/>
  <c r="W413" i="4"/>
  <c r="S413" i="4"/>
  <c r="N413" i="4"/>
  <c r="AC412" i="4"/>
  <c r="Y412" i="4"/>
  <c r="W412" i="4"/>
  <c r="S412" i="4"/>
  <c r="N412" i="4"/>
  <c r="AC411" i="4"/>
  <c r="Y411" i="4"/>
  <c r="W411" i="4"/>
  <c r="S411" i="4"/>
  <c r="N411" i="4"/>
  <c r="AC410" i="4"/>
  <c r="Y410" i="4"/>
  <c r="W410" i="4"/>
  <c r="S410" i="4"/>
  <c r="N410" i="4"/>
  <c r="AC409" i="4"/>
  <c r="Y409" i="4"/>
  <c r="W409" i="4"/>
  <c r="S409" i="4"/>
  <c r="N409" i="4"/>
  <c r="AC408" i="4"/>
  <c r="Y408" i="4"/>
  <c r="W408" i="4"/>
  <c r="S408" i="4"/>
  <c r="N408" i="4"/>
  <c r="AC407" i="4"/>
  <c r="Y407" i="4"/>
  <c r="W407" i="4"/>
  <c r="S407" i="4"/>
  <c r="N407" i="4"/>
  <c r="AC406" i="4"/>
  <c r="Y406" i="4"/>
  <c r="W406" i="4"/>
  <c r="S406" i="4"/>
  <c r="N406" i="4"/>
  <c r="AC405" i="4"/>
  <c r="Y405" i="4"/>
  <c r="W405" i="4"/>
  <c r="S405" i="4"/>
  <c r="N405" i="4"/>
  <c r="AC404" i="4"/>
  <c r="Y404" i="4"/>
  <c r="W404" i="4"/>
  <c r="S404" i="4"/>
  <c r="N404" i="4"/>
  <c r="AC403" i="4"/>
  <c r="Y403" i="4"/>
  <c r="W403" i="4"/>
  <c r="S403" i="4"/>
  <c r="N403" i="4"/>
  <c r="AC402" i="4"/>
  <c r="Y402" i="4"/>
  <c r="W402" i="4"/>
  <c r="S402" i="4"/>
  <c r="N402" i="4"/>
  <c r="AC401" i="4"/>
  <c r="Y401" i="4"/>
  <c r="W401" i="4"/>
  <c r="S401" i="4"/>
  <c r="N401" i="4"/>
  <c r="AC400" i="4"/>
  <c r="Y400" i="4"/>
  <c r="W400" i="4"/>
  <c r="S400" i="4"/>
  <c r="N400" i="4"/>
  <c r="AC399" i="4"/>
  <c r="Y399" i="4"/>
  <c r="W399" i="4"/>
  <c r="S399" i="4"/>
  <c r="N399" i="4"/>
  <c r="AC398" i="4"/>
  <c r="Y398" i="4"/>
  <c r="W398" i="4"/>
  <c r="S398" i="4"/>
  <c r="N398" i="4"/>
  <c r="AC397" i="4"/>
  <c r="Y397" i="4"/>
  <c r="W397" i="4"/>
  <c r="S397" i="4"/>
  <c r="N397" i="4"/>
  <c r="AA396" i="4"/>
  <c r="S396" i="4"/>
  <c r="U396" i="4" s="1"/>
  <c r="AA395" i="4"/>
  <c r="S395" i="4"/>
  <c r="U395" i="4" s="1"/>
  <c r="AC394" i="4"/>
  <c r="Y394" i="4"/>
  <c r="W394" i="4"/>
  <c r="S394" i="4"/>
  <c r="N394" i="4"/>
  <c r="M393" i="4"/>
  <c r="AG392" i="4"/>
  <c r="AA391" i="4"/>
  <c r="S391" i="4"/>
  <c r="U391" i="4" s="1"/>
  <c r="AA390" i="4"/>
  <c r="S390" i="4"/>
  <c r="U390" i="4" s="1"/>
  <c r="N390" i="4"/>
  <c r="AA389" i="4"/>
  <c r="S389" i="4"/>
  <c r="U389" i="4" s="1"/>
  <c r="N389" i="4"/>
  <c r="AC388" i="4"/>
  <c r="Y388" i="4"/>
  <c r="W388" i="4"/>
  <c r="S388" i="4"/>
  <c r="N388" i="4"/>
  <c r="AC387" i="4"/>
  <c r="Y387" i="4"/>
  <c r="W387" i="4"/>
  <c r="S387" i="4"/>
  <c r="N387" i="4"/>
  <c r="AA386" i="4"/>
  <c r="S386" i="4"/>
  <c r="U386" i="4" s="1"/>
  <c r="N386" i="4"/>
  <c r="AA385" i="4"/>
  <c r="S385" i="4"/>
  <c r="U385" i="4" s="1"/>
  <c r="N385" i="4"/>
  <c r="AA384" i="4"/>
  <c r="S384" i="4"/>
  <c r="U384" i="4" s="1"/>
  <c r="W384" i="4" s="1"/>
  <c r="N384" i="4"/>
  <c r="AG383" i="4"/>
  <c r="AC383" i="4"/>
  <c r="S383" i="4"/>
  <c r="U383" i="4" s="1"/>
  <c r="Y383" i="4" s="1"/>
  <c r="N383" i="4"/>
  <c r="S382" i="4"/>
  <c r="U382" i="4" s="1"/>
  <c r="Y382" i="4" s="1"/>
  <c r="N382" i="4"/>
  <c r="S381" i="4"/>
  <c r="U381" i="4" s="1"/>
  <c r="Y381" i="4" s="1"/>
  <c r="N381" i="4"/>
  <c r="S380" i="4"/>
  <c r="U380" i="4" s="1"/>
  <c r="AB380" i="4" s="1"/>
  <c r="AG380" i="4" s="1"/>
  <c r="N380" i="4"/>
  <c r="AC379" i="4"/>
  <c r="Y379" i="4"/>
  <c r="W379" i="4"/>
  <c r="S379" i="4"/>
  <c r="N379" i="4"/>
  <c r="AC378" i="4"/>
  <c r="Y378" i="4"/>
  <c r="W378" i="4"/>
  <c r="S378" i="4"/>
  <c r="N378" i="4"/>
  <c r="AC377" i="4"/>
  <c r="Y377" i="4"/>
  <c r="W377" i="4"/>
  <c r="S377" i="4"/>
  <c r="N377" i="4"/>
  <c r="AC376" i="4"/>
  <c r="Y376" i="4"/>
  <c r="W376" i="4"/>
  <c r="S376" i="4"/>
  <c r="N376" i="4"/>
  <c r="AC375" i="4"/>
  <c r="Y375" i="4"/>
  <c r="W375" i="4"/>
  <c r="S375" i="4"/>
  <c r="N375" i="4"/>
  <c r="AC374" i="4"/>
  <c r="Y374" i="4"/>
  <c r="W374" i="4"/>
  <c r="S374" i="4"/>
  <c r="N374" i="4"/>
  <c r="AC373" i="4"/>
  <c r="Y373" i="4"/>
  <c r="W373" i="4"/>
  <c r="S373" i="4"/>
  <c r="N373" i="4"/>
  <c r="AC372" i="4"/>
  <c r="S372" i="4"/>
  <c r="U372" i="4" s="1"/>
  <c r="Y372" i="4" s="1"/>
  <c r="Z372" i="4" s="1"/>
  <c r="AG372" i="4" s="1"/>
  <c r="N372" i="4"/>
  <c r="AA371" i="4"/>
  <c r="S371" i="4"/>
  <c r="U371" i="4" s="1"/>
  <c r="N371" i="4"/>
  <c r="AA370" i="4"/>
  <c r="S370" i="4"/>
  <c r="U370" i="4" s="1"/>
  <c r="N370" i="4"/>
  <c r="AC369" i="4"/>
  <c r="Y369" i="4"/>
  <c r="W369" i="4"/>
  <c r="S369" i="4"/>
  <c r="N369" i="4"/>
  <c r="AC368" i="4"/>
  <c r="Y368" i="4"/>
  <c r="W368" i="4"/>
  <c r="S368" i="4"/>
  <c r="N368" i="4"/>
  <c r="AC367" i="4"/>
  <c r="Y367" i="4"/>
  <c r="W367" i="4"/>
  <c r="S367" i="4"/>
  <c r="N367" i="4"/>
  <c r="AC366" i="4"/>
  <c r="Y366" i="4"/>
  <c r="W366" i="4"/>
  <c r="S366" i="4"/>
  <c r="N366" i="4"/>
  <c r="AC365" i="4"/>
  <c r="Y365" i="4"/>
  <c r="W365" i="4"/>
  <c r="S365" i="4"/>
  <c r="N365" i="4"/>
  <c r="AC364" i="4"/>
  <c r="Y364" i="4"/>
  <c r="W364" i="4"/>
  <c r="S364" i="4"/>
  <c r="N364" i="4"/>
  <c r="AC363" i="4"/>
  <c r="Y363" i="4"/>
  <c r="W363" i="4"/>
  <c r="S363" i="4"/>
  <c r="N363" i="4"/>
  <c r="AC362" i="4"/>
  <c r="Y362" i="4"/>
  <c r="W362" i="4"/>
  <c r="S362" i="4"/>
  <c r="N362" i="4"/>
  <c r="AC361" i="4"/>
  <c r="Y361" i="4"/>
  <c r="W361" i="4"/>
  <c r="S361" i="4"/>
  <c r="N361" i="4"/>
  <c r="AC360" i="4"/>
  <c r="Y360" i="4"/>
  <c r="W360" i="4"/>
  <c r="S360" i="4"/>
  <c r="N360" i="4"/>
  <c r="AC359" i="4"/>
  <c r="Y359" i="4"/>
  <c r="W359" i="4"/>
  <c r="S359" i="4"/>
  <c r="N359" i="4"/>
  <c r="AC358" i="4"/>
  <c r="Y358" i="4"/>
  <c r="W358" i="4"/>
  <c r="S358" i="4"/>
  <c r="N358" i="4"/>
  <c r="AA357" i="4"/>
  <c r="S357" i="4"/>
  <c r="U357" i="4" s="1"/>
  <c r="N357" i="4"/>
  <c r="AC356" i="4"/>
  <c r="Y356" i="4"/>
  <c r="W356" i="4"/>
  <c r="S356" i="4"/>
  <c r="N356" i="4"/>
  <c r="AC355" i="4"/>
  <c r="Y355" i="4"/>
  <c r="W355" i="4"/>
  <c r="S355" i="4"/>
  <c r="N355" i="4"/>
  <c r="AC354" i="4"/>
  <c r="Y354" i="4"/>
  <c r="W354" i="4"/>
  <c r="S354" i="4"/>
  <c r="N354" i="4"/>
  <c r="AC353" i="4"/>
  <c r="Y353" i="4"/>
  <c r="W353" i="4"/>
  <c r="S353" i="4"/>
  <c r="N353" i="4"/>
  <c r="AC352" i="4"/>
  <c r="Y352" i="4"/>
  <c r="W352" i="4"/>
  <c r="S352" i="4"/>
  <c r="N352" i="4"/>
  <c r="AC351" i="4"/>
  <c r="Y351" i="4"/>
  <c r="W351" i="4"/>
  <c r="S351" i="4"/>
  <c r="N351" i="4"/>
  <c r="AC350" i="4"/>
  <c r="Y350" i="4"/>
  <c r="W350" i="4"/>
  <c r="S350" i="4"/>
  <c r="N350" i="4"/>
  <c r="AA349" i="4"/>
  <c r="S349" i="4"/>
  <c r="U349" i="4" s="1"/>
  <c r="N349" i="4"/>
  <c r="AA348" i="4"/>
  <c r="S348" i="4"/>
  <c r="U348" i="4" s="1"/>
  <c r="Y348" i="4" s="1"/>
  <c r="N348" i="4"/>
  <c r="AC347" i="4"/>
  <c r="Y347" i="4"/>
  <c r="W347" i="4"/>
  <c r="S347" i="4"/>
  <c r="N347" i="4"/>
  <c r="AC346" i="4"/>
  <c r="Y346" i="4"/>
  <c r="W346" i="4"/>
  <c r="S346" i="4"/>
  <c r="N346" i="4"/>
  <c r="AC345" i="4"/>
  <c r="Y345" i="4"/>
  <c r="W345" i="4"/>
  <c r="S345" i="4"/>
  <c r="N345" i="4"/>
  <c r="AC344" i="4"/>
  <c r="Y344" i="4"/>
  <c r="W344" i="4"/>
  <c r="S344" i="4"/>
  <c r="N344" i="4"/>
  <c r="AC343" i="4"/>
  <c r="Y343" i="4"/>
  <c r="W343" i="4"/>
  <c r="S343" i="4"/>
  <c r="N343" i="4"/>
  <c r="AC342" i="4"/>
  <c r="Y342" i="4"/>
  <c r="W342" i="4"/>
  <c r="S342" i="4"/>
  <c r="N342" i="4"/>
  <c r="AC341" i="4"/>
  <c r="Y341" i="4"/>
  <c r="W341" i="4"/>
  <c r="S341" i="4"/>
  <c r="N341" i="4"/>
  <c r="AC340" i="4"/>
  <c r="Y340" i="4"/>
  <c r="W340" i="4"/>
  <c r="S340" i="4"/>
  <c r="N340" i="4"/>
  <c r="AC339" i="4"/>
  <c r="Y339" i="4"/>
  <c r="W339" i="4"/>
  <c r="S339" i="4"/>
  <c r="N339" i="4"/>
  <c r="AC338" i="4"/>
  <c r="Y338" i="4"/>
  <c r="W338" i="4"/>
  <c r="S338" i="4"/>
  <c r="N338" i="4"/>
  <c r="AC337" i="4"/>
  <c r="Y337" i="4"/>
  <c r="W337" i="4"/>
  <c r="S337" i="4"/>
  <c r="N337" i="4"/>
  <c r="AA336" i="4"/>
  <c r="S336" i="4"/>
  <c r="U336" i="4" s="1"/>
  <c r="N336" i="4"/>
  <c r="AC335" i="4"/>
  <c r="Y335" i="4"/>
  <c r="W335" i="4"/>
  <c r="S335" i="4"/>
  <c r="N335" i="4"/>
  <c r="AC334" i="4"/>
  <c r="Y334" i="4"/>
  <c r="W334" i="4"/>
  <c r="S334" i="4"/>
  <c r="N334" i="4"/>
  <c r="AC333" i="4"/>
  <c r="Y333" i="4"/>
  <c r="W333" i="4"/>
  <c r="S333" i="4"/>
  <c r="N333" i="4"/>
  <c r="AC332" i="4"/>
  <c r="Y332" i="4"/>
  <c r="W332" i="4"/>
  <c r="S332" i="4"/>
  <c r="N332" i="4"/>
  <c r="AC331" i="4"/>
  <c r="Y331" i="4"/>
  <c r="W331" i="4"/>
  <c r="S331" i="4"/>
  <c r="N331" i="4"/>
  <c r="AC330" i="4"/>
  <c r="Y330" i="4"/>
  <c r="W330" i="4"/>
  <c r="S330" i="4"/>
  <c r="N330" i="4"/>
  <c r="AC329" i="4"/>
  <c r="Y329" i="4"/>
  <c r="W329" i="4"/>
  <c r="S329" i="4"/>
  <c r="N329" i="4"/>
  <c r="AC328" i="4"/>
  <c r="Y328" i="4"/>
  <c r="W328" i="4"/>
  <c r="S328" i="4"/>
  <c r="N328" i="4"/>
  <c r="AC327" i="4"/>
  <c r="Y327" i="4"/>
  <c r="W327" i="4"/>
  <c r="S327" i="4"/>
  <c r="N327" i="4"/>
  <c r="AC326" i="4"/>
  <c r="Y326" i="4"/>
  <c r="W326" i="4"/>
  <c r="S326" i="4"/>
  <c r="N326" i="4"/>
  <c r="AC325" i="4"/>
  <c r="Y325" i="4"/>
  <c r="W325" i="4"/>
  <c r="S325" i="4"/>
  <c r="N325" i="4"/>
  <c r="AC324" i="4"/>
  <c r="Y324" i="4"/>
  <c r="W324" i="4"/>
  <c r="S324" i="4"/>
  <c r="N324" i="4"/>
  <c r="AC323" i="4"/>
  <c r="Y323" i="4"/>
  <c r="W323" i="4"/>
  <c r="S323" i="4"/>
  <c r="N323" i="4"/>
  <c r="AC322" i="4"/>
  <c r="Y322" i="4"/>
  <c r="W322" i="4"/>
  <c r="S322" i="4"/>
  <c r="N322" i="4"/>
  <c r="AC321" i="4"/>
  <c r="Y321" i="4"/>
  <c r="W321" i="4"/>
  <c r="S321" i="4"/>
  <c r="N321" i="4"/>
  <c r="AC320" i="4"/>
  <c r="Y320" i="4"/>
  <c r="W320" i="4"/>
  <c r="S320" i="4"/>
  <c r="N320" i="4"/>
  <c r="AC319" i="4"/>
  <c r="Y319" i="4"/>
  <c r="W319" i="4"/>
  <c r="S319" i="4"/>
  <c r="N319" i="4"/>
  <c r="AC318" i="4"/>
  <c r="S318" i="4"/>
  <c r="U318" i="4" s="1"/>
  <c r="Y318" i="4" s="1"/>
  <c r="Z318" i="4" s="1"/>
  <c r="AG318" i="4" s="1"/>
  <c r="N318" i="4"/>
  <c r="AC317" i="4"/>
  <c r="S317" i="4"/>
  <c r="U317" i="4" s="1"/>
  <c r="Y317" i="4" s="1"/>
  <c r="Z317" i="4" s="1"/>
  <c r="AG317" i="4" s="1"/>
  <c r="N317" i="4"/>
  <c r="AC316" i="4"/>
  <c r="Y316" i="4"/>
  <c r="W316" i="4"/>
  <c r="S316" i="4"/>
  <c r="N316" i="4"/>
  <c r="AC315" i="4"/>
  <c r="Y315" i="4"/>
  <c r="W315" i="4"/>
  <c r="S315" i="4"/>
  <c r="N315" i="4"/>
  <c r="AC314" i="4"/>
  <c r="Y314" i="4"/>
  <c r="W314" i="4"/>
  <c r="S314" i="4"/>
  <c r="N314" i="4"/>
  <c r="AC313" i="4"/>
  <c r="Y313" i="4"/>
  <c r="W313" i="4"/>
  <c r="S313" i="4"/>
  <c r="N313" i="4"/>
  <c r="AC312" i="4"/>
  <c r="Y312" i="4"/>
  <c r="W312" i="4"/>
  <c r="S312" i="4"/>
  <c r="N312" i="4"/>
  <c r="AC311" i="4"/>
  <c r="Y311" i="4"/>
  <c r="W311" i="4"/>
  <c r="S311" i="4"/>
  <c r="N311" i="4"/>
  <c r="AC310" i="4"/>
  <c r="Y310" i="4"/>
  <c r="W310" i="4"/>
  <c r="S310" i="4"/>
  <c r="N310" i="4"/>
  <c r="AC309" i="4"/>
  <c r="Y309" i="4"/>
  <c r="W309" i="4"/>
  <c r="S309" i="4"/>
  <c r="N309" i="4"/>
  <c r="AC308" i="4"/>
  <c r="Y308" i="4"/>
  <c r="W308" i="4"/>
  <c r="S308" i="4"/>
  <c r="N308" i="4"/>
  <c r="AC307" i="4"/>
  <c r="Y307" i="4"/>
  <c r="W307" i="4"/>
  <c r="S307" i="4"/>
  <c r="N307" i="4"/>
  <c r="AC306" i="4"/>
  <c r="Y306" i="4"/>
  <c r="W306" i="4"/>
  <c r="S306" i="4"/>
  <c r="N306" i="4"/>
  <c r="AA305" i="4"/>
  <c r="S305" i="4"/>
  <c r="U305" i="4" s="1"/>
  <c r="N305" i="4"/>
  <c r="S304" i="4"/>
  <c r="U304" i="4" s="1"/>
  <c r="N304" i="4"/>
  <c r="AC303" i="4"/>
  <c r="Y303" i="4"/>
  <c r="W303" i="4"/>
  <c r="S303" i="4"/>
  <c r="N303" i="4"/>
  <c r="AC302" i="4"/>
  <c r="Y302" i="4"/>
  <c r="W302" i="4"/>
  <c r="S302" i="4"/>
  <c r="N302" i="4"/>
  <c r="AC301" i="4"/>
  <c r="Y301" i="4"/>
  <c r="W301" i="4"/>
  <c r="S301" i="4"/>
  <c r="N301" i="4"/>
  <c r="AA300" i="4"/>
  <c r="S300" i="4"/>
  <c r="U300" i="4" s="1"/>
  <c r="N300" i="4"/>
  <c r="AC299" i="4"/>
  <c r="Y299" i="4"/>
  <c r="W299" i="4"/>
  <c r="S299" i="4"/>
  <c r="N299" i="4"/>
  <c r="AC298" i="4"/>
  <c r="Y298" i="4"/>
  <c r="W298" i="4"/>
  <c r="S298" i="4"/>
  <c r="N298" i="4"/>
  <c r="AC297" i="4"/>
  <c r="Y297" i="4"/>
  <c r="W297" i="4"/>
  <c r="S297" i="4"/>
  <c r="N297" i="4"/>
  <c r="AC296" i="4"/>
  <c r="Y296" i="4"/>
  <c r="W296" i="4"/>
  <c r="S296" i="4"/>
  <c r="N296" i="4"/>
  <c r="AC295" i="4"/>
  <c r="Y295" i="4"/>
  <c r="W295" i="4"/>
  <c r="S295" i="4"/>
  <c r="N295" i="4"/>
  <c r="AC294" i="4"/>
  <c r="Y294" i="4"/>
  <c r="W294" i="4"/>
  <c r="S294" i="4"/>
  <c r="N294" i="4"/>
  <c r="AC293" i="4"/>
  <c r="Y293" i="4"/>
  <c r="W293" i="4"/>
  <c r="S293" i="4"/>
  <c r="N293" i="4"/>
  <c r="AC292" i="4"/>
  <c r="Y292" i="4"/>
  <c r="W292" i="4"/>
  <c r="S292" i="4"/>
  <c r="N292" i="4"/>
  <c r="AC291" i="4"/>
  <c r="Y291" i="4"/>
  <c r="W291" i="4"/>
  <c r="S291" i="4"/>
  <c r="N291" i="4"/>
  <c r="AC290" i="4"/>
  <c r="Y290" i="4"/>
  <c r="W290" i="4"/>
  <c r="S290" i="4"/>
  <c r="N290" i="4"/>
  <c r="AC289" i="4"/>
  <c r="Y289" i="4"/>
  <c r="W289" i="4"/>
  <c r="S289" i="4"/>
  <c r="N289" i="4"/>
  <c r="AC288" i="4"/>
  <c r="Y288" i="4"/>
  <c r="W288" i="4"/>
  <c r="S288" i="4"/>
  <c r="N288" i="4"/>
  <c r="AC287" i="4"/>
  <c r="Y287" i="4"/>
  <c r="W287" i="4"/>
  <c r="S287" i="4"/>
  <c r="N287" i="4"/>
  <c r="AC286" i="4"/>
  <c r="Y286" i="4"/>
  <c r="W286" i="4"/>
  <c r="S286" i="4"/>
  <c r="N286" i="4"/>
  <c r="AC285" i="4"/>
  <c r="Y285" i="4"/>
  <c r="W285" i="4"/>
  <c r="S285" i="4"/>
  <c r="N285" i="4"/>
  <c r="AC284" i="4"/>
  <c r="Y284" i="4"/>
  <c r="W284" i="4"/>
  <c r="S284" i="4"/>
  <c r="N284" i="4"/>
  <c r="AC283" i="4"/>
  <c r="Y283" i="4"/>
  <c r="W283" i="4"/>
  <c r="S283" i="4"/>
  <c r="N283" i="4"/>
  <c r="AC282" i="4"/>
  <c r="Y282" i="4"/>
  <c r="W282" i="4"/>
  <c r="S282" i="4"/>
  <c r="N282" i="4"/>
  <c r="AC281" i="4"/>
  <c r="Y281" i="4"/>
  <c r="W281" i="4"/>
  <c r="S281" i="4"/>
  <c r="N281" i="4"/>
  <c r="AC280" i="4"/>
  <c r="Y280" i="4"/>
  <c r="W280" i="4"/>
  <c r="S280" i="4"/>
  <c r="N280" i="4"/>
  <c r="AC279" i="4"/>
  <c r="Y279" i="4"/>
  <c r="W279" i="4"/>
  <c r="S279" i="4"/>
  <c r="N279" i="4"/>
  <c r="AA278" i="4"/>
  <c r="S278" i="4"/>
  <c r="U278" i="4" s="1"/>
  <c r="N278" i="4"/>
  <c r="AA277" i="4"/>
  <c r="S277" i="4"/>
  <c r="U277" i="4" s="1"/>
  <c r="N277" i="4"/>
  <c r="S276" i="4"/>
  <c r="U276" i="4" s="1"/>
  <c r="N276" i="4"/>
  <c r="S275" i="4"/>
  <c r="U275" i="4" s="1"/>
  <c r="N275" i="4"/>
  <c r="S274" i="4"/>
  <c r="U274" i="4" s="1"/>
  <c r="N274" i="4"/>
  <c r="S273" i="4"/>
  <c r="U273" i="4" s="1"/>
  <c r="N273" i="4"/>
  <c r="S272" i="4"/>
  <c r="U272" i="4" s="1"/>
  <c r="N272" i="4"/>
  <c r="S271" i="4"/>
  <c r="U271" i="4" s="1"/>
  <c r="N271" i="4"/>
  <c r="S270" i="4"/>
  <c r="U270" i="4" s="1"/>
  <c r="N270" i="4"/>
  <c r="S269" i="4"/>
  <c r="U269" i="4" s="1"/>
  <c r="N269" i="4"/>
  <c r="S268" i="4"/>
  <c r="U268" i="4" s="1"/>
  <c r="N268" i="4"/>
  <c r="S267" i="4"/>
  <c r="U267" i="4" s="1"/>
  <c r="N267" i="4"/>
  <c r="S266" i="4"/>
  <c r="U266" i="4" s="1"/>
  <c r="N266" i="4"/>
  <c r="S265" i="4"/>
  <c r="U265" i="4" s="1"/>
  <c r="N265" i="4"/>
  <c r="S264" i="4"/>
  <c r="U264" i="4" s="1"/>
  <c r="N264" i="4"/>
  <c r="S263" i="4"/>
  <c r="U263" i="4" s="1"/>
  <c r="N263" i="4"/>
  <c r="S262" i="4"/>
  <c r="U262" i="4" s="1"/>
  <c r="N262" i="4"/>
  <c r="S261" i="4"/>
  <c r="U261" i="4" s="1"/>
  <c r="N261" i="4"/>
  <c r="S260" i="4"/>
  <c r="U260" i="4" s="1"/>
  <c r="N260" i="4"/>
  <c r="S259" i="4"/>
  <c r="U259" i="4" s="1"/>
  <c r="N259" i="4"/>
  <c r="S258" i="4"/>
  <c r="U258" i="4" s="1"/>
  <c r="N258" i="4"/>
  <c r="S257" i="4"/>
  <c r="U257" i="4" s="1"/>
  <c r="N257" i="4"/>
  <c r="S256" i="4"/>
  <c r="U256" i="4" s="1"/>
  <c r="N256" i="4"/>
  <c r="S255" i="4"/>
  <c r="U255" i="4" s="1"/>
  <c r="N255" i="4"/>
  <c r="AA254" i="4"/>
  <c r="S254" i="4"/>
  <c r="U254" i="4" s="1"/>
  <c r="N254" i="4"/>
  <c r="AA253" i="4"/>
  <c r="S253" i="4"/>
  <c r="U253" i="4" s="1"/>
  <c r="AA252" i="4"/>
  <c r="S252" i="4"/>
  <c r="U252" i="4" s="1"/>
  <c r="Y252" i="4" s="1"/>
  <c r="N252" i="4"/>
  <c r="AG251" i="4"/>
  <c r="AC251" i="4"/>
  <c r="Y251" i="4"/>
  <c r="W251" i="4"/>
  <c r="S251" i="4"/>
  <c r="N251" i="4"/>
  <c r="AG250" i="4"/>
  <c r="AC250" i="4"/>
  <c r="Y250" i="4"/>
  <c r="W250" i="4"/>
  <c r="S250" i="4"/>
  <c r="N250" i="4"/>
  <c r="AG249" i="4"/>
  <c r="AC249" i="4"/>
  <c r="Y249" i="4"/>
  <c r="W249" i="4"/>
  <c r="S249" i="4"/>
  <c r="N249" i="4"/>
  <c r="AG248" i="4"/>
  <c r="AC248" i="4"/>
  <c r="Y248" i="4"/>
  <c r="W248" i="4"/>
  <c r="S248" i="4"/>
  <c r="N248" i="4"/>
  <c r="AG247" i="4"/>
  <c r="AC247" i="4"/>
  <c r="Y247" i="4"/>
  <c r="W247" i="4"/>
  <c r="S247" i="4"/>
  <c r="N247" i="4"/>
  <c r="AG246" i="4"/>
  <c r="AC246" i="4"/>
  <c r="Y246" i="4"/>
  <c r="W246" i="4"/>
  <c r="S246" i="4"/>
  <c r="N246" i="4"/>
  <c r="AG245" i="4"/>
  <c r="AC245" i="4"/>
  <c r="Y245" i="4"/>
  <c r="W245" i="4"/>
  <c r="S245" i="4"/>
  <c r="N245" i="4"/>
  <c r="AG244" i="4"/>
  <c r="AC244" i="4"/>
  <c r="Y244" i="4"/>
  <c r="W244" i="4"/>
  <c r="S244" i="4"/>
  <c r="N244" i="4"/>
  <c r="AG243" i="4"/>
  <c r="AC243" i="4"/>
  <c r="Y243" i="4"/>
  <c r="W243" i="4"/>
  <c r="S243" i="4"/>
  <c r="N243" i="4"/>
  <c r="AG242" i="4"/>
  <c r="AC242" i="4"/>
  <c r="Y242" i="4"/>
  <c r="W242" i="4"/>
  <c r="S242" i="4"/>
  <c r="N242" i="4"/>
  <c r="AG241" i="4"/>
  <c r="AC241" i="4"/>
  <c r="Y241" i="4"/>
  <c r="W241" i="4"/>
  <c r="S241" i="4"/>
  <c r="N241" i="4"/>
  <c r="AG240" i="4"/>
  <c r="AC240" i="4"/>
  <c r="Y240" i="4"/>
  <c r="W240" i="4"/>
  <c r="S240" i="4"/>
  <c r="N240" i="4"/>
  <c r="AG239" i="4"/>
  <c r="AC239" i="4"/>
  <c r="Y239" i="4"/>
  <c r="W239" i="4"/>
  <c r="S239" i="4"/>
  <c r="N239" i="4"/>
  <c r="O238" i="4"/>
  <c r="M238" i="4"/>
  <c r="R237" i="4"/>
  <c r="Q237" i="4"/>
  <c r="P237" i="4"/>
  <c r="AC235" i="4"/>
  <c r="Y235" i="4"/>
  <c r="W235" i="4"/>
  <c r="S235" i="4"/>
  <c r="N235" i="4"/>
  <c r="AC234" i="4"/>
  <c r="Y234" i="4"/>
  <c r="W234" i="4"/>
  <c r="S234" i="4"/>
  <c r="N234" i="4"/>
  <c r="AC233" i="4"/>
  <c r="Y233" i="4"/>
  <c r="W233" i="4"/>
  <c r="S233" i="4"/>
  <c r="N233" i="4"/>
  <c r="AC232" i="4"/>
  <c r="Y232" i="4"/>
  <c r="W232" i="4"/>
  <c r="S232" i="4"/>
  <c r="N232" i="4"/>
  <c r="AC231" i="4"/>
  <c r="Y231" i="4"/>
  <c r="W231" i="4"/>
  <c r="S231" i="4"/>
  <c r="N231" i="4"/>
  <c r="AG230" i="4"/>
  <c r="AC230" i="4"/>
  <c r="S230" i="4"/>
  <c r="U230" i="4" s="1"/>
  <c r="Y230" i="4" s="1"/>
  <c r="N230" i="4"/>
  <c r="AC229" i="4"/>
  <c r="Y229" i="4"/>
  <c r="W229" i="4"/>
  <c r="S229" i="4"/>
  <c r="N229" i="4"/>
  <c r="AC228" i="4"/>
  <c r="Y228" i="4"/>
  <c r="W228" i="4"/>
  <c r="S228" i="4"/>
  <c r="N228" i="4"/>
  <c r="AC227" i="4"/>
  <c r="Y227" i="4"/>
  <c r="W227" i="4"/>
  <c r="S227" i="4"/>
  <c r="N227" i="4"/>
  <c r="AC226" i="4"/>
  <c r="Y226" i="4"/>
  <c r="W226" i="4"/>
  <c r="S226" i="4"/>
  <c r="N226" i="4"/>
  <c r="AC225" i="4"/>
  <c r="Y225" i="4"/>
  <c r="W225" i="4"/>
  <c r="S225" i="4"/>
  <c r="N225" i="4"/>
  <c r="AC224" i="4"/>
  <c r="Y224" i="4"/>
  <c r="W224" i="4"/>
  <c r="S224" i="4"/>
  <c r="N224" i="4"/>
  <c r="AC223" i="4"/>
  <c r="Y223" i="4"/>
  <c r="W223" i="4"/>
  <c r="S223" i="4"/>
  <c r="N223" i="4"/>
  <c r="AC222" i="4"/>
  <c r="Y222" i="4"/>
  <c r="W222" i="4"/>
  <c r="S222" i="4"/>
  <c r="N222" i="4"/>
  <c r="AC221" i="4"/>
  <c r="Y221" i="4"/>
  <c r="W221" i="4"/>
  <c r="S221" i="4"/>
  <c r="N221" i="4"/>
  <c r="AA220" i="4"/>
  <c r="S220" i="4"/>
  <c r="U220" i="4" s="1"/>
  <c r="N220" i="4"/>
  <c r="AC219" i="4"/>
  <c r="Y219" i="4"/>
  <c r="W219" i="4"/>
  <c r="S219" i="4"/>
  <c r="N219" i="4"/>
  <c r="AC218" i="4"/>
  <c r="Y218" i="4"/>
  <c r="W218" i="4"/>
  <c r="S218" i="4"/>
  <c r="N218" i="4"/>
  <c r="AC217" i="4"/>
  <c r="Y217" i="4"/>
  <c r="W217" i="4"/>
  <c r="S217" i="4"/>
  <c r="N217" i="4"/>
  <c r="AC216" i="4"/>
  <c r="Y216" i="4"/>
  <c r="W216" i="4"/>
  <c r="S216" i="4"/>
  <c r="N216" i="4"/>
  <c r="AC215" i="4"/>
  <c r="Y215" i="4"/>
  <c r="W215" i="4"/>
  <c r="S215" i="4"/>
  <c r="N215" i="4"/>
  <c r="AC214" i="4"/>
  <c r="Y214" i="4"/>
  <c r="W214" i="4"/>
  <c r="S214" i="4"/>
  <c r="N214" i="4"/>
  <c r="AC213" i="4"/>
  <c r="Y213" i="4"/>
  <c r="W213" i="4"/>
  <c r="S213" i="4"/>
  <c r="N213" i="4"/>
  <c r="AC212" i="4"/>
  <c r="Y212" i="4"/>
  <c r="W212" i="4"/>
  <c r="S212" i="4"/>
  <c r="N212" i="4"/>
  <c r="AC211" i="4"/>
  <c r="Y211" i="4"/>
  <c r="W211" i="4"/>
  <c r="S211" i="4"/>
  <c r="N211" i="4"/>
  <c r="AC210" i="4"/>
  <c r="Y210" i="4"/>
  <c r="W210" i="4"/>
  <c r="S210" i="4"/>
  <c r="N210" i="4"/>
  <c r="AC209" i="4"/>
  <c r="Y209" i="4"/>
  <c r="W209" i="4"/>
  <c r="S209" i="4"/>
  <c r="N209" i="4"/>
  <c r="AC208" i="4"/>
  <c r="Y208" i="4"/>
  <c r="W208" i="4"/>
  <c r="S208" i="4"/>
  <c r="N208" i="4"/>
  <c r="AC207" i="4"/>
  <c r="Y207" i="4"/>
  <c r="W207" i="4"/>
  <c r="S207" i="4"/>
  <c r="N207" i="4"/>
  <c r="AC206" i="4"/>
  <c r="Y206" i="4"/>
  <c r="W206" i="4"/>
  <c r="S206" i="4"/>
  <c r="N206" i="4"/>
  <c r="AC205" i="4"/>
  <c r="Y205" i="4"/>
  <c r="W205" i="4"/>
  <c r="S205" i="4"/>
  <c r="N205" i="4"/>
  <c r="AC204" i="4"/>
  <c r="Y204" i="4"/>
  <c r="W204" i="4"/>
  <c r="S204" i="4"/>
  <c r="N204" i="4"/>
  <c r="AC203" i="4"/>
  <c r="Y203" i="4"/>
  <c r="W203" i="4"/>
  <c r="S203" i="4"/>
  <c r="N203" i="4"/>
  <c r="AC202" i="4"/>
  <c r="Y202" i="4"/>
  <c r="W202" i="4"/>
  <c r="S202" i="4"/>
  <c r="N202" i="4"/>
  <c r="AA201" i="4"/>
  <c r="S201" i="4"/>
  <c r="U201" i="4" s="1"/>
  <c r="Y201" i="4" s="1"/>
  <c r="N201" i="4"/>
  <c r="AC200" i="4"/>
  <c r="S200" i="4"/>
  <c r="U200" i="4" s="1"/>
  <c r="Y200" i="4" s="1"/>
  <c r="Z200" i="4" s="1"/>
  <c r="AG200" i="4" s="1"/>
  <c r="N200" i="4"/>
  <c r="AC199" i="4"/>
  <c r="S199" i="4"/>
  <c r="U199" i="4" s="1"/>
  <c r="Y199" i="4" s="1"/>
  <c r="Z199" i="4" s="1"/>
  <c r="AG199" i="4" s="1"/>
  <c r="N199" i="4"/>
  <c r="AC198" i="4"/>
  <c r="S198" i="4"/>
  <c r="U198" i="4" s="1"/>
  <c r="Y198" i="4" s="1"/>
  <c r="Z198" i="4" s="1"/>
  <c r="AG198" i="4" s="1"/>
  <c r="N198" i="4"/>
  <c r="AC197" i="4"/>
  <c r="S197" i="4"/>
  <c r="U197" i="4" s="1"/>
  <c r="Y197" i="4" s="1"/>
  <c r="Z197" i="4" s="1"/>
  <c r="AG197" i="4" s="1"/>
  <c r="N197" i="4"/>
  <c r="S196" i="4"/>
  <c r="U196" i="4" s="1"/>
  <c r="N196" i="4"/>
  <c r="S195" i="4"/>
  <c r="U195" i="4" s="1"/>
  <c r="N195" i="4"/>
  <c r="AC194" i="4"/>
  <c r="Y194" i="4"/>
  <c r="W194" i="4"/>
  <c r="S194" i="4"/>
  <c r="N194" i="4"/>
  <c r="AC193" i="4"/>
  <c r="Y193" i="4"/>
  <c r="W193" i="4"/>
  <c r="S193" i="4"/>
  <c r="N193" i="4"/>
  <c r="AC192" i="4"/>
  <c r="Y192" i="4"/>
  <c r="W192" i="4"/>
  <c r="S192" i="4"/>
  <c r="N192" i="4"/>
  <c r="AC191" i="4"/>
  <c r="Y191" i="4"/>
  <c r="W191" i="4"/>
  <c r="S191" i="4"/>
  <c r="N191" i="4"/>
  <c r="AC190" i="4"/>
  <c r="Y190" i="4"/>
  <c r="W190" i="4"/>
  <c r="S190" i="4"/>
  <c r="N190" i="4"/>
  <c r="AC189" i="4"/>
  <c r="Y189" i="4"/>
  <c r="W189" i="4"/>
  <c r="S189" i="4"/>
  <c r="N189" i="4"/>
  <c r="AC188" i="4"/>
  <c r="Y188" i="4"/>
  <c r="W188" i="4"/>
  <c r="S188" i="4"/>
  <c r="N188" i="4"/>
  <c r="AC187" i="4"/>
  <c r="Y187" i="4"/>
  <c r="W187" i="4"/>
  <c r="S187" i="4"/>
  <c r="N187" i="4"/>
  <c r="AC186" i="4"/>
  <c r="Y186" i="4"/>
  <c r="W186" i="4"/>
  <c r="S186" i="4"/>
  <c r="N186" i="4"/>
  <c r="AA185" i="4"/>
  <c r="S185" i="4"/>
  <c r="U185" i="4" s="1"/>
  <c r="N185" i="4"/>
  <c r="AC184" i="4"/>
  <c r="Y184" i="4"/>
  <c r="W184" i="4"/>
  <c r="S184" i="4"/>
  <c r="N184" i="4"/>
  <c r="AC183" i="4"/>
  <c r="Y183" i="4"/>
  <c r="W183" i="4"/>
  <c r="S183" i="4"/>
  <c r="N183" i="4"/>
  <c r="AA182" i="4"/>
  <c r="S182" i="4"/>
  <c r="U182" i="4" s="1"/>
  <c r="AC181" i="4"/>
  <c r="Y181" i="4"/>
  <c r="W181" i="4"/>
  <c r="S181" i="4"/>
  <c r="N181" i="4"/>
  <c r="AC180" i="4"/>
  <c r="Y180" i="4"/>
  <c r="W180" i="4"/>
  <c r="S180" i="4"/>
  <c r="N180" i="4"/>
  <c r="AC179" i="4"/>
  <c r="Y179" i="4"/>
  <c r="W179" i="4"/>
  <c r="S179" i="4"/>
  <c r="N179" i="4"/>
  <c r="AC178" i="4"/>
  <c r="Y178" i="4"/>
  <c r="W178" i="4"/>
  <c r="S178" i="4"/>
  <c r="N178" i="4"/>
  <c r="AC177" i="4"/>
  <c r="Y177" i="4"/>
  <c r="W177" i="4"/>
  <c r="S177" i="4"/>
  <c r="N177" i="4"/>
  <c r="AC176" i="4"/>
  <c r="Y176" i="4"/>
  <c r="W176" i="4"/>
  <c r="S176" i="4"/>
  <c r="N176" i="4"/>
  <c r="S175" i="4"/>
  <c r="U175" i="4" s="1"/>
  <c r="N175" i="4"/>
  <c r="AA174" i="4"/>
  <c r="S174" i="4"/>
  <c r="U174" i="4" s="1"/>
  <c r="N174" i="4"/>
  <c r="AC173" i="4"/>
  <c r="Y173" i="4"/>
  <c r="W173" i="4"/>
  <c r="S173" i="4"/>
  <c r="N173" i="4"/>
  <c r="O172" i="4"/>
  <c r="M172" i="4"/>
  <c r="AC170" i="4"/>
  <c r="Y170" i="4"/>
  <c r="W170" i="4"/>
  <c r="S170" i="4"/>
  <c r="N170" i="4"/>
  <c r="AC169" i="4"/>
  <c r="S169" i="4"/>
  <c r="U169" i="4" s="1"/>
  <c r="W169" i="4" s="1"/>
  <c r="Z169" i="4" s="1"/>
  <c r="AG169" i="4" s="1"/>
  <c r="N169" i="4"/>
  <c r="S168" i="4"/>
  <c r="U168" i="4" s="1"/>
  <c r="N168" i="4"/>
  <c r="S167" i="4"/>
  <c r="U167" i="4" s="1"/>
  <c r="N167" i="4"/>
  <c r="AC166" i="4"/>
  <c r="Y166" i="4"/>
  <c r="W166" i="4"/>
  <c r="S166" i="4"/>
  <c r="N166" i="4"/>
  <c r="AC165" i="4"/>
  <c r="Y165" i="4"/>
  <c r="W165" i="4"/>
  <c r="S165" i="4"/>
  <c r="N165" i="4"/>
  <c r="AC164" i="4"/>
  <c r="Y164" i="4"/>
  <c r="W164" i="4"/>
  <c r="S164" i="4"/>
  <c r="N164" i="4"/>
  <c r="AC163" i="4"/>
  <c r="Y163" i="4"/>
  <c r="W163" i="4"/>
  <c r="S163" i="4"/>
  <c r="N163" i="4"/>
  <c r="AC162" i="4"/>
  <c r="Y162" i="4"/>
  <c r="W162" i="4"/>
  <c r="S162" i="4"/>
  <c r="N162" i="4"/>
  <c r="AC161" i="4"/>
  <c r="Y161" i="4"/>
  <c r="W161" i="4"/>
  <c r="S161" i="4"/>
  <c r="N161" i="4"/>
  <c r="AC160" i="4"/>
  <c r="Y160" i="4"/>
  <c r="W160" i="4"/>
  <c r="S160" i="4"/>
  <c r="N160" i="4"/>
  <c r="AC159" i="4"/>
  <c r="Y159" i="4"/>
  <c r="W159" i="4"/>
  <c r="S159" i="4"/>
  <c r="N159" i="4"/>
  <c r="AC158" i="4"/>
  <c r="Y158" i="4"/>
  <c r="W158" i="4"/>
  <c r="S158" i="4"/>
  <c r="N158" i="4"/>
  <c r="AC157" i="4"/>
  <c r="Y157" i="4"/>
  <c r="W157" i="4"/>
  <c r="S157" i="4"/>
  <c r="N157" i="4"/>
  <c r="AC156" i="4"/>
  <c r="Y156" i="4"/>
  <c r="W156" i="4"/>
  <c r="S156" i="4"/>
  <c r="N156" i="4"/>
  <c r="AC155" i="4"/>
  <c r="Y155" i="4"/>
  <c r="W155" i="4"/>
  <c r="S155" i="4"/>
  <c r="N155" i="4"/>
  <c r="AC154" i="4"/>
  <c r="Y154" i="4"/>
  <c r="W154" i="4"/>
  <c r="S154" i="4"/>
  <c r="N154" i="4"/>
  <c r="AC153" i="4"/>
  <c r="Y153" i="4"/>
  <c r="W153" i="4"/>
  <c r="S153" i="4"/>
  <c r="N153" i="4"/>
  <c r="AC152" i="4"/>
  <c r="Y152" i="4"/>
  <c r="W152" i="4"/>
  <c r="S152" i="4"/>
  <c r="N152" i="4"/>
  <c r="AC151" i="4"/>
  <c r="Y151" i="4"/>
  <c r="W151" i="4"/>
  <c r="S151" i="4"/>
  <c r="N151" i="4"/>
  <c r="AC150" i="4"/>
  <c r="Y150" i="4"/>
  <c r="W150" i="4"/>
  <c r="S150" i="4"/>
  <c r="N150" i="4"/>
  <c r="AC149" i="4"/>
  <c r="Y149" i="4"/>
  <c r="W149" i="4"/>
  <c r="S149" i="4"/>
  <c r="N149" i="4"/>
  <c r="S148" i="4"/>
  <c r="U148" i="4" s="1"/>
  <c r="AB148" i="4" s="1"/>
  <c r="N148" i="4"/>
  <c r="S147" i="4"/>
  <c r="U147" i="4" s="1"/>
  <c r="N147" i="4"/>
  <c r="S146" i="4"/>
  <c r="U146" i="4" s="1"/>
  <c r="N146" i="4"/>
  <c r="S145" i="4"/>
  <c r="U145" i="4" s="1"/>
  <c r="AB145" i="4" s="1"/>
  <c r="N145" i="4"/>
  <c r="S144" i="4"/>
  <c r="U144" i="4" s="1"/>
  <c r="AB144" i="4" s="1"/>
  <c r="N144" i="4"/>
  <c r="S143" i="4"/>
  <c r="U143" i="4" s="1"/>
  <c r="N143" i="4"/>
  <c r="S142" i="4"/>
  <c r="U142" i="4" s="1"/>
  <c r="N142" i="4"/>
  <c r="S141" i="4"/>
  <c r="U141" i="4" s="1"/>
  <c r="N141" i="4"/>
  <c r="S140" i="4"/>
  <c r="U140" i="4" s="1"/>
  <c r="AB140" i="4" s="1"/>
  <c r="N140" i="4"/>
  <c r="S139" i="4"/>
  <c r="U139" i="4" s="1"/>
  <c r="N139" i="4"/>
  <c r="AC138" i="4"/>
  <c r="Y138" i="4"/>
  <c r="W138" i="4"/>
  <c r="S138" i="4"/>
  <c r="N138" i="4"/>
  <c r="AC137" i="4"/>
  <c r="Y137" i="4"/>
  <c r="W137" i="4"/>
  <c r="S137" i="4"/>
  <c r="N137" i="4"/>
  <c r="AC136" i="4"/>
  <c r="Y136" i="4"/>
  <c r="W136" i="4"/>
  <c r="S136" i="4"/>
  <c r="N136" i="4"/>
  <c r="AC135" i="4"/>
  <c r="Y135" i="4"/>
  <c r="W135" i="4"/>
  <c r="S135" i="4"/>
  <c r="N135" i="4"/>
  <c r="AC134" i="4"/>
  <c r="Y134" i="4"/>
  <c r="W134" i="4"/>
  <c r="S134" i="4"/>
  <c r="N134" i="4"/>
  <c r="AC133" i="4"/>
  <c r="Y133" i="4"/>
  <c r="W133" i="4"/>
  <c r="S133" i="4"/>
  <c r="N133" i="4"/>
  <c r="AC132" i="4"/>
  <c r="Y132" i="4"/>
  <c r="W132" i="4"/>
  <c r="S132" i="4"/>
  <c r="N132" i="4"/>
  <c r="AC131" i="4"/>
  <c r="Y131" i="4"/>
  <c r="W131" i="4"/>
  <c r="S131" i="4"/>
  <c r="N131" i="4"/>
  <c r="AC130" i="4"/>
  <c r="Y130" i="4"/>
  <c r="W130" i="4"/>
  <c r="S130" i="4"/>
  <c r="N130" i="4"/>
  <c r="AC129" i="4"/>
  <c r="Y129" i="4"/>
  <c r="W129" i="4"/>
  <c r="S129" i="4"/>
  <c r="N129" i="4"/>
  <c r="AC128" i="4"/>
  <c r="Y128" i="4"/>
  <c r="W128" i="4"/>
  <c r="S128" i="4"/>
  <c r="N128" i="4"/>
  <c r="AC127" i="4"/>
  <c r="Y127" i="4"/>
  <c r="W127" i="4"/>
  <c r="S127" i="4"/>
  <c r="N127" i="4"/>
  <c r="AC126" i="4"/>
  <c r="Y126" i="4"/>
  <c r="W126" i="4"/>
  <c r="S126" i="4"/>
  <c r="N126" i="4"/>
  <c r="AC125" i="4"/>
  <c r="Y125" i="4"/>
  <c r="W125" i="4"/>
  <c r="S125" i="4"/>
  <c r="N125" i="4"/>
  <c r="AC124" i="4"/>
  <c r="Y124" i="4"/>
  <c r="W124" i="4"/>
  <c r="S124" i="4"/>
  <c r="N124" i="4"/>
  <c r="AC123" i="4"/>
  <c r="Y123" i="4"/>
  <c r="W123" i="4"/>
  <c r="S123" i="4"/>
  <c r="N123" i="4"/>
  <c r="AC122" i="4"/>
  <c r="S122" i="4"/>
  <c r="U122" i="4" s="1"/>
  <c r="Y122" i="4" s="1"/>
  <c r="N122" i="4"/>
  <c r="AC121" i="4"/>
  <c r="S121" i="4"/>
  <c r="U121" i="4" s="1"/>
  <c r="Y121" i="4" s="1"/>
  <c r="N121" i="4"/>
  <c r="AC120" i="4"/>
  <c r="Y120" i="4"/>
  <c r="W120" i="4"/>
  <c r="S120" i="4"/>
  <c r="N120" i="4"/>
  <c r="AC119" i="4"/>
  <c r="Y119" i="4"/>
  <c r="W119" i="4"/>
  <c r="S119" i="4"/>
  <c r="N119" i="4"/>
  <c r="AC118" i="4"/>
  <c r="Y118" i="4"/>
  <c r="W118" i="4"/>
  <c r="S118" i="4"/>
  <c r="N118" i="4"/>
  <c r="AC117" i="4"/>
  <c r="Y117" i="4"/>
  <c r="W117" i="4"/>
  <c r="S117" i="4"/>
  <c r="N117" i="4"/>
  <c r="AC116" i="4"/>
  <c r="Y116" i="4"/>
  <c r="W116" i="4"/>
  <c r="S116" i="4"/>
  <c r="N116" i="4"/>
  <c r="O115" i="4"/>
  <c r="M115" i="4"/>
  <c r="AC114" i="4"/>
  <c r="AC113" i="4" s="1"/>
  <c r="Y114" i="4"/>
  <c r="W114" i="4"/>
  <c r="S114" i="4"/>
  <c r="S113" i="4" s="1"/>
  <c r="N114" i="4"/>
  <c r="AB113" i="4"/>
  <c r="U113" i="4"/>
  <c r="O113" i="4"/>
  <c r="M113" i="4"/>
  <c r="AA112" i="4"/>
  <c r="S112" i="4"/>
  <c r="U112" i="4" s="1"/>
  <c r="Y112" i="4" s="1"/>
  <c r="N112" i="4"/>
  <c r="AC111" i="4"/>
  <c r="Y111" i="4"/>
  <c r="W111" i="4"/>
  <c r="S111" i="4"/>
  <c r="N111" i="4"/>
  <c r="O110" i="4"/>
  <c r="M110" i="4"/>
  <c r="AC109" i="4"/>
  <c r="Y109" i="4"/>
  <c r="W109" i="4"/>
  <c r="S109" i="4"/>
  <c r="N109" i="4"/>
  <c r="AC108" i="4"/>
  <c r="Y108" i="4"/>
  <c r="W108" i="4"/>
  <c r="S108" i="4"/>
  <c r="N108" i="4"/>
  <c r="AC107" i="4"/>
  <c r="Y107" i="4"/>
  <c r="W107" i="4"/>
  <c r="S107" i="4"/>
  <c r="N107" i="4"/>
  <c r="AC106" i="4"/>
  <c r="Y106" i="4"/>
  <c r="W106" i="4"/>
  <c r="S106" i="4"/>
  <c r="N106" i="4"/>
  <c r="AC105" i="4"/>
  <c r="Y105" i="4"/>
  <c r="W105" i="4"/>
  <c r="S105" i="4"/>
  <c r="N105" i="4"/>
  <c r="AC104" i="4"/>
  <c r="Y104" i="4"/>
  <c r="W104" i="4"/>
  <c r="S104" i="4"/>
  <c r="N104" i="4"/>
  <c r="AB103" i="4"/>
  <c r="U103" i="4"/>
  <c r="O103" i="4"/>
  <c r="M103" i="4"/>
  <c r="Q100" i="4"/>
  <c r="Q99" i="4"/>
  <c r="Q98" i="4"/>
  <c r="AC97" i="4"/>
  <c r="AC96" i="4" s="1"/>
  <c r="AB97" i="4"/>
  <c r="AB96" i="4" s="1"/>
  <c r="O1436" i="4" s="1"/>
  <c r="O1435" i="4" s="1"/>
  <c r="Z97" i="4"/>
  <c r="Z96" i="4" s="1"/>
  <c r="Y97" i="4"/>
  <c r="Y96" i="4" s="1"/>
  <c r="W97" i="4"/>
  <c r="W96" i="4" s="1"/>
  <c r="U97" i="4"/>
  <c r="U96" i="4" s="1"/>
  <c r="S97" i="4"/>
  <c r="S96" i="4" s="1"/>
  <c r="R97" i="4"/>
  <c r="R96" i="4" s="1"/>
  <c r="P97" i="4"/>
  <c r="O97" i="4"/>
  <c r="O96" i="4" s="1"/>
  <c r="M97" i="4"/>
  <c r="M96" i="4" s="1"/>
  <c r="Q95" i="4"/>
  <c r="AC94" i="4"/>
  <c r="AB94" i="4"/>
  <c r="Z94" i="4"/>
  <c r="Y94" i="4"/>
  <c r="W94" i="4"/>
  <c r="U94" i="4"/>
  <c r="S94" i="4"/>
  <c r="R94" i="4"/>
  <c r="P94" i="4"/>
  <c r="O94" i="4"/>
  <c r="M94" i="4"/>
  <c r="Q93" i="4"/>
  <c r="AC92" i="4"/>
  <c r="AB92" i="4"/>
  <c r="Z92" i="4"/>
  <c r="Y92" i="4"/>
  <c r="W92" i="4"/>
  <c r="U92" i="4"/>
  <c r="S92" i="4"/>
  <c r="R92" i="4"/>
  <c r="P92" i="4"/>
  <c r="O92" i="4"/>
  <c r="M92" i="4"/>
  <c r="Q91" i="4"/>
  <c r="AC90" i="4"/>
  <c r="AB90" i="4"/>
  <c r="Z90" i="4"/>
  <c r="Z89" i="4" s="1"/>
  <c r="Y90" i="4"/>
  <c r="W90" i="4"/>
  <c r="U90" i="4"/>
  <c r="S90" i="4"/>
  <c r="R90" i="4"/>
  <c r="P90" i="4"/>
  <c r="O90" i="4"/>
  <c r="O89" i="4" s="1"/>
  <c r="M90" i="4"/>
  <c r="Q88" i="4"/>
  <c r="AC87" i="4"/>
  <c r="AB87" i="4"/>
  <c r="Z87" i="4"/>
  <c r="Y87" i="4"/>
  <c r="W87" i="4"/>
  <c r="U87" i="4"/>
  <c r="S87" i="4"/>
  <c r="R87" i="4"/>
  <c r="P87" i="4"/>
  <c r="O87" i="4"/>
  <c r="M87" i="4"/>
  <c r="Q86" i="4"/>
  <c r="AC85" i="4"/>
  <c r="AB85" i="4"/>
  <c r="Z85" i="4"/>
  <c r="Y85" i="4"/>
  <c r="W85" i="4"/>
  <c r="U85" i="4"/>
  <c r="S85" i="4"/>
  <c r="R85" i="4"/>
  <c r="P85" i="4"/>
  <c r="O85" i="4"/>
  <c r="M85" i="4"/>
  <c r="Q84" i="4"/>
  <c r="AC83" i="4"/>
  <c r="AB83" i="4"/>
  <c r="Z83" i="4"/>
  <c r="Y83" i="4"/>
  <c r="W83" i="4"/>
  <c r="U83" i="4"/>
  <c r="S83" i="4"/>
  <c r="R83" i="4"/>
  <c r="P83" i="4"/>
  <c r="O83" i="4"/>
  <c r="M83" i="4"/>
  <c r="Q82" i="4"/>
  <c r="AB80" i="4"/>
  <c r="AB79" i="4" s="1"/>
  <c r="U80" i="4"/>
  <c r="S80" i="4"/>
  <c r="O80" i="4"/>
  <c r="M80" i="4"/>
  <c r="AC79" i="4"/>
  <c r="Z79" i="4"/>
  <c r="Y79" i="4"/>
  <c r="W79" i="4"/>
  <c r="U79" i="4"/>
  <c r="S79" i="4"/>
  <c r="R79" i="4"/>
  <c r="P79" i="4"/>
  <c r="O79" i="4"/>
  <c r="M79" i="4"/>
  <c r="S78" i="4"/>
  <c r="U78" i="4" s="1"/>
  <c r="W78" i="4" s="1"/>
  <c r="S77" i="4"/>
  <c r="U77" i="4" s="1"/>
  <c r="W77" i="4" s="1"/>
  <c r="S76" i="4"/>
  <c r="U76" i="4" s="1"/>
  <c r="W76" i="4" s="1"/>
  <c r="S75" i="4"/>
  <c r="U75" i="4" s="1"/>
  <c r="W75" i="4" s="1"/>
  <c r="S74" i="4"/>
  <c r="U74" i="4" s="1"/>
  <c r="W74" i="4" s="1"/>
  <c r="S73" i="4"/>
  <c r="U73" i="4" s="1"/>
  <c r="W73" i="4" s="1"/>
  <c r="S72" i="4"/>
  <c r="U72" i="4" s="1"/>
  <c r="AB72" i="4" s="1"/>
  <c r="AC72" i="4" s="1"/>
  <c r="S71" i="4"/>
  <c r="U71" i="4" s="1"/>
  <c r="Y71" i="4" s="1"/>
  <c r="S70" i="4"/>
  <c r="U70" i="4" s="1"/>
  <c r="S69" i="4"/>
  <c r="U69" i="4" s="1"/>
  <c r="S68" i="4"/>
  <c r="U68" i="4" s="1"/>
  <c r="AB68" i="4" s="1"/>
  <c r="AC68" i="4" s="1"/>
  <c r="S67" i="4"/>
  <c r="U67" i="4" s="1"/>
  <c r="Y67" i="4" s="1"/>
  <c r="S66" i="4"/>
  <c r="U66" i="4" s="1"/>
  <c r="S65" i="4"/>
  <c r="U65" i="4" s="1"/>
  <c r="S64" i="4"/>
  <c r="U64" i="4" s="1"/>
  <c r="S63" i="4"/>
  <c r="U63" i="4" s="1"/>
  <c r="Y63" i="4" s="1"/>
  <c r="AC62" i="4"/>
  <c r="Y62" i="4"/>
  <c r="W62" i="4"/>
  <c r="S62" i="4"/>
  <c r="AC61" i="4"/>
  <c r="Y61" i="4"/>
  <c r="W61" i="4"/>
  <c r="S61" i="4"/>
  <c r="AC60" i="4"/>
  <c r="Y60" i="4"/>
  <c r="W60" i="4"/>
  <c r="S60" i="4"/>
  <c r="AC59" i="4"/>
  <c r="W59" i="4"/>
  <c r="Z59" i="4" s="1"/>
  <c r="S59" i="4"/>
  <c r="O58" i="4"/>
  <c r="M58" i="4"/>
  <c r="S57" i="4"/>
  <c r="S56" i="4" s="1"/>
  <c r="O56" i="4"/>
  <c r="M56" i="4"/>
  <c r="AA55" i="4"/>
  <c r="S55" i="4"/>
  <c r="U55" i="4" s="1"/>
  <c r="S54" i="4"/>
  <c r="U54" i="4" s="1"/>
  <c r="S53" i="4"/>
  <c r="U53" i="4" s="1"/>
  <c r="Y53" i="4" s="1"/>
  <c r="S52" i="4"/>
  <c r="U52" i="4" s="1"/>
  <c r="AC51" i="4"/>
  <c r="Y51" i="4"/>
  <c r="W51" i="4"/>
  <c r="S51" i="4"/>
  <c r="AC50" i="4"/>
  <c r="Y50" i="4"/>
  <c r="W50" i="4"/>
  <c r="S50" i="4"/>
  <c r="S49" i="4"/>
  <c r="U49" i="4" s="1"/>
  <c r="AC48" i="4"/>
  <c r="Y48" i="4"/>
  <c r="W48" i="4"/>
  <c r="S48" i="4"/>
  <c r="AC47" i="4"/>
  <c r="Y47" i="4"/>
  <c r="W47" i="4"/>
  <c r="S47" i="4"/>
  <c r="O46" i="4"/>
  <c r="M46" i="4"/>
  <c r="R45" i="4"/>
  <c r="Q45" i="4"/>
  <c r="P45" i="4"/>
  <c r="S42" i="4"/>
  <c r="U42" i="4" s="1"/>
  <c r="O41" i="4"/>
  <c r="O40" i="4" s="1"/>
  <c r="O31" i="4" s="1"/>
  <c r="M41" i="4"/>
  <c r="M40" i="4" s="1"/>
  <c r="M31" i="4" s="1"/>
  <c r="Y40" i="4"/>
  <c r="R40" i="4"/>
  <c r="Q40" i="4"/>
  <c r="P40" i="4"/>
  <c r="AC36" i="4"/>
  <c r="AB36" i="4"/>
  <c r="Z36" i="4"/>
  <c r="Y36" i="4"/>
  <c r="W36" i="4"/>
  <c r="U36" i="4"/>
  <c r="S36" i="4"/>
  <c r="R36" i="4"/>
  <c r="Q36" i="4"/>
  <c r="P36" i="4"/>
  <c r="O36" i="4"/>
  <c r="M36" i="4"/>
  <c r="AC32" i="4"/>
  <c r="AB32" i="4"/>
  <c r="Z32" i="4"/>
  <c r="Y32" i="4"/>
  <c r="W32" i="4"/>
  <c r="U32" i="4"/>
  <c r="S32" i="4"/>
  <c r="R32" i="4"/>
  <c r="Q32" i="4"/>
  <c r="P32" i="4"/>
  <c r="O32" i="4"/>
  <c r="M32" i="4"/>
  <c r="AC24" i="4"/>
  <c r="AB24" i="4"/>
  <c r="Z24" i="4"/>
  <c r="Y24" i="4"/>
  <c r="W24" i="4"/>
  <c r="U24" i="4"/>
  <c r="S24" i="4"/>
  <c r="R24" i="4"/>
  <c r="Q24" i="4"/>
  <c r="P24" i="4"/>
  <c r="O24" i="4"/>
  <c r="M24" i="4"/>
  <c r="AC19" i="4"/>
  <c r="AB19" i="4"/>
  <c r="Z19" i="4"/>
  <c r="Y19" i="4"/>
  <c r="W19" i="4"/>
  <c r="U19" i="4"/>
  <c r="S19" i="4"/>
  <c r="R19" i="4"/>
  <c r="Q19" i="4"/>
  <c r="P19" i="4"/>
  <c r="O19" i="4"/>
  <c r="M19" i="4"/>
  <c r="AC14" i="4"/>
  <c r="AB14" i="4"/>
  <c r="Z14" i="4"/>
  <c r="Y14" i="4"/>
  <c r="W14" i="4"/>
  <c r="U14" i="4"/>
  <c r="S14" i="4"/>
  <c r="R14" i="4"/>
  <c r="Q14" i="4"/>
  <c r="P14" i="4"/>
  <c r="O14" i="4"/>
  <c r="M14" i="4"/>
  <c r="AC9" i="4"/>
  <c r="AC8" i="4" s="1"/>
  <c r="AB9" i="4"/>
  <c r="Z9" i="4"/>
  <c r="Y9" i="4"/>
  <c r="W9" i="4"/>
  <c r="U9" i="4"/>
  <c r="U8" i="4" s="1"/>
  <c r="S9" i="4"/>
  <c r="S8" i="4" s="1"/>
  <c r="R9" i="4"/>
  <c r="Q9" i="4"/>
  <c r="Q8" i="4" s="1"/>
  <c r="P9" i="4"/>
  <c r="O9" i="4"/>
  <c r="M9" i="4"/>
  <c r="P1285" i="4" l="1"/>
  <c r="P206" i="5"/>
  <c r="K522" i="5"/>
  <c r="L545" i="5"/>
  <c r="P93" i="5"/>
  <c r="J844" i="5"/>
  <c r="S1195" i="4"/>
  <c r="M730" i="5"/>
  <c r="I1798" i="5"/>
  <c r="I1792" i="5" s="1"/>
  <c r="I1791" i="5" s="1"/>
  <c r="AB1015" i="4"/>
  <c r="O1468" i="4" s="1"/>
  <c r="O1467" i="4" s="1"/>
  <c r="I320" i="5"/>
  <c r="M1195" i="4"/>
  <c r="R1195" i="4"/>
  <c r="O1195" i="4"/>
  <c r="AB1359" i="4"/>
  <c r="AC1015" i="4"/>
  <c r="Q1015" i="4"/>
  <c r="L1006" i="5"/>
  <c r="R837" i="4"/>
  <c r="I904" i="5"/>
  <c r="P1006" i="5"/>
  <c r="Y1020" i="4"/>
  <c r="P1576" i="5"/>
  <c r="O123" i="5"/>
  <c r="M1051" i="4"/>
  <c r="L183" i="5"/>
  <c r="M123" i="5"/>
  <c r="J511" i="5"/>
  <c r="R1346" i="4"/>
  <c r="N206" i="5"/>
  <c r="J603" i="5"/>
  <c r="U837" i="4"/>
  <c r="Q1051" i="4"/>
  <c r="Q1029" i="4"/>
  <c r="K629" i="5"/>
  <c r="K628" i="5" s="1"/>
  <c r="O1507" i="5"/>
  <c r="K1576" i="5"/>
  <c r="U816" i="4"/>
  <c r="AB816" i="4"/>
  <c r="O1452" i="4" s="1"/>
  <c r="O1451" i="4" s="1"/>
  <c r="U1087" i="4"/>
  <c r="AB1087" i="4" s="1"/>
  <c r="AC1087" i="4" s="1"/>
  <c r="J629" i="5"/>
  <c r="J628" i="5" s="1"/>
  <c r="L629" i="5"/>
  <c r="L628" i="5" s="1"/>
  <c r="I629" i="5"/>
  <c r="I628" i="5" s="1"/>
  <c r="M629" i="5"/>
  <c r="M628" i="5" s="1"/>
  <c r="O1576" i="5"/>
  <c r="P545" i="5"/>
  <c r="AC1333" i="4"/>
  <c r="W1333" i="4"/>
  <c r="J469" i="5"/>
  <c r="N1717" i="5"/>
  <c r="Y8" i="4"/>
  <c r="O816" i="4"/>
  <c r="W8" i="4"/>
  <c r="S1036" i="4"/>
  <c r="Y837" i="4"/>
  <c r="O846" i="4"/>
  <c r="O1036" i="4"/>
  <c r="P14" i="5"/>
  <c r="P13" i="5" s="1"/>
  <c r="M704" i="5"/>
  <c r="M703" i="5" s="1"/>
  <c r="O789" i="5"/>
  <c r="O703" i="5" s="1"/>
  <c r="AB1285" i="4"/>
  <c r="R8" i="4"/>
  <c r="Z8" i="4"/>
  <c r="O1051" i="4"/>
  <c r="K206" i="5"/>
  <c r="O206" i="5"/>
  <c r="M869" i="5"/>
  <c r="M868" i="5" s="1"/>
  <c r="O1006" i="5"/>
  <c r="P1051" i="4"/>
  <c r="P816" i="4"/>
  <c r="S1188" i="4"/>
  <c r="Q1285" i="4"/>
  <c r="M8" i="4"/>
  <c r="Q1195" i="4"/>
  <c r="W1195" i="4"/>
  <c r="N283" i="5"/>
  <c r="N869" i="5"/>
  <c r="N868" i="5" s="1"/>
  <c r="N704" i="5"/>
  <c r="I931" i="5"/>
  <c r="I868" i="5" s="1"/>
  <c r="L320" i="5"/>
  <c r="J704" i="5"/>
  <c r="P1188" i="4"/>
  <c r="J1717" i="5"/>
  <c r="J968" i="5" s="1"/>
  <c r="J730" i="5"/>
  <c r="J206" i="5"/>
  <c r="AB8" i="4"/>
  <c r="Y1015" i="4"/>
  <c r="K1006" i="5"/>
  <c r="K968" i="5" s="1"/>
  <c r="S837" i="4"/>
  <c r="Y1333" i="4"/>
  <c r="L14" i="5"/>
  <c r="L13" i="5" s="1"/>
  <c r="S1285" i="4"/>
  <c r="L536" i="5"/>
  <c r="J789" i="5"/>
  <c r="Y1029" i="4"/>
  <c r="P8" i="4"/>
  <c r="R1359" i="4"/>
  <c r="Y1359" i="4"/>
  <c r="P89" i="4"/>
  <c r="Q89" i="4" s="1"/>
  <c r="Q816" i="4"/>
  <c r="W816" i="4"/>
  <c r="P522" i="5"/>
  <c r="P904" i="5"/>
  <c r="P868" i="5" s="1"/>
  <c r="L1507" i="5"/>
  <c r="P1507" i="5"/>
  <c r="P123" i="5"/>
  <c r="N123" i="5"/>
  <c r="Y1285" i="4"/>
  <c r="O869" i="5"/>
  <c r="O868" i="5" s="1"/>
  <c r="O8" i="4"/>
  <c r="AC816" i="4"/>
  <c r="AC1029" i="4"/>
  <c r="O55" i="5"/>
  <c r="Z1195" i="4"/>
  <c r="L522" i="5"/>
  <c r="M1006" i="5"/>
  <c r="M968" i="5" s="1"/>
  <c r="S1359" i="4"/>
  <c r="Z1359" i="4"/>
  <c r="Z1284" i="4" s="1"/>
  <c r="R816" i="4"/>
  <c r="P837" i="4"/>
  <c r="L730" i="5"/>
  <c r="L703" i="5" s="1"/>
  <c r="I1006" i="5"/>
  <c r="I968" i="5" s="1"/>
  <c r="N1792" i="5"/>
  <c r="N1791" i="5" s="1"/>
  <c r="W1051" i="4"/>
  <c r="N1576" i="5"/>
  <c r="S1051" i="4"/>
  <c r="O545" i="5"/>
  <c r="N1006" i="5"/>
  <c r="O14" i="5"/>
  <c r="O13" i="5" s="1"/>
  <c r="N844" i="5"/>
  <c r="N703" i="5" s="1"/>
  <c r="AC1036" i="4"/>
  <c r="W1036" i="4"/>
  <c r="J1792" i="5"/>
  <c r="J1791" i="5" s="1"/>
  <c r="P1792" i="5"/>
  <c r="P1791" i="5" s="1"/>
  <c r="L1792" i="5"/>
  <c r="L1791" i="5" s="1"/>
  <c r="O1792" i="5"/>
  <c r="O1791" i="5" s="1"/>
  <c r="K1792" i="5"/>
  <c r="K1791" i="5" s="1"/>
  <c r="M1798" i="5"/>
  <c r="M1792" i="5" s="1"/>
  <c r="M1791" i="5" s="1"/>
  <c r="K931" i="5"/>
  <c r="K868" i="5" s="1"/>
  <c r="N545" i="5"/>
  <c r="L490" i="5"/>
  <c r="P703" i="5"/>
  <c r="I703" i="5"/>
  <c r="K703" i="5"/>
  <c r="J868" i="5"/>
  <c r="L868" i="5"/>
  <c r="Z425" i="4"/>
  <c r="AG425" i="4" s="1"/>
  <c r="P183" i="5"/>
  <c r="U1333" i="4"/>
  <c r="U1284" i="4" s="1"/>
  <c r="P629" i="5"/>
  <c r="P628" i="5" s="1"/>
  <c r="M522" i="5"/>
  <c r="O183" i="5"/>
  <c r="Y31" i="4"/>
  <c r="I490" i="5"/>
  <c r="J490" i="5"/>
  <c r="K490" i="5"/>
  <c r="M490" i="5"/>
  <c r="Z1555" i="4"/>
  <c r="K183" i="5"/>
  <c r="W1359" i="4"/>
  <c r="Q1359" i="4"/>
  <c r="AC1359" i="4"/>
  <c r="U1188" i="4"/>
  <c r="Z642" i="4"/>
  <c r="AG642" i="4" s="1"/>
  <c r="Z531" i="4"/>
  <c r="AG531" i="4" s="1"/>
  <c r="Z539" i="4"/>
  <c r="AG539" i="4" s="1"/>
  <c r="Z553" i="4"/>
  <c r="AG553" i="4" s="1"/>
  <c r="Z675" i="4"/>
  <c r="AG675" i="4" s="1"/>
  <c r="Z792" i="4"/>
  <c r="Z853" i="4"/>
  <c r="Z857" i="4"/>
  <c r="Z861" i="4"/>
  <c r="Z413" i="4"/>
  <c r="AG413" i="4" s="1"/>
  <c r="Z753" i="4"/>
  <c r="Z903" i="4"/>
  <c r="AB485" i="4"/>
  <c r="AC485" i="4" s="1"/>
  <c r="Z682" i="4"/>
  <c r="AG682" i="4" s="1"/>
  <c r="Z855" i="4"/>
  <c r="Z863" i="4"/>
  <c r="R31" i="4"/>
  <c r="Z594" i="4"/>
  <c r="AG594" i="4" s="1"/>
  <c r="AB728" i="4"/>
  <c r="AC728" i="4" s="1"/>
  <c r="Z990" i="4"/>
  <c r="Q94" i="4"/>
  <c r="Z900" i="4"/>
  <c r="AB920" i="4"/>
  <c r="AC920" i="4" s="1"/>
  <c r="M1284" i="4"/>
  <c r="O1284" i="4"/>
  <c r="Z120" i="4"/>
  <c r="AG120" i="4" s="1"/>
  <c r="Z150" i="4"/>
  <c r="AG150" i="4" s="1"/>
  <c r="Z154" i="4"/>
  <c r="AG154" i="4" s="1"/>
  <c r="Z158" i="4"/>
  <c r="AG158" i="4" s="1"/>
  <c r="Z166" i="4"/>
  <c r="AG166" i="4" s="1"/>
  <c r="Z173" i="4"/>
  <c r="AG173" i="4" s="1"/>
  <c r="Z187" i="4"/>
  <c r="AG187" i="4" s="1"/>
  <c r="Z191" i="4"/>
  <c r="AG191" i="4" s="1"/>
  <c r="Z335" i="4"/>
  <c r="AG335" i="4" s="1"/>
  <c r="Z604" i="4"/>
  <c r="AG604" i="4" s="1"/>
  <c r="Z650" i="4"/>
  <c r="AG650" i="4" s="1"/>
  <c r="Z901" i="4"/>
  <c r="Z989" i="4"/>
  <c r="M1259" i="4"/>
  <c r="R1259" i="4"/>
  <c r="P1359" i="4"/>
  <c r="P1284" i="4" s="1"/>
  <c r="P1068" i="4"/>
  <c r="P1067" i="4" s="1"/>
  <c r="P1066" i="4" s="1"/>
  <c r="Z1554" i="4"/>
  <c r="M816" i="4"/>
  <c r="Z399" i="4"/>
  <c r="AG399" i="4" s="1"/>
  <c r="AB559" i="4"/>
  <c r="AC559" i="4" s="1"/>
  <c r="Z564" i="4"/>
  <c r="AG564" i="4" s="1"/>
  <c r="Z159" i="4"/>
  <c r="AG159" i="4" s="1"/>
  <c r="Z337" i="4"/>
  <c r="AG337" i="4" s="1"/>
  <c r="P44" i="4"/>
  <c r="O45" i="4"/>
  <c r="Q97" i="4"/>
  <c r="Z123" i="4"/>
  <c r="AG123" i="4" s="1"/>
  <c r="Z127" i="4"/>
  <c r="AG127" i="4" s="1"/>
  <c r="Z247" i="4"/>
  <c r="Z251" i="4"/>
  <c r="Z283" i="4"/>
  <c r="AG283" i="4" s="1"/>
  <c r="Z287" i="4"/>
  <c r="AG287" i="4" s="1"/>
  <c r="Z291" i="4"/>
  <c r="AG291" i="4" s="1"/>
  <c r="Z347" i="4"/>
  <c r="AG347" i="4" s="1"/>
  <c r="Z365" i="4"/>
  <c r="AG365" i="4" s="1"/>
  <c r="Z369" i="4"/>
  <c r="AG369" i="4" s="1"/>
  <c r="AB370" i="4"/>
  <c r="AG370" i="4" s="1"/>
  <c r="Z375" i="4"/>
  <c r="AG375" i="4" s="1"/>
  <c r="AB620" i="4"/>
  <c r="AC620" i="4" s="1"/>
  <c r="Z635" i="4"/>
  <c r="AG635" i="4" s="1"/>
  <c r="Z1188" i="4"/>
  <c r="AB1269" i="4"/>
  <c r="AC1269" i="4" s="1"/>
  <c r="M45" i="4"/>
  <c r="Z48" i="4"/>
  <c r="Z326" i="4"/>
  <c r="AG326" i="4" s="1"/>
  <c r="Z461" i="4"/>
  <c r="AG461" i="4" s="1"/>
  <c r="Z765" i="4"/>
  <c r="Z773" i="4"/>
  <c r="Q31" i="4"/>
  <c r="Z311" i="4"/>
  <c r="AG311" i="4" s="1"/>
  <c r="Z352" i="4"/>
  <c r="AG352" i="4" s="1"/>
  <c r="AB382" i="4"/>
  <c r="AG382" i="4" s="1"/>
  <c r="Z418" i="4"/>
  <c r="AG418" i="4" s="1"/>
  <c r="Z450" i="4"/>
  <c r="AG450" i="4" s="1"/>
  <c r="Z454" i="4"/>
  <c r="AG454" i="4" s="1"/>
  <c r="Z528" i="4"/>
  <c r="AG528" i="4" s="1"/>
  <c r="Z532" i="4"/>
  <c r="AG532" i="4" s="1"/>
  <c r="R1066" i="4"/>
  <c r="Y1162" i="4"/>
  <c r="AB1168" i="4"/>
  <c r="Q1210" i="4"/>
  <c r="P1538" i="4"/>
  <c r="M1538" i="4"/>
  <c r="AC1538" i="4"/>
  <c r="S238" i="4"/>
  <c r="Z282" i="4"/>
  <c r="AG282" i="4" s="1"/>
  <c r="Z298" i="4"/>
  <c r="AG298" i="4" s="1"/>
  <c r="Z321" i="4"/>
  <c r="AG321" i="4" s="1"/>
  <c r="Z325" i="4"/>
  <c r="AG325" i="4" s="1"/>
  <c r="Z333" i="4"/>
  <c r="AG333" i="4" s="1"/>
  <c r="Z338" i="4"/>
  <c r="AG338" i="4" s="1"/>
  <c r="Z342" i="4"/>
  <c r="AG342" i="4" s="1"/>
  <c r="Z346" i="4"/>
  <c r="AG346" i="4" s="1"/>
  <c r="Z354" i="4"/>
  <c r="AG354" i="4" s="1"/>
  <c r="AB386" i="4"/>
  <c r="AC386" i="4" s="1"/>
  <c r="Z400" i="4"/>
  <c r="AG400" i="4" s="1"/>
  <c r="Z404" i="4"/>
  <c r="AG404" i="4" s="1"/>
  <c r="Z428" i="4"/>
  <c r="AG428" i="4" s="1"/>
  <c r="Z432" i="4"/>
  <c r="AG432" i="4" s="1"/>
  <c r="Z436" i="4"/>
  <c r="AG436" i="4" s="1"/>
  <c r="Z529" i="4"/>
  <c r="AG529" i="4" s="1"/>
  <c r="Z791" i="4"/>
  <c r="Z945" i="4"/>
  <c r="W1119" i="4"/>
  <c r="W1132" i="4"/>
  <c r="Y1168" i="4"/>
  <c r="M1210" i="4"/>
  <c r="R1210" i="4"/>
  <c r="Q1259" i="4"/>
  <c r="Z303" i="4"/>
  <c r="AG303" i="4" s="1"/>
  <c r="Z137" i="4"/>
  <c r="AG137" i="4" s="1"/>
  <c r="M102" i="4"/>
  <c r="Z206" i="4"/>
  <c r="AG206" i="4" s="1"/>
  <c r="Z214" i="4"/>
  <c r="AG214" i="4" s="1"/>
  <c r="Z233" i="4"/>
  <c r="AG233" i="4" s="1"/>
  <c r="Z506" i="4"/>
  <c r="AG506" i="4" s="1"/>
  <c r="Z587" i="4"/>
  <c r="AG587" i="4" s="1"/>
  <c r="Z634" i="4"/>
  <c r="AG634" i="4" s="1"/>
  <c r="Z721" i="4"/>
  <c r="AB742" i="4"/>
  <c r="AC742" i="4" s="1"/>
  <c r="Z891" i="4"/>
  <c r="Z899" i="4"/>
  <c r="Z951" i="4"/>
  <c r="Z955" i="4"/>
  <c r="Y1071" i="4"/>
  <c r="Y1132" i="4"/>
  <c r="W1145" i="4"/>
  <c r="AB1218" i="4"/>
  <c r="W1274" i="4"/>
  <c r="Z1274" i="4" s="1"/>
  <c r="AB73" i="4"/>
  <c r="AC73" i="4" s="1"/>
  <c r="Z130" i="4"/>
  <c r="AG130" i="4" s="1"/>
  <c r="Z134" i="4"/>
  <c r="AG134" i="4" s="1"/>
  <c r="Z138" i="4"/>
  <c r="AG138" i="4" s="1"/>
  <c r="Z151" i="4"/>
  <c r="AG151" i="4" s="1"/>
  <c r="Z163" i="4"/>
  <c r="AG163" i="4" s="1"/>
  <c r="Z204" i="4"/>
  <c r="AG204" i="4" s="1"/>
  <c r="Z212" i="4"/>
  <c r="AG212" i="4" s="1"/>
  <c r="Z216" i="4"/>
  <c r="AG216" i="4" s="1"/>
  <c r="Z231" i="4"/>
  <c r="AG231" i="4" s="1"/>
  <c r="Z235" i="4"/>
  <c r="AG235" i="4" s="1"/>
  <c r="W483" i="4"/>
  <c r="Z483" i="4" s="1"/>
  <c r="Z507" i="4"/>
  <c r="AG507" i="4" s="1"/>
  <c r="Z691" i="4"/>
  <c r="AG691" i="4" s="1"/>
  <c r="Z700" i="4"/>
  <c r="AG700" i="4" s="1"/>
  <c r="Z715" i="4"/>
  <c r="Z719" i="4"/>
  <c r="Z723" i="4"/>
  <c r="Z743" i="4"/>
  <c r="Z796" i="4"/>
  <c r="Z941" i="4"/>
  <c r="Z965" i="4"/>
  <c r="AB1106" i="4"/>
  <c r="AC1106" i="4" s="1"/>
  <c r="M1068" i="4"/>
  <c r="M1067" i="4" s="1"/>
  <c r="M1066" i="4" s="1"/>
  <c r="Y1145" i="4"/>
  <c r="W1218" i="4"/>
  <c r="Z1218" i="4" s="1"/>
  <c r="W1269" i="4"/>
  <c r="Y1553" i="4"/>
  <c r="Y1552" i="4" s="1"/>
  <c r="Y1551" i="4" s="1"/>
  <c r="Y1538" i="4" s="1"/>
  <c r="Z427" i="4"/>
  <c r="AG427" i="4" s="1"/>
  <c r="Z451" i="4"/>
  <c r="AG451" i="4" s="1"/>
  <c r="Z455" i="4"/>
  <c r="AG455" i="4" s="1"/>
  <c r="Z463" i="4"/>
  <c r="AG463" i="4" s="1"/>
  <c r="Z565" i="4"/>
  <c r="AG565" i="4" s="1"/>
  <c r="Z586" i="4"/>
  <c r="AG586" i="4" s="1"/>
  <c r="Z597" i="4"/>
  <c r="AG597" i="4" s="1"/>
  <c r="Z692" i="4"/>
  <c r="AG692" i="4" s="1"/>
  <c r="Z697" i="4"/>
  <c r="AG697" i="4" s="1"/>
  <c r="Z759" i="4"/>
  <c r="Z767" i="4"/>
  <c r="Z771" i="4"/>
  <c r="Z775" i="4"/>
  <c r="Z779" i="4"/>
  <c r="Z783" i="4"/>
  <c r="Z1556" i="4"/>
  <c r="Z107" i="4"/>
  <c r="AG107" i="4" s="1"/>
  <c r="Z162" i="4"/>
  <c r="AG162" i="4" s="1"/>
  <c r="Z178" i="4"/>
  <c r="AG178" i="4" s="1"/>
  <c r="Z192" i="4"/>
  <c r="AG192" i="4" s="1"/>
  <c r="Z203" i="4"/>
  <c r="AG203" i="4" s="1"/>
  <c r="Z211" i="4"/>
  <c r="AG211" i="4" s="1"/>
  <c r="Z225" i="4"/>
  <c r="AG225" i="4" s="1"/>
  <c r="Z226" i="4"/>
  <c r="AG226" i="4" s="1"/>
  <c r="Z241" i="4"/>
  <c r="Z286" i="4"/>
  <c r="AG286" i="4" s="1"/>
  <c r="Z417" i="4"/>
  <c r="AG417" i="4" s="1"/>
  <c r="Z431" i="4"/>
  <c r="AG431" i="4" s="1"/>
  <c r="Z443" i="4"/>
  <c r="AG443" i="4" s="1"/>
  <c r="Z537" i="4"/>
  <c r="AG537" i="4" s="1"/>
  <c r="Z552" i="4"/>
  <c r="AG552" i="4" s="1"/>
  <c r="Z582" i="4"/>
  <c r="AG582" i="4" s="1"/>
  <c r="Z630" i="4"/>
  <c r="AG630" i="4" s="1"/>
  <c r="AB657" i="4"/>
  <c r="AC657" i="4" s="1"/>
  <c r="M786" i="4"/>
  <c r="R786" i="4"/>
  <c r="W794" i="4"/>
  <c r="O808" i="4"/>
  <c r="Z907" i="4"/>
  <c r="Z982" i="4"/>
  <c r="Z996" i="4"/>
  <c r="Z999" i="4"/>
  <c r="S1060" i="4"/>
  <c r="AB1101" i="4"/>
  <c r="AC1101" i="4" s="1"/>
  <c r="W1217" i="4"/>
  <c r="W1273" i="4"/>
  <c r="Z1273" i="4" s="1"/>
  <c r="P31" i="4"/>
  <c r="W89" i="4"/>
  <c r="AC89" i="4"/>
  <c r="P96" i="4"/>
  <c r="Q96" i="4" s="1"/>
  <c r="Z105" i="4"/>
  <c r="AG105" i="4" s="1"/>
  <c r="S103" i="4"/>
  <c r="Z109" i="4"/>
  <c r="Z114" i="4"/>
  <c r="Z135" i="4"/>
  <c r="AG135" i="4" s="1"/>
  <c r="Z156" i="4"/>
  <c r="AG156" i="4" s="1"/>
  <c r="Z160" i="4"/>
  <c r="AG160" i="4" s="1"/>
  <c r="Z189" i="4"/>
  <c r="AG189" i="4" s="1"/>
  <c r="Z193" i="4"/>
  <c r="AG193" i="4" s="1"/>
  <c r="Z205" i="4"/>
  <c r="AG205" i="4" s="1"/>
  <c r="Z209" i="4"/>
  <c r="AG209" i="4" s="1"/>
  <c r="Z213" i="4"/>
  <c r="AG213" i="4" s="1"/>
  <c r="Z223" i="4"/>
  <c r="AG223" i="4" s="1"/>
  <c r="Z227" i="4"/>
  <c r="AG227" i="4" s="1"/>
  <c r="Z240" i="4"/>
  <c r="Z246" i="4"/>
  <c r="Z280" i="4"/>
  <c r="AG280" i="4" s="1"/>
  <c r="Z302" i="4"/>
  <c r="AG302" i="4" s="1"/>
  <c r="Z307" i="4"/>
  <c r="AG307" i="4" s="1"/>
  <c r="Z319" i="4"/>
  <c r="AG319" i="4" s="1"/>
  <c r="Z327" i="4"/>
  <c r="AG327" i="4" s="1"/>
  <c r="Z331" i="4"/>
  <c r="AG331" i="4" s="1"/>
  <c r="Z344" i="4"/>
  <c r="AG344" i="4" s="1"/>
  <c r="Z376" i="4"/>
  <c r="AG376" i="4" s="1"/>
  <c r="Z445" i="4"/>
  <c r="AG445" i="4" s="1"/>
  <c r="Z453" i="4"/>
  <c r="AG453" i="4" s="1"/>
  <c r="Z534" i="4"/>
  <c r="AG534" i="4" s="1"/>
  <c r="Z563" i="4"/>
  <c r="AG563" i="4" s="1"/>
  <c r="Z591" i="4"/>
  <c r="AG591" i="4" s="1"/>
  <c r="Z595" i="4"/>
  <c r="AG595" i="4" s="1"/>
  <c r="Z608" i="4"/>
  <c r="AG608" i="4" s="1"/>
  <c r="Z647" i="4"/>
  <c r="AG647" i="4" s="1"/>
  <c r="Z667" i="4"/>
  <c r="AG667" i="4" s="1"/>
  <c r="Z671" i="4"/>
  <c r="AG671" i="4" s="1"/>
  <c r="Z698" i="4"/>
  <c r="AG698" i="4" s="1"/>
  <c r="Z702" i="4"/>
  <c r="AG702" i="4" s="1"/>
  <c r="Z749" i="4"/>
  <c r="Z761" i="4"/>
  <c r="R846" i="4"/>
  <c r="Z854" i="4"/>
  <c r="Z862" i="4"/>
  <c r="Z939" i="4"/>
  <c r="Z958" i="4"/>
  <c r="Z962" i="4"/>
  <c r="Z1001" i="4"/>
  <c r="W1071" i="4"/>
  <c r="W1162" i="4"/>
  <c r="AB1217" i="4"/>
  <c r="AC1217" i="4" s="1"/>
  <c r="S58" i="4"/>
  <c r="Z60" i="4"/>
  <c r="Z61" i="4"/>
  <c r="S89" i="4"/>
  <c r="Z126" i="4"/>
  <c r="AG126" i="4" s="1"/>
  <c r="Z129" i="4"/>
  <c r="AG129" i="4" s="1"/>
  <c r="Z132" i="4"/>
  <c r="AG132" i="4" s="1"/>
  <c r="Z153" i="4"/>
  <c r="AG153" i="4" s="1"/>
  <c r="Z177" i="4"/>
  <c r="AG177" i="4" s="1"/>
  <c r="Z181" i="4"/>
  <c r="AG181" i="4" s="1"/>
  <c r="Z184" i="4"/>
  <c r="AG184" i="4" s="1"/>
  <c r="Z186" i="4"/>
  <c r="AG186" i="4" s="1"/>
  <c r="Z308" i="4"/>
  <c r="AG308" i="4" s="1"/>
  <c r="Z312" i="4"/>
  <c r="AG312" i="4" s="1"/>
  <c r="Z316" i="4"/>
  <c r="AG316" i="4" s="1"/>
  <c r="Z363" i="4"/>
  <c r="AG363" i="4" s="1"/>
  <c r="Z373" i="4"/>
  <c r="AG373" i="4" s="1"/>
  <c r="Z411" i="4"/>
  <c r="AG411" i="4" s="1"/>
  <c r="Z419" i="4"/>
  <c r="AG419" i="4" s="1"/>
  <c r="Z423" i="4"/>
  <c r="AG423" i="4" s="1"/>
  <c r="Z462" i="4"/>
  <c r="AG462" i="4" s="1"/>
  <c r="AB490" i="4"/>
  <c r="AC490" i="4" s="1"/>
  <c r="AB512" i="4"/>
  <c r="AC512" i="4" s="1"/>
  <c r="Z555" i="4"/>
  <c r="AG555" i="4" s="1"/>
  <c r="Z558" i="4"/>
  <c r="AG558" i="4" s="1"/>
  <c r="Z581" i="4"/>
  <c r="AG581" i="4" s="1"/>
  <c r="Z585" i="4"/>
  <c r="AG585" i="4" s="1"/>
  <c r="Z592" i="4"/>
  <c r="AG592" i="4" s="1"/>
  <c r="Z605" i="4"/>
  <c r="AG605" i="4" s="1"/>
  <c r="Z609" i="4"/>
  <c r="AG609" i="4" s="1"/>
  <c r="Z631" i="4"/>
  <c r="AG631" i="4" s="1"/>
  <c r="Z632" i="4"/>
  <c r="AG632" i="4" s="1"/>
  <c r="AB659" i="4"/>
  <c r="AC659" i="4" s="1"/>
  <c r="Z725" i="4"/>
  <c r="Z751" i="4"/>
  <c r="Z781" i="4"/>
  <c r="Z798" i="4"/>
  <c r="Z851" i="4"/>
  <c r="Z893" i="4"/>
  <c r="Z905" i="4"/>
  <c r="Z979" i="4"/>
  <c r="Z984" i="4"/>
  <c r="Z991" i="4"/>
  <c r="O1259" i="4"/>
  <c r="U1422" i="4"/>
  <c r="AB1422" i="4"/>
  <c r="S1499" i="4"/>
  <c r="Z1499" i="4"/>
  <c r="AB477" i="4"/>
  <c r="AC477" i="4" s="1"/>
  <c r="Y477" i="4"/>
  <c r="W477" i="4"/>
  <c r="AB1093" i="4"/>
  <c r="AC1093" i="4" s="1"/>
  <c r="Y1093" i="4"/>
  <c r="W1093" i="4"/>
  <c r="Y1266" i="4"/>
  <c r="AB1266" i="4"/>
  <c r="AC1266" i="4" s="1"/>
  <c r="W1266" i="4"/>
  <c r="O44" i="4"/>
  <c r="Q85" i="4"/>
  <c r="Z106" i="4"/>
  <c r="AG106" i="4" s="1"/>
  <c r="Z136" i="4"/>
  <c r="AG136" i="4" s="1"/>
  <c r="Z222" i="4"/>
  <c r="AG222" i="4" s="1"/>
  <c r="Z242" i="4"/>
  <c r="Z244" i="4"/>
  <c r="Z289" i="4"/>
  <c r="AG289" i="4" s="1"/>
  <c r="Z290" i="4"/>
  <c r="AG290" i="4" s="1"/>
  <c r="Z294" i="4"/>
  <c r="AG294" i="4" s="1"/>
  <c r="Z314" i="4"/>
  <c r="AG314" i="4" s="1"/>
  <c r="Z315" i="4"/>
  <c r="AG315" i="4" s="1"/>
  <c r="Z339" i="4"/>
  <c r="AG339" i="4" s="1"/>
  <c r="Z350" i="4"/>
  <c r="AG350" i="4" s="1"/>
  <c r="Z353" i="4"/>
  <c r="AG353" i="4" s="1"/>
  <c r="Z356" i="4"/>
  <c r="AG356" i="4" s="1"/>
  <c r="Z359" i="4"/>
  <c r="AG359" i="4" s="1"/>
  <c r="Z378" i="4"/>
  <c r="AG378" i="4" s="1"/>
  <c r="Z379" i="4"/>
  <c r="AG379" i="4" s="1"/>
  <c r="Z402" i="4"/>
  <c r="AG402" i="4" s="1"/>
  <c r="Z403" i="4"/>
  <c r="AG403" i="4" s="1"/>
  <c r="Z407" i="4"/>
  <c r="AG407" i="4" s="1"/>
  <c r="Z429" i="4"/>
  <c r="AG429" i="4" s="1"/>
  <c r="Z433" i="4"/>
  <c r="AG433" i="4" s="1"/>
  <c r="Z441" i="4"/>
  <c r="AG441" i="4" s="1"/>
  <c r="Z444" i="4"/>
  <c r="AG444" i="4" s="1"/>
  <c r="Z447" i="4"/>
  <c r="AG447" i="4" s="1"/>
  <c r="Z448" i="4"/>
  <c r="AG448" i="4" s="1"/>
  <c r="Z456" i="4"/>
  <c r="AG456" i="4" s="1"/>
  <c r="W489" i="4"/>
  <c r="Z489" i="4" s="1"/>
  <c r="W512" i="4"/>
  <c r="Z515" i="4"/>
  <c r="AG515" i="4" s="1"/>
  <c r="Z957" i="4"/>
  <c r="W1215" i="4"/>
  <c r="S1259" i="4"/>
  <c r="Y1268" i="4"/>
  <c r="W1268" i="4"/>
  <c r="AB77" i="4"/>
  <c r="AC77" i="4" s="1"/>
  <c r="R44" i="4"/>
  <c r="U89" i="4"/>
  <c r="AB89" i="4"/>
  <c r="O1432" i="4" s="1"/>
  <c r="O1431" i="4" s="1"/>
  <c r="O102" i="4"/>
  <c r="S110" i="4"/>
  <c r="Z119" i="4"/>
  <c r="AG119" i="4" s="1"/>
  <c r="Z124" i="4"/>
  <c r="AG124" i="4" s="1"/>
  <c r="Z161" i="4"/>
  <c r="AG161" i="4" s="1"/>
  <c r="Z164" i="4"/>
  <c r="AG164" i="4" s="1"/>
  <c r="Z179" i="4"/>
  <c r="AG179" i="4" s="1"/>
  <c r="Z194" i="4"/>
  <c r="AG194" i="4" s="1"/>
  <c r="Z202" i="4"/>
  <c r="AG202" i="4" s="1"/>
  <c r="Z210" i="4"/>
  <c r="AG210" i="4" s="1"/>
  <c r="Z224" i="4"/>
  <c r="AG224" i="4" s="1"/>
  <c r="O393" i="4"/>
  <c r="O237" i="4" s="1"/>
  <c r="AB489" i="4"/>
  <c r="AC489" i="4" s="1"/>
  <c r="Y512" i="4"/>
  <c r="Y543" i="4"/>
  <c r="AB543" i="4"/>
  <c r="AG543" i="4" s="1"/>
  <c r="Y1265" i="4"/>
  <c r="W1265" i="4"/>
  <c r="AB1267" i="4"/>
  <c r="AC1267" i="4" s="1"/>
  <c r="Y1267" i="4"/>
  <c r="W1267" i="4"/>
  <c r="Z50" i="4"/>
  <c r="Z51" i="4"/>
  <c r="Z108" i="4"/>
  <c r="AG108" i="4" s="1"/>
  <c r="Z111" i="4"/>
  <c r="AG111" i="4" s="1"/>
  <c r="Z116" i="4"/>
  <c r="AG116" i="4" s="1"/>
  <c r="Z128" i="4"/>
  <c r="AG128" i="4" s="1"/>
  <c r="Z131" i="4"/>
  <c r="AG131" i="4" s="1"/>
  <c r="Z152" i="4"/>
  <c r="AG152" i="4" s="1"/>
  <c r="Z155" i="4"/>
  <c r="AG155" i="4" s="1"/>
  <c r="Z176" i="4"/>
  <c r="AG176" i="4" s="1"/>
  <c r="Z188" i="4"/>
  <c r="AG188" i="4" s="1"/>
  <c r="Z207" i="4"/>
  <c r="AG207" i="4" s="1"/>
  <c r="Z215" i="4"/>
  <c r="AG215" i="4" s="1"/>
  <c r="Z219" i="4"/>
  <c r="AG219" i="4" s="1"/>
  <c r="Z234" i="4"/>
  <c r="AG234" i="4" s="1"/>
  <c r="Z243" i="4"/>
  <c r="Z250" i="4"/>
  <c r="Z284" i="4"/>
  <c r="AG284" i="4" s="1"/>
  <c r="Z288" i="4"/>
  <c r="AG288" i="4" s="1"/>
  <c r="Z296" i="4"/>
  <c r="AG296" i="4" s="1"/>
  <c r="Z299" i="4"/>
  <c r="AG299" i="4" s="1"/>
  <c r="AB300" i="4"/>
  <c r="AC300" i="4" s="1"/>
  <c r="Z301" i="4"/>
  <c r="AG301" i="4" s="1"/>
  <c r="Z309" i="4"/>
  <c r="AG309" i="4" s="1"/>
  <c r="Z313" i="4"/>
  <c r="AG313" i="4" s="1"/>
  <c r="Z320" i="4"/>
  <c r="AG320" i="4" s="1"/>
  <c r="Z323" i="4"/>
  <c r="AG323" i="4" s="1"/>
  <c r="Z324" i="4"/>
  <c r="AG324" i="4" s="1"/>
  <c r="Z328" i="4"/>
  <c r="AG328" i="4" s="1"/>
  <c r="Z361" i="4"/>
  <c r="AG361" i="4" s="1"/>
  <c r="Z364" i="4"/>
  <c r="AG364" i="4" s="1"/>
  <c r="Z367" i="4"/>
  <c r="AG367" i="4" s="1"/>
  <c r="Z368" i="4"/>
  <c r="AG368" i="4" s="1"/>
  <c r="Z374" i="4"/>
  <c r="AG374" i="4" s="1"/>
  <c r="Z377" i="4"/>
  <c r="AG377" i="4" s="1"/>
  <c r="Z388" i="4"/>
  <c r="AG388" i="4" s="1"/>
  <c r="M237" i="4"/>
  <c r="Z397" i="4"/>
  <c r="AG397" i="4" s="1"/>
  <c r="Z401" i="4"/>
  <c r="AG401" i="4" s="1"/>
  <c r="Z409" i="4"/>
  <c r="AG409" i="4" s="1"/>
  <c r="Z412" i="4"/>
  <c r="AG412" i="4" s="1"/>
  <c r="Z415" i="4"/>
  <c r="AG415" i="4" s="1"/>
  <c r="Z416" i="4"/>
  <c r="AG416" i="4" s="1"/>
  <c r="Z420" i="4"/>
  <c r="AG420" i="4" s="1"/>
  <c r="Z434" i="4"/>
  <c r="AG434" i="4" s="1"/>
  <c r="Z435" i="4"/>
  <c r="AG435" i="4" s="1"/>
  <c r="Z439" i="4"/>
  <c r="AG439" i="4" s="1"/>
  <c r="Z464" i="4"/>
  <c r="AG464" i="4" s="1"/>
  <c r="AB494" i="4"/>
  <c r="AC494" i="4" s="1"/>
  <c r="AB499" i="4"/>
  <c r="AC499" i="4" s="1"/>
  <c r="W500" i="4"/>
  <c r="Z500" i="4" s="1"/>
  <c r="AB501" i="4"/>
  <c r="AC501" i="4" s="1"/>
  <c r="Z505" i="4"/>
  <c r="AG505" i="4" s="1"/>
  <c r="Z514" i="4"/>
  <c r="AG514" i="4" s="1"/>
  <c r="Z518" i="4"/>
  <c r="AG518" i="4" s="1"/>
  <c r="AB613" i="4"/>
  <c r="AG613" i="4" s="1"/>
  <c r="Y613" i="4"/>
  <c r="Z909" i="4"/>
  <c r="AB923" i="4"/>
  <c r="AC923" i="4" s="1"/>
  <c r="Y923" i="4"/>
  <c r="W923" i="4"/>
  <c r="AB1062" i="4"/>
  <c r="AC1062" i="4" s="1"/>
  <c r="AB1123" i="4"/>
  <c r="AC1123" i="4" s="1"/>
  <c r="Y1123" i="4"/>
  <c r="W1123" i="4"/>
  <c r="T1127" i="4"/>
  <c r="U1127" i="4" s="1"/>
  <c r="Y1127" i="4" s="1"/>
  <c r="Z1127" i="4" s="1"/>
  <c r="Z536" i="4"/>
  <c r="AG536" i="4" s="1"/>
  <c r="Z550" i="4"/>
  <c r="AG550" i="4" s="1"/>
  <c r="Z557" i="4"/>
  <c r="AG557" i="4" s="1"/>
  <c r="Z562" i="4"/>
  <c r="AG562" i="4" s="1"/>
  <c r="Z568" i="4"/>
  <c r="AG568" i="4" s="1"/>
  <c r="Z646" i="4"/>
  <c r="AG646" i="4" s="1"/>
  <c r="Z666" i="4"/>
  <c r="AG666" i="4" s="1"/>
  <c r="W728" i="4"/>
  <c r="Z728" i="4" s="1"/>
  <c r="W729" i="4"/>
  <c r="Z729" i="4" s="1"/>
  <c r="Z757" i="4"/>
  <c r="Z801" i="4"/>
  <c r="P808" i="4"/>
  <c r="Z890" i="4"/>
  <c r="Z897" i="4"/>
  <c r="Z940" i="4"/>
  <c r="Z947" i="4"/>
  <c r="Z961" i="4"/>
  <c r="Z988" i="4"/>
  <c r="Z992" i="4"/>
  <c r="AB1092" i="4"/>
  <c r="AC1092" i="4" s="1"/>
  <c r="AB1095" i="4"/>
  <c r="AC1095" i="4" s="1"/>
  <c r="T1100" i="4"/>
  <c r="U1100" i="4" s="1"/>
  <c r="AB1100" i="4" s="1"/>
  <c r="AC1100" i="4" s="1"/>
  <c r="AB1102" i="4"/>
  <c r="AC1102" i="4" s="1"/>
  <c r="Y1269" i="4"/>
  <c r="AB1271" i="4"/>
  <c r="AC1271" i="4" s="1"/>
  <c r="P1516" i="4"/>
  <c r="U1516" i="4"/>
  <c r="AB1516" i="4"/>
  <c r="AB523" i="4"/>
  <c r="AC523" i="4" s="1"/>
  <c r="Y542" i="4"/>
  <c r="Z583" i="4"/>
  <c r="AG583" i="4" s="1"/>
  <c r="Z606" i="4"/>
  <c r="AG606" i="4" s="1"/>
  <c r="AB611" i="4"/>
  <c r="Z633" i="4"/>
  <c r="AG633" i="4" s="1"/>
  <c r="Z651" i="4"/>
  <c r="AG651" i="4" s="1"/>
  <c r="Z660" i="4"/>
  <c r="AG660" i="4" s="1"/>
  <c r="Z663" i="4"/>
  <c r="AG663" i="4" s="1"/>
  <c r="Z664" i="4"/>
  <c r="AG664" i="4" s="1"/>
  <c r="Z668" i="4"/>
  <c r="AG668" i="4" s="1"/>
  <c r="Z683" i="4"/>
  <c r="AG683" i="4" s="1"/>
  <c r="Z687" i="4"/>
  <c r="AG687" i="4" s="1"/>
  <c r="AB706" i="4"/>
  <c r="AG706" i="4" s="1"/>
  <c r="AB732" i="4"/>
  <c r="AC732" i="4" s="1"/>
  <c r="AB733" i="4"/>
  <c r="AC733" i="4" s="1"/>
  <c r="AB734" i="4"/>
  <c r="AC734" i="4" s="1"/>
  <c r="AB738" i="4"/>
  <c r="AC738" i="4" s="1"/>
  <c r="Z755" i="4"/>
  <c r="Z769" i="4"/>
  <c r="Z788" i="4"/>
  <c r="Z858" i="4"/>
  <c r="Z908" i="4"/>
  <c r="Z952" i="4"/>
  <c r="Z956" i="4"/>
  <c r="Z963" i="4"/>
  <c r="Z986" i="4"/>
  <c r="W1076" i="4"/>
  <c r="Z1076" i="4" s="1"/>
  <c r="W1086" i="4"/>
  <c r="Z1086" i="4" s="1"/>
  <c r="W1091" i="4"/>
  <c r="W1092" i="4"/>
  <c r="Z1092" i="4" s="1"/>
  <c r="W1095" i="4"/>
  <c r="U1099" i="4"/>
  <c r="Y1099" i="4" s="1"/>
  <c r="W1102" i="4"/>
  <c r="W1111" i="4"/>
  <c r="Y1115" i="4"/>
  <c r="Z1115" i="4" s="1"/>
  <c r="W1271" i="4"/>
  <c r="AB1274" i="4"/>
  <c r="AC1274" i="4" s="1"/>
  <c r="W559" i="4"/>
  <c r="Z559" i="4" s="1"/>
  <c r="Z560" i="4"/>
  <c r="AG560" i="4" s="1"/>
  <c r="Z567" i="4"/>
  <c r="AG567" i="4" s="1"/>
  <c r="Z588" i="4"/>
  <c r="AG588" i="4" s="1"/>
  <c r="Z596" i="4"/>
  <c r="AG596" i="4" s="1"/>
  <c r="Z655" i="4"/>
  <c r="AG655" i="4" s="1"/>
  <c r="Z676" i="4"/>
  <c r="AG676" i="4" s="1"/>
  <c r="Z679" i="4"/>
  <c r="AG679" i="4" s="1"/>
  <c r="Z680" i="4"/>
  <c r="AG680" i="4" s="1"/>
  <c r="Z684" i="4"/>
  <c r="AG684" i="4" s="1"/>
  <c r="Z699" i="4"/>
  <c r="AG699" i="4" s="1"/>
  <c r="Z717" i="4"/>
  <c r="W737" i="4"/>
  <c r="Z737" i="4" s="1"/>
  <c r="Z763" i="4"/>
  <c r="Z777" i="4"/>
  <c r="P786" i="4"/>
  <c r="Z795" i="4"/>
  <c r="S794" i="4"/>
  <c r="Z849" i="4"/>
  <c r="Z856" i="4"/>
  <c r="Z859" i="4"/>
  <c r="Z892" i="4"/>
  <c r="Z895" i="4"/>
  <c r="Z949" i="4"/>
  <c r="Z983" i="4"/>
  <c r="Z1000" i="4"/>
  <c r="T1073" i="4"/>
  <c r="U1073" i="4" s="1"/>
  <c r="Y1073" i="4" s="1"/>
  <c r="AB1074" i="4"/>
  <c r="AC1074" i="4" s="1"/>
  <c r="AB1076" i="4"/>
  <c r="AC1076" i="4" s="1"/>
  <c r="Y1091" i="4"/>
  <c r="AB1094" i="4"/>
  <c r="AC1094" i="4" s="1"/>
  <c r="Y1095" i="4"/>
  <c r="W1097" i="4"/>
  <c r="Z1097" i="4" s="1"/>
  <c r="W1098" i="4"/>
  <c r="Y1102" i="4"/>
  <c r="W1106" i="4"/>
  <c r="Z1106" i="4" s="1"/>
  <c r="Y1119" i="4"/>
  <c r="W1168" i="4"/>
  <c r="O1210" i="4"/>
  <c r="Y1271" i="4"/>
  <c r="U1538" i="4"/>
  <c r="U525" i="4"/>
  <c r="W549" i="4"/>
  <c r="AB549" i="4"/>
  <c r="AC549" i="4" s="1"/>
  <c r="Y549" i="4"/>
  <c r="AB75" i="4"/>
  <c r="AC75" i="4" s="1"/>
  <c r="Y75" i="4"/>
  <c r="Y468" i="4"/>
  <c r="AB468" i="4"/>
  <c r="AC468" i="4" s="1"/>
  <c r="AB575" i="4"/>
  <c r="AG575" i="4" s="1"/>
  <c r="Y575" i="4"/>
  <c r="Y601" i="4"/>
  <c r="AB601" i="4"/>
  <c r="AG601" i="4" s="1"/>
  <c r="AB141" i="4"/>
  <c r="AC141" i="4" s="1"/>
  <c r="Y141" i="4"/>
  <c r="Y498" i="4"/>
  <c r="W498" i="4"/>
  <c r="AB574" i="4"/>
  <c r="AG574" i="4" s="1"/>
  <c r="Y574" i="4"/>
  <c r="AB600" i="4"/>
  <c r="AC600" i="4" s="1"/>
  <c r="Y600" i="4"/>
  <c r="Y76" i="4"/>
  <c r="Y389" i="4"/>
  <c r="AB389" i="4"/>
  <c r="AC389" i="4" s="1"/>
  <c r="W389" i="4"/>
  <c r="AB519" i="4"/>
  <c r="AC519" i="4" s="1"/>
  <c r="Y519" i="4"/>
  <c r="Z519" i="4" s="1"/>
  <c r="W547" i="4"/>
  <c r="Y547" i="4"/>
  <c r="AB547" i="4"/>
  <c r="AC547" i="4" s="1"/>
  <c r="Y615" i="4"/>
  <c r="Z615" i="4" s="1"/>
  <c r="AB615" i="4"/>
  <c r="AC615" i="4" s="1"/>
  <c r="Y980" i="4"/>
  <c r="W980" i="4"/>
  <c r="AB980" i="4"/>
  <c r="AC980" i="4" s="1"/>
  <c r="AB1108" i="4"/>
  <c r="Y1108" i="4"/>
  <c r="W1108" i="4"/>
  <c r="AB1213" i="4"/>
  <c r="AC1213" i="4" s="1"/>
  <c r="W1213" i="4"/>
  <c r="Y1272" i="4"/>
  <c r="W1272" i="4"/>
  <c r="AB1272" i="4"/>
  <c r="AC1272" i="4" s="1"/>
  <c r="R89" i="4"/>
  <c r="W460" i="4"/>
  <c r="Y460" i="4"/>
  <c r="AB479" i="4"/>
  <c r="AC479" i="4" s="1"/>
  <c r="Y479" i="4"/>
  <c r="AB481" i="4"/>
  <c r="AC481" i="4" s="1"/>
  <c r="W481" i="4"/>
  <c r="Y616" i="4"/>
  <c r="Z616" i="4" s="1"/>
  <c r="AB616" i="4"/>
  <c r="AC616" i="4" s="1"/>
  <c r="Y145" i="4"/>
  <c r="S172" i="4"/>
  <c r="Z218" i="4"/>
  <c r="AG218" i="4" s="1"/>
  <c r="Z245" i="4"/>
  <c r="Z293" i="4"/>
  <c r="AG293" i="4" s="1"/>
  <c r="Z330" i="4"/>
  <c r="AG330" i="4" s="1"/>
  <c r="AB381" i="4"/>
  <c r="AC381" i="4" s="1"/>
  <c r="Y384" i="4"/>
  <c r="Z384" i="4" s="1"/>
  <c r="W386" i="4"/>
  <c r="Z422" i="4"/>
  <c r="AG422" i="4" s="1"/>
  <c r="Z438" i="4"/>
  <c r="AG438" i="4" s="1"/>
  <c r="W479" i="4"/>
  <c r="Z479" i="4" s="1"/>
  <c r="Y481" i="4"/>
  <c r="Y556" i="4"/>
  <c r="Y590" i="4"/>
  <c r="W622" i="4"/>
  <c r="AB622" i="4"/>
  <c r="AC622" i="4" s="1"/>
  <c r="Y654" i="4"/>
  <c r="W654" i="4"/>
  <c r="AB654" i="4"/>
  <c r="AC654" i="4" s="1"/>
  <c r="Y656" i="4"/>
  <c r="W656" i="4"/>
  <c r="AB656" i="4"/>
  <c r="AC656" i="4" s="1"/>
  <c r="U810" i="4"/>
  <c r="Y810" i="4" s="1"/>
  <c r="Y809" i="4" s="1"/>
  <c r="Y808" i="4" s="1"/>
  <c r="S809" i="4"/>
  <c r="S808" i="4" s="1"/>
  <c r="W887" i="4"/>
  <c r="AB887" i="4"/>
  <c r="AC887" i="4" s="1"/>
  <c r="W918" i="4"/>
  <c r="AB918" i="4"/>
  <c r="AC918" i="4" s="1"/>
  <c r="Y918" i="4"/>
  <c r="Z249" i="4"/>
  <c r="Z281" i="4"/>
  <c r="AG281" i="4" s="1"/>
  <c r="Z297" i="4"/>
  <c r="AG297" i="4" s="1"/>
  <c r="Z306" i="4"/>
  <c r="AG306" i="4" s="1"/>
  <c r="Z334" i="4"/>
  <c r="AG334" i="4" s="1"/>
  <c r="Z345" i="4"/>
  <c r="AG345" i="4" s="1"/>
  <c r="Z351" i="4"/>
  <c r="AG351" i="4" s="1"/>
  <c r="Z362" i="4"/>
  <c r="AG362" i="4" s="1"/>
  <c r="Y386" i="4"/>
  <c r="Z410" i="4"/>
  <c r="AG410" i="4" s="1"/>
  <c r="Z426" i="4"/>
  <c r="AG426" i="4" s="1"/>
  <c r="Z442" i="4"/>
  <c r="AG442" i="4" s="1"/>
  <c r="AB466" i="4"/>
  <c r="AC466" i="4" s="1"/>
  <c r="AB475" i="4"/>
  <c r="AC475" i="4" s="1"/>
  <c r="Y485" i="4"/>
  <c r="AB571" i="4"/>
  <c r="AG571" i="4" s="1"/>
  <c r="AB576" i="4"/>
  <c r="AC576" i="4" s="1"/>
  <c r="W620" i="4"/>
  <c r="Y622" i="4"/>
  <c r="AB710" i="4"/>
  <c r="AG710" i="4" s="1"/>
  <c r="Y710" i="4"/>
  <c r="M846" i="4"/>
  <c r="Y887" i="4"/>
  <c r="AB937" i="4"/>
  <c r="AC937" i="4" s="1"/>
  <c r="Y937" i="4"/>
  <c r="Y1152" i="4"/>
  <c r="W1152" i="4"/>
  <c r="AB1152" i="4"/>
  <c r="AC1152" i="4" s="1"/>
  <c r="W1154" i="4"/>
  <c r="Y1154" i="4"/>
  <c r="W1172" i="4"/>
  <c r="Y1172" i="4"/>
  <c r="AB1172" i="4"/>
  <c r="AC1172" i="4" s="1"/>
  <c r="Y89" i="4"/>
  <c r="W624" i="4"/>
  <c r="Z624" i="4" s="1"/>
  <c r="AB624" i="4"/>
  <c r="AC624" i="4" s="1"/>
  <c r="W883" i="4"/>
  <c r="Z883" i="4" s="1"/>
  <c r="AB883" i="4"/>
  <c r="AC883" i="4" s="1"/>
  <c r="Y884" i="4"/>
  <c r="W884" i="4"/>
  <c r="Y919" i="4"/>
  <c r="AB919" i="4"/>
  <c r="AC919" i="4" s="1"/>
  <c r="W919" i="4"/>
  <c r="AB1113" i="4"/>
  <c r="W1113" i="4"/>
  <c r="Y1113" i="4"/>
  <c r="M89" i="4"/>
  <c r="AC103" i="4"/>
  <c r="Z229" i="4"/>
  <c r="AG229" i="4" s="1"/>
  <c r="Z341" i="4"/>
  <c r="AG341" i="4" s="1"/>
  <c r="Z358" i="4"/>
  <c r="AG358" i="4" s="1"/>
  <c r="Z394" i="4"/>
  <c r="AG394" i="4" s="1"/>
  <c r="Z406" i="4"/>
  <c r="AG406" i="4" s="1"/>
  <c r="W485" i="4"/>
  <c r="W496" i="4"/>
  <c r="Z496" i="4" s="1"/>
  <c r="AG504" i="4"/>
  <c r="Y628" i="4"/>
  <c r="W628" i="4"/>
  <c r="AB628" i="4"/>
  <c r="AC628" i="4" s="1"/>
  <c r="AB644" i="4"/>
  <c r="AC644" i="4" s="1"/>
  <c r="Y644" i="4"/>
  <c r="Z644" i="4" s="1"/>
  <c r="AB884" i="4"/>
  <c r="AC884" i="4" s="1"/>
  <c r="S46" i="4"/>
  <c r="Z62" i="4"/>
  <c r="M44" i="4"/>
  <c r="Z47" i="4"/>
  <c r="Q87" i="4"/>
  <c r="S115" i="4"/>
  <c r="Z118" i="4"/>
  <c r="AG118" i="4" s="1"/>
  <c r="Z125" i="4"/>
  <c r="AG125" i="4" s="1"/>
  <c r="Z133" i="4"/>
  <c r="AG133" i="4" s="1"/>
  <c r="Z149" i="4"/>
  <c r="AG149" i="4" s="1"/>
  <c r="Z157" i="4"/>
  <c r="AG157" i="4" s="1"/>
  <c r="Z165" i="4"/>
  <c r="AG165" i="4" s="1"/>
  <c r="Z170" i="4"/>
  <c r="AG170" i="4" s="1"/>
  <c r="Z180" i="4"/>
  <c r="AG180" i="4" s="1"/>
  <c r="Z183" i="4"/>
  <c r="AG183" i="4" s="1"/>
  <c r="Z190" i="4"/>
  <c r="AG190" i="4" s="1"/>
  <c r="Z208" i="4"/>
  <c r="AG208" i="4" s="1"/>
  <c r="Z217" i="4"/>
  <c r="AG217" i="4" s="1"/>
  <c r="Z221" i="4"/>
  <c r="AG221" i="4" s="1"/>
  <c r="Z228" i="4"/>
  <c r="AG228" i="4" s="1"/>
  <c r="Z232" i="4"/>
  <c r="AG232" i="4" s="1"/>
  <c r="Z239" i="4"/>
  <c r="Z248" i="4"/>
  <c r="Z279" i="4"/>
  <c r="AG279" i="4" s="1"/>
  <c r="Z285" i="4"/>
  <c r="AG285" i="4" s="1"/>
  <c r="Z292" i="4"/>
  <c r="AG292" i="4" s="1"/>
  <c r="Z295" i="4"/>
  <c r="AG295" i="4" s="1"/>
  <c r="Z310" i="4"/>
  <c r="AG310" i="4" s="1"/>
  <c r="Z322" i="4"/>
  <c r="AG322" i="4" s="1"/>
  <c r="Z329" i="4"/>
  <c r="AG329" i="4" s="1"/>
  <c r="Z332" i="4"/>
  <c r="AG332" i="4" s="1"/>
  <c r="Z340" i="4"/>
  <c r="AG340" i="4" s="1"/>
  <c r="Z343" i="4"/>
  <c r="AG343" i="4" s="1"/>
  <c r="Z355" i="4"/>
  <c r="AG355" i="4" s="1"/>
  <c r="Z360" i="4"/>
  <c r="AG360" i="4" s="1"/>
  <c r="Z366" i="4"/>
  <c r="AG366" i="4" s="1"/>
  <c r="Z387" i="4"/>
  <c r="AG387" i="4" s="1"/>
  <c r="Z398" i="4"/>
  <c r="AG398" i="4" s="1"/>
  <c r="Z405" i="4"/>
  <c r="AG405" i="4" s="1"/>
  <c r="Z408" i="4"/>
  <c r="AG408" i="4" s="1"/>
  <c r="Z414" i="4"/>
  <c r="AG414" i="4" s="1"/>
  <c r="Z421" i="4"/>
  <c r="AG421" i="4" s="1"/>
  <c r="Z424" i="4"/>
  <c r="AG424" i="4" s="1"/>
  <c r="Z430" i="4"/>
  <c r="AG430" i="4" s="1"/>
  <c r="Z437" i="4"/>
  <c r="AG437" i="4" s="1"/>
  <c r="Z440" i="4"/>
  <c r="AG440" i="4" s="1"/>
  <c r="Z446" i="4"/>
  <c r="AG446" i="4" s="1"/>
  <c r="Z457" i="4"/>
  <c r="AG457" i="4" s="1"/>
  <c r="W466" i="4"/>
  <c r="Z466" i="4" s="1"/>
  <c r="W475" i="4"/>
  <c r="Z475" i="4" s="1"/>
  <c r="AB483" i="4"/>
  <c r="AC483" i="4" s="1"/>
  <c r="W491" i="4"/>
  <c r="Z491" i="4" s="1"/>
  <c r="AB500" i="4"/>
  <c r="AC500" i="4" s="1"/>
  <c r="W501" i="4"/>
  <c r="Z501" i="4" s="1"/>
  <c r="AB502" i="4"/>
  <c r="AC502" i="4" s="1"/>
  <c r="Z513" i="4"/>
  <c r="AG513" i="4" s="1"/>
  <c r="Z516" i="4"/>
  <c r="AG516" i="4" s="1"/>
  <c r="Z535" i="4"/>
  <c r="AG535" i="4" s="1"/>
  <c r="Z554" i="4"/>
  <c r="AG554" i="4" s="1"/>
  <c r="Z569" i="4"/>
  <c r="AG569" i="4" s="1"/>
  <c r="Z593" i="4"/>
  <c r="AG593" i="4" s="1"/>
  <c r="Z598" i="4"/>
  <c r="AG598" i="4" s="1"/>
  <c r="AB614" i="4"/>
  <c r="Y620" i="4"/>
  <c r="Y626" i="4"/>
  <c r="W626" i="4"/>
  <c r="AB626" i="4"/>
  <c r="AC626" i="4" s="1"/>
  <c r="AB653" i="4"/>
  <c r="Y653" i="4"/>
  <c r="Y659" i="4"/>
  <c r="W659" i="4"/>
  <c r="AB709" i="4"/>
  <c r="AC709" i="4" s="1"/>
  <c r="Y709" i="4"/>
  <c r="W730" i="4"/>
  <c r="Z730" i="4" s="1"/>
  <c r="Y975" i="4"/>
  <c r="W975" i="4"/>
  <c r="Y1270" i="4"/>
  <c r="AB1270" i="4"/>
  <c r="AC1270" i="4" s="1"/>
  <c r="U1264" i="4"/>
  <c r="U1259" i="4" s="1"/>
  <c r="W1270" i="4"/>
  <c r="AB637" i="4"/>
  <c r="AC637" i="4" s="1"/>
  <c r="Z670" i="4"/>
  <c r="AG670" i="4" s="1"/>
  <c r="Z686" i="4"/>
  <c r="AG686" i="4" s="1"/>
  <c r="AB736" i="4"/>
  <c r="AC736" i="4" s="1"/>
  <c r="S787" i="4"/>
  <c r="Q786" i="4"/>
  <c r="Y1078" i="4"/>
  <c r="W1078" i="4"/>
  <c r="AB1107" i="4"/>
  <c r="AC1107" i="4" s="1"/>
  <c r="Y1107" i="4"/>
  <c r="W1117" i="4"/>
  <c r="Y1117" i="4"/>
  <c r="Y1131" i="4"/>
  <c r="AB1131" i="4"/>
  <c r="AC1131" i="4" s="1"/>
  <c r="W1220" i="4"/>
  <c r="Y1220" i="4"/>
  <c r="AB1220" i="4"/>
  <c r="P1422" i="4"/>
  <c r="W637" i="4"/>
  <c r="Z674" i="4"/>
  <c r="AG674" i="4" s="1"/>
  <c r="Z690" i="4"/>
  <c r="AG690" i="4" s="1"/>
  <c r="Y694" i="4"/>
  <c r="AB695" i="4"/>
  <c r="O786" i="4"/>
  <c r="AB790" i="4"/>
  <c r="AC790" i="4" s="1"/>
  <c r="AC794" i="4"/>
  <c r="Q808" i="4"/>
  <c r="W977" i="4"/>
  <c r="Z977" i="4" s="1"/>
  <c r="Y997" i="4"/>
  <c r="AB997" i="4"/>
  <c r="AC997" i="4" s="1"/>
  <c r="S1068" i="4"/>
  <c r="S1067" i="4" s="1"/>
  <c r="S1066" i="4" s="1"/>
  <c r="AG1073" i="4" s="1"/>
  <c r="U1072" i="4"/>
  <c r="Y1101" i="4"/>
  <c r="W1101" i="4"/>
  <c r="W1107" i="4"/>
  <c r="W1116" i="4"/>
  <c r="Z1116" i="4" s="1"/>
  <c r="W1131" i="4"/>
  <c r="Y1158" i="4"/>
  <c r="AB1158" i="4"/>
  <c r="AC1158" i="4" s="1"/>
  <c r="W1158" i="4"/>
  <c r="Z449" i="4"/>
  <c r="AG449" i="4" s="1"/>
  <c r="Z452" i="4"/>
  <c r="AG452" i="4" s="1"/>
  <c r="Z458" i="4"/>
  <c r="AG458" i="4" s="1"/>
  <c r="AB496" i="4"/>
  <c r="AC496" i="4" s="1"/>
  <c r="AB503" i="4"/>
  <c r="AC503" i="4" s="1"/>
  <c r="S510" i="4"/>
  <c r="Z517" i="4"/>
  <c r="AG517" i="4" s="1"/>
  <c r="Z527" i="4"/>
  <c r="AG527" i="4" s="1"/>
  <c r="Z533" i="4"/>
  <c r="AG533" i="4" s="1"/>
  <c r="Z538" i="4"/>
  <c r="AG538" i="4" s="1"/>
  <c r="Z551" i="4"/>
  <c r="AG551" i="4" s="1"/>
  <c r="Z561" i="4"/>
  <c r="AG561" i="4" s="1"/>
  <c r="Z584" i="4"/>
  <c r="AG584" i="4" s="1"/>
  <c r="Z607" i="4"/>
  <c r="AG607" i="4" s="1"/>
  <c r="Y637" i="4"/>
  <c r="Z640" i="4"/>
  <c r="AG640" i="4" s="1"/>
  <c r="Z648" i="4"/>
  <c r="AG648" i="4" s="1"/>
  <c r="W657" i="4"/>
  <c r="Z657" i="4" s="1"/>
  <c r="Z662" i="4"/>
  <c r="AG662" i="4" s="1"/>
  <c r="Z672" i="4"/>
  <c r="AG672" i="4" s="1"/>
  <c r="Z678" i="4"/>
  <c r="AG678" i="4" s="1"/>
  <c r="Z688" i="4"/>
  <c r="AG688" i="4" s="1"/>
  <c r="Z701" i="4"/>
  <c r="AG701" i="4" s="1"/>
  <c r="Z718" i="4"/>
  <c r="S714" i="4"/>
  <c r="S713" i="4" s="1"/>
  <c r="Z726" i="4"/>
  <c r="W733" i="4"/>
  <c r="Z733" i="4" s="1"/>
  <c r="W736" i="4"/>
  <c r="Z736" i="4" s="1"/>
  <c r="AB737" i="4"/>
  <c r="AC737" i="4" s="1"/>
  <c r="AB740" i="4"/>
  <c r="AC740" i="4" s="1"/>
  <c r="AB741" i="4"/>
  <c r="AC741" i="4" s="1"/>
  <c r="Z754" i="4"/>
  <c r="Z762" i="4"/>
  <c r="Z770" i="4"/>
  <c r="Z778" i="4"/>
  <c r="Y794" i="4"/>
  <c r="M808" i="4"/>
  <c r="R808" i="4"/>
  <c r="Z852" i="4"/>
  <c r="Z860" i="4"/>
  <c r="S935" i="4"/>
  <c r="U936" i="4"/>
  <c r="AB936" i="4" s="1"/>
  <c r="Z942" i="4"/>
  <c r="Z946" i="4"/>
  <c r="Z994" i="4"/>
  <c r="W997" i="4"/>
  <c r="W1074" i="4"/>
  <c r="Z1074" i="4" s="1"/>
  <c r="AB1078" i="4"/>
  <c r="AB1080" i="4"/>
  <c r="Y1080" i="4"/>
  <c r="Z1080" i="4" s="1"/>
  <c r="Y1088" i="4"/>
  <c r="W1094" i="4"/>
  <c r="Z1094" i="4" s="1"/>
  <c r="Y1212" i="4"/>
  <c r="W1212" i="4"/>
  <c r="AB1212" i="4"/>
  <c r="AC1212" i="4" s="1"/>
  <c r="W1214" i="4"/>
  <c r="AB1216" i="4"/>
  <c r="AC1216" i="4" s="1"/>
  <c r="W1216" i="4"/>
  <c r="P1259" i="4"/>
  <c r="Q1538" i="4"/>
  <c r="Z898" i="4"/>
  <c r="Z906" i="4"/>
  <c r="Z943" i="4"/>
  <c r="Z944" i="4"/>
  <c r="Z950" i="4"/>
  <c r="Z953" i="4"/>
  <c r="Z954" i="4"/>
  <c r="Z959" i="4"/>
  <c r="Z960" i="4"/>
  <c r="Z987" i="4"/>
  <c r="Z995" i="4"/>
  <c r="Z998" i="4"/>
  <c r="W1079" i="4"/>
  <c r="Z1079" i="4" s="1"/>
  <c r="AB1086" i="4"/>
  <c r="AB1097" i="4"/>
  <c r="AC1097" i="4" s="1"/>
  <c r="Y1118" i="4"/>
  <c r="W1118" i="4"/>
  <c r="O1134" i="4"/>
  <c r="AB1149" i="4"/>
  <c r="AC1149" i="4" s="1"/>
  <c r="Y1149" i="4"/>
  <c r="Z1149" i="4" s="1"/>
  <c r="AB1175" i="4"/>
  <c r="AC1175" i="4" s="1"/>
  <c r="Y1175" i="4"/>
  <c r="Z1175" i="4" s="1"/>
  <c r="P1210" i="4"/>
  <c r="AB1265" i="4"/>
  <c r="AB1268" i="4"/>
  <c r="AC1268" i="4" s="1"/>
  <c r="AB1273" i="4"/>
  <c r="AC1273" i="4" s="1"/>
  <c r="Q1516" i="4"/>
  <c r="W1516" i="4"/>
  <c r="R1538" i="4"/>
  <c r="S1538" i="4"/>
  <c r="Z948" i="4"/>
  <c r="Z964" i="4"/>
  <c r="AB975" i="4"/>
  <c r="AC975" i="4" s="1"/>
  <c r="Z985" i="4"/>
  <c r="Z993" i="4"/>
  <c r="T1090" i="4"/>
  <c r="U1090" i="4" s="1"/>
  <c r="W1090" i="4" s="1"/>
  <c r="Y1136" i="4"/>
  <c r="W1136" i="4"/>
  <c r="U1140" i="4"/>
  <c r="W1140" i="4" s="1"/>
  <c r="T1141" i="4"/>
  <c r="U1141" i="4" s="1"/>
  <c r="S1211" i="4"/>
  <c r="S1210" i="4" s="1"/>
  <c r="Q1499" i="4"/>
  <c r="W1499" i="4"/>
  <c r="AC1499" i="4"/>
  <c r="M1499" i="4"/>
  <c r="AB1538" i="4"/>
  <c r="O1568" i="4" s="1"/>
  <c r="O1567" i="4" s="1"/>
  <c r="O1566" i="4" s="1"/>
  <c r="O1565" i="4" s="1"/>
  <c r="O1538" i="4" s="1"/>
  <c r="AB1139" i="4"/>
  <c r="AB1151" i="4"/>
  <c r="AB1173" i="4"/>
  <c r="M1422" i="4"/>
  <c r="R1499" i="4"/>
  <c r="Y1499" i="4"/>
  <c r="S1516" i="4"/>
  <c r="Z1516" i="4"/>
  <c r="AB1115" i="4"/>
  <c r="AC1115" i="4" s="1"/>
  <c r="P1499" i="4"/>
  <c r="U1499" i="4"/>
  <c r="AB1499" i="4"/>
  <c r="AC1516" i="4"/>
  <c r="M1516" i="4"/>
  <c r="AB42" i="4"/>
  <c r="Y42" i="4"/>
  <c r="U41" i="4"/>
  <c r="U40" i="4" s="1"/>
  <c r="U31" i="4" s="1"/>
  <c r="W42" i="4"/>
  <c r="AB64" i="4"/>
  <c r="AC64" i="4" s="1"/>
  <c r="Y64" i="4"/>
  <c r="Y70" i="4"/>
  <c r="AB70" i="4"/>
  <c r="AC70" i="4" s="1"/>
  <c r="Y55" i="4"/>
  <c r="AB55" i="4"/>
  <c r="AC55" i="4" s="1"/>
  <c r="W55" i="4"/>
  <c r="U46" i="4"/>
  <c r="AB65" i="4"/>
  <c r="AC65" i="4" s="1"/>
  <c r="Y65" i="4"/>
  <c r="AB52" i="4"/>
  <c r="Y52" i="4"/>
  <c r="AB54" i="4"/>
  <c r="AC54" i="4" s="1"/>
  <c r="Y54" i="4"/>
  <c r="AB66" i="4"/>
  <c r="AC66" i="4" s="1"/>
  <c r="Y66" i="4"/>
  <c r="AB69" i="4"/>
  <c r="AC69" i="4" s="1"/>
  <c r="Y69" i="4"/>
  <c r="S41" i="4"/>
  <c r="S40" i="4" s="1"/>
  <c r="S31" i="4" s="1"/>
  <c r="AB53" i="4"/>
  <c r="AC53" i="4" s="1"/>
  <c r="U57" i="4"/>
  <c r="AB63" i="4"/>
  <c r="AB67" i="4"/>
  <c r="AC67" i="4" s="1"/>
  <c r="Y68" i="4"/>
  <c r="AB71" i="4"/>
  <c r="AC71" i="4" s="1"/>
  <c r="Y74" i="4"/>
  <c r="Z74" i="4" s="1"/>
  <c r="AB76" i="4"/>
  <c r="AC76" i="4" s="1"/>
  <c r="Y78" i="4"/>
  <c r="Z78" i="4" s="1"/>
  <c r="AC140" i="4"/>
  <c r="AG140" i="4"/>
  <c r="AB143" i="4"/>
  <c r="Y143" i="4"/>
  <c r="AB175" i="4"/>
  <c r="Y175" i="4"/>
  <c r="Y220" i="4"/>
  <c r="AB220" i="4"/>
  <c r="AC220" i="4" s="1"/>
  <c r="W220" i="4"/>
  <c r="Y253" i="4"/>
  <c r="AB253" i="4"/>
  <c r="AC253" i="4" s="1"/>
  <c r="W253" i="4"/>
  <c r="U238" i="4"/>
  <c r="U58" i="4"/>
  <c r="Y73" i="4"/>
  <c r="Y77" i="4"/>
  <c r="Z104" i="4"/>
  <c r="W103" i="4"/>
  <c r="AB139" i="4"/>
  <c r="Y139" i="4"/>
  <c r="Y146" i="4"/>
  <c r="AB146" i="4"/>
  <c r="U172" i="4"/>
  <c r="Y174" i="4"/>
  <c r="AB174" i="4"/>
  <c r="Y182" i="4"/>
  <c r="AB182" i="4"/>
  <c r="AC182" i="4" s="1"/>
  <c r="W182" i="4"/>
  <c r="AB196" i="4"/>
  <c r="Y196" i="4"/>
  <c r="AB278" i="4"/>
  <c r="AC278" i="4" s="1"/>
  <c r="W278" i="4"/>
  <c r="Y278" i="4"/>
  <c r="AB304" i="4"/>
  <c r="Y304" i="4"/>
  <c r="Y336" i="4"/>
  <c r="AB336" i="4"/>
  <c r="AC336" i="4" s="1"/>
  <c r="W336" i="4"/>
  <c r="AB74" i="4"/>
  <c r="AC74" i="4" s="1"/>
  <c r="AB78" i="4"/>
  <c r="AC78" i="4" s="1"/>
  <c r="Y142" i="4"/>
  <c r="AB142" i="4"/>
  <c r="AG145" i="4"/>
  <c r="AC145" i="4"/>
  <c r="AC148" i="4"/>
  <c r="AG148" i="4"/>
  <c r="AB168" i="4"/>
  <c r="Y168" i="4"/>
  <c r="W255" i="4"/>
  <c r="Z255" i="4" s="1"/>
  <c r="AB255" i="4"/>
  <c r="AB256" i="4"/>
  <c r="W256" i="4"/>
  <c r="Z256" i="4" s="1"/>
  <c r="W257" i="4"/>
  <c r="Z257" i="4" s="1"/>
  <c r="AB257" i="4"/>
  <c r="AB258" i="4"/>
  <c r="W258" i="4"/>
  <c r="Z258" i="4" s="1"/>
  <c r="W259" i="4"/>
  <c r="Z259" i="4" s="1"/>
  <c r="AB259" i="4"/>
  <c r="AB260" i="4"/>
  <c r="W260" i="4"/>
  <c r="Z260" i="4" s="1"/>
  <c r="W261" i="4"/>
  <c r="Z261" i="4" s="1"/>
  <c r="AB261" i="4"/>
  <c r="AB262" i="4"/>
  <c r="W262" i="4"/>
  <c r="Z262" i="4" s="1"/>
  <c r="W263" i="4"/>
  <c r="Z263" i="4" s="1"/>
  <c r="AB263" i="4"/>
  <c r="AB264" i="4"/>
  <c r="W264" i="4"/>
  <c r="Z264" i="4" s="1"/>
  <c r="W265" i="4"/>
  <c r="Z265" i="4" s="1"/>
  <c r="AB265" i="4"/>
  <c r="AB266" i="4"/>
  <c r="W266" i="4"/>
  <c r="Z266" i="4" s="1"/>
  <c r="W267" i="4"/>
  <c r="Z267" i="4" s="1"/>
  <c r="AB267" i="4"/>
  <c r="AB268" i="4"/>
  <c r="W268" i="4"/>
  <c r="Z268" i="4" s="1"/>
  <c r="W269" i="4"/>
  <c r="Z269" i="4" s="1"/>
  <c r="AB269" i="4"/>
  <c r="AB270" i="4"/>
  <c r="W270" i="4"/>
  <c r="Z270" i="4" s="1"/>
  <c r="W271" i="4"/>
  <c r="Z271" i="4" s="1"/>
  <c r="AB271" i="4"/>
  <c r="AB272" i="4"/>
  <c r="W272" i="4"/>
  <c r="Z272" i="4" s="1"/>
  <c r="W273" i="4"/>
  <c r="Z273" i="4" s="1"/>
  <c r="AB273" i="4"/>
  <c r="AB274" i="4"/>
  <c r="W274" i="4"/>
  <c r="Z274" i="4" s="1"/>
  <c r="W275" i="4"/>
  <c r="Z275" i="4" s="1"/>
  <c r="AB275" i="4"/>
  <c r="AB276" i="4"/>
  <c r="W276" i="4"/>
  <c r="Z276" i="4" s="1"/>
  <c r="Y277" i="4"/>
  <c r="AB277" i="4"/>
  <c r="AC277" i="4" s="1"/>
  <c r="W277" i="4"/>
  <c r="Y349" i="4"/>
  <c r="AB349" i="4"/>
  <c r="AC349" i="4" s="1"/>
  <c r="W349" i="4"/>
  <c r="Y357" i="4"/>
  <c r="AB357" i="4"/>
  <c r="AC357" i="4" s="1"/>
  <c r="W357" i="4"/>
  <c r="AB385" i="4"/>
  <c r="AC385" i="4" s="1"/>
  <c r="W385" i="4"/>
  <c r="Y385" i="4"/>
  <c r="Q83" i="4"/>
  <c r="Q90" i="4"/>
  <c r="Q92" i="4"/>
  <c r="AC144" i="4"/>
  <c r="AG144" i="4"/>
  <c r="AB147" i="4"/>
  <c r="Y147" i="4"/>
  <c r="W167" i="4"/>
  <c r="Z167" i="4" s="1"/>
  <c r="AB167" i="4"/>
  <c r="AC167" i="4" s="1"/>
  <c r="Y185" i="4"/>
  <c r="AB185" i="4"/>
  <c r="AC185" i="4" s="1"/>
  <c r="W185" i="4"/>
  <c r="Y195" i="4"/>
  <c r="AB195" i="4"/>
  <c r="AB254" i="4"/>
  <c r="AC254" i="4" s="1"/>
  <c r="W254" i="4"/>
  <c r="Y254" i="4"/>
  <c r="Y305" i="4"/>
  <c r="AB305" i="4"/>
  <c r="AC305" i="4" s="1"/>
  <c r="W305" i="4"/>
  <c r="Y371" i="4"/>
  <c r="AB371" i="4"/>
  <c r="W252" i="4"/>
  <c r="Z252" i="4" s="1"/>
  <c r="AB252" i="4"/>
  <c r="Y300" i="4"/>
  <c r="Z300" i="4" s="1"/>
  <c r="W348" i="4"/>
  <c r="Z348" i="4" s="1"/>
  <c r="AB348" i="4"/>
  <c r="AC348" i="4" s="1"/>
  <c r="Y380" i="4"/>
  <c r="AB474" i="4"/>
  <c r="AC474" i="4" s="1"/>
  <c r="W474" i="4"/>
  <c r="Y474" i="4"/>
  <c r="AB482" i="4"/>
  <c r="AC482" i="4" s="1"/>
  <c r="W482" i="4"/>
  <c r="Y482" i="4"/>
  <c r="W112" i="4"/>
  <c r="AB112" i="4"/>
  <c r="W121" i="4"/>
  <c r="Z121" i="4" s="1"/>
  <c r="AG121" i="4" s="1"/>
  <c r="W122" i="4"/>
  <c r="Z122" i="4" s="1"/>
  <c r="AG122" i="4" s="1"/>
  <c r="Y140" i="4"/>
  <c r="Y144" i="4"/>
  <c r="Y148" i="4"/>
  <c r="W201" i="4"/>
  <c r="Z201" i="4" s="1"/>
  <c r="AB201" i="4"/>
  <c r="AC201" i="4" s="1"/>
  <c r="AC380" i="4"/>
  <c r="AB384" i="4"/>
  <c r="AC384" i="4" s="1"/>
  <c r="Y390" i="4"/>
  <c r="AB390" i="4"/>
  <c r="AC390" i="4" s="1"/>
  <c r="W390" i="4"/>
  <c r="AB391" i="4"/>
  <c r="AC391" i="4" s="1"/>
  <c r="W391" i="4"/>
  <c r="Y395" i="4"/>
  <c r="AB395" i="4"/>
  <c r="W395" i="4"/>
  <c r="Y470" i="4"/>
  <c r="AB470" i="4"/>
  <c r="AB476" i="4"/>
  <c r="AC476" i="4" s="1"/>
  <c r="W476" i="4"/>
  <c r="Y476" i="4"/>
  <c r="AB484" i="4"/>
  <c r="AC484" i="4" s="1"/>
  <c r="W484" i="4"/>
  <c r="Y484" i="4"/>
  <c r="U510" i="4"/>
  <c r="U110" i="4"/>
  <c r="U115" i="4"/>
  <c r="Z117" i="4"/>
  <c r="Y391" i="4"/>
  <c r="AB478" i="4"/>
  <c r="AC478" i="4" s="1"/>
  <c r="W478" i="4"/>
  <c r="Y478" i="4"/>
  <c r="AB488" i="4"/>
  <c r="AC488" i="4" s="1"/>
  <c r="W488" i="4"/>
  <c r="Y488" i="4"/>
  <c r="Y396" i="4"/>
  <c r="AB396" i="4"/>
  <c r="AC396" i="4" s="1"/>
  <c r="W396" i="4"/>
  <c r="AB459" i="4"/>
  <c r="AC459" i="4" s="1"/>
  <c r="W459" i="4"/>
  <c r="Y459" i="4"/>
  <c r="AG469" i="4"/>
  <c r="AC469" i="4"/>
  <c r="AB480" i="4"/>
  <c r="AC480" i="4" s="1"/>
  <c r="W480" i="4"/>
  <c r="Y480" i="4"/>
  <c r="Y487" i="4"/>
  <c r="W487" i="4"/>
  <c r="AB487" i="4"/>
  <c r="AC487" i="4" s="1"/>
  <c r="Y492" i="4"/>
  <c r="AB492" i="4"/>
  <c r="AC492" i="4" s="1"/>
  <c r="W492" i="4"/>
  <c r="Y521" i="4"/>
  <c r="AB521" i="4"/>
  <c r="AC521" i="4" s="1"/>
  <c r="W521" i="4"/>
  <c r="AB460" i="4"/>
  <c r="AC460" i="4" s="1"/>
  <c r="Y469" i="4"/>
  <c r="S486" i="4"/>
  <c r="U486" i="4" s="1"/>
  <c r="W490" i="4"/>
  <c r="AB493" i="4"/>
  <c r="AC493" i="4" s="1"/>
  <c r="W493" i="4"/>
  <c r="Y508" i="4"/>
  <c r="AB522" i="4"/>
  <c r="AC522" i="4" s="1"/>
  <c r="W522" i="4"/>
  <c r="S525" i="4"/>
  <c r="AB579" i="4"/>
  <c r="AC579" i="4" s="1"/>
  <c r="Y490" i="4"/>
  <c r="Y493" i="4"/>
  <c r="W494" i="4"/>
  <c r="Z494" i="4" s="1"/>
  <c r="AB495" i="4"/>
  <c r="AC495" i="4" s="1"/>
  <c r="W495" i="4"/>
  <c r="Z495" i="4" s="1"/>
  <c r="AB498" i="4"/>
  <c r="AC498" i="4" s="1"/>
  <c r="W499" i="4"/>
  <c r="Z499" i="4" s="1"/>
  <c r="W503" i="4"/>
  <c r="Z503" i="4" s="1"/>
  <c r="Y504" i="4"/>
  <c r="AG508" i="4"/>
  <c r="AC520" i="4"/>
  <c r="Y522" i="4"/>
  <c r="W523" i="4"/>
  <c r="Z523" i="4" s="1"/>
  <c r="Z526" i="4"/>
  <c r="Z530" i="4"/>
  <c r="AG530" i="4" s="1"/>
  <c r="AB540" i="4"/>
  <c r="Y540" i="4"/>
  <c r="AB541" i="4"/>
  <c r="Y541" i="4"/>
  <c r="AG542" i="4"/>
  <c r="AC542" i="4"/>
  <c r="AB544" i="4"/>
  <c r="Y544" i="4"/>
  <c r="AB545" i="4"/>
  <c r="Y545" i="4"/>
  <c r="Z570" i="4"/>
  <c r="AG570" i="4" s="1"/>
  <c r="AB578" i="4"/>
  <c r="AC578" i="4" s="1"/>
  <c r="AG590" i="4"/>
  <c r="AC590" i="4"/>
  <c r="Y599" i="4"/>
  <c r="AB599" i="4"/>
  <c r="AC599" i="4" s="1"/>
  <c r="W599" i="4"/>
  <c r="AC610" i="4"/>
  <c r="AG610" i="4"/>
  <c r="Y618" i="4"/>
  <c r="Z618" i="4" s="1"/>
  <c r="AB618" i="4"/>
  <c r="AC618" i="4" s="1"/>
  <c r="AB465" i="4"/>
  <c r="AC465" i="4" s="1"/>
  <c r="W465" i="4"/>
  <c r="Z465" i="4" s="1"/>
  <c r="AB467" i="4"/>
  <c r="AC467" i="4" s="1"/>
  <c r="W467" i="4"/>
  <c r="Z467" i="4" s="1"/>
  <c r="AB491" i="4"/>
  <c r="AC491" i="4" s="1"/>
  <c r="AB497" i="4"/>
  <c r="AC497" i="4" s="1"/>
  <c r="W497" i="4"/>
  <c r="Z497" i="4" s="1"/>
  <c r="W502" i="4"/>
  <c r="Z502" i="4" s="1"/>
  <c r="Y548" i="4"/>
  <c r="AB548" i="4"/>
  <c r="AC548" i="4" s="1"/>
  <c r="W548" i="4"/>
  <c r="AG556" i="4"/>
  <c r="AC556" i="4"/>
  <c r="Z566" i="4"/>
  <c r="AG566" i="4" s="1"/>
  <c r="AB572" i="4"/>
  <c r="Y572" i="4"/>
  <c r="AB573" i="4"/>
  <c r="Y573" i="4"/>
  <c r="AB577" i="4"/>
  <c r="AC577" i="4" s="1"/>
  <c r="Y580" i="4"/>
  <c r="AB580" i="4"/>
  <c r="AC580" i="4" s="1"/>
  <c r="W580" i="4"/>
  <c r="Z589" i="4"/>
  <c r="AG589" i="4" s="1"/>
  <c r="AB652" i="4"/>
  <c r="Y652" i="4"/>
  <c r="W735" i="4"/>
  <c r="Z735" i="4" s="1"/>
  <c r="AB735" i="4"/>
  <c r="AC735" i="4" s="1"/>
  <c r="Y511" i="4"/>
  <c r="AB511" i="4"/>
  <c r="W511" i="4"/>
  <c r="AC602" i="4"/>
  <c r="AG602" i="4"/>
  <c r="Y638" i="4"/>
  <c r="AB638" i="4"/>
  <c r="AC638" i="4" s="1"/>
  <c r="W638" i="4"/>
  <c r="Y621" i="4"/>
  <c r="AB621" i="4"/>
  <c r="AC621" i="4" s="1"/>
  <c r="W621" i="4"/>
  <c r="Y625" i="4"/>
  <c r="AB625" i="4"/>
  <c r="AC625" i="4" s="1"/>
  <c r="W625" i="4"/>
  <c r="Y629" i="4"/>
  <c r="AB629" i="4"/>
  <c r="AC629" i="4" s="1"/>
  <c r="W629" i="4"/>
  <c r="AG694" i="4"/>
  <c r="AC694" i="4"/>
  <c r="AC705" i="4"/>
  <c r="W727" i="4"/>
  <c r="Z727" i="4" s="1"/>
  <c r="AB727" i="4"/>
  <c r="U714" i="4"/>
  <c r="U713" i="4" s="1"/>
  <c r="AB729" i="4"/>
  <c r="AC729" i="4" s="1"/>
  <c r="W850" i="4"/>
  <c r="AB882" i="4"/>
  <c r="AC882" i="4" s="1"/>
  <c r="W882" i="4"/>
  <c r="Y924" i="4"/>
  <c r="W924" i="4"/>
  <c r="Y976" i="4"/>
  <c r="AB976" i="4"/>
  <c r="AC976" i="4" s="1"/>
  <c r="W976" i="4"/>
  <c r="AB1137" i="4"/>
  <c r="W1137" i="4"/>
  <c r="Y1137" i="4"/>
  <c r="Y610" i="4"/>
  <c r="AB617" i="4"/>
  <c r="AC617" i="4" s="1"/>
  <c r="Z643" i="4"/>
  <c r="AG643" i="4" s="1"/>
  <c r="Z661" i="4"/>
  <c r="AG661" i="4" s="1"/>
  <c r="Z665" i="4"/>
  <c r="AG665" i="4" s="1"/>
  <c r="Z669" i="4"/>
  <c r="AG669" i="4" s="1"/>
  <c r="Z673" i="4"/>
  <c r="AG673" i="4" s="1"/>
  <c r="Z677" i="4"/>
  <c r="AG677" i="4" s="1"/>
  <c r="Z681" i="4"/>
  <c r="AG681" i="4" s="1"/>
  <c r="Z685" i="4"/>
  <c r="AG685" i="4" s="1"/>
  <c r="Z689" i="4"/>
  <c r="AG689" i="4" s="1"/>
  <c r="Z693" i="4"/>
  <c r="AG693" i="4" s="1"/>
  <c r="Y705" i="4"/>
  <c r="S704" i="4"/>
  <c r="U707" i="4"/>
  <c r="U704" i="4" s="1"/>
  <c r="AB711" i="4"/>
  <c r="Z716" i="4"/>
  <c r="Z724" i="4"/>
  <c r="W732" i="4"/>
  <c r="Z732" i="4" s="1"/>
  <c r="W738" i="4"/>
  <c r="Z738" i="4" s="1"/>
  <c r="W741" i="4"/>
  <c r="Z741" i="4" s="1"/>
  <c r="Z752" i="4"/>
  <c r="Z760" i="4"/>
  <c r="Z768" i="4"/>
  <c r="Z776" i="4"/>
  <c r="Z784" i="4"/>
  <c r="U848" i="4"/>
  <c r="U847" i="4" s="1"/>
  <c r="Y850" i="4"/>
  <c r="Y882" i="4"/>
  <c r="Y920" i="4"/>
  <c r="W920" i="4"/>
  <c r="Y921" i="4"/>
  <c r="AB921" i="4"/>
  <c r="AC921" i="4" s="1"/>
  <c r="W921" i="4"/>
  <c r="Y619" i="4"/>
  <c r="AB619" i="4"/>
  <c r="AC619" i="4" s="1"/>
  <c r="W619" i="4"/>
  <c r="Y623" i="4"/>
  <c r="AB623" i="4"/>
  <c r="AC623" i="4" s="1"/>
  <c r="W623" i="4"/>
  <c r="Y627" i="4"/>
  <c r="AB627" i="4"/>
  <c r="AC627" i="4" s="1"/>
  <c r="W627" i="4"/>
  <c r="AG705" i="4"/>
  <c r="AB708" i="4"/>
  <c r="Y708" i="4"/>
  <c r="Z722" i="4"/>
  <c r="W731" i="4"/>
  <c r="Z731" i="4" s="1"/>
  <c r="AB731" i="4"/>
  <c r="AC731" i="4" s="1"/>
  <c r="W740" i="4"/>
  <c r="Z740" i="4" s="1"/>
  <c r="Z750" i="4"/>
  <c r="Z758" i="4"/>
  <c r="Z766" i="4"/>
  <c r="Z774" i="4"/>
  <c r="Z782" i="4"/>
  <c r="Z800" i="4"/>
  <c r="AB886" i="4"/>
  <c r="AC886" i="4" s="1"/>
  <c r="W886" i="4"/>
  <c r="Y886" i="4"/>
  <c r="Z894" i="4"/>
  <c r="Z902" i="4"/>
  <c r="Z910" i="4"/>
  <c r="AB924" i="4"/>
  <c r="AC924" i="4" s="1"/>
  <c r="Y978" i="4"/>
  <c r="AB978" i="4"/>
  <c r="AC978" i="4" s="1"/>
  <c r="W978" i="4"/>
  <c r="Q1069" i="4"/>
  <c r="AB1125" i="4"/>
  <c r="W1125" i="4"/>
  <c r="Y1125" i="4"/>
  <c r="Y612" i="4"/>
  <c r="AB612" i="4"/>
  <c r="AC612" i="4" s="1"/>
  <c r="W612" i="4"/>
  <c r="Y645" i="4"/>
  <c r="AB645" i="4"/>
  <c r="AC645" i="4" s="1"/>
  <c r="W645" i="4"/>
  <c r="Z649" i="4"/>
  <c r="AG649" i="4" s="1"/>
  <c r="AB696" i="4"/>
  <c r="Y696" i="4"/>
  <c r="Z720" i="4"/>
  <c r="AB730" i="4"/>
  <c r="AC730" i="4" s="1"/>
  <c r="W734" i="4"/>
  <c r="Z734" i="4" s="1"/>
  <c r="W739" i="4"/>
  <c r="Z739" i="4" s="1"/>
  <c r="AB739" i="4"/>
  <c r="AC739" i="4" s="1"/>
  <c r="W742" i="4"/>
  <c r="Z742" i="4" s="1"/>
  <c r="Y748" i="4"/>
  <c r="AB748" i="4"/>
  <c r="AC748" i="4" s="1"/>
  <c r="W748" i="4"/>
  <c r="Y713" i="4"/>
  <c r="Z756" i="4"/>
  <c r="Z764" i="4"/>
  <c r="Z772" i="4"/>
  <c r="Z780" i="4"/>
  <c r="Y789" i="4"/>
  <c r="Y787" i="4" s="1"/>
  <c r="AB789" i="4"/>
  <c r="W789" i="4"/>
  <c r="U787" i="4"/>
  <c r="U786" i="4" s="1"/>
  <c r="Z797" i="4"/>
  <c r="Z804" i="4"/>
  <c r="Z803" i="4" s="1"/>
  <c r="S848" i="4"/>
  <c r="S847" i="4" s="1"/>
  <c r="Y885" i="4"/>
  <c r="AB885" i="4"/>
  <c r="AC885" i="4" s="1"/>
  <c r="W885" i="4"/>
  <c r="Y888" i="4"/>
  <c r="Z888" i="4" s="1"/>
  <c r="AB888" i="4"/>
  <c r="AC888" i="4" s="1"/>
  <c r="Y889" i="4"/>
  <c r="AB889" i="4"/>
  <c r="AC889" i="4" s="1"/>
  <c r="W889" i="4"/>
  <c r="Z938" i="4"/>
  <c r="AB1061" i="4"/>
  <c r="Y1061" i="4"/>
  <c r="AB1063" i="4"/>
  <c r="AC1063" i="4" s="1"/>
  <c r="Y1063" i="4"/>
  <c r="O1069" i="4"/>
  <c r="Y1089" i="4"/>
  <c r="AB1089" i="4"/>
  <c r="W1089" i="4"/>
  <c r="Z896" i="4"/>
  <c r="Z904" i="4"/>
  <c r="AB922" i="4"/>
  <c r="AC922" i="4" s="1"/>
  <c r="W922" i="4"/>
  <c r="Z922" i="4" s="1"/>
  <c r="AB977" i="4"/>
  <c r="AC977" i="4" s="1"/>
  <c r="S1059" i="4"/>
  <c r="S1058" i="4" s="1"/>
  <c r="U1064" i="4"/>
  <c r="U1059" i="4" s="1"/>
  <c r="U1058" i="4" s="1"/>
  <c r="AB1079" i="4"/>
  <c r="AC1079" i="4" s="1"/>
  <c r="Q1068" i="4"/>
  <c r="Q1067" i="4" s="1"/>
  <c r="Q1066" i="4" s="1"/>
  <c r="Y1096" i="4"/>
  <c r="W1096" i="4"/>
  <c r="Y1110" i="4"/>
  <c r="W1110" i="4"/>
  <c r="Y1114" i="4"/>
  <c r="AB1114" i="4"/>
  <c r="AC1114" i="4" s="1"/>
  <c r="W1114" i="4"/>
  <c r="AB1160" i="4"/>
  <c r="Y1160" i="4"/>
  <c r="AB981" i="4"/>
  <c r="AC981" i="4" s="1"/>
  <c r="Y981" i="4"/>
  <c r="Y1081" i="4"/>
  <c r="AB1081" i="4"/>
  <c r="W1081" i="4"/>
  <c r="Y1082" i="4"/>
  <c r="AB1082" i="4"/>
  <c r="AC1082" i="4" s="1"/>
  <c r="W1082" i="4"/>
  <c r="Y1109" i="4"/>
  <c r="AB1109" i="4"/>
  <c r="AC1109" i="4" s="1"/>
  <c r="W1109" i="4"/>
  <c r="T1144" i="4"/>
  <c r="U1144" i="4" s="1"/>
  <c r="AB1143" i="4"/>
  <c r="Y1098" i="4"/>
  <c r="Y1111" i="4"/>
  <c r="AB1116" i="4"/>
  <c r="AC1116" i="4" s="1"/>
  <c r="AB1117" i="4"/>
  <c r="AC1117" i="4" s="1"/>
  <c r="AB1120" i="4"/>
  <c r="AC1120" i="4" s="1"/>
  <c r="W1120" i="4"/>
  <c r="Z1120" i="4" s="1"/>
  <c r="U1155" i="4"/>
  <c r="T1156" i="4"/>
  <c r="U1156" i="4" s="1"/>
  <c r="AB1165" i="4"/>
  <c r="Y1165" i="4"/>
  <c r="N1134" i="4"/>
  <c r="Y1161" i="4"/>
  <c r="AB1161" i="4"/>
  <c r="AC1161" i="4" s="1"/>
  <c r="W1161" i="4"/>
  <c r="Y1163" i="4"/>
  <c r="W1163" i="4"/>
  <c r="Y1182" i="4"/>
  <c r="Y1181" i="4" s="1"/>
  <c r="Y1180" i="4" s="1"/>
  <c r="AB1182" i="4"/>
  <c r="U1181" i="4"/>
  <c r="U1180" i="4" s="1"/>
  <c r="W1182" i="4"/>
  <c r="AB1221" i="4"/>
  <c r="AC1221" i="4" s="1"/>
  <c r="W1221" i="4"/>
  <c r="Y1221" i="4"/>
  <c r="S1422" i="4"/>
  <c r="Z1422" i="4"/>
  <c r="AB1118" i="4"/>
  <c r="AC1118" i="4" s="1"/>
  <c r="U1126" i="4"/>
  <c r="Y1139" i="4"/>
  <c r="W1139" i="4"/>
  <c r="T1148" i="4"/>
  <c r="AB1147" i="4"/>
  <c r="Y1166" i="4"/>
  <c r="AB1166" i="4"/>
  <c r="AC1166" i="4" s="1"/>
  <c r="W1166" i="4"/>
  <c r="AB1169" i="4"/>
  <c r="AC1169" i="4" s="1"/>
  <c r="W1169" i="4"/>
  <c r="Z1169" i="4" s="1"/>
  <c r="W1174" i="4"/>
  <c r="Z1174" i="4" s="1"/>
  <c r="AB1174" i="4"/>
  <c r="AC1174" i="4" s="1"/>
  <c r="AB1154" i="4"/>
  <c r="U1211" i="4"/>
  <c r="U1210" i="4" s="1"/>
  <c r="Q1422" i="4"/>
  <c r="W1422" i="4"/>
  <c r="AC1422" i="4"/>
  <c r="R1516" i="4"/>
  <c r="Y1516" i="4"/>
  <c r="W1173" i="4"/>
  <c r="Z1173" i="4" s="1"/>
  <c r="W1553" i="4"/>
  <c r="W1552" i="4" s="1"/>
  <c r="W1551" i="4" s="1"/>
  <c r="W1538" i="4" s="1"/>
  <c r="Z1557" i="4"/>
  <c r="AB1219" i="4"/>
  <c r="AC1219" i="4" s="1"/>
  <c r="W1219" i="4"/>
  <c r="R1422" i="4"/>
  <c r="Y1422" i="4"/>
  <c r="Y1213" i="4"/>
  <c r="Y1214" i="4"/>
  <c r="Y1215" i="4"/>
  <c r="Y1216" i="4"/>
  <c r="I54" i="5" l="1"/>
  <c r="O1187" i="4"/>
  <c r="L968" i="5"/>
  <c r="AB1284" i="4"/>
  <c r="O1535" i="4" s="1"/>
  <c r="O1534" i="4" s="1"/>
  <c r="O1533" i="4" s="1"/>
  <c r="P968" i="5"/>
  <c r="R1284" i="4"/>
  <c r="W1087" i="4"/>
  <c r="Z1087" i="4" s="1"/>
  <c r="AC1284" i="4"/>
  <c r="O968" i="5"/>
  <c r="W1284" i="4"/>
  <c r="Q1284" i="4"/>
  <c r="J703" i="5"/>
  <c r="J54" i="5"/>
  <c r="S1284" i="4"/>
  <c r="Y1284" i="4"/>
  <c r="P102" i="4"/>
  <c r="P101" i="4" s="1"/>
  <c r="P30" i="4" s="1"/>
  <c r="L54" i="5"/>
  <c r="N968" i="5"/>
  <c r="K54" i="5"/>
  <c r="K11" i="5" s="1"/>
  <c r="K1844" i="5" s="1"/>
  <c r="AG600" i="4"/>
  <c r="AC601" i="4"/>
  <c r="AB1421" i="4"/>
  <c r="AG503" i="4"/>
  <c r="P1187" i="4"/>
  <c r="Z485" i="4"/>
  <c r="AG485" i="4" s="1"/>
  <c r="M54" i="5"/>
  <c r="M11" i="5" s="1"/>
  <c r="M1844" i="5" s="1"/>
  <c r="P54" i="5"/>
  <c r="Z980" i="4"/>
  <c r="Z622" i="4"/>
  <c r="AG622" i="4" s="1"/>
  <c r="Z1215" i="4"/>
  <c r="Z1098" i="4"/>
  <c r="AC370" i="4"/>
  <c r="Z1119" i="4"/>
  <c r="Z1269" i="4"/>
  <c r="AG1269" i="4" s="1"/>
  <c r="M1187" i="4"/>
  <c r="AG468" i="4"/>
  <c r="M101" i="4"/>
  <c r="M30" i="4" s="1"/>
  <c r="Z1216" i="4"/>
  <c r="AG709" i="4"/>
  <c r="W1099" i="4"/>
  <c r="Z1099" i="4" s="1"/>
  <c r="AG1273" i="4"/>
  <c r="O1068" i="4"/>
  <c r="O1067" i="4" s="1"/>
  <c r="O1066" i="4" s="1"/>
  <c r="Z794" i="4"/>
  <c r="AC575" i="4"/>
  <c r="AG141" i="4"/>
  <c r="S786" i="4"/>
  <c r="Z637" i="4"/>
  <c r="AG637" i="4" s="1"/>
  <c r="Z1158" i="4"/>
  <c r="Z386" i="4"/>
  <c r="AG386" i="4" s="1"/>
  <c r="Z1172" i="4"/>
  <c r="R1187" i="4"/>
  <c r="AB1140" i="4"/>
  <c r="Z1421" i="4"/>
  <c r="W1073" i="4"/>
  <c r="Z1073" i="4" s="1"/>
  <c r="AG499" i="4"/>
  <c r="AB1090" i="4"/>
  <c r="AC1090" i="4" s="1"/>
  <c r="T1128" i="4"/>
  <c r="U1128" i="4" s="1"/>
  <c r="S102" i="4"/>
  <c r="Z481" i="4"/>
  <c r="AG481" i="4" s="1"/>
  <c r="Z923" i="4"/>
  <c r="Z512" i="4"/>
  <c r="AG512" i="4" s="1"/>
  <c r="Z1132" i="4"/>
  <c r="Q1187" i="4"/>
  <c r="Y1090" i="4"/>
  <c r="Z1090" i="4" s="1"/>
  <c r="Z1145" i="4"/>
  <c r="AB1073" i="4"/>
  <c r="AC1073" i="4" s="1"/>
  <c r="AC574" i="4"/>
  <c r="AG494" i="4"/>
  <c r="AC706" i="4"/>
  <c r="AC710" i="4"/>
  <c r="AC571" i="4"/>
  <c r="U1148" i="4"/>
  <c r="W1100" i="4"/>
  <c r="Z1100" i="4" s="1"/>
  <c r="AG624" i="4"/>
  <c r="S1187" i="4"/>
  <c r="AB1099" i="4"/>
  <c r="Z1107" i="4"/>
  <c r="Z1271" i="4"/>
  <c r="AG1271" i="4" s="1"/>
  <c r="Z1091" i="4"/>
  <c r="AG1214" i="4"/>
  <c r="Z277" i="4"/>
  <c r="AG277" i="4" s="1"/>
  <c r="Z220" i="4"/>
  <c r="AG220" i="4" s="1"/>
  <c r="AB1141" i="4"/>
  <c r="AC1141" i="4" s="1"/>
  <c r="Z1123" i="4"/>
  <c r="Z1265" i="4"/>
  <c r="Z918" i="4"/>
  <c r="AG1217" i="4"/>
  <c r="S45" i="4"/>
  <c r="Z1217" i="4"/>
  <c r="AC382" i="4"/>
  <c r="AG300" i="4"/>
  <c r="S44" i="4"/>
  <c r="U1421" i="4"/>
  <c r="AG1218" i="4"/>
  <c r="Z626" i="4"/>
  <c r="AG626" i="4" s="1"/>
  <c r="AG657" i="4"/>
  <c r="U935" i="4"/>
  <c r="U846" i="4" s="1"/>
  <c r="AG466" i="4"/>
  <c r="W1264" i="4"/>
  <c r="W1259" i="4" s="1"/>
  <c r="AG483" i="4"/>
  <c r="AG1274" i="4"/>
  <c r="Z1071" i="4"/>
  <c r="R1421" i="4"/>
  <c r="AG1212" i="4"/>
  <c r="Z1220" i="4"/>
  <c r="Z628" i="4"/>
  <c r="AG628" i="4" s="1"/>
  <c r="Z1152" i="4"/>
  <c r="AG615" i="4"/>
  <c r="AG559" i="4"/>
  <c r="Z1162" i="4"/>
  <c r="Z1095" i="4"/>
  <c r="Z1267" i="4"/>
  <c r="AG1267" i="4" s="1"/>
  <c r="O101" i="4"/>
  <c r="O30" i="4" s="1"/>
  <c r="AG40" i="4" s="1"/>
  <c r="AI40" i="4" s="1"/>
  <c r="AC1421" i="4"/>
  <c r="Z482" i="4"/>
  <c r="AG482" i="4" s="1"/>
  <c r="Z889" i="4"/>
  <c r="AC613" i="4"/>
  <c r="W810" i="4"/>
  <c r="W809" i="4" s="1"/>
  <c r="W808" i="4" s="1"/>
  <c r="Y936" i="4"/>
  <c r="AG496" i="4"/>
  <c r="AG523" i="4"/>
  <c r="R102" i="4"/>
  <c r="R101" i="4" s="1"/>
  <c r="R30" i="4" s="1"/>
  <c r="AG501" i="4"/>
  <c r="AG475" i="4"/>
  <c r="Z549" i="4"/>
  <c r="AG549" i="4" s="1"/>
  <c r="Z1093" i="4"/>
  <c r="S1421" i="4"/>
  <c r="AG616" i="4"/>
  <c r="U809" i="4"/>
  <c r="U808" i="4" s="1"/>
  <c r="Z1553" i="4"/>
  <c r="Z1552" i="4" s="1"/>
  <c r="Z1551" i="4" s="1"/>
  <c r="Z1538" i="4" s="1"/>
  <c r="AB810" i="4"/>
  <c r="AB809" i="4" s="1"/>
  <c r="AB808" i="4" s="1"/>
  <c r="Z924" i="4"/>
  <c r="Z625" i="4"/>
  <c r="AG625" i="4" s="1"/>
  <c r="Z477" i="4"/>
  <c r="AG477" i="4" s="1"/>
  <c r="Z886" i="4"/>
  <c r="Z645" i="4"/>
  <c r="AG645" i="4" s="1"/>
  <c r="Z492" i="4"/>
  <c r="AG492" i="4" s="1"/>
  <c r="AG348" i="4"/>
  <c r="Z1212" i="4"/>
  <c r="Z1131" i="4"/>
  <c r="Z1101" i="4"/>
  <c r="Z997" i="4"/>
  <c r="AG489" i="4"/>
  <c r="Y1264" i="4"/>
  <c r="Y1259" i="4" s="1"/>
  <c r="Z654" i="4"/>
  <c r="AG654" i="4" s="1"/>
  <c r="Z75" i="4"/>
  <c r="AG500" i="4"/>
  <c r="Z1268" i="4"/>
  <c r="AG1268" i="4" s="1"/>
  <c r="Z480" i="4"/>
  <c r="AG480" i="4" s="1"/>
  <c r="Q102" i="4"/>
  <c r="Q101" i="4" s="1"/>
  <c r="Z498" i="4"/>
  <c r="AG498" i="4" s="1"/>
  <c r="W1421" i="4"/>
  <c r="AG579" i="4"/>
  <c r="Z487" i="4"/>
  <c r="AG487" i="4" s="1"/>
  <c r="AG381" i="4"/>
  <c r="Z1102" i="4"/>
  <c r="AC543" i="4"/>
  <c r="AG576" i="4"/>
  <c r="M1421" i="4"/>
  <c r="Z919" i="4"/>
  <c r="Z1266" i="4"/>
  <c r="AG1266" i="4" s="1"/>
  <c r="Y934" i="4"/>
  <c r="Y1421" i="4"/>
  <c r="Y1140" i="4"/>
  <c r="Z1140" i="4" s="1"/>
  <c r="U1187" i="4"/>
  <c r="Z1111" i="4"/>
  <c r="Y786" i="4"/>
  <c r="Z612" i="4"/>
  <c r="AG612" i="4" s="1"/>
  <c r="Z1125" i="4"/>
  <c r="Z623" i="4"/>
  <c r="AG623" i="4" s="1"/>
  <c r="Z478" i="4"/>
  <c r="AG478" i="4" s="1"/>
  <c r="Z476" i="4"/>
  <c r="AG476" i="4" s="1"/>
  <c r="AG201" i="4"/>
  <c r="AG252" i="4"/>
  <c r="Q44" i="4"/>
  <c r="Z659" i="4"/>
  <c r="AG659" i="4" s="1"/>
  <c r="AG644" i="4"/>
  <c r="Z620" i="4"/>
  <c r="AG620" i="4" s="1"/>
  <c r="AG479" i="4"/>
  <c r="AG519" i="4"/>
  <c r="AG611" i="4"/>
  <c r="AC611" i="4"/>
  <c r="Y1211" i="4"/>
  <c r="Y1210" i="4" s="1"/>
  <c r="Z1114" i="4"/>
  <c r="Z978" i="4"/>
  <c r="Y847" i="4"/>
  <c r="W1141" i="4"/>
  <c r="Z1141" i="4" s="1"/>
  <c r="Z638" i="4"/>
  <c r="AG638" i="4" s="1"/>
  <c r="Z580" i="4"/>
  <c r="AG580" i="4" s="1"/>
  <c r="AG497" i="4"/>
  <c r="AG465" i="4"/>
  <c r="Z396" i="4"/>
  <c r="AG396" i="4" s="1"/>
  <c r="Z391" i="4"/>
  <c r="AG391" i="4" s="1"/>
  <c r="Y102" i="4"/>
  <c r="Z1118" i="4"/>
  <c r="Z884" i="4"/>
  <c r="Z460" i="4"/>
  <c r="AG460" i="4" s="1"/>
  <c r="Z1272" i="4"/>
  <c r="AG1272" i="4" s="1"/>
  <c r="Z1108" i="4"/>
  <c r="Z547" i="4"/>
  <c r="AG547" i="4" s="1"/>
  <c r="Z77" i="4"/>
  <c r="AC1265" i="4"/>
  <c r="AC1264" i="4" s="1"/>
  <c r="AC1259" i="4" s="1"/>
  <c r="AB1264" i="4"/>
  <c r="AB1259" i="4" s="1"/>
  <c r="O1530" i="4" s="1"/>
  <c r="O1529" i="4" s="1"/>
  <c r="Y1072" i="4"/>
  <c r="W1072" i="4"/>
  <c r="AB1072" i="4"/>
  <c r="P1421" i="4"/>
  <c r="AC653" i="4"/>
  <c r="AG653" i="4"/>
  <c r="U102" i="4"/>
  <c r="AG1220" i="4"/>
  <c r="Z1270" i="4"/>
  <c r="AG1270" i="4" s="1"/>
  <c r="AG614" i="4"/>
  <c r="AC614" i="4"/>
  <c r="Z385" i="4"/>
  <c r="AG385" i="4" s="1"/>
  <c r="Q1421" i="4"/>
  <c r="Z1161" i="4"/>
  <c r="Z1109" i="4"/>
  <c r="Z1110" i="4"/>
  <c r="Z627" i="4"/>
  <c r="AG627" i="4" s="1"/>
  <c r="Z921" i="4"/>
  <c r="Z629" i="4"/>
  <c r="AG629" i="4" s="1"/>
  <c r="Z548" i="4"/>
  <c r="AG548" i="4" s="1"/>
  <c r="AG502" i="4"/>
  <c r="AG618" i="4"/>
  <c r="Z349" i="4"/>
  <c r="AG349" i="4" s="1"/>
  <c r="Z336" i="4"/>
  <c r="AG336" i="4" s="1"/>
  <c r="I11" i="5"/>
  <c r="I1844" i="5" s="1"/>
  <c r="AG695" i="4"/>
  <c r="AC695" i="4"/>
  <c r="Z1117" i="4"/>
  <c r="Z1078" i="4"/>
  <c r="Z975" i="4"/>
  <c r="Z1113" i="4"/>
  <c r="Z887" i="4"/>
  <c r="Z656" i="4"/>
  <c r="AG656" i="4" s="1"/>
  <c r="Z389" i="4"/>
  <c r="AG389" i="4" s="1"/>
  <c r="Z76" i="4"/>
  <c r="AG1213" i="4"/>
  <c r="Z1166" i="4"/>
  <c r="AB1126" i="4"/>
  <c r="Y1126" i="4"/>
  <c r="Z1214" i="4"/>
  <c r="AG1215" i="4"/>
  <c r="Z1081" i="4"/>
  <c r="Z1096" i="4"/>
  <c r="AB1211" i="4"/>
  <c r="AB1210" i="4" s="1"/>
  <c r="Z1089" i="4"/>
  <c r="U1060" i="4"/>
  <c r="Z885" i="4"/>
  <c r="S846" i="4"/>
  <c r="W787" i="4"/>
  <c r="W786" i="4" s="1"/>
  <c r="Z789" i="4"/>
  <c r="Z787" i="4" s="1"/>
  <c r="Z748" i="4"/>
  <c r="Z714" i="4" s="1"/>
  <c r="Z713" i="4" s="1"/>
  <c r="AG696" i="4"/>
  <c r="AC696" i="4"/>
  <c r="W848" i="4"/>
  <c r="W847" i="4" s="1"/>
  <c r="Y707" i="4"/>
  <c r="AB707" i="4"/>
  <c r="Z850" i="4"/>
  <c r="AG617" i="4"/>
  <c r="W510" i="4"/>
  <c r="Z511" i="4"/>
  <c r="AG544" i="4"/>
  <c r="AC544" i="4"/>
  <c r="AC541" i="4"/>
  <c r="AG541" i="4"/>
  <c r="AG526" i="4"/>
  <c r="Z522" i="4"/>
  <c r="AG522" i="4" s="1"/>
  <c r="Z493" i="4"/>
  <c r="AG493" i="4" s="1"/>
  <c r="Z521" i="4"/>
  <c r="AG521" i="4" s="1"/>
  <c r="Z459" i="4"/>
  <c r="AG459" i="4" s="1"/>
  <c r="Z488" i="4"/>
  <c r="AG488" i="4" s="1"/>
  <c r="Z484" i="4"/>
  <c r="AG484" i="4" s="1"/>
  <c r="Z395" i="4"/>
  <c r="Z474" i="4"/>
  <c r="AG474" i="4" s="1"/>
  <c r="AB238" i="4"/>
  <c r="AC252" i="4"/>
  <c r="Z305" i="4"/>
  <c r="AG305" i="4" s="1"/>
  <c r="Z254" i="4"/>
  <c r="AG254" i="4" s="1"/>
  <c r="Z357" i="4"/>
  <c r="AG357" i="4" s="1"/>
  <c r="AG142" i="4"/>
  <c r="AC142" i="4"/>
  <c r="Z278" i="4"/>
  <c r="AG278" i="4" s="1"/>
  <c r="AG196" i="4"/>
  <c r="AC196" i="4"/>
  <c r="AG174" i="4"/>
  <c r="AB172" i="4"/>
  <c r="AC174" i="4"/>
  <c r="Z253" i="4"/>
  <c r="AG253" i="4" s="1"/>
  <c r="W115" i="4"/>
  <c r="AC42" i="4"/>
  <c r="AC41" i="4" s="1"/>
  <c r="AC40" i="4" s="1"/>
  <c r="AC31" i="4" s="1"/>
  <c r="AB41" i="4"/>
  <c r="AB40" i="4" s="1"/>
  <c r="AB31" i="4" s="1"/>
  <c r="AG1219" i="4"/>
  <c r="Z1219" i="4"/>
  <c r="Z1213" i="4"/>
  <c r="AG1221" i="4"/>
  <c r="Z1221" i="4"/>
  <c r="W1181" i="4"/>
  <c r="W1180" i="4" s="1"/>
  <c r="Z1182" i="4"/>
  <c r="Z1181" i="4" s="1"/>
  <c r="Z1180" i="4" s="1"/>
  <c r="Z1163" i="4"/>
  <c r="Z1082" i="4"/>
  <c r="AG1216" i="4"/>
  <c r="W935" i="4"/>
  <c r="AC789" i="4"/>
  <c r="AC787" i="4" s="1"/>
  <c r="AC786" i="4" s="1"/>
  <c r="AB787" i="4"/>
  <c r="AB786" i="4" s="1"/>
  <c r="Z619" i="4"/>
  <c r="AG619" i="4" s="1"/>
  <c r="W714" i="4"/>
  <c r="W713" i="4" s="1"/>
  <c r="Z1137" i="4"/>
  <c r="Z976" i="4"/>
  <c r="AC850" i="4"/>
  <c r="AC848" i="4" s="1"/>
  <c r="AB848" i="4"/>
  <c r="AC727" i="4"/>
  <c r="AC714" i="4" s="1"/>
  <c r="AC713" i="4" s="1"/>
  <c r="AB714" i="4"/>
  <c r="Z621" i="4"/>
  <c r="AG621" i="4" s="1"/>
  <c r="AC511" i="4"/>
  <c r="AC510" i="4" s="1"/>
  <c r="AB510" i="4"/>
  <c r="AG652" i="4"/>
  <c r="AC652" i="4"/>
  <c r="AG572" i="4"/>
  <c r="AC572" i="4"/>
  <c r="AG467" i="4"/>
  <c r="Z599" i="4"/>
  <c r="AG599" i="4" s="1"/>
  <c r="AG495" i="4"/>
  <c r="AG578" i="4"/>
  <c r="AC470" i="4"/>
  <c r="AG470" i="4"/>
  <c r="AC395" i="4"/>
  <c r="Z390" i="4"/>
  <c r="AG390" i="4" s="1"/>
  <c r="Z185" i="4"/>
  <c r="AG185" i="4" s="1"/>
  <c r="Z182" i="4"/>
  <c r="W172" i="4"/>
  <c r="Z103" i="4"/>
  <c r="AG104" i="4"/>
  <c r="AG143" i="4"/>
  <c r="AC143" i="4"/>
  <c r="Z42" i="4"/>
  <c r="Z41" i="4" s="1"/>
  <c r="Z40" i="4" s="1"/>
  <c r="Z31" i="4" s="1"/>
  <c r="W41" i="4"/>
  <c r="W40" i="4" s="1"/>
  <c r="W31" i="4" s="1"/>
  <c r="W1211" i="4"/>
  <c r="AB1156" i="4"/>
  <c r="AC1156" i="4" s="1"/>
  <c r="W1156" i="4"/>
  <c r="Z1156" i="4" s="1"/>
  <c r="Y1064" i="4"/>
  <c r="Y1059" i="4" s="1"/>
  <c r="Y1058" i="4" s="1"/>
  <c r="AB1064" i="4"/>
  <c r="AC1064" i="4" s="1"/>
  <c r="W1064" i="4"/>
  <c r="AC1061" i="4"/>
  <c r="AC708" i="4"/>
  <c r="AG708" i="4"/>
  <c r="Z920" i="4"/>
  <c r="AG711" i="4"/>
  <c r="AC711" i="4"/>
  <c r="AC1137" i="4"/>
  <c r="AC936" i="4"/>
  <c r="AC935" i="4" s="1"/>
  <c r="AB935" i="4"/>
  <c r="Z882" i="4"/>
  <c r="AC545" i="4"/>
  <c r="AG545" i="4"/>
  <c r="AB525" i="4"/>
  <c r="AG540" i="4"/>
  <c r="AC540" i="4"/>
  <c r="Z490" i="4"/>
  <c r="AG490" i="4" s="1"/>
  <c r="S393" i="4"/>
  <c r="S237" i="4" s="1"/>
  <c r="AC112" i="4"/>
  <c r="AC110" i="4" s="1"/>
  <c r="AB110" i="4"/>
  <c r="AG371" i="4"/>
  <c r="AC371" i="4"/>
  <c r="AG276" i="4"/>
  <c r="AC276" i="4"/>
  <c r="AG274" i="4"/>
  <c r="AC274" i="4"/>
  <c r="AG272" i="4"/>
  <c r="AC272" i="4"/>
  <c r="AG270" i="4"/>
  <c r="AC270" i="4"/>
  <c r="AG268" i="4"/>
  <c r="AC268" i="4"/>
  <c r="AG266" i="4"/>
  <c r="AC266" i="4"/>
  <c r="AG264" i="4"/>
  <c r="AC264" i="4"/>
  <c r="AG262" i="4"/>
  <c r="AC262" i="4"/>
  <c r="AG260" i="4"/>
  <c r="AC260" i="4"/>
  <c r="AG258" i="4"/>
  <c r="AC258" i="4"/>
  <c r="AG256" i="4"/>
  <c r="AC256" i="4"/>
  <c r="AG304" i="4"/>
  <c r="AC304" i="4"/>
  <c r="AG139" i="4"/>
  <c r="AC139" i="4"/>
  <c r="Z73" i="4"/>
  <c r="W58" i="4"/>
  <c r="AC63" i="4"/>
  <c r="AC58" i="4" s="1"/>
  <c r="AB58" i="4"/>
  <c r="Z55" i="4"/>
  <c r="Z46" i="4" s="1"/>
  <c r="W46" i="4"/>
  <c r="AC1182" i="4"/>
  <c r="AC1181" i="4" s="1"/>
  <c r="AC1180" i="4" s="1"/>
  <c r="AB1181" i="4"/>
  <c r="AB1180" i="4" s="1"/>
  <c r="O1509" i="4" s="1"/>
  <c r="O1508" i="4" s="1"/>
  <c r="Y1155" i="4"/>
  <c r="W1155" i="4"/>
  <c r="AB1155" i="4"/>
  <c r="Y1144" i="4"/>
  <c r="AB1144" i="4"/>
  <c r="AC1144" i="4" s="1"/>
  <c r="W1144" i="4"/>
  <c r="AC1211" i="4"/>
  <c r="AC1210" i="4" s="1"/>
  <c r="AC573" i="4"/>
  <c r="AG573" i="4"/>
  <c r="AG577" i="4"/>
  <c r="W525" i="4"/>
  <c r="AB486" i="4"/>
  <c r="AC486" i="4" s="1"/>
  <c r="W486" i="4"/>
  <c r="Y486" i="4"/>
  <c r="Y237" i="4" s="1"/>
  <c r="AG117" i="4"/>
  <c r="Z115" i="4"/>
  <c r="AG491" i="4"/>
  <c r="U393" i="4"/>
  <c r="Y393" i="4" s="1"/>
  <c r="W238" i="4"/>
  <c r="AB115" i="4"/>
  <c r="Z112" i="4"/>
  <c r="Z110" i="4" s="1"/>
  <c r="W110" i="4"/>
  <c r="AG195" i="4"/>
  <c r="AC195" i="4"/>
  <c r="AG147" i="4"/>
  <c r="AC147" i="4"/>
  <c r="AG384" i="4"/>
  <c r="AG275" i="4"/>
  <c r="AC275" i="4"/>
  <c r="AG273" i="4"/>
  <c r="AC273" i="4"/>
  <c r="AG271" i="4"/>
  <c r="AC271" i="4"/>
  <c r="AG269" i="4"/>
  <c r="AC269" i="4"/>
  <c r="AG267" i="4"/>
  <c r="AC267" i="4"/>
  <c r="AG265" i="4"/>
  <c r="AC265" i="4"/>
  <c r="AG263" i="4"/>
  <c r="AC263" i="4"/>
  <c r="AG261" i="4"/>
  <c r="AC261" i="4"/>
  <c r="AG259" i="4"/>
  <c r="AC259" i="4"/>
  <c r="AG257" i="4"/>
  <c r="AC257" i="4"/>
  <c r="AG255" i="4"/>
  <c r="AC255" i="4"/>
  <c r="AG168" i="4"/>
  <c r="AC168" i="4"/>
  <c r="AG146" i="4"/>
  <c r="AC146" i="4"/>
  <c r="AG175" i="4"/>
  <c r="AC175" i="4"/>
  <c r="Y57" i="4"/>
  <c r="Y45" i="4" s="1"/>
  <c r="Y44" i="4" s="1"/>
  <c r="U56" i="4"/>
  <c r="U45" i="4" s="1"/>
  <c r="W57" i="4"/>
  <c r="AB57" i="4"/>
  <c r="AC52" i="4"/>
  <c r="AC46" i="4" s="1"/>
  <c r="AB46" i="4"/>
  <c r="AC847" i="4" l="1"/>
  <c r="AC846" i="4" s="1"/>
  <c r="O492" i="5"/>
  <c r="O491" i="5" s="1"/>
  <c r="O490" i="5" s="1"/>
  <c r="O54" i="5" s="1"/>
  <c r="O11" i="5" s="1"/>
  <c r="O1844" i="5" s="1"/>
  <c r="AB847" i="4"/>
  <c r="AB846" i="4" s="1"/>
  <c r="N492" i="5"/>
  <c r="N491" i="5" s="1"/>
  <c r="N495" i="5"/>
  <c r="L11" i="5"/>
  <c r="L1844" i="5" s="1"/>
  <c r="P11" i="5"/>
  <c r="P1844" i="5" s="1"/>
  <c r="J11" i="5"/>
  <c r="J1844" i="5" s="1"/>
  <c r="Y1187" i="4"/>
  <c r="S101" i="4"/>
  <c r="S30" i="4" s="1"/>
  <c r="S1571" i="4" s="1"/>
  <c r="Z786" i="4"/>
  <c r="M1571" i="4"/>
  <c r="O1571" i="4"/>
  <c r="T1129" i="4"/>
  <c r="U1129" i="4" s="1"/>
  <c r="Y1129" i="4" s="1"/>
  <c r="U1134" i="4"/>
  <c r="Z810" i="4"/>
  <c r="Z809" i="4" s="1"/>
  <c r="Z808" i="4" s="1"/>
  <c r="AB1148" i="4"/>
  <c r="AC1148" i="4" s="1"/>
  <c r="AC1134" i="4" s="1"/>
  <c r="Z1264" i="4"/>
  <c r="Z1259" i="4" s="1"/>
  <c r="AG1265" i="4"/>
  <c r="Y1148" i="4"/>
  <c r="Y1134" i="4" s="1"/>
  <c r="Q30" i="4"/>
  <c r="Q1571" i="4" s="1"/>
  <c r="W1148" i="4"/>
  <c r="R1571" i="4"/>
  <c r="AB1060" i="4"/>
  <c r="P1571" i="4"/>
  <c r="AC810" i="4"/>
  <c r="AC809" i="4" s="1"/>
  <c r="AC808" i="4" s="1"/>
  <c r="Y101" i="4"/>
  <c r="Z58" i="4"/>
  <c r="W102" i="4"/>
  <c r="AC1187" i="4"/>
  <c r="Z935" i="4"/>
  <c r="Z1211" i="4"/>
  <c r="Z1210" i="4" s="1"/>
  <c r="Y846" i="4"/>
  <c r="AB1059" i="4"/>
  <c r="AB1058" i="4" s="1"/>
  <c r="AF1059" i="4" s="1"/>
  <c r="U237" i="4"/>
  <c r="U101" i="4" s="1"/>
  <c r="Z1144" i="4"/>
  <c r="AC525" i="4"/>
  <c r="Z1072" i="4"/>
  <c r="AB1128" i="4"/>
  <c r="Y1128" i="4"/>
  <c r="W1128" i="4"/>
  <c r="Z525" i="4"/>
  <c r="AG525" i="4" s="1"/>
  <c r="AC1060" i="4"/>
  <c r="AC1059" i="4"/>
  <c r="AC1058" i="4" s="1"/>
  <c r="AG182" i="4"/>
  <c r="Z172" i="4"/>
  <c r="Z102" i="4" s="1"/>
  <c r="Z57" i="4"/>
  <c r="Z56" i="4" s="1"/>
  <c r="W56" i="4"/>
  <c r="W45" i="4" s="1"/>
  <c r="AC115" i="4"/>
  <c r="Z238" i="4"/>
  <c r="W1060" i="4"/>
  <c r="W1059" i="4"/>
  <c r="W1058" i="4" s="1"/>
  <c r="Z1064" i="4"/>
  <c r="AB393" i="4"/>
  <c r="U44" i="4"/>
  <c r="AC238" i="4"/>
  <c r="AG395" i="4"/>
  <c r="Z1155" i="4"/>
  <c r="AB102" i="4"/>
  <c r="AG1211" i="4"/>
  <c r="W1210" i="4"/>
  <c r="W1187" i="4" s="1"/>
  <c r="AC393" i="4"/>
  <c r="AF714" i="4"/>
  <c r="AB713" i="4"/>
  <c r="O1444" i="4"/>
  <c r="O1443" i="4" s="1"/>
  <c r="AF787" i="4"/>
  <c r="AC172" i="4"/>
  <c r="O1448" i="4"/>
  <c r="O1447" i="4" s="1"/>
  <c r="AF809" i="4"/>
  <c r="O1424" i="4"/>
  <c r="O1423" i="4" s="1"/>
  <c r="Z510" i="4"/>
  <c r="AG510" i="4" s="1"/>
  <c r="AG511" i="4"/>
  <c r="Z848" i="4"/>
  <c r="Z847" i="4" s="1"/>
  <c r="W846" i="4"/>
  <c r="O1526" i="4"/>
  <c r="O1525" i="4" s="1"/>
  <c r="O1516" i="4" s="1"/>
  <c r="AB1187" i="4"/>
  <c r="AC57" i="4"/>
  <c r="AC56" i="4" s="1"/>
  <c r="AC44" i="4" s="1"/>
  <c r="AB56" i="4"/>
  <c r="AB45" i="4" s="1"/>
  <c r="Z486" i="4"/>
  <c r="AG486" i="4" s="1"/>
  <c r="W393" i="4"/>
  <c r="W237" i="4" s="1"/>
  <c r="AG707" i="4"/>
  <c r="AC707" i="4"/>
  <c r="AC704" i="4" s="1"/>
  <c r="AB704" i="4"/>
  <c r="AG704" i="4" s="1"/>
  <c r="N490" i="5" l="1"/>
  <c r="P487" i="5"/>
  <c r="P469" i="5" s="1"/>
  <c r="AB1134" i="4"/>
  <c r="Z44" i="4"/>
  <c r="AG847" i="4"/>
  <c r="Z1148" i="4"/>
  <c r="Z1134" i="4" s="1"/>
  <c r="AB44" i="4"/>
  <c r="U30" i="4"/>
  <c r="O1496" i="4"/>
  <c r="O1495" i="4" s="1"/>
  <c r="AB1129" i="4"/>
  <c r="AC1129" i="4" s="1"/>
  <c r="W1129" i="4"/>
  <c r="W1069" i="4" s="1"/>
  <c r="Z1187" i="4"/>
  <c r="W1134" i="4"/>
  <c r="AC1069" i="4"/>
  <c r="AC1068" i="4" s="1"/>
  <c r="AC1067" i="4" s="1"/>
  <c r="AC1066" i="4" s="1"/>
  <c r="Z846" i="4"/>
  <c r="Y30" i="4"/>
  <c r="U1069" i="4"/>
  <c r="W101" i="4"/>
  <c r="AC102" i="4"/>
  <c r="Z45" i="4"/>
  <c r="Y1068" i="4"/>
  <c r="Y1067" i="4" s="1"/>
  <c r="Y1066" i="4" s="1"/>
  <c r="Z393" i="4"/>
  <c r="AG393" i="4" s="1"/>
  <c r="Z1128" i="4"/>
  <c r="AC45" i="4"/>
  <c r="O1460" i="4"/>
  <c r="O1459" i="4" s="1"/>
  <c r="AF848" i="4"/>
  <c r="W44" i="4"/>
  <c r="AB237" i="4"/>
  <c r="AC237" i="4"/>
  <c r="Z1060" i="4"/>
  <c r="Z1059" i="4"/>
  <c r="Z1058" i="4" s="1"/>
  <c r="N54" i="5" l="1"/>
  <c r="R54" i="5" s="1"/>
  <c r="Z1129" i="4"/>
  <c r="Z1069" i="4" s="1"/>
  <c r="Z1068" i="4" s="1"/>
  <c r="Z1067" i="4" s="1"/>
  <c r="Z1066" i="4" s="1"/>
  <c r="AF1135" i="4"/>
  <c r="AB1069" i="4"/>
  <c r="AB1068" i="4" s="1"/>
  <c r="AB1067" i="4" s="1"/>
  <c r="O1501" i="4" s="1"/>
  <c r="O1500" i="4" s="1"/>
  <c r="O1499" i="4" s="1"/>
  <c r="W1068" i="4"/>
  <c r="W1067" i="4" s="1"/>
  <c r="W1066" i="4" s="1"/>
  <c r="W30" i="4"/>
  <c r="Y1571" i="4"/>
  <c r="AC101" i="4"/>
  <c r="AC30" i="4" s="1"/>
  <c r="AG1067" i="4"/>
  <c r="AG1068" i="4" s="1"/>
  <c r="U1068" i="4"/>
  <c r="U1067" i="4" s="1"/>
  <c r="U1066" i="4" s="1"/>
  <c r="U1571" i="4" s="1"/>
  <c r="Z237" i="4"/>
  <c r="AF238" i="4"/>
  <c r="AG849" i="4"/>
  <c r="AF849" i="4"/>
  <c r="AF851" i="4" s="1"/>
  <c r="AB101" i="4"/>
  <c r="O1428" i="4"/>
  <c r="O1427" i="4" s="1"/>
  <c r="N1844" i="5" l="1"/>
  <c r="AB1066" i="4"/>
  <c r="W1571" i="4"/>
  <c r="Z101" i="4"/>
  <c r="Z30" i="4" s="1"/>
  <c r="Z1571" i="4" s="1"/>
  <c r="AG237" i="4"/>
  <c r="AF100" i="4"/>
  <c r="O1440" i="4"/>
  <c r="O1439" i="4" s="1"/>
  <c r="O1422" i="4" s="1"/>
  <c r="O1421" i="4" s="1"/>
  <c r="AF102" i="4"/>
  <c r="AB30" i="4"/>
  <c r="AG42" i="4"/>
  <c r="AG30" i="4"/>
  <c r="AF1067" i="4" l="1"/>
  <c r="AI1066" i="4"/>
  <c r="AH101" i="4"/>
  <c r="M172" i="3" l="1"/>
  <c r="M171" i="3" s="1"/>
  <c r="AA1210" i="2"/>
  <c r="U1210" i="2"/>
  <c r="Y1210" i="2" s="1"/>
  <c r="AA1209" i="2"/>
  <c r="U1209" i="2"/>
  <c r="Y1209" i="2" s="1"/>
  <c r="AA1208" i="2"/>
  <c r="U1208" i="2"/>
  <c r="Y1208" i="2" s="1"/>
  <c r="AA1207" i="2"/>
  <c r="U1207" i="2"/>
  <c r="Y1207" i="2" s="1"/>
  <c r="AA1206" i="2"/>
  <c r="U1206" i="2"/>
  <c r="Y1206" i="2" s="1"/>
  <c r="AA1205" i="2"/>
  <c r="U1205" i="2"/>
  <c r="AA1204" i="2"/>
  <c r="U1204" i="2"/>
  <c r="Y1204" i="2" s="1"/>
  <c r="AA1203" i="2"/>
  <c r="U1203" i="2"/>
  <c r="Y1203" i="2" s="1"/>
  <c r="AA1202" i="2"/>
  <c r="U1202" i="2"/>
  <c r="Y1202" i="2" s="1"/>
  <c r="AA1201" i="2"/>
  <c r="U1201" i="2"/>
  <c r="AA1157" i="2"/>
  <c r="X1157" i="2"/>
  <c r="AA1156" i="2"/>
  <c r="T1157" i="2" s="1"/>
  <c r="U1157" i="2" s="1"/>
  <c r="V1156" i="2"/>
  <c r="U1156" i="2"/>
  <c r="AA1155" i="2"/>
  <c r="X1155" i="2"/>
  <c r="AA1154" i="2"/>
  <c r="T1155" i="2" s="1"/>
  <c r="U1155" i="2" s="1"/>
  <c r="V1154" i="2"/>
  <c r="U1154" i="2"/>
  <c r="Y1154" i="2" s="1"/>
  <c r="AA1153" i="2"/>
  <c r="U1153" i="2"/>
  <c r="Y1153" i="2" s="1"/>
  <c r="S1152" i="2"/>
  <c r="S1151" i="2"/>
  <c r="U1151" i="2" s="1"/>
  <c r="S1150" i="2"/>
  <c r="U1150" i="2" s="1"/>
  <c r="S1149" i="2"/>
  <c r="U1149" i="2" s="1"/>
  <c r="AB1149" i="2" s="1"/>
  <c r="AC1149" i="2" s="1"/>
  <c r="S1148" i="2"/>
  <c r="U1118" i="2"/>
  <c r="W1118" i="2" s="1"/>
  <c r="U1111" i="2"/>
  <c r="W1111" i="2" s="1"/>
  <c r="O1111" i="2"/>
  <c r="N1111" i="2"/>
  <c r="AA1110" i="2"/>
  <c r="V1110" i="2"/>
  <c r="U1110" i="2"/>
  <c r="Y1110" i="2" s="1"/>
  <c r="AA1109" i="2"/>
  <c r="U1109" i="2"/>
  <c r="Y1109" i="2" s="1"/>
  <c r="Z1108" i="2"/>
  <c r="U1108" i="2"/>
  <c r="AB1108" i="2" s="1"/>
  <c r="Y1107" i="2"/>
  <c r="Z1107" i="2" s="1"/>
  <c r="AA1106" i="2"/>
  <c r="V1106" i="2"/>
  <c r="O1106" i="2"/>
  <c r="N1106" i="2"/>
  <c r="AA1105" i="2"/>
  <c r="T1106" i="2" s="1"/>
  <c r="U1106" i="2" s="1"/>
  <c r="U1105" i="2"/>
  <c r="Y1105" i="2" s="1"/>
  <c r="O1105" i="2"/>
  <c r="N1105" i="2"/>
  <c r="Y1104" i="2"/>
  <c r="Z1104" i="2" s="1"/>
  <c r="O1104" i="2"/>
  <c r="N1104" i="2"/>
  <c r="AA1103" i="2"/>
  <c r="T1103" i="2"/>
  <c r="U1103" i="2" s="1"/>
  <c r="AA1102" i="2"/>
  <c r="U1102" i="2"/>
  <c r="Y1102" i="2" s="1"/>
  <c r="O1102" i="2"/>
  <c r="N1102" i="2"/>
  <c r="Y1101" i="2"/>
  <c r="Z1101" i="2" s="1"/>
  <c r="O1101" i="2"/>
  <c r="N1101" i="2"/>
  <c r="U1100" i="2"/>
  <c r="AB1100" i="2" s="1"/>
  <c r="AC1100" i="2" s="1"/>
  <c r="U1099" i="2"/>
  <c r="AB1099" i="2" s="1"/>
  <c r="AC1099" i="2" s="1"/>
  <c r="O1099" i="2"/>
  <c r="N1099" i="2"/>
  <c r="AA1098" i="2"/>
  <c r="T1098" i="2"/>
  <c r="U1098" i="2" s="1"/>
  <c r="AA1097" i="2"/>
  <c r="U1097" i="2"/>
  <c r="Y1097" i="2" s="1"/>
  <c r="O1097" i="2"/>
  <c r="N1097" i="2"/>
  <c r="Y1096" i="2"/>
  <c r="Z1096" i="2" s="1"/>
  <c r="O1096" i="2"/>
  <c r="N1096" i="2"/>
  <c r="AA1095" i="2"/>
  <c r="U1095" i="2"/>
  <c r="Y1095" i="2" s="1"/>
  <c r="O1095" i="2"/>
  <c r="N1095" i="2"/>
  <c r="Y1094" i="2"/>
  <c r="Z1094" i="2" s="1"/>
  <c r="O1094" i="2"/>
  <c r="N1094" i="2"/>
  <c r="AA1093" i="2"/>
  <c r="X1093" i="2"/>
  <c r="AA1092" i="2"/>
  <c r="T1093" i="2" s="1"/>
  <c r="U1093" i="2" s="1"/>
  <c r="U1092" i="2"/>
  <c r="Y1092" i="2" s="1"/>
  <c r="Z1091" i="2"/>
  <c r="U1091" i="2"/>
  <c r="AB1091" i="2" s="1"/>
  <c r="AA1090" i="2"/>
  <c r="T1090" i="2"/>
  <c r="U1090" i="2" s="1"/>
  <c r="AA1089" i="2"/>
  <c r="U1089" i="2"/>
  <c r="Y1089" i="2" s="1"/>
  <c r="O1089" i="2"/>
  <c r="N1089" i="2"/>
  <c r="Y1088" i="2"/>
  <c r="Z1088" i="2" s="1"/>
  <c r="O1088" i="2"/>
  <c r="N1088" i="2"/>
  <c r="U1087" i="2"/>
  <c r="Y1087" i="2" s="1"/>
  <c r="AA1086" i="2"/>
  <c r="AA1085" i="2"/>
  <c r="T1086" i="2" s="1"/>
  <c r="U1086" i="2" s="1"/>
  <c r="U1085" i="2"/>
  <c r="Y1085" i="2" s="1"/>
  <c r="O1085" i="2"/>
  <c r="N1085" i="2"/>
  <c r="Y1084" i="2"/>
  <c r="Z1084" i="2" s="1"/>
  <c r="O1084" i="2"/>
  <c r="N1084" i="2"/>
  <c r="U1083" i="2"/>
  <c r="Y1083" i="2" s="1"/>
  <c r="AA1082" i="2"/>
  <c r="AA1081" i="2"/>
  <c r="T1082" i="2" s="1"/>
  <c r="U1082" i="2" s="1"/>
  <c r="U1081" i="2"/>
  <c r="Y1081" i="2" s="1"/>
  <c r="O1081" i="2"/>
  <c r="N1081" i="2"/>
  <c r="Y1080" i="2"/>
  <c r="Z1080" i="2" s="1"/>
  <c r="O1080" i="2"/>
  <c r="N1080" i="2"/>
  <c r="AA1079" i="2"/>
  <c r="X1079" i="2"/>
  <c r="AA1078" i="2"/>
  <c r="T1079" i="2" s="1"/>
  <c r="U1079" i="2" s="1"/>
  <c r="U1078" i="2"/>
  <c r="Y1078" i="2" s="1"/>
  <c r="Z1077" i="2"/>
  <c r="U1077" i="2"/>
  <c r="AB1077" i="2" s="1"/>
  <c r="AA1076" i="2"/>
  <c r="V1076" i="2"/>
  <c r="O1076" i="2"/>
  <c r="N1076" i="2"/>
  <c r="AA1075" i="2"/>
  <c r="T1076" i="2" s="1"/>
  <c r="U1076" i="2" s="1"/>
  <c r="U1075" i="2"/>
  <c r="W1075" i="2" s="1"/>
  <c r="O1075" i="2"/>
  <c r="N1075" i="2"/>
  <c r="Y1074" i="2"/>
  <c r="Z1074" i="2" s="1"/>
  <c r="O1074" i="2"/>
  <c r="N1074" i="2"/>
  <c r="U1071" i="2"/>
  <c r="W1071" i="2" s="1"/>
  <c r="AA1070" i="2"/>
  <c r="U1070" i="2"/>
  <c r="Y1070" i="2" s="1"/>
  <c r="Y1069" i="2"/>
  <c r="Z1069" i="2" s="1"/>
  <c r="AA1067" i="2"/>
  <c r="V1067" i="2"/>
  <c r="AA1066" i="2"/>
  <c r="AA1065" i="2"/>
  <c r="O1065" i="2"/>
  <c r="N1065" i="2"/>
  <c r="AA1064" i="2"/>
  <c r="T1065" i="2" s="1"/>
  <c r="U1064" i="2"/>
  <c r="O1064" i="2"/>
  <c r="N1064" i="2"/>
  <c r="Z1063" i="2"/>
  <c r="U1063" i="2"/>
  <c r="AB1063" i="2" s="1"/>
  <c r="O1063" i="2"/>
  <c r="N1063" i="2"/>
  <c r="U1062" i="2"/>
  <c r="W1062" i="2" s="1"/>
  <c r="Z1061" i="2"/>
  <c r="U1061" i="2"/>
  <c r="AB1061" i="2" s="1"/>
  <c r="Y1060" i="2"/>
  <c r="Z1060" i="2" s="1"/>
  <c r="O1060" i="2"/>
  <c r="N1060" i="2"/>
  <c r="AA1059" i="2"/>
  <c r="U1059" i="2"/>
  <c r="Y1059" i="2" s="1"/>
  <c r="U1058" i="2"/>
  <c r="W1058" i="2" s="1"/>
  <c r="O1058" i="2"/>
  <c r="N1058" i="2"/>
  <c r="AA1057" i="2"/>
  <c r="U1057" i="2"/>
  <c r="Y1057" i="2" s="1"/>
  <c r="U1056" i="2"/>
  <c r="W1056" i="2" s="1"/>
  <c r="O1056" i="2"/>
  <c r="N1056" i="2"/>
  <c r="U1055" i="2"/>
  <c r="W1055" i="2" s="1"/>
  <c r="U1054" i="2"/>
  <c r="W1054" i="2" s="1"/>
  <c r="AA1053" i="2"/>
  <c r="AA1052" i="2"/>
  <c r="T1053" i="2" s="1"/>
  <c r="U1053" i="2" s="1"/>
  <c r="U1052" i="2"/>
  <c r="Y1052" i="2" s="1"/>
  <c r="O1052" i="2"/>
  <c r="N1052" i="2"/>
  <c r="Y1051" i="2"/>
  <c r="Z1051" i="2" s="1"/>
  <c r="O1051" i="2"/>
  <c r="N1051" i="2"/>
  <c r="U1050" i="2"/>
  <c r="AB1050" i="2" s="1"/>
  <c r="AC1050" i="2" s="1"/>
  <c r="U1049" i="2"/>
  <c r="W1049" i="2" s="1"/>
  <c r="AA1048" i="2"/>
  <c r="X1048" i="2"/>
  <c r="T1048" i="2"/>
  <c r="U1048" i="2" s="1"/>
  <c r="U1047" i="2"/>
  <c r="W1047" i="2" s="1"/>
  <c r="U1046" i="2"/>
  <c r="W1046" i="2" s="1"/>
  <c r="AA1045" i="2"/>
  <c r="U1045" i="2"/>
  <c r="Y1045" i="2" s="1"/>
  <c r="Z1044" i="2"/>
  <c r="U1044" i="2"/>
  <c r="AB1044" i="2" s="1"/>
  <c r="Y1043" i="2"/>
  <c r="Z1043" i="2" s="1"/>
  <c r="Y1042" i="2"/>
  <c r="Z1042" i="2" s="1"/>
  <c r="O1042" i="2"/>
  <c r="N1042" i="2"/>
  <c r="AA1041" i="2"/>
  <c r="U1041" i="2"/>
  <c r="Y1041" i="2" s="1"/>
  <c r="AA1040" i="2"/>
  <c r="U1040" i="2"/>
  <c r="AA1039" i="2"/>
  <c r="V1039" i="2"/>
  <c r="T1039" i="2"/>
  <c r="U1039" i="2" s="1"/>
  <c r="Y1039" i="2" s="1"/>
  <c r="U1038" i="2"/>
  <c r="W1038" i="2" s="1"/>
  <c r="AA1037" i="2"/>
  <c r="U1037" i="2"/>
  <c r="Y1037" i="2" s="1"/>
  <c r="U1036" i="2"/>
  <c r="W1036" i="2" s="1"/>
  <c r="O1036" i="2"/>
  <c r="N1036" i="2"/>
  <c r="AA1035" i="2"/>
  <c r="U1035" i="2"/>
  <c r="Y1035" i="2" s="1"/>
  <c r="AA1034" i="2"/>
  <c r="U1034" i="2"/>
  <c r="Y1034" i="2" s="1"/>
  <c r="O1034" i="2"/>
  <c r="N1034" i="2"/>
  <c r="U1033" i="2"/>
  <c r="W1033" i="2" s="1"/>
  <c r="AA1032" i="2"/>
  <c r="U1032" i="2"/>
  <c r="Y1032" i="2" s="1"/>
  <c r="U1031" i="2"/>
  <c r="W1031" i="2" s="1"/>
  <c r="O1031" i="2"/>
  <c r="N1031" i="2"/>
  <c r="AA1030" i="2"/>
  <c r="X1030" i="2"/>
  <c r="AA1029" i="2"/>
  <c r="T1029" i="2"/>
  <c r="U1029" i="2" s="1"/>
  <c r="U1028" i="2"/>
  <c r="AB1028" i="2" s="1"/>
  <c r="AA1027" i="2"/>
  <c r="U1027" i="2"/>
  <c r="Y1027" i="2" s="1"/>
  <c r="Z1026" i="2"/>
  <c r="U1026" i="2"/>
  <c r="AB1026" i="2" s="1"/>
  <c r="O1026" i="2"/>
  <c r="N1026" i="2"/>
  <c r="Y1025" i="2"/>
  <c r="Z1025" i="2" s="1"/>
  <c r="Y1024" i="2"/>
  <c r="Z1024" i="2" s="1"/>
  <c r="O1024" i="2"/>
  <c r="N1024" i="2"/>
  <c r="AA1023" i="2"/>
  <c r="X1023" i="2"/>
  <c r="AA1022" i="2"/>
  <c r="T1023" i="2" s="1"/>
  <c r="U1023" i="2" s="1"/>
  <c r="T1022" i="2"/>
  <c r="U1022" i="2" s="1"/>
  <c r="U1021" i="2"/>
  <c r="AB1021" i="2" s="1"/>
  <c r="AA1020" i="2"/>
  <c r="X1020" i="2"/>
  <c r="AA1019" i="2"/>
  <c r="T1020" i="2" s="1"/>
  <c r="U1020" i="2" s="1"/>
  <c r="U1019" i="2"/>
  <c r="Z1018" i="2"/>
  <c r="U1018" i="2"/>
  <c r="AB1018" i="2" s="1"/>
  <c r="O1018" i="2"/>
  <c r="N1018" i="2"/>
  <c r="AA1017" i="2"/>
  <c r="U1017" i="2"/>
  <c r="Y1017" i="2" s="1"/>
  <c r="U1016" i="2"/>
  <c r="W1016" i="2" s="1"/>
  <c r="AA1015" i="2"/>
  <c r="U1015" i="2"/>
  <c r="Y1015" i="2" s="1"/>
  <c r="O1015" i="2"/>
  <c r="N1015" i="2"/>
  <c r="AA1014" i="2"/>
  <c r="X1014" i="2"/>
  <c r="AA1013" i="2"/>
  <c r="T1013" i="2"/>
  <c r="U1012" i="2"/>
  <c r="Y1012" i="2" s="1"/>
  <c r="O1012" i="2"/>
  <c r="N1012" i="2"/>
  <c r="Y1011" i="2"/>
  <c r="Z1011" i="2" s="1"/>
  <c r="O1011" i="2"/>
  <c r="N1011" i="2"/>
  <c r="P1837" i="3"/>
  <c r="O1837" i="3"/>
  <c r="O1836" i="3" s="1"/>
  <c r="O1835" i="3" s="1"/>
  <c r="N1837" i="3"/>
  <c r="N1836" i="3" s="1"/>
  <c r="N1835" i="3" s="1"/>
  <c r="M1837" i="3"/>
  <c r="M1836" i="3" s="1"/>
  <c r="M1835" i="3" s="1"/>
  <c r="L1837" i="3"/>
  <c r="L1836" i="3" s="1"/>
  <c r="L1835" i="3" s="1"/>
  <c r="K1837" i="3"/>
  <c r="K1836" i="3" s="1"/>
  <c r="K1835" i="3" s="1"/>
  <c r="J1837" i="3"/>
  <c r="J1836" i="3" s="1"/>
  <c r="J1835" i="3" s="1"/>
  <c r="I1837" i="3"/>
  <c r="I1836" i="3" s="1"/>
  <c r="I1835" i="3" s="1"/>
  <c r="P1836" i="3"/>
  <c r="P1835" i="3" s="1"/>
  <c r="P1829" i="3"/>
  <c r="P1828" i="3" s="1"/>
  <c r="P1827" i="3" s="1"/>
  <c r="O1829" i="3"/>
  <c r="O1828" i="3" s="1"/>
  <c r="O1827" i="3" s="1"/>
  <c r="N1829" i="3"/>
  <c r="N1828" i="3" s="1"/>
  <c r="N1827" i="3" s="1"/>
  <c r="M1829" i="3"/>
  <c r="M1828" i="3" s="1"/>
  <c r="M1827" i="3" s="1"/>
  <c r="L1829" i="3"/>
  <c r="L1828" i="3" s="1"/>
  <c r="L1827" i="3" s="1"/>
  <c r="K1829" i="3"/>
  <c r="K1828" i="3" s="1"/>
  <c r="K1827" i="3" s="1"/>
  <c r="J1829" i="3"/>
  <c r="J1828" i="3" s="1"/>
  <c r="J1827" i="3" s="1"/>
  <c r="I1829" i="3"/>
  <c r="I1828" i="3" s="1"/>
  <c r="I1827" i="3" s="1"/>
  <c r="P1824" i="3"/>
  <c r="P1823" i="3" s="1"/>
  <c r="P1822" i="3" s="1"/>
  <c r="O1824" i="3"/>
  <c r="O1823" i="3" s="1"/>
  <c r="O1822" i="3" s="1"/>
  <c r="N1824" i="3"/>
  <c r="N1823" i="3" s="1"/>
  <c r="N1822" i="3" s="1"/>
  <c r="M1824" i="3"/>
  <c r="M1823" i="3" s="1"/>
  <c r="M1822" i="3" s="1"/>
  <c r="L1824" i="3"/>
  <c r="L1823" i="3" s="1"/>
  <c r="L1822" i="3" s="1"/>
  <c r="K1824" i="3"/>
  <c r="K1823" i="3" s="1"/>
  <c r="K1822" i="3" s="1"/>
  <c r="J1824" i="3"/>
  <c r="J1823" i="3" s="1"/>
  <c r="J1822" i="3" s="1"/>
  <c r="I1824" i="3"/>
  <c r="I1823" i="3" s="1"/>
  <c r="I1822" i="3" s="1"/>
  <c r="P1812" i="3"/>
  <c r="P1811" i="3" s="1"/>
  <c r="P1810" i="3" s="1"/>
  <c r="O1812" i="3"/>
  <c r="O1811" i="3" s="1"/>
  <c r="O1810" i="3" s="1"/>
  <c r="N1812" i="3"/>
  <c r="N1811" i="3" s="1"/>
  <c r="N1810" i="3" s="1"/>
  <c r="M1812" i="3"/>
  <c r="M1811" i="3" s="1"/>
  <c r="M1810" i="3" s="1"/>
  <c r="L1812" i="3"/>
  <c r="L1811" i="3" s="1"/>
  <c r="L1810" i="3" s="1"/>
  <c r="K1812" i="3"/>
  <c r="K1811" i="3" s="1"/>
  <c r="K1810" i="3" s="1"/>
  <c r="J1812" i="3"/>
  <c r="J1811" i="3" s="1"/>
  <c r="J1810" i="3" s="1"/>
  <c r="I1812" i="3"/>
  <c r="I1811" i="3" s="1"/>
  <c r="I1810" i="3" s="1"/>
  <c r="P1805" i="3"/>
  <c r="P1804" i="3" s="1"/>
  <c r="P1803" i="3" s="1"/>
  <c r="O1805" i="3"/>
  <c r="O1804" i="3" s="1"/>
  <c r="O1803" i="3" s="1"/>
  <c r="N1805" i="3"/>
  <c r="N1804" i="3" s="1"/>
  <c r="N1803" i="3" s="1"/>
  <c r="M1805" i="3"/>
  <c r="M1804" i="3" s="1"/>
  <c r="M1803" i="3" s="1"/>
  <c r="L1805" i="3"/>
  <c r="L1804" i="3" s="1"/>
  <c r="L1803" i="3" s="1"/>
  <c r="K1805" i="3"/>
  <c r="K1804" i="3" s="1"/>
  <c r="K1803" i="3" s="1"/>
  <c r="J1805" i="3"/>
  <c r="J1804" i="3" s="1"/>
  <c r="J1803" i="3" s="1"/>
  <c r="I1805" i="3"/>
  <c r="I1804" i="3" s="1"/>
  <c r="I1803" i="3" s="1"/>
  <c r="P1801" i="3"/>
  <c r="O1801" i="3"/>
  <c r="N1801" i="3"/>
  <c r="M1801" i="3"/>
  <c r="L1801" i="3"/>
  <c r="K1801" i="3"/>
  <c r="J1801" i="3"/>
  <c r="I1801" i="3"/>
  <c r="P1799" i="3"/>
  <c r="O1799" i="3"/>
  <c r="O1798" i="3" s="1"/>
  <c r="N1799" i="3"/>
  <c r="N1798" i="3" s="1"/>
  <c r="M1799" i="3"/>
  <c r="M1798" i="3" s="1"/>
  <c r="L1799" i="3"/>
  <c r="K1799" i="3"/>
  <c r="K1798" i="3" s="1"/>
  <c r="J1799" i="3"/>
  <c r="J1798" i="3" s="1"/>
  <c r="I1799" i="3"/>
  <c r="I1798" i="3" s="1"/>
  <c r="P1794" i="3"/>
  <c r="P1793" i="3" s="1"/>
  <c r="O1794" i="3"/>
  <c r="O1793" i="3" s="1"/>
  <c r="N1794" i="3"/>
  <c r="N1793" i="3" s="1"/>
  <c r="M1794" i="3"/>
  <c r="M1793" i="3" s="1"/>
  <c r="L1794" i="3"/>
  <c r="L1793" i="3" s="1"/>
  <c r="K1794" i="3"/>
  <c r="K1793" i="3" s="1"/>
  <c r="J1794" i="3"/>
  <c r="J1793" i="3" s="1"/>
  <c r="I1794" i="3"/>
  <c r="I1793" i="3" s="1"/>
  <c r="P1788" i="3"/>
  <c r="O1788" i="3"/>
  <c r="N1788" i="3"/>
  <c r="M1788" i="3"/>
  <c r="L1788" i="3"/>
  <c r="K1788" i="3"/>
  <c r="J1788" i="3"/>
  <c r="I1788" i="3"/>
  <c r="P1780" i="3"/>
  <c r="O1780" i="3"/>
  <c r="N1780" i="3"/>
  <c r="M1780" i="3"/>
  <c r="L1780" i="3"/>
  <c r="K1780" i="3"/>
  <c r="J1780" i="3"/>
  <c r="I1780" i="3"/>
  <c r="P1778" i="3"/>
  <c r="O1778" i="3"/>
  <c r="N1778" i="3"/>
  <c r="M1778" i="3"/>
  <c r="L1778" i="3"/>
  <c r="K1778" i="3"/>
  <c r="J1778" i="3"/>
  <c r="I1778" i="3"/>
  <c r="P1767" i="3"/>
  <c r="O1767" i="3"/>
  <c r="N1767" i="3"/>
  <c r="M1767" i="3"/>
  <c r="L1767" i="3"/>
  <c r="K1767" i="3"/>
  <c r="J1767" i="3"/>
  <c r="I1767" i="3"/>
  <c r="P1757" i="3"/>
  <c r="O1757" i="3"/>
  <c r="N1757" i="3"/>
  <c r="M1757" i="3"/>
  <c r="L1757" i="3"/>
  <c r="K1757" i="3"/>
  <c r="J1757" i="3"/>
  <c r="I1757" i="3"/>
  <c r="P1746" i="3"/>
  <c r="O1746" i="3"/>
  <c r="N1746" i="3"/>
  <c r="M1746" i="3"/>
  <c r="L1746" i="3"/>
  <c r="K1746" i="3"/>
  <c r="J1746" i="3"/>
  <c r="I1746" i="3"/>
  <c r="P1718" i="3"/>
  <c r="O1718" i="3"/>
  <c r="O1717" i="3" s="1"/>
  <c r="N1718" i="3"/>
  <c r="N1717" i="3" s="1"/>
  <c r="M1718" i="3"/>
  <c r="L1718" i="3"/>
  <c r="K1718" i="3"/>
  <c r="J1718" i="3"/>
  <c r="J1717" i="3" s="1"/>
  <c r="I1718" i="3"/>
  <c r="P1698" i="3"/>
  <c r="O1698" i="3"/>
  <c r="N1698" i="3"/>
  <c r="M1698" i="3"/>
  <c r="L1698" i="3"/>
  <c r="K1698" i="3"/>
  <c r="J1698" i="3"/>
  <c r="I1698" i="3"/>
  <c r="P1653" i="3"/>
  <c r="O1653" i="3"/>
  <c r="N1653" i="3"/>
  <c r="M1653" i="3"/>
  <c r="L1653" i="3"/>
  <c r="K1653" i="3"/>
  <c r="J1653" i="3"/>
  <c r="I1653" i="3"/>
  <c r="P1601" i="3"/>
  <c r="O1601" i="3"/>
  <c r="N1601" i="3"/>
  <c r="M1601" i="3"/>
  <c r="L1601" i="3"/>
  <c r="K1601" i="3"/>
  <c r="J1601" i="3"/>
  <c r="I1601" i="3"/>
  <c r="P1577" i="3"/>
  <c r="O1577" i="3"/>
  <c r="N1577" i="3"/>
  <c r="M1577" i="3"/>
  <c r="L1577" i="3"/>
  <c r="K1577" i="3"/>
  <c r="J1577" i="3"/>
  <c r="I1577" i="3"/>
  <c r="P1570" i="3"/>
  <c r="O1570" i="3"/>
  <c r="N1570" i="3"/>
  <c r="M1570" i="3"/>
  <c r="L1570" i="3"/>
  <c r="K1570" i="3"/>
  <c r="J1570" i="3"/>
  <c r="I1570" i="3"/>
  <c r="P1564" i="3"/>
  <c r="O1564" i="3"/>
  <c r="N1564" i="3"/>
  <c r="M1564" i="3"/>
  <c r="L1564" i="3"/>
  <c r="K1564" i="3"/>
  <c r="J1564" i="3"/>
  <c r="I1564" i="3"/>
  <c r="P1559" i="3"/>
  <c r="O1559" i="3"/>
  <c r="N1559" i="3"/>
  <c r="M1559" i="3"/>
  <c r="L1559" i="3"/>
  <c r="K1559" i="3"/>
  <c r="J1559" i="3"/>
  <c r="I1559" i="3"/>
  <c r="P1508" i="3"/>
  <c r="O1508" i="3"/>
  <c r="N1508" i="3"/>
  <c r="N1507" i="3" s="1"/>
  <c r="M1508" i="3"/>
  <c r="L1508" i="3"/>
  <c r="K1508" i="3"/>
  <c r="K1507" i="3" s="1"/>
  <c r="J1508" i="3"/>
  <c r="I1508" i="3"/>
  <c r="P1500" i="3"/>
  <c r="O1500" i="3"/>
  <c r="N1500" i="3"/>
  <c r="M1500" i="3"/>
  <c r="L1500" i="3"/>
  <c r="K1500" i="3"/>
  <c r="J1500" i="3"/>
  <c r="I1500" i="3"/>
  <c r="P1487" i="3"/>
  <c r="O1487" i="3"/>
  <c r="N1487" i="3"/>
  <c r="M1487" i="3"/>
  <c r="L1487" i="3"/>
  <c r="K1487" i="3"/>
  <c r="J1487" i="3"/>
  <c r="I1487" i="3"/>
  <c r="P1460" i="3"/>
  <c r="O1460" i="3"/>
  <c r="N1460" i="3"/>
  <c r="M1460" i="3"/>
  <c r="L1460" i="3"/>
  <c r="K1460" i="3"/>
  <c r="J1460" i="3"/>
  <c r="I1460" i="3"/>
  <c r="P1456" i="3"/>
  <c r="O1456" i="3"/>
  <c r="N1456" i="3"/>
  <c r="M1456" i="3"/>
  <c r="L1456" i="3"/>
  <c r="K1456" i="3"/>
  <c r="J1456" i="3"/>
  <c r="I1456" i="3"/>
  <c r="P1435" i="3"/>
  <c r="O1435" i="3"/>
  <c r="N1435" i="3"/>
  <c r="M1435" i="3"/>
  <c r="L1435" i="3"/>
  <c r="K1435" i="3"/>
  <c r="J1435" i="3"/>
  <c r="I1435" i="3"/>
  <c r="P1428" i="3"/>
  <c r="O1428" i="3"/>
  <c r="N1428" i="3"/>
  <c r="M1428" i="3"/>
  <c r="L1428" i="3"/>
  <c r="K1428" i="3"/>
  <c r="J1428" i="3"/>
  <c r="I1428" i="3"/>
  <c r="P1417" i="3"/>
  <c r="O1417" i="3"/>
  <c r="N1417" i="3"/>
  <c r="M1417" i="3"/>
  <c r="L1417" i="3"/>
  <c r="K1417" i="3"/>
  <c r="J1417" i="3"/>
  <c r="I1417" i="3"/>
  <c r="P1408" i="3"/>
  <c r="O1408" i="3"/>
  <c r="N1408" i="3"/>
  <c r="M1408" i="3"/>
  <c r="L1408" i="3"/>
  <c r="K1408" i="3"/>
  <c r="J1408" i="3"/>
  <c r="I1408" i="3"/>
  <c r="P1400" i="3"/>
  <c r="O1400" i="3"/>
  <c r="N1400" i="3"/>
  <c r="M1400" i="3"/>
  <c r="L1400" i="3"/>
  <c r="K1400" i="3"/>
  <c r="J1400" i="3"/>
  <c r="I1400" i="3"/>
  <c r="P1391" i="3"/>
  <c r="O1391" i="3"/>
  <c r="N1391" i="3"/>
  <c r="M1391" i="3"/>
  <c r="L1391" i="3"/>
  <c r="K1391" i="3"/>
  <c r="J1391" i="3"/>
  <c r="I1391" i="3"/>
  <c r="P1251" i="3"/>
  <c r="O1251" i="3"/>
  <c r="N1251" i="3"/>
  <c r="M1251" i="3"/>
  <c r="L1251" i="3"/>
  <c r="K1251" i="3"/>
  <c r="J1251" i="3"/>
  <c r="I1251" i="3"/>
  <c r="P1216" i="3"/>
  <c r="O1216" i="3"/>
  <c r="N1216" i="3"/>
  <c r="M1216" i="3"/>
  <c r="L1216" i="3"/>
  <c r="K1216" i="3"/>
  <c r="J1216" i="3"/>
  <c r="I1216" i="3"/>
  <c r="P1143" i="3"/>
  <c r="O1143" i="3"/>
  <c r="N1143" i="3"/>
  <c r="M1143" i="3"/>
  <c r="L1143" i="3"/>
  <c r="K1143" i="3"/>
  <c r="J1143" i="3"/>
  <c r="I1143" i="3"/>
  <c r="P1123" i="3"/>
  <c r="O1123" i="3"/>
  <c r="N1123" i="3"/>
  <c r="M1123" i="3"/>
  <c r="L1123" i="3"/>
  <c r="K1123" i="3"/>
  <c r="J1123" i="3"/>
  <c r="I1123" i="3"/>
  <c r="P1112" i="3"/>
  <c r="O1112" i="3"/>
  <c r="N1112" i="3"/>
  <c r="M1112" i="3"/>
  <c r="L1112" i="3"/>
  <c r="K1112" i="3"/>
  <c r="J1112" i="3"/>
  <c r="I1112" i="3"/>
  <c r="P1067" i="3"/>
  <c r="O1067" i="3"/>
  <c r="N1067" i="3"/>
  <c r="M1067" i="3"/>
  <c r="L1067" i="3"/>
  <c r="K1067" i="3"/>
  <c r="J1067" i="3"/>
  <c r="I1067" i="3"/>
  <c r="P1042" i="3"/>
  <c r="O1042" i="3"/>
  <c r="N1042" i="3"/>
  <c r="M1042" i="3"/>
  <c r="L1042" i="3"/>
  <c r="K1042" i="3"/>
  <c r="J1042" i="3"/>
  <c r="I1042" i="3"/>
  <c r="P1007" i="3"/>
  <c r="O1007" i="3"/>
  <c r="N1007" i="3"/>
  <c r="M1007" i="3"/>
  <c r="L1007" i="3"/>
  <c r="K1007" i="3"/>
  <c r="J1007" i="3"/>
  <c r="I1007" i="3"/>
  <c r="I1006" i="3" s="1"/>
  <c r="P970" i="3"/>
  <c r="P969" i="3" s="1"/>
  <c r="O970" i="3"/>
  <c r="O969" i="3" s="1"/>
  <c r="N970" i="3"/>
  <c r="N969" i="3" s="1"/>
  <c r="M970" i="3"/>
  <c r="M969" i="3" s="1"/>
  <c r="L970" i="3"/>
  <c r="L969" i="3" s="1"/>
  <c r="K970" i="3"/>
  <c r="K969" i="3" s="1"/>
  <c r="J970" i="3"/>
  <c r="J969" i="3" s="1"/>
  <c r="I970" i="3"/>
  <c r="I969" i="3" s="1"/>
  <c r="P965" i="3"/>
  <c r="P964" i="3" s="1"/>
  <c r="O965" i="3"/>
  <c r="O964" i="3" s="1"/>
  <c r="N965" i="3"/>
  <c r="N964" i="3" s="1"/>
  <c r="M965" i="3"/>
  <c r="M964" i="3" s="1"/>
  <c r="L965" i="3"/>
  <c r="L964" i="3" s="1"/>
  <c r="K965" i="3"/>
  <c r="K964" i="3" s="1"/>
  <c r="J965" i="3"/>
  <c r="J964" i="3" s="1"/>
  <c r="I965" i="3"/>
  <c r="I964" i="3" s="1"/>
  <c r="P956" i="3"/>
  <c r="P955" i="3" s="1"/>
  <c r="O956" i="3"/>
  <c r="O955" i="3" s="1"/>
  <c r="N956" i="3"/>
  <c r="N955" i="3" s="1"/>
  <c r="M956" i="3"/>
  <c r="M955" i="3" s="1"/>
  <c r="L956" i="3"/>
  <c r="L955" i="3" s="1"/>
  <c r="K956" i="3"/>
  <c r="K955" i="3" s="1"/>
  <c r="J956" i="3"/>
  <c r="J955" i="3" s="1"/>
  <c r="I956" i="3"/>
  <c r="I955" i="3" s="1"/>
  <c r="P953" i="3"/>
  <c r="P952" i="3" s="1"/>
  <c r="O953" i="3"/>
  <c r="O952" i="3" s="1"/>
  <c r="N953" i="3"/>
  <c r="N952" i="3" s="1"/>
  <c r="M953" i="3"/>
  <c r="M952" i="3" s="1"/>
  <c r="L953" i="3"/>
  <c r="L952" i="3" s="1"/>
  <c r="K953" i="3"/>
  <c r="K952" i="3" s="1"/>
  <c r="J953" i="3"/>
  <c r="J952" i="3" s="1"/>
  <c r="I953" i="3"/>
  <c r="I952" i="3" s="1"/>
  <c r="P950" i="3"/>
  <c r="O950" i="3"/>
  <c r="N950" i="3"/>
  <c r="M950" i="3"/>
  <c r="L950" i="3"/>
  <c r="K950" i="3"/>
  <c r="J950" i="3"/>
  <c r="I950" i="3"/>
  <c r="P948" i="3"/>
  <c r="O948" i="3"/>
  <c r="N948" i="3"/>
  <c r="M948" i="3"/>
  <c r="L948" i="3"/>
  <c r="K948" i="3"/>
  <c r="J948" i="3"/>
  <c r="I948" i="3"/>
  <c r="P946" i="3"/>
  <c r="O946" i="3"/>
  <c r="N946" i="3"/>
  <c r="M946" i="3"/>
  <c r="L946" i="3"/>
  <c r="K946" i="3"/>
  <c r="J946" i="3"/>
  <c r="I946" i="3"/>
  <c r="P944" i="3"/>
  <c r="O944" i="3"/>
  <c r="N944" i="3"/>
  <c r="M944" i="3"/>
  <c r="L944" i="3"/>
  <c r="K944" i="3"/>
  <c r="J944" i="3"/>
  <c r="I944" i="3"/>
  <c r="P942" i="3"/>
  <c r="O942" i="3"/>
  <c r="N942" i="3"/>
  <c r="M942" i="3"/>
  <c r="L942" i="3"/>
  <c r="K942" i="3"/>
  <c r="J942" i="3"/>
  <c r="I942" i="3"/>
  <c r="P940" i="3"/>
  <c r="O940" i="3"/>
  <c r="N940" i="3"/>
  <c r="M940" i="3"/>
  <c r="L940" i="3"/>
  <c r="K940" i="3"/>
  <c r="J940" i="3"/>
  <c r="I940" i="3"/>
  <c r="P938" i="3"/>
  <c r="O938" i="3"/>
  <c r="N938" i="3"/>
  <c r="M938" i="3"/>
  <c r="L938" i="3"/>
  <c r="K938" i="3"/>
  <c r="J938" i="3"/>
  <c r="I938" i="3"/>
  <c r="P936" i="3"/>
  <c r="O936" i="3"/>
  <c r="N936" i="3"/>
  <c r="M936" i="3"/>
  <c r="L936" i="3"/>
  <c r="K936" i="3"/>
  <c r="J936" i="3"/>
  <c r="I936" i="3"/>
  <c r="P934" i="3"/>
  <c r="O934" i="3"/>
  <c r="N934" i="3"/>
  <c r="M934" i="3"/>
  <c r="L934" i="3"/>
  <c r="K934" i="3"/>
  <c r="J934" i="3"/>
  <c r="I934" i="3"/>
  <c r="P932" i="3"/>
  <c r="O932" i="3"/>
  <c r="N932" i="3"/>
  <c r="M932" i="3"/>
  <c r="L932" i="3"/>
  <c r="K932" i="3"/>
  <c r="J932" i="3"/>
  <c r="I932" i="3"/>
  <c r="P929" i="3"/>
  <c r="O929" i="3"/>
  <c r="N929" i="3"/>
  <c r="M929" i="3"/>
  <c r="L929" i="3"/>
  <c r="K929" i="3"/>
  <c r="J929" i="3"/>
  <c r="I929" i="3"/>
  <c r="P924" i="3"/>
  <c r="O924" i="3"/>
  <c r="N924" i="3"/>
  <c r="M924" i="3"/>
  <c r="L924" i="3"/>
  <c r="K924" i="3"/>
  <c r="J924" i="3"/>
  <c r="I924" i="3"/>
  <c r="P919" i="3"/>
  <c r="P918" i="3" s="1"/>
  <c r="O919" i="3"/>
  <c r="N919" i="3"/>
  <c r="M919" i="3"/>
  <c r="M918" i="3" s="1"/>
  <c r="L919" i="3"/>
  <c r="L918" i="3" s="1"/>
  <c r="K919" i="3"/>
  <c r="K918" i="3" s="1"/>
  <c r="J919" i="3"/>
  <c r="I919" i="3"/>
  <c r="I918" i="3" s="1"/>
  <c r="P915" i="3"/>
  <c r="O915" i="3"/>
  <c r="N915" i="3"/>
  <c r="M915" i="3"/>
  <c r="L915" i="3"/>
  <c r="K915" i="3"/>
  <c r="J915" i="3"/>
  <c r="I915" i="3"/>
  <c r="P910" i="3"/>
  <c r="O910" i="3"/>
  <c r="N910" i="3"/>
  <c r="M910" i="3"/>
  <c r="L910" i="3"/>
  <c r="K910" i="3"/>
  <c r="J910" i="3"/>
  <c r="I910" i="3"/>
  <c r="P905" i="3"/>
  <c r="P904" i="3" s="1"/>
  <c r="O905" i="3"/>
  <c r="O904" i="3" s="1"/>
  <c r="N905" i="3"/>
  <c r="N904" i="3" s="1"/>
  <c r="M905" i="3"/>
  <c r="M904" i="3" s="1"/>
  <c r="L905" i="3"/>
  <c r="L904" i="3" s="1"/>
  <c r="K905" i="3"/>
  <c r="K904" i="3" s="1"/>
  <c r="J905" i="3"/>
  <c r="J904" i="3" s="1"/>
  <c r="I905" i="3"/>
  <c r="I904" i="3" s="1"/>
  <c r="P901" i="3"/>
  <c r="O901" i="3"/>
  <c r="N901" i="3"/>
  <c r="M901" i="3"/>
  <c r="L901" i="3"/>
  <c r="K901" i="3"/>
  <c r="J901" i="3"/>
  <c r="I901" i="3"/>
  <c r="P898" i="3"/>
  <c r="O898" i="3"/>
  <c r="N898" i="3"/>
  <c r="M898" i="3"/>
  <c r="L898" i="3"/>
  <c r="K898" i="3"/>
  <c r="J898" i="3"/>
  <c r="I898" i="3"/>
  <c r="P895" i="3"/>
  <c r="O895" i="3"/>
  <c r="N895" i="3"/>
  <c r="M895" i="3"/>
  <c r="L895" i="3"/>
  <c r="K895" i="3"/>
  <c r="J895" i="3"/>
  <c r="I895" i="3"/>
  <c r="P892" i="3"/>
  <c r="O892" i="3"/>
  <c r="N892" i="3"/>
  <c r="M892" i="3"/>
  <c r="L892" i="3"/>
  <c r="K892" i="3"/>
  <c r="J892" i="3"/>
  <c r="I892" i="3"/>
  <c r="P887" i="3"/>
  <c r="O887" i="3"/>
  <c r="N887" i="3"/>
  <c r="M887" i="3"/>
  <c r="L887" i="3"/>
  <c r="K887" i="3"/>
  <c r="J887" i="3"/>
  <c r="I887" i="3"/>
  <c r="P883" i="3"/>
  <c r="O883" i="3"/>
  <c r="N883" i="3"/>
  <c r="M883" i="3"/>
  <c r="L883" i="3"/>
  <c r="K883" i="3"/>
  <c r="J883" i="3"/>
  <c r="I883" i="3"/>
  <c r="P870" i="3"/>
  <c r="O870" i="3"/>
  <c r="O869" i="3" s="1"/>
  <c r="N870" i="3"/>
  <c r="N869" i="3" s="1"/>
  <c r="M870" i="3"/>
  <c r="L870" i="3"/>
  <c r="K870" i="3"/>
  <c r="K869" i="3" s="1"/>
  <c r="J870" i="3"/>
  <c r="J869" i="3" s="1"/>
  <c r="I870" i="3"/>
  <c r="P861" i="3"/>
  <c r="O861" i="3"/>
  <c r="N861" i="3"/>
  <c r="M861" i="3"/>
  <c r="L861" i="3"/>
  <c r="K861" i="3"/>
  <c r="J861" i="3"/>
  <c r="I861" i="3"/>
  <c r="P855" i="3"/>
  <c r="O855" i="3"/>
  <c r="N855" i="3"/>
  <c r="M855" i="3"/>
  <c r="L855" i="3"/>
  <c r="K855" i="3"/>
  <c r="J855" i="3"/>
  <c r="I855" i="3"/>
  <c r="P851" i="3"/>
  <c r="O851" i="3"/>
  <c r="N851" i="3"/>
  <c r="M851" i="3"/>
  <c r="L851" i="3"/>
  <c r="K851" i="3"/>
  <c r="J851" i="3"/>
  <c r="I851" i="3"/>
  <c r="P845" i="3"/>
  <c r="O845" i="3"/>
  <c r="N845" i="3"/>
  <c r="M845" i="3"/>
  <c r="L845" i="3"/>
  <c r="K845" i="3"/>
  <c r="J845" i="3"/>
  <c r="I845" i="3"/>
  <c r="I844" i="3" s="1"/>
  <c r="P842" i="3"/>
  <c r="O842" i="3"/>
  <c r="N842" i="3"/>
  <c r="M842" i="3"/>
  <c r="L842" i="3"/>
  <c r="K842" i="3"/>
  <c r="J842" i="3"/>
  <c r="I842" i="3"/>
  <c r="P837" i="3"/>
  <c r="O837" i="3"/>
  <c r="N837" i="3"/>
  <c r="M837" i="3"/>
  <c r="L837" i="3"/>
  <c r="K837" i="3"/>
  <c r="J837" i="3"/>
  <c r="I837" i="3"/>
  <c r="P832" i="3"/>
  <c r="O832" i="3"/>
  <c r="N832" i="3"/>
  <c r="M832" i="3"/>
  <c r="L832" i="3"/>
  <c r="K832" i="3"/>
  <c r="J832" i="3"/>
  <c r="I832" i="3"/>
  <c r="P829" i="3"/>
  <c r="O829" i="3"/>
  <c r="N829" i="3"/>
  <c r="M829" i="3"/>
  <c r="L829" i="3"/>
  <c r="K829" i="3"/>
  <c r="J829" i="3"/>
  <c r="I829" i="3"/>
  <c r="P824" i="3"/>
  <c r="O824" i="3"/>
  <c r="N824" i="3"/>
  <c r="M824" i="3"/>
  <c r="L824" i="3"/>
  <c r="K824" i="3"/>
  <c r="J824" i="3"/>
  <c r="I824" i="3"/>
  <c r="P811" i="3"/>
  <c r="O811" i="3"/>
  <c r="N811" i="3"/>
  <c r="M811" i="3"/>
  <c r="L811" i="3"/>
  <c r="K811" i="3"/>
  <c r="J811" i="3"/>
  <c r="I811" i="3"/>
  <c r="P806" i="3"/>
  <c r="O806" i="3"/>
  <c r="N806" i="3"/>
  <c r="M806" i="3"/>
  <c r="L806" i="3"/>
  <c r="K806" i="3"/>
  <c r="J806" i="3"/>
  <c r="I806" i="3"/>
  <c r="P801" i="3"/>
  <c r="O801" i="3"/>
  <c r="N801" i="3"/>
  <c r="M801" i="3"/>
  <c r="L801" i="3"/>
  <c r="K801" i="3"/>
  <c r="J801" i="3"/>
  <c r="I801" i="3"/>
  <c r="P796" i="3"/>
  <c r="O796" i="3"/>
  <c r="N796" i="3"/>
  <c r="M796" i="3"/>
  <c r="L796" i="3"/>
  <c r="K796" i="3"/>
  <c r="J796" i="3"/>
  <c r="I796" i="3"/>
  <c r="P790" i="3"/>
  <c r="O790" i="3"/>
  <c r="N790" i="3"/>
  <c r="M790" i="3"/>
  <c r="L790" i="3"/>
  <c r="K790" i="3"/>
  <c r="K789" i="3" s="1"/>
  <c r="J790" i="3"/>
  <c r="I790" i="3"/>
  <c r="I789" i="3" s="1"/>
  <c r="P782" i="3"/>
  <c r="O782" i="3"/>
  <c r="N782" i="3"/>
  <c r="M782" i="3"/>
  <c r="L782" i="3"/>
  <c r="K782" i="3"/>
  <c r="J782" i="3"/>
  <c r="I782" i="3"/>
  <c r="P775" i="3"/>
  <c r="O775" i="3"/>
  <c r="N775" i="3"/>
  <c r="M775" i="3"/>
  <c r="L775" i="3"/>
  <c r="K775" i="3"/>
  <c r="J775" i="3"/>
  <c r="I775" i="3"/>
  <c r="P766" i="3"/>
  <c r="O766" i="3"/>
  <c r="N766" i="3"/>
  <c r="M766" i="3"/>
  <c r="L766" i="3"/>
  <c r="K766" i="3"/>
  <c r="J766" i="3"/>
  <c r="I766" i="3"/>
  <c r="P758" i="3"/>
  <c r="O758" i="3"/>
  <c r="N758" i="3"/>
  <c r="M758" i="3"/>
  <c r="L758" i="3"/>
  <c r="K758" i="3"/>
  <c r="J758" i="3"/>
  <c r="I758" i="3"/>
  <c r="P749" i="3"/>
  <c r="O749" i="3"/>
  <c r="N749" i="3"/>
  <c r="M749" i="3"/>
  <c r="L749" i="3"/>
  <c r="K749" i="3"/>
  <c r="J749" i="3"/>
  <c r="I749" i="3"/>
  <c r="P740" i="3"/>
  <c r="O740" i="3"/>
  <c r="N740" i="3"/>
  <c r="M740" i="3"/>
  <c r="L740" i="3"/>
  <c r="K740" i="3"/>
  <c r="J740" i="3"/>
  <c r="I740" i="3"/>
  <c r="P731" i="3"/>
  <c r="O731" i="3"/>
  <c r="N731" i="3"/>
  <c r="N730" i="3" s="1"/>
  <c r="M731" i="3"/>
  <c r="L731" i="3"/>
  <c r="K731" i="3"/>
  <c r="K730" i="3" s="1"/>
  <c r="J731" i="3"/>
  <c r="I731" i="3"/>
  <c r="P716" i="3"/>
  <c r="O716" i="3"/>
  <c r="N716" i="3"/>
  <c r="M716" i="3"/>
  <c r="L716" i="3"/>
  <c r="K716" i="3"/>
  <c r="J716" i="3"/>
  <c r="I716" i="3"/>
  <c r="P705" i="3"/>
  <c r="P704" i="3" s="1"/>
  <c r="O705" i="3"/>
  <c r="O704" i="3" s="1"/>
  <c r="N705" i="3"/>
  <c r="N704" i="3" s="1"/>
  <c r="M705" i="3"/>
  <c r="M704" i="3" s="1"/>
  <c r="L705" i="3"/>
  <c r="K705" i="3"/>
  <c r="K704" i="3" s="1"/>
  <c r="J705" i="3"/>
  <c r="J704" i="3" s="1"/>
  <c r="I705" i="3"/>
  <c r="P696" i="3"/>
  <c r="P695" i="3" s="1"/>
  <c r="O696" i="3"/>
  <c r="O695" i="3" s="1"/>
  <c r="N696" i="3"/>
  <c r="N695" i="3" s="1"/>
  <c r="M696" i="3"/>
  <c r="M695" i="3" s="1"/>
  <c r="L696" i="3"/>
  <c r="L695" i="3" s="1"/>
  <c r="K696" i="3"/>
  <c r="K695" i="3" s="1"/>
  <c r="J696" i="3"/>
  <c r="J695" i="3" s="1"/>
  <c r="I696" i="3"/>
  <c r="I695" i="3" s="1"/>
  <c r="P689" i="3"/>
  <c r="P688" i="3" s="1"/>
  <c r="O689" i="3"/>
  <c r="O688" i="3" s="1"/>
  <c r="N689" i="3"/>
  <c r="N688" i="3" s="1"/>
  <c r="M689" i="3"/>
  <c r="M688" i="3" s="1"/>
  <c r="L689" i="3"/>
  <c r="L688" i="3" s="1"/>
  <c r="K689" i="3"/>
  <c r="K688" i="3" s="1"/>
  <c r="J689" i="3"/>
  <c r="J688" i="3" s="1"/>
  <c r="I689" i="3"/>
  <c r="I688" i="3" s="1"/>
  <c r="P683" i="3"/>
  <c r="P682" i="3" s="1"/>
  <c r="O683" i="3"/>
  <c r="O682" i="3" s="1"/>
  <c r="N683" i="3"/>
  <c r="N682" i="3" s="1"/>
  <c r="M683" i="3"/>
  <c r="M682" i="3" s="1"/>
  <c r="L683" i="3"/>
  <c r="L682" i="3" s="1"/>
  <c r="K683" i="3"/>
  <c r="K682" i="3" s="1"/>
  <c r="J683" i="3"/>
  <c r="J682" i="3" s="1"/>
  <c r="I683" i="3"/>
  <c r="I682" i="3" s="1"/>
  <c r="P668" i="3"/>
  <c r="O668" i="3"/>
  <c r="N668" i="3"/>
  <c r="M668" i="3"/>
  <c r="L668" i="3"/>
  <c r="L629" i="3" s="1"/>
  <c r="K668" i="3"/>
  <c r="K629" i="3" s="1"/>
  <c r="J668" i="3"/>
  <c r="I668" i="3"/>
  <c r="P630" i="3"/>
  <c r="O630" i="3"/>
  <c r="N630" i="3"/>
  <c r="M630" i="3"/>
  <c r="J630" i="3"/>
  <c r="I630" i="3"/>
  <c r="P620" i="3"/>
  <c r="P619" i="3" s="1"/>
  <c r="O620" i="3"/>
  <c r="O619" i="3" s="1"/>
  <c r="N620" i="3"/>
  <c r="N619" i="3" s="1"/>
  <c r="M620" i="3"/>
  <c r="M619" i="3" s="1"/>
  <c r="L620" i="3"/>
  <c r="L619" i="3" s="1"/>
  <c r="K620" i="3"/>
  <c r="K619" i="3" s="1"/>
  <c r="J620" i="3"/>
  <c r="J619" i="3" s="1"/>
  <c r="I620" i="3"/>
  <c r="I619" i="3" s="1"/>
  <c r="P616" i="3"/>
  <c r="O616" i="3"/>
  <c r="N616" i="3"/>
  <c r="M616" i="3"/>
  <c r="L616" i="3"/>
  <c r="K616" i="3"/>
  <c r="J616" i="3"/>
  <c r="I616" i="3"/>
  <c r="P608" i="3"/>
  <c r="O608" i="3"/>
  <c r="N608" i="3"/>
  <c r="M608" i="3"/>
  <c r="L608" i="3"/>
  <c r="K608" i="3"/>
  <c r="J608" i="3"/>
  <c r="I608" i="3"/>
  <c r="P604" i="3"/>
  <c r="P603" i="3" s="1"/>
  <c r="O604" i="3"/>
  <c r="N604" i="3"/>
  <c r="M604" i="3"/>
  <c r="L604" i="3"/>
  <c r="L603" i="3" s="1"/>
  <c r="K604" i="3"/>
  <c r="K603" i="3" s="1"/>
  <c r="J604" i="3"/>
  <c r="J603" i="3" s="1"/>
  <c r="I604" i="3"/>
  <c r="I603" i="3" s="1"/>
  <c r="P576" i="3"/>
  <c r="P575" i="3" s="1"/>
  <c r="O576" i="3"/>
  <c r="O575" i="3" s="1"/>
  <c r="N576" i="3"/>
  <c r="N575" i="3" s="1"/>
  <c r="M576" i="3"/>
  <c r="M575" i="3" s="1"/>
  <c r="L576" i="3"/>
  <c r="L575" i="3" s="1"/>
  <c r="K576" i="3"/>
  <c r="K575" i="3" s="1"/>
  <c r="J576" i="3"/>
  <c r="J575" i="3" s="1"/>
  <c r="I576" i="3"/>
  <c r="I575" i="3" s="1"/>
  <c r="P571" i="3"/>
  <c r="P570" i="3" s="1"/>
  <c r="O571" i="3"/>
  <c r="O570" i="3" s="1"/>
  <c r="N571" i="3"/>
  <c r="N570" i="3" s="1"/>
  <c r="M571" i="3"/>
  <c r="M570" i="3" s="1"/>
  <c r="L571" i="3"/>
  <c r="L570" i="3" s="1"/>
  <c r="K571" i="3"/>
  <c r="K570" i="3" s="1"/>
  <c r="J571" i="3"/>
  <c r="J570" i="3" s="1"/>
  <c r="I571" i="3"/>
  <c r="I570" i="3" s="1"/>
  <c r="P562" i="3"/>
  <c r="O562" i="3"/>
  <c r="N562" i="3"/>
  <c r="M562" i="3"/>
  <c r="L562" i="3"/>
  <c r="K562" i="3"/>
  <c r="J562" i="3"/>
  <c r="I562" i="3"/>
  <c r="P557" i="3"/>
  <c r="O557" i="3"/>
  <c r="N557" i="3"/>
  <c r="M557" i="3"/>
  <c r="L557" i="3"/>
  <c r="K557" i="3"/>
  <c r="J557" i="3"/>
  <c r="I557" i="3"/>
  <c r="P550" i="3"/>
  <c r="O550" i="3"/>
  <c r="N550" i="3"/>
  <c r="M550" i="3"/>
  <c r="L550" i="3"/>
  <c r="K550" i="3"/>
  <c r="J550" i="3"/>
  <c r="I550" i="3"/>
  <c r="P546" i="3"/>
  <c r="P545" i="3" s="1"/>
  <c r="O546" i="3"/>
  <c r="N546" i="3"/>
  <c r="M546" i="3"/>
  <c r="L546" i="3"/>
  <c r="K546" i="3"/>
  <c r="J546" i="3"/>
  <c r="I546" i="3"/>
  <c r="I545" i="3" s="1"/>
  <c r="P541" i="3"/>
  <c r="O541" i="3"/>
  <c r="N541" i="3"/>
  <c r="M541" i="3"/>
  <c r="L541" i="3"/>
  <c r="K541" i="3"/>
  <c r="J541" i="3"/>
  <c r="I541" i="3"/>
  <c r="P537" i="3"/>
  <c r="O537" i="3"/>
  <c r="N537" i="3"/>
  <c r="N536" i="3" s="1"/>
  <c r="M537" i="3"/>
  <c r="M536" i="3" s="1"/>
  <c r="L537" i="3"/>
  <c r="L536" i="3" s="1"/>
  <c r="K537" i="3"/>
  <c r="J537" i="3"/>
  <c r="I537" i="3"/>
  <c r="I536" i="3" s="1"/>
  <c r="P530" i="3"/>
  <c r="O530" i="3"/>
  <c r="N530" i="3"/>
  <c r="M530" i="3"/>
  <c r="L530" i="3"/>
  <c r="K530" i="3"/>
  <c r="J530" i="3"/>
  <c r="I530" i="3"/>
  <c r="P527" i="3"/>
  <c r="O527" i="3"/>
  <c r="N527" i="3"/>
  <c r="M527" i="3"/>
  <c r="L527" i="3"/>
  <c r="K527" i="3"/>
  <c r="J527" i="3"/>
  <c r="I527" i="3"/>
  <c r="P523" i="3"/>
  <c r="P522" i="3" s="1"/>
  <c r="O523" i="3"/>
  <c r="N523" i="3"/>
  <c r="M523" i="3"/>
  <c r="M522" i="3" s="1"/>
  <c r="L523" i="3"/>
  <c r="L522" i="3" s="1"/>
  <c r="K523" i="3"/>
  <c r="J523" i="3"/>
  <c r="I523" i="3"/>
  <c r="P516" i="3"/>
  <c r="O516" i="3"/>
  <c r="N516" i="3"/>
  <c r="M516" i="3"/>
  <c r="L516" i="3"/>
  <c r="K516" i="3"/>
  <c r="J516" i="3"/>
  <c r="I516" i="3"/>
  <c r="P512" i="3"/>
  <c r="O512" i="3"/>
  <c r="O511" i="3" s="1"/>
  <c r="N512" i="3"/>
  <c r="M512" i="3"/>
  <c r="M511" i="3" s="1"/>
  <c r="L512" i="3"/>
  <c r="K512" i="3"/>
  <c r="K511" i="3" s="1"/>
  <c r="J512" i="3"/>
  <c r="I512" i="3"/>
  <c r="P506" i="3"/>
  <c r="O506" i="3"/>
  <c r="N506" i="3"/>
  <c r="M506" i="3"/>
  <c r="L506" i="3"/>
  <c r="K506" i="3"/>
  <c r="J506" i="3"/>
  <c r="I506" i="3"/>
  <c r="P502" i="3"/>
  <c r="P501" i="3" s="1"/>
  <c r="O502" i="3"/>
  <c r="O501" i="3" s="1"/>
  <c r="N502" i="3"/>
  <c r="M502" i="3"/>
  <c r="L502" i="3"/>
  <c r="L501" i="3" s="1"/>
  <c r="K502" i="3"/>
  <c r="K501" i="3" s="1"/>
  <c r="J502" i="3"/>
  <c r="J501" i="3" s="1"/>
  <c r="I502" i="3"/>
  <c r="P495" i="3"/>
  <c r="O495" i="3"/>
  <c r="N495" i="3"/>
  <c r="M495" i="3"/>
  <c r="L495" i="3"/>
  <c r="K495" i="3"/>
  <c r="J495" i="3"/>
  <c r="I495" i="3"/>
  <c r="P491" i="3"/>
  <c r="P490" i="3" s="1"/>
  <c r="O491" i="3"/>
  <c r="O490" i="3" s="1"/>
  <c r="N491" i="3"/>
  <c r="M491" i="3"/>
  <c r="L491" i="3"/>
  <c r="K491" i="3"/>
  <c r="J491" i="3"/>
  <c r="I491" i="3"/>
  <c r="P487" i="3"/>
  <c r="O487" i="3"/>
  <c r="N487" i="3"/>
  <c r="M487" i="3"/>
  <c r="L487" i="3"/>
  <c r="K487" i="3"/>
  <c r="J487" i="3"/>
  <c r="I487" i="3"/>
  <c r="P481" i="3"/>
  <c r="O481" i="3"/>
  <c r="N481" i="3"/>
  <c r="M481" i="3"/>
  <c r="L481" i="3"/>
  <c r="K481" i="3"/>
  <c r="J481" i="3"/>
  <c r="I481" i="3"/>
  <c r="P470" i="3"/>
  <c r="P469" i="3" s="1"/>
  <c r="O470" i="3"/>
  <c r="N470" i="3"/>
  <c r="M470" i="3"/>
  <c r="L470" i="3"/>
  <c r="L469" i="3" s="1"/>
  <c r="K470" i="3"/>
  <c r="K469" i="3" s="1"/>
  <c r="J470" i="3"/>
  <c r="J469" i="3" s="1"/>
  <c r="I470" i="3"/>
  <c r="P457" i="3"/>
  <c r="O457" i="3"/>
  <c r="N457" i="3"/>
  <c r="M457" i="3"/>
  <c r="L457" i="3"/>
  <c r="K457" i="3"/>
  <c r="J457" i="3"/>
  <c r="I457" i="3"/>
  <c r="P440" i="3"/>
  <c r="O440" i="3"/>
  <c r="N440" i="3"/>
  <c r="M440" i="3"/>
  <c r="L440" i="3"/>
  <c r="K440" i="3"/>
  <c r="J440" i="3"/>
  <c r="I440" i="3"/>
  <c r="P433" i="3"/>
  <c r="O433" i="3"/>
  <c r="N433" i="3"/>
  <c r="M433" i="3"/>
  <c r="L433" i="3"/>
  <c r="K433" i="3"/>
  <c r="J433" i="3"/>
  <c r="I433" i="3"/>
  <c r="P428" i="3"/>
  <c r="O428" i="3"/>
  <c r="N428" i="3"/>
  <c r="M428" i="3"/>
  <c r="L428" i="3"/>
  <c r="K428" i="3"/>
  <c r="J428" i="3"/>
  <c r="I428" i="3"/>
  <c r="P421" i="3"/>
  <c r="O421" i="3"/>
  <c r="N421" i="3"/>
  <c r="M421" i="3"/>
  <c r="L421" i="3"/>
  <c r="K421" i="3"/>
  <c r="J421" i="3"/>
  <c r="I421" i="3"/>
  <c r="P410" i="3"/>
  <c r="O410" i="3"/>
  <c r="N410" i="3"/>
  <c r="M410" i="3"/>
  <c r="L410" i="3"/>
  <c r="K410" i="3"/>
  <c r="J410" i="3"/>
  <c r="I410" i="3"/>
  <c r="P393" i="3"/>
  <c r="O393" i="3"/>
  <c r="N393" i="3"/>
  <c r="M393" i="3"/>
  <c r="L393" i="3"/>
  <c r="K393" i="3"/>
  <c r="J393" i="3"/>
  <c r="I393" i="3"/>
  <c r="P386" i="3"/>
  <c r="O386" i="3"/>
  <c r="N386" i="3"/>
  <c r="M386" i="3"/>
  <c r="L386" i="3"/>
  <c r="K386" i="3"/>
  <c r="J386" i="3"/>
  <c r="I386" i="3"/>
  <c r="P321" i="3"/>
  <c r="O321" i="3"/>
  <c r="N321" i="3"/>
  <c r="M321" i="3"/>
  <c r="L321" i="3"/>
  <c r="K321" i="3"/>
  <c r="J321" i="3"/>
  <c r="I321" i="3"/>
  <c r="I320" i="3" s="1"/>
  <c r="P314" i="3"/>
  <c r="O314" i="3"/>
  <c r="N314" i="3"/>
  <c r="M314" i="3"/>
  <c r="L314" i="3"/>
  <c r="K314" i="3"/>
  <c r="J314" i="3"/>
  <c r="I314" i="3"/>
  <c r="P284" i="3"/>
  <c r="P283" i="3" s="1"/>
  <c r="O284" i="3"/>
  <c r="O283" i="3" s="1"/>
  <c r="N284" i="3"/>
  <c r="M284" i="3"/>
  <c r="L284" i="3"/>
  <c r="L283" i="3" s="1"/>
  <c r="K284" i="3"/>
  <c r="K283" i="3" s="1"/>
  <c r="J284" i="3"/>
  <c r="J283" i="3" s="1"/>
  <c r="I284" i="3"/>
  <c r="I283" i="3" s="1"/>
  <c r="P275" i="3"/>
  <c r="O275" i="3"/>
  <c r="N275" i="3"/>
  <c r="M275" i="3"/>
  <c r="L275" i="3"/>
  <c r="K275" i="3"/>
  <c r="J275" i="3"/>
  <c r="I275" i="3"/>
  <c r="P226" i="3"/>
  <c r="O226" i="3"/>
  <c r="N226" i="3"/>
  <c r="M226" i="3"/>
  <c r="L226" i="3"/>
  <c r="K226" i="3"/>
  <c r="J226" i="3"/>
  <c r="I226" i="3"/>
  <c r="P214" i="3"/>
  <c r="O214" i="3"/>
  <c r="N214" i="3"/>
  <c r="M214" i="3"/>
  <c r="L214" i="3"/>
  <c r="K214" i="3"/>
  <c r="J214" i="3"/>
  <c r="I214" i="3"/>
  <c r="P207" i="3"/>
  <c r="O207" i="3"/>
  <c r="N207" i="3"/>
  <c r="M207" i="3"/>
  <c r="M206" i="3" s="1"/>
  <c r="L207" i="3"/>
  <c r="K207" i="3"/>
  <c r="J207" i="3"/>
  <c r="I207" i="3"/>
  <c r="P198" i="3"/>
  <c r="O198" i="3"/>
  <c r="N198" i="3"/>
  <c r="M198" i="3"/>
  <c r="L198" i="3"/>
  <c r="K198" i="3"/>
  <c r="J198" i="3"/>
  <c r="I198" i="3"/>
  <c r="P190" i="3"/>
  <c r="O190" i="3"/>
  <c r="N190" i="3"/>
  <c r="M190" i="3"/>
  <c r="L190" i="3"/>
  <c r="K190" i="3"/>
  <c r="J190" i="3"/>
  <c r="I190" i="3"/>
  <c r="P184" i="3"/>
  <c r="P183" i="3" s="1"/>
  <c r="O184" i="3"/>
  <c r="N184" i="3"/>
  <c r="M184" i="3"/>
  <c r="L184" i="3"/>
  <c r="K184" i="3"/>
  <c r="J184" i="3"/>
  <c r="I184" i="3"/>
  <c r="P172" i="3"/>
  <c r="P171" i="3" s="1"/>
  <c r="O172" i="3"/>
  <c r="O171" i="3" s="1"/>
  <c r="N172" i="3"/>
  <c r="N171" i="3" s="1"/>
  <c r="L172" i="3"/>
  <c r="L171" i="3" s="1"/>
  <c r="K172" i="3"/>
  <c r="K171" i="3" s="1"/>
  <c r="J172" i="3"/>
  <c r="J171" i="3" s="1"/>
  <c r="I172" i="3"/>
  <c r="I171" i="3" s="1"/>
  <c r="P149" i="3"/>
  <c r="O149" i="3"/>
  <c r="N149" i="3"/>
  <c r="M149" i="3"/>
  <c r="L149" i="3"/>
  <c r="K149" i="3"/>
  <c r="J149" i="3"/>
  <c r="I149" i="3"/>
  <c r="P135" i="3"/>
  <c r="O135" i="3"/>
  <c r="N135" i="3"/>
  <c r="M135" i="3"/>
  <c r="L135" i="3"/>
  <c r="K135" i="3"/>
  <c r="J135" i="3"/>
  <c r="I135" i="3"/>
  <c r="P124" i="3"/>
  <c r="P123" i="3" s="1"/>
  <c r="O124" i="3"/>
  <c r="N124" i="3"/>
  <c r="M124" i="3"/>
  <c r="L124" i="3"/>
  <c r="L123" i="3" s="1"/>
  <c r="K124" i="3"/>
  <c r="K123" i="3" s="1"/>
  <c r="J124" i="3"/>
  <c r="I124" i="3"/>
  <c r="I123" i="3" s="1"/>
  <c r="P120" i="3"/>
  <c r="O120" i="3"/>
  <c r="N120" i="3"/>
  <c r="M120" i="3"/>
  <c r="L120" i="3"/>
  <c r="K120" i="3"/>
  <c r="J120" i="3"/>
  <c r="I120" i="3"/>
  <c r="P115" i="3"/>
  <c r="O115" i="3"/>
  <c r="N115" i="3"/>
  <c r="M115" i="3"/>
  <c r="L115" i="3"/>
  <c r="K115" i="3"/>
  <c r="J115" i="3"/>
  <c r="I115" i="3"/>
  <c r="P109" i="3"/>
  <c r="O109" i="3"/>
  <c r="N109" i="3"/>
  <c r="M109" i="3"/>
  <c r="L109" i="3"/>
  <c r="K109" i="3"/>
  <c r="J109" i="3"/>
  <c r="I109" i="3"/>
  <c r="P104" i="3"/>
  <c r="O104" i="3"/>
  <c r="N104" i="3"/>
  <c r="M104" i="3"/>
  <c r="L104" i="3"/>
  <c r="K104" i="3"/>
  <c r="J104" i="3"/>
  <c r="I104" i="3"/>
  <c r="P94" i="3"/>
  <c r="O94" i="3"/>
  <c r="N94" i="3"/>
  <c r="M94" i="3"/>
  <c r="L94" i="3"/>
  <c r="K94" i="3"/>
  <c r="K93" i="3" s="1"/>
  <c r="J94" i="3"/>
  <c r="J93" i="3" s="1"/>
  <c r="I94" i="3"/>
  <c r="I93" i="3" s="1"/>
  <c r="P76" i="3"/>
  <c r="O76" i="3"/>
  <c r="N76" i="3"/>
  <c r="M76" i="3"/>
  <c r="L76" i="3"/>
  <c r="K76" i="3"/>
  <c r="J76" i="3"/>
  <c r="I76" i="3"/>
  <c r="P69" i="3"/>
  <c r="O69" i="3"/>
  <c r="N69" i="3"/>
  <c r="M69" i="3"/>
  <c r="L69" i="3"/>
  <c r="K69" i="3"/>
  <c r="J69" i="3"/>
  <c r="I69" i="3"/>
  <c r="P56" i="3"/>
  <c r="P55" i="3" s="1"/>
  <c r="O56" i="3"/>
  <c r="N56" i="3"/>
  <c r="M56" i="3"/>
  <c r="L56" i="3"/>
  <c r="K56" i="3"/>
  <c r="J56" i="3"/>
  <c r="I56" i="3"/>
  <c r="P33" i="3"/>
  <c r="O33" i="3"/>
  <c r="N33" i="3"/>
  <c r="M33" i="3"/>
  <c r="L33" i="3"/>
  <c r="K33" i="3"/>
  <c r="J33" i="3"/>
  <c r="I33" i="3"/>
  <c r="P23" i="3"/>
  <c r="O23" i="3"/>
  <c r="N23" i="3"/>
  <c r="M23" i="3"/>
  <c r="L23" i="3"/>
  <c r="K23" i="3"/>
  <c r="J23" i="3"/>
  <c r="I23" i="3"/>
  <c r="P15" i="3"/>
  <c r="O15" i="3"/>
  <c r="N15" i="3"/>
  <c r="M15" i="3"/>
  <c r="L15" i="3"/>
  <c r="L14" i="3" s="1"/>
  <c r="L13" i="3" s="1"/>
  <c r="K15" i="3"/>
  <c r="J15" i="3"/>
  <c r="I15" i="3"/>
  <c r="M14" i="3" l="1"/>
  <c r="M13" i="3" s="1"/>
  <c r="L93" i="3"/>
  <c r="O93" i="3"/>
  <c r="J490" i="3"/>
  <c r="N511" i="3"/>
  <c r="L1576" i="3"/>
  <c r="M320" i="3"/>
  <c r="K536" i="3"/>
  <c r="L1507" i="3"/>
  <c r="J123" i="3"/>
  <c r="K14" i="3"/>
  <c r="K13" i="3" s="1"/>
  <c r="N320" i="3"/>
  <c r="K522" i="3"/>
  <c r="O55" i="3"/>
  <c r="O206" i="3"/>
  <c r="K320" i="3"/>
  <c r="O522" i="3"/>
  <c r="J14" i="3"/>
  <c r="J13" i="3" s="1"/>
  <c r="P1717" i="3"/>
  <c r="P93" i="3"/>
  <c r="J918" i="3"/>
  <c r="K206" i="3"/>
  <c r="M931" i="3"/>
  <c r="M469" i="3"/>
  <c r="J1507" i="3"/>
  <c r="O603" i="3"/>
  <c r="L1798" i="3"/>
  <c r="L1792" i="3" s="1"/>
  <c r="L1791" i="3" s="1"/>
  <c r="O469" i="3"/>
  <c r="L1717" i="3"/>
  <c r="M730" i="3"/>
  <c r="I931" i="3"/>
  <c r="N14" i="3"/>
  <c r="N13" i="3" s="1"/>
  <c r="J55" i="3"/>
  <c r="P1006" i="3"/>
  <c r="L931" i="3"/>
  <c r="P14" i="3"/>
  <c r="P13" i="3" s="1"/>
  <c r="M501" i="3"/>
  <c r="P1798" i="3"/>
  <c r="P1792" i="3" s="1"/>
  <c r="P1791" i="3" s="1"/>
  <c r="J844" i="3"/>
  <c r="N93" i="3"/>
  <c r="Q6" i="3" s="1"/>
  <c r="O629" i="3"/>
  <c r="O628" i="3" s="1"/>
  <c r="O123" i="3"/>
  <c r="P206" i="3"/>
  <c r="N283" i="3"/>
  <c r="L55" i="3"/>
  <c r="I501" i="3"/>
  <c r="L844" i="3"/>
  <c r="J730" i="3"/>
  <c r="P1576" i="3"/>
  <c r="N55" i="3"/>
  <c r="N629" i="3"/>
  <c r="N628" i="3" s="1"/>
  <c r="P511" i="3"/>
  <c r="I1576" i="3"/>
  <c r="N469" i="3"/>
  <c r="J545" i="3"/>
  <c r="L704" i="3"/>
  <c r="I14" i="3"/>
  <c r="I13" i="3" s="1"/>
  <c r="M123" i="3"/>
  <c r="J536" i="3"/>
  <c r="L320" i="3"/>
  <c r="N918" i="3"/>
  <c r="J1006" i="3"/>
  <c r="M93" i="3"/>
  <c r="O14" i="3"/>
  <c r="O13" i="3" s="1"/>
  <c r="K931" i="3"/>
  <c r="K868" i="3" s="1"/>
  <c r="K1717" i="3"/>
  <c r="M1507" i="3"/>
  <c r="P931" i="3"/>
  <c r="M545" i="3"/>
  <c r="K55" i="3"/>
  <c r="K545" i="3"/>
  <c r="I869" i="3"/>
  <c r="O545" i="3"/>
  <c r="I511" i="3"/>
  <c r="L1006" i="3"/>
  <c r="L730" i="3"/>
  <c r="O931" i="3"/>
  <c r="N545" i="3"/>
  <c r="P789" i="3"/>
  <c r="P730" i="3"/>
  <c r="J320" i="3"/>
  <c r="M1006" i="3"/>
  <c r="N501" i="3"/>
  <c r="L789" i="3"/>
  <c r="P869" i="3"/>
  <c r="K1006" i="3"/>
  <c r="N490" i="3"/>
  <c r="O1507" i="3"/>
  <c r="P320" i="3"/>
  <c r="P536" i="3"/>
  <c r="J789" i="3"/>
  <c r="M844" i="3"/>
  <c r="N123" i="3"/>
  <c r="L511" i="3"/>
  <c r="I730" i="3"/>
  <c r="L206" i="3"/>
  <c r="I704" i="3"/>
  <c r="M789" i="3"/>
  <c r="N183" i="3"/>
  <c r="J511" i="3"/>
  <c r="N522" i="3"/>
  <c r="M629" i="3"/>
  <c r="M628" i="3" s="1"/>
  <c r="M603" i="3"/>
  <c r="J931" i="3"/>
  <c r="O1006" i="3"/>
  <c r="M283" i="3"/>
  <c r="J183" i="3"/>
  <c r="J206" i="3"/>
  <c r="L545" i="3"/>
  <c r="O320" i="3"/>
  <c r="I1507" i="3"/>
  <c r="O536" i="3"/>
  <c r="I522" i="3"/>
  <c r="P629" i="3"/>
  <c r="P628" i="3" s="1"/>
  <c r="M490" i="3"/>
  <c r="N1006" i="3"/>
  <c r="I1717" i="3"/>
  <c r="N603" i="3"/>
  <c r="O918" i="3"/>
  <c r="M1717" i="3"/>
  <c r="O1792" i="3"/>
  <c r="O1791" i="3" s="1"/>
  <c r="N789" i="3"/>
  <c r="N931" i="3"/>
  <c r="P844" i="3"/>
  <c r="M183" i="3"/>
  <c r="J522" i="3"/>
  <c r="L869" i="3"/>
  <c r="L868" i="3" s="1"/>
  <c r="N206" i="3"/>
  <c r="N844" i="3"/>
  <c r="K1576" i="3"/>
  <c r="K968" i="3" s="1"/>
  <c r="O1576" i="3"/>
  <c r="M1576" i="3"/>
  <c r="M869" i="3"/>
  <c r="O789" i="3"/>
  <c r="O730" i="3"/>
  <c r="N1576" i="3"/>
  <c r="I469" i="3"/>
  <c r="I1792" i="3"/>
  <c r="I1791" i="3" s="1"/>
  <c r="M1792" i="3"/>
  <c r="M1791" i="3" s="1"/>
  <c r="J1792" i="3"/>
  <c r="J1791" i="3" s="1"/>
  <c r="K1792" i="3"/>
  <c r="K1791" i="3" s="1"/>
  <c r="N1792" i="3"/>
  <c r="N1791" i="3" s="1"/>
  <c r="AB1156" i="2"/>
  <c r="P1507" i="3"/>
  <c r="AB1040" i="2"/>
  <c r="AC1040" i="2" s="1"/>
  <c r="AB1105" i="2"/>
  <c r="Y1047" i="2"/>
  <c r="Z1047" i="2" s="1"/>
  <c r="N1073" i="2"/>
  <c r="Y1118" i="2"/>
  <c r="Z1118" i="2" s="1"/>
  <c r="AB1097" i="2"/>
  <c r="AB1153" i="2"/>
  <c r="AC1153" i="2" s="1"/>
  <c r="Y1156" i="2"/>
  <c r="Y1048" i="2"/>
  <c r="Y1062" i="2"/>
  <c r="Z1062" i="2" s="1"/>
  <c r="AB1064" i="2"/>
  <c r="W1099" i="2"/>
  <c r="AB1078" i="2"/>
  <c r="AB1155" i="2"/>
  <c r="AC1155" i="2" s="1"/>
  <c r="Y1155" i="2"/>
  <c r="Z1155" i="2" s="1"/>
  <c r="W1151" i="2"/>
  <c r="Y1151" i="2"/>
  <c r="I55" i="3"/>
  <c r="M55" i="3"/>
  <c r="Y1054" i="2"/>
  <c r="Z1054" i="2" s="1"/>
  <c r="W1064" i="2"/>
  <c r="Y1075" i="2"/>
  <c r="Z1075" i="2" s="1"/>
  <c r="W1083" i="2"/>
  <c r="Z1083" i="2" s="1"/>
  <c r="AB1154" i="2"/>
  <c r="AB1204" i="2"/>
  <c r="AC1204" i="2" s="1"/>
  <c r="AB1208" i="2"/>
  <c r="AC1208" i="2" s="1"/>
  <c r="K490" i="3"/>
  <c r="K844" i="3"/>
  <c r="K703" i="3" s="1"/>
  <c r="O844" i="3"/>
  <c r="Y1040" i="2"/>
  <c r="W1050" i="2"/>
  <c r="Y1064" i="2"/>
  <c r="AB1081" i="2"/>
  <c r="AB1089" i="2"/>
  <c r="Y1111" i="2"/>
  <c r="Z1111" i="2" s="1"/>
  <c r="W1153" i="2"/>
  <c r="Z1153" i="2" s="1"/>
  <c r="AB1201" i="2"/>
  <c r="AC1201" i="2" s="1"/>
  <c r="W1204" i="2"/>
  <c r="Z1204" i="2" s="1"/>
  <c r="AB1205" i="2"/>
  <c r="AC1205" i="2" s="1"/>
  <c r="W1208" i="2"/>
  <c r="Z1208" i="2" s="1"/>
  <c r="AB1209" i="2"/>
  <c r="AC1209" i="2" s="1"/>
  <c r="L490" i="3"/>
  <c r="K628" i="3"/>
  <c r="J1576" i="3"/>
  <c r="AB1102" i="2"/>
  <c r="AB1103" i="2"/>
  <c r="AC1103" i="2" s="1"/>
  <c r="AB1109" i="2"/>
  <c r="AC1109" i="2" s="1"/>
  <c r="W1154" i="2"/>
  <c r="Z1154" i="2" s="1"/>
  <c r="Y1201" i="2"/>
  <c r="Y1205" i="2"/>
  <c r="W1203" i="2"/>
  <c r="Z1203" i="2" s="1"/>
  <c r="AB1203" i="2"/>
  <c r="AC1203" i="2" s="1"/>
  <c r="W1207" i="2"/>
  <c r="Z1207" i="2" s="1"/>
  <c r="AB1207" i="2"/>
  <c r="AC1207" i="2" s="1"/>
  <c r="W1202" i="2"/>
  <c r="Z1202" i="2" s="1"/>
  <c r="AB1202" i="2"/>
  <c r="AC1202" i="2" s="1"/>
  <c r="W1206" i="2"/>
  <c r="Z1206" i="2" s="1"/>
  <c r="AB1206" i="2"/>
  <c r="AC1206" i="2" s="1"/>
  <c r="W1210" i="2"/>
  <c r="Z1210" i="2" s="1"/>
  <c r="AB1210" i="2"/>
  <c r="AC1210" i="2" s="1"/>
  <c r="W1201" i="2"/>
  <c r="W1205" i="2"/>
  <c r="W1209" i="2"/>
  <c r="Z1209" i="2" s="1"/>
  <c r="Y1157" i="2"/>
  <c r="Z1157" i="2" s="1"/>
  <c r="AB1157" i="2"/>
  <c r="AC1157" i="2" s="1"/>
  <c r="AB1150" i="2"/>
  <c r="AC1150" i="2" s="1"/>
  <c r="Y1150" i="2"/>
  <c r="W1150" i="2"/>
  <c r="U1148" i="2"/>
  <c r="W1149" i="2"/>
  <c r="U1152" i="2"/>
  <c r="Y1149" i="2"/>
  <c r="AB1151" i="2"/>
  <c r="AC1151" i="2" s="1"/>
  <c r="W1156" i="2"/>
  <c r="L628" i="3"/>
  <c r="J629" i="3"/>
  <c r="J628" i="3" s="1"/>
  <c r="I629" i="3"/>
  <c r="I628" i="3" s="1"/>
  <c r="AB1118" i="2"/>
  <c r="AC1118" i="2" s="1"/>
  <c r="AB1111" i="2"/>
  <c r="AC1111" i="2" s="1"/>
  <c r="AB1090" i="2"/>
  <c r="AC1090" i="2" s="1"/>
  <c r="Y1090" i="2"/>
  <c r="AB1086" i="2"/>
  <c r="AC1086" i="2" s="1"/>
  <c r="Y1086" i="2"/>
  <c r="AB1098" i="2"/>
  <c r="AC1098" i="2" s="1"/>
  <c r="Y1098" i="2"/>
  <c r="AB1052" i="2"/>
  <c r="Y1050" i="2"/>
  <c r="W1052" i="2"/>
  <c r="Z1052" i="2" s="1"/>
  <c r="Y1058" i="2"/>
  <c r="Z1058" i="2" s="1"/>
  <c r="W1070" i="2"/>
  <c r="Z1070" i="2" s="1"/>
  <c r="Y1071" i="2"/>
  <c r="Z1071" i="2" s="1"/>
  <c r="AB1085" i="2"/>
  <c r="Y1103" i="2"/>
  <c r="T1014" i="2"/>
  <c r="U1014" i="2" s="1"/>
  <c r="AB1014" i="2" s="1"/>
  <c r="AC1014" i="2" s="1"/>
  <c r="Y1031" i="2"/>
  <c r="Z1031" i="2" s="1"/>
  <c r="Y1033" i="2"/>
  <c r="Z1033" i="2" s="1"/>
  <c r="Y1046" i="2"/>
  <c r="Z1046" i="2" s="1"/>
  <c r="AB1049" i="2"/>
  <c r="AC1049" i="2" s="1"/>
  <c r="Y1055" i="2"/>
  <c r="Z1055" i="2" s="1"/>
  <c r="Y1056" i="2"/>
  <c r="Z1056" i="2" s="1"/>
  <c r="W1078" i="2"/>
  <c r="Z1078" i="2" s="1"/>
  <c r="W1100" i="2"/>
  <c r="W1105" i="2"/>
  <c r="Z1105" i="2" s="1"/>
  <c r="W1109" i="2"/>
  <c r="Z1109" i="2" s="1"/>
  <c r="AB1057" i="2"/>
  <c r="AC1057" i="2" s="1"/>
  <c r="AB1070" i="2"/>
  <c r="AC1070" i="2" s="1"/>
  <c r="W1087" i="2"/>
  <c r="Z1087" i="2" s="1"/>
  <c r="Y1100" i="2"/>
  <c r="W1076" i="2"/>
  <c r="Y1076" i="2"/>
  <c r="AB1076" i="2"/>
  <c r="AB1093" i="2"/>
  <c r="AC1093" i="2" s="1"/>
  <c r="Y1093" i="2"/>
  <c r="Z1093" i="2" s="1"/>
  <c r="Y1079" i="2"/>
  <c r="Z1079" i="2" s="1"/>
  <c r="AB1079" i="2"/>
  <c r="AC1079" i="2" s="1"/>
  <c r="AB1082" i="2"/>
  <c r="AC1082" i="2" s="1"/>
  <c r="W1082" i="2"/>
  <c r="Y1082" i="2"/>
  <c r="Y1106" i="2"/>
  <c r="AB1106" i="2"/>
  <c r="AC1106" i="2" s="1"/>
  <c r="W1106" i="2"/>
  <c r="AB1083" i="2"/>
  <c r="AC1083" i="2" s="1"/>
  <c r="AB1087" i="2"/>
  <c r="AC1087" i="2" s="1"/>
  <c r="W1092" i="2"/>
  <c r="Z1092" i="2" s="1"/>
  <c r="AB1092" i="2"/>
  <c r="W1095" i="2"/>
  <c r="Z1095" i="2" s="1"/>
  <c r="AB1095" i="2"/>
  <c r="AC1095" i="2" s="1"/>
  <c r="Y1099" i="2"/>
  <c r="W1110" i="2"/>
  <c r="Z1110" i="2" s="1"/>
  <c r="AB1110" i="2"/>
  <c r="AC1110" i="2" s="1"/>
  <c r="W1086" i="2"/>
  <c r="W1090" i="2"/>
  <c r="W1098" i="2"/>
  <c r="W1103" i="2"/>
  <c r="AB1071" i="2"/>
  <c r="AC1071" i="2" s="1"/>
  <c r="U1065" i="2"/>
  <c r="T1066" i="2"/>
  <c r="W1059" i="2"/>
  <c r="Z1059" i="2" s="1"/>
  <c r="AB1059" i="2"/>
  <c r="AC1059" i="2" s="1"/>
  <c r="AB1062" i="2"/>
  <c r="AC1062" i="2" s="1"/>
  <c r="AB1058" i="2"/>
  <c r="AC1058" i="2" s="1"/>
  <c r="W1057" i="2"/>
  <c r="Z1057" i="2" s="1"/>
  <c r="AB1056" i="2"/>
  <c r="AC1056" i="2" s="1"/>
  <c r="AB1055" i="2"/>
  <c r="AC1055" i="2" s="1"/>
  <c r="AB1054" i="2"/>
  <c r="AC1054" i="2" s="1"/>
  <c r="Y1053" i="2"/>
  <c r="AB1053" i="2"/>
  <c r="AC1053" i="2" s="1"/>
  <c r="W1053" i="2"/>
  <c r="Y1049" i="2"/>
  <c r="Z1049" i="2" s="1"/>
  <c r="W1048" i="2"/>
  <c r="AB1047" i="2"/>
  <c r="AB1048" i="2"/>
  <c r="AC1048" i="2" s="1"/>
  <c r="AB1046" i="2"/>
  <c r="AC1046" i="2" s="1"/>
  <c r="W1045" i="2"/>
  <c r="Z1045" i="2" s="1"/>
  <c r="AB1045" i="2"/>
  <c r="AC1045" i="2" s="1"/>
  <c r="W1041" i="2"/>
  <c r="Z1041" i="2" s="1"/>
  <c r="AB1041" i="2"/>
  <c r="AC1041" i="2" s="1"/>
  <c r="W1040" i="2"/>
  <c r="Y1021" i="2"/>
  <c r="Z1021" i="2" s="1"/>
  <c r="U1013" i="2"/>
  <c r="AB1013" i="2" s="1"/>
  <c r="AB1019" i="2"/>
  <c r="Y1028" i="2"/>
  <c r="T1030" i="2"/>
  <c r="U1030" i="2" s="1"/>
  <c r="AB1030" i="2" s="1"/>
  <c r="AC1030" i="2" s="1"/>
  <c r="Y1036" i="2"/>
  <c r="Z1036" i="2" s="1"/>
  <c r="Y1019" i="2"/>
  <c r="AB1037" i="2"/>
  <c r="AC1037" i="2" s="1"/>
  <c r="Y1038" i="2"/>
  <c r="Z1038" i="2" s="1"/>
  <c r="AB1038" i="2"/>
  <c r="W1039" i="2"/>
  <c r="Z1039" i="2" s="1"/>
  <c r="AB1039" i="2"/>
  <c r="AC1039" i="2" s="1"/>
  <c r="W1037" i="2"/>
  <c r="Z1037" i="2" s="1"/>
  <c r="AB1036" i="2"/>
  <c r="AC1036" i="2" s="1"/>
  <c r="W1035" i="2"/>
  <c r="Z1035" i="2" s="1"/>
  <c r="AB1035" i="2"/>
  <c r="AC1035" i="2" s="1"/>
  <c r="W1034" i="2"/>
  <c r="Z1034" i="2" s="1"/>
  <c r="AB1034" i="2"/>
  <c r="AC1034" i="2" s="1"/>
  <c r="AB1033" i="2"/>
  <c r="AC1033" i="2" s="1"/>
  <c r="W1032" i="2"/>
  <c r="Z1032" i="2" s="1"/>
  <c r="AB1032" i="2"/>
  <c r="AC1032" i="2" s="1"/>
  <c r="AB1031" i="2"/>
  <c r="AC1031" i="2" s="1"/>
  <c r="AB1029" i="2"/>
  <c r="W1029" i="2"/>
  <c r="Y1029" i="2"/>
  <c r="AB1022" i="2"/>
  <c r="Y1022" i="2"/>
  <c r="Y1016" i="2"/>
  <c r="Z1016" i="2" s="1"/>
  <c r="W1027" i="2"/>
  <c r="Z1027" i="2" s="1"/>
  <c r="AB1027" i="2"/>
  <c r="AC1027" i="2" s="1"/>
  <c r="Y1023" i="2"/>
  <c r="Z1023" i="2" s="1"/>
  <c r="AB1023" i="2"/>
  <c r="AC1023" i="2" s="1"/>
  <c r="W1022" i="2"/>
  <c r="Y1020" i="2"/>
  <c r="Z1020" i="2" s="1"/>
  <c r="AB1020" i="2"/>
  <c r="AC1020" i="2" s="1"/>
  <c r="W1019" i="2"/>
  <c r="W1017" i="2"/>
  <c r="Z1017" i="2" s="1"/>
  <c r="AB1017" i="2"/>
  <c r="AC1017" i="2" s="1"/>
  <c r="AB1016" i="2"/>
  <c r="AC1016" i="2" s="1"/>
  <c r="W1015" i="2"/>
  <c r="Z1015" i="2" s="1"/>
  <c r="AB1015" i="2"/>
  <c r="AC1015" i="2" s="1"/>
  <c r="AB1012" i="2"/>
  <c r="W1012" i="2"/>
  <c r="Z1012" i="2" s="1"/>
  <c r="L183" i="3"/>
  <c r="K183" i="3"/>
  <c r="O183" i="3"/>
  <c r="I490" i="3"/>
  <c r="I206" i="3"/>
  <c r="I183" i="3"/>
  <c r="M868" i="3" l="1"/>
  <c r="J868" i="3"/>
  <c r="L968" i="3"/>
  <c r="I868" i="3"/>
  <c r="P968" i="3"/>
  <c r="J703" i="3"/>
  <c r="N868" i="3"/>
  <c r="J968" i="3"/>
  <c r="P868" i="3"/>
  <c r="L703" i="3"/>
  <c r="O868" i="3"/>
  <c r="P703" i="3"/>
  <c r="P54" i="3"/>
  <c r="M703" i="3"/>
  <c r="I703" i="3"/>
  <c r="O54" i="3"/>
  <c r="Q7" i="3" s="1"/>
  <c r="O968" i="3"/>
  <c r="J54" i="3"/>
  <c r="N54" i="3"/>
  <c r="Q9" i="3" s="1"/>
  <c r="I968" i="3"/>
  <c r="N968" i="3"/>
  <c r="M968" i="3"/>
  <c r="N703" i="3"/>
  <c r="M54" i="3"/>
  <c r="O703" i="3"/>
  <c r="Z1090" i="2"/>
  <c r="Z1099" i="2"/>
  <c r="L54" i="3"/>
  <c r="Q53" i="3" s="1"/>
  <c r="Z1050" i="2"/>
  <c r="Y1030" i="2"/>
  <c r="Z1030" i="2" s="1"/>
  <c r="Z1156" i="2"/>
  <c r="Y1014" i="2"/>
  <c r="Z1014" i="2" s="1"/>
  <c r="Z1086" i="2"/>
  <c r="W1013" i="2"/>
  <c r="Z1022" i="2"/>
  <c r="Z1098" i="2"/>
  <c r="K54" i="3"/>
  <c r="K11" i="3" s="1"/>
  <c r="K1844" i="3" s="1"/>
  <c r="Z1019" i="2"/>
  <c r="Y1013" i="2"/>
  <c r="Z1040" i="2"/>
  <c r="Z1048" i="2"/>
  <c r="Z1103" i="2"/>
  <c r="Z1205" i="2"/>
  <c r="Z1201" i="2"/>
  <c r="Y1073" i="2"/>
  <c r="Z1053" i="2"/>
  <c r="Z1064" i="2"/>
  <c r="AC1076" i="2"/>
  <c r="AC1073" i="2" s="1"/>
  <c r="AB1073" i="2"/>
  <c r="Z1151" i="2"/>
  <c r="Z1149" i="2"/>
  <c r="Y1152" i="2"/>
  <c r="W1152" i="2"/>
  <c r="AB1152" i="2"/>
  <c r="AC1152" i="2" s="1"/>
  <c r="Y1148" i="2"/>
  <c r="W1148" i="2"/>
  <c r="U1147" i="2"/>
  <c r="AB1148" i="2"/>
  <c r="Z1150" i="2"/>
  <c r="Z1100" i="2"/>
  <c r="Z1029" i="2"/>
  <c r="Z1106" i="2"/>
  <c r="Z1082" i="2"/>
  <c r="Z1076" i="2"/>
  <c r="T1067" i="2"/>
  <c r="U1066" i="2"/>
  <c r="AB1065" i="2"/>
  <c r="Y1065" i="2"/>
  <c r="I54" i="3"/>
  <c r="J11" i="3" l="1"/>
  <c r="J1844" i="3" s="1"/>
  <c r="P11" i="3"/>
  <c r="P1844" i="3" s="1"/>
  <c r="O11" i="3"/>
  <c r="O1844" i="3" s="1"/>
  <c r="I11" i="3"/>
  <c r="I1844" i="3" s="1"/>
  <c r="M11" i="3"/>
  <c r="M1844" i="3" s="1"/>
  <c r="N11" i="3"/>
  <c r="N1844" i="3" s="1"/>
  <c r="L11" i="3"/>
  <c r="L1844" i="3" s="1"/>
  <c r="Z1013" i="2"/>
  <c r="Z1073" i="2"/>
  <c r="Y1147" i="2"/>
  <c r="AB1147" i="2"/>
  <c r="AC1148" i="2"/>
  <c r="AC1147" i="2" s="1"/>
  <c r="Z1152" i="2"/>
  <c r="W1147" i="2"/>
  <c r="Z1148" i="2"/>
  <c r="Y1066" i="2"/>
  <c r="W1066" i="2"/>
  <c r="U1067" i="2"/>
  <c r="T1068" i="2"/>
  <c r="U1068" i="2" s="1"/>
  <c r="Z1147" i="2" l="1"/>
  <c r="Z1066" i="2"/>
  <c r="AB1068" i="2"/>
  <c r="AC1068" i="2" s="1"/>
  <c r="Y1068" i="2"/>
  <c r="Y1067" i="2"/>
  <c r="AB1067" i="2"/>
  <c r="W1067" i="2"/>
  <c r="Z1068" i="2" l="1"/>
  <c r="Y1010" i="2"/>
  <c r="Y1009" i="2" s="1"/>
  <c r="Y1008" i="2" s="1"/>
  <c r="Z1067" i="2"/>
  <c r="AA1005" i="2" l="1"/>
  <c r="S1005" i="2"/>
  <c r="S1004" i="2"/>
  <c r="U1004" i="2" s="1"/>
  <c r="AB1004" i="2" s="1"/>
  <c r="AC1004" i="2" s="1"/>
  <c r="N1004" i="2"/>
  <c r="S1003" i="2"/>
  <c r="U1003" i="2" s="1"/>
  <c r="N1003" i="2"/>
  <c r="S1002" i="2"/>
  <c r="U1002" i="2" s="1"/>
  <c r="AB1002" i="2" s="1"/>
  <c r="AC1002" i="2" s="1"/>
  <c r="N1002" i="2"/>
  <c r="AC949" i="2"/>
  <c r="Y949" i="2"/>
  <c r="W949" i="2"/>
  <c r="S949" i="2"/>
  <c r="N949" i="2"/>
  <c r="AC948" i="2"/>
  <c r="Y948" i="2"/>
  <c r="W948" i="2"/>
  <c r="S948" i="2"/>
  <c r="N948" i="2"/>
  <c r="AC947" i="2"/>
  <c r="Y947" i="2"/>
  <c r="W947" i="2"/>
  <c r="S947" i="2"/>
  <c r="N947" i="2"/>
  <c r="AC946" i="2"/>
  <c r="Y946" i="2"/>
  <c r="W946" i="2"/>
  <c r="S946" i="2"/>
  <c r="N946" i="2"/>
  <c r="AA945" i="2"/>
  <c r="S945" i="2"/>
  <c r="U945" i="2" s="1"/>
  <c r="AC944" i="2"/>
  <c r="Y944" i="2"/>
  <c r="W944" i="2"/>
  <c r="S944" i="2"/>
  <c r="N944" i="2"/>
  <c r="AC943" i="2"/>
  <c r="Y943" i="2"/>
  <c r="W943" i="2"/>
  <c r="S943" i="2"/>
  <c r="N943" i="2"/>
  <c r="AC942" i="2"/>
  <c r="Y942" i="2"/>
  <c r="W942" i="2"/>
  <c r="S942" i="2"/>
  <c r="N942" i="2"/>
  <c r="AC941" i="2"/>
  <c r="Y941" i="2"/>
  <c r="W941" i="2"/>
  <c r="S941" i="2"/>
  <c r="N941" i="2"/>
  <c r="AC940" i="2"/>
  <c r="Y940" i="2"/>
  <c r="W940" i="2"/>
  <c r="S940" i="2"/>
  <c r="N940" i="2"/>
  <c r="AC939" i="2"/>
  <c r="Y939" i="2"/>
  <c r="W939" i="2"/>
  <c r="S939" i="2"/>
  <c r="N939" i="2"/>
  <c r="AC938" i="2"/>
  <c r="Y938" i="2"/>
  <c r="W938" i="2"/>
  <c r="S938" i="2"/>
  <c r="N938" i="2"/>
  <c r="AC937" i="2"/>
  <c r="Y937" i="2"/>
  <c r="W937" i="2"/>
  <c r="S937" i="2"/>
  <c r="N937" i="2"/>
  <c r="AC936" i="2"/>
  <c r="Y936" i="2"/>
  <c r="W936" i="2"/>
  <c r="S936" i="2"/>
  <c r="N936" i="2"/>
  <c r="AC935" i="2"/>
  <c r="Y935" i="2"/>
  <c r="W935" i="2"/>
  <c r="S935" i="2"/>
  <c r="N935" i="2"/>
  <c r="AC934" i="2"/>
  <c r="Y934" i="2"/>
  <c r="W934" i="2"/>
  <c r="S934" i="2"/>
  <c r="N934" i="2"/>
  <c r="AC933" i="2"/>
  <c r="Y933" i="2"/>
  <c r="W933" i="2"/>
  <c r="S933" i="2"/>
  <c r="N933" i="2"/>
  <c r="AC932" i="2"/>
  <c r="Y932" i="2"/>
  <c r="W932" i="2"/>
  <c r="S932" i="2"/>
  <c r="N932" i="2"/>
  <c r="AC931" i="2"/>
  <c r="Y931" i="2"/>
  <c r="W931" i="2"/>
  <c r="S931" i="2"/>
  <c r="N931" i="2"/>
  <c r="AC930" i="2"/>
  <c r="Y930" i="2"/>
  <c r="W930" i="2"/>
  <c r="S930" i="2"/>
  <c r="N930" i="2"/>
  <c r="S929" i="2"/>
  <c r="U929" i="2" s="1"/>
  <c r="AB929" i="2" s="1"/>
  <c r="AC929" i="2" s="1"/>
  <c r="N929" i="2"/>
  <c r="AA928" i="2"/>
  <c r="S928" i="2"/>
  <c r="U928" i="2" s="1"/>
  <c r="N928" i="2"/>
  <c r="AC927" i="2"/>
  <c r="Y927" i="2"/>
  <c r="W927" i="2"/>
  <c r="S927" i="2"/>
  <c r="N927" i="2"/>
  <c r="AA926" i="2"/>
  <c r="X926" i="2"/>
  <c r="S926" i="2"/>
  <c r="U926" i="2" s="1"/>
  <c r="N926" i="2"/>
  <c r="AA925" i="2"/>
  <c r="U925" i="2"/>
  <c r="Y925" i="2" s="1"/>
  <c r="AA924" i="2"/>
  <c r="S924" i="2"/>
  <c r="U924" i="2" s="1"/>
  <c r="N924" i="2"/>
  <c r="AA923" i="2"/>
  <c r="S923" i="2"/>
  <c r="U923" i="2" s="1"/>
  <c r="Y923" i="2" s="1"/>
  <c r="N923" i="2"/>
  <c r="AA922" i="2"/>
  <c r="S922" i="2"/>
  <c r="U922" i="2" s="1"/>
  <c r="N922" i="2"/>
  <c r="AA921" i="2"/>
  <c r="S921" i="2"/>
  <c r="U921" i="2" s="1"/>
  <c r="N921" i="2"/>
  <c r="AA920" i="2"/>
  <c r="S920" i="2"/>
  <c r="U920" i="2" s="1"/>
  <c r="N920" i="2"/>
  <c r="AA919" i="2"/>
  <c r="S919" i="2"/>
  <c r="U919" i="2" s="1"/>
  <c r="Y919" i="2" s="1"/>
  <c r="N919" i="2"/>
  <c r="AA918" i="2"/>
  <c r="S918" i="2"/>
  <c r="U918" i="2" s="1"/>
  <c r="N918" i="2"/>
  <c r="AA917" i="2"/>
  <c r="S917" i="2"/>
  <c r="U917" i="2" s="1"/>
  <c r="N917" i="2"/>
  <c r="AA916" i="2"/>
  <c r="S916" i="2"/>
  <c r="U916" i="2" s="1"/>
  <c r="N916" i="2"/>
  <c r="AA915" i="2"/>
  <c r="S915" i="2"/>
  <c r="U915" i="2" s="1"/>
  <c r="Y915" i="2" s="1"/>
  <c r="N915" i="2"/>
  <c r="AA914" i="2"/>
  <c r="S914" i="2"/>
  <c r="U914" i="2" s="1"/>
  <c r="N914" i="2"/>
  <c r="AC913" i="2"/>
  <c r="Y913" i="2"/>
  <c r="W913" i="2"/>
  <c r="S913" i="2"/>
  <c r="N913" i="2"/>
  <c r="AC912" i="2"/>
  <c r="Y912" i="2"/>
  <c r="W912" i="2"/>
  <c r="S912" i="2"/>
  <c r="N912" i="2"/>
  <c r="AC911" i="2"/>
  <c r="Y911" i="2"/>
  <c r="W911" i="2"/>
  <c r="S911" i="2"/>
  <c r="N911" i="2"/>
  <c r="AC910" i="2"/>
  <c r="Y910" i="2"/>
  <c r="W910" i="2"/>
  <c r="S910" i="2"/>
  <c r="N910" i="2"/>
  <c r="AC909" i="2"/>
  <c r="Y909" i="2"/>
  <c r="W909" i="2"/>
  <c r="S909" i="2"/>
  <c r="N909" i="2"/>
  <c r="AC908" i="2"/>
  <c r="Y908" i="2"/>
  <c r="W908" i="2"/>
  <c r="S908" i="2"/>
  <c r="N908" i="2"/>
  <c r="AC907" i="2"/>
  <c r="Y907" i="2"/>
  <c r="W907" i="2"/>
  <c r="S907" i="2"/>
  <c r="N907" i="2"/>
  <c r="AC906" i="2"/>
  <c r="Y906" i="2"/>
  <c r="W906" i="2"/>
  <c r="S906" i="2"/>
  <c r="N906" i="2"/>
  <c r="AC905" i="2"/>
  <c r="Y905" i="2"/>
  <c r="W905" i="2"/>
  <c r="S905" i="2"/>
  <c r="N905" i="2"/>
  <c r="AC904" i="2"/>
  <c r="Y904" i="2"/>
  <c r="W904" i="2"/>
  <c r="S904" i="2"/>
  <c r="N904" i="2"/>
  <c r="AC903" i="2"/>
  <c r="Y903" i="2"/>
  <c r="W903" i="2"/>
  <c r="S903" i="2"/>
  <c r="N903" i="2"/>
  <c r="AC902" i="2"/>
  <c r="Y902" i="2"/>
  <c r="W902" i="2"/>
  <c r="S902" i="2"/>
  <c r="N902" i="2"/>
  <c r="AC901" i="2"/>
  <c r="Y901" i="2"/>
  <c r="W901" i="2"/>
  <c r="S901" i="2"/>
  <c r="N901" i="2"/>
  <c r="AC900" i="2"/>
  <c r="Y900" i="2"/>
  <c r="W900" i="2"/>
  <c r="S900" i="2"/>
  <c r="N900" i="2"/>
  <c r="AC899" i="2"/>
  <c r="Y899" i="2"/>
  <c r="W899" i="2"/>
  <c r="S899" i="2"/>
  <c r="N899" i="2"/>
  <c r="AC898" i="2"/>
  <c r="Y898" i="2"/>
  <c r="W898" i="2"/>
  <c r="S898" i="2"/>
  <c r="N898" i="2"/>
  <c r="AC897" i="2"/>
  <c r="Y897" i="2"/>
  <c r="W897" i="2"/>
  <c r="S897" i="2"/>
  <c r="N897" i="2"/>
  <c r="AC896" i="2"/>
  <c r="Y896" i="2"/>
  <c r="W896" i="2"/>
  <c r="S896" i="2"/>
  <c r="N896" i="2"/>
  <c r="AC895" i="2"/>
  <c r="Y895" i="2"/>
  <c r="W895" i="2"/>
  <c r="S895" i="2"/>
  <c r="N895" i="2"/>
  <c r="AC894" i="2"/>
  <c r="Y894" i="2"/>
  <c r="W894" i="2"/>
  <c r="S894" i="2"/>
  <c r="N894" i="2"/>
  <c r="AC893" i="2"/>
  <c r="Y893" i="2"/>
  <c r="W893" i="2"/>
  <c r="S893" i="2"/>
  <c r="N893" i="2"/>
  <c r="AC892" i="2"/>
  <c r="Y892" i="2"/>
  <c r="W892" i="2"/>
  <c r="S892" i="2"/>
  <c r="N892" i="2"/>
  <c r="AC891" i="2"/>
  <c r="Y891" i="2"/>
  <c r="W891" i="2"/>
  <c r="S891" i="2"/>
  <c r="N891" i="2"/>
  <c r="AC890" i="2"/>
  <c r="Y890" i="2"/>
  <c r="W890" i="2"/>
  <c r="S890" i="2"/>
  <c r="N890" i="2"/>
  <c r="AC889" i="2"/>
  <c r="Y889" i="2"/>
  <c r="W889" i="2"/>
  <c r="S889" i="2"/>
  <c r="N889" i="2"/>
  <c r="AC888" i="2"/>
  <c r="Y888" i="2"/>
  <c r="W888" i="2"/>
  <c r="S888" i="2"/>
  <c r="N888" i="2"/>
  <c r="AC887" i="2"/>
  <c r="Y887" i="2"/>
  <c r="W887" i="2"/>
  <c r="S887" i="2"/>
  <c r="N887" i="2"/>
  <c r="AC886" i="2"/>
  <c r="Y886" i="2"/>
  <c r="W886" i="2"/>
  <c r="S886" i="2"/>
  <c r="N886" i="2"/>
  <c r="S885" i="2"/>
  <c r="U885" i="2" s="1"/>
  <c r="AB885" i="2" s="1"/>
  <c r="AC885" i="2" s="1"/>
  <c r="N885" i="2"/>
  <c r="S884" i="2"/>
  <c r="U884" i="2" s="1"/>
  <c r="N884" i="2"/>
  <c r="AA880" i="2"/>
  <c r="S880" i="2"/>
  <c r="U880" i="2" s="1"/>
  <c r="N880" i="2"/>
  <c r="AA879" i="2"/>
  <c r="X879" i="2"/>
  <c r="S879" i="2"/>
  <c r="U879" i="2" s="1"/>
  <c r="N879" i="2"/>
  <c r="AA878" i="2"/>
  <c r="X878" i="2"/>
  <c r="S878" i="2"/>
  <c r="U878" i="2" s="1"/>
  <c r="N878" i="2"/>
  <c r="AA877" i="2"/>
  <c r="S877" i="2"/>
  <c r="U877" i="2" s="1"/>
  <c r="N877" i="2"/>
  <c r="AA876" i="2"/>
  <c r="S876" i="2"/>
  <c r="U876" i="2" s="1"/>
  <c r="N876" i="2"/>
  <c r="AA875" i="2"/>
  <c r="S875" i="2"/>
  <c r="U875" i="2" s="1"/>
  <c r="AA874" i="2"/>
  <c r="S874" i="2"/>
  <c r="U874" i="2" s="1"/>
  <c r="N874" i="2"/>
  <c r="AA873" i="2"/>
  <c r="S873" i="2"/>
  <c r="U873" i="2" s="1"/>
  <c r="Y873" i="2" s="1"/>
  <c r="N873" i="2"/>
  <c r="AA872" i="2"/>
  <c r="S872" i="2"/>
  <c r="U872" i="2" s="1"/>
  <c r="N872" i="2"/>
  <c r="AA871" i="2"/>
  <c r="S871" i="2"/>
  <c r="U871" i="2" s="1"/>
  <c r="N871" i="2"/>
  <c r="AA870" i="2"/>
  <c r="S870" i="2"/>
  <c r="U870" i="2" s="1"/>
  <c r="N870" i="2"/>
  <c r="AA869" i="2"/>
  <c r="S869" i="2"/>
  <c r="U869" i="2" s="1"/>
  <c r="Y869" i="2" s="1"/>
  <c r="N869" i="2"/>
  <c r="AA868" i="2"/>
  <c r="S868" i="2"/>
  <c r="U868" i="2" s="1"/>
  <c r="N868" i="2"/>
  <c r="AA867" i="2"/>
  <c r="S867" i="2"/>
  <c r="U867" i="2" s="1"/>
  <c r="N867" i="2"/>
  <c r="AC866" i="2"/>
  <c r="Y866" i="2"/>
  <c r="W866" i="2"/>
  <c r="S866" i="2"/>
  <c r="N866" i="2"/>
  <c r="AC865" i="2"/>
  <c r="Y865" i="2"/>
  <c r="W865" i="2"/>
  <c r="S865" i="2"/>
  <c r="N865" i="2"/>
  <c r="AC864" i="2"/>
  <c r="Y864" i="2"/>
  <c r="W864" i="2"/>
  <c r="S864" i="2"/>
  <c r="N864" i="2"/>
  <c r="AC863" i="2"/>
  <c r="Y863" i="2"/>
  <c r="W863" i="2"/>
  <c r="S863" i="2"/>
  <c r="N863" i="2"/>
  <c r="AC862" i="2"/>
  <c r="Y862" i="2"/>
  <c r="W862" i="2"/>
  <c r="S862" i="2"/>
  <c r="N862" i="2"/>
  <c r="AC861" i="2"/>
  <c r="Y861" i="2"/>
  <c r="W861" i="2"/>
  <c r="S861" i="2"/>
  <c r="N861" i="2"/>
  <c r="AC860" i="2"/>
  <c r="Y860" i="2"/>
  <c r="W860" i="2"/>
  <c r="S860" i="2"/>
  <c r="N860" i="2"/>
  <c r="AC859" i="2"/>
  <c r="Y859" i="2"/>
  <c r="W859" i="2"/>
  <c r="S859" i="2"/>
  <c r="N859" i="2"/>
  <c r="AC858" i="2"/>
  <c r="Y858" i="2"/>
  <c r="W858" i="2"/>
  <c r="S858" i="2"/>
  <c r="N858" i="2"/>
  <c r="AC857" i="2"/>
  <c r="Y857" i="2"/>
  <c r="W857" i="2"/>
  <c r="S857" i="2"/>
  <c r="N857" i="2"/>
  <c r="AC856" i="2"/>
  <c r="Y856" i="2"/>
  <c r="W856" i="2"/>
  <c r="S856" i="2"/>
  <c r="N856" i="2"/>
  <c r="AC855" i="2"/>
  <c r="Y855" i="2"/>
  <c r="W855" i="2"/>
  <c r="S855" i="2"/>
  <c r="N855" i="2"/>
  <c r="AC854" i="2"/>
  <c r="Y854" i="2"/>
  <c r="W854" i="2"/>
  <c r="S854" i="2"/>
  <c r="N854" i="2"/>
  <c r="AC853" i="2"/>
  <c r="Y853" i="2"/>
  <c r="W853" i="2"/>
  <c r="S853" i="2"/>
  <c r="N853" i="2"/>
  <c r="AC852" i="2"/>
  <c r="Y852" i="2"/>
  <c r="W852" i="2"/>
  <c r="S852" i="2"/>
  <c r="N852" i="2"/>
  <c r="AC851" i="2"/>
  <c r="Y851" i="2"/>
  <c r="W851" i="2"/>
  <c r="S851" i="2"/>
  <c r="N851" i="2"/>
  <c r="AC850" i="2"/>
  <c r="Y850" i="2"/>
  <c r="W850" i="2"/>
  <c r="S850" i="2"/>
  <c r="N850" i="2"/>
  <c r="AC849" i="2"/>
  <c r="Y849" i="2"/>
  <c r="W849" i="2"/>
  <c r="S849" i="2"/>
  <c r="N849" i="2"/>
  <c r="AC848" i="2"/>
  <c r="Y848" i="2"/>
  <c r="W848" i="2"/>
  <c r="S848" i="2"/>
  <c r="N848" i="2"/>
  <c r="AC847" i="2"/>
  <c r="Y847" i="2"/>
  <c r="W847" i="2"/>
  <c r="S847" i="2"/>
  <c r="N847" i="2"/>
  <c r="AC846" i="2"/>
  <c r="Y846" i="2"/>
  <c r="W846" i="2"/>
  <c r="S846" i="2"/>
  <c r="N846" i="2"/>
  <c r="AA845" i="2"/>
  <c r="X845" i="2"/>
  <c r="S845" i="2"/>
  <c r="U845" i="2" s="1"/>
  <c r="N845" i="2"/>
  <c r="AA844" i="2"/>
  <c r="X844" i="2"/>
  <c r="S844" i="2"/>
  <c r="U844" i="2" s="1"/>
  <c r="N844" i="2"/>
  <c r="AA843" i="2"/>
  <c r="S843" i="2"/>
  <c r="U843" i="2" s="1"/>
  <c r="N843" i="2"/>
  <c r="AA842" i="2"/>
  <c r="S842" i="2"/>
  <c r="U842" i="2" s="1"/>
  <c r="N842" i="2"/>
  <c r="AA841" i="2"/>
  <c r="S841" i="2"/>
  <c r="U841" i="2" s="1"/>
  <c r="N841" i="2"/>
  <c r="AA840" i="2"/>
  <c r="S840" i="2"/>
  <c r="U840" i="2" s="1"/>
  <c r="N840" i="2"/>
  <c r="AA839" i="2"/>
  <c r="S839" i="2"/>
  <c r="U839" i="2" s="1"/>
  <c r="N839" i="2"/>
  <c r="AA838" i="2"/>
  <c r="S838" i="2"/>
  <c r="U838" i="2" s="1"/>
  <c r="N838" i="2"/>
  <c r="AA837" i="2"/>
  <c r="S837" i="2"/>
  <c r="U837" i="2" s="1"/>
  <c r="N837" i="2"/>
  <c r="AA836" i="2"/>
  <c r="S836" i="2"/>
  <c r="U836" i="2" s="1"/>
  <c r="N836" i="2"/>
  <c r="AA835" i="2"/>
  <c r="S835" i="2"/>
  <c r="U835" i="2" s="1"/>
  <c r="Y835" i="2" s="1"/>
  <c r="N835" i="2"/>
  <c r="AA834" i="2"/>
  <c r="S834" i="2"/>
  <c r="U834" i="2" s="1"/>
  <c r="N834" i="2"/>
  <c r="AA833" i="2"/>
  <c r="S833" i="2"/>
  <c r="U833" i="2" s="1"/>
  <c r="N833" i="2"/>
  <c r="AA832" i="2"/>
  <c r="S832" i="2"/>
  <c r="U832" i="2" s="1"/>
  <c r="N832" i="2"/>
  <c r="AA831" i="2"/>
  <c r="S831" i="2"/>
  <c r="U831" i="2" s="1"/>
  <c r="N831" i="2"/>
  <c r="AA830" i="2"/>
  <c r="S830" i="2"/>
  <c r="U830" i="2" s="1"/>
  <c r="N830" i="2"/>
  <c r="AA829" i="2"/>
  <c r="S829" i="2"/>
  <c r="U829" i="2" s="1"/>
  <c r="N829" i="2"/>
  <c r="AA828" i="2"/>
  <c r="S828" i="2"/>
  <c r="U828" i="2" s="1"/>
  <c r="N828" i="2"/>
  <c r="S827" i="2"/>
  <c r="U827" i="2" s="1"/>
  <c r="Y827" i="2" s="1"/>
  <c r="Z827" i="2" s="1"/>
  <c r="N827" i="2"/>
  <c r="S826" i="2"/>
  <c r="U826" i="2" s="1"/>
  <c r="N826" i="2"/>
  <c r="S825" i="2"/>
  <c r="U825" i="2" s="1"/>
  <c r="AB825" i="2" s="1"/>
  <c r="AC825" i="2" s="1"/>
  <c r="N825" i="2"/>
  <c r="S824" i="2"/>
  <c r="U824" i="2" s="1"/>
  <c r="N824" i="2"/>
  <c r="S823" i="2"/>
  <c r="U823" i="2" s="1"/>
  <c r="AB823" i="2" s="1"/>
  <c r="AC823" i="2" s="1"/>
  <c r="N823" i="2"/>
  <c r="S822" i="2"/>
  <c r="U822" i="2" s="1"/>
  <c r="N822" i="2"/>
  <c r="S821" i="2"/>
  <c r="U821" i="2" s="1"/>
  <c r="AB821" i="2" s="1"/>
  <c r="AC821" i="2" s="1"/>
  <c r="N821" i="2"/>
  <c r="S820" i="2"/>
  <c r="U820" i="2" s="1"/>
  <c r="N820" i="2"/>
  <c r="AC819" i="2"/>
  <c r="Y819" i="2"/>
  <c r="W819" i="2"/>
  <c r="S819" i="2"/>
  <c r="N819" i="2"/>
  <c r="AC818" i="2"/>
  <c r="Y818" i="2"/>
  <c r="W818" i="2"/>
  <c r="S818" i="2"/>
  <c r="N818" i="2"/>
  <c r="AC817" i="2"/>
  <c r="Y817" i="2"/>
  <c r="W817" i="2"/>
  <c r="S817" i="2"/>
  <c r="N817" i="2"/>
  <c r="AC816" i="2"/>
  <c r="Y816" i="2"/>
  <c r="W816" i="2"/>
  <c r="S816" i="2"/>
  <c r="N816" i="2"/>
  <c r="AC815" i="2"/>
  <c r="Y815" i="2"/>
  <c r="W815" i="2"/>
  <c r="S815" i="2"/>
  <c r="N815" i="2"/>
  <c r="AC814" i="2"/>
  <c r="Y814" i="2"/>
  <c r="W814" i="2"/>
  <c r="S814" i="2"/>
  <c r="N814" i="2"/>
  <c r="AC813" i="2"/>
  <c r="Y813" i="2"/>
  <c r="W813" i="2"/>
  <c r="S813" i="2"/>
  <c r="N813" i="2"/>
  <c r="AC812" i="2"/>
  <c r="Y812" i="2"/>
  <c r="W812" i="2"/>
  <c r="S812" i="2"/>
  <c r="N812" i="2"/>
  <c r="AC811" i="2"/>
  <c r="Y811" i="2"/>
  <c r="W811" i="2"/>
  <c r="S811" i="2"/>
  <c r="N811" i="2"/>
  <c r="AC810" i="2"/>
  <c r="Y810" i="2"/>
  <c r="W810" i="2"/>
  <c r="S810" i="2"/>
  <c r="N810" i="2"/>
  <c r="AC809" i="2"/>
  <c r="Y809" i="2"/>
  <c r="W809" i="2"/>
  <c r="S809" i="2"/>
  <c r="N809" i="2"/>
  <c r="AC808" i="2"/>
  <c r="Y808" i="2"/>
  <c r="W808" i="2"/>
  <c r="S808" i="2"/>
  <c r="N808" i="2"/>
  <c r="AC807" i="2"/>
  <c r="Y807" i="2"/>
  <c r="W807" i="2"/>
  <c r="S807" i="2"/>
  <c r="N807" i="2"/>
  <c r="AA806" i="2"/>
  <c r="S806" i="2"/>
  <c r="U806" i="2" s="1"/>
  <c r="AC805" i="2"/>
  <c r="Y805" i="2"/>
  <c r="W805" i="2"/>
  <c r="S805" i="2"/>
  <c r="N805" i="2"/>
  <c r="AA766" i="2"/>
  <c r="S766" i="2"/>
  <c r="U766" i="2" s="1"/>
  <c r="AC760" i="2"/>
  <c r="Y760" i="2"/>
  <c r="W760" i="2"/>
  <c r="S760" i="2"/>
  <c r="N760" i="2"/>
  <c r="AC757" i="2"/>
  <c r="Y757" i="2"/>
  <c r="W757" i="2"/>
  <c r="S757" i="2"/>
  <c r="N757" i="2"/>
  <c r="AC756" i="2"/>
  <c r="Y756" i="2"/>
  <c r="W756" i="2"/>
  <c r="S756" i="2"/>
  <c r="N756" i="2"/>
  <c r="S755" i="2"/>
  <c r="U755" i="2" s="1"/>
  <c r="AB755" i="2" s="1"/>
  <c r="AC755" i="2" s="1"/>
  <c r="N755" i="2"/>
  <c r="AC754" i="2"/>
  <c r="Y754" i="2"/>
  <c r="W754" i="2"/>
  <c r="S754" i="2"/>
  <c r="N754" i="2"/>
  <c r="AC753" i="2"/>
  <c r="Y753" i="2"/>
  <c r="W753" i="2"/>
  <c r="S753" i="2"/>
  <c r="N753" i="2"/>
  <c r="AC752" i="2"/>
  <c r="Y752" i="2"/>
  <c r="W752" i="2"/>
  <c r="S752" i="2"/>
  <c r="N752" i="2"/>
  <c r="AC751" i="2"/>
  <c r="Y751" i="2"/>
  <c r="W751" i="2"/>
  <c r="S751" i="2"/>
  <c r="N751" i="2"/>
  <c r="AC748" i="2"/>
  <c r="Y748" i="2"/>
  <c r="W748" i="2"/>
  <c r="S748" i="2"/>
  <c r="N748" i="2"/>
  <c r="AC747" i="2"/>
  <c r="Y747" i="2"/>
  <c r="W747" i="2"/>
  <c r="S747" i="2"/>
  <c r="N747" i="2"/>
  <c r="S746" i="2"/>
  <c r="U746" i="2" s="1"/>
  <c r="AB746" i="2" s="1"/>
  <c r="AC746" i="2" s="1"/>
  <c r="N746" i="2"/>
  <c r="AA745" i="2"/>
  <c r="S745" i="2"/>
  <c r="U745" i="2" s="1"/>
  <c r="N745" i="2"/>
  <c r="AC744" i="2"/>
  <c r="Y744" i="2"/>
  <c r="W744" i="2"/>
  <c r="S744" i="2"/>
  <c r="N744" i="2"/>
  <c r="AC740" i="2"/>
  <c r="Y740" i="2"/>
  <c r="W740" i="2"/>
  <c r="S740" i="2"/>
  <c r="N740" i="2"/>
  <c r="AC739" i="2"/>
  <c r="Y739" i="2"/>
  <c r="W739" i="2"/>
  <c r="S739" i="2"/>
  <c r="N739" i="2"/>
  <c r="AC738" i="2"/>
  <c r="Y738" i="2"/>
  <c r="W738" i="2"/>
  <c r="S738" i="2"/>
  <c r="N738" i="2"/>
  <c r="AC737" i="2"/>
  <c r="Y737" i="2"/>
  <c r="W737" i="2"/>
  <c r="S737" i="2"/>
  <c r="N737" i="2"/>
  <c r="AC736" i="2"/>
  <c r="Y736" i="2"/>
  <c r="W736" i="2"/>
  <c r="S736" i="2"/>
  <c r="N736" i="2"/>
  <c r="AC735" i="2"/>
  <c r="Y735" i="2"/>
  <c r="W735" i="2"/>
  <c r="S735" i="2"/>
  <c r="N735" i="2"/>
  <c r="AC734" i="2"/>
  <c r="Y734" i="2"/>
  <c r="W734" i="2"/>
  <c r="S734" i="2"/>
  <c r="N734" i="2"/>
  <c r="AC733" i="2"/>
  <c r="Y733" i="2"/>
  <c r="W733" i="2"/>
  <c r="S733" i="2"/>
  <c r="N733" i="2"/>
  <c r="AC732" i="2"/>
  <c r="Y732" i="2"/>
  <c r="W732" i="2"/>
  <c r="S732" i="2"/>
  <c r="N732" i="2"/>
  <c r="AC731" i="2"/>
  <c r="Y731" i="2"/>
  <c r="W731" i="2"/>
  <c r="S731" i="2"/>
  <c r="N731" i="2"/>
  <c r="AC730" i="2"/>
  <c r="Y730" i="2"/>
  <c r="W730" i="2"/>
  <c r="S730" i="2"/>
  <c r="N730" i="2"/>
  <c r="AC729" i="2"/>
  <c r="Y729" i="2"/>
  <c r="W729" i="2"/>
  <c r="S729" i="2"/>
  <c r="N729" i="2"/>
  <c r="AC728" i="2"/>
  <c r="Y728" i="2"/>
  <c r="W728" i="2"/>
  <c r="S728" i="2"/>
  <c r="N728" i="2"/>
  <c r="AC727" i="2"/>
  <c r="Y727" i="2"/>
  <c r="W727" i="2"/>
  <c r="S727" i="2"/>
  <c r="N727" i="2"/>
  <c r="AC726" i="2"/>
  <c r="Y726" i="2"/>
  <c r="W726" i="2"/>
  <c r="S726" i="2"/>
  <c r="N726" i="2"/>
  <c r="AC725" i="2"/>
  <c r="Y725" i="2"/>
  <c r="W725" i="2"/>
  <c r="S725" i="2"/>
  <c r="N725" i="2"/>
  <c r="AC724" i="2"/>
  <c r="Y724" i="2"/>
  <c r="W724" i="2"/>
  <c r="S724" i="2"/>
  <c r="N724" i="2"/>
  <c r="AC723" i="2"/>
  <c r="Y723" i="2"/>
  <c r="W723" i="2"/>
  <c r="S723" i="2"/>
  <c r="N723" i="2"/>
  <c r="AC722" i="2"/>
  <c r="Y722" i="2"/>
  <c r="W722" i="2"/>
  <c r="S722" i="2"/>
  <c r="N722" i="2"/>
  <c r="AC721" i="2"/>
  <c r="Y721" i="2"/>
  <c r="W721" i="2"/>
  <c r="S721" i="2"/>
  <c r="N721" i="2"/>
  <c r="AC720" i="2"/>
  <c r="Y720" i="2"/>
  <c r="W720" i="2"/>
  <c r="S720" i="2"/>
  <c r="N720" i="2"/>
  <c r="AC719" i="2"/>
  <c r="Y719" i="2"/>
  <c r="W719" i="2"/>
  <c r="S719" i="2"/>
  <c r="N719" i="2"/>
  <c r="AC718" i="2"/>
  <c r="Y718" i="2"/>
  <c r="W718" i="2"/>
  <c r="S718" i="2"/>
  <c r="N718" i="2"/>
  <c r="AC717" i="2"/>
  <c r="Y717" i="2"/>
  <c r="W717" i="2"/>
  <c r="S717" i="2"/>
  <c r="N717" i="2"/>
  <c r="AC716" i="2"/>
  <c r="Y716" i="2"/>
  <c r="W716" i="2"/>
  <c r="S716" i="2"/>
  <c r="N716" i="2"/>
  <c r="AC715" i="2"/>
  <c r="Y715" i="2"/>
  <c r="W715" i="2"/>
  <c r="S715" i="2"/>
  <c r="N715" i="2"/>
  <c r="AC714" i="2"/>
  <c r="Y714" i="2"/>
  <c r="W714" i="2"/>
  <c r="S714" i="2"/>
  <c r="N714" i="2"/>
  <c r="AC713" i="2"/>
  <c r="Y713" i="2"/>
  <c r="W713" i="2"/>
  <c r="S713" i="2"/>
  <c r="N713" i="2"/>
  <c r="AC712" i="2"/>
  <c r="Y712" i="2"/>
  <c r="W712" i="2"/>
  <c r="S712" i="2"/>
  <c r="N712" i="2"/>
  <c r="AC711" i="2"/>
  <c r="Y711" i="2"/>
  <c r="W711" i="2"/>
  <c r="S711" i="2"/>
  <c r="N711" i="2"/>
  <c r="AC710" i="2"/>
  <c r="Y710" i="2"/>
  <c r="W710" i="2"/>
  <c r="S710" i="2"/>
  <c r="N710" i="2"/>
  <c r="AC709" i="2"/>
  <c r="Y709" i="2"/>
  <c r="W709" i="2"/>
  <c r="S709" i="2"/>
  <c r="N709" i="2"/>
  <c r="AC708" i="2"/>
  <c r="Y708" i="2"/>
  <c r="W708" i="2"/>
  <c r="S708" i="2"/>
  <c r="N708" i="2"/>
  <c r="AC707" i="2"/>
  <c r="Y707" i="2"/>
  <c r="W707" i="2"/>
  <c r="S707" i="2"/>
  <c r="N707" i="2"/>
  <c r="AC706" i="2"/>
  <c r="Y706" i="2"/>
  <c r="W706" i="2"/>
  <c r="S706" i="2"/>
  <c r="N706" i="2"/>
  <c r="AC705" i="2"/>
  <c r="Y705" i="2"/>
  <c r="W705" i="2"/>
  <c r="S705" i="2"/>
  <c r="N705" i="2"/>
  <c r="AA704" i="2"/>
  <c r="X704" i="2"/>
  <c r="S704" i="2"/>
  <c r="U704" i="2" s="1"/>
  <c r="N704" i="2"/>
  <c r="AA703" i="2"/>
  <c r="S703" i="2"/>
  <c r="U703" i="2" s="1"/>
  <c r="N703" i="2"/>
  <c r="AA702" i="2"/>
  <c r="S702" i="2"/>
  <c r="U702" i="2" s="1"/>
  <c r="N702" i="2"/>
  <c r="AA701" i="2"/>
  <c r="S701" i="2"/>
  <c r="U701" i="2" s="1"/>
  <c r="N701" i="2"/>
  <c r="AA700" i="2"/>
  <c r="S700" i="2"/>
  <c r="U700" i="2" s="1"/>
  <c r="N700" i="2"/>
  <c r="AC699" i="2"/>
  <c r="Y699" i="2"/>
  <c r="W699" i="2"/>
  <c r="S699" i="2"/>
  <c r="N699" i="2"/>
  <c r="Y698" i="2"/>
  <c r="W698" i="2"/>
  <c r="S698" i="2"/>
  <c r="N698" i="2"/>
  <c r="AC697" i="2"/>
  <c r="Y697" i="2"/>
  <c r="W697" i="2"/>
  <c r="S697" i="2"/>
  <c r="N697" i="2"/>
  <c r="AC696" i="2"/>
  <c r="Y696" i="2"/>
  <c r="W696" i="2"/>
  <c r="S696" i="2"/>
  <c r="N696" i="2"/>
  <c r="AC695" i="2"/>
  <c r="Y695" i="2"/>
  <c r="W695" i="2"/>
  <c r="S695" i="2"/>
  <c r="N695" i="2"/>
  <c r="AC694" i="2"/>
  <c r="Y694" i="2"/>
  <c r="W694" i="2"/>
  <c r="S694" i="2"/>
  <c r="N694" i="2"/>
  <c r="AC693" i="2"/>
  <c r="Y693" i="2"/>
  <c r="W693" i="2"/>
  <c r="S693" i="2"/>
  <c r="N693" i="2"/>
  <c r="AC692" i="2"/>
  <c r="Y692" i="2"/>
  <c r="W692" i="2"/>
  <c r="S692" i="2"/>
  <c r="N692" i="2"/>
  <c r="AC691" i="2"/>
  <c r="Y691" i="2"/>
  <c r="W691" i="2"/>
  <c r="S691" i="2"/>
  <c r="N691" i="2"/>
  <c r="AC690" i="2"/>
  <c r="Y690" i="2"/>
  <c r="W690" i="2"/>
  <c r="S690" i="2"/>
  <c r="N690" i="2"/>
  <c r="AC689" i="2"/>
  <c r="Y689" i="2"/>
  <c r="W689" i="2"/>
  <c r="S689" i="2"/>
  <c r="N689" i="2"/>
  <c r="AC688" i="2"/>
  <c r="Y688" i="2"/>
  <c r="W688" i="2"/>
  <c r="S688" i="2"/>
  <c r="N688" i="2"/>
  <c r="AC687" i="2"/>
  <c r="Y687" i="2"/>
  <c r="W687" i="2"/>
  <c r="S687" i="2"/>
  <c r="N687" i="2"/>
  <c r="S683" i="2"/>
  <c r="U683" i="2" s="1"/>
  <c r="AB683" i="2" s="1"/>
  <c r="AC683" i="2" s="1"/>
  <c r="N683" i="2"/>
  <c r="S682" i="2"/>
  <c r="U682" i="2" s="1"/>
  <c r="N682" i="2"/>
  <c r="S681" i="2"/>
  <c r="U681" i="2" s="1"/>
  <c r="AB681" i="2" s="1"/>
  <c r="AC681" i="2" s="1"/>
  <c r="N681" i="2"/>
  <c r="S680" i="2"/>
  <c r="U680" i="2" s="1"/>
  <c r="Y680" i="2" s="1"/>
  <c r="N680" i="2"/>
  <c r="S679" i="2"/>
  <c r="U679" i="2" s="1"/>
  <c r="AB679" i="2" s="1"/>
  <c r="AC679" i="2" s="1"/>
  <c r="N679" i="2"/>
  <c r="S678" i="2"/>
  <c r="U678" i="2" s="1"/>
  <c r="N678" i="2"/>
  <c r="S677" i="2"/>
  <c r="U677" i="2" s="1"/>
  <c r="AB677" i="2" s="1"/>
  <c r="AC677" i="2" s="1"/>
  <c r="N677" i="2"/>
  <c r="AC674" i="2"/>
  <c r="Y674" i="2"/>
  <c r="W674" i="2"/>
  <c r="S674" i="2"/>
  <c r="N674" i="2"/>
  <c r="AC673" i="2"/>
  <c r="Y673" i="2"/>
  <c r="W673" i="2"/>
  <c r="S673" i="2"/>
  <c r="N673" i="2"/>
  <c r="AC672" i="2"/>
  <c r="Y672" i="2"/>
  <c r="W672" i="2"/>
  <c r="S672" i="2"/>
  <c r="N672" i="2"/>
  <c r="AC671" i="2"/>
  <c r="Y671" i="2"/>
  <c r="W671" i="2"/>
  <c r="S671" i="2"/>
  <c r="N671" i="2"/>
  <c r="AC670" i="2"/>
  <c r="Y670" i="2"/>
  <c r="W670" i="2"/>
  <c r="S670" i="2"/>
  <c r="N670" i="2"/>
  <c r="AC669" i="2"/>
  <c r="Y669" i="2"/>
  <c r="W669" i="2"/>
  <c r="S669" i="2"/>
  <c r="N669" i="2"/>
  <c r="S668" i="2"/>
  <c r="U668" i="2" s="1"/>
  <c r="AB668" i="2" s="1"/>
  <c r="AC668" i="2" s="1"/>
  <c r="N668" i="2"/>
  <c r="S667" i="2"/>
  <c r="U667" i="2" s="1"/>
  <c r="N667" i="2"/>
  <c r="S666" i="2"/>
  <c r="U666" i="2" s="1"/>
  <c r="Y666" i="2" s="1"/>
  <c r="N666" i="2"/>
  <c r="AC665" i="2"/>
  <c r="Y665" i="2"/>
  <c r="W665" i="2"/>
  <c r="S665" i="2"/>
  <c r="N665" i="2"/>
  <c r="AC664" i="2"/>
  <c r="Y664" i="2"/>
  <c r="W664" i="2"/>
  <c r="S664" i="2"/>
  <c r="N664" i="2"/>
  <c r="AC663" i="2"/>
  <c r="Y663" i="2"/>
  <c r="W663" i="2"/>
  <c r="S663" i="2"/>
  <c r="N663" i="2"/>
  <c r="AC662" i="2"/>
  <c r="Y662" i="2"/>
  <c r="W662" i="2"/>
  <c r="S662" i="2"/>
  <c r="N662" i="2"/>
  <c r="AC661" i="2"/>
  <c r="Y661" i="2"/>
  <c r="W661" i="2"/>
  <c r="S661" i="2"/>
  <c r="N661" i="2"/>
  <c r="AC660" i="2"/>
  <c r="Y660" i="2"/>
  <c r="W660" i="2"/>
  <c r="S660" i="2"/>
  <c r="N660" i="2"/>
  <c r="AC659" i="2"/>
  <c r="Y659" i="2"/>
  <c r="W659" i="2"/>
  <c r="S659" i="2"/>
  <c r="N659" i="2"/>
  <c r="AC658" i="2"/>
  <c r="Y658" i="2"/>
  <c r="W658" i="2"/>
  <c r="S658" i="2"/>
  <c r="N658" i="2"/>
  <c r="AC657" i="2"/>
  <c r="Y657" i="2"/>
  <c r="W657" i="2"/>
  <c r="S657" i="2"/>
  <c r="N657" i="2"/>
  <c r="AC656" i="2"/>
  <c r="Y656" i="2"/>
  <c r="W656" i="2"/>
  <c r="S656" i="2"/>
  <c r="N656" i="2"/>
  <c r="AC655" i="2"/>
  <c r="Y655" i="2"/>
  <c r="W655" i="2"/>
  <c r="S655" i="2"/>
  <c r="N655" i="2"/>
  <c r="AC654" i="2"/>
  <c r="Y654" i="2"/>
  <c r="W654" i="2"/>
  <c r="S654" i="2"/>
  <c r="N654" i="2"/>
  <c r="AC653" i="2"/>
  <c r="Y653" i="2"/>
  <c r="W653" i="2"/>
  <c r="S653" i="2"/>
  <c r="N653" i="2"/>
  <c r="AC652" i="2"/>
  <c r="Y652" i="2"/>
  <c r="W652" i="2"/>
  <c r="S652" i="2"/>
  <c r="N652" i="2"/>
  <c r="AC651" i="2"/>
  <c r="Y651" i="2"/>
  <c r="W651" i="2"/>
  <c r="S651" i="2"/>
  <c r="N651" i="2"/>
  <c r="AC650" i="2"/>
  <c r="Y650" i="2"/>
  <c r="W650" i="2"/>
  <c r="S650" i="2"/>
  <c r="N650" i="2"/>
  <c r="AC649" i="2"/>
  <c r="Y649" i="2"/>
  <c r="W649" i="2"/>
  <c r="S649" i="2"/>
  <c r="N649" i="2"/>
  <c r="AC648" i="2"/>
  <c r="Y648" i="2"/>
  <c r="W648" i="2"/>
  <c r="S648" i="2"/>
  <c r="N648" i="2"/>
  <c r="AC647" i="2"/>
  <c r="Y647" i="2"/>
  <c r="W647" i="2"/>
  <c r="S647" i="2"/>
  <c r="N647" i="2"/>
  <c r="AC646" i="2"/>
  <c r="Y646" i="2"/>
  <c r="W646" i="2"/>
  <c r="S646" i="2"/>
  <c r="N646" i="2"/>
  <c r="AC645" i="2"/>
  <c r="Y645" i="2"/>
  <c r="W645" i="2"/>
  <c r="S645" i="2"/>
  <c r="N645" i="2"/>
  <c r="AC644" i="2"/>
  <c r="Y644" i="2"/>
  <c r="W644" i="2"/>
  <c r="S644" i="2"/>
  <c r="N644" i="2"/>
  <c r="AC643" i="2"/>
  <c r="Y643" i="2"/>
  <c r="W643" i="2"/>
  <c r="S643" i="2"/>
  <c r="N643" i="2"/>
  <c r="AC642" i="2"/>
  <c r="Y642" i="2"/>
  <c r="W642" i="2"/>
  <c r="S642" i="2"/>
  <c r="N642" i="2"/>
  <c r="AC641" i="2"/>
  <c r="Y641" i="2"/>
  <c r="W641" i="2"/>
  <c r="S641" i="2"/>
  <c r="N641" i="2"/>
  <c r="AC640" i="2"/>
  <c r="Y640" i="2"/>
  <c r="W640" i="2"/>
  <c r="S640" i="2"/>
  <c r="N640" i="2"/>
  <c r="AC639" i="2"/>
  <c r="Y639" i="2"/>
  <c r="W639" i="2"/>
  <c r="S639" i="2"/>
  <c r="N639" i="2"/>
  <c r="AC638" i="2"/>
  <c r="Y638" i="2"/>
  <c r="W638" i="2"/>
  <c r="S638" i="2"/>
  <c r="N638" i="2"/>
  <c r="AC637" i="2"/>
  <c r="Y637" i="2"/>
  <c r="W637" i="2"/>
  <c r="S637" i="2"/>
  <c r="N637" i="2"/>
  <c r="AC636" i="2"/>
  <c r="Y636" i="2"/>
  <c r="W636" i="2"/>
  <c r="S636" i="2"/>
  <c r="N636" i="2"/>
  <c r="AC635" i="2"/>
  <c r="Y635" i="2"/>
  <c r="W635" i="2"/>
  <c r="S635" i="2"/>
  <c r="N635" i="2"/>
  <c r="AC634" i="2"/>
  <c r="Y634" i="2"/>
  <c r="W634" i="2"/>
  <c r="S634" i="2"/>
  <c r="N634" i="2"/>
  <c r="AC633" i="2"/>
  <c r="Y633" i="2"/>
  <c r="W633" i="2"/>
  <c r="S633" i="2"/>
  <c r="N633" i="2"/>
  <c r="AC632" i="2"/>
  <c r="Y632" i="2"/>
  <c r="W632" i="2"/>
  <c r="S632" i="2"/>
  <c r="N632" i="2"/>
  <c r="AA631" i="2"/>
  <c r="S631" i="2"/>
  <c r="U631" i="2" s="1"/>
  <c r="N631" i="2"/>
  <c r="AA630" i="2"/>
  <c r="S630" i="2"/>
  <c r="U630" i="2" s="1"/>
  <c r="Y630" i="2" s="1"/>
  <c r="N630" i="2"/>
  <c r="AA629" i="2"/>
  <c r="U629" i="2"/>
  <c r="Y629" i="2" s="1"/>
  <c r="AA628" i="2"/>
  <c r="S628" i="2"/>
  <c r="U628" i="2" s="1"/>
  <c r="N628" i="2"/>
  <c r="AC627" i="2"/>
  <c r="Y627" i="2"/>
  <c r="W627" i="2"/>
  <c r="S627" i="2"/>
  <c r="N627" i="2"/>
  <c r="AA626" i="2"/>
  <c r="S626" i="2"/>
  <c r="U626" i="2" s="1"/>
  <c r="N626" i="2"/>
  <c r="S625" i="2"/>
  <c r="U625" i="2" s="1"/>
  <c r="N625" i="2"/>
  <c r="S624" i="2"/>
  <c r="U624" i="2" s="1"/>
  <c r="N624" i="2"/>
  <c r="AC623" i="2"/>
  <c r="Y623" i="2"/>
  <c r="W623" i="2"/>
  <c r="S623" i="2"/>
  <c r="N623" i="2"/>
  <c r="AC622" i="2"/>
  <c r="Y622" i="2"/>
  <c r="W622" i="2"/>
  <c r="S622" i="2"/>
  <c r="N622" i="2"/>
  <c r="AC621" i="2"/>
  <c r="Y621" i="2"/>
  <c r="W621" i="2"/>
  <c r="S621" i="2"/>
  <c r="N621" i="2"/>
  <c r="AC620" i="2"/>
  <c r="Y620" i="2"/>
  <c r="W620" i="2"/>
  <c r="S620" i="2"/>
  <c r="N620" i="2"/>
  <c r="AC619" i="2"/>
  <c r="Y619" i="2"/>
  <c r="W619" i="2"/>
  <c r="S619" i="2"/>
  <c r="N619" i="2"/>
  <c r="AC618" i="2"/>
  <c r="Y618" i="2"/>
  <c r="W618" i="2"/>
  <c r="S618" i="2"/>
  <c r="N618" i="2"/>
  <c r="AA617" i="2"/>
  <c r="X617" i="2"/>
  <c r="S617" i="2"/>
  <c r="U617" i="2" s="1"/>
  <c r="N617" i="2"/>
  <c r="AA616" i="2"/>
  <c r="S616" i="2"/>
  <c r="U616" i="2" s="1"/>
  <c r="Y616" i="2" s="1"/>
  <c r="N616" i="2"/>
  <c r="AC615" i="2"/>
  <c r="Y615" i="2"/>
  <c r="W615" i="2"/>
  <c r="S615" i="2"/>
  <c r="N615" i="2"/>
  <c r="AC614" i="2"/>
  <c r="Y614" i="2"/>
  <c r="W614" i="2"/>
  <c r="S614" i="2"/>
  <c r="N614" i="2"/>
  <c r="AA613" i="2"/>
  <c r="S613" i="2"/>
  <c r="U613" i="2" s="1"/>
  <c r="N613" i="2"/>
  <c r="AC612" i="2"/>
  <c r="Y612" i="2"/>
  <c r="W612" i="2"/>
  <c r="S612" i="2"/>
  <c r="N612" i="2"/>
  <c r="AA611" i="2"/>
  <c r="S611" i="2"/>
  <c r="U611" i="2" s="1"/>
  <c r="N611" i="2"/>
  <c r="AA610" i="2"/>
  <c r="S610" i="2"/>
  <c r="U610" i="2" s="1"/>
  <c r="N610" i="2"/>
  <c r="AA609" i="2"/>
  <c r="S609" i="2"/>
  <c r="U609" i="2" s="1"/>
  <c r="Y609" i="2" s="1"/>
  <c r="S608" i="2"/>
  <c r="U608" i="2" s="1"/>
  <c r="N608" i="2"/>
  <c r="AC607" i="2"/>
  <c r="Y607" i="2"/>
  <c r="W607" i="2"/>
  <c r="S607" i="2"/>
  <c r="N607" i="2"/>
  <c r="AC606" i="2"/>
  <c r="Y606" i="2"/>
  <c r="W606" i="2"/>
  <c r="S606" i="2"/>
  <c r="N606" i="2"/>
  <c r="AC605" i="2"/>
  <c r="Y605" i="2"/>
  <c r="W605" i="2"/>
  <c r="S605" i="2"/>
  <c r="N605" i="2"/>
  <c r="AC604" i="2"/>
  <c r="Y604" i="2"/>
  <c r="W604" i="2"/>
  <c r="S604" i="2"/>
  <c r="N604" i="2"/>
  <c r="AC603" i="2"/>
  <c r="Y603" i="2"/>
  <c r="W603" i="2"/>
  <c r="S603" i="2"/>
  <c r="N603" i="2"/>
  <c r="AC602" i="2"/>
  <c r="Y602" i="2"/>
  <c r="W602" i="2"/>
  <c r="S602" i="2"/>
  <c r="N602" i="2"/>
  <c r="AA601" i="2"/>
  <c r="S601" i="2"/>
  <c r="U601" i="2" s="1"/>
  <c r="N601" i="2"/>
  <c r="AA600" i="2"/>
  <c r="S600" i="2"/>
  <c r="U600" i="2" s="1"/>
  <c r="Y600" i="2" s="1"/>
  <c r="N600" i="2"/>
  <c r="AA599" i="2"/>
  <c r="S599" i="2"/>
  <c r="U599" i="2" s="1"/>
  <c r="N599" i="2"/>
  <c r="AA598" i="2"/>
  <c r="S598" i="2"/>
  <c r="U598" i="2" s="1"/>
  <c r="N598" i="2"/>
  <c r="AA597" i="2"/>
  <c r="S597" i="2"/>
  <c r="U597" i="2" s="1"/>
  <c r="N597" i="2"/>
  <c r="AA596" i="2"/>
  <c r="S596" i="2"/>
  <c r="U596" i="2" s="1"/>
  <c r="Y596" i="2" s="1"/>
  <c r="N596" i="2"/>
  <c r="AA595" i="2"/>
  <c r="S595" i="2"/>
  <c r="U595" i="2" s="1"/>
  <c r="N595" i="2"/>
  <c r="AA594" i="2"/>
  <c r="S594" i="2"/>
  <c r="U594" i="2" s="1"/>
  <c r="N594" i="2"/>
  <c r="AA593" i="2"/>
  <c r="S593" i="2"/>
  <c r="U593" i="2" s="1"/>
  <c r="N593" i="2"/>
  <c r="AA592" i="2"/>
  <c r="S592" i="2"/>
  <c r="U592" i="2" s="1"/>
  <c r="Y592" i="2" s="1"/>
  <c r="N592" i="2"/>
  <c r="AA591" i="2"/>
  <c r="S591" i="2"/>
  <c r="U591" i="2" s="1"/>
  <c r="N591" i="2"/>
  <c r="S590" i="2"/>
  <c r="U590" i="2" s="1"/>
  <c r="AB590" i="2" s="1"/>
  <c r="AC590" i="2" s="1"/>
  <c r="N590" i="2"/>
  <c r="S589" i="2"/>
  <c r="U589" i="2" s="1"/>
  <c r="N589" i="2"/>
  <c r="S588" i="2"/>
  <c r="U588" i="2" s="1"/>
  <c r="N588" i="2"/>
  <c r="S587" i="2"/>
  <c r="U587" i="2" s="1"/>
  <c r="N587" i="2"/>
  <c r="S586" i="2"/>
  <c r="U586" i="2" s="1"/>
  <c r="AB586" i="2" s="1"/>
  <c r="AC586" i="2" s="1"/>
  <c r="N586" i="2"/>
  <c r="S585" i="2"/>
  <c r="U585" i="2" s="1"/>
  <c r="N585" i="2"/>
  <c r="AA584" i="2"/>
  <c r="S584" i="2"/>
  <c r="U584" i="2" s="1"/>
  <c r="N584" i="2"/>
  <c r="S583" i="2"/>
  <c r="U583" i="2" s="1"/>
  <c r="N583" i="2"/>
  <c r="S582" i="2"/>
  <c r="U582" i="2" s="1"/>
  <c r="Y582" i="2" s="1"/>
  <c r="N582" i="2"/>
  <c r="AC581" i="2"/>
  <c r="Y581" i="2"/>
  <c r="W581" i="2"/>
  <c r="S581" i="2"/>
  <c r="N581" i="2"/>
  <c r="AC580" i="2"/>
  <c r="Y580" i="2"/>
  <c r="W580" i="2"/>
  <c r="S580" i="2"/>
  <c r="N580" i="2"/>
  <c r="AC579" i="2"/>
  <c r="Y579" i="2"/>
  <c r="W579" i="2"/>
  <c r="S579" i="2"/>
  <c r="N579" i="2"/>
  <c r="AC578" i="2"/>
  <c r="Y578" i="2"/>
  <c r="W578" i="2"/>
  <c r="S578" i="2"/>
  <c r="N578" i="2"/>
  <c r="AC577" i="2"/>
  <c r="Y577" i="2"/>
  <c r="W577" i="2"/>
  <c r="S577" i="2"/>
  <c r="N577" i="2"/>
  <c r="AC576" i="2"/>
  <c r="Y576" i="2"/>
  <c r="W576" i="2"/>
  <c r="S576" i="2"/>
  <c r="N576" i="2"/>
  <c r="AA575" i="2"/>
  <c r="S575" i="2"/>
  <c r="U575" i="2" s="1"/>
  <c r="N575" i="2"/>
  <c r="S574" i="2"/>
  <c r="U574" i="2" s="1"/>
  <c r="AB574" i="2" s="1"/>
  <c r="AC574" i="2" s="1"/>
  <c r="N574" i="2"/>
  <c r="S573" i="2"/>
  <c r="U573" i="2" s="1"/>
  <c r="N573" i="2"/>
  <c r="S572" i="2"/>
  <c r="U572" i="2" s="1"/>
  <c r="N572" i="2"/>
  <c r="AA571" i="2"/>
  <c r="S571" i="2"/>
  <c r="U571" i="2" s="1"/>
  <c r="N571" i="2"/>
  <c r="AC570" i="2"/>
  <c r="Y570" i="2"/>
  <c r="W570" i="2"/>
  <c r="S570" i="2"/>
  <c r="N570" i="2"/>
  <c r="AC569" i="2"/>
  <c r="Y569" i="2"/>
  <c r="W569" i="2"/>
  <c r="S569" i="2"/>
  <c r="N569" i="2"/>
  <c r="AC568" i="2"/>
  <c r="Y568" i="2"/>
  <c r="W568" i="2"/>
  <c r="S568" i="2"/>
  <c r="N568" i="2"/>
  <c r="AC567" i="2"/>
  <c r="Y567" i="2"/>
  <c r="W567" i="2"/>
  <c r="S567" i="2"/>
  <c r="N567" i="2"/>
  <c r="AC566" i="2"/>
  <c r="Y566" i="2"/>
  <c r="W566" i="2"/>
  <c r="S566" i="2"/>
  <c r="N566" i="2"/>
  <c r="AC565" i="2"/>
  <c r="Y565" i="2"/>
  <c r="W565" i="2"/>
  <c r="S565" i="2"/>
  <c r="N565" i="2"/>
  <c r="AC564" i="2"/>
  <c r="Y564" i="2"/>
  <c r="W564" i="2"/>
  <c r="S564" i="2"/>
  <c r="N564" i="2"/>
  <c r="AC563" i="2"/>
  <c r="Y563" i="2"/>
  <c r="W563" i="2"/>
  <c r="S563" i="2"/>
  <c r="N563" i="2"/>
  <c r="S562" i="2"/>
  <c r="U562" i="2" s="1"/>
  <c r="AB562" i="2" s="1"/>
  <c r="AC562" i="2" s="1"/>
  <c r="N562" i="2"/>
  <c r="AC561" i="2"/>
  <c r="Y561" i="2"/>
  <c r="W561" i="2"/>
  <c r="S561" i="2"/>
  <c r="N561" i="2"/>
  <c r="AC560" i="2"/>
  <c r="Y560" i="2"/>
  <c r="W560" i="2"/>
  <c r="S560" i="2"/>
  <c r="N560" i="2"/>
  <c r="AC559" i="2"/>
  <c r="Y559" i="2"/>
  <c r="W559" i="2"/>
  <c r="S559" i="2"/>
  <c r="N559" i="2"/>
  <c r="AC558" i="2"/>
  <c r="Y558" i="2"/>
  <c r="W558" i="2"/>
  <c r="S558" i="2"/>
  <c r="N558" i="2"/>
  <c r="AC557" i="2"/>
  <c r="Y557" i="2"/>
  <c r="W557" i="2"/>
  <c r="S557" i="2"/>
  <c r="N557" i="2"/>
  <c r="AC556" i="2"/>
  <c r="Y556" i="2"/>
  <c r="W556" i="2"/>
  <c r="S556" i="2"/>
  <c r="N556" i="2"/>
  <c r="AC555" i="2"/>
  <c r="Y555" i="2"/>
  <c r="W555" i="2"/>
  <c r="S555" i="2"/>
  <c r="N555" i="2"/>
  <c r="AC554" i="2"/>
  <c r="Y554" i="2"/>
  <c r="W554" i="2"/>
  <c r="S554" i="2"/>
  <c r="N554" i="2"/>
  <c r="AC553" i="2"/>
  <c r="Y553" i="2"/>
  <c r="W553" i="2"/>
  <c r="S553" i="2"/>
  <c r="N553" i="2"/>
  <c r="AA552" i="2"/>
  <c r="S552" i="2"/>
  <c r="U552" i="2" s="1"/>
  <c r="N552" i="2"/>
  <c r="S551" i="2"/>
  <c r="U551" i="2" s="1"/>
  <c r="N551" i="2"/>
  <c r="S550" i="2"/>
  <c r="U550" i="2" s="1"/>
  <c r="N550" i="2"/>
  <c r="S549" i="2"/>
  <c r="U549" i="2" s="1"/>
  <c r="AB549" i="2" s="1"/>
  <c r="AC549" i="2" s="1"/>
  <c r="N549" i="2"/>
  <c r="S548" i="2"/>
  <c r="U548" i="2" s="1"/>
  <c r="N548" i="2"/>
  <c r="S547" i="2"/>
  <c r="U547" i="2" s="1"/>
  <c r="N547" i="2"/>
  <c r="S546" i="2"/>
  <c r="U546" i="2" s="1"/>
  <c r="N546" i="2"/>
  <c r="S545" i="2"/>
  <c r="U545" i="2" s="1"/>
  <c r="N545" i="2"/>
  <c r="S544" i="2"/>
  <c r="U544" i="2" s="1"/>
  <c r="N544" i="2"/>
  <c r="S543" i="2"/>
  <c r="U543" i="2" s="1"/>
  <c r="N543" i="2"/>
  <c r="AC542" i="2"/>
  <c r="Y542" i="2"/>
  <c r="W542" i="2"/>
  <c r="S542" i="2"/>
  <c r="N542" i="2"/>
  <c r="AC541" i="2"/>
  <c r="Y541" i="2"/>
  <c r="W541" i="2"/>
  <c r="S541" i="2"/>
  <c r="N541" i="2"/>
  <c r="AC540" i="2"/>
  <c r="Y540" i="2"/>
  <c r="W540" i="2"/>
  <c r="S540" i="2"/>
  <c r="N540" i="2"/>
  <c r="AC539" i="2"/>
  <c r="Y539" i="2"/>
  <c r="W539" i="2"/>
  <c r="S539" i="2"/>
  <c r="N539" i="2"/>
  <c r="AC538" i="2"/>
  <c r="Y538" i="2"/>
  <c r="W538" i="2"/>
  <c r="S538" i="2"/>
  <c r="N538" i="2"/>
  <c r="AC537" i="2"/>
  <c r="Y537" i="2"/>
  <c r="W537" i="2"/>
  <c r="S537" i="2"/>
  <c r="N537" i="2"/>
  <c r="AC536" i="2"/>
  <c r="Y536" i="2"/>
  <c r="W536" i="2"/>
  <c r="S536" i="2"/>
  <c r="N536" i="2"/>
  <c r="AC535" i="2"/>
  <c r="Y535" i="2"/>
  <c r="W535" i="2"/>
  <c r="S535" i="2"/>
  <c r="N535" i="2"/>
  <c r="AC534" i="2"/>
  <c r="Y534" i="2"/>
  <c r="W534" i="2"/>
  <c r="S534" i="2"/>
  <c r="N534" i="2"/>
  <c r="AC533" i="2"/>
  <c r="Y533" i="2"/>
  <c r="W533" i="2"/>
  <c r="S533" i="2"/>
  <c r="N533" i="2"/>
  <c r="AC532" i="2"/>
  <c r="Y532" i="2"/>
  <c r="W532" i="2"/>
  <c r="S532" i="2"/>
  <c r="N532" i="2"/>
  <c r="AA531" i="2"/>
  <c r="S531" i="2"/>
  <c r="U531" i="2" s="1"/>
  <c r="N531" i="2"/>
  <c r="AC530" i="2"/>
  <c r="Y530" i="2"/>
  <c r="W530" i="2"/>
  <c r="S530" i="2"/>
  <c r="N530" i="2"/>
  <c r="AC529" i="2"/>
  <c r="Y529" i="2"/>
  <c r="W529" i="2"/>
  <c r="S529" i="2"/>
  <c r="N529" i="2"/>
  <c r="S528" i="2"/>
  <c r="U528" i="2" s="1"/>
  <c r="AB528" i="2" s="1"/>
  <c r="AC528" i="2" s="1"/>
  <c r="N528" i="2"/>
  <c r="AC527" i="2"/>
  <c r="Y527" i="2"/>
  <c r="W527" i="2"/>
  <c r="S527" i="2"/>
  <c r="N527" i="2"/>
  <c r="AC526" i="2"/>
  <c r="Y526" i="2"/>
  <c r="W526" i="2"/>
  <c r="S526" i="2"/>
  <c r="N526" i="2"/>
  <c r="AC525" i="2"/>
  <c r="Y525" i="2"/>
  <c r="W525" i="2"/>
  <c r="S525" i="2"/>
  <c r="N525" i="2"/>
  <c r="AC524" i="2"/>
  <c r="Y524" i="2"/>
  <c r="W524" i="2"/>
  <c r="S524" i="2"/>
  <c r="N524" i="2"/>
  <c r="AC523" i="2"/>
  <c r="Y523" i="2"/>
  <c r="W523" i="2"/>
  <c r="S523" i="2"/>
  <c r="N523" i="2"/>
  <c r="AC522" i="2"/>
  <c r="Y522" i="2"/>
  <c r="W522" i="2"/>
  <c r="S522" i="2"/>
  <c r="N522" i="2"/>
  <c r="AA521" i="2"/>
  <c r="S521" i="2"/>
  <c r="U521" i="2" s="1"/>
  <c r="N521" i="2"/>
  <c r="AA520" i="2"/>
  <c r="S520" i="2"/>
  <c r="U520" i="2" s="1"/>
  <c r="Y520" i="2" s="1"/>
  <c r="N520" i="2"/>
  <c r="AA519" i="2"/>
  <c r="S519" i="2"/>
  <c r="U519" i="2" s="1"/>
  <c r="N519" i="2"/>
  <c r="AA518" i="2"/>
  <c r="S518" i="2"/>
  <c r="U518" i="2" s="1"/>
  <c r="N518" i="2"/>
  <c r="S517" i="2"/>
  <c r="U517" i="2" s="1"/>
  <c r="AB517" i="2" s="1"/>
  <c r="AC517" i="2" s="1"/>
  <c r="N517" i="2"/>
  <c r="S516" i="2"/>
  <c r="U516" i="2" s="1"/>
  <c r="N516" i="2"/>
  <c r="S515" i="2"/>
  <c r="U515" i="2" s="1"/>
  <c r="AB515" i="2" s="1"/>
  <c r="AC515" i="2" s="1"/>
  <c r="N515" i="2"/>
  <c r="S514" i="2"/>
  <c r="U514" i="2" s="1"/>
  <c r="N514" i="2"/>
  <c r="S513" i="2"/>
  <c r="U513" i="2" s="1"/>
  <c r="AB513" i="2" s="1"/>
  <c r="AC513" i="2" s="1"/>
  <c r="N513" i="2"/>
  <c r="S512" i="2"/>
  <c r="U512" i="2" s="1"/>
  <c r="N512" i="2"/>
  <c r="AC511" i="2"/>
  <c r="Y511" i="2"/>
  <c r="W511" i="2"/>
  <c r="S511" i="2"/>
  <c r="N511" i="2"/>
  <c r="AC510" i="2"/>
  <c r="Y510" i="2"/>
  <c r="W510" i="2"/>
  <c r="S510" i="2"/>
  <c r="N510" i="2"/>
  <c r="AC509" i="2"/>
  <c r="Y509" i="2"/>
  <c r="W509" i="2"/>
  <c r="S509" i="2"/>
  <c r="N509" i="2"/>
  <c r="AC508" i="2"/>
  <c r="Y508" i="2"/>
  <c r="W508" i="2"/>
  <c r="S508" i="2"/>
  <c r="N508" i="2"/>
  <c r="AC507" i="2"/>
  <c r="Y507" i="2"/>
  <c r="W507" i="2"/>
  <c r="S507" i="2"/>
  <c r="N507" i="2"/>
  <c r="AC506" i="2"/>
  <c r="Y506" i="2"/>
  <c r="W506" i="2"/>
  <c r="S506" i="2"/>
  <c r="N506" i="2"/>
  <c r="AC505" i="2"/>
  <c r="Y505" i="2"/>
  <c r="W505" i="2"/>
  <c r="S505" i="2"/>
  <c r="N505" i="2"/>
  <c r="AC504" i="2"/>
  <c r="Y504" i="2"/>
  <c r="W504" i="2"/>
  <c r="S504" i="2"/>
  <c r="N504" i="2"/>
  <c r="AC503" i="2"/>
  <c r="Y503" i="2"/>
  <c r="W503" i="2"/>
  <c r="S503" i="2"/>
  <c r="N503" i="2"/>
  <c r="AC502" i="2"/>
  <c r="Y502" i="2"/>
  <c r="W502" i="2"/>
  <c r="S502" i="2"/>
  <c r="N502" i="2"/>
  <c r="AC501" i="2"/>
  <c r="Y501" i="2"/>
  <c r="W501" i="2"/>
  <c r="S501" i="2"/>
  <c r="N501" i="2"/>
  <c r="AC500" i="2"/>
  <c r="Y500" i="2"/>
  <c r="W500" i="2"/>
  <c r="S500" i="2"/>
  <c r="N500" i="2"/>
  <c r="AC499" i="2"/>
  <c r="Y499" i="2"/>
  <c r="W499" i="2"/>
  <c r="S499" i="2"/>
  <c r="N499" i="2"/>
  <c r="AC498" i="2"/>
  <c r="Y498" i="2"/>
  <c r="W498" i="2"/>
  <c r="S498" i="2"/>
  <c r="N498" i="2"/>
  <c r="AA495" i="2"/>
  <c r="S495" i="2"/>
  <c r="U495" i="2" s="1"/>
  <c r="N495" i="2"/>
  <c r="AA494" i="2"/>
  <c r="S494" i="2"/>
  <c r="U494" i="2" s="1"/>
  <c r="Y494" i="2" s="1"/>
  <c r="AA493" i="2"/>
  <c r="S493" i="2"/>
  <c r="U493" i="2" s="1"/>
  <c r="Y493" i="2" s="1"/>
  <c r="N493" i="2"/>
  <c r="S492" i="2"/>
  <c r="U492" i="2" s="1"/>
  <c r="AB492" i="2" s="1"/>
  <c r="AC492" i="2" s="1"/>
  <c r="N492" i="2"/>
  <c r="S491" i="2"/>
  <c r="U491" i="2" s="1"/>
  <c r="AB491" i="2" s="1"/>
  <c r="AC491" i="2" s="1"/>
  <c r="N491" i="2"/>
  <c r="AC490" i="2"/>
  <c r="Y490" i="2"/>
  <c r="W490" i="2"/>
  <c r="S490" i="2"/>
  <c r="N490" i="2"/>
  <c r="AC489" i="2"/>
  <c r="Y489" i="2"/>
  <c r="W489" i="2"/>
  <c r="S489" i="2"/>
  <c r="N489" i="2"/>
  <c r="AC488" i="2"/>
  <c r="Y488" i="2"/>
  <c r="W488" i="2"/>
  <c r="S488" i="2"/>
  <c r="N488" i="2"/>
  <c r="AC487" i="2"/>
  <c r="Y487" i="2"/>
  <c r="W487" i="2"/>
  <c r="S487" i="2"/>
  <c r="N487" i="2"/>
  <c r="AC486" i="2"/>
  <c r="Y486" i="2"/>
  <c r="W486" i="2"/>
  <c r="S486" i="2"/>
  <c r="N486" i="2"/>
  <c r="AC485" i="2"/>
  <c r="Y485" i="2"/>
  <c r="W485" i="2"/>
  <c r="S485" i="2"/>
  <c r="N485" i="2"/>
  <c r="AA484" i="2"/>
  <c r="S484" i="2"/>
  <c r="U484" i="2" s="1"/>
  <c r="N484" i="2"/>
  <c r="AA483" i="2"/>
  <c r="S483" i="2"/>
  <c r="U483" i="2" s="1"/>
  <c r="N483" i="2"/>
  <c r="Z934" i="2" l="1"/>
  <c r="Z760" i="2"/>
  <c r="Z809" i="2"/>
  <c r="Z938" i="2"/>
  <c r="AB703" i="2"/>
  <c r="AC703" i="2" s="1"/>
  <c r="Z705" i="2"/>
  <c r="Z751" i="2"/>
  <c r="Z847" i="2"/>
  <c r="Z903" i="2"/>
  <c r="Z930" i="2"/>
  <c r="Z942" i="2"/>
  <c r="Z905" i="2"/>
  <c r="Z909" i="2"/>
  <c r="Z936" i="2"/>
  <c r="P805" i="2"/>
  <c r="P807" i="2" s="1"/>
  <c r="Z736" i="2"/>
  <c r="Y878" i="2"/>
  <c r="Z878" i="2" s="1"/>
  <c r="Z886" i="2"/>
  <c r="Z657" i="2"/>
  <c r="Z943" i="2"/>
  <c r="Z948" i="2"/>
  <c r="Z641" i="2"/>
  <c r="Z645" i="2"/>
  <c r="Z931" i="2"/>
  <c r="Z603" i="2"/>
  <c r="Z709" i="2"/>
  <c r="Z713" i="2"/>
  <c r="Z851" i="2"/>
  <c r="Z859" i="2"/>
  <c r="Z933" i="2"/>
  <c r="Z932" i="2"/>
  <c r="Z698" i="2"/>
  <c r="Z940" i="2"/>
  <c r="Z498" i="2"/>
  <c r="Z502" i="2"/>
  <c r="Z524" i="2"/>
  <c r="Z565" i="2"/>
  <c r="Z578" i="2"/>
  <c r="AG578" i="2" s="1"/>
  <c r="Z715" i="2"/>
  <c r="Z719" i="2"/>
  <c r="Z756" i="2"/>
  <c r="AB806" i="2"/>
  <c r="AC806" i="2" s="1"/>
  <c r="Z807" i="2"/>
  <c r="AB832" i="2"/>
  <c r="AC832" i="2" s="1"/>
  <c r="AB840" i="2"/>
  <c r="AC840" i="2" s="1"/>
  <c r="Z937" i="2"/>
  <c r="Z757" i="2"/>
  <c r="Z894" i="2"/>
  <c r="Z898" i="2"/>
  <c r="Z935" i="2"/>
  <c r="Z939" i="2"/>
  <c r="Z699" i="2"/>
  <c r="Z717" i="2"/>
  <c r="Z721" i="2"/>
  <c r="Z725" i="2"/>
  <c r="Z737" i="2"/>
  <c r="Z855" i="2"/>
  <c r="Z907" i="2"/>
  <c r="Z911" i="2"/>
  <c r="Z650" i="2"/>
  <c r="Z692" i="2"/>
  <c r="Z696" i="2"/>
  <c r="Z848" i="2"/>
  <c r="Z852" i="2"/>
  <c r="Z856" i="2"/>
  <c r="Z888" i="2"/>
  <c r="Z892" i="2"/>
  <c r="Z896" i="2"/>
  <c r="Z900" i="2"/>
  <c r="Z908" i="2"/>
  <c r="Z941" i="2"/>
  <c r="Z944" i="2"/>
  <c r="Z947" i="2"/>
  <c r="Y1003" i="2"/>
  <c r="AB1003" i="2"/>
  <c r="AC1003" i="2" s="1"/>
  <c r="Z890" i="2"/>
  <c r="Z902" i="2"/>
  <c r="Z946" i="2"/>
  <c r="Z949" i="2"/>
  <c r="Z500" i="2"/>
  <c r="Z658" i="2"/>
  <c r="Z689" i="2"/>
  <c r="Z697" i="2"/>
  <c r="Z706" i="2"/>
  <c r="Z722" i="2"/>
  <c r="Z726" i="2"/>
  <c r="Z887" i="2"/>
  <c r="Z891" i="2"/>
  <c r="Z913" i="2"/>
  <c r="Z660" i="2"/>
  <c r="Z690" i="2"/>
  <c r="Z739" i="2"/>
  <c r="Z849" i="2"/>
  <c r="Z865" i="2"/>
  <c r="Z927" i="2"/>
  <c r="Y1002" i="2"/>
  <c r="Y1004" i="2"/>
  <c r="U1005" i="2"/>
  <c r="Y945" i="2"/>
  <c r="AB945" i="2"/>
  <c r="AC945" i="2" s="1"/>
  <c r="W945" i="2"/>
  <c r="Y929" i="2"/>
  <c r="Y928" i="2"/>
  <c r="AB928" i="2"/>
  <c r="AC928" i="2" s="1"/>
  <c r="W928" i="2"/>
  <c r="Y914" i="2"/>
  <c r="AB914" i="2"/>
  <c r="AC914" i="2" s="1"/>
  <c r="W914" i="2"/>
  <c r="Y918" i="2"/>
  <c r="W918" i="2"/>
  <c r="AB918" i="2"/>
  <c r="AC918" i="2" s="1"/>
  <c r="W917" i="2"/>
  <c r="Y917" i="2"/>
  <c r="AB917" i="2"/>
  <c r="AC917" i="2" s="1"/>
  <c r="Y922" i="2"/>
  <c r="W922" i="2"/>
  <c r="AB922" i="2"/>
  <c r="AC922" i="2" s="1"/>
  <c r="AB921" i="2"/>
  <c r="AC921" i="2" s="1"/>
  <c r="W921" i="2"/>
  <c r="Y921" i="2"/>
  <c r="Z506" i="2"/>
  <c r="AG506" i="2" s="1"/>
  <c r="Z649" i="2"/>
  <c r="AG649" i="2" s="1"/>
  <c r="Z729" i="2"/>
  <c r="Z805" i="2"/>
  <c r="Z861" i="2"/>
  <c r="Z895" i="2"/>
  <c r="Z899" i="2"/>
  <c r="Z906" i="2"/>
  <c r="Z504" i="2"/>
  <c r="Z508" i="2"/>
  <c r="Z607" i="2"/>
  <c r="Z730" i="2"/>
  <c r="Z863" i="2"/>
  <c r="Z912" i="2"/>
  <c r="Z486" i="2"/>
  <c r="Z490" i="2"/>
  <c r="Z505" i="2"/>
  <c r="Z557" i="2"/>
  <c r="Z561" i="2"/>
  <c r="Z564" i="2"/>
  <c r="Z577" i="2"/>
  <c r="AG577" i="2" s="1"/>
  <c r="Z580" i="2"/>
  <c r="Z720" i="2"/>
  <c r="Z723" i="2"/>
  <c r="Z727" i="2"/>
  <c r="Z731" i="2"/>
  <c r="Z735" i="2"/>
  <c r="Z738" i="2"/>
  <c r="Z752" i="2"/>
  <c r="Z853" i="2"/>
  <c r="Z857" i="2"/>
  <c r="Z860" i="2"/>
  <c r="Z864" i="2"/>
  <c r="Z889" i="2"/>
  <c r="Z893" i="2"/>
  <c r="Z897" i="2"/>
  <c r="Z901" i="2"/>
  <c r="Z904" i="2"/>
  <c r="Z910" i="2"/>
  <c r="Y924" i="2"/>
  <c r="AB924" i="2"/>
  <c r="AC924" i="2" s="1"/>
  <c r="W924" i="2"/>
  <c r="Y926" i="2"/>
  <c r="Z926" i="2" s="1"/>
  <c r="AB926" i="2"/>
  <c r="AC926" i="2" s="1"/>
  <c r="Y916" i="2"/>
  <c r="AB916" i="2"/>
  <c r="AC916" i="2" s="1"/>
  <c r="W916" i="2"/>
  <c r="Y920" i="2"/>
  <c r="AB920" i="2"/>
  <c r="AC920" i="2" s="1"/>
  <c r="W920" i="2"/>
  <c r="W915" i="2"/>
  <c r="Z915" i="2" s="1"/>
  <c r="AB915" i="2"/>
  <c r="AC915" i="2" s="1"/>
  <c r="W919" i="2"/>
  <c r="Z919" i="2" s="1"/>
  <c r="AB919" i="2"/>
  <c r="AC919" i="2" s="1"/>
  <c r="W923" i="2"/>
  <c r="Z923" i="2" s="1"/>
  <c r="AB923" i="2"/>
  <c r="AC923" i="2" s="1"/>
  <c r="W925" i="2"/>
  <c r="Z925" i="2" s="1"/>
  <c r="AB925" i="2"/>
  <c r="AC925" i="2" s="1"/>
  <c r="Y884" i="2"/>
  <c r="AB884" i="2"/>
  <c r="AC884" i="2" s="1"/>
  <c r="Y885" i="2"/>
  <c r="Y880" i="2"/>
  <c r="AB880" i="2"/>
  <c r="AC880" i="2" s="1"/>
  <c r="W880" i="2"/>
  <c r="Y868" i="2"/>
  <c r="W868" i="2"/>
  <c r="AB868" i="2"/>
  <c r="AC868" i="2" s="1"/>
  <c r="Y872" i="2"/>
  <c r="W872" i="2"/>
  <c r="AB872" i="2"/>
  <c r="AC872" i="2" s="1"/>
  <c r="Y877" i="2"/>
  <c r="W877" i="2"/>
  <c r="AB877" i="2"/>
  <c r="AC877" i="2" s="1"/>
  <c r="Z533" i="2"/>
  <c r="Z537" i="2"/>
  <c r="Z541" i="2"/>
  <c r="Z553" i="2"/>
  <c r="Z558" i="2"/>
  <c r="Z568" i="2"/>
  <c r="Z614" i="2"/>
  <c r="Z638" i="2"/>
  <c r="Z665" i="2"/>
  <c r="AG665" i="2" s="1"/>
  <c r="Z808" i="2"/>
  <c r="Z812" i="2"/>
  <c r="AB836" i="2"/>
  <c r="AC836" i="2" s="1"/>
  <c r="Z850" i="2"/>
  <c r="Z858" i="2"/>
  <c r="Z866" i="2"/>
  <c r="Z488" i="2"/>
  <c r="Z522" i="2"/>
  <c r="Z525" i="2"/>
  <c r="Z538" i="2"/>
  <c r="Z542" i="2"/>
  <c r="Z555" i="2"/>
  <c r="AG555" i="2" s="1"/>
  <c r="Z559" i="2"/>
  <c r="AG559" i="2" s="1"/>
  <c r="Z570" i="2"/>
  <c r="AG570" i="2" s="1"/>
  <c r="Z604" i="2"/>
  <c r="Z615" i="2"/>
  <c r="Z635" i="2"/>
  <c r="Z639" i="2"/>
  <c r="Z643" i="2"/>
  <c r="Z647" i="2"/>
  <c r="Z659" i="2"/>
  <c r="Z670" i="2"/>
  <c r="Z674" i="2"/>
  <c r="Z687" i="2"/>
  <c r="Z694" i="2"/>
  <c r="Z710" i="2"/>
  <c r="Z733" i="2"/>
  <c r="Z747" i="2"/>
  <c r="AB844" i="2"/>
  <c r="AC844" i="2" s="1"/>
  <c r="Z523" i="2"/>
  <c r="Z526" i="2"/>
  <c r="Z563" i="2"/>
  <c r="AG563" i="2" s="1"/>
  <c r="Z567" i="2"/>
  <c r="AG567" i="2" s="1"/>
  <c r="Z576" i="2"/>
  <c r="Z619" i="2"/>
  <c r="Z623" i="2"/>
  <c r="AG623" i="2" s="1"/>
  <c r="Z627" i="2"/>
  <c r="AG627" i="2" s="1"/>
  <c r="Z640" i="2"/>
  <c r="Z652" i="2"/>
  <c r="Z688" i="2"/>
  <c r="Z691" i="2"/>
  <c r="Z695" i="2"/>
  <c r="Z707" i="2"/>
  <c r="Z711" i="2"/>
  <c r="Z714" i="2"/>
  <c r="Z718" i="2"/>
  <c r="Z728" i="2"/>
  <c r="Z734" i="2"/>
  <c r="Z744" i="2"/>
  <c r="Z748" i="2"/>
  <c r="Z753" i="2"/>
  <c r="Z846" i="2"/>
  <c r="Z854" i="2"/>
  <c r="Z862" i="2"/>
  <c r="AB867" i="2"/>
  <c r="AC867" i="2" s="1"/>
  <c r="W867" i="2"/>
  <c r="Y867" i="2"/>
  <c r="AB871" i="2"/>
  <c r="AC871" i="2" s="1"/>
  <c r="W871" i="2"/>
  <c r="Y871" i="2"/>
  <c r="Y879" i="2"/>
  <c r="Z879" i="2" s="1"/>
  <c r="AB879" i="2"/>
  <c r="AC879" i="2" s="1"/>
  <c r="Y875" i="2"/>
  <c r="AB875" i="2"/>
  <c r="AC875" i="2" s="1"/>
  <c r="W875" i="2"/>
  <c r="Y870" i="2"/>
  <c r="AB870" i="2"/>
  <c r="AC870" i="2" s="1"/>
  <c r="W870" i="2"/>
  <c r="Y874" i="2"/>
  <c r="AB874" i="2"/>
  <c r="AC874" i="2" s="1"/>
  <c r="W874" i="2"/>
  <c r="AB876" i="2"/>
  <c r="AC876" i="2" s="1"/>
  <c r="W876" i="2"/>
  <c r="Y876" i="2"/>
  <c r="W869" i="2"/>
  <c r="Z869" i="2" s="1"/>
  <c r="AB869" i="2"/>
  <c r="AC869" i="2" s="1"/>
  <c r="W873" i="2"/>
  <c r="Z873" i="2" s="1"/>
  <c r="AB873" i="2"/>
  <c r="AC873" i="2" s="1"/>
  <c r="AB878" i="2"/>
  <c r="AC878" i="2" s="1"/>
  <c r="Y682" i="2"/>
  <c r="AB682" i="2"/>
  <c r="AC682" i="2" s="1"/>
  <c r="W702" i="2"/>
  <c r="AB702" i="2"/>
  <c r="AC702" i="2" s="1"/>
  <c r="Y702" i="2"/>
  <c r="AB831" i="2"/>
  <c r="AC831" i="2" s="1"/>
  <c r="Y831" i="2"/>
  <c r="W831" i="2"/>
  <c r="Y839" i="2"/>
  <c r="W839" i="2"/>
  <c r="AB839" i="2"/>
  <c r="AC839" i="2" s="1"/>
  <c r="W843" i="2"/>
  <c r="Y843" i="2"/>
  <c r="AB843" i="2"/>
  <c r="AC843" i="2" s="1"/>
  <c r="AB835" i="2"/>
  <c r="AC835" i="2" s="1"/>
  <c r="Z487" i="2"/>
  <c r="Z554" i="2"/>
  <c r="Z642" i="2"/>
  <c r="Z656" i="2"/>
  <c r="Z662" i="2"/>
  <c r="AG662" i="2" s="1"/>
  <c r="Z673" i="2"/>
  <c r="AG673" i="2" s="1"/>
  <c r="Z712" i="2"/>
  <c r="Z811" i="2"/>
  <c r="Z815" i="2"/>
  <c r="Z816" i="2"/>
  <c r="Z819" i="2"/>
  <c r="W835" i="2"/>
  <c r="Z835" i="2" s="1"/>
  <c r="Z510" i="2"/>
  <c r="Z535" i="2"/>
  <c r="AB484" i="2"/>
  <c r="AC484" i="2" s="1"/>
  <c r="Z489" i="2"/>
  <c r="Z501" i="2"/>
  <c r="Z511" i="2"/>
  <c r="Z532" i="2"/>
  <c r="Z536" i="2"/>
  <c r="Z560" i="2"/>
  <c r="Z606" i="2"/>
  <c r="Z612" i="2"/>
  <c r="Z618" i="2"/>
  <c r="Z622" i="2"/>
  <c r="Z634" i="2"/>
  <c r="Z637" i="2"/>
  <c r="AG637" i="2" s="1"/>
  <c r="Z648" i="2"/>
  <c r="Z651" i="2"/>
  <c r="Z654" i="2"/>
  <c r="Z693" i="2"/>
  <c r="Z708" i="2"/>
  <c r="Z716" i="2"/>
  <c r="Z724" i="2"/>
  <c r="Z732" i="2"/>
  <c r="Z740" i="2"/>
  <c r="Z754" i="2"/>
  <c r="Z810" i="2"/>
  <c r="Z813" i="2"/>
  <c r="Z814" i="2"/>
  <c r="Z817" i="2"/>
  <c r="Z818" i="2"/>
  <c r="AB828" i="2"/>
  <c r="AC828" i="2" s="1"/>
  <c r="W828" i="2"/>
  <c r="Y828" i="2"/>
  <c r="AB834" i="2"/>
  <c r="AC834" i="2" s="1"/>
  <c r="W834" i="2"/>
  <c r="Y834" i="2"/>
  <c r="AB822" i="2"/>
  <c r="AC822" i="2" s="1"/>
  <c r="Y822" i="2"/>
  <c r="Y823" i="2"/>
  <c r="Y826" i="2"/>
  <c r="Z826" i="2" s="1"/>
  <c r="AB826" i="2"/>
  <c r="AC826" i="2" s="1"/>
  <c r="AB827" i="2"/>
  <c r="AC827" i="2" s="1"/>
  <c r="Y833" i="2"/>
  <c r="AB833" i="2"/>
  <c r="AC833" i="2" s="1"/>
  <c r="W833" i="2"/>
  <c r="AB838" i="2"/>
  <c r="AC838" i="2" s="1"/>
  <c r="W838" i="2"/>
  <c r="Y838" i="2"/>
  <c r="Y845" i="2"/>
  <c r="Z845" i="2" s="1"/>
  <c r="AB845" i="2"/>
  <c r="AC845" i="2" s="1"/>
  <c r="Y837" i="2"/>
  <c r="AB837" i="2"/>
  <c r="AC837" i="2" s="1"/>
  <c r="W837" i="2"/>
  <c r="AB842" i="2"/>
  <c r="AC842" i="2" s="1"/>
  <c r="W842" i="2"/>
  <c r="Y842" i="2"/>
  <c r="AB820" i="2"/>
  <c r="AC820" i="2" s="1"/>
  <c r="Y820" i="2"/>
  <c r="Y821" i="2"/>
  <c r="AB824" i="2"/>
  <c r="AC824" i="2" s="1"/>
  <c r="Y824" i="2"/>
  <c r="Y825" i="2"/>
  <c r="Z825" i="2" s="1"/>
  <c r="Y829" i="2"/>
  <c r="AB829" i="2"/>
  <c r="AC829" i="2" s="1"/>
  <c r="W829" i="2"/>
  <c r="AB830" i="2"/>
  <c r="AC830" i="2" s="1"/>
  <c r="W830" i="2"/>
  <c r="Y830" i="2"/>
  <c r="Y841" i="2"/>
  <c r="AB841" i="2"/>
  <c r="AC841" i="2" s="1"/>
  <c r="W841" i="2"/>
  <c r="Y832" i="2"/>
  <c r="Y836" i="2"/>
  <c r="Y840" i="2"/>
  <c r="Y844" i="2"/>
  <c r="Z844" i="2" s="1"/>
  <c r="W832" i="2"/>
  <c r="W836" i="2"/>
  <c r="Z836" i="2" s="1"/>
  <c r="W840" i="2"/>
  <c r="Z840" i="2" s="1"/>
  <c r="Y806" i="2"/>
  <c r="W806" i="2"/>
  <c r="Y766" i="2"/>
  <c r="Y765" i="2" s="1"/>
  <c r="AB766" i="2"/>
  <c r="AC766" i="2" s="1"/>
  <c r="W766" i="2"/>
  <c r="Y755" i="2"/>
  <c r="Y746" i="2"/>
  <c r="Y745" i="2"/>
  <c r="AB745" i="2"/>
  <c r="AC745" i="2" s="1"/>
  <c r="W745" i="2"/>
  <c r="AB701" i="2"/>
  <c r="AC701" i="2" s="1"/>
  <c r="W701" i="2"/>
  <c r="Y701" i="2"/>
  <c r="Y704" i="2"/>
  <c r="Z704" i="2" s="1"/>
  <c r="AB704" i="2"/>
  <c r="AC704" i="2" s="1"/>
  <c r="Y700" i="2"/>
  <c r="AB700" i="2"/>
  <c r="AC700" i="2" s="1"/>
  <c r="W700" i="2"/>
  <c r="W703" i="2"/>
  <c r="Y703" i="2"/>
  <c r="Y516" i="2"/>
  <c r="AB516" i="2"/>
  <c r="AC516" i="2" s="1"/>
  <c r="Y514" i="2"/>
  <c r="AB514" i="2"/>
  <c r="AC514" i="2" s="1"/>
  <c r="Y599" i="2"/>
  <c r="W599" i="2"/>
  <c r="AB599" i="2"/>
  <c r="AC599" i="2" s="1"/>
  <c r="Y608" i="2"/>
  <c r="AB608" i="2"/>
  <c r="AC608" i="2" s="1"/>
  <c r="Y678" i="2"/>
  <c r="AB678" i="2"/>
  <c r="AC678" i="2" s="1"/>
  <c r="Y519" i="2"/>
  <c r="W519" i="2"/>
  <c r="AB519" i="2"/>
  <c r="AC519" i="2" s="1"/>
  <c r="W598" i="2"/>
  <c r="AB598" i="2"/>
  <c r="AC598" i="2" s="1"/>
  <c r="Y598" i="2"/>
  <c r="W518" i="2"/>
  <c r="AB518" i="2"/>
  <c r="AC518" i="2" s="1"/>
  <c r="Y518" i="2"/>
  <c r="Y585" i="2"/>
  <c r="AB585" i="2"/>
  <c r="AC585" i="2" s="1"/>
  <c r="AB587" i="2"/>
  <c r="AC587" i="2" s="1"/>
  <c r="Y587" i="2"/>
  <c r="Z587" i="2" s="1"/>
  <c r="Y591" i="2"/>
  <c r="W591" i="2"/>
  <c r="AB591" i="2"/>
  <c r="AC591" i="2" s="1"/>
  <c r="Y512" i="2"/>
  <c r="AB512" i="2"/>
  <c r="AC512" i="2" s="1"/>
  <c r="AB550" i="2"/>
  <c r="AC550" i="2" s="1"/>
  <c r="Y550" i="2"/>
  <c r="Z550" i="2" s="1"/>
  <c r="Y595" i="2"/>
  <c r="W595" i="2"/>
  <c r="AB595" i="2"/>
  <c r="AC595" i="2" s="1"/>
  <c r="Z503" i="2"/>
  <c r="Z530" i="2"/>
  <c r="Z566" i="2"/>
  <c r="Z646" i="2"/>
  <c r="Z671" i="2"/>
  <c r="AB680" i="2"/>
  <c r="AC680" i="2" s="1"/>
  <c r="Z509" i="2"/>
  <c r="Z539" i="2"/>
  <c r="Z581" i="2"/>
  <c r="AG581" i="2" s="1"/>
  <c r="Z620" i="2"/>
  <c r="Z632" i="2"/>
  <c r="Z655" i="2"/>
  <c r="Z663" i="2"/>
  <c r="Z669" i="2"/>
  <c r="AG669" i="2" s="1"/>
  <c r="Z672" i="2"/>
  <c r="Z485" i="2"/>
  <c r="Z499" i="2"/>
  <c r="Z507" i="2"/>
  <c r="Z527" i="2"/>
  <c r="Z529" i="2"/>
  <c r="Z534" i="2"/>
  <c r="Z540" i="2"/>
  <c r="Z556" i="2"/>
  <c r="Z569" i="2"/>
  <c r="Z579" i="2"/>
  <c r="Z602" i="2"/>
  <c r="Z605" i="2"/>
  <c r="Z621" i="2"/>
  <c r="AG621" i="2" s="1"/>
  <c r="Z633" i="2"/>
  <c r="Z636" i="2"/>
  <c r="Z644" i="2"/>
  <c r="Z653" i="2"/>
  <c r="Z661" i="2"/>
  <c r="AG661" i="2" s="1"/>
  <c r="Z664" i="2"/>
  <c r="Y677" i="2"/>
  <c r="Y679" i="2"/>
  <c r="Y681" i="2"/>
  <c r="Y683" i="2"/>
  <c r="Y667" i="2"/>
  <c r="AB667" i="2"/>
  <c r="AC667" i="2" s="1"/>
  <c r="Y668" i="2"/>
  <c r="AB666" i="2"/>
  <c r="AC666" i="2" s="1"/>
  <c r="Y631" i="2"/>
  <c r="AB631" i="2"/>
  <c r="AC631" i="2" s="1"/>
  <c r="W631" i="2"/>
  <c r="W630" i="2"/>
  <c r="Z630" i="2" s="1"/>
  <c r="AB630" i="2"/>
  <c r="AC630" i="2" s="1"/>
  <c r="AB628" i="2"/>
  <c r="AC628" i="2" s="1"/>
  <c r="W628" i="2"/>
  <c r="Y628" i="2"/>
  <c r="W629" i="2"/>
  <c r="Z629" i="2" s="1"/>
  <c r="AB629" i="2"/>
  <c r="AC629" i="2" s="1"/>
  <c r="Y625" i="2"/>
  <c r="AB625" i="2"/>
  <c r="AC625" i="2" s="1"/>
  <c r="AB624" i="2"/>
  <c r="AC624" i="2" s="1"/>
  <c r="Y624" i="2"/>
  <c r="Y626" i="2"/>
  <c r="AB626" i="2"/>
  <c r="AC626" i="2" s="1"/>
  <c r="W626" i="2"/>
  <c r="Y617" i="2"/>
  <c r="Z617" i="2" s="1"/>
  <c r="AB617" i="2"/>
  <c r="AC617" i="2" s="1"/>
  <c r="W616" i="2"/>
  <c r="Z616" i="2" s="1"/>
  <c r="AB616" i="2"/>
  <c r="AC616" i="2" s="1"/>
  <c r="Y613" i="2"/>
  <c r="AB613" i="2"/>
  <c r="AC613" i="2" s="1"/>
  <c r="W613" i="2"/>
  <c r="Y611" i="2"/>
  <c r="AB611" i="2"/>
  <c r="AC611" i="2" s="1"/>
  <c r="W611" i="2"/>
  <c r="Y610" i="2"/>
  <c r="AB610" i="2"/>
  <c r="AC610" i="2" s="1"/>
  <c r="W610" i="2"/>
  <c r="W609" i="2"/>
  <c r="Z609" i="2" s="1"/>
  <c r="AB609" i="2"/>
  <c r="AC609" i="2" s="1"/>
  <c r="Y593" i="2"/>
  <c r="AB593" i="2"/>
  <c r="AC593" i="2" s="1"/>
  <c r="W593" i="2"/>
  <c r="Y597" i="2"/>
  <c r="AB597" i="2"/>
  <c r="AC597" i="2" s="1"/>
  <c r="W597" i="2"/>
  <c r="AB589" i="2"/>
  <c r="AC589" i="2" s="1"/>
  <c r="Y589" i="2"/>
  <c r="Z589" i="2" s="1"/>
  <c r="Y601" i="2"/>
  <c r="AB601" i="2"/>
  <c r="AC601" i="2" s="1"/>
  <c r="W601" i="2"/>
  <c r="Y588" i="2"/>
  <c r="Z588" i="2" s="1"/>
  <c r="AB588" i="2"/>
  <c r="AC588" i="2" s="1"/>
  <c r="AB594" i="2"/>
  <c r="AC594" i="2" s="1"/>
  <c r="W594" i="2"/>
  <c r="Y594" i="2"/>
  <c r="Y590" i="2"/>
  <c r="Z590" i="2" s="1"/>
  <c r="W592" i="2"/>
  <c r="Z592" i="2" s="1"/>
  <c r="AB592" i="2"/>
  <c r="AC592" i="2" s="1"/>
  <c r="W596" i="2"/>
  <c r="Z596" i="2" s="1"/>
  <c r="AB596" i="2"/>
  <c r="AC596" i="2" s="1"/>
  <c r="W600" i="2"/>
  <c r="Z600" i="2" s="1"/>
  <c r="AB600" i="2"/>
  <c r="AC600" i="2" s="1"/>
  <c r="Y586" i="2"/>
  <c r="Y584" i="2"/>
  <c r="AB584" i="2"/>
  <c r="AC584" i="2" s="1"/>
  <c r="W584" i="2"/>
  <c r="AB583" i="2"/>
  <c r="AC583" i="2" s="1"/>
  <c r="Y583" i="2"/>
  <c r="AB582" i="2"/>
  <c r="AC582" i="2" s="1"/>
  <c r="Y573" i="2"/>
  <c r="AB573" i="2"/>
  <c r="AC573" i="2" s="1"/>
  <c r="Y575" i="2"/>
  <c r="AB575" i="2"/>
  <c r="AC575" i="2" s="1"/>
  <c r="W575" i="2"/>
  <c r="AB572" i="2"/>
  <c r="AC572" i="2" s="1"/>
  <c r="Y572" i="2"/>
  <c r="Y571" i="2"/>
  <c r="AB571" i="2"/>
  <c r="AC571" i="2" s="1"/>
  <c r="W571" i="2"/>
  <c r="Y562" i="2"/>
  <c r="Y551" i="2"/>
  <c r="Z551" i="2" s="1"/>
  <c r="AB551" i="2"/>
  <c r="AC551" i="2" s="1"/>
  <c r="Y552" i="2"/>
  <c r="AB552" i="2"/>
  <c r="AC552" i="2" s="1"/>
  <c r="W552" i="2"/>
  <c r="Y543" i="2"/>
  <c r="AB543" i="2"/>
  <c r="AC543" i="2" s="1"/>
  <c r="Y545" i="2"/>
  <c r="AB545" i="2"/>
  <c r="AC545" i="2" s="1"/>
  <c r="AB547" i="2"/>
  <c r="AC547" i="2" s="1"/>
  <c r="Y547" i="2"/>
  <c r="AB544" i="2"/>
  <c r="AC544" i="2" s="1"/>
  <c r="Y544" i="2"/>
  <c r="AB546" i="2"/>
  <c r="AC546" i="2" s="1"/>
  <c r="Y546" i="2"/>
  <c r="Y548" i="2"/>
  <c r="Z548" i="2" s="1"/>
  <c r="AB548" i="2"/>
  <c r="AC548" i="2" s="1"/>
  <c r="Y549" i="2"/>
  <c r="Z549" i="2" s="1"/>
  <c r="Y531" i="2"/>
  <c r="AB531" i="2"/>
  <c r="AC531" i="2" s="1"/>
  <c r="W531" i="2"/>
  <c r="Y528" i="2"/>
  <c r="Y521" i="2"/>
  <c r="AB521" i="2"/>
  <c r="AC521" i="2" s="1"/>
  <c r="W521" i="2"/>
  <c r="Y513" i="2"/>
  <c r="Y515" i="2"/>
  <c r="Y517" i="2"/>
  <c r="W520" i="2"/>
  <c r="Z520" i="2" s="1"/>
  <c r="AB520" i="2"/>
  <c r="AC520" i="2" s="1"/>
  <c r="Y495" i="2"/>
  <c r="AB495" i="2"/>
  <c r="AC495" i="2" s="1"/>
  <c r="W495" i="2"/>
  <c r="Y491" i="2"/>
  <c r="Z491" i="2" s="1"/>
  <c r="W493" i="2"/>
  <c r="Z493" i="2" s="1"/>
  <c r="AB493" i="2"/>
  <c r="AC493" i="2" s="1"/>
  <c r="W494" i="2"/>
  <c r="Z494" i="2" s="1"/>
  <c r="AB494" i="2"/>
  <c r="AC494" i="2" s="1"/>
  <c r="Y483" i="2"/>
  <c r="AB483" i="2"/>
  <c r="AC483" i="2" s="1"/>
  <c r="W483" i="2"/>
  <c r="Y484" i="2"/>
  <c r="W484" i="2"/>
  <c r="S480" i="2"/>
  <c r="U480" i="2" s="1"/>
  <c r="AB480" i="2" s="1"/>
  <c r="AC480" i="2" s="1"/>
  <c r="N480" i="2"/>
  <c r="AC479" i="2"/>
  <c r="Y479" i="2"/>
  <c r="W479" i="2"/>
  <c r="S479" i="2"/>
  <c r="N479" i="2"/>
  <c r="AC478" i="2"/>
  <c r="Y478" i="2"/>
  <c r="W478" i="2"/>
  <c r="S478" i="2"/>
  <c r="N478" i="2"/>
  <c r="AC477" i="2"/>
  <c r="Y477" i="2"/>
  <c r="W477" i="2"/>
  <c r="S477" i="2"/>
  <c r="N477" i="2"/>
  <c r="S476" i="2"/>
  <c r="U476" i="2" s="1"/>
  <c r="AB476" i="2" s="1"/>
  <c r="AC476" i="2" s="1"/>
  <c r="N476" i="2"/>
  <c r="AA475" i="2"/>
  <c r="X475" i="2"/>
  <c r="S475" i="2"/>
  <c r="U475" i="2" s="1"/>
  <c r="N475" i="2"/>
  <c r="AA474" i="2"/>
  <c r="X474" i="2"/>
  <c r="S474" i="2"/>
  <c r="U474" i="2" s="1"/>
  <c r="N474" i="2"/>
  <c r="AA473" i="2"/>
  <c r="X473" i="2"/>
  <c r="S473" i="2"/>
  <c r="U473" i="2" s="1"/>
  <c r="N473" i="2"/>
  <c r="AA472" i="2"/>
  <c r="V472" i="2"/>
  <c r="S472" i="2"/>
  <c r="U472" i="2" s="1"/>
  <c r="Y472" i="2" s="1"/>
  <c r="N472" i="2"/>
  <c r="AA471" i="2"/>
  <c r="S471" i="2"/>
  <c r="U471" i="2" s="1"/>
  <c r="N471" i="2"/>
  <c r="AA470" i="2"/>
  <c r="S470" i="2"/>
  <c r="U470" i="2" s="1"/>
  <c r="Y470" i="2" s="1"/>
  <c r="AA469" i="2"/>
  <c r="S469" i="2"/>
  <c r="U469" i="2" s="1"/>
  <c r="AA468" i="2"/>
  <c r="S468" i="2"/>
  <c r="U468" i="2" s="1"/>
  <c r="AA467" i="2"/>
  <c r="S467" i="2"/>
  <c r="U467" i="2" s="1"/>
  <c r="Y467" i="2" s="1"/>
  <c r="AA466" i="2"/>
  <c r="S466" i="2"/>
  <c r="U466" i="2" s="1"/>
  <c r="Y466" i="2" s="1"/>
  <c r="AA465" i="2"/>
  <c r="O465" i="2"/>
  <c r="S465" i="2" s="1"/>
  <c r="U465" i="2" s="1"/>
  <c r="AA464" i="2"/>
  <c r="O464" i="2"/>
  <c r="S464" i="2" s="1"/>
  <c r="U464" i="2" s="1"/>
  <c r="AA463" i="2"/>
  <c r="O463" i="2"/>
  <c r="S463" i="2" s="1"/>
  <c r="U463" i="2" s="1"/>
  <c r="AA462" i="2"/>
  <c r="S462" i="2"/>
  <c r="U462" i="2" s="1"/>
  <c r="N462" i="2"/>
  <c r="AA461" i="2"/>
  <c r="S461" i="2"/>
  <c r="U461" i="2" s="1"/>
  <c r="N461" i="2"/>
  <c r="AA460" i="2"/>
  <c r="S460" i="2"/>
  <c r="U460" i="2" s="1"/>
  <c r="N460" i="2"/>
  <c r="AA459" i="2"/>
  <c r="S459" i="2"/>
  <c r="U459" i="2" s="1"/>
  <c r="N459" i="2"/>
  <c r="AA458" i="2"/>
  <c r="S458" i="2"/>
  <c r="U458" i="2" s="1"/>
  <c r="N458" i="2"/>
  <c r="AA457" i="2"/>
  <c r="S457" i="2"/>
  <c r="U457" i="2" s="1"/>
  <c r="N457" i="2"/>
  <c r="AA456" i="2"/>
  <c r="S456" i="2"/>
  <c r="U456" i="2" s="1"/>
  <c r="N456" i="2"/>
  <c r="AA455" i="2"/>
  <c r="S455" i="2"/>
  <c r="U455" i="2" s="1"/>
  <c r="N455" i="2"/>
  <c r="AA454" i="2"/>
  <c r="S454" i="2"/>
  <c r="U454" i="2" s="1"/>
  <c r="N454" i="2"/>
  <c r="AA453" i="2"/>
  <c r="S453" i="2"/>
  <c r="U453" i="2" s="1"/>
  <c r="Y453" i="2" s="1"/>
  <c r="N453" i="2"/>
  <c r="AA452" i="2"/>
  <c r="S452" i="2"/>
  <c r="U452" i="2" s="1"/>
  <c r="N452" i="2"/>
  <c r="AA451" i="2"/>
  <c r="S451" i="2"/>
  <c r="U451" i="2" s="1"/>
  <c r="N451" i="2"/>
  <c r="AA450" i="2"/>
  <c r="S450" i="2"/>
  <c r="U450" i="2" s="1"/>
  <c r="N450" i="2"/>
  <c r="AA449" i="2"/>
  <c r="S449" i="2"/>
  <c r="U449" i="2" s="1"/>
  <c r="N449" i="2"/>
  <c r="AA448" i="2"/>
  <c r="S448" i="2"/>
  <c r="U448" i="2" s="1"/>
  <c r="N448" i="2"/>
  <c r="S447" i="2"/>
  <c r="U447" i="2" s="1"/>
  <c r="N447" i="2"/>
  <c r="S446" i="2"/>
  <c r="U446" i="2" s="1"/>
  <c r="Y446" i="2" s="1"/>
  <c r="N446" i="2"/>
  <c r="S445" i="2"/>
  <c r="U445" i="2" s="1"/>
  <c r="N445" i="2"/>
  <c r="AA444" i="2"/>
  <c r="V444" i="2"/>
  <c r="S444" i="2"/>
  <c r="U444" i="2" s="1"/>
  <c r="Y444" i="2" s="1"/>
  <c r="N444" i="2"/>
  <c r="AA443" i="2"/>
  <c r="S443" i="2"/>
  <c r="U443" i="2" s="1"/>
  <c r="N443" i="2"/>
  <c r="AA442" i="2"/>
  <c r="S442" i="2"/>
  <c r="U442" i="2" s="1"/>
  <c r="N442" i="2"/>
  <c r="AC441" i="2"/>
  <c r="Y441" i="2"/>
  <c r="W441" i="2"/>
  <c r="S441" i="2"/>
  <c r="N441" i="2"/>
  <c r="AC440" i="2"/>
  <c r="Y440" i="2"/>
  <c r="W440" i="2"/>
  <c r="S440" i="2"/>
  <c r="N440" i="2"/>
  <c r="AC439" i="2"/>
  <c r="Y439" i="2"/>
  <c r="W439" i="2"/>
  <c r="S439" i="2"/>
  <c r="N439" i="2"/>
  <c r="AC438" i="2"/>
  <c r="Y438" i="2"/>
  <c r="W438" i="2"/>
  <c r="S438" i="2"/>
  <c r="N438" i="2"/>
  <c r="AA437" i="2"/>
  <c r="S437" i="2"/>
  <c r="U437" i="2" s="1"/>
  <c r="N437" i="2"/>
  <c r="AA436" i="2"/>
  <c r="S436" i="2"/>
  <c r="U436" i="2" s="1"/>
  <c r="Y436" i="2" s="1"/>
  <c r="N436" i="2"/>
  <c r="AC435" i="2"/>
  <c r="Y435" i="2"/>
  <c r="W435" i="2"/>
  <c r="S435" i="2"/>
  <c r="N435" i="2"/>
  <c r="AC434" i="2"/>
  <c r="Y434" i="2"/>
  <c r="W434" i="2"/>
  <c r="S434" i="2"/>
  <c r="N434" i="2"/>
  <c r="AC433" i="2"/>
  <c r="Y433" i="2"/>
  <c r="W433" i="2"/>
  <c r="S433" i="2"/>
  <c r="N433" i="2"/>
  <c r="AC432" i="2"/>
  <c r="Y432" i="2"/>
  <c r="W432" i="2"/>
  <c r="S432" i="2"/>
  <c r="N432" i="2"/>
  <c r="AC431" i="2"/>
  <c r="Y431" i="2"/>
  <c r="W431" i="2"/>
  <c r="S431" i="2"/>
  <c r="N431" i="2"/>
  <c r="AC430" i="2"/>
  <c r="Y430" i="2"/>
  <c r="W430" i="2"/>
  <c r="S430" i="2"/>
  <c r="N430" i="2"/>
  <c r="AC429" i="2"/>
  <c r="Y429" i="2"/>
  <c r="W429" i="2"/>
  <c r="S429" i="2"/>
  <c r="N429" i="2"/>
  <c r="AC428" i="2"/>
  <c r="Y428" i="2"/>
  <c r="W428" i="2"/>
  <c r="S428" i="2"/>
  <c r="N428" i="2"/>
  <c r="AC427" i="2"/>
  <c r="Y427" i="2"/>
  <c r="W427" i="2"/>
  <c r="S427" i="2"/>
  <c r="N427" i="2"/>
  <c r="AC426" i="2"/>
  <c r="Y426" i="2"/>
  <c r="W426" i="2"/>
  <c r="S426" i="2"/>
  <c r="N426" i="2"/>
  <c r="AC425" i="2"/>
  <c r="Y425" i="2"/>
  <c r="W425" i="2"/>
  <c r="S425" i="2"/>
  <c r="N425" i="2"/>
  <c r="AC424" i="2"/>
  <c r="Y424" i="2"/>
  <c r="W424" i="2"/>
  <c r="S424" i="2"/>
  <c r="N424" i="2"/>
  <c r="AC423" i="2"/>
  <c r="Y423" i="2"/>
  <c r="W423" i="2"/>
  <c r="S423" i="2"/>
  <c r="N423" i="2"/>
  <c r="AC422" i="2"/>
  <c r="Y422" i="2"/>
  <c r="W422" i="2"/>
  <c r="S422" i="2"/>
  <c r="N422" i="2"/>
  <c r="AC421" i="2"/>
  <c r="Y421" i="2"/>
  <c r="W421" i="2"/>
  <c r="S421" i="2"/>
  <c r="N421" i="2"/>
  <c r="AC420" i="2"/>
  <c r="Y420" i="2"/>
  <c r="W420" i="2"/>
  <c r="S420" i="2"/>
  <c r="N420" i="2"/>
  <c r="AC419" i="2"/>
  <c r="Y419" i="2"/>
  <c r="W419" i="2"/>
  <c r="S419" i="2"/>
  <c r="N419" i="2"/>
  <c r="AC418" i="2"/>
  <c r="Y418" i="2"/>
  <c r="W418" i="2"/>
  <c r="S418" i="2"/>
  <c r="N418" i="2"/>
  <c r="AC417" i="2"/>
  <c r="Y417" i="2"/>
  <c r="W417" i="2"/>
  <c r="S417" i="2"/>
  <c r="N417" i="2"/>
  <c r="AC416" i="2"/>
  <c r="Y416" i="2"/>
  <c r="W416" i="2"/>
  <c r="S416" i="2"/>
  <c r="N416" i="2"/>
  <c r="AC415" i="2"/>
  <c r="Y415" i="2"/>
  <c r="W415" i="2"/>
  <c r="S415" i="2"/>
  <c r="N415" i="2"/>
  <c r="AC414" i="2"/>
  <c r="Y414" i="2"/>
  <c r="W414" i="2"/>
  <c r="S414" i="2"/>
  <c r="N414" i="2"/>
  <c r="AC413" i="2"/>
  <c r="Y413" i="2"/>
  <c r="W413" i="2"/>
  <c r="S413" i="2"/>
  <c r="N413" i="2"/>
  <c r="AC412" i="2"/>
  <c r="Y412" i="2"/>
  <c r="W412" i="2"/>
  <c r="S412" i="2"/>
  <c r="N412" i="2"/>
  <c r="AC411" i="2"/>
  <c r="Y411" i="2"/>
  <c r="W411" i="2"/>
  <c r="S411" i="2"/>
  <c r="N411" i="2"/>
  <c r="AC410" i="2"/>
  <c r="Y410" i="2"/>
  <c r="W410" i="2"/>
  <c r="S410" i="2"/>
  <c r="N410" i="2"/>
  <c r="AC409" i="2"/>
  <c r="Y409" i="2"/>
  <c r="W409" i="2"/>
  <c r="S409" i="2"/>
  <c r="N409" i="2"/>
  <c r="AC408" i="2"/>
  <c r="Y408" i="2"/>
  <c r="W408" i="2"/>
  <c r="S408" i="2"/>
  <c r="N408" i="2"/>
  <c r="AC407" i="2"/>
  <c r="Y407" i="2"/>
  <c r="W407" i="2"/>
  <c r="S407" i="2"/>
  <c r="N407" i="2"/>
  <c r="AC406" i="2"/>
  <c r="Y406" i="2"/>
  <c r="W406" i="2"/>
  <c r="S406" i="2"/>
  <c r="N406" i="2"/>
  <c r="AC405" i="2"/>
  <c r="Y405" i="2"/>
  <c r="W405" i="2"/>
  <c r="S405" i="2"/>
  <c r="N405" i="2"/>
  <c r="AC404" i="2"/>
  <c r="Y404" i="2"/>
  <c r="W404" i="2"/>
  <c r="S404" i="2"/>
  <c r="N404" i="2"/>
  <c r="AC403" i="2"/>
  <c r="Y403" i="2"/>
  <c r="W403" i="2"/>
  <c r="S403" i="2"/>
  <c r="N403" i="2"/>
  <c r="AC402" i="2"/>
  <c r="Y402" i="2"/>
  <c r="W402" i="2"/>
  <c r="S402" i="2"/>
  <c r="N402" i="2"/>
  <c r="AC401" i="2"/>
  <c r="Y401" i="2"/>
  <c r="W401" i="2"/>
  <c r="S401" i="2"/>
  <c r="N401" i="2"/>
  <c r="AC400" i="2"/>
  <c r="Y400" i="2"/>
  <c r="W400" i="2"/>
  <c r="S400" i="2"/>
  <c r="N400" i="2"/>
  <c r="AC399" i="2"/>
  <c r="Y399" i="2"/>
  <c r="W399" i="2"/>
  <c r="S399" i="2"/>
  <c r="N399" i="2"/>
  <c r="AC398" i="2"/>
  <c r="Y398" i="2"/>
  <c r="W398" i="2"/>
  <c r="S398" i="2"/>
  <c r="N398" i="2"/>
  <c r="AC397" i="2"/>
  <c r="Y397" i="2"/>
  <c r="W397" i="2"/>
  <c r="S397" i="2"/>
  <c r="N397" i="2"/>
  <c r="AC396" i="2"/>
  <c r="Y396" i="2"/>
  <c r="W396" i="2"/>
  <c r="S396" i="2"/>
  <c r="N396" i="2"/>
  <c r="AC395" i="2"/>
  <c r="Y395" i="2"/>
  <c r="W395" i="2"/>
  <c r="S395" i="2"/>
  <c r="N395" i="2"/>
  <c r="AC394" i="2"/>
  <c r="Y394" i="2"/>
  <c r="W394" i="2"/>
  <c r="S394" i="2"/>
  <c r="N394" i="2"/>
  <c r="AC393" i="2"/>
  <c r="Y393" i="2"/>
  <c r="W393" i="2"/>
  <c r="S393" i="2"/>
  <c r="N393" i="2"/>
  <c r="AC392" i="2"/>
  <c r="Y392" i="2"/>
  <c r="W392" i="2"/>
  <c r="S392" i="2"/>
  <c r="N392" i="2"/>
  <c r="AC391" i="2"/>
  <c r="Y391" i="2"/>
  <c r="W391" i="2"/>
  <c r="S391" i="2"/>
  <c r="N391" i="2"/>
  <c r="AC390" i="2"/>
  <c r="Y390" i="2"/>
  <c r="W390" i="2"/>
  <c r="S390" i="2"/>
  <c r="N390" i="2"/>
  <c r="AC389" i="2"/>
  <c r="Y389" i="2"/>
  <c r="W389" i="2"/>
  <c r="S389" i="2"/>
  <c r="N389" i="2"/>
  <c r="AC388" i="2"/>
  <c r="Y388" i="2"/>
  <c r="W388" i="2"/>
  <c r="S388" i="2"/>
  <c r="N388" i="2"/>
  <c r="AC387" i="2"/>
  <c r="Y387" i="2"/>
  <c r="W387" i="2"/>
  <c r="S387" i="2"/>
  <c r="N387" i="2"/>
  <c r="AC386" i="2"/>
  <c r="Y386" i="2"/>
  <c r="W386" i="2"/>
  <c r="S386" i="2"/>
  <c r="N386" i="2"/>
  <c r="AC385" i="2"/>
  <c r="Y385" i="2"/>
  <c r="W385" i="2"/>
  <c r="S385" i="2"/>
  <c r="N385" i="2"/>
  <c r="AC384" i="2"/>
  <c r="Y384" i="2"/>
  <c r="W384" i="2"/>
  <c r="S384" i="2"/>
  <c r="N384" i="2"/>
  <c r="AC383" i="2"/>
  <c r="Y383" i="2"/>
  <c r="W383" i="2"/>
  <c r="S383" i="2"/>
  <c r="N383" i="2"/>
  <c r="AC382" i="2"/>
  <c r="Y382" i="2"/>
  <c r="W382" i="2"/>
  <c r="S382" i="2"/>
  <c r="N382" i="2"/>
  <c r="AC381" i="2"/>
  <c r="Y381" i="2"/>
  <c r="W381" i="2"/>
  <c r="S381" i="2"/>
  <c r="N381" i="2"/>
  <c r="AC380" i="2"/>
  <c r="Y380" i="2"/>
  <c r="W380" i="2"/>
  <c r="S380" i="2"/>
  <c r="N380" i="2"/>
  <c r="AC379" i="2"/>
  <c r="Y379" i="2"/>
  <c r="W379" i="2"/>
  <c r="S379" i="2"/>
  <c r="N379" i="2"/>
  <c r="AC378" i="2"/>
  <c r="Y378" i="2"/>
  <c r="W378" i="2"/>
  <c r="S378" i="2"/>
  <c r="N378" i="2"/>
  <c r="AC377" i="2"/>
  <c r="Y377" i="2"/>
  <c r="W377" i="2"/>
  <c r="S377" i="2"/>
  <c r="N377" i="2"/>
  <c r="AC376" i="2"/>
  <c r="Y376" i="2"/>
  <c r="W376" i="2"/>
  <c r="S376" i="2"/>
  <c r="N376" i="2"/>
  <c r="AC375" i="2"/>
  <c r="Y375" i="2"/>
  <c r="W375" i="2"/>
  <c r="S375" i="2"/>
  <c r="N375" i="2"/>
  <c r="AC374" i="2"/>
  <c r="Y374" i="2"/>
  <c r="W374" i="2"/>
  <c r="S374" i="2"/>
  <c r="N374" i="2"/>
  <c r="AA373" i="2"/>
  <c r="S373" i="2"/>
  <c r="U373" i="2" s="1"/>
  <c r="AA372" i="2"/>
  <c r="S372" i="2"/>
  <c r="U372" i="2" s="1"/>
  <c r="AC371" i="2"/>
  <c r="Y371" i="2"/>
  <c r="W371" i="2"/>
  <c r="S371" i="2"/>
  <c r="N371" i="2"/>
  <c r="AA368" i="2"/>
  <c r="S368" i="2"/>
  <c r="U368" i="2" s="1"/>
  <c r="AA367" i="2"/>
  <c r="S367" i="2"/>
  <c r="U367" i="2" s="1"/>
  <c r="N367" i="2"/>
  <c r="AA366" i="2"/>
  <c r="S366" i="2"/>
  <c r="U366" i="2" s="1"/>
  <c r="Y366" i="2" s="1"/>
  <c r="N366" i="2"/>
  <c r="AC365" i="2"/>
  <c r="Y365" i="2"/>
  <c r="W365" i="2"/>
  <c r="S365" i="2"/>
  <c r="N365" i="2"/>
  <c r="AC364" i="2"/>
  <c r="Y364" i="2"/>
  <c r="W364" i="2"/>
  <c r="S364" i="2"/>
  <c r="N364" i="2"/>
  <c r="AA363" i="2"/>
  <c r="S363" i="2"/>
  <c r="U363" i="2" s="1"/>
  <c r="N363" i="2"/>
  <c r="AA362" i="2"/>
  <c r="S362" i="2"/>
  <c r="U362" i="2" s="1"/>
  <c r="Y362" i="2" s="1"/>
  <c r="N362" i="2"/>
  <c r="AA361" i="2"/>
  <c r="S361" i="2"/>
  <c r="U361" i="2" s="1"/>
  <c r="N361" i="2"/>
  <c r="AA360" i="2"/>
  <c r="S360" i="2"/>
  <c r="U360" i="2" s="1"/>
  <c r="N360" i="2"/>
  <c r="S359" i="2"/>
  <c r="U359" i="2" s="1"/>
  <c r="AB359" i="2" s="1"/>
  <c r="AC359" i="2" s="1"/>
  <c r="N359" i="2"/>
  <c r="S358" i="2"/>
  <c r="U358" i="2" s="1"/>
  <c r="N358" i="2"/>
  <c r="S357" i="2"/>
  <c r="U357" i="2" s="1"/>
  <c r="AB357" i="2" s="1"/>
  <c r="AC357" i="2" s="1"/>
  <c r="N357" i="2"/>
  <c r="AC356" i="2"/>
  <c r="Y356" i="2"/>
  <c r="W356" i="2"/>
  <c r="S356" i="2"/>
  <c r="N356" i="2"/>
  <c r="AC355" i="2"/>
  <c r="Y355" i="2"/>
  <c r="W355" i="2"/>
  <c r="S355" i="2"/>
  <c r="N355" i="2"/>
  <c r="AC354" i="2"/>
  <c r="Y354" i="2"/>
  <c r="W354" i="2"/>
  <c r="S354" i="2"/>
  <c r="N354" i="2"/>
  <c r="AC353" i="2"/>
  <c r="Y353" i="2"/>
  <c r="W353" i="2"/>
  <c r="S353" i="2"/>
  <c r="N353" i="2"/>
  <c r="AC352" i="2"/>
  <c r="Y352" i="2"/>
  <c r="W352" i="2"/>
  <c r="S352" i="2"/>
  <c r="N352" i="2"/>
  <c r="AC351" i="2"/>
  <c r="Y351" i="2"/>
  <c r="W351" i="2"/>
  <c r="S351" i="2"/>
  <c r="N351" i="2"/>
  <c r="AC350" i="2"/>
  <c r="Y350" i="2"/>
  <c r="W350" i="2"/>
  <c r="S350" i="2"/>
  <c r="N350" i="2"/>
  <c r="AA349" i="2"/>
  <c r="S349" i="2"/>
  <c r="U349" i="2" s="1"/>
  <c r="N349" i="2"/>
  <c r="AA348" i="2"/>
  <c r="S348" i="2"/>
  <c r="U348" i="2" s="1"/>
  <c r="N348" i="2"/>
  <c r="AA347" i="2"/>
  <c r="S347" i="2"/>
  <c r="U347" i="2" s="1"/>
  <c r="N347" i="2"/>
  <c r="AC346" i="2"/>
  <c r="Y346" i="2"/>
  <c r="W346" i="2"/>
  <c r="S346" i="2"/>
  <c r="N346" i="2"/>
  <c r="AC345" i="2"/>
  <c r="Y345" i="2"/>
  <c r="W345" i="2"/>
  <c r="S345" i="2"/>
  <c r="N345" i="2"/>
  <c r="AC344" i="2"/>
  <c r="Y344" i="2"/>
  <c r="W344" i="2"/>
  <c r="S344" i="2"/>
  <c r="N344" i="2"/>
  <c r="AC343" i="2"/>
  <c r="Y343" i="2"/>
  <c r="W343" i="2"/>
  <c r="S343" i="2"/>
  <c r="N343" i="2"/>
  <c r="AC342" i="2"/>
  <c r="Y342" i="2"/>
  <c r="W342" i="2"/>
  <c r="S342" i="2"/>
  <c r="N342" i="2"/>
  <c r="AC341" i="2"/>
  <c r="Y341" i="2"/>
  <c r="W341" i="2"/>
  <c r="S341" i="2"/>
  <c r="N341" i="2"/>
  <c r="AC340" i="2"/>
  <c r="Y340" i="2"/>
  <c r="W340" i="2"/>
  <c r="S340" i="2"/>
  <c r="N340" i="2"/>
  <c r="AC339" i="2"/>
  <c r="Y339" i="2"/>
  <c r="W339" i="2"/>
  <c r="S339" i="2"/>
  <c r="N339" i="2"/>
  <c r="AC338" i="2"/>
  <c r="Y338" i="2"/>
  <c r="W338" i="2"/>
  <c r="S338" i="2"/>
  <c r="N338" i="2"/>
  <c r="AC337" i="2"/>
  <c r="Y337" i="2"/>
  <c r="W337" i="2"/>
  <c r="S337" i="2"/>
  <c r="N337" i="2"/>
  <c r="AC336" i="2"/>
  <c r="Y336" i="2"/>
  <c r="W336" i="2"/>
  <c r="S336" i="2"/>
  <c r="N336" i="2"/>
  <c r="AC335" i="2"/>
  <c r="Y335" i="2"/>
  <c r="W335" i="2"/>
  <c r="S335" i="2"/>
  <c r="N335" i="2"/>
  <c r="AA334" i="2"/>
  <c r="S334" i="2"/>
  <c r="U334" i="2" s="1"/>
  <c r="N334" i="2"/>
  <c r="AC333" i="2"/>
  <c r="Y333" i="2"/>
  <c r="W333" i="2"/>
  <c r="S333" i="2"/>
  <c r="N333" i="2"/>
  <c r="AC332" i="2"/>
  <c r="Y332" i="2"/>
  <c r="W332" i="2"/>
  <c r="S332" i="2"/>
  <c r="N332" i="2"/>
  <c r="AC331" i="2"/>
  <c r="Y331" i="2"/>
  <c r="W331" i="2"/>
  <c r="S331" i="2"/>
  <c r="N331" i="2"/>
  <c r="AC330" i="2"/>
  <c r="Y330" i="2"/>
  <c r="W330" i="2"/>
  <c r="S330" i="2"/>
  <c r="N330" i="2"/>
  <c r="AC329" i="2"/>
  <c r="Y329" i="2"/>
  <c r="W329" i="2"/>
  <c r="S329" i="2"/>
  <c r="N329" i="2"/>
  <c r="AC328" i="2"/>
  <c r="Y328" i="2"/>
  <c r="W328" i="2"/>
  <c r="S328" i="2"/>
  <c r="N328" i="2"/>
  <c r="AC327" i="2"/>
  <c r="Y327" i="2"/>
  <c r="W327" i="2"/>
  <c r="S327" i="2"/>
  <c r="N327" i="2"/>
  <c r="AA326" i="2"/>
  <c r="S326" i="2"/>
  <c r="U326" i="2" s="1"/>
  <c r="N326" i="2"/>
  <c r="AA325" i="2"/>
  <c r="S325" i="2"/>
  <c r="U325" i="2" s="1"/>
  <c r="Y325" i="2" s="1"/>
  <c r="N325" i="2"/>
  <c r="AC324" i="2"/>
  <c r="Y324" i="2"/>
  <c r="W324" i="2"/>
  <c r="S324" i="2"/>
  <c r="N324" i="2"/>
  <c r="AC323" i="2"/>
  <c r="Y323" i="2"/>
  <c r="W323" i="2"/>
  <c r="S323" i="2"/>
  <c r="N323" i="2"/>
  <c r="AC322" i="2"/>
  <c r="Y322" i="2"/>
  <c r="W322" i="2"/>
  <c r="S322" i="2"/>
  <c r="N322" i="2"/>
  <c r="AC321" i="2"/>
  <c r="Y321" i="2"/>
  <c r="W321" i="2"/>
  <c r="S321" i="2"/>
  <c r="N321" i="2"/>
  <c r="AC320" i="2"/>
  <c r="Y320" i="2"/>
  <c r="W320" i="2"/>
  <c r="S320" i="2"/>
  <c r="N320" i="2"/>
  <c r="AC319" i="2"/>
  <c r="Y319" i="2"/>
  <c r="W319" i="2"/>
  <c r="S319" i="2"/>
  <c r="N319" i="2"/>
  <c r="AC318" i="2"/>
  <c r="Y318" i="2"/>
  <c r="W318" i="2"/>
  <c r="S318" i="2"/>
  <c r="N318" i="2"/>
  <c r="AC317" i="2"/>
  <c r="Y317" i="2"/>
  <c r="W317" i="2"/>
  <c r="S317" i="2"/>
  <c r="N317" i="2"/>
  <c r="AC316" i="2"/>
  <c r="Y316" i="2"/>
  <c r="W316" i="2"/>
  <c r="S316" i="2"/>
  <c r="N316" i="2"/>
  <c r="AC315" i="2"/>
  <c r="Y315" i="2"/>
  <c r="W315" i="2"/>
  <c r="S315" i="2"/>
  <c r="N315" i="2"/>
  <c r="AC314" i="2"/>
  <c r="Y314" i="2"/>
  <c r="W314" i="2"/>
  <c r="S314" i="2"/>
  <c r="N314" i="2"/>
  <c r="AA313" i="2"/>
  <c r="S313" i="2"/>
  <c r="U313" i="2" s="1"/>
  <c r="N313" i="2"/>
  <c r="AC312" i="2"/>
  <c r="Y312" i="2"/>
  <c r="W312" i="2"/>
  <c r="S312" i="2"/>
  <c r="N312" i="2"/>
  <c r="AC311" i="2"/>
  <c r="Y311" i="2"/>
  <c r="W311" i="2"/>
  <c r="S311" i="2"/>
  <c r="N311" i="2"/>
  <c r="AC310" i="2"/>
  <c r="Y310" i="2"/>
  <c r="W310" i="2"/>
  <c r="S310" i="2"/>
  <c r="N310" i="2"/>
  <c r="AC309" i="2"/>
  <c r="Y309" i="2"/>
  <c r="W309" i="2"/>
  <c r="S309" i="2"/>
  <c r="N309" i="2"/>
  <c r="AC308" i="2"/>
  <c r="Y308" i="2"/>
  <c r="W308" i="2"/>
  <c r="S308" i="2"/>
  <c r="N308" i="2"/>
  <c r="AC307" i="2"/>
  <c r="Y307" i="2"/>
  <c r="W307" i="2"/>
  <c r="S307" i="2"/>
  <c r="N307" i="2"/>
  <c r="AC306" i="2"/>
  <c r="Y306" i="2"/>
  <c r="W306" i="2"/>
  <c r="S306" i="2"/>
  <c r="N306" i="2"/>
  <c r="AC305" i="2"/>
  <c r="Y305" i="2"/>
  <c r="W305" i="2"/>
  <c r="S305" i="2"/>
  <c r="N305" i="2"/>
  <c r="AC304" i="2"/>
  <c r="Y304" i="2"/>
  <c r="W304" i="2"/>
  <c r="S304" i="2"/>
  <c r="N304" i="2"/>
  <c r="AC303" i="2"/>
  <c r="Y303" i="2"/>
  <c r="W303" i="2"/>
  <c r="S303" i="2"/>
  <c r="N303" i="2"/>
  <c r="AC302" i="2"/>
  <c r="Y302" i="2"/>
  <c r="W302" i="2"/>
  <c r="S302" i="2"/>
  <c r="N302" i="2"/>
  <c r="AC301" i="2"/>
  <c r="Y301" i="2"/>
  <c r="W301" i="2"/>
  <c r="S301" i="2"/>
  <c r="N301" i="2"/>
  <c r="AC300" i="2"/>
  <c r="Y300" i="2"/>
  <c r="W300" i="2"/>
  <c r="S300" i="2"/>
  <c r="N300" i="2"/>
  <c r="AC299" i="2"/>
  <c r="Y299" i="2"/>
  <c r="W299" i="2"/>
  <c r="S299" i="2"/>
  <c r="N299" i="2"/>
  <c r="AC298" i="2"/>
  <c r="Y298" i="2"/>
  <c r="W298" i="2"/>
  <c r="S298" i="2"/>
  <c r="N298" i="2"/>
  <c r="AC297" i="2"/>
  <c r="Y297" i="2"/>
  <c r="W297" i="2"/>
  <c r="S297" i="2"/>
  <c r="N297" i="2"/>
  <c r="AC296" i="2"/>
  <c r="Y296" i="2"/>
  <c r="W296" i="2"/>
  <c r="S296" i="2"/>
  <c r="N296" i="2"/>
  <c r="AA295" i="2"/>
  <c r="S295" i="2"/>
  <c r="U295" i="2" s="1"/>
  <c r="N295" i="2"/>
  <c r="AA294" i="2"/>
  <c r="S294" i="2"/>
  <c r="U294" i="2" s="1"/>
  <c r="N294" i="2"/>
  <c r="AC293" i="2"/>
  <c r="Y293" i="2"/>
  <c r="W293" i="2"/>
  <c r="S293" i="2"/>
  <c r="N293" i="2"/>
  <c r="AC292" i="2"/>
  <c r="Y292" i="2"/>
  <c r="W292" i="2"/>
  <c r="S292" i="2"/>
  <c r="N292" i="2"/>
  <c r="AC291" i="2"/>
  <c r="Y291" i="2"/>
  <c r="W291" i="2"/>
  <c r="S291" i="2"/>
  <c r="N291" i="2"/>
  <c r="AC290" i="2"/>
  <c r="Y290" i="2"/>
  <c r="W290" i="2"/>
  <c r="S290" i="2"/>
  <c r="N290" i="2"/>
  <c r="AC289" i="2"/>
  <c r="Y289" i="2"/>
  <c r="W289" i="2"/>
  <c r="S289" i="2"/>
  <c r="N289" i="2"/>
  <c r="AC288" i="2"/>
  <c r="Y288" i="2"/>
  <c r="W288" i="2"/>
  <c r="S288" i="2"/>
  <c r="N288" i="2"/>
  <c r="AC287" i="2"/>
  <c r="Y287" i="2"/>
  <c r="W287" i="2"/>
  <c r="S287" i="2"/>
  <c r="N287" i="2"/>
  <c r="AC286" i="2"/>
  <c r="Y286" i="2"/>
  <c r="W286" i="2"/>
  <c r="S286" i="2"/>
  <c r="N286" i="2"/>
  <c r="AC285" i="2"/>
  <c r="Y285" i="2"/>
  <c r="W285" i="2"/>
  <c r="S285" i="2"/>
  <c r="N285" i="2"/>
  <c r="AC284" i="2"/>
  <c r="Y284" i="2"/>
  <c r="W284" i="2"/>
  <c r="S284" i="2"/>
  <c r="N284" i="2"/>
  <c r="AC283" i="2"/>
  <c r="Y283" i="2"/>
  <c r="W283" i="2"/>
  <c r="S283" i="2"/>
  <c r="N283" i="2"/>
  <c r="AA282" i="2"/>
  <c r="X282" i="2"/>
  <c r="S282" i="2"/>
  <c r="U282" i="2" s="1"/>
  <c r="N282" i="2"/>
  <c r="S281" i="2"/>
  <c r="U281" i="2" s="1"/>
  <c r="AB281" i="2" s="1"/>
  <c r="AC281" i="2" s="1"/>
  <c r="N281" i="2"/>
  <c r="AC280" i="2"/>
  <c r="Y280" i="2"/>
  <c r="W280" i="2"/>
  <c r="S280" i="2"/>
  <c r="N280" i="2"/>
  <c r="AC279" i="2"/>
  <c r="Y279" i="2"/>
  <c r="W279" i="2"/>
  <c r="S279" i="2"/>
  <c r="N279" i="2"/>
  <c r="AC278" i="2"/>
  <c r="Y278" i="2"/>
  <c r="W278" i="2"/>
  <c r="S278" i="2"/>
  <c r="N278" i="2"/>
  <c r="AA277" i="2"/>
  <c r="S277" i="2"/>
  <c r="U277" i="2" s="1"/>
  <c r="N277" i="2"/>
  <c r="AC276" i="2"/>
  <c r="Y276" i="2"/>
  <c r="W276" i="2"/>
  <c r="S276" i="2"/>
  <c r="N276" i="2"/>
  <c r="AC275" i="2"/>
  <c r="Y275" i="2"/>
  <c r="W275" i="2"/>
  <c r="S275" i="2"/>
  <c r="N275" i="2"/>
  <c r="AC274" i="2"/>
  <c r="Y274" i="2"/>
  <c r="W274" i="2"/>
  <c r="S274" i="2"/>
  <c r="N274" i="2"/>
  <c r="AC273" i="2"/>
  <c r="Y273" i="2"/>
  <c r="W273" i="2"/>
  <c r="S273" i="2"/>
  <c r="N273" i="2"/>
  <c r="AC272" i="2"/>
  <c r="Y272" i="2"/>
  <c r="W272" i="2"/>
  <c r="S272" i="2"/>
  <c r="N272" i="2"/>
  <c r="AC271" i="2"/>
  <c r="Y271" i="2"/>
  <c r="W271" i="2"/>
  <c r="S271" i="2"/>
  <c r="N271" i="2"/>
  <c r="AC270" i="2"/>
  <c r="Y270" i="2"/>
  <c r="W270" i="2"/>
  <c r="S270" i="2"/>
  <c r="N270" i="2"/>
  <c r="AC269" i="2"/>
  <c r="Y269" i="2"/>
  <c r="W269" i="2"/>
  <c r="S269" i="2"/>
  <c r="N269" i="2"/>
  <c r="AC268" i="2"/>
  <c r="Y268" i="2"/>
  <c r="W268" i="2"/>
  <c r="S268" i="2"/>
  <c r="N268" i="2"/>
  <c r="AC267" i="2"/>
  <c r="Y267" i="2"/>
  <c r="W267" i="2"/>
  <c r="S267" i="2"/>
  <c r="N267" i="2"/>
  <c r="AC266" i="2"/>
  <c r="Y266" i="2"/>
  <c r="W266" i="2"/>
  <c r="S266" i="2"/>
  <c r="N266" i="2"/>
  <c r="AC265" i="2"/>
  <c r="Y265" i="2"/>
  <c r="W265" i="2"/>
  <c r="S265" i="2"/>
  <c r="N265" i="2"/>
  <c r="AC264" i="2"/>
  <c r="Y264" i="2"/>
  <c r="W264" i="2"/>
  <c r="S264" i="2"/>
  <c r="N264" i="2"/>
  <c r="AC263" i="2"/>
  <c r="Y263" i="2"/>
  <c r="W263" i="2"/>
  <c r="S263" i="2"/>
  <c r="N263" i="2"/>
  <c r="AC262" i="2"/>
  <c r="Y262" i="2"/>
  <c r="W262" i="2"/>
  <c r="S262" i="2"/>
  <c r="N262" i="2"/>
  <c r="AC261" i="2"/>
  <c r="Y261" i="2"/>
  <c r="W261" i="2"/>
  <c r="S261" i="2"/>
  <c r="N261" i="2"/>
  <c r="AC260" i="2"/>
  <c r="Y260" i="2"/>
  <c r="W260" i="2"/>
  <c r="S260" i="2"/>
  <c r="N260" i="2"/>
  <c r="AC259" i="2"/>
  <c r="Y259" i="2"/>
  <c r="W259" i="2"/>
  <c r="S259" i="2"/>
  <c r="N259" i="2"/>
  <c r="AC258" i="2"/>
  <c r="Y258" i="2"/>
  <c r="W258" i="2"/>
  <c r="S258" i="2"/>
  <c r="N258" i="2"/>
  <c r="AC257" i="2"/>
  <c r="Y257" i="2"/>
  <c r="W257" i="2"/>
  <c r="S257" i="2"/>
  <c r="N257" i="2"/>
  <c r="AC256" i="2"/>
  <c r="Y256" i="2"/>
  <c r="W256" i="2"/>
  <c r="S256" i="2"/>
  <c r="N256" i="2"/>
  <c r="AA255" i="2"/>
  <c r="X255" i="2"/>
  <c r="S255" i="2"/>
  <c r="U255" i="2" s="1"/>
  <c r="N255" i="2"/>
  <c r="AA254" i="2"/>
  <c r="X254" i="2"/>
  <c r="S254" i="2"/>
  <c r="U254" i="2" s="1"/>
  <c r="N254" i="2"/>
  <c r="AA253" i="2"/>
  <c r="S253" i="2"/>
  <c r="U253" i="2" s="1"/>
  <c r="N253" i="2"/>
  <c r="AA252" i="2"/>
  <c r="S252" i="2"/>
  <c r="U252" i="2" s="1"/>
  <c r="Y252" i="2" s="1"/>
  <c r="AA251" i="2"/>
  <c r="S251" i="2"/>
  <c r="U251" i="2" s="1"/>
  <c r="Y251" i="2" s="1"/>
  <c r="N251" i="2"/>
  <c r="AC250" i="2"/>
  <c r="Y250" i="2"/>
  <c r="W250" i="2"/>
  <c r="S250" i="2"/>
  <c r="N250" i="2"/>
  <c r="AC249" i="2"/>
  <c r="Y249" i="2"/>
  <c r="W249" i="2"/>
  <c r="S249" i="2"/>
  <c r="N249" i="2"/>
  <c r="AC248" i="2"/>
  <c r="Y248" i="2"/>
  <c r="W248" i="2"/>
  <c r="S248" i="2"/>
  <c r="N248" i="2"/>
  <c r="AC247" i="2"/>
  <c r="Y247" i="2"/>
  <c r="W247" i="2"/>
  <c r="S247" i="2"/>
  <c r="N247" i="2"/>
  <c r="AC246" i="2"/>
  <c r="Y246" i="2"/>
  <c r="W246" i="2"/>
  <c r="S246" i="2"/>
  <c r="N246" i="2"/>
  <c r="AC245" i="2"/>
  <c r="Y245" i="2"/>
  <c r="W245" i="2"/>
  <c r="S245" i="2"/>
  <c r="N245" i="2"/>
  <c r="AC244" i="2"/>
  <c r="Y244" i="2"/>
  <c r="W244" i="2"/>
  <c r="S244" i="2"/>
  <c r="N244" i="2"/>
  <c r="AC243" i="2"/>
  <c r="Y243" i="2"/>
  <c r="W243" i="2"/>
  <c r="S243" i="2"/>
  <c r="N243" i="2"/>
  <c r="AC242" i="2"/>
  <c r="Y242" i="2"/>
  <c r="W242" i="2"/>
  <c r="S242" i="2"/>
  <c r="N242" i="2"/>
  <c r="AC241" i="2"/>
  <c r="Y241" i="2"/>
  <c r="W241" i="2"/>
  <c r="S241" i="2"/>
  <c r="N241" i="2"/>
  <c r="AC240" i="2"/>
  <c r="Y240" i="2"/>
  <c r="W240" i="2"/>
  <c r="S240" i="2"/>
  <c r="N240" i="2"/>
  <c r="AC239" i="2"/>
  <c r="Y239" i="2"/>
  <c r="W239" i="2"/>
  <c r="S239" i="2"/>
  <c r="N239" i="2"/>
  <c r="AC238" i="2"/>
  <c r="Y238" i="2"/>
  <c r="W238" i="2"/>
  <c r="S238" i="2"/>
  <c r="N238" i="2"/>
  <c r="AC234" i="2"/>
  <c r="Y234" i="2"/>
  <c r="W234" i="2"/>
  <c r="S234" i="2"/>
  <c r="N234" i="2"/>
  <c r="AC233" i="2"/>
  <c r="Y233" i="2"/>
  <c r="W233" i="2"/>
  <c r="S233" i="2"/>
  <c r="N233" i="2"/>
  <c r="AC232" i="2"/>
  <c r="Y232" i="2"/>
  <c r="W232" i="2"/>
  <c r="S232" i="2"/>
  <c r="N232" i="2"/>
  <c r="AC231" i="2"/>
  <c r="Y231" i="2"/>
  <c r="W231" i="2"/>
  <c r="S231" i="2"/>
  <c r="N231" i="2"/>
  <c r="AC230" i="2"/>
  <c r="Y230" i="2"/>
  <c r="W230" i="2"/>
  <c r="S230" i="2"/>
  <c r="N230" i="2"/>
  <c r="AC229" i="2"/>
  <c r="S229" i="2"/>
  <c r="U229" i="2" s="1"/>
  <c r="Y229" i="2" s="1"/>
  <c r="N229" i="2"/>
  <c r="AC228" i="2"/>
  <c r="Y228" i="2"/>
  <c r="W228" i="2"/>
  <c r="S228" i="2"/>
  <c r="N228" i="2"/>
  <c r="AC227" i="2"/>
  <c r="Y227" i="2"/>
  <c r="W227" i="2"/>
  <c r="S227" i="2"/>
  <c r="N227" i="2"/>
  <c r="AC226" i="2"/>
  <c r="Y226" i="2"/>
  <c r="W226" i="2"/>
  <c r="S226" i="2"/>
  <c r="N226" i="2"/>
  <c r="AC225" i="2"/>
  <c r="Y225" i="2"/>
  <c r="W225" i="2"/>
  <c r="S225" i="2"/>
  <c r="N225" i="2"/>
  <c r="AC224" i="2"/>
  <c r="Y224" i="2"/>
  <c r="W224" i="2"/>
  <c r="S224" i="2"/>
  <c r="N224" i="2"/>
  <c r="AC223" i="2"/>
  <c r="Y223" i="2"/>
  <c r="W223" i="2"/>
  <c r="S223" i="2"/>
  <c r="N223" i="2"/>
  <c r="AC222" i="2"/>
  <c r="Y222" i="2"/>
  <c r="W222" i="2"/>
  <c r="S222" i="2"/>
  <c r="N222" i="2"/>
  <c r="AC221" i="2"/>
  <c r="Y221" i="2"/>
  <c r="W221" i="2"/>
  <c r="S221" i="2"/>
  <c r="N221" i="2"/>
  <c r="AC220" i="2"/>
  <c r="Y220" i="2"/>
  <c r="W220" i="2"/>
  <c r="S220" i="2"/>
  <c r="N220" i="2"/>
  <c r="AA219" i="2"/>
  <c r="S219" i="2"/>
  <c r="U219" i="2" s="1"/>
  <c r="N219" i="2"/>
  <c r="AC218" i="2"/>
  <c r="Y218" i="2"/>
  <c r="W218" i="2"/>
  <c r="S218" i="2"/>
  <c r="N218" i="2"/>
  <c r="AC217" i="2"/>
  <c r="Y217" i="2"/>
  <c r="W217" i="2"/>
  <c r="S217" i="2"/>
  <c r="N217" i="2"/>
  <c r="AC216" i="2"/>
  <c r="Y216" i="2"/>
  <c r="W216" i="2"/>
  <c r="S216" i="2"/>
  <c r="N216" i="2"/>
  <c r="AC215" i="2"/>
  <c r="Y215" i="2"/>
  <c r="W215" i="2"/>
  <c r="S215" i="2"/>
  <c r="N215" i="2"/>
  <c r="AC214" i="2"/>
  <c r="Y214" i="2"/>
  <c r="W214" i="2"/>
  <c r="S214" i="2"/>
  <c r="N214" i="2"/>
  <c r="AA200" i="2"/>
  <c r="S200" i="2"/>
  <c r="U200" i="2" s="1"/>
  <c r="N200" i="2"/>
  <c r="AA199" i="2"/>
  <c r="S199" i="2"/>
  <c r="U199" i="2" s="1"/>
  <c r="Y199" i="2" s="1"/>
  <c r="N199" i="2"/>
  <c r="AA198" i="2"/>
  <c r="S198" i="2"/>
  <c r="U198" i="2" s="1"/>
  <c r="N198" i="2"/>
  <c r="AA197" i="2"/>
  <c r="S197" i="2"/>
  <c r="U197" i="2" s="1"/>
  <c r="N197" i="2"/>
  <c r="AA196" i="2"/>
  <c r="S196" i="2"/>
  <c r="U196" i="2" s="1"/>
  <c r="N196" i="2"/>
  <c r="S195" i="2"/>
  <c r="U195" i="2" s="1"/>
  <c r="Y195" i="2" s="1"/>
  <c r="N195" i="2"/>
  <c r="S194" i="2"/>
  <c r="U194" i="2" s="1"/>
  <c r="N194" i="2"/>
  <c r="AC193" i="2"/>
  <c r="Y193" i="2"/>
  <c r="W193" i="2"/>
  <c r="S193" i="2"/>
  <c r="N193" i="2"/>
  <c r="AC192" i="2"/>
  <c r="Y192" i="2"/>
  <c r="W192" i="2"/>
  <c r="S192" i="2"/>
  <c r="N192" i="2"/>
  <c r="AC191" i="2"/>
  <c r="Y191" i="2"/>
  <c r="W191" i="2"/>
  <c r="S191" i="2"/>
  <c r="N191" i="2"/>
  <c r="AC190" i="2"/>
  <c r="Y190" i="2"/>
  <c r="W190" i="2"/>
  <c r="S190" i="2"/>
  <c r="N190" i="2"/>
  <c r="AC189" i="2"/>
  <c r="Y189" i="2"/>
  <c r="W189" i="2"/>
  <c r="S189" i="2"/>
  <c r="N189" i="2"/>
  <c r="AC188" i="2"/>
  <c r="Y188" i="2"/>
  <c r="W188" i="2"/>
  <c r="S188" i="2"/>
  <c r="N188" i="2"/>
  <c r="AC187" i="2"/>
  <c r="Y187" i="2"/>
  <c r="W187" i="2"/>
  <c r="S187" i="2"/>
  <c r="N187" i="2"/>
  <c r="AC186" i="2"/>
  <c r="Y186" i="2"/>
  <c r="W186" i="2"/>
  <c r="S186" i="2"/>
  <c r="N186" i="2"/>
  <c r="AC185" i="2"/>
  <c r="Y185" i="2"/>
  <c r="W185" i="2"/>
  <c r="S185" i="2"/>
  <c r="N185" i="2"/>
  <c r="AA184" i="2"/>
  <c r="S184" i="2"/>
  <c r="U184" i="2" s="1"/>
  <c r="N184" i="2"/>
  <c r="AC183" i="2"/>
  <c r="Y183" i="2"/>
  <c r="W183" i="2"/>
  <c r="S183" i="2"/>
  <c r="N183" i="2"/>
  <c r="AC182" i="2"/>
  <c r="Y182" i="2"/>
  <c r="W182" i="2"/>
  <c r="S182" i="2"/>
  <c r="N182" i="2"/>
  <c r="AA181" i="2"/>
  <c r="S181" i="2"/>
  <c r="U181" i="2" s="1"/>
  <c r="AC180" i="2"/>
  <c r="Y180" i="2"/>
  <c r="W180" i="2"/>
  <c r="S180" i="2"/>
  <c r="N180" i="2"/>
  <c r="AC179" i="2"/>
  <c r="Y179" i="2"/>
  <c r="W179" i="2"/>
  <c r="S179" i="2"/>
  <c r="N179" i="2"/>
  <c r="AC178" i="2"/>
  <c r="Y178" i="2"/>
  <c r="W178" i="2"/>
  <c r="S178" i="2"/>
  <c r="N178" i="2"/>
  <c r="AC177" i="2"/>
  <c r="Y177" i="2"/>
  <c r="W177" i="2"/>
  <c r="S177" i="2"/>
  <c r="N177" i="2"/>
  <c r="AC176" i="2"/>
  <c r="Y176" i="2"/>
  <c r="W176" i="2"/>
  <c r="S176" i="2"/>
  <c r="N176" i="2"/>
  <c r="AC175" i="2"/>
  <c r="Y175" i="2"/>
  <c r="W175" i="2"/>
  <c r="S175" i="2"/>
  <c r="N175" i="2"/>
  <c r="S174" i="2"/>
  <c r="U174" i="2" s="1"/>
  <c r="AB174" i="2" s="1"/>
  <c r="AC174" i="2" s="1"/>
  <c r="N174" i="2"/>
  <c r="AA173" i="2"/>
  <c r="S173" i="2"/>
  <c r="U173" i="2" s="1"/>
  <c r="N173" i="2"/>
  <c r="AC172" i="2"/>
  <c r="Y172" i="2"/>
  <c r="W172" i="2"/>
  <c r="S172" i="2"/>
  <c r="N172" i="2"/>
  <c r="AC169" i="2"/>
  <c r="Y169" i="2"/>
  <c r="W169" i="2"/>
  <c r="S169" i="2"/>
  <c r="N169" i="2"/>
  <c r="AA168" i="2"/>
  <c r="S168" i="2"/>
  <c r="U168" i="2" s="1"/>
  <c r="N168" i="2"/>
  <c r="S167" i="2"/>
  <c r="U167" i="2" s="1"/>
  <c r="AB167" i="2" s="1"/>
  <c r="AC167" i="2" s="1"/>
  <c r="N167" i="2"/>
  <c r="AC166" i="2"/>
  <c r="Y166" i="2"/>
  <c r="W166" i="2"/>
  <c r="S166" i="2"/>
  <c r="N166" i="2"/>
  <c r="AC165" i="2"/>
  <c r="Y165" i="2"/>
  <c r="W165" i="2"/>
  <c r="S165" i="2"/>
  <c r="N165" i="2"/>
  <c r="AC164" i="2"/>
  <c r="Y164" i="2"/>
  <c r="W164" i="2"/>
  <c r="S164" i="2"/>
  <c r="N164" i="2"/>
  <c r="AC163" i="2"/>
  <c r="Y163" i="2"/>
  <c r="W163" i="2"/>
  <c r="S163" i="2"/>
  <c r="N163" i="2"/>
  <c r="AC162" i="2"/>
  <c r="Y162" i="2"/>
  <c r="W162" i="2"/>
  <c r="S162" i="2"/>
  <c r="N162" i="2"/>
  <c r="AC161" i="2"/>
  <c r="Y161" i="2"/>
  <c r="W161" i="2"/>
  <c r="S161" i="2"/>
  <c r="N161" i="2"/>
  <c r="AC160" i="2"/>
  <c r="Y160" i="2"/>
  <c r="W160" i="2"/>
  <c r="S160" i="2"/>
  <c r="N160" i="2"/>
  <c r="AC159" i="2"/>
  <c r="Y159" i="2"/>
  <c r="W159" i="2"/>
  <c r="S159" i="2"/>
  <c r="N159" i="2"/>
  <c r="AC158" i="2"/>
  <c r="Y158" i="2"/>
  <c r="W158" i="2"/>
  <c r="S158" i="2"/>
  <c r="N158" i="2"/>
  <c r="AC157" i="2"/>
  <c r="Y157" i="2"/>
  <c r="W157" i="2"/>
  <c r="S157" i="2"/>
  <c r="N157" i="2"/>
  <c r="AC156" i="2"/>
  <c r="Y156" i="2"/>
  <c r="W156" i="2"/>
  <c r="S156" i="2"/>
  <c r="N156" i="2"/>
  <c r="AC155" i="2"/>
  <c r="Y155" i="2"/>
  <c r="W155" i="2"/>
  <c r="S155" i="2"/>
  <c r="N155" i="2"/>
  <c r="AC154" i="2"/>
  <c r="Y154" i="2"/>
  <c r="W154" i="2"/>
  <c r="S154" i="2"/>
  <c r="N154" i="2"/>
  <c r="AC153" i="2"/>
  <c r="Y153" i="2"/>
  <c r="W153" i="2"/>
  <c r="S153" i="2"/>
  <c r="N153" i="2"/>
  <c r="AC152" i="2"/>
  <c r="Y152" i="2"/>
  <c r="W152" i="2"/>
  <c r="S152" i="2"/>
  <c r="N152" i="2"/>
  <c r="AC151" i="2"/>
  <c r="Y151" i="2"/>
  <c r="W151" i="2"/>
  <c r="S151" i="2"/>
  <c r="N151" i="2"/>
  <c r="AC150" i="2"/>
  <c r="Y150" i="2"/>
  <c r="W150" i="2"/>
  <c r="S150" i="2"/>
  <c r="N150" i="2"/>
  <c r="AC149" i="2"/>
  <c r="Y149" i="2"/>
  <c r="W149" i="2"/>
  <c r="S149" i="2"/>
  <c r="N149" i="2"/>
  <c r="S148" i="2"/>
  <c r="U148" i="2" s="1"/>
  <c r="AB148" i="2" s="1"/>
  <c r="AC148" i="2" s="1"/>
  <c r="N148" i="2"/>
  <c r="S147" i="2"/>
  <c r="U147" i="2" s="1"/>
  <c r="N147" i="2"/>
  <c r="S146" i="2"/>
  <c r="U146" i="2" s="1"/>
  <c r="Y146" i="2" s="1"/>
  <c r="N146" i="2"/>
  <c r="S145" i="2"/>
  <c r="U145" i="2" s="1"/>
  <c r="N145" i="2"/>
  <c r="S144" i="2"/>
  <c r="U144" i="2" s="1"/>
  <c r="AB144" i="2" s="1"/>
  <c r="AC144" i="2" s="1"/>
  <c r="N144" i="2"/>
  <c r="S143" i="2"/>
  <c r="U143" i="2" s="1"/>
  <c r="N143" i="2"/>
  <c r="S142" i="2"/>
  <c r="U142" i="2" s="1"/>
  <c r="AB142" i="2" s="1"/>
  <c r="AC142" i="2" s="1"/>
  <c r="N142" i="2"/>
  <c r="S141" i="2"/>
  <c r="U141" i="2" s="1"/>
  <c r="N141" i="2"/>
  <c r="S140" i="2"/>
  <c r="U140" i="2" s="1"/>
  <c r="Y140" i="2" s="1"/>
  <c r="N140" i="2"/>
  <c r="S139" i="2"/>
  <c r="U139" i="2" s="1"/>
  <c r="N139" i="2"/>
  <c r="AC138" i="2"/>
  <c r="Y138" i="2"/>
  <c r="W138" i="2"/>
  <c r="S138" i="2"/>
  <c r="N138" i="2"/>
  <c r="AC137" i="2"/>
  <c r="Y137" i="2"/>
  <c r="W137" i="2"/>
  <c r="S137" i="2"/>
  <c r="N137" i="2"/>
  <c r="AC136" i="2"/>
  <c r="Y136" i="2"/>
  <c r="W136" i="2"/>
  <c r="S136" i="2"/>
  <c r="N136" i="2"/>
  <c r="AC135" i="2"/>
  <c r="Y135" i="2"/>
  <c r="W135" i="2"/>
  <c r="S135" i="2"/>
  <c r="N135" i="2"/>
  <c r="AC134" i="2"/>
  <c r="Y134" i="2"/>
  <c r="W134" i="2"/>
  <c r="S134" i="2"/>
  <c r="N134" i="2"/>
  <c r="AC133" i="2"/>
  <c r="Y133" i="2"/>
  <c r="W133" i="2"/>
  <c r="S133" i="2"/>
  <c r="N133" i="2"/>
  <c r="AC132" i="2"/>
  <c r="Y132" i="2"/>
  <c r="W132" i="2"/>
  <c r="S132" i="2"/>
  <c r="N132" i="2"/>
  <c r="AC131" i="2"/>
  <c r="Y131" i="2"/>
  <c r="W131" i="2"/>
  <c r="S131" i="2"/>
  <c r="N131" i="2"/>
  <c r="AC130" i="2"/>
  <c r="Y130" i="2"/>
  <c r="W130" i="2"/>
  <c r="S130" i="2"/>
  <c r="N130" i="2"/>
  <c r="AC129" i="2"/>
  <c r="Y129" i="2"/>
  <c r="W129" i="2"/>
  <c r="S129" i="2"/>
  <c r="N129" i="2"/>
  <c r="AC128" i="2"/>
  <c r="Y128" i="2"/>
  <c r="W128" i="2"/>
  <c r="S128" i="2"/>
  <c r="N128" i="2"/>
  <c r="AC127" i="2"/>
  <c r="Y127" i="2"/>
  <c r="W127" i="2"/>
  <c r="S127" i="2"/>
  <c r="N127" i="2"/>
  <c r="AC126" i="2"/>
  <c r="Y126" i="2"/>
  <c r="W126" i="2"/>
  <c r="S126" i="2"/>
  <c r="N126" i="2"/>
  <c r="AC125" i="2"/>
  <c r="Y125" i="2"/>
  <c r="W125" i="2"/>
  <c r="S125" i="2"/>
  <c r="N125" i="2"/>
  <c r="AC124" i="2"/>
  <c r="Y124" i="2"/>
  <c r="W124" i="2"/>
  <c r="S124" i="2"/>
  <c r="N124" i="2"/>
  <c r="AC123" i="2"/>
  <c r="Y123" i="2"/>
  <c r="W123" i="2"/>
  <c r="S123" i="2"/>
  <c r="N123" i="2"/>
  <c r="AA122" i="2"/>
  <c r="S122" i="2"/>
  <c r="U122" i="2" s="1"/>
  <c r="N122" i="2"/>
  <c r="AA121" i="2"/>
  <c r="S121" i="2"/>
  <c r="U121" i="2" s="1"/>
  <c r="Y121" i="2" s="1"/>
  <c r="N121" i="2"/>
  <c r="AC120" i="2"/>
  <c r="Y120" i="2"/>
  <c r="W120" i="2"/>
  <c r="S120" i="2"/>
  <c r="N120" i="2"/>
  <c r="AC119" i="2"/>
  <c r="Y119" i="2"/>
  <c r="W119" i="2"/>
  <c r="S119" i="2"/>
  <c r="N119" i="2"/>
  <c r="AC118" i="2"/>
  <c r="Y118" i="2"/>
  <c r="W118" i="2"/>
  <c r="S118" i="2"/>
  <c r="N118" i="2"/>
  <c r="AC117" i="2"/>
  <c r="Y117" i="2"/>
  <c r="W117" i="2"/>
  <c r="S117" i="2"/>
  <c r="N117" i="2"/>
  <c r="AC116" i="2"/>
  <c r="Y116" i="2"/>
  <c r="W116" i="2"/>
  <c r="S116" i="2"/>
  <c r="N116" i="2"/>
  <c r="AC114" i="2"/>
  <c r="AC113" i="2" s="1"/>
  <c r="Y114" i="2"/>
  <c r="W114" i="2"/>
  <c r="S114" i="2"/>
  <c r="S113" i="2" s="1"/>
  <c r="N114" i="2"/>
  <c r="AA112" i="2"/>
  <c r="S112" i="2"/>
  <c r="N112" i="2"/>
  <c r="AC111" i="2"/>
  <c r="Y111" i="2"/>
  <c r="W111" i="2"/>
  <c r="S111" i="2"/>
  <c r="N111" i="2"/>
  <c r="AC109" i="2"/>
  <c r="Y109" i="2"/>
  <c r="W109" i="2"/>
  <c r="S109" i="2"/>
  <c r="N109" i="2"/>
  <c r="AC108" i="2"/>
  <c r="Y108" i="2"/>
  <c r="W108" i="2"/>
  <c r="S108" i="2"/>
  <c r="N108" i="2"/>
  <c r="AC107" i="2"/>
  <c r="Y107" i="2"/>
  <c r="W107" i="2"/>
  <c r="S107" i="2"/>
  <c r="N107" i="2"/>
  <c r="AC106" i="2"/>
  <c r="Y106" i="2"/>
  <c r="W106" i="2"/>
  <c r="S106" i="2"/>
  <c r="N106" i="2"/>
  <c r="AC105" i="2"/>
  <c r="Y105" i="2"/>
  <c r="W105" i="2"/>
  <c r="S105" i="2"/>
  <c r="N105" i="2"/>
  <c r="AC104" i="2"/>
  <c r="Y104" i="2"/>
  <c r="W104" i="2"/>
  <c r="S104" i="2"/>
  <c r="N104" i="2"/>
  <c r="AC81" i="2"/>
  <c r="AC79" i="2" s="1"/>
  <c r="Y81" i="2"/>
  <c r="Y79" i="2" s="1"/>
  <c r="W81" i="2"/>
  <c r="S81" i="2"/>
  <c r="S80" i="2" s="1"/>
  <c r="N81" i="2"/>
  <c r="AA78" i="2"/>
  <c r="S78" i="2"/>
  <c r="U78" i="2" s="1"/>
  <c r="AA77" i="2"/>
  <c r="S77" i="2"/>
  <c r="U77" i="2" s="1"/>
  <c r="AA76" i="2"/>
  <c r="S76" i="2"/>
  <c r="U76" i="2" s="1"/>
  <c r="AA75" i="2"/>
  <c r="S75" i="2"/>
  <c r="U75" i="2" s="1"/>
  <c r="AA74" i="2"/>
  <c r="S74" i="2"/>
  <c r="U74" i="2" s="1"/>
  <c r="AA73" i="2"/>
  <c r="S73" i="2"/>
  <c r="U73" i="2" s="1"/>
  <c r="S72" i="2"/>
  <c r="U72" i="2" s="1"/>
  <c r="AB72" i="2" s="1"/>
  <c r="AC72" i="2" s="1"/>
  <c r="S71" i="2"/>
  <c r="U71" i="2" s="1"/>
  <c r="AB71" i="2" s="1"/>
  <c r="AC71" i="2" s="1"/>
  <c r="S70" i="2"/>
  <c r="U70" i="2" s="1"/>
  <c r="S69" i="2"/>
  <c r="U69" i="2" s="1"/>
  <c r="S68" i="2"/>
  <c r="U68" i="2" s="1"/>
  <c r="S67" i="2"/>
  <c r="U67" i="2" s="1"/>
  <c r="AB67" i="2" s="1"/>
  <c r="AC67" i="2" s="1"/>
  <c r="S66" i="2"/>
  <c r="U66" i="2" s="1"/>
  <c r="S65" i="2"/>
  <c r="U65" i="2" s="1"/>
  <c r="S64" i="2"/>
  <c r="U64" i="2" s="1"/>
  <c r="S63" i="2"/>
  <c r="U63" i="2" s="1"/>
  <c r="AC62" i="2"/>
  <c r="Y62" i="2"/>
  <c r="W62" i="2"/>
  <c r="S62" i="2"/>
  <c r="AC61" i="2"/>
  <c r="W61" i="2"/>
  <c r="Z61" i="2" s="1"/>
  <c r="S61" i="2"/>
  <c r="AC60" i="2"/>
  <c r="Y60" i="2"/>
  <c r="W60" i="2"/>
  <c r="S60" i="2"/>
  <c r="AC59" i="2"/>
  <c r="W59" i="2"/>
  <c r="Z59" i="2" s="1"/>
  <c r="S59" i="2"/>
  <c r="AA57" i="2"/>
  <c r="S57" i="2"/>
  <c r="S56" i="2" s="1"/>
  <c r="AA55" i="2"/>
  <c r="S55" i="2"/>
  <c r="U55" i="2" s="1"/>
  <c r="S54" i="2"/>
  <c r="U54" i="2" s="1"/>
  <c r="AB54" i="2" s="1"/>
  <c r="AC54" i="2" s="1"/>
  <c r="S53" i="2"/>
  <c r="U53" i="2" s="1"/>
  <c r="S52" i="2"/>
  <c r="U52" i="2" s="1"/>
  <c r="AC51" i="2"/>
  <c r="Y51" i="2"/>
  <c r="W51" i="2"/>
  <c r="S51" i="2"/>
  <c r="AC50" i="2"/>
  <c r="Y50" i="2"/>
  <c r="W50" i="2"/>
  <c r="S50" i="2"/>
  <c r="S49" i="2"/>
  <c r="U49" i="2" s="1"/>
  <c r="AC48" i="2"/>
  <c r="Y48" i="2"/>
  <c r="W48" i="2"/>
  <c r="S48" i="2"/>
  <c r="AC47" i="2"/>
  <c r="Y47" i="2"/>
  <c r="W47" i="2"/>
  <c r="S47" i="2"/>
  <c r="AA42" i="2"/>
  <c r="S42" i="2"/>
  <c r="S41" i="2" s="1"/>
  <c r="S40" i="2" s="1"/>
  <c r="S31" i="2" s="1"/>
  <c r="AA1507" i="2"/>
  <c r="X1507" i="2"/>
  <c r="V1507" i="2"/>
  <c r="T1507" i="2"/>
  <c r="N1507" i="2"/>
  <c r="AC1503" i="2"/>
  <c r="AC1502" i="2" s="1"/>
  <c r="AC1501" i="2" s="1"/>
  <c r="AB1503" i="2"/>
  <c r="AB1502" i="2" s="1"/>
  <c r="AB1501" i="2" s="1"/>
  <c r="Z1503" i="2"/>
  <c r="Z1502" i="2" s="1"/>
  <c r="Z1501" i="2" s="1"/>
  <c r="Y1503" i="2"/>
  <c r="Y1502" i="2" s="1"/>
  <c r="Y1501" i="2" s="1"/>
  <c r="W1503" i="2"/>
  <c r="W1502" i="2" s="1"/>
  <c r="W1501" i="2" s="1"/>
  <c r="U1503" i="2"/>
  <c r="U1502" i="2" s="1"/>
  <c r="U1501" i="2" s="1"/>
  <c r="S1503" i="2"/>
  <c r="S1502" i="2" s="1"/>
  <c r="S1501" i="2" s="1"/>
  <c r="R1503" i="2"/>
  <c r="R1502" i="2" s="1"/>
  <c r="R1501" i="2" s="1"/>
  <c r="Q1503" i="2"/>
  <c r="Q1502" i="2" s="1"/>
  <c r="Q1501" i="2" s="1"/>
  <c r="P1503" i="2"/>
  <c r="P1502" i="2" s="1"/>
  <c r="P1501" i="2" s="1"/>
  <c r="M1503" i="2"/>
  <c r="M1502" i="2" s="1"/>
  <c r="M1501" i="2" s="1"/>
  <c r="AC1497" i="2"/>
  <c r="AC1496" i="2" s="1"/>
  <c r="AC1495" i="2" s="1"/>
  <c r="AB1497" i="2"/>
  <c r="AB1496" i="2" s="1"/>
  <c r="AB1495" i="2" s="1"/>
  <c r="Z1497" i="2"/>
  <c r="Z1496" i="2" s="1"/>
  <c r="Z1495" i="2" s="1"/>
  <c r="Y1497" i="2"/>
  <c r="Y1496" i="2" s="1"/>
  <c r="Y1495" i="2" s="1"/>
  <c r="W1497" i="2"/>
  <c r="W1496" i="2" s="1"/>
  <c r="W1495" i="2" s="1"/>
  <c r="U1497" i="2"/>
  <c r="U1496" i="2" s="1"/>
  <c r="U1495" i="2" s="1"/>
  <c r="S1497" i="2"/>
  <c r="S1496" i="2" s="1"/>
  <c r="S1495" i="2" s="1"/>
  <c r="R1497" i="2"/>
  <c r="R1496" i="2" s="1"/>
  <c r="R1495" i="2" s="1"/>
  <c r="Q1497" i="2"/>
  <c r="Q1496" i="2" s="1"/>
  <c r="Q1495" i="2" s="1"/>
  <c r="P1497" i="2"/>
  <c r="P1496" i="2" s="1"/>
  <c r="P1495" i="2" s="1"/>
  <c r="O1497" i="2"/>
  <c r="O1496" i="2" s="1"/>
  <c r="O1495" i="2" s="1"/>
  <c r="M1497" i="2"/>
  <c r="M1496" i="2" s="1"/>
  <c r="M1495" i="2" s="1"/>
  <c r="Y1493" i="2"/>
  <c r="W1493" i="2"/>
  <c r="Y1492" i="2"/>
  <c r="W1492" i="2"/>
  <c r="Y1491" i="2"/>
  <c r="W1491" i="2"/>
  <c r="Y1490" i="2"/>
  <c r="W1490" i="2"/>
  <c r="AC1489" i="2"/>
  <c r="AC1488" i="2" s="1"/>
  <c r="AC1487" i="2" s="1"/>
  <c r="AB1489" i="2"/>
  <c r="AB1488" i="2" s="1"/>
  <c r="AB1487" i="2" s="1"/>
  <c r="U1489" i="2"/>
  <c r="U1488" i="2" s="1"/>
  <c r="U1487" i="2" s="1"/>
  <c r="S1489" i="2"/>
  <c r="S1488" i="2" s="1"/>
  <c r="S1487" i="2" s="1"/>
  <c r="R1489" i="2"/>
  <c r="R1488" i="2" s="1"/>
  <c r="R1487" i="2" s="1"/>
  <c r="Q1489" i="2"/>
  <c r="Q1488" i="2" s="1"/>
  <c r="Q1487" i="2" s="1"/>
  <c r="P1489" i="2"/>
  <c r="P1488" i="2" s="1"/>
  <c r="P1487" i="2" s="1"/>
  <c r="O1489" i="2"/>
  <c r="O1488" i="2" s="1"/>
  <c r="O1487" i="2" s="1"/>
  <c r="M1489" i="2"/>
  <c r="M1488" i="2" s="1"/>
  <c r="M1487" i="2" s="1"/>
  <c r="AC1483" i="2"/>
  <c r="AC1482" i="2" s="1"/>
  <c r="AC1481" i="2" s="1"/>
  <c r="AB1483" i="2"/>
  <c r="AB1482" i="2" s="1"/>
  <c r="AB1481" i="2" s="1"/>
  <c r="Z1483" i="2"/>
  <c r="Z1482" i="2" s="1"/>
  <c r="Z1481" i="2" s="1"/>
  <c r="Y1483" i="2"/>
  <c r="Y1482" i="2" s="1"/>
  <c r="Y1481" i="2" s="1"/>
  <c r="W1483" i="2"/>
  <c r="W1482" i="2" s="1"/>
  <c r="W1481" i="2" s="1"/>
  <c r="U1483" i="2"/>
  <c r="U1482" i="2" s="1"/>
  <c r="U1481" i="2" s="1"/>
  <c r="S1483" i="2"/>
  <c r="S1482" i="2" s="1"/>
  <c r="S1481" i="2" s="1"/>
  <c r="R1483" i="2"/>
  <c r="R1482" i="2" s="1"/>
  <c r="R1481" i="2" s="1"/>
  <c r="Q1483" i="2"/>
  <c r="Q1482" i="2" s="1"/>
  <c r="Q1481" i="2" s="1"/>
  <c r="P1483" i="2"/>
  <c r="P1482" i="2" s="1"/>
  <c r="P1481" i="2" s="1"/>
  <c r="O1483" i="2"/>
  <c r="O1482" i="2" s="1"/>
  <c r="O1481" i="2" s="1"/>
  <c r="M1483" i="2"/>
  <c r="M1482" i="2" s="1"/>
  <c r="M1481" i="2" s="1"/>
  <c r="AC1477" i="2"/>
  <c r="AC1476" i="2" s="1"/>
  <c r="AC1475" i="2" s="1"/>
  <c r="AB1477" i="2"/>
  <c r="AB1476" i="2" s="1"/>
  <c r="AB1475" i="2" s="1"/>
  <c r="Z1477" i="2"/>
  <c r="Z1476" i="2" s="1"/>
  <c r="Z1475" i="2" s="1"/>
  <c r="Y1477" i="2"/>
  <c r="Y1476" i="2" s="1"/>
  <c r="Y1475" i="2" s="1"/>
  <c r="W1477" i="2"/>
  <c r="W1476" i="2" s="1"/>
  <c r="W1475" i="2" s="1"/>
  <c r="U1477" i="2"/>
  <c r="U1476" i="2" s="1"/>
  <c r="U1475" i="2" s="1"/>
  <c r="S1477" i="2"/>
  <c r="S1476" i="2" s="1"/>
  <c r="S1475" i="2" s="1"/>
  <c r="R1477" i="2"/>
  <c r="R1476" i="2" s="1"/>
  <c r="R1475" i="2" s="1"/>
  <c r="Q1477" i="2"/>
  <c r="Q1476" i="2" s="1"/>
  <c r="Q1475" i="2" s="1"/>
  <c r="P1477" i="2"/>
  <c r="P1476" i="2" s="1"/>
  <c r="P1475" i="2" s="1"/>
  <c r="O1477" i="2"/>
  <c r="O1476" i="2" s="1"/>
  <c r="O1475" i="2" s="1"/>
  <c r="M1477" i="2"/>
  <c r="M1476" i="2" s="1"/>
  <c r="M1475" i="2" s="1"/>
  <c r="AC1470" i="2"/>
  <c r="AC1469" i="2" s="1"/>
  <c r="AB1470" i="2"/>
  <c r="AB1469" i="2" s="1"/>
  <c r="Z1470" i="2"/>
  <c r="Z1469" i="2" s="1"/>
  <c r="Y1470" i="2"/>
  <c r="Y1469" i="2" s="1"/>
  <c r="W1470" i="2"/>
  <c r="W1469" i="2" s="1"/>
  <c r="U1470" i="2"/>
  <c r="U1469" i="2" s="1"/>
  <c r="S1470" i="2"/>
  <c r="S1469" i="2" s="1"/>
  <c r="R1470" i="2"/>
  <c r="R1469" i="2" s="1"/>
  <c r="Q1470" i="2"/>
  <c r="Q1469" i="2" s="1"/>
  <c r="P1470" i="2"/>
  <c r="P1469" i="2" s="1"/>
  <c r="M1470" i="2"/>
  <c r="M1469" i="2" s="1"/>
  <c r="AC1465" i="2"/>
  <c r="AB1465" i="2"/>
  <c r="Z1465" i="2"/>
  <c r="Y1465" i="2"/>
  <c r="W1465" i="2"/>
  <c r="U1465" i="2"/>
  <c r="S1465" i="2"/>
  <c r="R1465" i="2"/>
  <c r="Q1465" i="2"/>
  <c r="P1465" i="2"/>
  <c r="M1465" i="2"/>
  <c r="AC1461" i="2"/>
  <c r="AB1461" i="2"/>
  <c r="Z1461" i="2"/>
  <c r="Y1461" i="2"/>
  <c r="W1461" i="2"/>
  <c r="U1461" i="2"/>
  <c r="S1461" i="2"/>
  <c r="R1461" i="2"/>
  <c r="Q1461" i="2"/>
  <c r="P1461" i="2"/>
  <c r="M1461" i="2"/>
  <c r="AC1457" i="2"/>
  <c r="AB1457" i="2"/>
  <c r="Z1457" i="2"/>
  <c r="Y1457" i="2"/>
  <c r="W1457" i="2"/>
  <c r="U1457" i="2"/>
  <c r="S1457" i="2"/>
  <c r="R1457" i="2"/>
  <c r="Q1457" i="2"/>
  <c r="P1457" i="2"/>
  <c r="M1457" i="2"/>
  <c r="AC1453" i="2"/>
  <c r="AB1453" i="2"/>
  <c r="Z1453" i="2"/>
  <c r="Y1453" i="2"/>
  <c r="W1453" i="2"/>
  <c r="U1453" i="2"/>
  <c r="S1453" i="2"/>
  <c r="R1453" i="2"/>
  <c r="Q1453" i="2"/>
  <c r="P1453" i="2"/>
  <c r="M1453" i="2"/>
  <c r="AC1448" i="2"/>
  <c r="AB1448" i="2"/>
  <c r="Z1448" i="2"/>
  <c r="Y1448" i="2"/>
  <c r="W1448" i="2"/>
  <c r="U1448" i="2"/>
  <c r="S1448" i="2"/>
  <c r="R1448" i="2"/>
  <c r="Q1448" i="2"/>
  <c r="P1448" i="2"/>
  <c r="M1448" i="2"/>
  <c r="AC1444" i="2"/>
  <c r="AB1444" i="2"/>
  <c r="Z1444" i="2"/>
  <c r="Y1444" i="2"/>
  <c r="W1444" i="2"/>
  <c r="U1444" i="2"/>
  <c r="S1444" i="2"/>
  <c r="R1444" i="2"/>
  <c r="Q1444" i="2"/>
  <c r="P1444" i="2"/>
  <c r="M1444" i="2"/>
  <c r="AC1440" i="2"/>
  <c r="AB1440" i="2"/>
  <c r="Z1440" i="2"/>
  <c r="Y1440" i="2"/>
  <c r="W1440" i="2"/>
  <c r="U1440" i="2"/>
  <c r="S1440" i="2"/>
  <c r="R1440" i="2"/>
  <c r="Q1440" i="2"/>
  <c r="P1440" i="2"/>
  <c r="M1440" i="2"/>
  <c r="AC1436" i="2"/>
  <c r="AB1436" i="2"/>
  <c r="Z1436" i="2"/>
  <c r="Y1436" i="2"/>
  <c r="W1436" i="2"/>
  <c r="U1436" i="2"/>
  <c r="S1436" i="2"/>
  <c r="R1436" i="2"/>
  <c r="Q1436" i="2"/>
  <c r="P1436" i="2"/>
  <c r="M1436" i="2"/>
  <c r="AC1431" i="2"/>
  <c r="AB1431" i="2"/>
  <c r="Z1431" i="2"/>
  <c r="Y1431" i="2"/>
  <c r="W1431" i="2"/>
  <c r="U1431" i="2"/>
  <c r="S1431" i="2"/>
  <c r="R1431" i="2"/>
  <c r="Q1431" i="2"/>
  <c r="P1431" i="2"/>
  <c r="M1431" i="2"/>
  <c r="AC1427" i="2"/>
  <c r="AB1427" i="2"/>
  <c r="Z1427" i="2"/>
  <c r="Y1427" i="2"/>
  <c r="W1427" i="2"/>
  <c r="U1427" i="2"/>
  <c r="S1427" i="2"/>
  <c r="R1427" i="2"/>
  <c r="Q1427" i="2"/>
  <c r="P1427" i="2"/>
  <c r="M1427" i="2"/>
  <c r="AC1423" i="2"/>
  <c r="AB1423" i="2"/>
  <c r="Z1423" i="2"/>
  <c r="Y1423" i="2"/>
  <c r="W1423" i="2"/>
  <c r="U1423" i="2"/>
  <c r="S1423" i="2"/>
  <c r="R1423" i="2"/>
  <c r="Q1423" i="2"/>
  <c r="P1423" i="2"/>
  <c r="M1423" i="2"/>
  <c r="AC1419" i="2"/>
  <c r="AB1419" i="2"/>
  <c r="Z1419" i="2"/>
  <c r="Y1419" i="2"/>
  <c r="W1419" i="2"/>
  <c r="U1419" i="2"/>
  <c r="S1419" i="2"/>
  <c r="R1419" i="2"/>
  <c r="Q1419" i="2"/>
  <c r="P1419" i="2"/>
  <c r="M1419" i="2"/>
  <c r="AC1415" i="2"/>
  <c r="AB1415" i="2"/>
  <c r="Z1415" i="2"/>
  <c r="Y1415" i="2"/>
  <c r="W1415" i="2"/>
  <c r="U1415" i="2"/>
  <c r="S1415" i="2"/>
  <c r="R1415" i="2"/>
  <c r="Q1415" i="2"/>
  <c r="P1415" i="2"/>
  <c r="M1415" i="2"/>
  <c r="AC1411" i="2"/>
  <c r="AB1411" i="2"/>
  <c r="Z1411" i="2"/>
  <c r="Y1411" i="2"/>
  <c r="W1411" i="2"/>
  <c r="U1411" i="2"/>
  <c r="S1411" i="2"/>
  <c r="R1411" i="2"/>
  <c r="Q1411" i="2"/>
  <c r="P1411" i="2"/>
  <c r="M1411" i="2"/>
  <c r="AC1407" i="2"/>
  <c r="AB1407" i="2"/>
  <c r="Z1407" i="2"/>
  <c r="Y1407" i="2"/>
  <c r="W1407" i="2"/>
  <c r="U1407" i="2"/>
  <c r="S1407" i="2"/>
  <c r="R1407" i="2"/>
  <c r="Q1407" i="2"/>
  <c r="P1407" i="2"/>
  <c r="M1407" i="2"/>
  <c r="AC1403" i="2"/>
  <c r="AB1403" i="2"/>
  <c r="Z1403" i="2"/>
  <c r="Y1403" i="2"/>
  <c r="W1403" i="2"/>
  <c r="U1403" i="2"/>
  <c r="S1403" i="2"/>
  <c r="R1403" i="2"/>
  <c r="Q1403" i="2"/>
  <c r="P1403" i="2"/>
  <c r="M1403" i="2"/>
  <c r="O1400" i="2"/>
  <c r="O1399" i="2" s="1"/>
  <c r="AC1399" i="2"/>
  <c r="AB1399" i="2"/>
  <c r="Z1399" i="2"/>
  <c r="Y1399" i="2"/>
  <c r="W1399" i="2"/>
  <c r="U1399" i="2"/>
  <c r="S1399" i="2"/>
  <c r="R1399" i="2"/>
  <c r="Q1399" i="2"/>
  <c r="P1399" i="2"/>
  <c r="M1399" i="2"/>
  <c r="AC1395" i="2"/>
  <c r="AB1395" i="2"/>
  <c r="Z1395" i="2"/>
  <c r="Y1395" i="2"/>
  <c r="W1395" i="2"/>
  <c r="U1395" i="2"/>
  <c r="S1395" i="2"/>
  <c r="R1395" i="2"/>
  <c r="Q1395" i="2"/>
  <c r="P1395" i="2"/>
  <c r="M1395" i="2"/>
  <c r="AC1391" i="2"/>
  <c r="AB1391" i="2"/>
  <c r="Z1391" i="2"/>
  <c r="Y1391" i="2"/>
  <c r="W1391" i="2"/>
  <c r="U1391" i="2"/>
  <c r="S1391" i="2"/>
  <c r="R1391" i="2"/>
  <c r="Q1391" i="2"/>
  <c r="P1391" i="2"/>
  <c r="M1391" i="2"/>
  <c r="AC1387" i="2"/>
  <c r="AB1387" i="2"/>
  <c r="Z1387" i="2"/>
  <c r="Y1387" i="2"/>
  <c r="W1387" i="2"/>
  <c r="U1387" i="2"/>
  <c r="S1387" i="2"/>
  <c r="R1387" i="2"/>
  <c r="Q1387" i="2"/>
  <c r="P1387" i="2"/>
  <c r="M1387" i="2"/>
  <c r="AC1383" i="2"/>
  <c r="AB1383" i="2"/>
  <c r="Z1383" i="2"/>
  <c r="Y1383" i="2"/>
  <c r="W1383" i="2"/>
  <c r="U1383" i="2"/>
  <c r="S1383" i="2"/>
  <c r="R1383" i="2"/>
  <c r="Q1383" i="2"/>
  <c r="P1383" i="2"/>
  <c r="M1383" i="2"/>
  <c r="AC1379" i="2"/>
  <c r="AB1379" i="2"/>
  <c r="Z1379" i="2"/>
  <c r="Y1379" i="2"/>
  <c r="W1379" i="2"/>
  <c r="U1379" i="2"/>
  <c r="S1379" i="2"/>
  <c r="R1379" i="2"/>
  <c r="Q1379" i="2"/>
  <c r="P1379" i="2"/>
  <c r="M1379" i="2"/>
  <c r="AC1375" i="2"/>
  <c r="AB1375" i="2"/>
  <c r="Z1375" i="2"/>
  <c r="Y1375" i="2"/>
  <c r="W1375" i="2"/>
  <c r="U1375" i="2"/>
  <c r="S1375" i="2"/>
  <c r="R1375" i="2"/>
  <c r="Q1375" i="2"/>
  <c r="P1375" i="2"/>
  <c r="M1375" i="2"/>
  <c r="AC1371" i="2"/>
  <c r="AB1371" i="2"/>
  <c r="Z1371" i="2"/>
  <c r="Y1371" i="2"/>
  <c r="W1371" i="2"/>
  <c r="U1371" i="2"/>
  <c r="S1371" i="2"/>
  <c r="R1371" i="2"/>
  <c r="Q1371" i="2"/>
  <c r="P1371" i="2"/>
  <c r="M1371" i="2"/>
  <c r="AC1367" i="2"/>
  <c r="AB1367" i="2"/>
  <c r="Z1367" i="2"/>
  <c r="Y1367" i="2"/>
  <c r="W1367" i="2"/>
  <c r="U1367" i="2"/>
  <c r="S1367" i="2"/>
  <c r="R1367" i="2"/>
  <c r="Q1367" i="2"/>
  <c r="P1367" i="2"/>
  <c r="M1367" i="2"/>
  <c r="AC1363" i="2"/>
  <c r="AB1363" i="2"/>
  <c r="Z1363" i="2"/>
  <c r="Y1363" i="2"/>
  <c r="W1363" i="2"/>
  <c r="U1363" i="2"/>
  <c r="S1363" i="2"/>
  <c r="R1363" i="2"/>
  <c r="Q1363" i="2"/>
  <c r="P1363" i="2"/>
  <c r="M1363" i="2"/>
  <c r="AC1359" i="2"/>
  <c r="AB1359" i="2"/>
  <c r="Z1359" i="2"/>
  <c r="Y1359" i="2"/>
  <c r="W1359" i="2"/>
  <c r="U1359" i="2"/>
  <c r="S1359" i="2"/>
  <c r="R1359" i="2"/>
  <c r="Q1359" i="2"/>
  <c r="P1359" i="2"/>
  <c r="M1359" i="2"/>
  <c r="AC1353" i="2"/>
  <c r="AB1353" i="2"/>
  <c r="Z1353" i="2"/>
  <c r="Y1353" i="2"/>
  <c r="W1353" i="2"/>
  <c r="W1352" i="2" s="1"/>
  <c r="W1351" i="2" s="1"/>
  <c r="U1353" i="2"/>
  <c r="U1352" i="2" s="1"/>
  <c r="U1351" i="2" s="1"/>
  <c r="S1353" i="2"/>
  <c r="S1352" i="2" s="1"/>
  <c r="S1351" i="2" s="1"/>
  <c r="R1353" i="2"/>
  <c r="R1352" i="2" s="1"/>
  <c r="R1351" i="2" s="1"/>
  <c r="Q1353" i="2"/>
  <c r="Q1352" i="2" s="1"/>
  <c r="Q1351" i="2" s="1"/>
  <c r="P1353" i="2"/>
  <c r="P1352" i="2" s="1"/>
  <c r="P1351" i="2" s="1"/>
  <c r="O1353" i="2"/>
  <c r="O1352" i="2" s="1"/>
  <c r="O1351" i="2" s="1"/>
  <c r="M1353" i="2"/>
  <c r="M1352" i="2" s="1"/>
  <c r="M1351" i="2" s="1"/>
  <c r="AC1352" i="2"/>
  <c r="AC1351" i="2" s="1"/>
  <c r="AB1352" i="2"/>
  <c r="AB1351" i="2" s="1"/>
  <c r="Z1352" i="2"/>
  <c r="Z1351" i="2" s="1"/>
  <c r="Y1352" i="2"/>
  <c r="Y1351" i="2" s="1"/>
  <c r="AC1347" i="2"/>
  <c r="AC1346" i="2" s="1"/>
  <c r="AB1347" i="2"/>
  <c r="AB1346" i="2" s="1"/>
  <c r="Z1347" i="2"/>
  <c r="Z1346" i="2" s="1"/>
  <c r="Y1347" i="2"/>
  <c r="Y1346" i="2" s="1"/>
  <c r="W1347" i="2"/>
  <c r="W1346" i="2" s="1"/>
  <c r="U1347" i="2"/>
  <c r="U1346" i="2" s="1"/>
  <c r="S1347" i="2"/>
  <c r="S1346" i="2" s="1"/>
  <c r="R1347" i="2"/>
  <c r="R1346" i="2" s="1"/>
  <c r="Q1347" i="2"/>
  <c r="Q1346" i="2" s="1"/>
  <c r="P1347" i="2"/>
  <c r="P1346" i="2" s="1"/>
  <c r="O1347" i="2"/>
  <c r="O1346" i="2" s="1"/>
  <c r="M1347" i="2"/>
  <c r="M1346" i="2" s="1"/>
  <c r="AC1342" i="2"/>
  <c r="AC1341" i="2" s="1"/>
  <c r="AB1342" i="2"/>
  <c r="AB1341" i="2" s="1"/>
  <c r="Z1342" i="2"/>
  <c r="Z1341" i="2" s="1"/>
  <c r="Y1342" i="2"/>
  <c r="Y1341" i="2" s="1"/>
  <c r="W1342" i="2"/>
  <c r="W1341" i="2" s="1"/>
  <c r="U1342" i="2"/>
  <c r="U1341" i="2" s="1"/>
  <c r="S1342" i="2"/>
  <c r="S1341" i="2" s="1"/>
  <c r="R1342" i="2"/>
  <c r="R1341" i="2" s="1"/>
  <c r="Q1342" i="2"/>
  <c r="Q1341" i="2" s="1"/>
  <c r="P1342" i="2"/>
  <c r="P1341" i="2" s="1"/>
  <c r="O1342" i="2"/>
  <c r="O1341" i="2" s="1"/>
  <c r="M1342" i="2"/>
  <c r="M1341" i="2" s="1"/>
  <c r="AC1337" i="2"/>
  <c r="AB1337" i="2"/>
  <c r="Z1337" i="2"/>
  <c r="Y1337" i="2"/>
  <c r="Y1336" i="2" s="1"/>
  <c r="W1337" i="2"/>
  <c r="W1336" i="2" s="1"/>
  <c r="U1337" i="2"/>
  <c r="U1336" i="2" s="1"/>
  <c r="S1337" i="2"/>
  <c r="S1336" i="2" s="1"/>
  <c r="R1337" i="2"/>
  <c r="R1336" i="2" s="1"/>
  <c r="Q1337" i="2"/>
  <c r="Q1336" i="2" s="1"/>
  <c r="P1337" i="2"/>
  <c r="P1336" i="2" s="1"/>
  <c r="O1337" i="2"/>
  <c r="O1336" i="2" s="1"/>
  <c r="M1337" i="2"/>
  <c r="M1336" i="2" s="1"/>
  <c r="AC1336" i="2"/>
  <c r="AB1336" i="2"/>
  <c r="Z1336" i="2"/>
  <c r="AC1332" i="2"/>
  <c r="AB1332" i="2"/>
  <c r="Z1332" i="2"/>
  <c r="Y1332" i="2"/>
  <c r="W1332" i="2"/>
  <c r="U1332" i="2"/>
  <c r="S1332" i="2"/>
  <c r="R1332" i="2"/>
  <c r="Q1332" i="2"/>
  <c r="P1332" i="2"/>
  <c r="O1332" i="2"/>
  <c r="M1332" i="2"/>
  <c r="AC1328" i="2"/>
  <c r="AB1328" i="2"/>
  <c r="Z1328" i="2"/>
  <c r="Y1328" i="2"/>
  <c r="W1328" i="2"/>
  <c r="U1328" i="2"/>
  <c r="S1328" i="2"/>
  <c r="R1328" i="2"/>
  <c r="Q1328" i="2"/>
  <c r="P1328" i="2"/>
  <c r="O1328" i="2"/>
  <c r="M1328" i="2"/>
  <c r="AC1324" i="2"/>
  <c r="AB1324" i="2"/>
  <c r="Z1324" i="2"/>
  <c r="Y1324" i="2"/>
  <c r="W1324" i="2"/>
  <c r="U1324" i="2"/>
  <c r="S1324" i="2"/>
  <c r="R1324" i="2"/>
  <c r="Q1324" i="2"/>
  <c r="P1324" i="2"/>
  <c r="O1324" i="2"/>
  <c r="M1324" i="2"/>
  <c r="AC1320" i="2"/>
  <c r="AB1320" i="2"/>
  <c r="Z1320" i="2"/>
  <c r="Y1320" i="2"/>
  <c r="W1320" i="2"/>
  <c r="U1320" i="2"/>
  <c r="S1320" i="2"/>
  <c r="R1320" i="2"/>
  <c r="Q1320" i="2"/>
  <c r="P1320" i="2"/>
  <c r="O1320" i="2"/>
  <c r="M1320" i="2"/>
  <c r="AC1316" i="2"/>
  <c r="AB1316" i="2"/>
  <c r="Z1316" i="2"/>
  <c r="Y1316" i="2"/>
  <c r="W1316" i="2"/>
  <c r="U1316" i="2"/>
  <c r="S1316" i="2"/>
  <c r="R1316" i="2"/>
  <c r="Q1316" i="2"/>
  <c r="P1316" i="2"/>
  <c r="O1316" i="2"/>
  <c r="M1316" i="2"/>
  <c r="AC1312" i="2"/>
  <c r="AB1312" i="2"/>
  <c r="Z1312" i="2"/>
  <c r="Y1312" i="2"/>
  <c r="W1312" i="2"/>
  <c r="U1312" i="2"/>
  <c r="S1312" i="2"/>
  <c r="R1312" i="2"/>
  <c r="Q1312" i="2"/>
  <c r="P1312" i="2"/>
  <c r="O1312" i="2"/>
  <c r="M1312" i="2"/>
  <c r="AC1308" i="2"/>
  <c r="AB1308" i="2"/>
  <c r="Z1308" i="2"/>
  <c r="Y1308" i="2"/>
  <c r="W1308" i="2"/>
  <c r="U1308" i="2"/>
  <c r="S1308" i="2"/>
  <c r="R1308" i="2"/>
  <c r="Q1308" i="2"/>
  <c r="P1308" i="2"/>
  <c r="O1308" i="2"/>
  <c r="M1308" i="2"/>
  <c r="AC1304" i="2"/>
  <c r="AB1304" i="2"/>
  <c r="Z1304" i="2"/>
  <c r="Y1304" i="2"/>
  <c r="W1304" i="2"/>
  <c r="U1304" i="2"/>
  <c r="S1304" i="2"/>
  <c r="R1304" i="2"/>
  <c r="Q1304" i="2"/>
  <c r="P1304" i="2"/>
  <c r="O1304" i="2"/>
  <c r="M1304" i="2"/>
  <c r="AC1300" i="2"/>
  <c r="AB1300" i="2"/>
  <c r="Z1300" i="2"/>
  <c r="Y1300" i="2"/>
  <c r="W1300" i="2"/>
  <c r="U1300" i="2"/>
  <c r="S1300" i="2"/>
  <c r="R1300" i="2"/>
  <c r="Q1300" i="2"/>
  <c r="P1300" i="2"/>
  <c r="O1300" i="2"/>
  <c r="M1300" i="2"/>
  <c r="AC1296" i="2"/>
  <c r="AB1296" i="2"/>
  <c r="Z1296" i="2"/>
  <c r="Y1296" i="2"/>
  <c r="W1296" i="2"/>
  <c r="U1296" i="2"/>
  <c r="U1295" i="2" s="1"/>
  <c r="S1296" i="2"/>
  <c r="R1296" i="2"/>
  <c r="Q1296" i="2"/>
  <c r="P1296" i="2"/>
  <c r="O1296" i="2"/>
  <c r="M1296" i="2"/>
  <c r="AC1291" i="2"/>
  <c r="AB1291" i="2"/>
  <c r="Z1291" i="2"/>
  <c r="Y1291" i="2"/>
  <c r="W1291" i="2"/>
  <c r="U1291" i="2"/>
  <c r="S1291" i="2"/>
  <c r="R1291" i="2"/>
  <c r="Q1291" i="2"/>
  <c r="P1291" i="2"/>
  <c r="O1291" i="2"/>
  <c r="M1291" i="2"/>
  <c r="AC1287" i="2"/>
  <c r="AB1287" i="2"/>
  <c r="Z1287" i="2"/>
  <c r="Y1287" i="2"/>
  <c r="W1287" i="2"/>
  <c r="U1287" i="2"/>
  <c r="S1287" i="2"/>
  <c r="R1287" i="2"/>
  <c r="Q1287" i="2"/>
  <c r="P1287" i="2"/>
  <c r="O1287" i="2"/>
  <c r="M1287" i="2"/>
  <c r="AC1283" i="2"/>
  <c r="AB1283" i="2"/>
  <c r="Z1283" i="2"/>
  <c r="Y1283" i="2"/>
  <c r="Y1282" i="2" s="1"/>
  <c r="W1283" i="2"/>
  <c r="W1282" i="2" s="1"/>
  <c r="U1283" i="2"/>
  <c r="U1282" i="2" s="1"/>
  <c r="S1283" i="2"/>
  <c r="R1283" i="2"/>
  <c r="Q1283" i="2"/>
  <c r="P1283" i="2"/>
  <c r="P1282" i="2" s="1"/>
  <c r="O1283" i="2"/>
  <c r="M1283" i="2"/>
  <c r="AC1282" i="2"/>
  <c r="AB1282" i="2"/>
  <c r="AC1278" i="2"/>
  <c r="AB1278" i="2"/>
  <c r="Z1278" i="2"/>
  <c r="Y1278" i="2"/>
  <c r="W1278" i="2"/>
  <c r="U1278" i="2"/>
  <c r="S1278" i="2"/>
  <c r="R1278" i="2"/>
  <c r="Q1278" i="2"/>
  <c r="P1278" i="2"/>
  <c r="O1278" i="2"/>
  <c r="M1278" i="2"/>
  <c r="AC1274" i="2"/>
  <c r="AB1274" i="2"/>
  <c r="Z1274" i="2"/>
  <c r="Y1274" i="2"/>
  <c r="W1274" i="2"/>
  <c r="U1274" i="2"/>
  <c r="S1274" i="2"/>
  <c r="R1274" i="2"/>
  <c r="Q1274" i="2"/>
  <c r="P1274" i="2"/>
  <c r="O1274" i="2"/>
  <c r="M1274" i="2"/>
  <c r="AC1270" i="2"/>
  <c r="AB1270" i="2"/>
  <c r="Z1270" i="2"/>
  <c r="Z1269" i="2" s="1"/>
  <c r="Y1270" i="2"/>
  <c r="Y1269" i="2" s="1"/>
  <c r="W1270" i="2"/>
  <c r="U1270" i="2"/>
  <c r="S1270" i="2"/>
  <c r="S1269" i="2" s="1"/>
  <c r="R1270" i="2"/>
  <c r="R1269" i="2" s="1"/>
  <c r="Q1270" i="2"/>
  <c r="P1270" i="2"/>
  <c r="O1270" i="2"/>
  <c r="M1270" i="2"/>
  <c r="M1269" i="2" s="1"/>
  <c r="AC1265" i="2"/>
  <c r="AB1265" i="2"/>
  <c r="Z1265" i="2"/>
  <c r="Y1265" i="2"/>
  <c r="W1265" i="2"/>
  <c r="U1265" i="2"/>
  <c r="S1265" i="2"/>
  <c r="R1265" i="2"/>
  <c r="Q1265" i="2"/>
  <c r="P1265" i="2"/>
  <c r="O1265" i="2"/>
  <c r="M1265" i="2"/>
  <c r="AC1261" i="2"/>
  <c r="AB1261" i="2"/>
  <c r="Z1261" i="2"/>
  <c r="Y1261" i="2"/>
  <c r="W1261" i="2"/>
  <c r="U1261" i="2"/>
  <c r="S1261" i="2"/>
  <c r="R1261" i="2"/>
  <c r="Q1261" i="2"/>
  <c r="P1261" i="2"/>
  <c r="O1261" i="2"/>
  <c r="M1261" i="2"/>
  <c r="AC1257" i="2"/>
  <c r="AB1257" i="2"/>
  <c r="Z1257" i="2"/>
  <c r="Y1257" i="2"/>
  <c r="W1257" i="2"/>
  <c r="U1257" i="2"/>
  <c r="S1257" i="2"/>
  <c r="R1257" i="2"/>
  <c r="Q1257" i="2"/>
  <c r="P1257" i="2"/>
  <c r="O1257" i="2"/>
  <c r="M1257" i="2"/>
  <c r="AC1253" i="2"/>
  <c r="AB1253" i="2"/>
  <c r="Z1253" i="2"/>
  <c r="Y1253" i="2"/>
  <c r="W1253" i="2"/>
  <c r="U1253" i="2"/>
  <c r="S1253" i="2"/>
  <c r="R1253" i="2"/>
  <c r="Q1253" i="2"/>
  <c r="P1253" i="2"/>
  <c r="O1253" i="2"/>
  <c r="M1253" i="2"/>
  <c r="AC1249" i="2"/>
  <c r="AB1249" i="2"/>
  <c r="Z1249" i="2"/>
  <c r="Y1249" i="2"/>
  <c r="W1249" i="2"/>
  <c r="U1249" i="2"/>
  <c r="S1249" i="2"/>
  <c r="R1249" i="2"/>
  <c r="Q1249" i="2"/>
  <c r="P1249" i="2"/>
  <c r="O1249" i="2"/>
  <c r="M1249" i="2"/>
  <c r="AC1245" i="2"/>
  <c r="AB1245" i="2"/>
  <c r="Z1245" i="2"/>
  <c r="Y1245" i="2"/>
  <c r="W1245" i="2"/>
  <c r="U1245" i="2"/>
  <c r="S1245" i="2"/>
  <c r="R1245" i="2"/>
  <c r="Q1245" i="2"/>
  <c r="P1245" i="2"/>
  <c r="O1245" i="2"/>
  <c r="M1245" i="2"/>
  <c r="AC1222" i="2"/>
  <c r="AB1222" i="2"/>
  <c r="AB1221" i="2" s="1"/>
  <c r="Z1222" i="2"/>
  <c r="Z1221" i="2" s="1"/>
  <c r="Y1222" i="2"/>
  <c r="W1222" i="2"/>
  <c r="W1221" i="2" s="1"/>
  <c r="U1222" i="2"/>
  <c r="U1221" i="2" s="1"/>
  <c r="S1222" i="2"/>
  <c r="S1221" i="2" s="1"/>
  <c r="R1222" i="2"/>
  <c r="Q1222" i="2"/>
  <c r="P1222" i="2"/>
  <c r="O1222" i="2"/>
  <c r="O1221" i="2" s="1"/>
  <c r="M1222" i="2"/>
  <c r="M1221" i="2" s="1"/>
  <c r="AC1216" i="2"/>
  <c r="AB1216" i="2"/>
  <c r="Z1216" i="2"/>
  <c r="Y1216" i="2"/>
  <c r="W1216" i="2"/>
  <c r="U1216" i="2"/>
  <c r="S1216" i="2"/>
  <c r="R1216" i="2"/>
  <c r="Q1216" i="2"/>
  <c r="P1216" i="2"/>
  <c r="O1216" i="2"/>
  <c r="M1216" i="2"/>
  <c r="AC1212" i="2"/>
  <c r="AB1212" i="2"/>
  <c r="Z1212" i="2"/>
  <c r="Y1212" i="2"/>
  <c r="W1212" i="2"/>
  <c r="U1212" i="2"/>
  <c r="S1212" i="2"/>
  <c r="R1212" i="2"/>
  <c r="Q1212" i="2"/>
  <c r="P1212" i="2"/>
  <c r="O1212" i="2"/>
  <c r="M1212" i="2"/>
  <c r="S1200" i="2"/>
  <c r="R1200" i="2"/>
  <c r="Q1200" i="2"/>
  <c r="P1200" i="2"/>
  <c r="O1200" i="2"/>
  <c r="M1200" i="2"/>
  <c r="AC1196" i="2"/>
  <c r="AB1196" i="2"/>
  <c r="Z1196" i="2"/>
  <c r="Y1196" i="2"/>
  <c r="W1196" i="2"/>
  <c r="U1196" i="2"/>
  <c r="S1196" i="2"/>
  <c r="R1196" i="2"/>
  <c r="Q1196" i="2"/>
  <c r="P1196" i="2"/>
  <c r="O1196" i="2"/>
  <c r="M1196" i="2"/>
  <c r="AC1191" i="2"/>
  <c r="AB1191" i="2"/>
  <c r="Z1191" i="2"/>
  <c r="Y1191" i="2"/>
  <c r="W1191" i="2"/>
  <c r="U1191" i="2"/>
  <c r="S1191" i="2"/>
  <c r="R1191" i="2"/>
  <c r="Q1191" i="2"/>
  <c r="P1191" i="2"/>
  <c r="O1191" i="2"/>
  <c r="M1191" i="2"/>
  <c r="AC1187" i="2"/>
  <c r="AB1187" i="2"/>
  <c r="Z1187" i="2"/>
  <c r="Y1187" i="2"/>
  <c r="W1187" i="2"/>
  <c r="U1187" i="2"/>
  <c r="S1187" i="2"/>
  <c r="R1187" i="2"/>
  <c r="Q1187" i="2"/>
  <c r="P1187" i="2"/>
  <c r="O1187" i="2"/>
  <c r="M1187" i="2"/>
  <c r="AC1183" i="2"/>
  <c r="AB1183" i="2"/>
  <c r="Z1183" i="2"/>
  <c r="Y1183" i="2"/>
  <c r="W1183" i="2"/>
  <c r="U1183" i="2"/>
  <c r="S1183" i="2"/>
  <c r="R1183" i="2"/>
  <c r="Q1183" i="2"/>
  <c r="P1183" i="2"/>
  <c r="O1183" i="2"/>
  <c r="M1183" i="2"/>
  <c r="AC1179" i="2"/>
  <c r="AB1179" i="2"/>
  <c r="Z1179" i="2"/>
  <c r="Y1179" i="2"/>
  <c r="W1179" i="2"/>
  <c r="U1179" i="2"/>
  <c r="S1179" i="2"/>
  <c r="R1179" i="2"/>
  <c r="Q1179" i="2"/>
  <c r="P1179" i="2"/>
  <c r="O1179" i="2"/>
  <c r="M1179" i="2"/>
  <c r="AC1175" i="2"/>
  <c r="AB1175" i="2"/>
  <c r="Z1175" i="2"/>
  <c r="Y1175" i="2"/>
  <c r="W1175" i="2"/>
  <c r="U1175" i="2"/>
  <c r="S1175" i="2"/>
  <c r="R1175" i="2"/>
  <c r="Q1175" i="2"/>
  <c r="P1175" i="2"/>
  <c r="O1175" i="2"/>
  <c r="M1175" i="2"/>
  <c r="AC1171" i="2"/>
  <c r="AB1171" i="2"/>
  <c r="Z1171" i="2"/>
  <c r="Y1171" i="2"/>
  <c r="W1171" i="2"/>
  <c r="U1171" i="2"/>
  <c r="S1171" i="2"/>
  <c r="R1171" i="2"/>
  <c r="Q1171" i="2"/>
  <c r="P1171" i="2"/>
  <c r="O1171" i="2"/>
  <c r="M1171" i="2"/>
  <c r="AC1167" i="2"/>
  <c r="AB1167" i="2"/>
  <c r="Z1167" i="2"/>
  <c r="Y1167" i="2"/>
  <c r="W1167" i="2"/>
  <c r="U1167" i="2"/>
  <c r="S1167" i="2"/>
  <c r="R1167" i="2"/>
  <c r="Q1167" i="2"/>
  <c r="P1167" i="2"/>
  <c r="O1167" i="2"/>
  <c r="M1167" i="2"/>
  <c r="AC1163" i="2"/>
  <c r="AB1163" i="2"/>
  <c r="Z1163" i="2"/>
  <c r="Y1163" i="2"/>
  <c r="W1163" i="2"/>
  <c r="U1163" i="2"/>
  <c r="S1163" i="2"/>
  <c r="R1163" i="2"/>
  <c r="Q1163" i="2"/>
  <c r="P1163" i="2"/>
  <c r="O1163" i="2"/>
  <c r="M1163" i="2"/>
  <c r="AC1159" i="2"/>
  <c r="AB1159" i="2"/>
  <c r="Z1159" i="2"/>
  <c r="Y1159" i="2"/>
  <c r="W1159" i="2"/>
  <c r="U1159" i="2"/>
  <c r="S1159" i="2"/>
  <c r="R1159" i="2"/>
  <c r="Q1159" i="2"/>
  <c r="P1159" i="2"/>
  <c r="O1159" i="2"/>
  <c r="M1159" i="2"/>
  <c r="R1147" i="2"/>
  <c r="Q1147" i="2"/>
  <c r="P1147" i="2"/>
  <c r="O1147" i="2"/>
  <c r="M1147" i="2"/>
  <c r="AC1144" i="2"/>
  <c r="AB1144" i="2"/>
  <c r="Z1144" i="2"/>
  <c r="Y1144" i="2"/>
  <c r="W1144" i="2"/>
  <c r="U1144" i="2"/>
  <c r="S1144" i="2"/>
  <c r="R1144" i="2"/>
  <c r="Q1144" i="2"/>
  <c r="P1144" i="2"/>
  <c r="O1144" i="2"/>
  <c r="M1144" i="2"/>
  <c r="AC1142" i="2"/>
  <c r="AB1142" i="2"/>
  <c r="Z1142" i="2"/>
  <c r="Y1142" i="2"/>
  <c r="W1142" i="2"/>
  <c r="U1142" i="2"/>
  <c r="S1142" i="2"/>
  <c r="R1142" i="2"/>
  <c r="Q1142" i="2"/>
  <c r="P1142" i="2"/>
  <c r="O1142" i="2"/>
  <c r="M1142" i="2"/>
  <c r="AC1140" i="2"/>
  <c r="AB1140" i="2"/>
  <c r="Z1140" i="2"/>
  <c r="Y1140" i="2"/>
  <c r="W1140" i="2"/>
  <c r="U1140" i="2"/>
  <c r="S1140" i="2"/>
  <c r="R1140" i="2"/>
  <c r="Q1140" i="2"/>
  <c r="P1140" i="2"/>
  <c r="O1140" i="2"/>
  <c r="M1140" i="2"/>
  <c r="AC1138" i="2"/>
  <c r="AB1138" i="2"/>
  <c r="Z1138" i="2"/>
  <c r="Y1138" i="2"/>
  <c r="W1138" i="2"/>
  <c r="U1138" i="2"/>
  <c r="S1138" i="2"/>
  <c r="R1138" i="2"/>
  <c r="Q1138" i="2"/>
  <c r="P1138" i="2"/>
  <c r="O1138" i="2"/>
  <c r="M1138" i="2"/>
  <c r="AC1136" i="2"/>
  <c r="AB1136" i="2"/>
  <c r="Z1136" i="2"/>
  <c r="Y1136" i="2"/>
  <c r="W1136" i="2"/>
  <c r="U1136" i="2"/>
  <c r="S1136" i="2"/>
  <c r="R1136" i="2"/>
  <c r="Q1136" i="2"/>
  <c r="P1136" i="2"/>
  <c r="O1136" i="2"/>
  <c r="M1136" i="2"/>
  <c r="AC1134" i="2"/>
  <c r="AB1134" i="2"/>
  <c r="Z1134" i="2"/>
  <c r="Y1134" i="2"/>
  <c r="W1134" i="2"/>
  <c r="U1134" i="2"/>
  <c r="S1134" i="2"/>
  <c r="R1134" i="2"/>
  <c r="Q1134" i="2"/>
  <c r="P1134" i="2"/>
  <c r="O1134" i="2"/>
  <c r="M1134" i="2"/>
  <c r="AC1132" i="2"/>
  <c r="AB1132" i="2"/>
  <c r="AB1131" i="2" s="1"/>
  <c r="O1458" i="2" s="1"/>
  <c r="O1457" i="2" s="1"/>
  <c r="Z1132" i="2"/>
  <c r="Z1131" i="2" s="1"/>
  <c r="Y1132" i="2"/>
  <c r="W1132" i="2"/>
  <c r="U1132" i="2"/>
  <c r="S1132" i="2"/>
  <c r="R1132" i="2"/>
  <c r="Q1132" i="2"/>
  <c r="P1132" i="2"/>
  <c r="P1131" i="2" s="1"/>
  <c r="O1132" i="2"/>
  <c r="M1132" i="2"/>
  <c r="AC1127" i="2"/>
  <c r="AB1127" i="2"/>
  <c r="Z1127" i="2"/>
  <c r="Y1127" i="2"/>
  <c r="W1127" i="2"/>
  <c r="U1127" i="2"/>
  <c r="S1127" i="2"/>
  <c r="R1127" i="2"/>
  <c r="Q1127" i="2"/>
  <c r="P1127" i="2"/>
  <c r="O1127" i="2"/>
  <c r="M1127" i="2"/>
  <c r="AC1125" i="2"/>
  <c r="AB1125" i="2"/>
  <c r="AB1124" i="2" s="1"/>
  <c r="O1454" i="2" s="1"/>
  <c r="O1453" i="2" s="1"/>
  <c r="Z1125" i="2"/>
  <c r="Y1125" i="2"/>
  <c r="Y1124" i="2" s="1"/>
  <c r="W1125" i="2"/>
  <c r="W1124" i="2" s="1"/>
  <c r="U1125" i="2"/>
  <c r="U1124" i="2" s="1"/>
  <c r="S1125" i="2"/>
  <c r="S1124" i="2" s="1"/>
  <c r="R1125" i="2"/>
  <c r="Q1125" i="2"/>
  <c r="Q1124" i="2" s="1"/>
  <c r="P1125" i="2"/>
  <c r="P1124" i="2" s="1"/>
  <c r="O1125" i="2"/>
  <c r="O1124" i="2" s="1"/>
  <c r="M1125" i="2"/>
  <c r="AC1121" i="2"/>
  <c r="AB1121" i="2"/>
  <c r="AB1120" i="2" s="1"/>
  <c r="O1449" i="2" s="1"/>
  <c r="O1448" i="2" s="1"/>
  <c r="Z1121" i="2"/>
  <c r="Z1120" i="2" s="1"/>
  <c r="Y1121" i="2"/>
  <c r="Y1120" i="2" s="1"/>
  <c r="W1121" i="2"/>
  <c r="W1120" i="2" s="1"/>
  <c r="U1121" i="2"/>
  <c r="U1120" i="2" s="1"/>
  <c r="S1121" i="2"/>
  <c r="S1120" i="2" s="1"/>
  <c r="R1121" i="2"/>
  <c r="R1120" i="2" s="1"/>
  <c r="Q1121" i="2"/>
  <c r="Q1120" i="2" s="1"/>
  <c r="P1121" i="2"/>
  <c r="P1120" i="2" s="1"/>
  <c r="O1121" i="2"/>
  <c r="O1120" i="2" s="1"/>
  <c r="M1121" i="2"/>
  <c r="M1120" i="2" s="1"/>
  <c r="AC1120" i="2"/>
  <c r="Q1117" i="2"/>
  <c r="Q1116" i="2" s="1"/>
  <c r="S1117" i="2"/>
  <c r="S1116" i="2" s="1"/>
  <c r="R1117" i="2"/>
  <c r="R1116" i="2" s="1"/>
  <c r="P1117" i="2"/>
  <c r="P1116" i="2" s="1"/>
  <c r="O1117" i="2"/>
  <c r="O1116" i="2" s="1"/>
  <c r="M1117" i="2"/>
  <c r="M1116" i="2" s="1"/>
  <c r="AC1114" i="2"/>
  <c r="AC1113" i="2" s="1"/>
  <c r="AB1114" i="2"/>
  <c r="AB1113" i="2" s="1"/>
  <c r="O1441" i="2" s="1"/>
  <c r="O1440" i="2" s="1"/>
  <c r="Z1114" i="2"/>
  <c r="Z1113" i="2" s="1"/>
  <c r="Y1114" i="2"/>
  <c r="Y1113" i="2" s="1"/>
  <c r="W1114" i="2"/>
  <c r="W1113" i="2" s="1"/>
  <c r="U1114" i="2"/>
  <c r="U1113" i="2" s="1"/>
  <c r="S1114" i="2"/>
  <c r="S1113" i="2" s="1"/>
  <c r="R1114" i="2"/>
  <c r="R1113" i="2" s="1"/>
  <c r="Q1114" i="2"/>
  <c r="Q1113" i="2" s="1"/>
  <c r="P1114" i="2"/>
  <c r="P1113" i="2" s="1"/>
  <c r="O1114" i="2"/>
  <c r="O1113" i="2" s="1"/>
  <c r="M1114" i="2"/>
  <c r="M1113" i="2" s="1"/>
  <c r="Q1073" i="2"/>
  <c r="S1073" i="2"/>
  <c r="R1073" i="2"/>
  <c r="R1008" i="2" s="1"/>
  <c r="P1073" i="2"/>
  <c r="M1073" i="2"/>
  <c r="AG1012" i="2"/>
  <c r="S1010" i="2"/>
  <c r="P1010" i="2"/>
  <c r="M1010" i="2"/>
  <c r="O1001" i="2"/>
  <c r="R1000" i="2"/>
  <c r="R999" i="2" s="1"/>
  <c r="Q1000" i="2"/>
  <c r="Q999" i="2" s="1"/>
  <c r="P1000" i="2"/>
  <c r="P999" i="2" s="1"/>
  <c r="O1000" i="2"/>
  <c r="O999" i="2" s="1"/>
  <c r="M1000" i="2"/>
  <c r="M999" i="2" s="1"/>
  <c r="AC997" i="2"/>
  <c r="AB997" i="2"/>
  <c r="Z997" i="2"/>
  <c r="Y997" i="2"/>
  <c r="W997" i="2"/>
  <c r="U997" i="2"/>
  <c r="S997" i="2"/>
  <c r="R997" i="2"/>
  <c r="Q997" i="2"/>
  <c r="P997" i="2"/>
  <c r="O997" i="2"/>
  <c r="M997" i="2"/>
  <c r="AC995" i="2"/>
  <c r="AB995" i="2"/>
  <c r="Z995" i="2"/>
  <c r="Y995" i="2"/>
  <c r="W995" i="2"/>
  <c r="U995" i="2"/>
  <c r="S995" i="2"/>
  <c r="R995" i="2"/>
  <c r="Q995" i="2"/>
  <c r="P995" i="2"/>
  <c r="O995" i="2"/>
  <c r="M995" i="2"/>
  <c r="AC993" i="2"/>
  <c r="AB993" i="2"/>
  <c r="AB992" i="2" s="1"/>
  <c r="O1428" i="2" s="1"/>
  <c r="O1427" i="2" s="1"/>
  <c r="Z993" i="2"/>
  <c r="Z992" i="2" s="1"/>
  <c r="Y993" i="2"/>
  <c r="W993" i="2"/>
  <c r="W992" i="2" s="1"/>
  <c r="U993" i="2"/>
  <c r="S993" i="2"/>
  <c r="S992" i="2" s="1"/>
  <c r="R993" i="2"/>
  <c r="R992" i="2" s="1"/>
  <c r="Q993" i="2"/>
  <c r="P993" i="2"/>
  <c r="O993" i="2"/>
  <c r="O992" i="2" s="1"/>
  <c r="M993" i="2"/>
  <c r="M992" i="2" s="1"/>
  <c r="AC990" i="2"/>
  <c r="AB990" i="2"/>
  <c r="Z990" i="2"/>
  <c r="Y990" i="2"/>
  <c r="W990" i="2"/>
  <c r="U990" i="2"/>
  <c r="S990" i="2"/>
  <c r="R990" i="2"/>
  <c r="R989" i="2" s="1"/>
  <c r="Q990" i="2"/>
  <c r="Q989" i="2" s="1"/>
  <c r="P990" i="2"/>
  <c r="P989" i="2" s="1"/>
  <c r="O990" i="2"/>
  <c r="O989" i="2" s="1"/>
  <c r="M990" i="2"/>
  <c r="M989" i="2" s="1"/>
  <c r="AC989" i="2"/>
  <c r="AB989" i="2"/>
  <c r="O1424" i="2" s="1"/>
  <c r="O1423" i="2" s="1"/>
  <c r="Z989" i="2"/>
  <c r="Y989" i="2"/>
  <c r="W989" i="2"/>
  <c r="U989" i="2"/>
  <c r="S989" i="2"/>
  <c r="AC987" i="2"/>
  <c r="AC986" i="2" s="1"/>
  <c r="AB987" i="2"/>
  <c r="AB986" i="2" s="1"/>
  <c r="O1420" i="2" s="1"/>
  <c r="O1419" i="2" s="1"/>
  <c r="Z987" i="2"/>
  <c r="Z986" i="2" s="1"/>
  <c r="Y987" i="2"/>
  <c r="Y986" i="2" s="1"/>
  <c r="W987" i="2"/>
  <c r="W986" i="2" s="1"/>
  <c r="U987" i="2"/>
  <c r="U986" i="2" s="1"/>
  <c r="S987" i="2"/>
  <c r="S986" i="2" s="1"/>
  <c r="R987" i="2"/>
  <c r="R986" i="2" s="1"/>
  <c r="Q987" i="2"/>
  <c r="Q986" i="2" s="1"/>
  <c r="P987" i="2"/>
  <c r="P986" i="2" s="1"/>
  <c r="O987" i="2"/>
  <c r="O986" i="2" s="1"/>
  <c r="M987" i="2"/>
  <c r="M986" i="2" s="1"/>
  <c r="AC984" i="2"/>
  <c r="AB984" i="2"/>
  <c r="Z984" i="2"/>
  <c r="Y984" i="2"/>
  <c r="W984" i="2"/>
  <c r="U984" i="2"/>
  <c r="S984" i="2"/>
  <c r="R984" i="2"/>
  <c r="Q984" i="2"/>
  <c r="P984" i="2"/>
  <c r="O984" i="2"/>
  <c r="M984" i="2"/>
  <c r="AC982" i="2"/>
  <c r="AB982" i="2"/>
  <c r="Z982" i="2"/>
  <c r="Y982" i="2"/>
  <c r="W982" i="2"/>
  <c r="U982" i="2"/>
  <c r="S982" i="2"/>
  <c r="R982" i="2"/>
  <c r="Q982" i="2"/>
  <c r="P982" i="2"/>
  <c r="O982" i="2"/>
  <c r="M982" i="2"/>
  <c r="AC980" i="2"/>
  <c r="AB980" i="2"/>
  <c r="Z980" i="2"/>
  <c r="Y980" i="2"/>
  <c r="W980" i="2"/>
  <c r="U980" i="2"/>
  <c r="S980" i="2"/>
  <c r="R980" i="2"/>
  <c r="Q980" i="2"/>
  <c r="P980" i="2"/>
  <c r="O980" i="2"/>
  <c r="M980" i="2"/>
  <c r="AC978" i="2"/>
  <c r="AC977" i="2" s="1"/>
  <c r="AB978" i="2"/>
  <c r="Z978" i="2"/>
  <c r="Y978" i="2"/>
  <c r="Y977" i="2" s="1"/>
  <c r="W978" i="2"/>
  <c r="U978" i="2"/>
  <c r="S978" i="2"/>
  <c r="S977" i="2" s="1"/>
  <c r="R978" i="2"/>
  <c r="R977" i="2" s="1"/>
  <c r="Q978" i="2"/>
  <c r="P978" i="2"/>
  <c r="O978" i="2"/>
  <c r="M978" i="2"/>
  <c r="M977" i="2" s="1"/>
  <c r="AC973" i="2"/>
  <c r="AB973" i="2"/>
  <c r="Z973" i="2"/>
  <c r="Y973" i="2"/>
  <c r="W973" i="2"/>
  <c r="U973" i="2"/>
  <c r="S973" i="2"/>
  <c r="R973" i="2"/>
  <c r="Q973" i="2"/>
  <c r="P973" i="2"/>
  <c r="O973" i="2"/>
  <c r="M973" i="2"/>
  <c r="AC971" i="2"/>
  <c r="AB971" i="2"/>
  <c r="Z971" i="2"/>
  <c r="Z970" i="2" s="1"/>
  <c r="Y971" i="2"/>
  <c r="Y970" i="2" s="1"/>
  <c r="W971" i="2"/>
  <c r="W970" i="2" s="1"/>
  <c r="U971" i="2"/>
  <c r="U970" i="2" s="1"/>
  <c r="S971" i="2"/>
  <c r="R971" i="2"/>
  <c r="Q971" i="2"/>
  <c r="Q970" i="2" s="1"/>
  <c r="P971" i="2"/>
  <c r="P970" i="2" s="1"/>
  <c r="O971" i="2"/>
  <c r="O970" i="2" s="1"/>
  <c r="M971" i="2"/>
  <c r="AC966" i="2"/>
  <c r="AB966" i="2"/>
  <c r="Z966" i="2"/>
  <c r="Y966" i="2"/>
  <c r="W966" i="2"/>
  <c r="U966" i="2"/>
  <c r="S966" i="2"/>
  <c r="R966" i="2"/>
  <c r="Q966" i="2"/>
  <c r="P966" i="2"/>
  <c r="O966" i="2"/>
  <c r="M966" i="2"/>
  <c r="AC964" i="2"/>
  <c r="AB964" i="2"/>
  <c r="Z964" i="2"/>
  <c r="Y964" i="2"/>
  <c r="W964" i="2"/>
  <c r="U964" i="2"/>
  <c r="S964" i="2"/>
  <c r="R964" i="2"/>
  <c r="Q964" i="2"/>
  <c r="P964" i="2"/>
  <c r="O964" i="2"/>
  <c r="M964" i="2"/>
  <c r="AC962" i="2"/>
  <c r="AB962" i="2"/>
  <c r="Z962" i="2"/>
  <c r="Y962" i="2"/>
  <c r="W962" i="2"/>
  <c r="U962" i="2"/>
  <c r="S962" i="2"/>
  <c r="S961" i="2" s="1"/>
  <c r="R962" i="2"/>
  <c r="R961" i="2" s="1"/>
  <c r="Q962" i="2"/>
  <c r="Q961" i="2" s="1"/>
  <c r="P962" i="2"/>
  <c r="P961" i="2" s="1"/>
  <c r="O962" i="2"/>
  <c r="O961" i="2" s="1"/>
  <c r="M962" i="2"/>
  <c r="AC961" i="2"/>
  <c r="AC959" i="2"/>
  <c r="AB959" i="2"/>
  <c r="Z959" i="2"/>
  <c r="Y959" i="2"/>
  <c r="W959" i="2"/>
  <c r="U959" i="2"/>
  <c r="S959" i="2"/>
  <c r="R959" i="2"/>
  <c r="Q959" i="2"/>
  <c r="P959" i="2"/>
  <c r="O959" i="2"/>
  <c r="M959" i="2"/>
  <c r="AC957" i="2"/>
  <c r="AB957" i="2"/>
  <c r="Z957" i="2"/>
  <c r="Y957" i="2"/>
  <c r="W957" i="2"/>
  <c r="U957" i="2"/>
  <c r="S957" i="2"/>
  <c r="R957" i="2"/>
  <c r="R956" i="2" s="1"/>
  <c r="Q957" i="2"/>
  <c r="P957" i="2"/>
  <c r="O957" i="2"/>
  <c r="M957" i="2"/>
  <c r="M956" i="2" s="1"/>
  <c r="O883" i="2"/>
  <c r="O882" i="2" s="1"/>
  <c r="M883" i="2"/>
  <c r="M882" i="2" s="1"/>
  <c r="R882" i="2"/>
  <c r="Q882" i="2"/>
  <c r="P882" i="2"/>
  <c r="AG804" i="2"/>
  <c r="O804" i="2"/>
  <c r="O803" i="2" s="1"/>
  <c r="M804" i="2"/>
  <c r="M803" i="2" s="1"/>
  <c r="R803" i="2"/>
  <c r="Q803" i="2"/>
  <c r="P803" i="2"/>
  <c r="AC800" i="2"/>
  <c r="AB800" i="2"/>
  <c r="Z800" i="2"/>
  <c r="Y800" i="2"/>
  <c r="W800" i="2"/>
  <c r="U800" i="2"/>
  <c r="S800" i="2"/>
  <c r="R800" i="2"/>
  <c r="Q800" i="2"/>
  <c r="P800" i="2"/>
  <c r="O800" i="2"/>
  <c r="M800" i="2"/>
  <c r="AC798" i="2"/>
  <c r="AB798" i="2"/>
  <c r="Z798" i="2"/>
  <c r="Y798" i="2"/>
  <c r="W798" i="2"/>
  <c r="U798" i="2"/>
  <c r="S798" i="2"/>
  <c r="R798" i="2"/>
  <c r="Q798" i="2"/>
  <c r="P798" i="2"/>
  <c r="O798" i="2"/>
  <c r="M798" i="2"/>
  <c r="AC796" i="2"/>
  <c r="AB796" i="2"/>
  <c r="Z796" i="2"/>
  <c r="Y796" i="2"/>
  <c r="W796" i="2"/>
  <c r="U796" i="2"/>
  <c r="S796" i="2"/>
  <c r="R796" i="2"/>
  <c r="Q796" i="2"/>
  <c r="P796" i="2"/>
  <c r="O796" i="2"/>
  <c r="M796" i="2"/>
  <c r="AC794" i="2"/>
  <c r="AB794" i="2"/>
  <c r="Z794" i="2"/>
  <c r="Z793" i="2" s="1"/>
  <c r="Y794" i="2"/>
  <c r="W794" i="2"/>
  <c r="W793" i="2" s="1"/>
  <c r="U794" i="2"/>
  <c r="U793" i="2" s="1"/>
  <c r="S794" i="2"/>
  <c r="S793" i="2" s="1"/>
  <c r="R794" i="2"/>
  <c r="Q794" i="2"/>
  <c r="P794" i="2"/>
  <c r="O794" i="2"/>
  <c r="O793" i="2" s="1"/>
  <c r="M794" i="2"/>
  <c r="M793" i="2" s="1"/>
  <c r="AC791" i="2"/>
  <c r="AB791" i="2"/>
  <c r="Z791" i="2"/>
  <c r="Y791" i="2"/>
  <c r="W791" i="2"/>
  <c r="U791" i="2"/>
  <c r="S791" i="2"/>
  <c r="R791" i="2"/>
  <c r="Q791" i="2"/>
  <c r="P791" i="2"/>
  <c r="O791" i="2"/>
  <c r="M791" i="2"/>
  <c r="AC787" i="2"/>
  <c r="AB787" i="2"/>
  <c r="Z787" i="2"/>
  <c r="Y787" i="2"/>
  <c r="W787" i="2"/>
  <c r="U787" i="2"/>
  <c r="S787" i="2"/>
  <c r="R787" i="2"/>
  <c r="Q787" i="2"/>
  <c r="P787" i="2"/>
  <c r="O787" i="2"/>
  <c r="M787" i="2"/>
  <c r="AC785" i="2"/>
  <c r="AB785" i="2"/>
  <c r="Z785" i="2"/>
  <c r="Y785" i="2"/>
  <c r="W785" i="2"/>
  <c r="U785" i="2"/>
  <c r="S785" i="2"/>
  <c r="R785" i="2"/>
  <c r="Q785" i="2"/>
  <c r="P785" i="2"/>
  <c r="O785" i="2"/>
  <c r="M785" i="2"/>
  <c r="AC783" i="2"/>
  <c r="AB783" i="2"/>
  <c r="Z783" i="2"/>
  <c r="Y783" i="2"/>
  <c r="W783" i="2"/>
  <c r="U783" i="2"/>
  <c r="S783" i="2"/>
  <c r="R783" i="2"/>
  <c r="Q783" i="2"/>
  <c r="P783" i="2"/>
  <c r="O783" i="2"/>
  <c r="M783" i="2"/>
  <c r="AC781" i="2"/>
  <c r="AB781" i="2"/>
  <c r="Z781" i="2"/>
  <c r="Y781" i="2"/>
  <c r="W781" i="2"/>
  <c r="U781" i="2"/>
  <c r="S781" i="2"/>
  <c r="R781" i="2"/>
  <c r="Q781" i="2"/>
  <c r="P781" i="2"/>
  <c r="O781" i="2"/>
  <c r="M781" i="2"/>
  <c r="AC779" i="2"/>
  <c r="AB779" i="2"/>
  <c r="Z779" i="2"/>
  <c r="Y779" i="2"/>
  <c r="W779" i="2"/>
  <c r="U779" i="2"/>
  <c r="S779" i="2"/>
  <c r="R779" i="2"/>
  <c r="Q779" i="2"/>
  <c r="P779" i="2"/>
  <c r="O779" i="2"/>
  <c r="M779" i="2"/>
  <c r="AC777" i="2"/>
  <c r="AB777" i="2"/>
  <c r="Z777" i="2"/>
  <c r="Y777" i="2"/>
  <c r="W777" i="2"/>
  <c r="U777" i="2"/>
  <c r="S777" i="2"/>
  <c r="R777" i="2"/>
  <c r="Q777" i="2"/>
  <c r="P777" i="2"/>
  <c r="O777" i="2"/>
  <c r="M777" i="2"/>
  <c r="AC775" i="2"/>
  <c r="AB775" i="2"/>
  <c r="Z775" i="2"/>
  <c r="Y775" i="2"/>
  <c r="W775" i="2"/>
  <c r="U775" i="2"/>
  <c r="S775" i="2"/>
  <c r="R775" i="2"/>
  <c r="Q775" i="2"/>
  <c r="P775" i="2"/>
  <c r="O775" i="2"/>
  <c r="M775" i="2"/>
  <c r="AC773" i="2"/>
  <c r="AC772" i="2" s="1"/>
  <c r="AB773" i="2"/>
  <c r="AB772" i="2" s="1"/>
  <c r="O1388" i="2" s="1"/>
  <c r="O1387" i="2" s="1"/>
  <c r="Z773" i="2"/>
  <c r="Y773" i="2"/>
  <c r="W773" i="2"/>
  <c r="W772" i="2" s="1"/>
  <c r="U773" i="2"/>
  <c r="S773" i="2"/>
  <c r="R773" i="2"/>
  <c r="Q773" i="2"/>
  <c r="Q772" i="2" s="1"/>
  <c r="P773" i="2"/>
  <c r="O773" i="2"/>
  <c r="M773" i="2"/>
  <c r="AC768" i="2"/>
  <c r="AB768" i="2"/>
  <c r="Z768" i="2"/>
  <c r="Y768" i="2"/>
  <c r="W768" i="2"/>
  <c r="U768" i="2"/>
  <c r="S768" i="2"/>
  <c r="R768" i="2"/>
  <c r="Q768" i="2"/>
  <c r="P768" i="2"/>
  <c r="O768" i="2"/>
  <c r="M768" i="2"/>
  <c r="R765" i="2"/>
  <c r="Q765" i="2"/>
  <c r="P765" i="2"/>
  <c r="O765" i="2"/>
  <c r="M765" i="2"/>
  <c r="AC762" i="2"/>
  <c r="AB762" i="2"/>
  <c r="Z762" i="2"/>
  <c r="Y762" i="2"/>
  <c r="W762" i="2"/>
  <c r="U762" i="2"/>
  <c r="S762" i="2"/>
  <c r="R762" i="2"/>
  <c r="Q762" i="2"/>
  <c r="P762" i="2"/>
  <c r="O762" i="2"/>
  <c r="M762" i="2"/>
  <c r="AC759" i="2"/>
  <c r="Y759" i="2"/>
  <c r="AB759" i="2"/>
  <c r="U759" i="2"/>
  <c r="S759" i="2"/>
  <c r="R759" i="2"/>
  <c r="Q759" i="2"/>
  <c r="P759" i="2"/>
  <c r="O759" i="2"/>
  <c r="M759" i="2"/>
  <c r="AB750" i="2"/>
  <c r="U750" i="2"/>
  <c r="R750" i="2"/>
  <c r="Q750" i="2"/>
  <c r="P750" i="2"/>
  <c r="O750" i="2"/>
  <c r="M750" i="2"/>
  <c r="R743" i="2"/>
  <c r="Q743" i="2"/>
  <c r="P743" i="2"/>
  <c r="O743" i="2"/>
  <c r="M743" i="2"/>
  <c r="O686" i="2"/>
  <c r="O685" i="2" s="1"/>
  <c r="M686" i="2"/>
  <c r="M685" i="2" s="1"/>
  <c r="R685" i="2"/>
  <c r="Q685" i="2"/>
  <c r="P685" i="2"/>
  <c r="Z676" i="2"/>
  <c r="W676" i="2"/>
  <c r="O676" i="2"/>
  <c r="M676" i="2"/>
  <c r="AG675" i="2"/>
  <c r="AG574" i="2"/>
  <c r="O497" i="2"/>
  <c r="M497" i="2"/>
  <c r="AG496" i="2"/>
  <c r="O482" i="2"/>
  <c r="M482" i="2"/>
  <c r="AG481" i="2"/>
  <c r="M370" i="2"/>
  <c r="AG369" i="2"/>
  <c r="AG250" i="2"/>
  <c r="AG249" i="2"/>
  <c r="AG248" i="2"/>
  <c r="AG247" i="2"/>
  <c r="AG246" i="2"/>
  <c r="AG245" i="2"/>
  <c r="AG244" i="2"/>
  <c r="AG243" i="2"/>
  <c r="AG242" i="2"/>
  <c r="AG241" i="2"/>
  <c r="AG240" i="2"/>
  <c r="AG239" i="2"/>
  <c r="AG238" i="2"/>
  <c r="O237" i="2"/>
  <c r="M237" i="2"/>
  <c r="R236" i="2"/>
  <c r="Q236" i="2"/>
  <c r="P236" i="2"/>
  <c r="AG229" i="2"/>
  <c r="AG212" i="2"/>
  <c r="AG210" i="2"/>
  <c r="AG208" i="2"/>
  <c r="AG205" i="2"/>
  <c r="AG204" i="2"/>
  <c r="AG203" i="2"/>
  <c r="O171" i="2"/>
  <c r="M171" i="2"/>
  <c r="O115" i="2"/>
  <c r="M115" i="2"/>
  <c r="AB113" i="2"/>
  <c r="U113" i="2"/>
  <c r="O113" i="2"/>
  <c r="M113" i="2"/>
  <c r="O110" i="2"/>
  <c r="M110" i="2"/>
  <c r="AB103" i="2"/>
  <c r="U103" i="2"/>
  <c r="O103" i="2"/>
  <c r="M103" i="2"/>
  <c r="Q100" i="2"/>
  <c r="Q99" i="2"/>
  <c r="Q98" i="2"/>
  <c r="AC97" i="2"/>
  <c r="AC96" i="2" s="1"/>
  <c r="AB97" i="2"/>
  <c r="AB96" i="2" s="1"/>
  <c r="O1372" i="2" s="1"/>
  <c r="O1371" i="2" s="1"/>
  <c r="Z97" i="2"/>
  <c r="Z96" i="2" s="1"/>
  <c r="Y97" i="2"/>
  <c r="Y96" i="2" s="1"/>
  <c r="W97" i="2"/>
  <c r="W96" i="2" s="1"/>
  <c r="U97" i="2"/>
  <c r="U96" i="2" s="1"/>
  <c r="S97" i="2"/>
  <c r="S96" i="2" s="1"/>
  <c r="R97" i="2"/>
  <c r="R96" i="2" s="1"/>
  <c r="P97" i="2"/>
  <c r="O97" i="2"/>
  <c r="O96" i="2" s="1"/>
  <c r="M97" i="2"/>
  <c r="M96" i="2" s="1"/>
  <c r="Q95" i="2"/>
  <c r="AC94" i="2"/>
  <c r="AB94" i="2"/>
  <c r="Z94" i="2"/>
  <c r="Y94" i="2"/>
  <c r="W94" i="2"/>
  <c r="U94" i="2"/>
  <c r="S94" i="2"/>
  <c r="R94" i="2"/>
  <c r="P94" i="2"/>
  <c r="O94" i="2"/>
  <c r="M94" i="2"/>
  <c r="Q93" i="2"/>
  <c r="AC92" i="2"/>
  <c r="AB92" i="2"/>
  <c r="Z92" i="2"/>
  <c r="Y92" i="2"/>
  <c r="W92" i="2"/>
  <c r="U92" i="2"/>
  <c r="S92" i="2"/>
  <c r="R92" i="2"/>
  <c r="P92" i="2"/>
  <c r="O92" i="2"/>
  <c r="M92" i="2"/>
  <c r="Q91" i="2"/>
  <c r="AC90" i="2"/>
  <c r="AB90" i="2"/>
  <c r="Z90" i="2"/>
  <c r="Y90" i="2"/>
  <c r="W90" i="2"/>
  <c r="W89" i="2" s="1"/>
  <c r="U90" i="2"/>
  <c r="S90" i="2"/>
  <c r="R90" i="2"/>
  <c r="P90" i="2"/>
  <c r="O90" i="2"/>
  <c r="M90" i="2"/>
  <c r="Q88" i="2"/>
  <c r="AC87" i="2"/>
  <c r="AB87" i="2"/>
  <c r="Z87" i="2"/>
  <c r="Y87" i="2"/>
  <c r="W87" i="2"/>
  <c r="U87" i="2"/>
  <c r="S87" i="2"/>
  <c r="R87" i="2"/>
  <c r="P87" i="2"/>
  <c r="O87" i="2"/>
  <c r="M87" i="2"/>
  <c r="Q86" i="2"/>
  <c r="AC85" i="2"/>
  <c r="AB85" i="2"/>
  <c r="Z85" i="2"/>
  <c r="Y85" i="2"/>
  <c r="W85" i="2"/>
  <c r="U85" i="2"/>
  <c r="S85" i="2"/>
  <c r="R85" i="2"/>
  <c r="P85" i="2"/>
  <c r="O85" i="2"/>
  <c r="M85" i="2"/>
  <c r="Q84" i="2"/>
  <c r="AC83" i="2"/>
  <c r="AB83" i="2"/>
  <c r="Z83" i="2"/>
  <c r="Y83" i="2"/>
  <c r="W83" i="2"/>
  <c r="U83" i="2"/>
  <c r="S83" i="2"/>
  <c r="R83" i="2"/>
  <c r="P83" i="2"/>
  <c r="O83" i="2"/>
  <c r="M83" i="2"/>
  <c r="Q82" i="2"/>
  <c r="AB80" i="2"/>
  <c r="AB79" i="2" s="1"/>
  <c r="U80" i="2"/>
  <c r="O80" i="2"/>
  <c r="M80" i="2"/>
  <c r="U79" i="2"/>
  <c r="R79" i="2"/>
  <c r="P79" i="2"/>
  <c r="O79" i="2"/>
  <c r="M79" i="2"/>
  <c r="O58" i="2"/>
  <c r="M58" i="2"/>
  <c r="O56" i="2"/>
  <c r="M56" i="2"/>
  <c r="O46" i="2"/>
  <c r="M46" i="2"/>
  <c r="R45" i="2"/>
  <c r="Q45" i="2"/>
  <c r="P45" i="2"/>
  <c r="O41" i="2"/>
  <c r="O40" i="2" s="1"/>
  <c r="O31" i="2" s="1"/>
  <c r="M41" i="2"/>
  <c r="M40" i="2" s="1"/>
  <c r="M31" i="2" s="1"/>
  <c r="R40" i="2"/>
  <c r="Q40" i="2"/>
  <c r="P40" i="2"/>
  <c r="AC36" i="2"/>
  <c r="AB36" i="2"/>
  <c r="Z36" i="2"/>
  <c r="Y36" i="2"/>
  <c r="W36" i="2"/>
  <c r="U36" i="2"/>
  <c r="S36" i="2"/>
  <c r="R36" i="2"/>
  <c r="Q36" i="2"/>
  <c r="P36" i="2"/>
  <c r="O36" i="2"/>
  <c r="M36" i="2"/>
  <c r="AC32" i="2"/>
  <c r="AB32" i="2"/>
  <c r="Z32" i="2"/>
  <c r="Y32" i="2"/>
  <c r="W32" i="2"/>
  <c r="U32" i="2"/>
  <c r="S32" i="2"/>
  <c r="R32" i="2"/>
  <c r="Q32" i="2"/>
  <c r="P32" i="2"/>
  <c r="O32" i="2"/>
  <c r="M32" i="2"/>
  <c r="AC24" i="2"/>
  <c r="AB24" i="2"/>
  <c r="Z24" i="2"/>
  <c r="Y24" i="2"/>
  <c r="W24" i="2"/>
  <c r="U24" i="2"/>
  <c r="S24" i="2"/>
  <c r="R24" i="2"/>
  <c r="Q24" i="2"/>
  <c r="P24" i="2"/>
  <c r="O24" i="2"/>
  <c r="M24" i="2"/>
  <c r="AC19" i="2"/>
  <c r="AB19" i="2"/>
  <c r="Z19" i="2"/>
  <c r="Y19" i="2"/>
  <c r="W19" i="2"/>
  <c r="U19" i="2"/>
  <c r="S19" i="2"/>
  <c r="R19" i="2"/>
  <c r="Q19" i="2"/>
  <c r="P19" i="2"/>
  <c r="O19" i="2"/>
  <c r="M19" i="2"/>
  <c r="AC14" i="2"/>
  <c r="AB14" i="2"/>
  <c r="Z14" i="2"/>
  <c r="Y14" i="2"/>
  <c r="W14" i="2"/>
  <c r="U14" i="2"/>
  <c r="S14" i="2"/>
  <c r="R14" i="2"/>
  <c r="Q14" i="2"/>
  <c r="P14" i="2"/>
  <c r="O14" i="2"/>
  <c r="M14" i="2"/>
  <c r="AC9" i="2"/>
  <c r="AC8" i="2" s="1"/>
  <c r="AB9" i="2"/>
  <c r="AB8" i="2" s="1"/>
  <c r="Z9" i="2"/>
  <c r="Y9" i="2"/>
  <c r="W9" i="2"/>
  <c r="U9" i="2"/>
  <c r="S9" i="2"/>
  <c r="S8" i="2" s="1"/>
  <c r="R9" i="2"/>
  <c r="R8" i="2" s="1"/>
  <c r="Q9" i="2"/>
  <c r="P9" i="2"/>
  <c r="P8" i="2" s="1"/>
  <c r="O9" i="2"/>
  <c r="O8" i="2" s="1"/>
  <c r="M9" i="2"/>
  <c r="R970" i="2" l="1"/>
  <c r="O1269" i="2"/>
  <c r="AC992" i="2"/>
  <c r="U772" i="2"/>
  <c r="W956" i="2"/>
  <c r="R1282" i="2"/>
  <c r="AB977" i="2"/>
  <c r="O1416" i="2" s="1"/>
  <c r="O1415" i="2" s="1"/>
  <c r="Q977" i="2"/>
  <c r="W1269" i="2"/>
  <c r="Y992" i="2"/>
  <c r="AB956" i="2"/>
  <c r="O1404" i="2" s="1"/>
  <c r="O1403" i="2" s="1"/>
  <c r="U1131" i="2"/>
  <c r="M970" i="2"/>
  <c r="Y1295" i="2"/>
  <c r="R1124" i="2"/>
  <c r="S772" i="2"/>
  <c r="S970" i="2"/>
  <c r="Q1282" i="2"/>
  <c r="P1269" i="2"/>
  <c r="AB1269" i="2"/>
  <c r="O1295" i="2"/>
  <c r="S956" i="2"/>
  <c r="Z956" i="2"/>
  <c r="M1282" i="2"/>
  <c r="R772" i="2"/>
  <c r="U961" i="2"/>
  <c r="Q956" i="2"/>
  <c r="W8" i="2"/>
  <c r="Z977" i="2"/>
  <c r="Y961" i="2"/>
  <c r="P793" i="2"/>
  <c r="Z1282" i="2"/>
  <c r="P977" i="2"/>
  <c r="AB961" i="2"/>
  <c r="O1408" i="2" s="1"/>
  <c r="O1407" i="2" s="1"/>
  <c r="U8" i="2"/>
  <c r="O977" i="2"/>
  <c r="Y8" i="2"/>
  <c r="R793" i="2"/>
  <c r="AC89" i="2"/>
  <c r="W961" i="2"/>
  <c r="AB970" i="2"/>
  <c r="O1412" i="2" s="1"/>
  <c r="O1411" i="2" s="1"/>
  <c r="O956" i="2"/>
  <c r="O772" i="2"/>
  <c r="M1009" i="2"/>
  <c r="M1008" i="2" s="1"/>
  <c r="M1007" i="2" s="1"/>
  <c r="AC956" i="2"/>
  <c r="AB793" i="2"/>
  <c r="O1392" i="2" s="1"/>
  <c r="O1391" i="2" s="1"/>
  <c r="Z8" i="2"/>
  <c r="Y793" i="2"/>
  <c r="R1131" i="2"/>
  <c r="Q1221" i="2"/>
  <c r="AC1124" i="2"/>
  <c r="Q1131" i="2"/>
  <c r="O1131" i="2"/>
  <c r="Y956" i="2"/>
  <c r="Z772" i="2"/>
  <c r="AC1221" i="2"/>
  <c r="AC793" i="2"/>
  <c r="Q1295" i="2"/>
  <c r="Z961" i="2"/>
  <c r="AC1295" i="2"/>
  <c r="P772" i="2"/>
  <c r="Z1124" i="2"/>
  <c r="M772" i="2"/>
  <c r="AC1269" i="2"/>
  <c r="R1295" i="2"/>
  <c r="U1269" i="2"/>
  <c r="U1220" i="2" s="1"/>
  <c r="M961" i="2"/>
  <c r="Y1131" i="2"/>
  <c r="Q1269" i="2"/>
  <c r="S1282" i="2"/>
  <c r="Q992" i="2"/>
  <c r="AC970" i="2"/>
  <c r="AC1131" i="2"/>
  <c r="AG608" i="2"/>
  <c r="O1282" i="2"/>
  <c r="Q8" i="2"/>
  <c r="Q793" i="2"/>
  <c r="W977" i="2"/>
  <c r="P1221" i="2"/>
  <c r="S1295" i="2"/>
  <c r="R1221" i="2"/>
  <c r="W1131" i="2"/>
  <c r="M1295" i="2"/>
  <c r="P956" i="2"/>
  <c r="U956" i="2"/>
  <c r="Y772" i="2"/>
  <c r="Z1295" i="2"/>
  <c r="AB1295" i="2"/>
  <c r="AB1220" i="2" s="1"/>
  <c r="O1471" i="2" s="1"/>
  <c r="O1470" i="2" s="1"/>
  <c r="O1469" i="2" s="1"/>
  <c r="U977" i="2"/>
  <c r="M1131" i="2"/>
  <c r="Y1221" i="2"/>
  <c r="Z832" i="2"/>
  <c r="W1295" i="2"/>
  <c r="P992" i="2"/>
  <c r="U992" i="2"/>
  <c r="S79" i="2"/>
  <c r="P1295" i="2"/>
  <c r="S1131" i="2"/>
  <c r="M8" i="2"/>
  <c r="Q764" i="2"/>
  <c r="Z591" i="2"/>
  <c r="AG591" i="2" s="1"/>
  <c r="P1146" i="2"/>
  <c r="Z868" i="2"/>
  <c r="Z350" i="2"/>
  <c r="AG350" i="2" s="1"/>
  <c r="Z354" i="2"/>
  <c r="AG354" i="2" s="1"/>
  <c r="Z374" i="2"/>
  <c r="AG374" i="2" s="1"/>
  <c r="Z595" i="2"/>
  <c r="AG595" i="2" s="1"/>
  <c r="Z519" i="2"/>
  <c r="Z599" i="2"/>
  <c r="Y804" i="2"/>
  <c r="Y803" i="2" s="1"/>
  <c r="Z131" i="2"/>
  <c r="AG131" i="2" s="1"/>
  <c r="Z179" i="2"/>
  <c r="AG179" i="2" s="1"/>
  <c r="Z283" i="2"/>
  <c r="AG283" i="2" s="1"/>
  <c r="Z303" i="2"/>
  <c r="AG303" i="2" s="1"/>
  <c r="Z317" i="2"/>
  <c r="AG317" i="2" s="1"/>
  <c r="Z806" i="2"/>
  <c r="Z872" i="2"/>
  <c r="Z928" i="2"/>
  <c r="S1009" i="2"/>
  <c r="S1008" i="2" s="1"/>
  <c r="S1007" i="2" s="1"/>
  <c r="AG1014" i="2" s="1"/>
  <c r="Z307" i="2"/>
  <c r="AG307" i="2" s="1"/>
  <c r="Z333" i="2"/>
  <c r="AG333" i="2" s="1"/>
  <c r="AC686" i="2"/>
  <c r="Z132" i="2"/>
  <c r="AG132" i="2" s="1"/>
  <c r="Z150" i="2"/>
  <c r="AG150" i="2" s="1"/>
  <c r="Z158" i="2"/>
  <c r="AG158" i="2" s="1"/>
  <c r="Z166" i="2"/>
  <c r="AG166" i="2" s="1"/>
  <c r="Z341" i="2"/>
  <c r="AG341" i="2" s="1"/>
  <c r="Z342" i="2"/>
  <c r="AG342" i="2" s="1"/>
  <c r="Z346" i="2"/>
  <c r="AG346" i="2" s="1"/>
  <c r="AB347" i="2"/>
  <c r="AC347" i="2" s="1"/>
  <c r="Z356" i="2"/>
  <c r="AG356" i="2" s="1"/>
  <c r="Y497" i="2"/>
  <c r="Y686" i="2"/>
  <c r="Y685" i="2" s="1"/>
  <c r="Y883" i="2"/>
  <c r="Y882" i="2" s="1"/>
  <c r="Z172" i="2"/>
  <c r="AG172" i="2" s="1"/>
  <c r="Z177" i="2"/>
  <c r="AG177" i="2" s="1"/>
  <c r="Z215" i="2"/>
  <c r="AG215" i="2" s="1"/>
  <c r="Z221" i="2"/>
  <c r="AG221" i="2" s="1"/>
  <c r="Z225" i="2"/>
  <c r="AG225" i="2" s="1"/>
  <c r="Z242" i="2"/>
  <c r="Y254" i="2"/>
  <c r="Z254" i="2" s="1"/>
  <c r="Z293" i="2"/>
  <c r="AG293" i="2" s="1"/>
  <c r="AB294" i="2"/>
  <c r="AC294" i="2" s="1"/>
  <c r="Z297" i="2"/>
  <c r="AG297" i="2" s="1"/>
  <c r="Z301" i="2"/>
  <c r="AG301" i="2" s="1"/>
  <c r="Z305" i="2"/>
  <c r="AG305" i="2" s="1"/>
  <c r="Z337" i="2"/>
  <c r="AG337" i="2" s="1"/>
  <c r="Z918" i="2"/>
  <c r="Y482" i="2"/>
  <c r="Z188" i="2"/>
  <c r="AG188" i="2" s="1"/>
  <c r="Z287" i="2"/>
  <c r="AG287" i="2" s="1"/>
  <c r="Z306" i="2"/>
  <c r="AG306" i="2" s="1"/>
  <c r="Z310" i="2"/>
  <c r="AG310" i="2" s="1"/>
  <c r="Z571" i="2"/>
  <c r="Z597" i="2"/>
  <c r="Z877" i="2"/>
  <c r="Z880" i="2"/>
  <c r="Q1146" i="2"/>
  <c r="S1195" i="2"/>
  <c r="Z397" i="2"/>
  <c r="AG397" i="2" s="1"/>
  <c r="Z413" i="2"/>
  <c r="AG413" i="2" s="1"/>
  <c r="Z420" i="2"/>
  <c r="AG420" i="2" s="1"/>
  <c r="AB452" i="2"/>
  <c r="AC452" i="2" s="1"/>
  <c r="AB456" i="2"/>
  <c r="AC456" i="2" s="1"/>
  <c r="Z376" i="2"/>
  <c r="AG376" i="2" s="1"/>
  <c r="Z380" i="2"/>
  <c r="AG380" i="2" s="1"/>
  <c r="Z384" i="2"/>
  <c r="AG384" i="2" s="1"/>
  <c r="Z274" i="2"/>
  <c r="AG274" i="2" s="1"/>
  <c r="Z312" i="2"/>
  <c r="AG312" i="2" s="1"/>
  <c r="Z161" i="2"/>
  <c r="AG161" i="2" s="1"/>
  <c r="Z378" i="2"/>
  <c r="AG378" i="2" s="1"/>
  <c r="Z382" i="2"/>
  <c r="AG382" i="2" s="1"/>
  <c r="Z386" i="2"/>
  <c r="AG386" i="2" s="1"/>
  <c r="Z394" i="2"/>
  <c r="AG394" i="2" s="1"/>
  <c r="Z406" i="2"/>
  <c r="AG406" i="2" s="1"/>
  <c r="Z410" i="2"/>
  <c r="AG410" i="2" s="1"/>
  <c r="Z414" i="2"/>
  <c r="AG414" i="2" s="1"/>
  <c r="Z422" i="2"/>
  <c r="AG422" i="2" s="1"/>
  <c r="Z426" i="2"/>
  <c r="AG426" i="2" s="1"/>
  <c r="Z430" i="2"/>
  <c r="AG430" i="2" s="1"/>
  <c r="Z921" i="2"/>
  <c r="Z278" i="2"/>
  <c r="AG278" i="2" s="1"/>
  <c r="Z914" i="2"/>
  <c r="Y1005" i="2"/>
  <c r="Y1001" i="2" s="1"/>
  <c r="AB1005" i="2"/>
  <c r="AC1005" i="2" s="1"/>
  <c r="W1005" i="2"/>
  <c r="W1001" i="2" s="1"/>
  <c r="Z945" i="2"/>
  <c r="Z153" i="2"/>
  <c r="AG153" i="2" s="1"/>
  <c r="Z309" i="2"/>
  <c r="AG309" i="2" s="1"/>
  <c r="Z324" i="2"/>
  <c r="AG324" i="2" s="1"/>
  <c r="Z387" i="2"/>
  <c r="AG387" i="2" s="1"/>
  <c r="Z403" i="2"/>
  <c r="AG403" i="2" s="1"/>
  <c r="Z411" i="2"/>
  <c r="AG411" i="2" s="1"/>
  <c r="Z766" i="2"/>
  <c r="Z867" i="2"/>
  <c r="Z920" i="2"/>
  <c r="Z916" i="2"/>
  <c r="Z922" i="2"/>
  <c r="Z917" i="2"/>
  <c r="Z129" i="2"/>
  <c r="AG129" i="2" s="1"/>
  <c r="Z396" i="2"/>
  <c r="AG396" i="2" s="1"/>
  <c r="Z408" i="2"/>
  <c r="AG408" i="2" s="1"/>
  <c r="Z412" i="2"/>
  <c r="AG412" i="2" s="1"/>
  <c r="Z424" i="2"/>
  <c r="AG424" i="2" s="1"/>
  <c r="Z428" i="2"/>
  <c r="AG428" i="2" s="1"/>
  <c r="Z432" i="2"/>
  <c r="AG432" i="2" s="1"/>
  <c r="Z440" i="2"/>
  <c r="AG440" i="2" s="1"/>
  <c r="Z322" i="2"/>
  <c r="AG322" i="2" s="1"/>
  <c r="Z924" i="2"/>
  <c r="Z289" i="2"/>
  <c r="AG289" i="2" s="1"/>
  <c r="Z483" i="2"/>
  <c r="Z495" i="2"/>
  <c r="AG495" i="2" s="1"/>
  <c r="Z521" i="2"/>
  <c r="Z584" i="2"/>
  <c r="AG584" i="2" s="1"/>
  <c r="Z610" i="2"/>
  <c r="AG610" i="2" s="1"/>
  <c r="Z598" i="2"/>
  <c r="Z120" i="2"/>
  <c r="AG120" i="2" s="1"/>
  <c r="Z404" i="2"/>
  <c r="AG404" i="2" s="1"/>
  <c r="Z405" i="2"/>
  <c r="AG405" i="2" s="1"/>
  <c r="W444" i="2"/>
  <c r="Z444" i="2" s="1"/>
  <c r="Z479" i="2"/>
  <c r="AG479" i="2" s="1"/>
  <c r="Z843" i="2"/>
  <c r="Z831" i="2"/>
  <c r="Z182" i="2"/>
  <c r="AG182" i="2" s="1"/>
  <c r="Z233" i="2"/>
  <c r="AG233" i="2" s="1"/>
  <c r="Z240" i="2"/>
  <c r="Z248" i="2"/>
  <c r="Z269" i="2"/>
  <c r="AG269" i="2" s="1"/>
  <c r="Z273" i="2"/>
  <c r="AG273" i="2" s="1"/>
  <c r="Z390" i="2"/>
  <c r="AG390" i="2" s="1"/>
  <c r="Z421" i="2"/>
  <c r="AG421" i="2" s="1"/>
  <c r="Z119" i="2"/>
  <c r="AG119" i="2" s="1"/>
  <c r="Z123" i="2"/>
  <c r="AG123" i="2" s="1"/>
  <c r="Z127" i="2"/>
  <c r="AG127" i="2" s="1"/>
  <c r="Z159" i="2"/>
  <c r="AG159" i="2" s="1"/>
  <c r="Z218" i="2"/>
  <c r="AG218" i="2" s="1"/>
  <c r="Z220" i="2"/>
  <c r="AG220" i="2" s="1"/>
  <c r="Z224" i="2"/>
  <c r="AG224" i="2" s="1"/>
  <c r="Z228" i="2"/>
  <c r="AG228" i="2" s="1"/>
  <c r="Z262" i="2"/>
  <c r="AG262" i="2" s="1"/>
  <c r="Z284" i="2"/>
  <c r="AG284" i="2" s="1"/>
  <c r="Z328" i="2"/>
  <c r="AG328" i="2" s="1"/>
  <c r="Z391" i="2"/>
  <c r="AG391" i="2" s="1"/>
  <c r="Z434" i="2"/>
  <c r="AG434" i="2" s="1"/>
  <c r="Z477" i="2"/>
  <c r="AG477" i="2" s="1"/>
  <c r="Z839" i="2"/>
  <c r="Z876" i="2"/>
  <c r="Z871" i="2"/>
  <c r="Z874" i="2"/>
  <c r="Z870" i="2"/>
  <c r="Z875" i="2"/>
  <c r="Z227" i="2"/>
  <c r="AG227" i="2" s="1"/>
  <c r="Z260" i="2"/>
  <c r="AG260" i="2" s="1"/>
  <c r="Z280" i="2"/>
  <c r="AG280" i="2" s="1"/>
  <c r="Z700" i="2"/>
  <c r="Z829" i="2"/>
  <c r="Z837" i="2"/>
  <c r="Z833" i="2"/>
  <c r="Z176" i="2"/>
  <c r="AG176" i="2" s="1"/>
  <c r="Z234" i="2"/>
  <c r="AG234" i="2" s="1"/>
  <c r="Z249" i="2"/>
  <c r="Z320" i="2"/>
  <c r="AG320" i="2" s="1"/>
  <c r="Z321" i="2"/>
  <c r="AG321" i="2" s="1"/>
  <c r="Z355" i="2"/>
  <c r="AG355" i="2" s="1"/>
  <c r="Z398" i="2"/>
  <c r="AG398" i="2" s="1"/>
  <c r="Z416" i="2"/>
  <c r="AG416" i="2" s="1"/>
  <c r="Z423" i="2"/>
  <c r="AG423" i="2" s="1"/>
  <c r="Z435" i="2"/>
  <c r="AG435" i="2" s="1"/>
  <c r="AB466" i="2"/>
  <c r="AC466" i="2" s="1"/>
  <c r="Z484" i="2"/>
  <c r="Z702" i="2"/>
  <c r="Z183" i="2"/>
  <c r="AG183" i="2" s="1"/>
  <c r="Z279" i="2"/>
  <c r="AG279" i="2" s="1"/>
  <c r="Z285" i="2"/>
  <c r="AG285" i="2" s="1"/>
  <c r="Z259" i="2"/>
  <c r="AG259" i="2" s="1"/>
  <c r="Z318" i="2"/>
  <c r="AG318" i="2" s="1"/>
  <c r="Z319" i="2"/>
  <c r="AG319" i="2" s="1"/>
  <c r="Z340" i="2"/>
  <c r="AG340" i="2" s="1"/>
  <c r="Z353" i="2"/>
  <c r="AG353" i="2" s="1"/>
  <c r="Z371" i="2"/>
  <c r="AG371" i="2" s="1"/>
  <c r="Z381" i="2"/>
  <c r="AG381" i="2" s="1"/>
  <c r="Z400" i="2"/>
  <c r="AG400" i="2" s="1"/>
  <c r="Z407" i="2"/>
  <c r="AG407" i="2" s="1"/>
  <c r="Z418" i="2"/>
  <c r="AG418" i="2" s="1"/>
  <c r="Z429" i="2"/>
  <c r="AG429" i="2" s="1"/>
  <c r="Y474" i="2"/>
  <c r="Z474" i="2" s="1"/>
  <c r="Z478" i="2"/>
  <c r="AG478" i="2" s="1"/>
  <c r="Z703" i="2"/>
  <c r="Z828" i="2"/>
  <c r="Z841" i="2"/>
  <c r="Z830" i="2"/>
  <c r="Z842" i="2"/>
  <c r="Z838" i="2"/>
  <c r="Z834" i="2"/>
  <c r="Z745" i="2"/>
  <c r="Z743" i="2" s="1"/>
  <c r="Z701" i="2"/>
  <c r="Q802" i="2"/>
  <c r="Z192" i="2"/>
  <c r="AG192" i="2" s="1"/>
  <c r="Z311" i="2"/>
  <c r="AG311" i="2" s="1"/>
  <c r="Z439" i="2"/>
  <c r="AG439" i="2" s="1"/>
  <c r="AB467" i="2"/>
  <c r="AC467" i="2" s="1"/>
  <c r="Z611" i="2"/>
  <c r="AG611" i="2" s="1"/>
  <c r="M764" i="2"/>
  <c r="R764" i="2"/>
  <c r="Z157" i="2"/>
  <c r="AG157" i="2" s="1"/>
  <c r="Z256" i="2"/>
  <c r="AG256" i="2" s="1"/>
  <c r="Z266" i="2"/>
  <c r="AG266" i="2" s="1"/>
  <c r="Z290" i="2"/>
  <c r="AG290" i="2" s="1"/>
  <c r="Z299" i="2"/>
  <c r="AG299" i="2" s="1"/>
  <c r="Z300" i="2"/>
  <c r="AG300" i="2" s="1"/>
  <c r="Z304" i="2"/>
  <c r="AG304" i="2" s="1"/>
  <c r="Z314" i="2"/>
  <c r="AG314" i="2" s="1"/>
  <c r="Z332" i="2"/>
  <c r="AG332" i="2" s="1"/>
  <c r="Z338" i="2"/>
  <c r="AG338" i="2" s="1"/>
  <c r="Z364" i="2"/>
  <c r="AG364" i="2" s="1"/>
  <c r="Z189" i="2"/>
  <c r="AG189" i="2" s="1"/>
  <c r="Z193" i="2"/>
  <c r="AG193" i="2" s="1"/>
  <c r="Z214" i="2"/>
  <c r="AG214" i="2" s="1"/>
  <c r="Z352" i="2"/>
  <c r="AG352" i="2" s="1"/>
  <c r="AB470" i="2"/>
  <c r="AC470" i="2" s="1"/>
  <c r="Z531" i="2"/>
  <c r="Z518" i="2"/>
  <c r="AG518" i="2" s="1"/>
  <c r="Z118" i="2"/>
  <c r="AG118" i="2" s="1"/>
  <c r="Z130" i="2"/>
  <c r="AG130" i="2" s="1"/>
  <c r="Z133" i="2"/>
  <c r="AG133" i="2" s="1"/>
  <c r="Z151" i="2"/>
  <c r="AG151" i="2" s="1"/>
  <c r="Z178" i="2"/>
  <c r="AG178" i="2" s="1"/>
  <c r="Z216" i="2"/>
  <c r="AG216" i="2" s="1"/>
  <c r="Z238" i="2"/>
  <c r="Z247" i="2"/>
  <c r="Z250" i="2"/>
  <c r="Z258" i="2"/>
  <c r="AG258" i="2" s="1"/>
  <c r="Z261" i="2"/>
  <c r="Z264" i="2"/>
  <c r="AG264" i="2" s="1"/>
  <c r="Z271" i="2"/>
  <c r="AG271" i="2" s="1"/>
  <c r="Z272" i="2"/>
  <c r="AG272" i="2" s="1"/>
  <c r="Z275" i="2"/>
  <c r="AG275" i="2" s="1"/>
  <c r="Z291" i="2"/>
  <c r="AG291" i="2" s="1"/>
  <c r="Z292" i="2"/>
  <c r="AG292" i="2" s="1"/>
  <c r="Z298" i="2"/>
  <c r="AG298" i="2" s="1"/>
  <c r="Z327" i="2"/>
  <c r="AG327" i="2" s="1"/>
  <c r="Z330" i="2"/>
  <c r="AG330" i="2" s="1"/>
  <c r="Z339" i="2"/>
  <c r="AG339" i="2" s="1"/>
  <c r="Z343" i="2"/>
  <c r="AG343" i="2" s="1"/>
  <c r="Z375" i="2"/>
  <c r="AG375" i="2" s="1"/>
  <c r="Z379" i="2"/>
  <c r="AG379" i="2" s="1"/>
  <c r="Z388" i="2"/>
  <c r="AG388" i="2" s="1"/>
  <c r="Z389" i="2"/>
  <c r="AG389" i="2" s="1"/>
  <c r="Z392" i="2"/>
  <c r="AG392" i="2" s="1"/>
  <c r="Z402" i="2"/>
  <c r="AG402" i="2" s="1"/>
  <c r="Z419" i="2"/>
  <c r="AG419" i="2" s="1"/>
  <c r="Z441" i="2"/>
  <c r="AG441" i="2" s="1"/>
  <c r="Z593" i="2"/>
  <c r="Z626" i="2"/>
  <c r="Z631" i="2"/>
  <c r="AG630" i="2"/>
  <c r="Z628" i="2"/>
  <c r="AG628" i="2" s="1"/>
  <c r="Z613" i="2"/>
  <c r="AG613" i="2" s="1"/>
  <c r="Z594" i="2"/>
  <c r="Z601" i="2"/>
  <c r="AG601" i="2" s="1"/>
  <c r="Z575" i="2"/>
  <c r="AG575" i="2" s="1"/>
  <c r="Z552" i="2"/>
  <c r="AG552" i="2" s="1"/>
  <c r="Y480" i="2"/>
  <c r="Y476" i="2"/>
  <c r="AB448" i="2"/>
  <c r="AC448" i="2" s="1"/>
  <c r="Y448" i="2"/>
  <c r="AG508" i="2"/>
  <c r="Y437" i="2"/>
  <c r="W437" i="2"/>
  <c r="Y457" i="2"/>
  <c r="W457" i="2"/>
  <c r="Y465" i="2"/>
  <c r="AB465" i="2"/>
  <c r="AC465" i="2" s="1"/>
  <c r="Y468" i="2"/>
  <c r="AB468" i="2"/>
  <c r="AC468" i="2" s="1"/>
  <c r="AG580" i="2"/>
  <c r="Q1474" i="2"/>
  <c r="Y449" i="2"/>
  <c r="AB449" i="2"/>
  <c r="AC449" i="2" s="1"/>
  <c r="Y456" i="2"/>
  <c r="Y461" i="2"/>
  <c r="AB461" i="2"/>
  <c r="AC461" i="2" s="1"/>
  <c r="Z175" i="2"/>
  <c r="AB195" i="2"/>
  <c r="AC195" i="2" s="1"/>
  <c r="AB437" i="2"/>
  <c r="AC437" i="2" s="1"/>
  <c r="W449" i="2"/>
  <c r="Z449" i="2" s="1"/>
  <c r="Y452" i="2"/>
  <c r="AB457" i="2"/>
  <c r="AC457" i="2" s="1"/>
  <c r="Y469" i="2"/>
  <c r="AB469" i="2"/>
  <c r="AC469" i="2" s="1"/>
  <c r="S103" i="2"/>
  <c r="Z125" i="2"/>
  <c r="AG125" i="2" s="1"/>
  <c r="Z239" i="2"/>
  <c r="Z246" i="2"/>
  <c r="Z263" i="2"/>
  <c r="AG263" i="2" s="1"/>
  <c r="Z286" i="2"/>
  <c r="AG286" i="2" s="1"/>
  <c r="Z316" i="2"/>
  <c r="AG316" i="2" s="1"/>
  <c r="Z329" i="2"/>
  <c r="AG329" i="2" s="1"/>
  <c r="Z345" i="2"/>
  <c r="AG345" i="2" s="1"/>
  <c r="Z383" i="2"/>
  <c r="AG383" i="2" s="1"/>
  <c r="Z399" i="2"/>
  <c r="AG399" i="2" s="1"/>
  <c r="Z415" i="2"/>
  <c r="AG415" i="2" s="1"/>
  <c r="Z431" i="2"/>
  <c r="AG431" i="2" s="1"/>
  <c r="AB436" i="2"/>
  <c r="AC436" i="2" s="1"/>
  <c r="AG489" i="2"/>
  <c r="AG501" i="2"/>
  <c r="AG510" i="2"/>
  <c r="Z230" i="2"/>
  <c r="AG230" i="2" s="1"/>
  <c r="Z244" i="2"/>
  <c r="Z267" i="2"/>
  <c r="AG267" i="2" s="1"/>
  <c r="Z270" i="2"/>
  <c r="AG270" i="2" s="1"/>
  <c r="Z308" i="2"/>
  <c r="AG308" i="2" s="1"/>
  <c r="Z335" i="2"/>
  <c r="AG335" i="2" s="1"/>
  <c r="Z395" i="2"/>
  <c r="AG395" i="2" s="1"/>
  <c r="Z427" i="2"/>
  <c r="AG427" i="2" s="1"/>
  <c r="AG486" i="2"/>
  <c r="AG507" i="2"/>
  <c r="AG525" i="2"/>
  <c r="AG634" i="2"/>
  <c r="R1007" i="2"/>
  <c r="Z124" i="2"/>
  <c r="AG124" i="2" s="1"/>
  <c r="Z135" i="2"/>
  <c r="AG135" i="2" s="1"/>
  <c r="Z160" i="2"/>
  <c r="AG160" i="2" s="1"/>
  <c r="Z163" i="2"/>
  <c r="AG163" i="2" s="1"/>
  <c r="Z186" i="2"/>
  <c r="AG186" i="2" s="1"/>
  <c r="Z190" i="2"/>
  <c r="AG190" i="2" s="1"/>
  <c r="Z222" i="2"/>
  <c r="AG222" i="2" s="1"/>
  <c r="Z223" i="2"/>
  <c r="AG223" i="2" s="1"/>
  <c r="Z226" i="2"/>
  <c r="AG226" i="2" s="1"/>
  <c r="Z231" i="2"/>
  <c r="AG231" i="2" s="1"/>
  <c r="Z241" i="2"/>
  <c r="Z245" i="2"/>
  <c r="Z257" i="2"/>
  <c r="AG257" i="2" s="1"/>
  <c r="Z265" i="2"/>
  <c r="AG265" i="2" s="1"/>
  <c r="Z268" i="2"/>
  <c r="AG268" i="2" s="1"/>
  <c r="Z276" i="2"/>
  <c r="AG276" i="2" s="1"/>
  <c r="Z288" i="2"/>
  <c r="AG288" i="2" s="1"/>
  <c r="Z296" i="2"/>
  <c r="AG296" i="2" s="1"/>
  <c r="Z302" i="2"/>
  <c r="AG302" i="2" s="1"/>
  <c r="Z315" i="2"/>
  <c r="AG315" i="2" s="1"/>
  <c r="Z323" i="2"/>
  <c r="AG323" i="2" s="1"/>
  <c r="Z331" i="2"/>
  <c r="AG331" i="2" s="1"/>
  <c r="Z336" i="2"/>
  <c r="AG336" i="2" s="1"/>
  <c r="Z344" i="2"/>
  <c r="AG344" i="2" s="1"/>
  <c r="Z351" i="2"/>
  <c r="AG351" i="2" s="1"/>
  <c r="Z365" i="2"/>
  <c r="AG365" i="2" s="1"/>
  <c r="Z377" i="2"/>
  <c r="AG377" i="2" s="1"/>
  <c r="Z385" i="2"/>
  <c r="AG385" i="2" s="1"/>
  <c r="Z393" i="2"/>
  <c r="AG393" i="2" s="1"/>
  <c r="Z401" i="2"/>
  <c r="AG401" i="2" s="1"/>
  <c r="Z409" i="2"/>
  <c r="AG409" i="2" s="1"/>
  <c r="Z417" i="2"/>
  <c r="AG417" i="2" s="1"/>
  <c r="Z425" i="2"/>
  <c r="AG425" i="2" s="1"/>
  <c r="Z433" i="2"/>
  <c r="AG433" i="2" s="1"/>
  <c r="Z438" i="2"/>
  <c r="AG438" i="2" s="1"/>
  <c r="Y442" i="2"/>
  <c r="AB442" i="2"/>
  <c r="AC442" i="2" s="1"/>
  <c r="W442" i="2"/>
  <c r="AB447" i="2"/>
  <c r="AC447" i="2" s="1"/>
  <c r="Y447" i="2"/>
  <c r="Y459" i="2"/>
  <c r="AB459" i="2"/>
  <c r="AC459" i="2" s="1"/>
  <c r="W459" i="2"/>
  <c r="AB460" i="2"/>
  <c r="AC460" i="2" s="1"/>
  <c r="W460" i="2"/>
  <c r="AB473" i="2"/>
  <c r="AC473" i="2" s="1"/>
  <c r="Y473" i="2"/>
  <c r="Z473" i="2" s="1"/>
  <c r="AB446" i="2"/>
  <c r="AC446" i="2" s="1"/>
  <c r="W453" i="2"/>
  <c r="Z453" i="2" s="1"/>
  <c r="Y455" i="2"/>
  <c r="AB455" i="2"/>
  <c r="AC455" i="2" s="1"/>
  <c r="W455" i="2"/>
  <c r="Y458" i="2"/>
  <c r="AB458" i="2"/>
  <c r="AC458" i="2" s="1"/>
  <c r="W458" i="2"/>
  <c r="Y460" i="2"/>
  <c r="AB464" i="2"/>
  <c r="AC464" i="2" s="1"/>
  <c r="W464" i="2"/>
  <c r="Y475" i="2"/>
  <c r="Z475" i="2" s="1"/>
  <c r="AB475" i="2"/>
  <c r="AC475" i="2" s="1"/>
  <c r="AB445" i="2"/>
  <c r="AC445" i="2" s="1"/>
  <c r="Y445" i="2"/>
  <c r="Y451" i="2"/>
  <c r="AB451" i="2"/>
  <c r="AC451" i="2" s="1"/>
  <c r="W451" i="2"/>
  <c r="Y454" i="2"/>
  <c r="AB454" i="2"/>
  <c r="AC454" i="2" s="1"/>
  <c r="W454" i="2"/>
  <c r="W461" i="2"/>
  <c r="Z461" i="2" s="1"/>
  <c r="Y463" i="2"/>
  <c r="AB463" i="2"/>
  <c r="AC463" i="2" s="1"/>
  <c r="W463" i="2"/>
  <c r="Y464" i="2"/>
  <c r="W465" i="2"/>
  <c r="W466" i="2"/>
  <c r="Z466" i="2" s="1"/>
  <c r="W467" i="2"/>
  <c r="Z467" i="2" s="1"/>
  <c r="W468" i="2"/>
  <c r="W469" i="2"/>
  <c r="W470" i="2"/>
  <c r="Z470" i="2" s="1"/>
  <c r="AB472" i="2"/>
  <c r="AC472" i="2" s="1"/>
  <c r="W472" i="2"/>
  <c r="Z472" i="2" s="1"/>
  <c r="Y443" i="2"/>
  <c r="AB443" i="2"/>
  <c r="AC443" i="2" s="1"/>
  <c r="W443" i="2"/>
  <c r="AB444" i="2"/>
  <c r="AC444" i="2" s="1"/>
  <c r="Y450" i="2"/>
  <c r="AB450" i="2"/>
  <c r="AC450" i="2" s="1"/>
  <c r="W450" i="2"/>
  <c r="AB453" i="2"/>
  <c r="AC453" i="2" s="1"/>
  <c r="Y462" i="2"/>
  <c r="AB462" i="2"/>
  <c r="AC462" i="2" s="1"/>
  <c r="W462" i="2"/>
  <c r="Y471" i="2"/>
  <c r="AB471" i="2"/>
  <c r="AC471" i="2" s="1"/>
  <c r="W471" i="2"/>
  <c r="AB474" i="2"/>
  <c r="AC474" i="2" s="1"/>
  <c r="W436" i="2"/>
  <c r="Z436" i="2" s="1"/>
  <c r="W448" i="2"/>
  <c r="Z448" i="2" s="1"/>
  <c r="W452" i="2"/>
  <c r="W456" i="2"/>
  <c r="Z456" i="2" s="1"/>
  <c r="Y372" i="2"/>
  <c r="AB372" i="2"/>
  <c r="AC372" i="2" s="1"/>
  <c r="W372" i="2"/>
  <c r="Y373" i="2"/>
  <c r="AB373" i="2"/>
  <c r="AC373" i="2" s="1"/>
  <c r="W373" i="2"/>
  <c r="Y368" i="2"/>
  <c r="AB368" i="2"/>
  <c r="AC368" i="2" s="1"/>
  <c r="W368" i="2"/>
  <c r="Y367" i="2"/>
  <c r="AB367" i="2"/>
  <c r="AC367" i="2" s="1"/>
  <c r="W367" i="2"/>
  <c r="W366" i="2"/>
  <c r="Z366" i="2" s="1"/>
  <c r="AB366" i="2"/>
  <c r="AC366" i="2" s="1"/>
  <c r="AB360" i="2"/>
  <c r="AC360" i="2" s="1"/>
  <c r="W360" i="2"/>
  <c r="Y360" i="2"/>
  <c r="Y363" i="2"/>
  <c r="AB363" i="2"/>
  <c r="AC363" i="2" s="1"/>
  <c r="W363" i="2"/>
  <c r="Y358" i="2"/>
  <c r="AB358" i="2"/>
  <c r="AC358" i="2" s="1"/>
  <c r="Y361" i="2"/>
  <c r="AB361" i="2"/>
  <c r="AC361" i="2" s="1"/>
  <c r="W361" i="2"/>
  <c r="Y357" i="2"/>
  <c r="Y359" i="2"/>
  <c r="W362" i="2"/>
  <c r="Z362" i="2" s="1"/>
  <c r="AB362" i="2"/>
  <c r="AC362" i="2" s="1"/>
  <c r="Y349" i="2"/>
  <c r="AB349" i="2"/>
  <c r="AC349" i="2" s="1"/>
  <c r="W349" i="2"/>
  <c r="Y348" i="2"/>
  <c r="AB348" i="2"/>
  <c r="AC348" i="2" s="1"/>
  <c r="Y334" i="2"/>
  <c r="AB334" i="2"/>
  <c r="AC334" i="2" s="1"/>
  <c r="W334" i="2"/>
  <c r="Y326" i="2"/>
  <c r="AB326" i="2"/>
  <c r="AC326" i="2" s="1"/>
  <c r="W326" i="2"/>
  <c r="W325" i="2"/>
  <c r="Z325" i="2" s="1"/>
  <c r="AB325" i="2"/>
  <c r="AC325" i="2" s="1"/>
  <c r="Y313" i="2"/>
  <c r="AB313" i="2"/>
  <c r="AC313" i="2" s="1"/>
  <c r="W313" i="2"/>
  <c r="Y295" i="2"/>
  <c r="AB295" i="2"/>
  <c r="AC295" i="2" s="1"/>
  <c r="W295" i="2"/>
  <c r="Y294" i="2"/>
  <c r="W294" i="2"/>
  <c r="Y282" i="2"/>
  <c r="Z282" i="2" s="1"/>
  <c r="AB282" i="2"/>
  <c r="AC282" i="2" s="1"/>
  <c r="Y281" i="2"/>
  <c r="Y277" i="2"/>
  <c r="AB277" i="2"/>
  <c r="AC277" i="2" s="1"/>
  <c r="W277" i="2"/>
  <c r="Y255" i="2"/>
  <c r="Z255" i="2" s="1"/>
  <c r="AB255" i="2"/>
  <c r="AC255" i="2" s="1"/>
  <c r="AB254" i="2"/>
  <c r="AC254" i="2" s="1"/>
  <c r="Y253" i="2"/>
  <c r="AB253" i="2"/>
  <c r="AC253" i="2" s="1"/>
  <c r="W253" i="2"/>
  <c r="W251" i="2"/>
  <c r="Z251" i="2" s="1"/>
  <c r="AB251" i="2"/>
  <c r="AC251" i="2" s="1"/>
  <c r="W252" i="2"/>
  <c r="Z252" i="2" s="1"/>
  <c r="AB252" i="2"/>
  <c r="AC252" i="2" s="1"/>
  <c r="Y198" i="2"/>
  <c r="W198" i="2"/>
  <c r="O45" i="2"/>
  <c r="P764" i="2"/>
  <c r="Y1117" i="2"/>
  <c r="Y1116" i="2" s="1"/>
  <c r="AB198" i="2"/>
  <c r="AC198" i="2" s="1"/>
  <c r="AG509" i="2"/>
  <c r="AG566" i="2"/>
  <c r="AG569" i="2"/>
  <c r="AG604" i="2"/>
  <c r="Q742" i="2"/>
  <c r="M802" i="2"/>
  <c r="R1474" i="2"/>
  <c r="Z51" i="2"/>
  <c r="Z187" i="2"/>
  <c r="AG187" i="2" s="1"/>
  <c r="Z191" i="2"/>
  <c r="AG191" i="2" s="1"/>
  <c r="AG490" i="2"/>
  <c r="AG498" i="2"/>
  <c r="AG502" i="2"/>
  <c r="AG532" i="2"/>
  <c r="AG536" i="2"/>
  <c r="AG540" i="2"/>
  <c r="AG603" i="2"/>
  <c r="AG633" i="2"/>
  <c r="AG639" i="2"/>
  <c r="AG650" i="2"/>
  <c r="AG654" i="2"/>
  <c r="Y750" i="2"/>
  <c r="O764" i="2"/>
  <c r="P802" i="2"/>
  <c r="M1195" i="2"/>
  <c r="R1195" i="2"/>
  <c r="Z1491" i="2"/>
  <c r="Z1493" i="2"/>
  <c r="Z108" i="2"/>
  <c r="AG108" i="2" s="1"/>
  <c r="Z138" i="2"/>
  <c r="AG138" i="2" s="1"/>
  <c r="Z149" i="2"/>
  <c r="AG149" i="2" s="1"/>
  <c r="Z152" i="2"/>
  <c r="AG152" i="2" s="1"/>
  <c r="Z155" i="2"/>
  <c r="AG155" i="2" s="1"/>
  <c r="Z165" i="2"/>
  <c r="AG165" i="2" s="1"/>
  <c r="Z169" i="2"/>
  <c r="AG169" i="2" s="1"/>
  <c r="Z180" i="2"/>
  <c r="AG180" i="2" s="1"/>
  <c r="Z185" i="2"/>
  <c r="AG185" i="2" s="1"/>
  <c r="Z217" i="2"/>
  <c r="AG217" i="2" s="1"/>
  <c r="Z232" i="2"/>
  <c r="AG232" i="2" s="1"/>
  <c r="Z243" i="2"/>
  <c r="Y219" i="2"/>
  <c r="AB219" i="2"/>
  <c r="AC219" i="2" s="1"/>
  <c r="W219" i="2"/>
  <c r="Y196" i="2"/>
  <c r="AB196" i="2"/>
  <c r="W196" i="2"/>
  <c r="Y200" i="2"/>
  <c r="AB200" i="2"/>
  <c r="AC200" i="2" s="1"/>
  <c r="W200" i="2"/>
  <c r="AB197" i="2"/>
  <c r="W197" i="2"/>
  <c r="Y197" i="2"/>
  <c r="AB194" i="2"/>
  <c r="AC194" i="2" s="1"/>
  <c r="Y194" i="2"/>
  <c r="W199" i="2"/>
  <c r="Z199" i="2" s="1"/>
  <c r="AB199" i="2"/>
  <c r="Y184" i="2"/>
  <c r="AB184" i="2"/>
  <c r="AC184" i="2" s="1"/>
  <c r="W184" i="2"/>
  <c r="Y181" i="2"/>
  <c r="AB181" i="2"/>
  <c r="AC181" i="2" s="1"/>
  <c r="W181" i="2"/>
  <c r="Y174" i="2"/>
  <c r="Y173" i="2"/>
  <c r="AB173" i="2"/>
  <c r="AC173" i="2" s="1"/>
  <c r="Y168" i="2"/>
  <c r="AB168" i="2"/>
  <c r="W168" i="2"/>
  <c r="Y167" i="2"/>
  <c r="M89" i="2"/>
  <c r="AG206" i="2"/>
  <c r="M236" i="2"/>
  <c r="AG261" i="2"/>
  <c r="AG487" i="2"/>
  <c r="AG524" i="2"/>
  <c r="Q31" i="2"/>
  <c r="Q90" i="2"/>
  <c r="AG533" i="2"/>
  <c r="R31" i="2"/>
  <c r="Q85" i="2"/>
  <c r="AG201" i="2"/>
  <c r="AG211" i="2"/>
  <c r="AG485" i="2"/>
  <c r="AG499" i="2"/>
  <c r="AG529" i="2"/>
  <c r="AG541" i="2"/>
  <c r="AG558" i="2"/>
  <c r="M1474" i="2"/>
  <c r="Z116" i="2"/>
  <c r="Z137" i="2"/>
  <c r="AG137" i="2" s="1"/>
  <c r="AG612" i="2"/>
  <c r="AG644" i="2"/>
  <c r="AG651" i="2"/>
  <c r="AG658" i="2"/>
  <c r="AG670" i="2"/>
  <c r="AC750" i="2"/>
  <c r="U1117" i="2"/>
  <c r="U1116" i="2" s="1"/>
  <c r="M1146" i="2"/>
  <c r="R1146" i="2"/>
  <c r="W1435" i="2"/>
  <c r="Z106" i="2"/>
  <c r="AG106" i="2" s="1"/>
  <c r="Z109" i="2"/>
  <c r="Z117" i="2"/>
  <c r="AG117" i="2" s="1"/>
  <c r="AG561" i="2"/>
  <c r="AG615" i="2"/>
  <c r="AG641" i="2"/>
  <c r="AG645" i="2"/>
  <c r="AG655" i="2"/>
  <c r="AG674" i="2"/>
  <c r="P742" i="2"/>
  <c r="S750" i="2"/>
  <c r="O802" i="2"/>
  <c r="O1146" i="2"/>
  <c r="U1200" i="2"/>
  <c r="U1195" i="2" s="1"/>
  <c r="O1195" i="2"/>
  <c r="P1358" i="2"/>
  <c r="U1358" i="2"/>
  <c r="AB1358" i="2"/>
  <c r="Z107" i="2"/>
  <c r="AG107" i="2" s="1"/>
  <c r="Z111" i="2"/>
  <c r="Z114" i="2"/>
  <c r="Z128" i="2"/>
  <c r="AG128" i="2" s="1"/>
  <c r="Z136" i="2"/>
  <c r="AG136" i="2" s="1"/>
  <c r="Z156" i="2"/>
  <c r="AG156" i="2" s="1"/>
  <c r="Z164" i="2"/>
  <c r="AG164" i="2" s="1"/>
  <c r="AG605" i="2"/>
  <c r="AG619" i="2"/>
  <c r="AG622" i="2"/>
  <c r="AG635" i="2"/>
  <c r="AG638" i="2"/>
  <c r="AG646" i="2"/>
  <c r="AG653" i="2"/>
  <c r="AG660" i="2"/>
  <c r="O742" i="2"/>
  <c r="Q1195" i="2"/>
  <c r="P1435" i="2"/>
  <c r="U1435" i="2"/>
  <c r="AB1435" i="2"/>
  <c r="R1435" i="2"/>
  <c r="Y1435" i="2"/>
  <c r="P1452" i="2"/>
  <c r="U1452" i="2"/>
  <c r="AB1452" i="2"/>
  <c r="R1452" i="2"/>
  <c r="Y1452" i="2"/>
  <c r="S1474" i="2"/>
  <c r="Z1490" i="2"/>
  <c r="AC1474" i="2"/>
  <c r="Z47" i="2"/>
  <c r="Z104" i="2"/>
  <c r="AG104" i="2" s="1"/>
  <c r="Z126" i="2"/>
  <c r="AG126" i="2" s="1"/>
  <c r="Z134" i="2"/>
  <c r="AG134" i="2" s="1"/>
  <c r="Z154" i="2"/>
  <c r="AG154" i="2" s="1"/>
  <c r="Z162" i="2"/>
  <c r="AG162" i="2" s="1"/>
  <c r="Y139" i="2"/>
  <c r="AB139" i="2"/>
  <c r="AC139" i="2" s="1"/>
  <c r="Y143" i="2"/>
  <c r="AB143" i="2"/>
  <c r="AC143" i="2" s="1"/>
  <c r="Y147" i="2"/>
  <c r="AB147" i="2"/>
  <c r="AC147" i="2" s="1"/>
  <c r="Y141" i="2"/>
  <c r="AB141" i="2"/>
  <c r="AC141" i="2" s="1"/>
  <c r="Y145" i="2"/>
  <c r="AB145" i="2"/>
  <c r="AC145" i="2" s="1"/>
  <c r="Y142" i="2"/>
  <c r="Y144" i="2"/>
  <c r="Y148" i="2"/>
  <c r="AB140" i="2"/>
  <c r="AC140" i="2" s="1"/>
  <c r="AB146" i="2"/>
  <c r="AC146" i="2" s="1"/>
  <c r="Y122" i="2"/>
  <c r="AB122" i="2"/>
  <c r="AC122" i="2" s="1"/>
  <c r="W122" i="2"/>
  <c r="W121" i="2"/>
  <c r="Z121" i="2" s="1"/>
  <c r="AB121" i="2"/>
  <c r="AC121" i="2" s="1"/>
  <c r="U89" i="2"/>
  <c r="AB89" i="2"/>
  <c r="O1368" i="2" s="1"/>
  <c r="O1367" i="2" s="1"/>
  <c r="Q97" i="2"/>
  <c r="AG213" i="2"/>
  <c r="O370" i="2"/>
  <c r="O236" i="2" s="1"/>
  <c r="O44" i="2"/>
  <c r="P96" i="2"/>
  <c r="Q96" i="2" s="1"/>
  <c r="P31" i="2"/>
  <c r="Q87" i="2"/>
  <c r="R89" i="2"/>
  <c r="Y89" i="2"/>
  <c r="AG202" i="2"/>
  <c r="AG209" i="2"/>
  <c r="S89" i="2"/>
  <c r="Z89" i="2"/>
  <c r="M102" i="2"/>
  <c r="Y52" i="2"/>
  <c r="AB52" i="2"/>
  <c r="AC52" i="2" s="1"/>
  <c r="AG488" i="2"/>
  <c r="AG500" i="2"/>
  <c r="AG522" i="2"/>
  <c r="AG530" i="2"/>
  <c r="AG534" i="2"/>
  <c r="AG542" i="2"/>
  <c r="AG590" i="2"/>
  <c r="Z759" i="2"/>
  <c r="W759" i="2"/>
  <c r="S765" i="2"/>
  <c r="S764" i="2" s="1"/>
  <c r="U765" i="2"/>
  <c r="U764" i="2" s="1"/>
  <c r="S1147" i="2"/>
  <c r="S1146" i="2" s="1"/>
  <c r="AG493" i="2"/>
  <c r="AG503" i="2"/>
  <c r="AG505" i="2"/>
  <c r="AG511" i="2"/>
  <c r="AG523" i="2"/>
  <c r="AG526" i="2"/>
  <c r="AG537" i="2"/>
  <c r="AG553" i="2"/>
  <c r="AG556" i="2"/>
  <c r="AG564" i="2"/>
  <c r="AG642" i="2"/>
  <c r="M742" i="2"/>
  <c r="R742" i="2"/>
  <c r="AG504" i="2"/>
  <c r="AG527" i="2"/>
  <c r="AG538" i="2"/>
  <c r="AG554" i="2"/>
  <c r="AG557" i="2"/>
  <c r="AG560" i="2"/>
  <c r="AG565" i="2"/>
  <c r="AG568" i="2"/>
  <c r="AG579" i="2"/>
  <c r="AG657" i="2"/>
  <c r="AG602" i="2"/>
  <c r="AG614" i="2"/>
  <c r="AG636" i="2"/>
  <c r="AG643" i="2"/>
  <c r="AG663" i="2"/>
  <c r="U743" i="2"/>
  <c r="U742" i="2" s="1"/>
  <c r="AG606" i="2"/>
  <c r="AG620" i="2"/>
  <c r="AG607" i="2"/>
  <c r="AG618" i="2"/>
  <c r="AG647" i="2"/>
  <c r="AG652" i="2"/>
  <c r="AG659" i="2"/>
  <c r="AG671" i="2"/>
  <c r="S743" i="2"/>
  <c r="R802" i="2"/>
  <c r="Z60" i="2"/>
  <c r="P1009" i="2"/>
  <c r="P1008" i="2" s="1"/>
  <c r="P1007" i="2" s="1"/>
  <c r="P1195" i="2"/>
  <c r="M1435" i="2"/>
  <c r="M1452" i="2"/>
  <c r="AB1474" i="2"/>
  <c r="O1504" i="2" s="1"/>
  <c r="O1503" i="2" s="1"/>
  <c r="O1502" i="2" s="1"/>
  <c r="O1501" i="2" s="1"/>
  <c r="O1474" i="2" s="1"/>
  <c r="Y1489" i="2"/>
  <c r="Y1488" i="2" s="1"/>
  <c r="Y1487" i="2" s="1"/>
  <c r="Y1474" i="2" s="1"/>
  <c r="Z48" i="2"/>
  <c r="Z62" i="2"/>
  <c r="S110" i="2"/>
  <c r="AG1203" i="2"/>
  <c r="Q1435" i="2"/>
  <c r="AC1435" i="2"/>
  <c r="S1435" i="2"/>
  <c r="Z1435" i="2"/>
  <c r="Q1452" i="2"/>
  <c r="W1452" i="2"/>
  <c r="AC1452" i="2"/>
  <c r="S1452" i="2"/>
  <c r="Z1452" i="2"/>
  <c r="P1474" i="2"/>
  <c r="U1474" i="2"/>
  <c r="Z50" i="2"/>
  <c r="Z81" i="2"/>
  <c r="Z79" i="2" s="1"/>
  <c r="Z105" i="2"/>
  <c r="AG105" i="2" s="1"/>
  <c r="AC103" i="2"/>
  <c r="U112" i="2"/>
  <c r="U110" i="2" s="1"/>
  <c r="O102" i="2"/>
  <c r="W79" i="2"/>
  <c r="U58" i="2"/>
  <c r="Y70" i="2"/>
  <c r="AB70" i="2"/>
  <c r="AC70" i="2" s="1"/>
  <c r="Y73" i="2"/>
  <c r="AB73" i="2"/>
  <c r="AC73" i="2" s="1"/>
  <c r="W73" i="2"/>
  <c r="Y77" i="2"/>
  <c r="AB77" i="2"/>
  <c r="AC77" i="2" s="1"/>
  <c r="W77" i="2"/>
  <c r="AB64" i="2"/>
  <c r="AC64" i="2" s="1"/>
  <c r="Y64" i="2"/>
  <c r="Y75" i="2"/>
  <c r="AB75" i="2"/>
  <c r="AC75" i="2" s="1"/>
  <c r="W75" i="2"/>
  <c r="Y65" i="2"/>
  <c r="AB65" i="2"/>
  <c r="AC65" i="2" s="1"/>
  <c r="AB68" i="2"/>
  <c r="AC68" i="2" s="1"/>
  <c r="Y68" i="2"/>
  <c r="Y74" i="2"/>
  <c r="AB74" i="2"/>
  <c r="AC74" i="2" s="1"/>
  <c r="W74" i="2"/>
  <c r="Y76" i="2"/>
  <c r="AB76" i="2"/>
  <c r="AC76" i="2" s="1"/>
  <c r="W76" i="2"/>
  <c r="Y78" i="2"/>
  <c r="AB78" i="2"/>
  <c r="AC78" i="2" s="1"/>
  <c r="W78" i="2"/>
  <c r="Y66" i="2"/>
  <c r="AB66" i="2"/>
  <c r="AC66" i="2" s="1"/>
  <c r="Y69" i="2"/>
  <c r="AB69" i="2"/>
  <c r="AC69" i="2" s="1"/>
  <c r="Y63" i="2"/>
  <c r="Y67" i="2"/>
  <c r="Y71" i="2"/>
  <c r="AB63" i="2"/>
  <c r="AC63" i="2" s="1"/>
  <c r="R44" i="2"/>
  <c r="U57" i="2"/>
  <c r="U56" i="2" s="1"/>
  <c r="Y55" i="2"/>
  <c r="AB55" i="2"/>
  <c r="AC55" i="2" s="1"/>
  <c r="W55" i="2"/>
  <c r="W46" i="2" s="1"/>
  <c r="Y53" i="2"/>
  <c r="AB53" i="2"/>
  <c r="AC53" i="2" s="1"/>
  <c r="M45" i="2"/>
  <c r="Y54" i="2"/>
  <c r="U42" i="2"/>
  <c r="Q94" i="2"/>
  <c r="O89" i="2"/>
  <c r="W103" i="2"/>
  <c r="S115" i="2"/>
  <c r="AG144" i="2"/>
  <c r="AG357" i="2"/>
  <c r="U370" i="2"/>
  <c r="U115" i="2"/>
  <c r="U237" i="2"/>
  <c r="S46" i="2"/>
  <c r="P44" i="2"/>
  <c r="Q83" i="2"/>
  <c r="P89" i="2"/>
  <c r="Q92" i="2"/>
  <c r="AG148" i="2"/>
  <c r="U171" i="2"/>
  <c r="U46" i="2"/>
  <c r="S58" i="2"/>
  <c r="S171" i="2"/>
  <c r="AG207" i="2"/>
  <c r="S237" i="2"/>
  <c r="M44" i="2"/>
  <c r="S370" i="2"/>
  <c r="AG492" i="2"/>
  <c r="AG517" i="2"/>
  <c r="AG513" i="2"/>
  <c r="AG520" i="2"/>
  <c r="S1000" i="2"/>
  <c r="S999" i="2" s="1"/>
  <c r="AG476" i="2"/>
  <c r="AG480" i="2"/>
  <c r="S482" i="2"/>
  <c r="S497" i="2"/>
  <c r="U497" i="2"/>
  <c r="AG514" i="2"/>
  <c r="AG625" i="2"/>
  <c r="AG539" i="2"/>
  <c r="AG549" i="2"/>
  <c r="AG632" i="2"/>
  <c r="AG648" i="2"/>
  <c r="AG664" i="2"/>
  <c r="AG672" i="2"/>
  <c r="S676" i="2"/>
  <c r="AG680" i="2"/>
  <c r="AG543" i="2"/>
  <c r="AG544" i="2"/>
  <c r="AG617" i="2"/>
  <c r="U676" i="2"/>
  <c r="S686" i="2"/>
  <c r="S685" i="2" s="1"/>
  <c r="S804" i="2"/>
  <c r="AG528" i="2"/>
  <c r="AG535" i="2"/>
  <c r="AG547" i="2"/>
  <c r="AG562" i="2"/>
  <c r="AG573" i="2"/>
  <c r="AG576" i="2"/>
  <c r="AG624" i="2"/>
  <c r="AG640" i="2"/>
  <c r="AG656" i="2"/>
  <c r="AG668" i="2"/>
  <c r="U686" i="2"/>
  <c r="U685" i="2" s="1"/>
  <c r="S883" i="2"/>
  <c r="S882" i="2" s="1"/>
  <c r="Q1009" i="2"/>
  <c r="Q1008" i="2" s="1"/>
  <c r="Q1007" i="2" s="1"/>
  <c r="W743" i="2"/>
  <c r="Y764" i="2"/>
  <c r="U804" i="2"/>
  <c r="U803" i="2" s="1"/>
  <c r="U883" i="2"/>
  <c r="U882" i="2" s="1"/>
  <c r="AG629" i="2"/>
  <c r="Y743" i="2"/>
  <c r="W750" i="2"/>
  <c r="Z750" i="2"/>
  <c r="O1010" i="2"/>
  <c r="AG1011" i="2"/>
  <c r="S1001" i="2"/>
  <c r="Q1010" i="2"/>
  <c r="AC1117" i="2"/>
  <c r="AC1116" i="2" s="1"/>
  <c r="AB1117" i="2"/>
  <c r="AB1116" i="2" s="1"/>
  <c r="O1445" i="2" s="1"/>
  <c r="O1444" i="2" s="1"/>
  <c r="Z1492" i="2"/>
  <c r="W1489" i="2"/>
  <c r="W1488" i="2" s="1"/>
  <c r="W1487" i="2" s="1"/>
  <c r="W1474" i="2" s="1"/>
  <c r="O1073" i="2"/>
  <c r="S1358" i="2"/>
  <c r="Z1358" i="2"/>
  <c r="Q1358" i="2"/>
  <c r="W1358" i="2"/>
  <c r="AC1358" i="2"/>
  <c r="AG1156" i="2"/>
  <c r="R1358" i="2"/>
  <c r="Y1358" i="2"/>
  <c r="AG1205" i="2"/>
  <c r="M1358" i="2"/>
  <c r="W1220" i="2" l="1"/>
  <c r="Y1220" i="2"/>
  <c r="O1220" i="2"/>
  <c r="M1220" i="2"/>
  <c r="Z1220" i="2"/>
  <c r="AC1220" i="2"/>
  <c r="Q1220" i="2"/>
  <c r="R1220" i="2"/>
  <c r="S1220" i="2"/>
  <c r="P1220" i="2"/>
  <c r="S1123" i="2"/>
  <c r="Q102" i="2"/>
  <c r="Q101" i="2" s="1"/>
  <c r="AG347" i="2"/>
  <c r="P1123" i="2"/>
  <c r="Q1123" i="2"/>
  <c r="AC1357" i="2"/>
  <c r="M1123" i="2"/>
  <c r="AG475" i="2"/>
  <c r="Z465" i="2"/>
  <c r="AG436" i="2"/>
  <c r="AG453" i="2"/>
  <c r="Y742" i="2"/>
  <c r="AG448" i="2"/>
  <c r="AG444" i="2"/>
  <c r="R1123" i="2"/>
  <c r="AG1209" i="2"/>
  <c r="AG1153" i="2"/>
  <c r="W1200" i="2"/>
  <c r="W1195" i="2" s="1"/>
  <c r="Y1357" i="2"/>
  <c r="Y370" i="2"/>
  <c r="AG461" i="2"/>
  <c r="Z1489" i="2"/>
  <c r="Z1488" i="2" s="1"/>
  <c r="Z1487" i="2" s="1"/>
  <c r="Z1474" i="2" s="1"/>
  <c r="AG348" i="2"/>
  <c r="Y46" i="2"/>
  <c r="Y237" i="2"/>
  <c r="W1357" i="2"/>
  <c r="Q1357" i="2"/>
  <c r="Y58" i="2"/>
  <c r="AG1204" i="2"/>
  <c r="Y115" i="2"/>
  <c r="Y171" i="2"/>
  <c r="AG1202" i="2"/>
  <c r="S1357" i="2"/>
  <c r="U1146" i="2"/>
  <c r="U1123" i="2" s="1"/>
  <c r="AG1154" i="2"/>
  <c r="O1123" i="2"/>
  <c r="M1357" i="2"/>
  <c r="R1357" i="2"/>
  <c r="AG1155" i="2"/>
  <c r="AG282" i="2"/>
  <c r="Z452" i="2"/>
  <c r="AG452" i="2" s="1"/>
  <c r="AG1207" i="2"/>
  <c r="Z1357" i="2"/>
  <c r="AG1206" i="2"/>
  <c r="AG1151" i="2"/>
  <c r="Q44" i="2"/>
  <c r="AG140" i="2"/>
  <c r="Z469" i="2"/>
  <c r="AG469" i="2" s="1"/>
  <c r="Z1005" i="2"/>
  <c r="Z1001" i="2" s="1"/>
  <c r="W1000" i="2"/>
  <c r="W999" i="2" s="1"/>
  <c r="Q89" i="2"/>
  <c r="S742" i="2"/>
  <c r="Z198" i="2"/>
  <c r="AG198" i="2" s="1"/>
  <c r="Z437" i="2"/>
  <c r="AG437" i="2" s="1"/>
  <c r="Z200" i="2"/>
  <c r="AG200" i="2" s="1"/>
  <c r="Z168" i="2"/>
  <c r="AG168" i="2" s="1"/>
  <c r="Z334" i="2"/>
  <c r="AG334" i="2" s="1"/>
  <c r="Z368" i="2"/>
  <c r="AG368" i="2" s="1"/>
  <c r="P102" i="2"/>
  <c r="P101" i="2" s="1"/>
  <c r="P30" i="2" s="1"/>
  <c r="Z253" i="2"/>
  <c r="Z471" i="2"/>
  <c r="AG471" i="2" s="1"/>
  <c r="AG473" i="2"/>
  <c r="Z372" i="2"/>
  <c r="AG449" i="2"/>
  <c r="AG597" i="2"/>
  <c r="Z313" i="2"/>
  <c r="AG313" i="2" s="1"/>
  <c r="Z361" i="2"/>
  <c r="AG361" i="2" s="1"/>
  <c r="Z277" i="2"/>
  <c r="AG277" i="2" s="1"/>
  <c r="Z295" i="2"/>
  <c r="AG295" i="2" s="1"/>
  <c r="Z326" i="2"/>
  <c r="AG326" i="2" s="1"/>
  <c r="Z349" i="2"/>
  <c r="AG349" i="2" s="1"/>
  <c r="Z367" i="2"/>
  <c r="AG367" i="2" s="1"/>
  <c r="Z468" i="2"/>
  <c r="AG468" i="2" s="1"/>
  <c r="Z459" i="2"/>
  <c r="AG459" i="2" s="1"/>
  <c r="AG519" i="2"/>
  <c r="AG251" i="2"/>
  <c r="Z462" i="2"/>
  <c r="AG462" i="2" s="1"/>
  <c r="Z450" i="2"/>
  <c r="AG450" i="2" s="1"/>
  <c r="Z443" i="2"/>
  <c r="AG443" i="2" s="1"/>
  <c r="Z463" i="2"/>
  <c r="AG463" i="2" s="1"/>
  <c r="Z454" i="2"/>
  <c r="AG454" i="2" s="1"/>
  <c r="Z442" i="2"/>
  <c r="AG442" i="2" s="1"/>
  <c r="Z457" i="2"/>
  <c r="AG457" i="2" s="1"/>
  <c r="AG472" i="2"/>
  <c r="AG447" i="2"/>
  <c r="Z455" i="2"/>
  <c r="AG455" i="2" s="1"/>
  <c r="Z460" i="2"/>
  <c r="AG460" i="2" s="1"/>
  <c r="Z451" i="2"/>
  <c r="AG451" i="2" s="1"/>
  <c r="Z464" i="2"/>
  <c r="AG464" i="2" s="1"/>
  <c r="Z458" i="2"/>
  <c r="AG458" i="2" s="1"/>
  <c r="Z373" i="2"/>
  <c r="AG373" i="2" s="1"/>
  <c r="Z363" i="2"/>
  <c r="AG363" i="2" s="1"/>
  <c r="Z360" i="2"/>
  <c r="AG360" i="2" s="1"/>
  <c r="M101" i="2"/>
  <c r="M30" i="2" s="1"/>
  <c r="Z294" i="2"/>
  <c r="AG294" i="2" s="1"/>
  <c r="AG1210" i="2"/>
  <c r="Z184" i="2"/>
  <c r="AG184" i="2" s="1"/>
  <c r="Z181" i="2"/>
  <c r="AG181" i="2" s="1"/>
  <c r="Z76" i="2"/>
  <c r="Z196" i="2"/>
  <c r="AG196" i="2" s="1"/>
  <c r="O101" i="2"/>
  <c r="O30" i="2" s="1"/>
  <c r="Z219" i="2"/>
  <c r="AG219" i="2" s="1"/>
  <c r="AC197" i="2"/>
  <c r="AC199" i="2"/>
  <c r="AG199" i="2"/>
  <c r="AC196" i="2"/>
  <c r="Z197" i="2"/>
  <c r="AG197" i="2" s="1"/>
  <c r="AC168" i="2"/>
  <c r="AG467" i="2"/>
  <c r="AG1208" i="2"/>
  <c r="AG616" i="2"/>
  <c r="AB1357" i="2"/>
  <c r="Z78" i="2"/>
  <c r="AG121" i="2"/>
  <c r="U1357" i="2"/>
  <c r="AG253" i="2"/>
  <c r="Y1200" i="2"/>
  <c r="Y1195" i="2" s="1"/>
  <c r="Z122" i="2"/>
  <c r="AG122" i="2" s="1"/>
  <c r="P1357" i="2"/>
  <c r="AG141" i="2"/>
  <c r="S102" i="2"/>
  <c r="AG491" i="2"/>
  <c r="U802" i="2"/>
  <c r="AG362" i="2"/>
  <c r="AG325" i="2"/>
  <c r="AG255" i="2"/>
  <c r="Z55" i="2"/>
  <c r="Z46" i="2" s="1"/>
  <c r="AG609" i="2"/>
  <c r="AG474" i="2"/>
  <c r="AG589" i="2"/>
  <c r="AG366" i="2"/>
  <c r="Z1117" i="2"/>
  <c r="Z1116" i="2" s="1"/>
  <c r="W1117" i="2"/>
  <c r="W1116" i="2" s="1"/>
  <c r="AC883" i="2"/>
  <c r="AC882" i="2" s="1"/>
  <c r="AG252" i="2"/>
  <c r="AC1200" i="2"/>
  <c r="AC1195" i="2" s="1"/>
  <c r="AB1200" i="2"/>
  <c r="AB1195" i="2" s="1"/>
  <c r="O1466" i="2" s="1"/>
  <c r="O1465" i="2" s="1"/>
  <c r="R102" i="2"/>
  <c r="R101" i="2" s="1"/>
  <c r="R30" i="2" s="1"/>
  <c r="AG599" i="2"/>
  <c r="U102" i="2"/>
  <c r="Y112" i="2"/>
  <c r="AB112" i="2"/>
  <c r="W112" i="2"/>
  <c r="W110" i="2" s="1"/>
  <c r="Z75" i="2"/>
  <c r="Z73" i="2"/>
  <c r="Z74" i="2"/>
  <c r="Z77" i="2"/>
  <c r="Y57" i="2"/>
  <c r="AB57" i="2"/>
  <c r="AC57" i="2" s="1"/>
  <c r="AC56" i="2" s="1"/>
  <c r="W57" i="2"/>
  <c r="Y42" i="2"/>
  <c r="Y41" i="2" s="1"/>
  <c r="Y40" i="2" s="1"/>
  <c r="Y31" i="2" s="1"/>
  <c r="AB42" i="2"/>
  <c r="AC42" i="2" s="1"/>
  <c r="AC41" i="2" s="1"/>
  <c r="AC40" i="2" s="1"/>
  <c r="AC31" i="2" s="1"/>
  <c r="W42" i="2"/>
  <c r="U41" i="2"/>
  <c r="U40" i="2" s="1"/>
  <c r="U31" i="2" s="1"/>
  <c r="U1000" i="2"/>
  <c r="U999" i="2" s="1"/>
  <c r="U1001" i="2"/>
  <c r="AC743" i="2"/>
  <c r="AC742" i="2" s="1"/>
  <c r="AB743" i="2"/>
  <c r="AB742" i="2" s="1"/>
  <c r="W804" i="2"/>
  <c r="W803" i="2" s="1"/>
  <c r="AC765" i="2"/>
  <c r="AC764" i="2" s="1"/>
  <c r="AB765" i="2"/>
  <c r="AB764" i="2" s="1"/>
  <c r="U1073" i="2"/>
  <c r="AG682" i="2"/>
  <c r="AG545" i="2"/>
  <c r="W497" i="2"/>
  <c r="AG445" i="2"/>
  <c r="AG516" i="2"/>
  <c r="AG194" i="2"/>
  <c r="AG281" i="2"/>
  <c r="AG142" i="2"/>
  <c r="W370" i="2"/>
  <c r="AG116" i="2"/>
  <c r="Z103" i="2"/>
  <c r="AG1152" i="2"/>
  <c r="AG1149" i="2"/>
  <c r="AG1148" i="2"/>
  <c r="Z1000" i="2"/>
  <c r="Z999" i="2" s="1"/>
  <c r="AB883" i="2"/>
  <c r="AB882" i="2" s="1"/>
  <c r="AB804" i="2"/>
  <c r="AB803" i="2" s="1"/>
  <c r="AC804" i="2"/>
  <c r="AC803" i="2" s="1"/>
  <c r="AG677" i="2"/>
  <c r="AG667" i="2"/>
  <c r="AB676" i="2"/>
  <c r="AG676" i="2" s="1"/>
  <c r="AG585" i="2"/>
  <c r="AG681" i="2"/>
  <c r="AG546" i="2"/>
  <c r="AG572" i="2"/>
  <c r="S236" i="2"/>
  <c r="AG174" i="2"/>
  <c r="AG146" i="2"/>
  <c r="AB58" i="2"/>
  <c r="AC58" i="2"/>
  <c r="AG167" i="2"/>
  <c r="AG111" i="2"/>
  <c r="AC46" i="2"/>
  <c r="AB46" i="2"/>
  <c r="AB370" i="2"/>
  <c r="AG359" i="2"/>
  <c r="AG145" i="2"/>
  <c r="AB237" i="2"/>
  <c r="AG1201" i="2"/>
  <c r="AG1157" i="2"/>
  <c r="AC1146" i="2"/>
  <c r="W742" i="2"/>
  <c r="W686" i="2"/>
  <c r="W685" i="2" s="1"/>
  <c r="AG683" i="2"/>
  <c r="AG631" i="2"/>
  <c r="S803" i="2"/>
  <c r="S802" i="2" s="1"/>
  <c r="AG548" i="2"/>
  <c r="AB497" i="2"/>
  <c r="AG512" i="2"/>
  <c r="AG550" i="2"/>
  <c r="AG446" i="2"/>
  <c r="AG593" i="2"/>
  <c r="AG582" i="2"/>
  <c r="AG515" i="2"/>
  <c r="W58" i="2"/>
  <c r="W237" i="2"/>
  <c r="AG195" i="2"/>
  <c r="W171" i="2"/>
  <c r="AG254" i="2"/>
  <c r="AG143" i="2"/>
  <c r="AG139" i="2"/>
  <c r="O1009" i="2"/>
  <c r="O1008" i="2" s="1"/>
  <c r="O1007" i="2" s="1"/>
  <c r="Z765" i="2"/>
  <c r="Z764" i="2" s="1"/>
  <c r="W765" i="2"/>
  <c r="W764" i="2" s="1"/>
  <c r="Z742" i="2"/>
  <c r="Z686" i="2"/>
  <c r="Z685" i="2" s="1"/>
  <c r="AG666" i="2"/>
  <c r="AG596" i="2"/>
  <c r="AG592" i="2"/>
  <c r="AG626" i="2"/>
  <c r="AG598" i="2"/>
  <c r="AG571" i="2"/>
  <c r="AG531" i="2"/>
  <c r="AG679" i="2"/>
  <c r="AG594" i="2"/>
  <c r="AG586" i="2"/>
  <c r="AG588" i="2"/>
  <c r="AG470" i="2"/>
  <c r="AG466" i="2"/>
  <c r="AG583" i="2"/>
  <c r="AG494" i="2"/>
  <c r="U482" i="2"/>
  <c r="U236" i="2" s="1"/>
  <c r="W883" i="2"/>
  <c r="W882" i="2" s="1"/>
  <c r="AG600" i="2"/>
  <c r="AG587" i="2"/>
  <c r="AG551" i="2"/>
  <c r="AG456" i="2"/>
  <c r="AG358" i="2"/>
  <c r="AG175" i="2"/>
  <c r="AG147" i="2"/>
  <c r="U45" i="2"/>
  <c r="U44" i="2"/>
  <c r="AG173" i="2"/>
  <c r="AB171" i="2"/>
  <c r="AB115" i="2"/>
  <c r="S45" i="2"/>
  <c r="S44" i="2"/>
  <c r="W115" i="2"/>
  <c r="M1507" i="2" l="1"/>
  <c r="R1507" i="2"/>
  <c r="Q30" i="2"/>
  <c r="Q1507" i="2" s="1"/>
  <c r="Y236" i="2"/>
  <c r="Y110" i="2"/>
  <c r="Y102" i="2" s="1"/>
  <c r="Y56" i="2"/>
  <c r="Y45" i="2" s="1"/>
  <c r="Y44" i="2" s="1"/>
  <c r="AC171" i="2"/>
  <c r="Z1200" i="2"/>
  <c r="Z1195" i="2" s="1"/>
  <c r="P1507" i="2"/>
  <c r="Z115" i="2"/>
  <c r="Y802" i="2"/>
  <c r="AB56" i="2"/>
  <c r="AB44" i="2" s="1"/>
  <c r="O1364" i="2" s="1"/>
  <c r="O1363" i="2" s="1"/>
  <c r="AB1146" i="2"/>
  <c r="AB1123" i="2" s="1"/>
  <c r="AG1150" i="2"/>
  <c r="O1507" i="2"/>
  <c r="U101" i="2"/>
  <c r="U30" i="2" s="1"/>
  <c r="S101" i="2"/>
  <c r="S30" i="2" s="1"/>
  <c r="S1507" i="2" s="1"/>
  <c r="AG484" i="2"/>
  <c r="Z804" i="2"/>
  <c r="Z803" i="2" s="1"/>
  <c r="Z883" i="2"/>
  <c r="Z882" i="2" s="1"/>
  <c r="AC497" i="2"/>
  <c r="Z171" i="2"/>
  <c r="AC370" i="2"/>
  <c r="Y1146" i="2"/>
  <c r="Y1123" i="2" s="1"/>
  <c r="AC115" i="2"/>
  <c r="AG465" i="2"/>
  <c r="AB41" i="2"/>
  <c r="AB40" i="2" s="1"/>
  <c r="AB31" i="2" s="1"/>
  <c r="AC1123" i="2"/>
  <c r="AC237" i="2"/>
  <c r="AC802" i="2"/>
  <c r="Z112" i="2"/>
  <c r="Z110" i="2" s="1"/>
  <c r="W102" i="2"/>
  <c r="AC112" i="2"/>
  <c r="AC110" i="2" s="1"/>
  <c r="AB110" i="2"/>
  <c r="AB102" i="2" s="1"/>
  <c r="Z58" i="2"/>
  <c r="Z57" i="2"/>
  <c r="Z56" i="2" s="1"/>
  <c r="W56" i="2"/>
  <c r="W44" i="2" s="1"/>
  <c r="Z42" i="2"/>
  <c r="Z41" i="2" s="1"/>
  <c r="Z40" i="2" s="1"/>
  <c r="Z31" i="2" s="1"/>
  <c r="W41" i="2"/>
  <c r="W40" i="2" s="1"/>
  <c r="W31" i="2" s="1"/>
  <c r="AC685" i="2"/>
  <c r="AB686" i="2"/>
  <c r="AG686" i="2" s="1"/>
  <c r="AB1001" i="2"/>
  <c r="AB1000" i="2"/>
  <c r="AB999" i="2" s="1"/>
  <c r="AG483" i="2"/>
  <c r="Z482" i="2"/>
  <c r="W1146" i="2"/>
  <c r="W1123" i="2" s="1"/>
  <c r="AC44" i="2"/>
  <c r="AC45" i="2"/>
  <c r="AC482" i="2"/>
  <c r="AB482" i="2"/>
  <c r="AB236" i="2" s="1"/>
  <c r="Z237" i="2"/>
  <c r="AG521" i="2"/>
  <c r="Z497" i="2"/>
  <c r="AG497" i="2" s="1"/>
  <c r="AG678" i="2"/>
  <c r="AC676" i="2"/>
  <c r="AB802" i="2"/>
  <c r="Z1146" i="2"/>
  <c r="AG372" i="2"/>
  <c r="W802" i="2"/>
  <c r="W1073" i="2"/>
  <c r="W482" i="2"/>
  <c r="W236" i="2" s="1"/>
  <c r="AF765" i="2"/>
  <c r="O1384" i="2"/>
  <c r="O1383" i="2" s="1"/>
  <c r="O1380" i="2"/>
  <c r="O1379" i="2" s="1"/>
  <c r="AF743" i="2"/>
  <c r="Y1000" i="2"/>
  <c r="Y999" i="2" s="1"/>
  <c r="Z1123" i="2" l="1"/>
  <c r="AB45" i="2"/>
  <c r="O1462" i="2"/>
  <c r="O1461" i="2" s="1"/>
  <c r="O1452" i="2" s="1"/>
  <c r="Y101" i="2"/>
  <c r="Y30" i="2" s="1"/>
  <c r="O1360" i="2"/>
  <c r="O1359" i="2" s="1"/>
  <c r="Z102" i="2"/>
  <c r="Z802" i="2"/>
  <c r="Z370" i="2"/>
  <c r="AG370" i="2" s="1"/>
  <c r="AC236" i="2"/>
  <c r="AG1147" i="2"/>
  <c r="AC102" i="2"/>
  <c r="W101" i="2"/>
  <c r="W30" i="2" s="1"/>
  <c r="Z44" i="2"/>
  <c r="Z45" i="2"/>
  <c r="W45" i="2"/>
  <c r="AG236" i="2"/>
  <c r="AF237" i="2"/>
  <c r="U1010" i="2"/>
  <c r="AC1000" i="2"/>
  <c r="AC999" i="2" s="1"/>
  <c r="AC1001" i="2"/>
  <c r="AC1010" i="2"/>
  <c r="AC1009" i="2" s="1"/>
  <c r="AC1008" i="2" s="1"/>
  <c r="AC1007" i="2" s="1"/>
  <c r="AG482" i="2"/>
  <c r="O1432" i="2"/>
  <c r="O1431" i="2" s="1"/>
  <c r="AF1000" i="2"/>
  <c r="AB685" i="2"/>
  <c r="AB101" i="2" s="1"/>
  <c r="AB30" i="2" s="1"/>
  <c r="AF686" i="2"/>
  <c r="O1396" i="2"/>
  <c r="O1395" i="2" s="1"/>
  <c r="AF804" i="2"/>
  <c r="AF40" i="2" l="1"/>
  <c r="AG685" i="2"/>
  <c r="AC101" i="2"/>
  <c r="Z236" i="2"/>
  <c r="Z101" i="2" s="1"/>
  <c r="Z30" i="2" s="1"/>
  <c r="Y1007" i="2"/>
  <c r="Y1507" i="2" s="1"/>
  <c r="U1009" i="2"/>
  <c r="U1008" i="2" s="1"/>
  <c r="U1007" i="2" s="1"/>
  <c r="U1507" i="2" s="1"/>
  <c r="AG1008" i="2"/>
  <c r="AG1009" i="2" s="1"/>
  <c r="O1376" i="2"/>
  <c r="O1375" i="2" s="1"/>
  <c r="O1358" i="2" s="1"/>
  <c r="AF102" i="2"/>
  <c r="AB1010" i="2"/>
  <c r="AB1009" i="2" s="1"/>
  <c r="AB1008" i="2" s="1"/>
  <c r="AG805" i="2"/>
  <c r="AF805" i="2"/>
  <c r="AF807" i="2" s="1"/>
  <c r="W1010" i="2"/>
  <c r="W1009" i="2" s="1"/>
  <c r="W1008" i="2" s="1"/>
  <c r="W1007" i="2" s="1"/>
  <c r="AF100" i="2" l="1"/>
  <c r="AC30" i="2"/>
  <c r="AG30" i="2" s="1"/>
  <c r="Z1010" i="2"/>
  <c r="Z1009" i="2" s="1"/>
  <c r="Z1008" i="2" s="1"/>
  <c r="Z1007" i="2" s="1"/>
  <c r="Z1507" i="2" s="1"/>
  <c r="AG40" i="2"/>
  <c r="W1507" i="2"/>
  <c r="O1437" i="2"/>
  <c r="O1436" i="2" s="1"/>
  <c r="O1435" i="2" s="1"/>
  <c r="O1357" i="2" s="1"/>
  <c r="AB1007" i="2"/>
  <c r="AB1507" i="2" s="1"/>
  <c r="AF7" i="2" l="1"/>
  <c r="AC1507" i="2"/>
  <c r="AF1008" i="2"/>
  <c r="AG42" i="2"/>
  <c r="AI1007" i="2"/>
  <c r="AF714" i="11"/>
  <c r="AG713" i="11"/>
</calcChain>
</file>

<file path=xl/sharedStrings.xml><?xml version="1.0" encoding="utf-8"?>
<sst xmlns="http://schemas.openxmlformats.org/spreadsheetml/2006/main" count="59355" uniqueCount="3723">
  <si>
    <t>BUKU INVENTARIS</t>
  </si>
  <si>
    <t>NOMOR</t>
  </si>
  <si>
    <t>SPESIFIKASI BARANG</t>
  </si>
  <si>
    <t>Bahan</t>
  </si>
  <si>
    <t>Asal / Cara Perolehan Barang</t>
  </si>
  <si>
    <t>Tahun Perolehan</t>
  </si>
  <si>
    <t>Ukuran Barang Kontruksi</t>
  </si>
  <si>
    <t>Satuan</t>
  </si>
  <si>
    <t>Keadaan Barang</t>
  </si>
  <si>
    <t>JUMLAH</t>
  </si>
  <si>
    <t>Tabel Bantu untuk Nilai Buku Aset yang ada Rehab / Penambahan Belanja</t>
  </si>
  <si>
    <t>Nilai Residu</t>
  </si>
  <si>
    <t>Nilai Perolehan setelah dikurangi Nilai Residu</t>
  </si>
  <si>
    <t>Masa Manfaat (Tahun)</t>
  </si>
  <si>
    <t>Beban Penyusutan Per Tahun</t>
  </si>
  <si>
    <t>Beban Penyusutan Periode ini</t>
  </si>
  <si>
    <t>Beban Tahun Ini</t>
  </si>
  <si>
    <t>Penyusut an Tahun ke -</t>
  </si>
  <si>
    <t>Akumulasi Penyusutan</t>
  </si>
  <si>
    <t>Nilai Buku</t>
  </si>
  <si>
    <t>Lokasi Barang</t>
  </si>
  <si>
    <t>Keterangan</t>
  </si>
  <si>
    <t>No. Urut</t>
  </si>
  <si>
    <t>Kode Barang</t>
  </si>
  <si>
    <t>Register</t>
  </si>
  <si>
    <t>Nama/Jenis Barang</t>
  </si>
  <si>
    <t>Merk/Type</t>
  </si>
  <si>
    <t>No. Sertifikat / No. Plat Kendaraan / No. Pabrik / No. Casis</t>
  </si>
  <si>
    <t>Barang</t>
  </si>
  <si>
    <t xml:space="preserve">Harga Satuan </t>
  </si>
  <si>
    <t>Harga Perolehan</t>
  </si>
  <si>
    <t>Tarif Nilai Residu (% dari Harga Perolehan)</t>
  </si>
  <si>
    <t>N I L A I   R E SI D U</t>
  </si>
  <si>
    <t>Semester I</t>
  </si>
  <si>
    <t>Semester II</t>
  </si>
  <si>
    <t>(B/KB/RB)</t>
  </si>
  <si>
    <t>Waktu</t>
  </si>
  <si>
    <t>Nilai</t>
  </si>
  <si>
    <t>1.3.1</t>
  </si>
  <si>
    <t>TANAH</t>
  </si>
  <si>
    <t>1.3.1.01</t>
  </si>
  <si>
    <t>1.3.1.01.01</t>
  </si>
  <si>
    <t>TANAH PERSIL</t>
  </si>
  <si>
    <t>1.3.1.01.02</t>
  </si>
  <si>
    <t>TANAH NON PERSIL</t>
  </si>
  <si>
    <t>1.3.1.01.03</t>
  </si>
  <si>
    <t>LAPANGAN</t>
  </si>
  <si>
    <t>1.3.2</t>
  </si>
  <si>
    <t>PERALATAN DAN MESIN</t>
  </si>
  <si>
    <t>1.3.2.01</t>
  </si>
  <si>
    <t>ALAT BESAR</t>
  </si>
  <si>
    <t>1.3.2.01.01</t>
  </si>
  <si>
    <t>ALAT BESAR DARAT</t>
  </si>
  <si>
    <t>1.3.2.01.02</t>
  </si>
  <si>
    <t>ALAT BESAR APUNG</t>
  </si>
  <si>
    <t>1.3.2.01.03</t>
  </si>
  <si>
    <t>ALAT BANTU</t>
  </si>
  <si>
    <t>1.3.2.01.03.04.003</t>
  </si>
  <si>
    <t>0001</t>
  </si>
  <si>
    <t>Genset</t>
  </si>
  <si>
    <t>Baifa Power/200 KVA</t>
  </si>
  <si>
    <t>Besi</t>
  </si>
  <si>
    <t>APBD</t>
  </si>
  <si>
    <t>Unit</t>
  </si>
  <si>
    <t>B</t>
  </si>
  <si>
    <t>Gudang Genset</t>
  </si>
  <si>
    <t>1.3.2.02</t>
  </si>
  <si>
    <t>ALAT ANGKUTAN</t>
  </si>
  <si>
    <t>1.3.2.02.01</t>
  </si>
  <si>
    <t>ALAT ANGKUTAN DARAT BERMOTOR</t>
  </si>
  <si>
    <t>1.3.2.02.01.01.006</t>
  </si>
  <si>
    <t>Minibus</t>
  </si>
  <si>
    <t>Grand Levina</t>
  </si>
  <si>
    <t>BH 1941 Z    /MHBGIC66F9J007085/MR.18-044015R</t>
  </si>
  <si>
    <t>kabid PKM</t>
  </si>
  <si>
    <t>0002</t>
  </si>
  <si>
    <t>Daihatsu Terios</t>
  </si>
  <si>
    <t>BH 1913 AZ         /MHKG2CJ2JBK051313/DCJ4700</t>
  </si>
  <si>
    <t xml:space="preserve"> WI</t>
  </si>
  <si>
    <t>0003</t>
  </si>
  <si>
    <t>Toyota Innova</t>
  </si>
  <si>
    <t>BH 1503 Z, MHFXW43G0B4060163/ITR-7183625</t>
  </si>
  <si>
    <t>Operasional</t>
  </si>
  <si>
    <t>Mutasi Biro Umum</t>
  </si>
  <si>
    <t>0004</t>
  </si>
  <si>
    <t>Kijang Inova</t>
  </si>
  <si>
    <t>BH 38</t>
  </si>
  <si>
    <t>Kepala Badan</t>
  </si>
  <si>
    <t>0005</t>
  </si>
  <si>
    <t>Dahatsu Terios</t>
  </si>
  <si>
    <t>BH 1440 Z</t>
  </si>
  <si>
    <t>Kabid PKTUF</t>
  </si>
  <si>
    <t>0006</t>
  </si>
  <si>
    <t>Suzuki Ertiga GX Elegan MT Black</t>
  </si>
  <si>
    <t>BH 1899 Z/K14BT-1100850/MHYKZE81SEJ207953</t>
  </si>
  <si>
    <t>Kabid PKTI</t>
  </si>
  <si>
    <t>0007</t>
  </si>
  <si>
    <t>Suzuki Ertiga GX Elegan MT White</t>
  </si>
  <si>
    <t>BH 1939 Z/K14BT-1095919/MHYKZE81SEJ208204</t>
  </si>
  <si>
    <t>Kabid SKPK</t>
  </si>
  <si>
    <t>0008</t>
  </si>
  <si>
    <t>Suzuki Ertiga GX Elegan AT White</t>
  </si>
  <si>
    <t>BH 1940 Z/K14BT-1109297/MHYKZE81SEJ209978</t>
  </si>
  <si>
    <t>Sekretaris Badan</t>
  </si>
  <si>
    <t>1.3.2.02.01.03.002</t>
  </si>
  <si>
    <t>0009</t>
  </si>
  <si>
    <t xml:space="preserve">Pick Up </t>
  </si>
  <si>
    <t>Toyota Hilux</t>
  </si>
  <si>
    <t>0010</t>
  </si>
  <si>
    <t>BH 1060 Z, MHFJW8EM2K2368401</t>
  </si>
  <si>
    <t>Widyaiswara Utama</t>
  </si>
  <si>
    <t>Mutasi Biro PBMD</t>
  </si>
  <si>
    <t>1.3.2.02.01.04.001</t>
  </si>
  <si>
    <t>Sepeda motor</t>
  </si>
  <si>
    <t>Honda / NF125 TR</t>
  </si>
  <si>
    <t>BH BH 2373 Z    /MH1JB91179K755362/JB1E-1752034</t>
  </si>
  <si>
    <t>Fungsional Umum</t>
  </si>
  <si>
    <t>BH 2368 Z     /MH1JB91179K790129/JB1E-1787288</t>
  </si>
  <si>
    <t>Honda / New Vario</t>
  </si>
  <si>
    <t>BH 2944 HZ  /MH1JF7113BK085534/JF71E-1084924</t>
  </si>
  <si>
    <t>Kasubbag Program dan pelaporan</t>
  </si>
  <si>
    <t>BH 2943 HZ /MH1JF7113BK085078/JF71E-1084470</t>
  </si>
  <si>
    <t>Honda Supra X 125</t>
  </si>
  <si>
    <t xml:space="preserve"> BH 2364 Z/JBG1E1169573 / JBG112EK169831</t>
  </si>
  <si>
    <t>Kasubbid Pengembangan Kompetensi Pilihan Jabatan Administrasi</t>
  </si>
  <si>
    <t>BH 2374 Z/JBG1E1169566 / JBG110EK169875</t>
  </si>
  <si>
    <t>Kasubbid pengembangan Kompetensi Jabatan Struktural</t>
  </si>
  <si>
    <t>BH 2355 Z/JBG1E1169865 / JBG112EK170213</t>
  </si>
  <si>
    <t xml:space="preserve">Kasubbid  Pengembangan Kompetensi Pilihan  Jabatan Administrasi </t>
  </si>
  <si>
    <t>BH 2365 Z/JBG1E1169864 / JBG11XEK170158</t>
  </si>
  <si>
    <t xml:space="preserve">Kasubbid Pengembangan Kompetensi Jabatan Fungsional </t>
  </si>
  <si>
    <t>BH 2376 Z/JBG1E1169976 / JBG112EK170283</t>
  </si>
  <si>
    <t>Kasubbag Keuangan</t>
  </si>
  <si>
    <t>JBG1E1169878 / JBG119EK170281</t>
  </si>
  <si>
    <t>Kasubbid Pengembangan Inti Jabatan Adminstrasi Urusan Konkuren Wajib  Pelayanan Dasar dan Pilihan</t>
  </si>
  <si>
    <t>0011</t>
  </si>
  <si>
    <t>BH 2375 Z/JBG1E1169869 / JBG110EK170296</t>
  </si>
  <si>
    <t>Pengelola Pemanfaatan BMD</t>
  </si>
  <si>
    <t>0012</t>
  </si>
  <si>
    <t>BH 2367 Z/JBG1E1169897 / JBG114EK170298</t>
  </si>
  <si>
    <t>0013</t>
  </si>
  <si>
    <t>BH 2362 Z/JBG1E1169411 / JBG111EK169853</t>
  </si>
  <si>
    <t>Kasubbid Pengelolaan Sumber Belajar dan Kerjasama</t>
  </si>
  <si>
    <t>0014</t>
  </si>
  <si>
    <t>BH 2363 Z/JBG1E1169471  /JBG115EK169810</t>
  </si>
  <si>
    <t>kasubbid pengembangan Kompetensi Kepemimpinan dan Prajabatan</t>
  </si>
  <si>
    <t>0015</t>
  </si>
  <si>
    <t>Yamaha Soul GT</t>
  </si>
  <si>
    <t>E3W9E0044462/MH3S39040JJ028553/BH 2191 A</t>
  </si>
  <si>
    <t>Kasubbid Pengembngan Inti Jabatan Administrasi Perangkat Daerah  Penunjang</t>
  </si>
  <si>
    <t>0016</t>
  </si>
  <si>
    <t>E3W9E0044465/MH3SE9040JJ028556/BH 2190 A</t>
  </si>
  <si>
    <t>Kasubbid  kompetensi inti Jabatan Administrasi Urusan Konkuren Wajib Non Pelayanan Dasar</t>
  </si>
  <si>
    <t>0017</t>
  </si>
  <si>
    <t>E3W9E0044467/MH3SE9040JJ028558/BH 2195 A</t>
  </si>
  <si>
    <t xml:space="preserve">Kasubbid  Pengembangan Kompetensi Umum  Jabatan Administrasi </t>
  </si>
  <si>
    <t>0018</t>
  </si>
  <si>
    <t>E3W9E0044439/MH3SE9040JJ028531/BH 2192 A</t>
  </si>
  <si>
    <t>Bendahara Pengeluaran</t>
  </si>
  <si>
    <t>0019</t>
  </si>
  <si>
    <t>E3W9E0044467/MH3SE9040JJ028513/BH 2193 A</t>
  </si>
  <si>
    <t>Kasubbid Pengembangan Kompetensi Pimpinan Daerah</t>
  </si>
  <si>
    <t>0020</t>
  </si>
  <si>
    <t>E3W9E0044467/MH3SE9040JJ028515/BH 2194 A</t>
  </si>
  <si>
    <t>Kasubbag Umum dan Kepegawaian</t>
  </si>
  <si>
    <t>Hand Troley</t>
  </si>
  <si>
    <t>Lokal</t>
  </si>
  <si>
    <t>RB</t>
  </si>
  <si>
    <t xml:space="preserve">Gudang </t>
  </si>
  <si>
    <t>1.3.2.02.02</t>
  </si>
  <si>
    <t>ALAT ANGKUTAN DARAT TAK BERMOTOR</t>
  </si>
  <si>
    <t>1.3.2.02.03</t>
  </si>
  <si>
    <t>ALAT ANGKUTAN APUNG BERMOTOR</t>
  </si>
  <si>
    <t>1.3.2.02.04</t>
  </si>
  <si>
    <t>ALAT ANGKUTAN APUNG TAK BERMOTOR</t>
  </si>
  <si>
    <t>1.3.2.02.05</t>
  </si>
  <si>
    <t>ALAT ANGKUTAN BERMOTOR UDARA</t>
  </si>
  <si>
    <t>1.3.2.03</t>
  </si>
  <si>
    <t>ALAT BENGKEL DAN ALAT UKUR</t>
  </si>
  <si>
    <t>1.3.2.03.01</t>
  </si>
  <si>
    <t>ALAT BENGKEL BERMESIN</t>
  </si>
  <si>
    <t>1.3.2.03.02</t>
  </si>
  <si>
    <t>ALAT BENGKEL TAK BERMESIN</t>
  </si>
  <si>
    <t>1.3.2.03.03</t>
  </si>
  <si>
    <t>ALAT UKUR</t>
  </si>
  <si>
    <t>1.3.2.04</t>
  </si>
  <si>
    <t>ALAT PERTANIAN</t>
  </si>
  <si>
    <t>1.3.2.04.01</t>
  </si>
  <si>
    <t>ALAT PENGOLAHAN</t>
  </si>
  <si>
    <t>1.3.2.05</t>
  </si>
  <si>
    <t>ALAT KANTOR DAN RUMAH TANGGA</t>
  </si>
  <si>
    <t>1.3.2.05.01</t>
  </si>
  <si>
    <t>ALAT KANTOR</t>
  </si>
  <si>
    <t>Billboard Running Text</t>
  </si>
  <si>
    <t>Viber</t>
  </si>
  <si>
    <t>Kantor Diklat</t>
  </si>
  <si>
    <t>1.3.2.05.01.05.089</t>
  </si>
  <si>
    <t>Bracket speaker</t>
  </si>
  <si>
    <t>bracket pro</t>
  </si>
  <si>
    <t>Aula II</t>
  </si>
  <si>
    <t>Bendera</t>
  </si>
  <si>
    <t>Kain</t>
  </si>
  <si>
    <t>Set</t>
  </si>
  <si>
    <t>Bendera rimpel</t>
  </si>
  <si>
    <t>Brankas</t>
  </si>
  <si>
    <t>Data script Tipe SRFC-401</t>
  </si>
  <si>
    <t>CCTV</t>
  </si>
  <si>
    <t>Digital</t>
  </si>
  <si>
    <t>R. Umum</t>
  </si>
  <si>
    <t>0001-0002</t>
  </si>
  <si>
    <t>Cd Ram Combo</t>
  </si>
  <si>
    <t>Samsung</t>
  </si>
  <si>
    <t>KB</t>
  </si>
  <si>
    <t>Lab. Komputer</t>
  </si>
  <si>
    <t>0011-0025</t>
  </si>
  <si>
    <t>Filling Cabinet</t>
  </si>
  <si>
    <t>Lion</t>
  </si>
  <si>
    <t>Sekretariat</t>
  </si>
  <si>
    <t>R. Struktural</t>
  </si>
  <si>
    <t>Manajemen Pemerintahan</t>
  </si>
  <si>
    <t>Teknis</t>
  </si>
  <si>
    <t>Fungsional</t>
  </si>
  <si>
    <t>Keuangan</t>
  </si>
  <si>
    <t>Program</t>
  </si>
  <si>
    <t>Widyaiswara</t>
  </si>
  <si>
    <t xml:space="preserve">Umum </t>
  </si>
  <si>
    <t>Perpustakaan</t>
  </si>
  <si>
    <t>0026</t>
  </si>
  <si>
    <t>Lion 2 Laci</t>
  </si>
  <si>
    <t>Ruang Teknis</t>
  </si>
  <si>
    <t>0027</t>
  </si>
  <si>
    <t>Ruang Fungsional</t>
  </si>
  <si>
    <t>0028</t>
  </si>
  <si>
    <t>Ruang Struktural</t>
  </si>
  <si>
    <t>0029</t>
  </si>
  <si>
    <t>Ruang MP</t>
  </si>
  <si>
    <t>0030</t>
  </si>
  <si>
    <t>Ruang Kepegawian</t>
  </si>
  <si>
    <t>0031</t>
  </si>
  <si>
    <t>Ruang Program</t>
  </si>
  <si>
    <t>0032</t>
  </si>
  <si>
    <t>Ruang Keuangan</t>
  </si>
  <si>
    <t>0033</t>
  </si>
  <si>
    <t>Ruang Umum</t>
  </si>
  <si>
    <t>0034</t>
  </si>
  <si>
    <t>Ruang Widyaiswara</t>
  </si>
  <si>
    <t>0035</t>
  </si>
  <si>
    <t>0042</t>
  </si>
  <si>
    <t>Flashdisk</t>
  </si>
  <si>
    <t>kingstone/2 GB</t>
  </si>
  <si>
    <t>Gudang Brng Elektonik</t>
  </si>
  <si>
    <t>0032-0036</t>
  </si>
  <si>
    <t xml:space="preserve">Flashdisk </t>
  </si>
  <si>
    <t>kingstone/8 GB</t>
  </si>
  <si>
    <t>0037-0041</t>
  </si>
  <si>
    <t>0001-0025</t>
  </si>
  <si>
    <t>D Link</t>
  </si>
  <si>
    <t xml:space="preserve">HD Eksternal </t>
  </si>
  <si>
    <t>Seagate/320 GB</t>
  </si>
  <si>
    <t>Bag. Keuangan</t>
  </si>
  <si>
    <t>Kabel</t>
  </si>
  <si>
    <t>Paket</t>
  </si>
  <si>
    <t>Unifi</t>
  </si>
  <si>
    <t>-</t>
  </si>
  <si>
    <t>Hardisk Eksternal</t>
  </si>
  <si>
    <t>Sony</t>
  </si>
  <si>
    <t>Kasubbag Umum</t>
  </si>
  <si>
    <t>Pengurus Barang</t>
  </si>
  <si>
    <t>Instalasi Jaringan Internet</t>
  </si>
  <si>
    <t>Titik</t>
  </si>
  <si>
    <t>Instalasi Jaringan LAN</t>
  </si>
  <si>
    <t>Jaringan LAN</t>
  </si>
  <si>
    <t xml:space="preserve">IP Camera </t>
  </si>
  <si>
    <t>Surveillance System</t>
  </si>
  <si>
    <t>0001-0005</t>
  </si>
  <si>
    <t>Kalkulator</t>
  </si>
  <si>
    <t>R. Keuangan</t>
  </si>
  <si>
    <t>0002-0003</t>
  </si>
  <si>
    <t>Keyboard</t>
  </si>
  <si>
    <t>Votre</t>
  </si>
  <si>
    <t>0004-0009</t>
  </si>
  <si>
    <t>Layar OHP / Screen 3 x 3 meter</t>
  </si>
  <si>
    <t>Focus</t>
  </si>
  <si>
    <t>0007-0010</t>
  </si>
  <si>
    <t>Layar Proyektor</t>
  </si>
  <si>
    <t xml:space="preserve">Meter </t>
  </si>
  <si>
    <t>Motorized Screen 120"</t>
  </si>
  <si>
    <t>R. Belajar II</t>
  </si>
  <si>
    <t>As. Baru R. Belajar Lt.3</t>
  </si>
  <si>
    <t xml:space="preserve">LCD Projector </t>
  </si>
  <si>
    <t>Sony VPL-CX 234</t>
  </si>
  <si>
    <t>0003-0006</t>
  </si>
  <si>
    <t xml:space="preserve">LCD Proyector </t>
  </si>
  <si>
    <t>Epson EB-S9</t>
  </si>
  <si>
    <t>Epson EB-G5950</t>
  </si>
  <si>
    <t>Aula Utama</t>
  </si>
  <si>
    <t>Panasonic PT-FX400U</t>
  </si>
  <si>
    <t>R. Belajar I</t>
  </si>
  <si>
    <t>0009-0010</t>
  </si>
  <si>
    <t>LCD Proyektor</t>
  </si>
  <si>
    <t>Sony VPL-DX 100</t>
  </si>
  <si>
    <t>As. Baru R. Seminar Lt. 3</t>
  </si>
  <si>
    <t>RR</t>
  </si>
  <si>
    <t>R. Belajar III</t>
  </si>
  <si>
    <t>0012-0014</t>
  </si>
  <si>
    <t>R. Belajar IV</t>
  </si>
  <si>
    <t>0015-0018</t>
  </si>
  <si>
    <t>Epson</t>
  </si>
  <si>
    <t>Kelas</t>
  </si>
  <si>
    <t>Asrama Sultan Taha Lt II</t>
  </si>
  <si>
    <t>Epson EB 945H</t>
  </si>
  <si>
    <t>R. Rapat Kaban</t>
  </si>
  <si>
    <t>0021</t>
  </si>
  <si>
    <t>0022</t>
  </si>
  <si>
    <t>0023-0024</t>
  </si>
  <si>
    <t>R. Seminar As. Baru</t>
  </si>
  <si>
    <t>0025-0026</t>
  </si>
  <si>
    <t>0001-0016</t>
  </si>
  <si>
    <t>Lemari File Tingkat 4 Laci</t>
  </si>
  <si>
    <t>Kayu</t>
  </si>
  <si>
    <t>R. R. Struktural</t>
  </si>
  <si>
    <t>0001-0017</t>
  </si>
  <si>
    <t>R. Manajemen Pemerintahan</t>
  </si>
  <si>
    <t>0001-0018</t>
  </si>
  <si>
    <t>R. Fungsional</t>
  </si>
  <si>
    <t>0001-0019</t>
  </si>
  <si>
    <t>R. Teknis</t>
  </si>
  <si>
    <t>0001-0020</t>
  </si>
  <si>
    <t>R. Sekretariat</t>
  </si>
  <si>
    <t>0001-0021</t>
  </si>
  <si>
    <t>0001-0022</t>
  </si>
  <si>
    <t>R. Program</t>
  </si>
  <si>
    <t>0001-0023</t>
  </si>
  <si>
    <t>R. Widyaiswara</t>
  </si>
  <si>
    <t>Lemari Arsip</t>
  </si>
  <si>
    <t>R. Kaban</t>
  </si>
  <si>
    <t>0004-0005</t>
  </si>
  <si>
    <t>0006-0007</t>
  </si>
  <si>
    <t>0008-0009</t>
  </si>
  <si>
    <t>0010-0011</t>
  </si>
  <si>
    <t>0012-0013</t>
  </si>
  <si>
    <t>0015-0016</t>
  </si>
  <si>
    <t>0017-0018</t>
  </si>
  <si>
    <t>0001-0006</t>
  </si>
  <si>
    <t>Lemari penyimpan alat mengajar</t>
  </si>
  <si>
    <t>Kelas I,II,II,IV,V, VI</t>
  </si>
  <si>
    <t>Lemari dinding utk arsip</t>
  </si>
  <si>
    <t>Meja Belajar</t>
  </si>
  <si>
    <t>Asrama asoka</t>
  </si>
  <si>
    <t>0002-0015</t>
  </si>
  <si>
    <t>Asrama Aster</t>
  </si>
  <si>
    <t>Asrama Kemuning</t>
  </si>
  <si>
    <t>R. Sekban</t>
  </si>
  <si>
    <t>0019-0034</t>
  </si>
  <si>
    <t>Asrama Selasih</t>
  </si>
  <si>
    <t>0035-0074</t>
  </si>
  <si>
    <t>Meja belajar / interior</t>
  </si>
  <si>
    <t>As. Baru Lt.2</t>
  </si>
  <si>
    <t>0075-0116</t>
  </si>
  <si>
    <t>0117-0156</t>
  </si>
  <si>
    <t>0157-0196</t>
  </si>
  <si>
    <t>kelas VI</t>
  </si>
  <si>
    <t>0197-0216</t>
  </si>
  <si>
    <t>Kelas V</t>
  </si>
  <si>
    <t>0217-0236</t>
  </si>
  <si>
    <t>Kelas I</t>
  </si>
  <si>
    <t>0237-0244</t>
  </si>
  <si>
    <t>Asrama I</t>
  </si>
  <si>
    <t>0245-0252</t>
  </si>
  <si>
    <t xml:space="preserve">Meja Belajar </t>
  </si>
  <si>
    <t>Asrama II</t>
  </si>
  <si>
    <t>0253-0260</t>
  </si>
  <si>
    <t>Meja Belajar (bulat)</t>
  </si>
  <si>
    <t>Kelas IV</t>
  </si>
  <si>
    <t>Meja Komputer</t>
  </si>
  <si>
    <t>Mesin Faksimili</t>
  </si>
  <si>
    <t xml:space="preserve">Panasonic </t>
  </si>
  <si>
    <t>Gudang II</t>
  </si>
  <si>
    <t>Mesin Absensi ( Finger Print )</t>
  </si>
  <si>
    <t>Secure</t>
  </si>
  <si>
    <t>Mesin Foto Copy Portable</t>
  </si>
  <si>
    <t>Gestetner MP2001L</t>
  </si>
  <si>
    <t>Mesin Ketik Electrik</t>
  </si>
  <si>
    <t>Royal</t>
  </si>
  <si>
    <t>Mesin Ketik Manual 13'</t>
  </si>
  <si>
    <t>Bid. MP</t>
  </si>
  <si>
    <t>Bid Fungsional</t>
  </si>
  <si>
    <t>Bid. R. Struktural</t>
  </si>
  <si>
    <t>Bid. Teknis</t>
  </si>
  <si>
    <t>Mesin Ketik Manual 26'</t>
  </si>
  <si>
    <t>Mesin Penghancur Kertas</t>
  </si>
  <si>
    <t>0003-0009</t>
  </si>
  <si>
    <t>Secure Tipe Maxi 25CCM</t>
  </si>
  <si>
    <t>0011-0016</t>
  </si>
  <si>
    <t>Mouse Optical</t>
  </si>
  <si>
    <t>0017-0023</t>
  </si>
  <si>
    <t>Mesin penghitung uang</t>
  </si>
  <si>
    <t>Secure Tipe LD-1100S</t>
  </si>
  <si>
    <t>Ruangan Subbag keuangan</t>
  </si>
  <si>
    <t>Neon Box</t>
  </si>
  <si>
    <t>Kantor BPSDM</t>
  </si>
  <si>
    <t>Pengadaan tower jaringan internet</t>
  </si>
  <si>
    <t xml:space="preserve">Printer </t>
  </si>
  <si>
    <t>HP Laser Jet</t>
  </si>
  <si>
    <t>0033-0034</t>
  </si>
  <si>
    <t>Canon IP 2770</t>
  </si>
  <si>
    <t>G.barang elktro</t>
  </si>
  <si>
    <t>0036</t>
  </si>
  <si>
    <t>0037</t>
  </si>
  <si>
    <t>0038</t>
  </si>
  <si>
    <t>0039-0040</t>
  </si>
  <si>
    <t>0041</t>
  </si>
  <si>
    <t>0042-0044</t>
  </si>
  <si>
    <t>Canon IP 3680</t>
  </si>
  <si>
    <t>0045-0046</t>
  </si>
  <si>
    <t>Epson L300</t>
  </si>
  <si>
    <t>0047</t>
  </si>
  <si>
    <t>0048</t>
  </si>
  <si>
    <t>0049-0050</t>
  </si>
  <si>
    <t>0051-0054</t>
  </si>
  <si>
    <t>0055</t>
  </si>
  <si>
    <t>0056-0058</t>
  </si>
  <si>
    <t>0059</t>
  </si>
  <si>
    <t>0060</t>
  </si>
  <si>
    <t>0061-0062</t>
  </si>
  <si>
    <t>0063-0065</t>
  </si>
  <si>
    <t>CANON PIXMA Ip3680 + Infus</t>
  </si>
  <si>
    <t>0066</t>
  </si>
  <si>
    <t>0067</t>
  </si>
  <si>
    <t>0068</t>
  </si>
  <si>
    <t>Brother MFC-1810</t>
  </si>
  <si>
    <t>0069</t>
  </si>
  <si>
    <t>0070</t>
  </si>
  <si>
    <t xml:space="preserve"> Epson L360</t>
  </si>
  <si>
    <t>R. Kepegawaian</t>
  </si>
  <si>
    <t>0071</t>
  </si>
  <si>
    <t>0072</t>
  </si>
  <si>
    <t>0073</t>
  </si>
  <si>
    <t>0074</t>
  </si>
  <si>
    <t>R. MP</t>
  </si>
  <si>
    <t>0075</t>
  </si>
  <si>
    <t>0076</t>
  </si>
  <si>
    <t>0077</t>
  </si>
  <si>
    <t>0078</t>
  </si>
  <si>
    <t>0079-0088</t>
  </si>
  <si>
    <t>EPSON L3110</t>
  </si>
  <si>
    <t>0089</t>
  </si>
  <si>
    <t>CANON Multifunction Inkjet Printer PIXMA G3010</t>
  </si>
  <si>
    <t>0090</t>
  </si>
  <si>
    <t>Canon injek Pixma G3010</t>
  </si>
  <si>
    <t>R.Program</t>
  </si>
  <si>
    <t>Mutasi Bakeuda</t>
  </si>
  <si>
    <t>0091</t>
  </si>
  <si>
    <t xml:space="preserve">Epson </t>
  </si>
  <si>
    <t>Rak Arsip (Lemari besi)</t>
  </si>
  <si>
    <t>Data script</t>
  </si>
  <si>
    <t>Screen Proyektor Besar</t>
  </si>
  <si>
    <t>Screen Pro</t>
  </si>
  <si>
    <t xml:space="preserve">Papan struktur, data dan informasi </t>
  </si>
  <si>
    <t>Papan nama instansi</t>
  </si>
  <si>
    <t>DWP, KORPRI, Perpustakaan, FMD, LSPPDN</t>
  </si>
  <si>
    <t>Scanner</t>
  </si>
  <si>
    <t>Scan Snap</t>
  </si>
  <si>
    <t>Server aplikasi SIKILAT</t>
  </si>
  <si>
    <t>UPS</t>
  </si>
  <si>
    <t>PROLINK TIPE  PRO1501 SFC</t>
  </si>
  <si>
    <t>Campuran</t>
  </si>
  <si>
    <t>Prolink 2000VA</t>
  </si>
  <si>
    <t>1.3.2.05.02</t>
  </si>
  <si>
    <t>ALAT RUMAH TANGGA</t>
  </si>
  <si>
    <t>AC Split</t>
  </si>
  <si>
    <t>Panasonic</t>
  </si>
  <si>
    <t>0008-0010</t>
  </si>
  <si>
    <t>R. Belaja rVI</t>
  </si>
  <si>
    <t>AUX</t>
  </si>
  <si>
    <t>0014-0017</t>
  </si>
  <si>
    <t>0018-0022</t>
  </si>
  <si>
    <t>R. Belaja rVII</t>
  </si>
  <si>
    <t>0029-0031</t>
  </si>
  <si>
    <t>Bag. Program</t>
  </si>
  <si>
    <t>Sekban</t>
  </si>
  <si>
    <t>Subbag Umum</t>
  </si>
  <si>
    <t>0038-0042</t>
  </si>
  <si>
    <t xml:space="preserve">AC Split Wall </t>
  </si>
  <si>
    <t>2 PK Merk AKARI Tipe 01800FLWi</t>
  </si>
  <si>
    <t>Asrama Baru Lt. 3</t>
  </si>
  <si>
    <t>0043-0046</t>
  </si>
  <si>
    <t>As. Baru R.Makan Lt.1</t>
  </si>
  <si>
    <t>0047-0052</t>
  </si>
  <si>
    <t>As. Baru R.Santai Lt.1</t>
  </si>
  <si>
    <t>0053-0072</t>
  </si>
  <si>
    <t>1 PK Merk SAMSUNG Tipe AS09TUQN</t>
  </si>
  <si>
    <t>Asrama Baru Lt. 2</t>
  </si>
  <si>
    <t>1 PK Merk SHARP tipe AH-A9MEY</t>
  </si>
  <si>
    <t>0074-0087</t>
  </si>
  <si>
    <t>0088-0106</t>
  </si>
  <si>
    <t>0107-0114</t>
  </si>
  <si>
    <t>0115-0116</t>
  </si>
  <si>
    <t>0117-0118</t>
  </si>
  <si>
    <t>0119-0120</t>
  </si>
  <si>
    <t>0121-0122</t>
  </si>
  <si>
    <t>0123</t>
  </si>
  <si>
    <t>0124-0125</t>
  </si>
  <si>
    <t>0126-0127</t>
  </si>
  <si>
    <t>Bid.Fungsional</t>
  </si>
  <si>
    <t>0128-0129</t>
  </si>
  <si>
    <t>0130</t>
  </si>
  <si>
    <t>0131</t>
  </si>
  <si>
    <t>0132</t>
  </si>
  <si>
    <t>0133-0136</t>
  </si>
  <si>
    <t>0137</t>
  </si>
  <si>
    <t xml:space="preserve">AC 1,5 PK </t>
  </si>
  <si>
    <t>LG</t>
  </si>
  <si>
    <t>0138</t>
  </si>
  <si>
    <t>0139</t>
  </si>
  <si>
    <t>0140</t>
  </si>
  <si>
    <t>0141</t>
  </si>
  <si>
    <t xml:space="preserve">AC 1 PK </t>
  </si>
  <si>
    <t>0142</t>
  </si>
  <si>
    <t>0143</t>
  </si>
  <si>
    <t>0144</t>
  </si>
  <si>
    <t>0145-0146</t>
  </si>
  <si>
    <t xml:space="preserve">AC 0,5 PK </t>
  </si>
  <si>
    <t>0147-0148</t>
  </si>
  <si>
    <t>0149-0150</t>
  </si>
  <si>
    <t>0151-0152</t>
  </si>
  <si>
    <t>0153</t>
  </si>
  <si>
    <t>Lobi Bawah</t>
  </si>
  <si>
    <t>0154-0155</t>
  </si>
  <si>
    <t>0156-0157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</si>
  <si>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</si>
  <si>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</si>
  <si>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</si>
  <si>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</si>
  <si>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</si>
  <si>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</si>
  <si>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</si>
  <si>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</si>
  <si>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</si>
  <si>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0167-0168</t>
  </si>
  <si>
    <t>LSP(Asrama Kamboja)</t>
  </si>
  <si>
    <t>0169</t>
  </si>
  <si>
    <t>0170-0171</t>
  </si>
  <si>
    <t>AC Standing 5 PK</t>
  </si>
  <si>
    <t>Polytron</t>
  </si>
  <si>
    <t>0014-0015</t>
  </si>
  <si>
    <t>0016-0019</t>
  </si>
  <si>
    <t>Aula utama</t>
  </si>
  <si>
    <t>Ac Standing</t>
  </si>
  <si>
    <t>Gree</t>
  </si>
  <si>
    <t>0016-0017</t>
  </si>
  <si>
    <t xml:space="preserve">AC Split 2 PK </t>
  </si>
  <si>
    <t xml:space="preserve">AC Split 1 PK </t>
  </si>
  <si>
    <t>Ruang Arsip</t>
  </si>
  <si>
    <t>0019-0020</t>
  </si>
  <si>
    <t xml:space="preserve">AC Split </t>
  </si>
  <si>
    <t>Sharp AH-18UCY</t>
  </si>
  <si>
    <t>Kelas III</t>
  </si>
  <si>
    <t>Kepegawaian</t>
  </si>
  <si>
    <t>0023</t>
  </si>
  <si>
    <t>Polytron Neuva Deluxe 2 Tipe PAC 18 VG, 2 PK</t>
  </si>
  <si>
    <t>0024</t>
  </si>
  <si>
    <t>Kelas II</t>
  </si>
  <si>
    <t>0025</t>
  </si>
  <si>
    <t>Ruang Kesehatan</t>
  </si>
  <si>
    <t>Ruang Server</t>
  </si>
  <si>
    <t>panasonic Type CS-YN9TKJ</t>
  </si>
  <si>
    <t>0037-0038</t>
  </si>
  <si>
    <t>0039-0051</t>
  </si>
  <si>
    <t>Rumdis</t>
  </si>
  <si>
    <t>0052-0054</t>
  </si>
  <si>
    <t>Panasonic Type CS-YN9TKJ</t>
  </si>
  <si>
    <t>0055-0056</t>
  </si>
  <si>
    <t>0057-0058</t>
  </si>
  <si>
    <t>Bestlife</t>
  </si>
  <si>
    <t>0061</t>
  </si>
  <si>
    <t>0062</t>
  </si>
  <si>
    <t>0063</t>
  </si>
  <si>
    <t>Asrama Flamboyan</t>
  </si>
  <si>
    <t>0064-0068</t>
  </si>
  <si>
    <t>R. SKPK, R.PKM, Resepsionis, R. WI &amp; R. Kelas I</t>
  </si>
  <si>
    <t>0069-0073</t>
  </si>
  <si>
    <t>Daikin</t>
  </si>
  <si>
    <t>AC Ceilling Cassete</t>
  </si>
  <si>
    <t>Aux ALCA-C24/4R1E</t>
  </si>
  <si>
    <t>AUX 210000 BTU</t>
  </si>
  <si>
    <t>Aula I (Utama)</t>
  </si>
  <si>
    <t>Air Purifier (air cleaner)</t>
  </si>
  <si>
    <t>Ruang Kaban</t>
  </si>
  <si>
    <t xml:space="preserve">Amplifier </t>
  </si>
  <si>
    <t>TOA 180W/120W</t>
  </si>
  <si>
    <t>Mushala</t>
  </si>
  <si>
    <t>0521-0522</t>
  </si>
  <si>
    <t>Bantal</t>
  </si>
  <si>
    <t>Merlin</t>
  </si>
  <si>
    <t>0523-0540</t>
  </si>
  <si>
    <t>0541-0547</t>
  </si>
  <si>
    <t>Asrama Cempaka</t>
  </si>
  <si>
    <t>0548-0554</t>
  </si>
  <si>
    <t>0555-0561</t>
  </si>
  <si>
    <t>0562-0568</t>
  </si>
  <si>
    <t>Asrama Mawar</t>
  </si>
  <si>
    <t>0569-0575</t>
  </si>
  <si>
    <t>Asrama Melati</t>
  </si>
  <si>
    <t>0576-0582</t>
  </si>
  <si>
    <t>Asrama raflesia</t>
  </si>
  <si>
    <t>0583-0618</t>
  </si>
  <si>
    <t>0619-0625</t>
  </si>
  <si>
    <t>Asrama seroja</t>
  </si>
  <si>
    <t>0623-0662</t>
  </si>
  <si>
    <t>Barak I</t>
  </si>
  <si>
    <t>0663-0702</t>
  </si>
  <si>
    <t>Barak II</t>
  </si>
  <si>
    <t>0703-0807</t>
  </si>
  <si>
    <t>0808-01007</t>
  </si>
  <si>
    <t xml:space="preserve">Bantal </t>
  </si>
  <si>
    <t>Gudang kasur</t>
  </si>
  <si>
    <t>01008-01047</t>
  </si>
  <si>
    <t>Asrama Baru Lt.2</t>
  </si>
  <si>
    <t>0001-0064</t>
  </si>
  <si>
    <t>Bed Cover Single bed</t>
  </si>
  <si>
    <t>0065-0145</t>
  </si>
  <si>
    <t>0146-0217</t>
  </si>
  <si>
    <t>Crossover</t>
  </si>
  <si>
    <t xml:space="preserve"> DBX 234</t>
  </si>
  <si>
    <t>0001-0050</t>
  </si>
  <si>
    <t>Connector</t>
  </si>
  <si>
    <t>seetronik  connector XLR</t>
  </si>
  <si>
    <t>Clip On</t>
  </si>
  <si>
    <t>DVD</t>
  </si>
  <si>
    <t>As. Baru R. Santai Lt.1</t>
  </si>
  <si>
    <t>Dispenser dan Galon</t>
  </si>
  <si>
    <t>Sanex</t>
  </si>
  <si>
    <t>0003-0004</t>
  </si>
  <si>
    <t>0005-0006</t>
  </si>
  <si>
    <t>Asrama Baru</t>
  </si>
  <si>
    <t>Dispenser</t>
  </si>
  <si>
    <t>Sharp</t>
  </si>
  <si>
    <t>Ruangan Kaban</t>
  </si>
  <si>
    <t>Ruangan Sekban</t>
  </si>
  <si>
    <t>Ruangan subbag Umum</t>
  </si>
  <si>
    <t>Ruangan subbag Keuangan</t>
  </si>
  <si>
    <t>Ruangan subbag Program</t>
  </si>
  <si>
    <t>Ruangan Bidang Teknis Inti</t>
  </si>
  <si>
    <t>Ruangan Bidang Teknis Umum</t>
  </si>
  <si>
    <t>Ruangan Bidang sertifikasi</t>
  </si>
  <si>
    <t>Ruangan Bidang Manajerial</t>
  </si>
  <si>
    <t>Ruangan Widyaiswara</t>
  </si>
  <si>
    <t>Sharp Tipe SWD-72 EHL-BK</t>
  </si>
  <si>
    <t>Equalizer</t>
  </si>
  <si>
    <t xml:space="preserve"> Behringer 3102</t>
  </si>
  <si>
    <t xml:space="preserve">Equalizer </t>
  </si>
  <si>
    <t>0034-0047</t>
  </si>
  <si>
    <t>Exhaust Fan</t>
  </si>
  <si>
    <t>GMC</t>
  </si>
  <si>
    <t>0048-0065</t>
  </si>
  <si>
    <t>0066-0067</t>
  </si>
  <si>
    <t>0001-0003</t>
  </si>
  <si>
    <t>Filter penjernih air</t>
  </si>
  <si>
    <t>NANOTEC Size 1054</t>
  </si>
  <si>
    <t>Gantungan Buku Alumunium</t>
  </si>
  <si>
    <t>Almunium</t>
  </si>
  <si>
    <t>1148-1202</t>
  </si>
  <si>
    <t xml:space="preserve">Gorden </t>
  </si>
  <si>
    <t>Total</t>
  </si>
  <si>
    <t>1550</t>
  </si>
  <si>
    <t>Melati Prisket dan Kupu-Kupu</t>
  </si>
  <si>
    <t>0699-1147</t>
  </si>
  <si>
    <t>Gorden dan Gantungan</t>
  </si>
  <si>
    <t>Kain/Stenlis</t>
  </si>
  <si>
    <t>1203-1547</t>
  </si>
  <si>
    <t>Gorden Tipe Kupu-kupu</t>
  </si>
  <si>
    <t>Gorden Tipe Smorckring</t>
  </si>
  <si>
    <t>Ruang Aula II</t>
  </si>
  <si>
    <t>Handycam</t>
  </si>
  <si>
    <t>SONY / DCR-PJ5E</t>
  </si>
  <si>
    <t>Jack Connector</t>
  </si>
  <si>
    <t>Aimp</t>
  </si>
  <si>
    <t>0017-27</t>
  </si>
  <si>
    <t>Jack Kabel Mic</t>
  </si>
  <si>
    <t>Newtrik</t>
  </si>
  <si>
    <t>Jaringan Internet</t>
  </si>
  <si>
    <t>Kabel L2 DLL</t>
  </si>
  <si>
    <t>UTP</t>
  </si>
  <si>
    <t>roll</t>
  </si>
  <si>
    <t>Kabel Mic</t>
  </si>
  <si>
    <t>Canary</t>
  </si>
  <si>
    <t>Kabel Power Instalasi Jaringan</t>
  </si>
  <si>
    <t>NYA</t>
  </si>
  <si>
    <t>Kabel Snack/Jack Connector Mic Meja</t>
  </si>
  <si>
    <t>Kabel Speaker</t>
  </si>
  <si>
    <t>Monster Audio</t>
  </si>
  <si>
    <t>Kabel Speaker 2 x 120</t>
  </si>
  <si>
    <t>0007-0009</t>
  </si>
  <si>
    <t>Kabel Speaker 2 x 80</t>
  </si>
  <si>
    <t>Canare 15 M</t>
  </si>
  <si>
    <t>SEO</t>
  </si>
  <si>
    <t>Kamera Digital</t>
  </si>
  <si>
    <t>D7100 (18-105 VR Kit)</t>
  </si>
  <si>
    <t>Karpet</t>
  </si>
  <si>
    <t>Buana</t>
  </si>
  <si>
    <t>Benang</t>
  </si>
  <si>
    <t>Karpet/Sajadah Mesjid</t>
  </si>
  <si>
    <t>Shafira</t>
  </si>
  <si>
    <t>Musholla/Mesjid</t>
  </si>
  <si>
    <t>Crown</t>
  </si>
  <si>
    <t>R. Belajar</t>
  </si>
  <si>
    <t>0081-0165</t>
  </si>
  <si>
    <t xml:space="preserve">Kasur </t>
  </si>
  <si>
    <t>0001-0007</t>
  </si>
  <si>
    <t>Kasur Springbed Single Bed</t>
  </si>
  <si>
    <t>Winner Type Inova Earth</t>
  </si>
  <si>
    <t>Busa</t>
  </si>
  <si>
    <t>0008-0014</t>
  </si>
  <si>
    <t>0015-0019</t>
  </si>
  <si>
    <t>0020-0026</t>
  </si>
  <si>
    <t>0027-0033</t>
  </si>
  <si>
    <t>0034-0040</t>
  </si>
  <si>
    <t>0041-0080</t>
  </si>
  <si>
    <t>0081-0120</t>
  </si>
  <si>
    <t>00121-0156</t>
  </si>
  <si>
    <t>Spring Bed Olimpic Leslie</t>
  </si>
  <si>
    <t>Olimpic Leslie</t>
  </si>
  <si>
    <t>00157-0184</t>
  </si>
  <si>
    <t>Kulkas</t>
  </si>
  <si>
    <t>SHARP</t>
  </si>
  <si>
    <t>0001-0040</t>
  </si>
  <si>
    <t>Kursi Belajar</t>
  </si>
  <si>
    <t>VIOS</t>
  </si>
  <si>
    <t>0041-0070</t>
  </si>
  <si>
    <t>0071-0100</t>
  </si>
  <si>
    <t>0101-0130</t>
  </si>
  <si>
    <t>0131-0160</t>
  </si>
  <si>
    <t>0161-0200</t>
  </si>
  <si>
    <t>0201-0242</t>
  </si>
  <si>
    <t>Kursi Belajar (Putar)</t>
  </si>
  <si>
    <t>Junior Tipe JS 3017</t>
  </si>
  <si>
    <t>Besi/plastik</t>
  </si>
  <si>
    <t>0243-0282</t>
  </si>
  <si>
    <t>Babyku Tipe BS-8002</t>
  </si>
  <si>
    <t>0167-0229</t>
  </si>
  <si>
    <t>Kursi Biasa</t>
  </si>
  <si>
    <t>R. Makan/ Kantin II</t>
  </si>
  <si>
    <t>Kursi makan / interior</t>
  </si>
  <si>
    <t>Kantin II</t>
  </si>
  <si>
    <t>0021-0100</t>
  </si>
  <si>
    <t>As. Baru R. Makan Lt.1</t>
  </si>
  <si>
    <t>0100-0180</t>
  </si>
  <si>
    <t>Kursi Makan Kayu Solid</t>
  </si>
  <si>
    <t>Sands</t>
  </si>
  <si>
    <t>Kantin I</t>
  </si>
  <si>
    <t>0181-0200</t>
  </si>
  <si>
    <t>0073-0087</t>
  </si>
  <si>
    <t>Kursi Putar</t>
  </si>
  <si>
    <t>ISABEL</t>
  </si>
  <si>
    <t>0088-0097</t>
  </si>
  <si>
    <t>Isabel</t>
  </si>
  <si>
    <t>0098-0103</t>
  </si>
  <si>
    <t>0104</t>
  </si>
  <si>
    <t>Bid. Fungsional</t>
  </si>
  <si>
    <t>0105</t>
  </si>
  <si>
    <t>0106</t>
  </si>
  <si>
    <t>0107-0108</t>
  </si>
  <si>
    <t>0109</t>
  </si>
  <si>
    <t>0110-0153</t>
  </si>
  <si>
    <t>0223-0230</t>
  </si>
  <si>
    <t>Kursi putar</t>
  </si>
  <si>
    <t>Besi/plastik/Busa</t>
  </si>
  <si>
    <t xml:space="preserve">Asrama I </t>
  </si>
  <si>
    <t>0231-0238</t>
  </si>
  <si>
    <t>Kursi Tamu</t>
  </si>
  <si>
    <t>Koblen</t>
  </si>
  <si>
    <t>Asrama Anggrek</t>
  </si>
  <si>
    <t>Rmh Dinas Kaban</t>
  </si>
  <si>
    <t>Kursi tunggu</t>
  </si>
  <si>
    <t>lokal</t>
  </si>
  <si>
    <t>0004-0010</t>
  </si>
  <si>
    <t>ATOM GANG CHAIR AS SILVER</t>
  </si>
  <si>
    <t>Selasar</t>
  </si>
  <si>
    <t>0011-0013</t>
  </si>
  <si>
    <t>Kursi</t>
  </si>
  <si>
    <t>Kamera Digital (pocket)</t>
  </si>
  <si>
    <t>Canon</t>
  </si>
  <si>
    <t>Bidang Struktural</t>
  </si>
  <si>
    <t>0013-0048</t>
  </si>
  <si>
    <t>Kipas Angin (dinding)</t>
  </si>
  <si>
    <t>Maspion</t>
  </si>
  <si>
    <t>Asrama Kenanga</t>
  </si>
  <si>
    <t>0039</t>
  </si>
  <si>
    <t xml:space="preserve">Lemari Pakaian  </t>
  </si>
  <si>
    <t>0040-0053</t>
  </si>
  <si>
    <t>0054</t>
  </si>
  <si>
    <t>0055-0071</t>
  </si>
  <si>
    <t>0073-0080</t>
  </si>
  <si>
    <t>0081-0088</t>
  </si>
  <si>
    <t>Lemari / interior</t>
  </si>
  <si>
    <t>Lemari gantung / interior</t>
  </si>
  <si>
    <t xml:space="preserve">Lemari Kayu </t>
  </si>
  <si>
    <t>Lemari Pakaian / interior</t>
  </si>
  <si>
    <t>Meja counter / interior</t>
  </si>
  <si>
    <t>Lobi Asrama Baru</t>
  </si>
  <si>
    <t xml:space="preserve">Meja Kayu </t>
  </si>
  <si>
    <t>0002-0002</t>
  </si>
  <si>
    <t>0003-0008</t>
  </si>
  <si>
    <t>Bid, Fungsional</t>
  </si>
  <si>
    <t>0009-0017</t>
  </si>
  <si>
    <t>0018-0023</t>
  </si>
  <si>
    <t>0024-0029</t>
  </si>
  <si>
    <t>0030-0056</t>
  </si>
  <si>
    <t>0057-0062</t>
  </si>
  <si>
    <t>0063-0064</t>
  </si>
  <si>
    <t>Grand</t>
  </si>
  <si>
    <t>0065-0089</t>
  </si>
  <si>
    <t>0091-0106</t>
  </si>
  <si>
    <t>Oliver</t>
  </si>
  <si>
    <t>Meja makan / interior</t>
  </si>
  <si>
    <t>0006-0025</t>
  </si>
  <si>
    <t>As, Baru R. Makan Lt.1</t>
  </si>
  <si>
    <t>0026-0027</t>
  </si>
  <si>
    <t>Meja Makan Besar Oval</t>
  </si>
  <si>
    <t>0028-0032</t>
  </si>
  <si>
    <t>Meja Makan Bulat</t>
  </si>
  <si>
    <t>0033-0052</t>
  </si>
  <si>
    <t>0001-0036</t>
  </si>
  <si>
    <t>Meja meeting / interior</t>
  </si>
  <si>
    <t>Meja nakas / interior</t>
  </si>
  <si>
    <t>Meja Prasmanan</t>
  </si>
  <si>
    <t>Meja Prasmanan / interior</t>
  </si>
  <si>
    <t>0005-0014</t>
  </si>
  <si>
    <t>Aula I {utama)</t>
  </si>
  <si>
    <t>Meja Samping 2 pintu</t>
  </si>
  <si>
    <t>0004-0006</t>
  </si>
  <si>
    <t>0010-0012</t>
  </si>
  <si>
    <t>0081-0086</t>
  </si>
  <si>
    <t>Meja Tulis</t>
  </si>
  <si>
    <t>0087</t>
  </si>
  <si>
    <t>Meja TV / interior</t>
  </si>
  <si>
    <t>0002-0021</t>
  </si>
  <si>
    <t>Meja Perpustakaan</t>
  </si>
  <si>
    <t>Meja pengajar</t>
  </si>
  <si>
    <t>Meja</t>
  </si>
  <si>
    <t xml:space="preserve">Mesin Pompa Air </t>
  </si>
  <si>
    <t>Shimizu PS 130 Bit</t>
  </si>
  <si>
    <t>Speroni SP SM98-5 A</t>
  </si>
  <si>
    <t xml:space="preserve">SANYO PH 137A </t>
  </si>
  <si>
    <t>Barak I, II</t>
  </si>
  <si>
    <t xml:space="preserve">SANYO PH 130B </t>
  </si>
  <si>
    <t>0007-0008</t>
  </si>
  <si>
    <t>Mesin Pompa Air (Jet Pump)</t>
  </si>
  <si>
    <t>Sanyo</t>
  </si>
  <si>
    <t>Asrama</t>
  </si>
  <si>
    <t>GRUNDFOS Tipe NS 30-18</t>
  </si>
  <si>
    <t>Mesin Pompa Air</t>
  </si>
  <si>
    <t>GRUNDFOS Tipe D Basic</t>
  </si>
  <si>
    <t xml:space="preserve">Kantor </t>
  </si>
  <si>
    <t xml:space="preserve">Mic </t>
  </si>
  <si>
    <t>Beta 58A</t>
  </si>
  <si>
    <t>EV PL 24 + 10 M</t>
  </si>
  <si>
    <t>0004-0043</t>
  </si>
  <si>
    <t>Mic Meja</t>
  </si>
  <si>
    <t>Atec</t>
  </si>
  <si>
    <t xml:space="preserve">Mic wireless </t>
  </si>
  <si>
    <t>Shure PGX58</t>
  </si>
  <si>
    <t>R. Belajar I, II, III</t>
  </si>
  <si>
    <t>SVX 288/PG 58</t>
  </si>
  <si>
    <t xml:space="preserve">Mic Wireles </t>
  </si>
  <si>
    <t>PG-58</t>
  </si>
  <si>
    <t>As. Baru R. Santai Lt.3</t>
  </si>
  <si>
    <t>0001-0004</t>
  </si>
  <si>
    <t>Wireless Microphone</t>
  </si>
  <si>
    <t>Shure</t>
  </si>
  <si>
    <t>Asrama baru L.1</t>
  </si>
  <si>
    <t>0005-0007</t>
  </si>
  <si>
    <t>Asrama baru L.3</t>
  </si>
  <si>
    <t xml:space="preserve">Merk BMB TIPE WN1000 </t>
  </si>
  <si>
    <t>Aula Utama, R. Belajar I</t>
  </si>
  <si>
    <t>QA Electronic</t>
  </si>
  <si>
    <t>Kelas, Lab. Komputer, aula II</t>
  </si>
  <si>
    <t>Mixer 8 CH</t>
  </si>
  <si>
    <t>Yamaha</t>
  </si>
  <si>
    <t xml:space="preserve">Mixer </t>
  </si>
  <si>
    <t>Yamaha 166 CX</t>
  </si>
  <si>
    <t>0002-0004</t>
  </si>
  <si>
    <t>Mixer</t>
  </si>
  <si>
    <t xml:space="preserve">Huzler Mini 8 Channel </t>
  </si>
  <si>
    <t>0001-0010</t>
  </si>
  <si>
    <t>Mouse</t>
  </si>
  <si>
    <t>Microphone Wireless</t>
  </si>
  <si>
    <t>BBQ</t>
  </si>
  <si>
    <t>Mushola</t>
  </si>
  <si>
    <t>Meubeleur</t>
  </si>
  <si>
    <t xml:space="preserve">Wireless microphone </t>
  </si>
  <si>
    <t>harwell audio HU 8800</t>
  </si>
  <si>
    <t>Mipro</t>
  </si>
  <si>
    <t xml:space="preserve">R. Sound </t>
  </si>
  <si>
    <t>MiPRO ACT-717B</t>
  </si>
  <si>
    <t>0081-0082</t>
  </si>
  <si>
    <t>Papan Flip Chart</t>
  </si>
  <si>
    <t>0083-0084</t>
  </si>
  <si>
    <t>0085</t>
  </si>
  <si>
    <t>0086</t>
  </si>
  <si>
    <t>0088</t>
  </si>
  <si>
    <t xml:space="preserve">(60 x 90) MERK SAKANA </t>
  </si>
  <si>
    <t>Aluminium</t>
  </si>
  <si>
    <t>0092</t>
  </si>
  <si>
    <t>0093</t>
  </si>
  <si>
    <t>0094</t>
  </si>
  <si>
    <t>R. Belajar V</t>
  </si>
  <si>
    <t>0095</t>
  </si>
  <si>
    <t>R. Belajar VI</t>
  </si>
  <si>
    <t>Papan Tulis</t>
  </si>
  <si>
    <t>Triplek</t>
  </si>
  <si>
    <t>Pintu Tembesu</t>
  </si>
  <si>
    <t>R. Makan /Kantin III</t>
  </si>
  <si>
    <t>Podium</t>
  </si>
  <si>
    <t>Kombinasi</t>
  </si>
  <si>
    <t>Podium / interior</t>
  </si>
  <si>
    <t>R. Belajar Asrma Baru L.3</t>
  </si>
  <si>
    <t xml:space="preserve">Power Mixer </t>
  </si>
  <si>
    <t>Soundance</t>
  </si>
  <si>
    <t>unit</t>
  </si>
  <si>
    <t>Power</t>
  </si>
  <si>
    <t xml:space="preserve"> Soundance PA 500 (2800w)</t>
  </si>
  <si>
    <t xml:space="preserve">Power </t>
  </si>
  <si>
    <t>VP-7200</t>
  </si>
  <si>
    <t>R.Belajar Asrama baru L.3</t>
  </si>
  <si>
    <t>R.Belajar Asrama baru L.1</t>
  </si>
  <si>
    <t xml:space="preserve">Rack Hardcase </t>
  </si>
  <si>
    <t>12U</t>
  </si>
  <si>
    <t>Racun Api</t>
  </si>
  <si>
    <t>Safari</t>
  </si>
  <si>
    <t>Pos jaga Belakang</t>
  </si>
  <si>
    <t>Asrama Sultan Thaha</t>
  </si>
  <si>
    <t>Asrama Aster &amp; Selasih</t>
  </si>
  <si>
    <t>Rak Buku</t>
  </si>
  <si>
    <t>Sofa Tamu</t>
  </si>
  <si>
    <t>Kayu/busa</t>
  </si>
  <si>
    <t xml:space="preserve">Sofa </t>
  </si>
  <si>
    <t>Morres A-87</t>
  </si>
  <si>
    <t>Asarama baru L.1</t>
  </si>
  <si>
    <t>Lobi atas Kantor</t>
  </si>
  <si>
    <t>R. Aula Utama</t>
  </si>
  <si>
    <t>Asrama aster</t>
  </si>
  <si>
    <t>Asrama baru</t>
  </si>
  <si>
    <t>Sound System</t>
  </si>
  <si>
    <t>Pro Line</t>
  </si>
  <si>
    <t>Behringer</t>
  </si>
  <si>
    <t>Speaker &amp; Amplifer</t>
  </si>
  <si>
    <t>Tango</t>
  </si>
  <si>
    <t>K. Satpam</t>
  </si>
  <si>
    <t xml:space="preserve">Speaker </t>
  </si>
  <si>
    <t>Soundance 12" (600w)</t>
  </si>
  <si>
    <t>0005-0008</t>
  </si>
  <si>
    <t>Soundance 15" (800w)</t>
  </si>
  <si>
    <t>0009-0012</t>
  </si>
  <si>
    <t>0013-0016</t>
  </si>
  <si>
    <t>Soundace 10" + Brecket</t>
  </si>
  <si>
    <t>Asrama Baru L.3</t>
  </si>
  <si>
    <t>Speaker</t>
  </si>
  <si>
    <t xml:space="preserve"> B3ui5a</t>
  </si>
  <si>
    <t>0241-0360</t>
  </si>
  <si>
    <t xml:space="preserve">Sprey </t>
  </si>
  <si>
    <t>G. Kasur</t>
  </si>
  <si>
    <t>0361-0400</t>
  </si>
  <si>
    <t>Asrama Baru L.2</t>
  </si>
  <si>
    <t>0401-0420</t>
  </si>
  <si>
    <t>Sprei Single bed</t>
  </si>
  <si>
    <t>0421-0440</t>
  </si>
  <si>
    <t>0441-0450</t>
  </si>
  <si>
    <t>0451-0470</t>
  </si>
  <si>
    <t>0471-0490</t>
  </si>
  <si>
    <t>0491-0510</t>
  </si>
  <si>
    <t>0511-0530</t>
  </si>
  <si>
    <t>0531-0550</t>
  </si>
  <si>
    <t>0551-0590</t>
  </si>
  <si>
    <t>0591-0630</t>
  </si>
  <si>
    <t>Spring Bed</t>
  </si>
  <si>
    <t xml:space="preserve">Springbed Single Bed </t>
  </si>
  <si>
    <t>BIGLAND</t>
  </si>
  <si>
    <t>0083-0111</t>
  </si>
  <si>
    <t>0112-0113</t>
  </si>
  <si>
    <t>0114-0150</t>
  </si>
  <si>
    <t xml:space="preserve">Stand mic </t>
  </si>
  <si>
    <t>Stand Mic Meja</t>
  </si>
  <si>
    <t>Stand Mic Shenheiser</t>
  </si>
  <si>
    <t>Asrama Baru L.1</t>
  </si>
  <si>
    <t xml:space="preserve">Stand Tripod speaker </t>
  </si>
  <si>
    <t>Recbo</t>
  </si>
  <si>
    <t>0011-0012</t>
  </si>
  <si>
    <t>Stand Speaker</t>
  </si>
  <si>
    <t xml:space="preserve">Subwoofer </t>
  </si>
  <si>
    <t>Soundance 18" active</t>
  </si>
  <si>
    <t xml:space="preserve">Speaker Subwofer </t>
  </si>
  <si>
    <t>b3 18A</t>
  </si>
  <si>
    <t>Switch Hub 24 Pord</t>
  </si>
  <si>
    <t>0002-0006</t>
  </si>
  <si>
    <t xml:space="preserve">Switch Hub </t>
  </si>
  <si>
    <t>TP-Link 24 Port Gigabit Switch (TL-SG1024)</t>
  </si>
  <si>
    <t>Speaker Monitor KB</t>
  </si>
  <si>
    <t>Roland</t>
  </si>
  <si>
    <t>KC-550</t>
  </si>
  <si>
    <t>Speaker Aktif</t>
  </si>
  <si>
    <t>Kelas VI</t>
  </si>
  <si>
    <t>0009-0013</t>
  </si>
  <si>
    <t>Baretone 1015SE</t>
  </si>
  <si>
    <t xml:space="preserve">Tangki Air   </t>
  </si>
  <si>
    <t>Master/ukuran 900 liter</t>
  </si>
  <si>
    <t xml:space="preserve">Tangki Air </t>
  </si>
  <si>
    <t xml:space="preserve">Televisi </t>
  </si>
  <si>
    <t>Toshiba 37"</t>
  </si>
  <si>
    <t>0011-0020</t>
  </si>
  <si>
    <t xml:space="preserve">LCD 24" SHARP Aquos </t>
  </si>
  <si>
    <t>Asrama Baru Lantai 2</t>
  </si>
  <si>
    <t>32" TOSHIBA</t>
  </si>
  <si>
    <t>R.Makan/ Kantin I</t>
  </si>
  <si>
    <t>R.M asrama baru L.1</t>
  </si>
  <si>
    <t>0026-0039</t>
  </si>
  <si>
    <t>0040</t>
  </si>
  <si>
    <t>LCD 40" Samsung Series</t>
  </si>
  <si>
    <t>0043</t>
  </si>
  <si>
    <t>LCD 32" Sharp Aquos</t>
  </si>
  <si>
    <t>R.Makan/ Kantin II</t>
  </si>
  <si>
    <t>0044</t>
  </si>
  <si>
    <t xml:space="preserve">Samsung/LED 32" </t>
  </si>
  <si>
    <t>0045</t>
  </si>
  <si>
    <t>Samsung H5100 32"</t>
  </si>
  <si>
    <t>0046</t>
  </si>
  <si>
    <t>Sharp 32"</t>
  </si>
  <si>
    <t>0049</t>
  </si>
  <si>
    <t>0050</t>
  </si>
  <si>
    <t>0051</t>
  </si>
  <si>
    <t>Sharp 29"</t>
  </si>
  <si>
    <t>0052</t>
  </si>
  <si>
    <t>0053-0054</t>
  </si>
  <si>
    <t>0055-0058</t>
  </si>
  <si>
    <t>Sharp 43"</t>
  </si>
  <si>
    <t>Samsung 65"</t>
  </si>
  <si>
    <t>R.Rapat</t>
  </si>
  <si>
    <t>Tempat Tidur Kayu Lengkap</t>
  </si>
  <si>
    <t xml:space="preserve">Barak I </t>
  </si>
  <si>
    <t>0081-0084</t>
  </si>
  <si>
    <t>0085-0088</t>
  </si>
  <si>
    <t>0089-0092</t>
  </si>
  <si>
    <t>0093-0096</t>
  </si>
  <si>
    <t>0097-0100</t>
  </si>
  <si>
    <t>0101-0140</t>
  </si>
  <si>
    <t>Tempat tidur kayu / interior</t>
  </si>
  <si>
    <t>Asrama baru L.2</t>
  </si>
  <si>
    <t>Tangga Alumunium Besar</t>
  </si>
  <si>
    <t>Tangga Alumunium Kecil</t>
  </si>
  <si>
    <t>Vertical blind</t>
  </si>
  <si>
    <t>White Board</t>
  </si>
  <si>
    <t>120 cm X 240 cm</t>
  </si>
  <si>
    <t>121 cm X 240 cm</t>
  </si>
  <si>
    <t>122 cm X 240 cm</t>
  </si>
  <si>
    <t>123 cm X 240 cm</t>
  </si>
  <si>
    <t>124 cm X 240 cm</t>
  </si>
  <si>
    <t>125 cm X 240 cm</t>
  </si>
  <si>
    <t>Wastafel aluminium</t>
  </si>
  <si>
    <t>Kantor</t>
  </si>
  <si>
    <t>Wastafel Galon</t>
  </si>
  <si>
    <t>Plastik/Besi</t>
  </si>
  <si>
    <t>1.3.2.05.03</t>
  </si>
  <si>
    <t>MEJA DAN KURSI KERJA/RAPAT PEJABAT</t>
  </si>
  <si>
    <t>0001-0014</t>
  </si>
  <si>
    <t>Kursi Kerja Putar sandaran lengan</t>
  </si>
  <si>
    <t>Frontline</t>
  </si>
  <si>
    <t>0015-0032</t>
  </si>
  <si>
    <t>0035-0038</t>
  </si>
  <si>
    <t xml:space="preserve">Kursi Kerja Putar </t>
  </si>
  <si>
    <t>Aula  Utama</t>
  </si>
  <si>
    <t>0154-0158</t>
  </si>
  <si>
    <t>Kursi Putar (Kursi Kerja Staff ( Type Sekretaris )</t>
  </si>
  <si>
    <t>MP</t>
  </si>
  <si>
    <t>0159-0164</t>
  </si>
  <si>
    <t>0165-0169</t>
  </si>
  <si>
    <t>0170-0174</t>
  </si>
  <si>
    <t>0175-0179</t>
  </si>
  <si>
    <t>0180-0181</t>
  </si>
  <si>
    <t>0182-0190</t>
  </si>
  <si>
    <t>0191-0192</t>
  </si>
  <si>
    <t>0193-0195</t>
  </si>
  <si>
    <t>0196-0197</t>
  </si>
  <si>
    <t>0198</t>
  </si>
  <si>
    <t>Pos Jaga</t>
  </si>
  <si>
    <t>0199-0201</t>
  </si>
  <si>
    <t>Kursi Putar (Kursi kerja Type Manajer)</t>
  </si>
  <si>
    <t>0202-0204</t>
  </si>
  <si>
    <t>0205-0207</t>
  </si>
  <si>
    <t>0208-0210</t>
  </si>
  <si>
    <t>0211</t>
  </si>
  <si>
    <t>0212</t>
  </si>
  <si>
    <t>0213</t>
  </si>
  <si>
    <t>0214</t>
  </si>
  <si>
    <t>0215-0220</t>
  </si>
  <si>
    <t>0221</t>
  </si>
  <si>
    <t>Kursi Putar (Kursi Kerja Type Direktur)</t>
  </si>
  <si>
    <t>0222</t>
  </si>
  <si>
    <t>0061-0066</t>
  </si>
  <si>
    <t>Kursi Rapat</t>
  </si>
  <si>
    <t>Nikel / Futura</t>
  </si>
  <si>
    <t>0067-0079</t>
  </si>
  <si>
    <t>0080-0081</t>
  </si>
  <si>
    <t>Dapur</t>
  </si>
  <si>
    <t>0082-0084</t>
  </si>
  <si>
    <t>R. Kesehatan</t>
  </si>
  <si>
    <t>0085-0090</t>
  </si>
  <si>
    <t>0091-0098</t>
  </si>
  <si>
    <t>0061-0100</t>
  </si>
  <si>
    <t>0101-0200</t>
  </si>
  <si>
    <t>0201-0218</t>
  </si>
  <si>
    <t>Brother</t>
  </si>
  <si>
    <t>0219-0220</t>
  </si>
  <si>
    <t>Meja Kerja</t>
  </si>
  <si>
    <t xml:space="preserve">Set </t>
  </si>
  <si>
    <t>Meja Kerja 1 Biro</t>
  </si>
  <si>
    <t>0013-0015</t>
  </si>
  <si>
    <t>0016-0018</t>
  </si>
  <si>
    <t>0026-0056</t>
  </si>
  <si>
    <t>Meja Kerja Staf</t>
  </si>
  <si>
    <t>Gudang Kasur</t>
  </si>
  <si>
    <t>Meja Rapat</t>
  </si>
  <si>
    <t>Meja 1/2 Biro</t>
  </si>
  <si>
    <t>Meja kerja dan Kursi putar</t>
  </si>
  <si>
    <t>1.3.2.06</t>
  </si>
  <si>
    <t>ALAT STUDIO, KOMUNIKASI DAN PEMANCAR</t>
  </si>
  <si>
    <t>1.3.2.06.01</t>
  </si>
  <si>
    <t>ALAT STUDIO</t>
  </si>
  <si>
    <t>1.3.2.06.02</t>
  </si>
  <si>
    <t>ALAT KOMUNIKASI</t>
  </si>
  <si>
    <t>Intalasi Telephone lantai I gedung baru</t>
  </si>
  <si>
    <t>Intalasi Telephone lantai II gedung baru</t>
  </si>
  <si>
    <t>Handy Talkie (HT)</t>
  </si>
  <si>
    <t xml:space="preserve">KENWOOD 3277 </t>
  </si>
  <si>
    <t>Security</t>
  </si>
  <si>
    <t>1.3.2.06.03</t>
  </si>
  <si>
    <t>PERALATAN PEMANCAR</t>
  </si>
  <si>
    <t>1.3.2.06.04</t>
  </si>
  <si>
    <t xml:space="preserve">PERALATAN KOMUNIKASI NAVIGASI </t>
  </si>
  <si>
    <t>1.3.2.07</t>
  </si>
  <si>
    <t>ALAT KEDOKTERAN DAN KESEHATAN</t>
  </si>
  <si>
    <t>1.3.2.07.01</t>
  </si>
  <si>
    <t>ALAT KEDOKTERAN</t>
  </si>
  <si>
    <t>Thermo Gun</t>
  </si>
  <si>
    <t>Pos jaga depan</t>
  </si>
  <si>
    <t>Mutasi Dinkes</t>
  </si>
  <si>
    <t>1.3.2.07.02</t>
  </si>
  <si>
    <t>ALAT KESEHATAN UMUM</t>
  </si>
  <si>
    <t>1.3.2.08</t>
  </si>
  <si>
    <t>ALAT LABORATORIUM</t>
  </si>
  <si>
    <t>1.3.2.08.01</t>
  </si>
  <si>
    <t>UNIT ALAT LABORATORIUM</t>
  </si>
  <si>
    <t>1.3.2.08.02</t>
  </si>
  <si>
    <t>UNIT ALAT LABORATORIUM KIMIA NUKLIR</t>
  </si>
  <si>
    <t>1.3.2.08.03</t>
  </si>
  <si>
    <t>ALAT PERAGA PRAKTEK SEKOLAH</t>
  </si>
  <si>
    <t>1.3.2.08.04</t>
  </si>
  <si>
    <t>ALAT LABORATORIUM FISIKA NUKLIR/ELEKTRONIKA</t>
  </si>
  <si>
    <t>1.3.2.08.05</t>
  </si>
  <si>
    <t>ALAT PROTEKSI RADIASI/PROTEKSI LINGKUNGAN</t>
  </si>
  <si>
    <t>1.3.2.08.06</t>
  </si>
  <si>
    <t xml:space="preserve">RADIATION APPLICATION AND NON DESTRUCTIVE TESTING LABORATORY LAINNYA </t>
  </si>
  <si>
    <t>1.3.2.08.07</t>
  </si>
  <si>
    <t>ALAT LABORATORIUM LINGKUNGAN HIDUP</t>
  </si>
  <si>
    <t>1.3.2.08.08</t>
  </si>
  <si>
    <t xml:space="preserve">PERALATAN LABORATORIUM HYDRODINAMICA </t>
  </si>
  <si>
    <t>1.3.2.08.09</t>
  </si>
  <si>
    <t xml:space="preserve">ALAT LABORATORIUM STANDARISASI KALIBRASI DAN INSTRUMENTASI  </t>
  </si>
  <si>
    <t>1.3.2.09</t>
  </si>
  <si>
    <t>ALAT PERSENJATAAN</t>
  </si>
  <si>
    <t>1.3.2.09.01</t>
  </si>
  <si>
    <t xml:space="preserve">SENJATA API </t>
  </si>
  <si>
    <t>1.3.2.09.02</t>
  </si>
  <si>
    <t xml:space="preserve">PERSENJATAAN NON SENJATA API </t>
  </si>
  <si>
    <t>1.3.2.09.03</t>
  </si>
  <si>
    <t xml:space="preserve">SENJATA SINAR </t>
  </si>
  <si>
    <t>1.3.2.09.04</t>
  </si>
  <si>
    <t>ALAT KHUSUS KEPOLISIAN</t>
  </si>
  <si>
    <t>1.3.2.10</t>
  </si>
  <si>
    <t>KOMPUTER</t>
  </si>
  <si>
    <t>1.3.2.10.01</t>
  </si>
  <si>
    <t>KOMPUTER UNIT</t>
  </si>
  <si>
    <t xml:space="preserve">Laptop </t>
  </si>
  <si>
    <t>Toshiba</t>
  </si>
  <si>
    <t>Toshiba Satellite L730</t>
  </si>
  <si>
    <t>Toshiba Satellite C40-A114</t>
  </si>
  <si>
    <t>0020-0021</t>
  </si>
  <si>
    <t>Lenovo</t>
  </si>
  <si>
    <t>Asus</t>
  </si>
  <si>
    <t>HP</t>
  </si>
  <si>
    <t>Kasubbag. Program</t>
  </si>
  <si>
    <t>Kabid Struktural</t>
  </si>
  <si>
    <t>Kabid. MP</t>
  </si>
  <si>
    <t>Kabid. Teknis</t>
  </si>
  <si>
    <t>Kasub. Keuangan</t>
  </si>
  <si>
    <t>Kabid. Fungsional</t>
  </si>
  <si>
    <t>HP bp030TX</t>
  </si>
  <si>
    <t>Kepala Badan (Iskandar)</t>
  </si>
  <si>
    <t>PPK (Ermayeni)</t>
  </si>
  <si>
    <t>Pejabat Panitia Pengadaan (raden Ardiansyah)</t>
  </si>
  <si>
    <t>Koordinator WI (Asnofidal)</t>
  </si>
  <si>
    <t>Anjab (eni Yuliani)</t>
  </si>
  <si>
    <t>MacBook Air MQD321D/A</t>
  </si>
  <si>
    <t>Pembantu penyimpan barang</t>
  </si>
  <si>
    <t>0043-0048</t>
  </si>
  <si>
    <t>HP pavilion x360 convertible 14-dh 10006 TX (8BE 15PA)</t>
  </si>
  <si>
    <t>Macbook Air</t>
  </si>
  <si>
    <t>DEll</t>
  </si>
  <si>
    <t xml:space="preserve">Lenovo Flex 515 </t>
  </si>
  <si>
    <t>Sekban, Keuangan</t>
  </si>
  <si>
    <t>Acer</t>
  </si>
  <si>
    <t>Kabid PKM</t>
  </si>
  <si>
    <t>0053</t>
  </si>
  <si>
    <t>Kasubbag Program</t>
  </si>
  <si>
    <t>0030-0036</t>
  </si>
  <si>
    <t>P.C Unit</t>
  </si>
  <si>
    <t>Worstation</t>
  </si>
  <si>
    <t>0038-0039</t>
  </si>
  <si>
    <t>0043-0045</t>
  </si>
  <si>
    <t>Processor Intel i3-2100</t>
  </si>
  <si>
    <t>Mutasi biro keu</t>
  </si>
  <si>
    <t>R.Subbag umum</t>
  </si>
  <si>
    <t>Intel Core i3</t>
  </si>
  <si>
    <t>B. MP</t>
  </si>
  <si>
    <t>0056</t>
  </si>
  <si>
    <t>Dell</t>
  </si>
  <si>
    <t>0057</t>
  </si>
  <si>
    <t>0058-0059</t>
  </si>
  <si>
    <t>0060-0070</t>
  </si>
  <si>
    <t>0075-0076</t>
  </si>
  <si>
    <t>Lenovo M700-7UIA (10GQA07UIA)</t>
  </si>
  <si>
    <t>0079-0094</t>
  </si>
  <si>
    <t>Lenovo Tipe IC510S-081KL (90GB00E2ID)</t>
  </si>
  <si>
    <t>0095-0096</t>
  </si>
  <si>
    <t>HP AIO PROONE 400G4 i5-8500T</t>
  </si>
  <si>
    <t>0097-0101</t>
  </si>
  <si>
    <t>PC All in one</t>
  </si>
  <si>
    <t>1.3.2.10.02</t>
  </si>
  <si>
    <t>PERALATAN KOMPUTER</t>
  </si>
  <si>
    <t>Acces Point</t>
  </si>
  <si>
    <t>1.3.2.11</t>
  </si>
  <si>
    <t>ALAT EKSPLORASI</t>
  </si>
  <si>
    <t>1.3.2.11.01</t>
  </si>
  <si>
    <t>ALAT EKSPLORASI TOPOGRAFI</t>
  </si>
  <si>
    <t>1.3.2.11.02</t>
  </si>
  <si>
    <t>ALAT EKSPLORASI GEOFISIKA</t>
  </si>
  <si>
    <t>1.3.2.12</t>
  </si>
  <si>
    <t>ALAT PENGEBORAN</t>
  </si>
  <si>
    <t>1.3.2.12.01</t>
  </si>
  <si>
    <t>ALAT PENGEBORAN MESIN</t>
  </si>
  <si>
    <t>1.3.2.12.02</t>
  </si>
  <si>
    <t>ALAT PENGEBORAN NON MESIN</t>
  </si>
  <si>
    <t>1.3.2.13</t>
  </si>
  <si>
    <t>ALAT PRODUKSI, PENGOLAHAN DAN PEMURNIAN</t>
  </si>
  <si>
    <t>1.3.2.13.01</t>
  </si>
  <si>
    <t>SUMUR</t>
  </si>
  <si>
    <t>1.3.2.13.02</t>
  </si>
  <si>
    <t>PRODUKSI</t>
  </si>
  <si>
    <t>1.3.2.13.03</t>
  </si>
  <si>
    <t>PENGOLAHAN DAN PEMURNIAN</t>
  </si>
  <si>
    <t>1.3.2.14</t>
  </si>
  <si>
    <t>ALAT BANTU EKSPLORASI</t>
  </si>
  <si>
    <t>1.3.2.14.01</t>
  </si>
  <si>
    <t>1.3.2.14.02</t>
  </si>
  <si>
    <t>ALAT BANTU PRODUKSI</t>
  </si>
  <si>
    <t>1.3.2.15</t>
  </si>
  <si>
    <t>ALAT KESELAMATAN KERJA</t>
  </si>
  <si>
    <t>1.3.2.15.01</t>
  </si>
  <si>
    <t>ALAT DETEKSI</t>
  </si>
  <si>
    <t>1.3.2.15.02</t>
  </si>
  <si>
    <t>ALAT PELINDUNG</t>
  </si>
  <si>
    <t>1.3.2.15.03</t>
  </si>
  <si>
    <t>ALAT SAR</t>
  </si>
  <si>
    <t>1.3.2.15.04</t>
  </si>
  <si>
    <t>ALAT KERJA PENERBANGAN</t>
  </si>
  <si>
    <t>1.3.2.16</t>
  </si>
  <si>
    <t>ALAT PERAGA</t>
  </si>
  <si>
    <t>1.3.2.16.01</t>
  </si>
  <si>
    <t>ALAT PERAGA PELATIHAN DAN PERCONTOHAN</t>
  </si>
  <si>
    <t>1.3.2.17</t>
  </si>
  <si>
    <t>PERALATAN PROSES/PRODUKSI</t>
  </si>
  <si>
    <t>1.3.2.17.01</t>
  </si>
  <si>
    <t>UNIT PERALATAN PROSES/PRODUKSI</t>
  </si>
  <si>
    <t>1.3.2.18</t>
  </si>
  <si>
    <t>RAMBU - RAMBU</t>
  </si>
  <si>
    <t>1.3.2.18.01</t>
  </si>
  <si>
    <t>RAMBU-RAMBU LALU LINTAS DARAT</t>
  </si>
  <si>
    <t>1.3.2.18.02</t>
  </si>
  <si>
    <t>RAMBU-RAMBU LALU LINTAS UDARA</t>
  </si>
  <si>
    <t>1.3.2.18.03</t>
  </si>
  <si>
    <t>RAMBU-RAMBU LALU LINTAS LAUT</t>
  </si>
  <si>
    <t>1.3.2.19</t>
  </si>
  <si>
    <t>PERALATAN OLAH RAGA</t>
  </si>
  <si>
    <t>1.3.2.19.01</t>
  </si>
  <si>
    <t xml:space="preserve">Peralatan olahraga Tenis meja </t>
  </si>
  <si>
    <t>Gudang Aula II</t>
  </si>
  <si>
    <t>Peralatan olahraga Volley</t>
  </si>
  <si>
    <t>Peralatan olahraga Badminton</t>
  </si>
  <si>
    <t>Peralatan Olahraga</t>
  </si>
  <si>
    <t>1.3.3</t>
  </si>
  <si>
    <t>GEDUNG DAN BANGUNAN</t>
  </si>
  <si>
    <t>1.3.3.01</t>
  </si>
  <si>
    <t>BANGUNAN GEDUNG</t>
  </si>
  <si>
    <t>1.3.3.01.01</t>
  </si>
  <si>
    <t>BANGUNAN GEDUNG TEMPAT KERJA</t>
  </si>
  <si>
    <t>Ruang Aula Utama</t>
  </si>
  <si>
    <t xml:space="preserve">Beton  </t>
  </si>
  <si>
    <t>Jl.H.Agus Salim No.19</t>
  </si>
  <si>
    <t>Gudang Tempat tidur/kasur</t>
  </si>
  <si>
    <t>Beton</t>
  </si>
  <si>
    <t>Mesjid / Mushola</t>
  </si>
  <si>
    <t>Ruang Belajar III</t>
  </si>
  <si>
    <t>Ruang Belajar II</t>
  </si>
  <si>
    <t>Perpustakaan + Ruang makan II</t>
  </si>
  <si>
    <t>Ruang Makan I</t>
  </si>
  <si>
    <t>Toilet / WC Kelas</t>
  </si>
  <si>
    <t>Ruang Belajar I</t>
  </si>
  <si>
    <t>WC /Toliet Barak II</t>
  </si>
  <si>
    <t>WC /Toliet Barak I</t>
  </si>
  <si>
    <t>Drainasi Taman Kantor</t>
  </si>
  <si>
    <t>Ruang Makan III</t>
  </si>
  <si>
    <t>Menara Air</t>
  </si>
  <si>
    <t>Pendopo I</t>
  </si>
  <si>
    <t>Bangunan Tamanan Kantor</t>
  </si>
  <si>
    <t>Bangunan Asrama Baru (Interior)</t>
  </si>
  <si>
    <t>Bangunan Pagar Kantor</t>
  </si>
  <si>
    <t>Bangunan Gapura Kantor</t>
  </si>
  <si>
    <t>Gudang Barang</t>
  </si>
  <si>
    <t>Bangunan Pos Jaga Kantor</t>
  </si>
  <si>
    <t>Rumah Genset</t>
  </si>
  <si>
    <t>Turab Beton</t>
  </si>
  <si>
    <t>Masterplan Pengembangan Kawasan Kantor</t>
  </si>
  <si>
    <t>Tiang Pondasi Video Trone</t>
  </si>
  <si>
    <t xml:space="preserve">Tempat Parkir </t>
  </si>
  <si>
    <t>Besi/Aluminium</t>
  </si>
  <si>
    <t>Bangunan Pos Jaga Kantor (belakang)</t>
  </si>
  <si>
    <t>Gudang baru</t>
  </si>
  <si>
    <t>Pendopo III</t>
  </si>
  <si>
    <t>Sarana Olahraga</t>
  </si>
  <si>
    <t>Menara Penangkal Petir</t>
  </si>
  <si>
    <t>1.3.3.01.02</t>
  </si>
  <si>
    <t>BANGUNAN GEDUNG TEMPAT TINGGAL</t>
  </si>
  <si>
    <t>Asrama Selasih (asrama I)</t>
  </si>
  <si>
    <t>Asrama Raflesia</t>
  </si>
  <si>
    <t>Asrama Anyelir</t>
  </si>
  <si>
    <t>Asrama Seroja</t>
  </si>
  <si>
    <t>Asrama Teratai (LSP)</t>
  </si>
  <si>
    <t>Asrama Aster (asrama II)</t>
  </si>
  <si>
    <t>Asrama Asoka</t>
  </si>
  <si>
    <t>Asrama Kamboja</t>
  </si>
  <si>
    <t>Asrama Sultan Thaha (Bangunan)</t>
  </si>
  <si>
    <t>1.3.3.02</t>
  </si>
  <si>
    <t>MONUMEN</t>
  </si>
  <si>
    <t>1.3.3.02.01</t>
  </si>
  <si>
    <t>CANDI/TUGU PERINGATAN/PRASASTI</t>
  </si>
  <si>
    <t>1.3.3.03</t>
  </si>
  <si>
    <t>BANGUNAN MENARA</t>
  </si>
  <si>
    <t>1.3.3.03.01</t>
  </si>
  <si>
    <t>BANGUNAN MENARA PERAMBUAN</t>
  </si>
  <si>
    <t>1.3.3.04</t>
  </si>
  <si>
    <t>TUGU TITIK KONTROL/PASTI</t>
  </si>
  <si>
    <t>1.3.3.04.10</t>
  </si>
  <si>
    <t>TUGU/TANDA BATAS</t>
  </si>
  <si>
    <t>1.3.4</t>
  </si>
  <si>
    <t>JALAN, JARINGAN DAN IRIGASI</t>
  </si>
  <si>
    <t>1.3.4.01</t>
  </si>
  <si>
    <t>JALAN DAN JEMBATAN</t>
  </si>
  <si>
    <t>1.3.4.01.01</t>
  </si>
  <si>
    <t>JALAN</t>
  </si>
  <si>
    <t>1.3.4.01.02</t>
  </si>
  <si>
    <t>JEMBATAN</t>
  </si>
  <si>
    <t>1.3.4.02</t>
  </si>
  <si>
    <t>BANGUNAN AIR</t>
  </si>
  <si>
    <t>1.3.4.02.01</t>
  </si>
  <si>
    <t>BANGUNAN AIR IRIGASI</t>
  </si>
  <si>
    <t>1.3.4.02.02</t>
  </si>
  <si>
    <t>BANGUNAN PENGAIRAN PASANG SURUT</t>
  </si>
  <si>
    <t>1.3.4.02.03</t>
  </si>
  <si>
    <t>BANGUNAN PENGEMBANGAN RAWA DAN POLDER</t>
  </si>
  <si>
    <t>1.3.4.02.04</t>
  </si>
  <si>
    <t>BANGUNAN PENGAMAN SUNGAI/PANTAI &amp; PENANGGULANGAN BENCANA ALAM</t>
  </si>
  <si>
    <t>1.3.4.02.05</t>
  </si>
  <si>
    <t>BANGUNAN PENGEMBANGAN SUMBER AIR DAN AIR TANAH</t>
  </si>
  <si>
    <t>1.3.4.02.06</t>
  </si>
  <si>
    <t>BANGUNAN AIR BERSIH/AIR BAKU</t>
  </si>
  <si>
    <t>1.3.4.02.07</t>
  </si>
  <si>
    <t>BANGUNAN AIR KOTOR</t>
  </si>
  <si>
    <t>1.3.4.03</t>
  </si>
  <si>
    <t>INSTALASI</t>
  </si>
  <si>
    <t>1.3.4.03.01</t>
  </si>
  <si>
    <t>INSTALASI AIR BERSIH / AIR BAKU</t>
  </si>
  <si>
    <t xml:space="preserve">Konstruksi Jaringan air </t>
  </si>
  <si>
    <t>Instalasi Jaringan Air</t>
  </si>
  <si>
    <t>Pemasangan PDAM dan Pipa Persil PVC 2"</t>
  </si>
  <si>
    <t>Pemasangan jaringan instalasi air bersih / Ground Tank</t>
  </si>
  <si>
    <t>Revitalisasi Jaringan Air Bersih</t>
  </si>
  <si>
    <t>Instalasi Air Bersih</t>
  </si>
  <si>
    <t>Rehabilitasi drainase</t>
  </si>
  <si>
    <t>Rehabilitasi jalan dan bahu jalan</t>
  </si>
  <si>
    <t>1.3.4.03.02</t>
  </si>
  <si>
    <t>INSTALASI AIR KOTOR</t>
  </si>
  <si>
    <t>1.3.4.03.03</t>
  </si>
  <si>
    <t>INSTALASI PENGOLAHAN SAMPAH</t>
  </si>
  <si>
    <t>1.3.4.03.04</t>
  </si>
  <si>
    <t>INSTALASI PENGOLAHAN BAHAN BANGUNAN</t>
  </si>
  <si>
    <t>1.3.4.03.05</t>
  </si>
  <si>
    <t>INSTALASI PEMBANGKIT LISTRIK</t>
  </si>
  <si>
    <t>1.3.4.03.06</t>
  </si>
  <si>
    <t>INSTALASI GARDU LISTRIK</t>
  </si>
  <si>
    <t>1.3.4.03.07</t>
  </si>
  <si>
    <t>INSTALASI PERTAHANAN</t>
  </si>
  <si>
    <t>1.3.4.03.08</t>
  </si>
  <si>
    <t>INSTALASI GAS</t>
  </si>
  <si>
    <t>1.3.4.03.09</t>
  </si>
  <si>
    <t>INSTALASI PENGAMAN</t>
  </si>
  <si>
    <t>1.3.4.03.10</t>
  </si>
  <si>
    <t>INSTALASI LAIN</t>
  </si>
  <si>
    <t>1.3.4.04</t>
  </si>
  <si>
    <t>JARINGAN</t>
  </si>
  <si>
    <t>1.3.4.04.01</t>
  </si>
  <si>
    <t>JARINGAN AIR MINUM</t>
  </si>
  <si>
    <t>1.3.4.04.02</t>
  </si>
  <si>
    <t>JARINGAN LISTRIK</t>
  </si>
  <si>
    <t>Instalasi Listrik</t>
  </si>
  <si>
    <t>Pengadaan tambah daya Instalasi listrik</t>
  </si>
  <si>
    <t>Pemasangan Meteran Listrik 82.500 VA</t>
  </si>
  <si>
    <t>Revitalisasi jaringan listrik (asrama I dan II )</t>
  </si>
  <si>
    <t xml:space="preserve">Penataan Instalasi Listrik Gedung Asrama Sultan Taha </t>
  </si>
  <si>
    <t>Jaringan Listrik</t>
  </si>
  <si>
    <t>1.3.4.04.03</t>
  </si>
  <si>
    <t>JARINGAN TELEPON</t>
  </si>
  <si>
    <t>1.3.4.04.04</t>
  </si>
  <si>
    <t>JARINGAN GAS</t>
  </si>
  <si>
    <t>1.3.5</t>
  </si>
  <si>
    <t>ASET TETAP LAINNYA</t>
  </si>
  <si>
    <t>1.3.5.01</t>
  </si>
  <si>
    <t>BAHAN PERPUSTAKAAN</t>
  </si>
  <si>
    <t>1.3.5.01.01</t>
  </si>
  <si>
    <t>BAHAN PERPUSTAKAAN TERCETAK</t>
  </si>
  <si>
    <t>0001-0030</t>
  </si>
  <si>
    <t>Buku Ilmu Pengetahuan</t>
  </si>
  <si>
    <t>Kertas</t>
  </si>
  <si>
    <t>Buku Otonomi Daerah</t>
  </si>
  <si>
    <t>Kamus Bahasa Inggris</t>
  </si>
  <si>
    <t>Mtr</t>
  </si>
  <si>
    <t>Kamus Bahasa Indonesia</t>
  </si>
  <si>
    <t xml:space="preserve">Buku-Buku Peraturan </t>
  </si>
  <si>
    <t>0001-0048</t>
  </si>
  <si>
    <t>Buku Agama Islam</t>
  </si>
  <si>
    <t>Buku Hukum</t>
  </si>
  <si>
    <t>0002-0083</t>
  </si>
  <si>
    <t>Buku Sosial</t>
  </si>
  <si>
    <t>0031-0231</t>
  </si>
  <si>
    <t>0001-0079</t>
  </si>
  <si>
    <t>Buku Umum</t>
  </si>
  <si>
    <t>0001-0117</t>
  </si>
  <si>
    <t>Buku Ilmu Bahasa</t>
  </si>
  <si>
    <t>0118-0185</t>
  </si>
  <si>
    <t>0001-0049</t>
  </si>
  <si>
    <t>Buku Kesenian</t>
  </si>
  <si>
    <t>0001-0144</t>
  </si>
  <si>
    <t>Buku Biografi</t>
  </si>
  <si>
    <t>Buku</t>
  </si>
  <si>
    <t>1.3.5.01.02</t>
  </si>
  <si>
    <t>BAHAN PERPUSTAKAAN TEREKAM DAN BENTUK MIKRO</t>
  </si>
  <si>
    <t>1.3.5.01.03</t>
  </si>
  <si>
    <t>KARTOGRAFI, NASKAH DAN LUKISAN</t>
  </si>
  <si>
    <t>1.3.5.01.04</t>
  </si>
  <si>
    <t xml:space="preserve">MUSIK </t>
  </si>
  <si>
    <t>1.3.5.01.05</t>
  </si>
  <si>
    <t>KARYA GRAFIKA (GRAPHIC MATERIAL)</t>
  </si>
  <si>
    <t>1.3.5.01.06</t>
  </si>
  <si>
    <t>THREE DIMENSIONAL ARTEFACS AND REALITA</t>
  </si>
  <si>
    <t>1.3.5.01.07</t>
  </si>
  <si>
    <t>TARSCALT</t>
  </si>
  <si>
    <t>1.3.5.02</t>
  </si>
  <si>
    <t>BARANG BERCORAK KESENIAN/KEBUDAYAAN/OLAHRAGA</t>
  </si>
  <si>
    <t>1.3.5.02.01</t>
  </si>
  <si>
    <t>BARANG BERCORAK KESENIAN</t>
  </si>
  <si>
    <t>1.3.5.02.02</t>
  </si>
  <si>
    <t>ALAT BERCORAK KEBUDAYAAN</t>
  </si>
  <si>
    <t>1.3.5.02.03</t>
  </si>
  <si>
    <t xml:space="preserve">TANDA PENGHARGAAN </t>
  </si>
  <si>
    <t>1.3.5.03</t>
  </si>
  <si>
    <t>HEWAN</t>
  </si>
  <si>
    <t>1.3.5.03.01</t>
  </si>
  <si>
    <t>HEWAN PIARAAN</t>
  </si>
  <si>
    <t>1.3.5.03.02</t>
  </si>
  <si>
    <t>TERNAK</t>
  </si>
  <si>
    <t>1.3.5.03.03</t>
  </si>
  <si>
    <t>HEWAN LAINNYA</t>
  </si>
  <si>
    <t>1.3.5.04</t>
  </si>
  <si>
    <t>BIOTA PERAIRAN</t>
  </si>
  <si>
    <t>1.3.5.04.01</t>
  </si>
  <si>
    <t>IKAN BERSIRIP (PISCES/IKAN BERSIRIP)</t>
  </si>
  <si>
    <t>1.3.5.04.02</t>
  </si>
  <si>
    <t>CRUSTEA (UDANG, RAJUNGAN, KEPITING, DAN SEBANGSANYA)</t>
  </si>
  <si>
    <t>1.3.5.04.03</t>
  </si>
  <si>
    <t>MOLLUSCA (KERANG, TIRAM, CUMI-CUMI, GURITA, SIPUT, DAN SEBANGSANYA)</t>
  </si>
  <si>
    <t>1.3.5.04.04</t>
  </si>
  <si>
    <t>COELENTERATA (UBUR-UBUR DAN SEBANGSANYA)</t>
  </si>
  <si>
    <t>1.3.5.04.05</t>
  </si>
  <si>
    <t>ECHINODERMATA (TRIPANG, BULU BABI, DAN SEBANGSANYA)</t>
  </si>
  <si>
    <t>1.3.5.04.06</t>
  </si>
  <si>
    <t>AMPHIBIA (KODOK DAN SEBANGSANYA)</t>
  </si>
  <si>
    <t>1.3.5.04.07</t>
  </si>
  <si>
    <t>REPTILIA (BUAYA, PENYU, KURA-KURA, BIAWAK, ULAR AIR, DAN SEBANGSANYA</t>
  </si>
  <si>
    <t>1.3.5.04.08</t>
  </si>
  <si>
    <t>MAMMALIA (PAUS, LUMBA-LUMBA, PESUT, DUYUNG, DAN SEBANGSANYA)</t>
  </si>
  <si>
    <t>1.3.5.04.09</t>
  </si>
  <si>
    <t>ALGAE (RUMPUT LAUT DAN TUMBUH-TUMBUHAN LAIN YANG HIDUP DI DALAM AIR)</t>
  </si>
  <si>
    <t>1.3.5.04.10</t>
  </si>
  <si>
    <t>BIOTA PERAIRAN LAINNYA</t>
  </si>
  <si>
    <t>1.3.5.05</t>
  </si>
  <si>
    <t>TANAMAN</t>
  </si>
  <si>
    <t>1.3.5.05.001</t>
  </si>
  <si>
    <t>1.3.5.06</t>
  </si>
  <si>
    <t>BARANG KOLEKSI NON BUDAYA</t>
  </si>
  <si>
    <t>1.3.5.06.01</t>
  </si>
  <si>
    <t>1.3.5.07</t>
  </si>
  <si>
    <t>ASET TETAP DALAM RENOVASI</t>
  </si>
  <si>
    <t>1.3.5.07.01</t>
  </si>
  <si>
    <t>1.3.6</t>
  </si>
  <si>
    <t>KONSTRUKSI DALAM PENGERJAAN</t>
  </si>
  <si>
    <t>1.3.6.01</t>
  </si>
  <si>
    <t>1.3.6.01.01</t>
  </si>
  <si>
    <t>1.3.7</t>
  </si>
  <si>
    <t>AKUMULASI PENYUSUTAN</t>
  </si>
  <si>
    <t>1.3.7.01</t>
  </si>
  <si>
    <t>AKUMULASI PENYUSUTAN PERALATAN DAN MESIN</t>
  </si>
  <si>
    <t>1.3.7.01.01</t>
  </si>
  <si>
    <t>AKUMULASI PENYUSUTAN ALAT BESAR</t>
  </si>
  <si>
    <t>1.3.7.01.02</t>
  </si>
  <si>
    <t>AKUMULASI PENYUSUTAN ALAT ANGKUTAN</t>
  </si>
  <si>
    <t>1.3.7.01.03</t>
  </si>
  <si>
    <t>AKUMULASI PENYUSUTAN ALAT BENGKEL DAN ALAT UKUR</t>
  </si>
  <si>
    <t>1.3.7.01.04</t>
  </si>
  <si>
    <t>AKUMULASI PENYUSUTAN ALAT PERTANIAN</t>
  </si>
  <si>
    <t>1.3.7.01.05</t>
  </si>
  <si>
    <t>AKUMULASI PENYUSUTAN ALAT KANTOR &amp; RUMAH TANGGA</t>
  </si>
  <si>
    <t>1.3.7.01.06</t>
  </si>
  <si>
    <t>AKUMULASI PENYUSUTAN ALAT STUDIO, KOMUNIKASI DAN PEMANCAR</t>
  </si>
  <si>
    <t>1.3.7.01.07</t>
  </si>
  <si>
    <t>AKUMULASI PENYUSUTAN ALAT KEDOKTERAN DAN KESEHATAN</t>
  </si>
  <si>
    <t>1.3.7.01.08</t>
  </si>
  <si>
    <t>AKUMULASI PENYUSUTAN ALAT LABORATORIUM</t>
  </si>
  <si>
    <t>1.3.7.01.09</t>
  </si>
  <si>
    <t>AKUMULASI PENYUSUTAN ALAT PERSENJATAAN</t>
  </si>
  <si>
    <t>1.3.7.01.10</t>
  </si>
  <si>
    <t>AKUMULASI PENYUSUTAN KOMPUTER</t>
  </si>
  <si>
    <t>1.3.7.01.11</t>
  </si>
  <si>
    <t>AKUMULASI PENYUSUTAN ALAT EKSPLORASI</t>
  </si>
  <si>
    <t>1.3.7.01.12</t>
  </si>
  <si>
    <t>AKUMULASI PENYUSUTAN ALAT PENGEBORAN</t>
  </si>
  <si>
    <t>1.3.7.01.13</t>
  </si>
  <si>
    <t>AKUMULASI PENYUSUTAN ALAT PRODUKSI, PENGOLAHAN DAN PEMURNIAN</t>
  </si>
  <si>
    <t>1.3.7.01.14</t>
  </si>
  <si>
    <t>AKUMULASI PENYUSUTAN ALAT BANTU EKSPLORASI</t>
  </si>
  <si>
    <t>1.3.7.01.15</t>
  </si>
  <si>
    <t>AKUMULASI PENYUSUTAN ALAT KESELAMATAN KERJA</t>
  </si>
  <si>
    <t>1.3.7.01.16</t>
  </si>
  <si>
    <t>AKUMULASI PENYUSUTAN  ALAT PERAGA</t>
  </si>
  <si>
    <t>1.3.7.01.17</t>
  </si>
  <si>
    <t>AKUMULASI PENYUSUTAN  PERALATAN PROSES/PRODUKSI</t>
  </si>
  <si>
    <t>1.3.7.01.18</t>
  </si>
  <si>
    <t>AKUMULASI PENYUSUTAN RAMBU - RAMBU</t>
  </si>
  <si>
    <t>1.3.7.01.19</t>
  </si>
  <si>
    <t>AKUMULASI PENYUSUTAN PERALATAN OLAH RAGA</t>
  </si>
  <si>
    <t>1.3.7.02</t>
  </si>
  <si>
    <t>AKUMULASI PENYUSUTAN GEDUNG DAN BANGUNAN</t>
  </si>
  <si>
    <t>1.3.7.02.01</t>
  </si>
  <si>
    <t>AKUMULASI PENYUSUTAN BANGUNAN GEDUNG</t>
  </si>
  <si>
    <t>1.3.7.02.02</t>
  </si>
  <si>
    <t>AKUMULASI PENYUSUTAN MONUMEN</t>
  </si>
  <si>
    <t>1.3.7.02.03</t>
  </si>
  <si>
    <t>AKUMULASI PENYUSUTAN BANGUNAN MENARA</t>
  </si>
  <si>
    <t>1.3.7.02.04</t>
  </si>
  <si>
    <t>AKUMULASI PENYUSUTAN TUGU TITIK KONTROL/PASTI</t>
  </si>
  <si>
    <t>1.3.7.03</t>
  </si>
  <si>
    <t>AKUMULASI PENYUSUTAN JALAN, JARINGAN DAN IRIGASI</t>
  </si>
  <si>
    <t>1.3.7.03.01</t>
  </si>
  <si>
    <t>AKUMULASI PENYUSUTAN JALAN DAN JEMBATAN</t>
  </si>
  <si>
    <t>1.3.7.03.02</t>
  </si>
  <si>
    <t>AKUMULASI PENYUSUTAN BANGUNAN AIR</t>
  </si>
  <si>
    <t>1.3.7.03.03</t>
  </si>
  <si>
    <t>AKUMULASI PENYUSUTAN AKUMULASI PENYUSUTAN INSTALASI</t>
  </si>
  <si>
    <t>1.3.7.03.04</t>
  </si>
  <si>
    <t>AKUMULASI PENYUSUTAN JARINGAN</t>
  </si>
  <si>
    <t>1.3.7.04</t>
  </si>
  <si>
    <t>AKUMULASI PENYUSUTAN ASET TETAP LAINNYA</t>
  </si>
  <si>
    <t>1.3.7.04.01</t>
  </si>
  <si>
    <t>1.5</t>
  </si>
  <si>
    <t>ASET LAINNYA</t>
  </si>
  <si>
    <t>1.5.2</t>
  </si>
  <si>
    <t>KEMITRAAN DENGAN PIHAK KETIGA</t>
  </si>
  <si>
    <t>1.5.2.01</t>
  </si>
  <si>
    <t>1.5.2.01.01</t>
  </si>
  <si>
    <t>1.5.3</t>
  </si>
  <si>
    <t>ASET TIDAK BERWUJUD</t>
  </si>
  <si>
    <t>1.5.3.01</t>
  </si>
  <si>
    <t>1.5.3.01.01</t>
  </si>
  <si>
    <t>1.5.4</t>
  </si>
  <si>
    <t>ASET LAIN-LAIN</t>
  </si>
  <si>
    <t>1.5.4.01</t>
  </si>
  <si>
    <t>1.5.4.01.01</t>
  </si>
  <si>
    <t>Sepeda Motor</t>
  </si>
  <si>
    <t xml:space="preserve">Honda </t>
  </si>
  <si>
    <t>BH 3820 AZ / MHIGE000SSK032769 / GFE-1032664</t>
  </si>
  <si>
    <t xml:space="preserve">Honda  Astrea </t>
  </si>
  <si>
    <t>BH 5483 HZ / MH1NFGA12VK197523 / NFGAE-1197823</t>
  </si>
  <si>
    <t>BH 5484 HZ / MH1NFGA16VK196505 / NFGAE-1197113</t>
  </si>
  <si>
    <t>BH 5485 HZ / MH1NFGA1XVK195485 / NFGAE-1189855</t>
  </si>
  <si>
    <t>1.5.5</t>
  </si>
  <si>
    <t>AKUMULASI AMORTISASI ASET TIDAK BERWUJUD</t>
  </si>
  <si>
    <t>1.5.5.01</t>
  </si>
  <si>
    <t>1.5.5.01.01</t>
  </si>
  <si>
    <t>1.5.6</t>
  </si>
  <si>
    <t>AKUMULASI PENYUSUTAN ASET LAINNYA</t>
  </si>
  <si>
    <t>1.5.6.01</t>
  </si>
  <si>
    <t>1.5.6.01.01</t>
  </si>
  <si>
    <t>TOTAL</t>
  </si>
  <si>
    <t>SEMESTER I</t>
  </si>
  <si>
    <t>TAHUN 2023</t>
  </si>
  <si>
    <t>1.3.2.01.03.04</t>
  </si>
  <si>
    <t>Electric Generating Set</t>
  </si>
  <si>
    <t>1.3.2.02.01.01</t>
  </si>
  <si>
    <t xml:space="preserve">KENDARAAN DINAS BERMOTOR PERORANGAN </t>
  </si>
  <si>
    <t>1.3.2.02.01.03</t>
  </si>
  <si>
    <t>KENDARAAN BERMOTOR ANGKUTAN BARANG</t>
  </si>
  <si>
    <t>1.3.2.02.01.04</t>
  </si>
  <si>
    <t xml:space="preserve">KENDARAAN BERMOTOR BERODA DUA </t>
  </si>
  <si>
    <t>1.3.2.02.02.01</t>
  </si>
  <si>
    <t>KENDARAAN TAK BERMOTOR ANGKUTAN BARANG</t>
  </si>
  <si>
    <t>1.3.2.02.02.01.004</t>
  </si>
  <si>
    <t>1.3.2.05.01.01</t>
  </si>
  <si>
    <t>MESIN KETIK</t>
  </si>
  <si>
    <t>1.3.2.05.01.01.001</t>
  </si>
  <si>
    <t>1.3.2.05.01.01.003</t>
  </si>
  <si>
    <t>1.3.2.05.01.01.004</t>
  </si>
  <si>
    <t>1.3.2.05.01.02</t>
  </si>
  <si>
    <t xml:space="preserve">MESIN HITUNG/MESIN JUMLAH </t>
  </si>
  <si>
    <t>1.3.2.05.01.02.001</t>
  </si>
  <si>
    <t>1.3.2.05.01.02.003</t>
  </si>
  <si>
    <t>1.3.2.05.01.03</t>
  </si>
  <si>
    <t xml:space="preserve">ALAT REPRODUKSI (PENGGANDAAN) </t>
  </si>
  <si>
    <t>1.3.2.05.01.03.009</t>
  </si>
  <si>
    <t>1.3.2.05.01.04</t>
  </si>
  <si>
    <t>ALAT PENYIMPAN PERLENGKAPAN KANTOR</t>
  </si>
  <si>
    <t>1.3.2.05.01.04.002</t>
  </si>
  <si>
    <t>1.3.2.05.01.04.005</t>
  </si>
  <si>
    <t>1.3.2.05.01.04.029</t>
  </si>
  <si>
    <t>1.3.2.05.01.04.032</t>
  </si>
  <si>
    <t>1.3.2.05.01.05</t>
  </si>
  <si>
    <t>ALAT KANTOR LAINNYA</t>
  </si>
  <si>
    <t>1.3.2.05.01.05.002</t>
  </si>
  <si>
    <t>1.3.2.05.01.05.004</t>
  </si>
  <si>
    <t>1.3.2.05.01.05.005</t>
  </si>
  <si>
    <t>1.3.2.05.01.45.007</t>
  </si>
  <si>
    <t>1.3.2.05.01.05.010</t>
  </si>
  <si>
    <t>1.3.2.05.01.05.012</t>
  </si>
  <si>
    <t>1.3.2.05.01.05.043</t>
  </si>
  <si>
    <t>1.3.2.05.01.05.044</t>
  </si>
  <si>
    <t>1.3.2.05.01.05.053</t>
  </si>
  <si>
    <t>1.3.2.05.01.05.076</t>
  </si>
  <si>
    <t>1.3.2.05.01.05.078</t>
  </si>
  <si>
    <t>1.3.2.05.01.05.081</t>
  </si>
  <si>
    <t>1.3.2.05.02.01</t>
  </si>
  <si>
    <t xml:space="preserve">MEUBELAIR </t>
  </si>
  <si>
    <t>1.3.2.05.02.01.002</t>
  </si>
  <si>
    <t>1.3.2.05.02.01.003</t>
  </si>
  <si>
    <t>1.3.2.05.02.01.004</t>
  </si>
  <si>
    <t>1.3.2.05.02.01.010</t>
  </si>
  <si>
    <t>1.3.2.05.02.01.014</t>
  </si>
  <si>
    <t>1.3.2.05.02.01.016</t>
  </si>
  <si>
    <t>1.3.2.05.02.01.017</t>
  </si>
  <si>
    <t>1.3.2.05.02.01.024</t>
  </si>
  <si>
    <t>1.3.2.05.02.01.025</t>
  </si>
  <si>
    <t>1.3.2.05.02.01.028</t>
  </si>
  <si>
    <t>1.3.2.05.02.01.031</t>
  </si>
  <si>
    <t>1.3.2.05.02.01.032</t>
  </si>
  <si>
    <t>1.3.2.05.02.01.033</t>
  </si>
  <si>
    <t>1.3.2.05.02.01.036</t>
  </si>
  <si>
    <t>1.3.2.05.02.01.039</t>
  </si>
  <si>
    <t>1.3.2.05.02.01.041</t>
  </si>
  <si>
    <t>1.3.2.05.02.01.048</t>
  </si>
  <si>
    <t>1.3.2.05.02.01.050</t>
  </si>
  <si>
    <t>1.3.2.05.02.01.052</t>
  </si>
  <si>
    <t>1.3.2.05.02.04</t>
  </si>
  <si>
    <t xml:space="preserve">ALAT PENDINGIN </t>
  </si>
  <si>
    <t>1.3.2.05.02.04.001</t>
  </si>
  <si>
    <t>1.3.2.05.02.04.002</t>
  </si>
  <si>
    <t>1.3.2.05.02.04.004</t>
  </si>
  <si>
    <t>1.3.2.05.02.04.006</t>
  </si>
  <si>
    <t>1.3.2.05.02.04.007</t>
  </si>
  <si>
    <t>1.3.2.05.02.05</t>
  </si>
  <si>
    <t>ALAT DAPUR</t>
  </si>
  <si>
    <t>1.3.2.05.02.05.008</t>
  </si>
  <si>
    <t>1.3.2.05.02.05.026</t>
  </si>
  <si>
    <t>1.3.2.05.02.06</t>
  </si>
  <si>
    <t>ALAT RUMAH TANGGA LAINNYA (HOME USE)</t>
  </si>
  <si>
    <t>1.3.2.05.02.06.002</t>
  </si>
  <si>
    <t>1.3.2.05.02.06.005</t>
  </si>
  <si>
    <t>1.3.2.05.02.06.006</t>
  </si>
  <si>
    <t>1.3.2.05.02.06.007</t>
  </si>
  <si>
    <t>1.3.2.05.02.06.008</t>
  </si>
  <si>
    <t>1.3.2.05.02.06.013</t>
  </si>
  <si>
    <t>1.3.2.05.02.06.015</t>
  </si>
  <si>
    <t>1.3.2.05.02.06.016</t>
  </si>
  <si>
    <t>1.3.2.05.02.06.023</t>
  </si>
  <si>
    <t>1.3.2.05.02.06.035</t>
  </si>
  <si>
    <t>1.3.2.05.02.06.036</t>
  </si>
  <si>
    <t>1.3.2.05.02.06.038</t>
  </si>
  <si>
    <t>1.3.2.05.02.06.039</t>
  </si>
  <si>
    <t>1.3.2.05.02.06.048</t>
  </si>
  <si>
    <t>1.3.2.05.02.06.057</t>
  </si>
  <si>
    <t>1.3.2.05.02.06.058</t>
  </si>
  <si>
    <t>1.3.2.05.02.06.067</t>
  </si>
  <si>
    <t>1.3.2.05.02.06.069</t>
  </si>
  <si>
    <t>1.3.2.05.02.06.075</t>
  </si>
  <si>
    <t>1.3.2.05.02.06.077</t>
  </si>
  <si>
    <t>1.3.2.05.02.06.078</t>
  </si>
  <si>
    <t>1.3.2.05.02.06.080</t>
  </si>
  <si>
    <t>1.3.2.05.02.06.082</t>
  </si>
  <si>
    <t>1.3.2.05.02.06.094</t>
  </si>
  <si>
    <t>1.3.2.05.02.06.100</t>
  </si>
  <si>
    <t>1.3.2.05.02.06.113</t>
  </si>
  <si>
    <t>1.3.2.05.02.06.124</t>
  </si>
  <si>
    <t>1.3.2.05.02.06.125</t>
  </si>
  <si>
    <t>1.3.2.05.02.06.126</t>
  </si>
  <si>
    <t>1.3.2.05.02.06.128</t>
  </si>
  <si>
    <t>1.3.2.05.02.07</t>
  </si>
  <si>
    <t>ALAT PEMADAM KEBAKARAN</t>
  </si>
  <si>
    <t>1.3.2.05.02.07.018</t>
  </si>
  <si>
    <t>1.3.2.05.03.01</t>
  </si>
  <si>
    <t>MEJA KERJA PEJABAT</t>
  </si>
  <si>
    <t>1.3.2.05.03.01.007</t>
  </si>
  <si>
    <t>1.3.2.05.03.03.007</t>
  </si>
  <si>
    <t>1.3.2.05.03.04.007</t>
  </si>
  <si>
    <t>1.3.2.06.01.01.097</t>
  </si>
  <si>
    <t>1.3.2.06.01.01.099</t>
  </si>
  <si>
    <t>1.3.2.06.01.02.143</t>
  </si>
  <si>
    <t>1.3.2.06.02.01.006</t>
  </si>
  <si>
    <t>1.3.2.06.02.01.010</t>
  </si>
  <si>
    <t>1.3.2.06.02.01.022</t>
  </si>
  <si>
    <t>1.3.2.06.03.21.005</t>
  </si>
  <si>
    <t>1.3.2.07.01.01.145</t>
  </si>
  <si>
    <t>1.3.2.10.01.01</t>
  </si>
  <si>
    <t>KOMPUTER JARINGAN</t>
  </si>
  <si>
    <t>1.3.2.10.01.01.003</t>
  </si>
  <si>
    <t>1.3.2.10.01.01.004</t>
  </si>
  <si>
    <t>Jaringan internet (Pembuatan Web site)</t>
  </si>
  <si>
    <t>1.3.2.10.01.02.002</t>
  </si>
  <si>
    <t>1.3.2.10.01.02.001</t>
  </si>
  <si>
    <t>1.3.2.10.01.02.010</t>
  </si>
  <si>
    <t>1.3.2.10.02.01</t>
  </si>
  <si>
    <t xml:space="preserve">PERALATAN MAINFRAME </t>
  </si>
  <si>
    <t>1.3.2.10.02.01.012</t>
  </si>
  <si>
    <t>1.3.2.10.02.03.018</t>
  </si>
  <si>
    <t>1.3.2.10.02.03.003</t>
  </si>
  <si>
    <t>1.3.2.10.02.04.003</t>
  </si>
  <si>
    <t>1.3.2.10.02.03.004</t>
  </si>
  <si>
    <t>1.3.2.10.02.03.009</t>
  </si>
  <si>
    <t>1.3.2.10.02.03.017</t>
  </si>
  <si>
    <t>1.3.2.10.02.03.019</t>
  </si>
  <si>
    <t>1.3.2.10.02.04.021</t>
  </si>
  <si>
    <t>1.3.2.10.02.04.026</t>
  </si>
  <si>
    <t>1.3.2.10.02.04.033</t>
  </si>
  <si>
    <t>Hard Power Internet (router wifi)</t>
  </si>
  <si>
    <t>Hotspot Internet (router wifi)</t>
  </si>
  <si>
    <t>1.3.2.19.01.01</t>
  </si>
  <si>
    <t>PERALATAN OLAH RAGA ATLETIK</t>
  </si>
  <si>
    <t>\</t>
  </si>
  <si>
    <t>1.3.2.19.01.02.001</t>
  </si>
  <si>
    <t>1.3.2.19.01.02.002</t>
  </si>
  <si>
    <t>1.3.2.19.01.02.004</t>
  </si>
  <si>
    <t>1.3.2.19.01.02.012</t>
  </si>
  <si>
    <t>1.3.3.01.01.01</t>
  </si>
  <si>
    <t>BANGUNAN GEDUNG KANTOR</t>
  </si>
  <si>
    <t>1.3.3.01.01.01.001</t>
  </si>
  <si>
    <t xml:space="preserve">Bangunan Gedung Kantor </t>
  </si>
  <si>
    <t>1.3.3.01.01.02.001</t>
  </si>
  <si>
    <t>1.3.3.01.01.08.001</t>
  </si>
  <si>
    <t>1.3.3.01.01.09.001</t>
  </si>
  <si>
    <t>1.3.3.01.01.10.001</t>
  </si>
  <si>
    <t>1.3.3.01.01.11.004</t>
  </si>
  <si>
    <t>1.3.3.01.01.13.001</t>
  </si>
  <si>
    <t>1.3.3.01.01.16.001</t>
  </si>
  <si>
    <t>1.3.3.01.01.25.004</t>
  </si>
  <si>
    <t>1.3.3.01.01.30.001</t>
  </si>
  <si>
    <t>Pendopo II</t>
  </si>
  <si>
    <t>1.3.3.01.01.30.005</t>
  </si>
  <si>
    <t>Bangunan Nama BPSDM</t>
  </si>
  <si>
    <t>1.3.3.01.01.33.001</t>
  </si>
  <si>
    <t>1.3.3.01.01.36.001</t>
  </si>
  <si>
    <t>1.3.3.01.01.37.001</t>
  </si>
  <si>
    <t>1.3.3.01.02.05.001</t>
  </si>
  <si>
    <t>1.3.3.03.01.05.001</t>
  </si>
  <si>
    <t>1.3.4.03.01.05.002</t>
  </si>
  <si>
    <t>1.3.4.01.01.10.003</t>
  </si>
  <si>
    <t>1.3.4.04.02.03.001</t>
  </si>
  <si>
    <t>1.3.5.01.01.01.001</t>
  </si>
  <si>
    <t>1.5.4.01.01.01.002</t>
  </si>
  <si>
    <t>Pintu Besi (teralis)</t>
  </si>
  <si>
    <t>Kaban, Sutoro, Hamid</t>
  </si>
  <si>
    <t>PEMERINTAH PROVINSI JAMBI</t>
  </si>
  <si>
    <t>REKAPITULASI BEBAN PENYUSUTAN</t>
  </si>
  <si>
    <t>Tahun 2022</t>
  </si>
  <si>
    <t>SKPD</t>
  </si>
  <si>
    <t>: BADAN PENGEMBANGAN SUMBER DAYA MANUSIA</t>
  </si>
  <si>
    <t>Akun</t>
  </si>
  <si>
    <t>Jenis</t>
  </si>
  <si>
    <t>Objek</t>
  </si>
  <si>
    <t>Rincian Objek</t>
  </si>
  <si>
    <t>Sub Rincian Objek</t>
  </si>
  <si>
    <t>Nama Bidang  Barang</t>
  </si>
  <si>
    <t>Nilai  Perolehan (Rp)</t>
  </si>
  <si>
    <t>Beban Penyusutan per tahun (Rp)</t>
  </si>
  <si>
    <t>Beban Penyusutan     Semester I (Rp)</t>
  </si>
  <si>
    <t>Beban Penyusutan     Semester II (Rp)</t>
  </si>
  <si>
    <t>Beban Penyusutan     Tahun ini (Rp)</t>
  </si>
  <si>
    <t>Akumulasi  Penyusutan s/d tahun lini (Rp)</t>
  </si>
  <si>
    <t>Nilai  Buku (Rp)</t>
  </si>
  <si>
    <t>1</t>
  </si>
  <si>
    <t>3</t>
  </si>
  <si>
    <t>ASET TETAP</t>
  </si>
  <si>
    <t>01</t>
  </si>
  <si>
    <t>Tanah</t>
  </si>
  <si>
    <t>a</t>
  </si>
  <si>
    <t>Tanah Persil</t>
  </si>
  <si>
    <t>Tanah Bangunan Perumahan/Gedung Tempat Tinggal</t>
  </si>
  <si>
    <t>Tanah untuk Bangunan Gedung Perdagangan/Perusahaan</t>
  </si>
  <si>
    <t>Tanah untuk Bangunan Industri</t>
  </si>
  <si>
    <t>Tanah untuk Bangunan Tempat Kerja</t>
  </si>
  <si>
    <t>Tanah untuk Bangunan Gedung Sarana Olahraga</t>
  </si>
  <si>
    <t>Tanah untuk Bangunan Tempat Ibadah</t>
  </si>
  <si>
    <t>Tanah Persil Lainnya</t>
  </si>
  <si>
    <t>02</t>
  </si>
  <si>
    <t>Tanah Non Persil</t>
  </si>
  <si>
    <t>Tanah Basah</t>
  </si>
  <si>
    <t>Tanah Kering</t>
  </si>
  <si>
    <t>Tanah Perkebunan</t>
  </si>
  <si>
    <t>Tanah Hutan</t>
  </si>
  <si>
    <t>Tanah Tandus</t>
  </si>
  <si>
    <t>Tanah Padang Alang-Alang/Rumput</t>
  </si>
  <si>
    <t>Tanah Pertanian</t>
  </si>
  <si>
    <t>Tanah Pertambangan</t>
  </si>
  <si>
    <t>Tanah Non Persil Lainnya</t>
  </si>
  <si>
    <t>03</t>
  </si>
  <si>
    <t>Lapangan</t>
  </si>
  <si>
    <t>Tanah Lapangan Olahraga</t>
  </si>
  <si>
    <t>Tanah Lapangan Parkir</t>
  </si>
  <si>
    <t>Tanah Lapangan Penimbunan Barang</t>
  </si>
  <si>
    <t>Tanah Lapangan Pemancar dan Studio Alam</t>
  </si>
  <si>
    <t>Tanah Lapangan Pengujian/Pengolahan</t>
  </si>
  <si>
    <t>Tanah Lapangan Terbang</t>
  </si>
  <si>
    <t>Tanah untuk Jalan</t>
  </si>
  <si>
    <t>Tanah untuk Bangunan Air</t>
  </si>
  <si>
    <t>Tanah untuk Bangunan Instalasi</t>
  </si>
  <si>
    <t>Tanah untuk Bangunan Jaringan</t>
  </si>
  <si>
    <t>Tanah untuk Bangunan Bersejarah</t>
  </si>
  <si>
    <t>Tanah untuk Makam</t>
  </si>
  <si>
    <t>Tanah untuk Taman</t>
  </si>
  <si>
    <t>Tanah untuk Latihan</t>
  </si>
  <si>
    <t>Tanah Daerah Pertahanan</t>
  </si>
  <si>
    <t>Tanah Lapangan PBB</t>
  </si>
  <si>
    <t>Tanah Kampung</t>
  </si>
  <si>
    <t>Emplasment</t>
  </si>
  <si>
    <t>Lapangan Lainnya</t>
  </si>
  <si>
    <t>Alat Besar</t>
  </si>
  <si>
    <t>Alat Besar Darat</t>
  </si>
  <si>
    <t>Tractor</t>
  </si>
  <si>
    <t>Grader</t>
  </si>
  <si>
    <t>Excavator</t>
  </si>
  <si>
    <t>Pile Driver</t>
  </si>
  <si>
    <t>Hauler</t>
  </si>
  <si>
    <t>Asphalt Equipment</t>
  </si>
  <si>
    <t>Compacting Equipment</t>
  </si>
  <si>
    <t>Aggregate and Concrete Equipment</t>
  </si>
  <si>
    <t>Loader</t>
  </si>
  <si>
    <t>Alat Pengangkat</t>
  </si>
  <si>
    <t>Mesin Proses</t>
  </si>
  <si>
    <t>Alat Besar Darat Lainnya</t>
  </si>
  <si>
    <t>Alat Besar Apung</t>
  </si>
  <si>
    <t>Dredger</t>
  </si>
  <si>
    <t>Floating Excavator</t>
  </si>
  <si>
    <t>Amphibi Dredger</t>
  </si>
  <si>
    <t>Kapal Tarik</t>
  </si>
  <si>
    <t>Mesin Proses Apung</t>
  </si>
  <si>
    <t>Alat Besar Apung Lainnya</t>
  </si>
  <si>
    <t>Alat Bantu</t>
  </si>
  <si>
    <t>Alat Penarik</t>
  </si>
  <si>
    <t>Feeder</t>
  </si>
  <si>
    <t>Compressor</t>
  </si>
  <si>
    <t>Pompa</t>
  </si>
  <si>
    <t>Mesin Bor</t>
  </si>
  <si>
    <t>Unit Pemeliharaan Lapangan</t>
  </si>
  <si>
    <t>Alat Pengolahan Air Kotor</t>
  </si>
  <si>
    <t>Pembangkit Uap Air Panas/Steam Generator</t>
  </si>
  <si>
    <t>Air Port Maintenance Equipment/Alat Bantu Penerbangan</t>
  </si>
  <si>
    <t>Mesin Tatoo</t>
  </si>
  <si>
    <t>Perlengkapan Kebakaran Hutan</t>
  </si>
  <si>
    <t>Peralatan Selam</t>
  </si>
  <si>
    <t>Peralatan SAR Mountenering</t>
  </si>
  <si>
    <t>Peralatan Intelijen</t>
  </si>
  <si>
    <t>Alat Bantu Lainnya</t>
  </si>
  <si>
    <t>b</t>
  </si>
  <si>
    <t>Alat Angkutan</t>
  </si>
  <si>
    <t>Alat Angkutan Darat Bermotor</t>
  </si>
  <si>
    <t>Kendaraan Dinas Bermotor Perorangan</t>
  </si>
  <si>
    <t>Kendaraan Bermotor Penumpang</t>
  </si>
  <si>
    <t>Kendaraan Bermotor Angkutan Barang</t>
  </si>
  <si>
    <t>Kendaraan Bermotor Beroda Dua</t>
  </si>
  <si>
    <t>Kendaraan Bermotor Beroda Tiga</t>
  </si>
  <si>
    <t>Kendaraan Bermotor Khusus</t>
  </si>
  <si>
    <t>Kendaraan Tempur</t>
  </si>
  <si>
    <t>Alat Angkutan Kereta Rel</t>
  </si>
  <si>
    <t>Alat Angkutan Darat Bermotor Lainnya</t>
  </si>
  <si>
    <t>Alat Angkutan Darat Tak Bermotor</t>
  </si>
  <si>
    <t>Kendaraan Tak Bermotor Angkutan Barang</t>
  </si>
  <si>
    <t>Kendaraan Tak Bermotor Penumpang</t>
  </si>
  <si>
    <t>Alat Angkutan Kereta Rel Tak Bermotor</t>
  </si>
  <si>
    <t>Alat Angkutan Darat Tak Bermotor Lainnya</t>
  </si>
  <si>
    <t>Alat Angkutan Apung Bermotor</t>
  </si>
  <si>
    <t>Alat Angkutan Apung Bermotor untuk Barang</t>
  </si>
  <si>
    <t>Alat Angkutan Apung Bermotor untuk Penumpang</t>
  </si>
  <si>
    <t>Alat Angkutan Apung Bermotor Khusus</t>
  </si>
  <si>
    <t>Alat Angkutan Apung Bermotor Militer</t>
  </si>
  <si>
    <t>Alat Angkutan Apung Bermotor Lainnya</t>
  </si>
  <si>
    <t>04</t>
  </si>
  <si>
    <t>Alat Angkutan Apung Tak Bermotor</t>
  </si>
  <si>
    <t>Alat Angkutan Apung Tak Bermotor untuk Barang</t>
  </si>
  <si>
    <t>Alat Angkutan Apung Tak Bermotor untuk Penumpang</t>
  </si>
  <si>
    <t>Alat Angkutan Apung Tak Bermotor Khusus</t>
  </si>
  <si>
    <t>Alat Angkutan Apung Tak Bermotor Lainnya</t>
  </si>
  <si>
    <t>05</t>
  </si>
  <si>
    <t>Alat Angkutan Bermotor Udara</t>
  </si>
  <si>
    <t>Kapal Terbang</t>
  </si>
  <si>
    <t>Alat Angkutan Bermotor Udara Lainnya</t>
  </si>
  <si>
    <t>c</t>
  </si>
  <si>
    <t>Alat Bengkel dan Alat Ukur</t>
  </si>
  <si>
    <t>Alat Bengkel Bermesin</t>
  </si>
  <si>
    <t>Perkakas Konstruksi Logam Terpasang pada Fondasi</t>
  </si>
  <si>
    <t>Perkakas Konstruksi Logam yang Transportable (Berpindah)</t>
  </si>
  <si>
    <t>Perkakas Bengkel Listrik</t>
  </si>
  <si>
    <t>Perkakas Bengkel Service</t>
  </si>
  <si>
    <t>Perkakas Pengangkat Bermesin</t>
  </si>
  <si>
    <t>Perkakas Bengkel Kayu</t>
  </si>
  <si>
    <t>Perkakas Bengkel Khusus</t>
  </si>
  <si>
    <t>Peralatan Las</t>
  </si>
  <si>
    <t>Perkakas Pabrik Es</t>
  </si>
  <si>
    <t>Alat Bengkel Bermesin Lainnya</t>
  </si>
  <si>
    <t>Alat Bengkel Tak Bermesin</t>
  </si>
  <si>
    <t>Perkakas Bengkel Konstruksi Logam</t>
  </si>
  <si>
    <t xml:space="preserve">Perkakas Pengangkat </t>
  </si>
  <si>
    <t>Perkakas Standard (Standard Tools)</t>
  </si>
  <si>
    <t>Perkakas Khusus (Special Tools)</t>
  </si>
  <si>
    <t>Perkakas Bengkel Kerja</t>
  </si>
  <si>
    <t>Peralatan Tukang Besi</t>
  </si>
  <si>
    <t>Peralatan Tukang Kayu</t>
  </si>
  <si>
    <t>Peralatan Ukur, Gip dan Feeting</t>
  </si>
  <si>
    <t>Peralatan Bengkel Khusus Peladam</t>
  </si>
  <si>
    <t>Alat Bengkel Tak Bermesin Lainnya</t>
  </si>
  <si>
    <t>Alat Ukur</t>
  </si>
  <si>
    <t>Alat Ukur Universal</t>
  </si>
  <si>
    <t>Alat Ukur/Tes Inteligensia</t>
  </si>
  <si>
    <t>Alat Ukur/Tes Alat Kepribadian</t>
  </si>
  <si>
    <t>Alat Ukur/Tes Klinis Lain</t>
  </si>
  <si>
    <t>Alat Kalibrasi</t>
  </si>
  <si>
    <t>Oscilloscope</t>
  </si>
  <si>
    <t>Universal Tester</t>
  </si>
  <si>
    <t>Alat Ukur/Pembanding</t>
  </si>
  <si>
    <t>Alat Ukur Lain-Lain</t>
  </si>
  <si>
    <t>Alat Timbangan/Biara</t>
  </si>
  <si>
    <t>Anak Timbangan/Biara</t>
  </si>
  <si>
    <t>Takaran Kering</t>
  </si>
  <si>
    <t>Takaran Bahan Bangunan</t>
  </si>
  <si>
    <t>Takaran Lainnya</t>
  </si>
  <si>
    <t>Alat Penguji Kendaraan Bermotor</t>
  </si>
  <si>
    <t>Specific Set</t>
  </si>
  <si>
    <t>Alat Pengukur Keadaan Alam</t>
  </si>
  <si>
    <t>Alat Pengukur Penglihatan</t>
  </si>
  <si>
    <t>Alat Pengukur Ketepatan dan Koreksi Waktu</t>
  </si>
  <si>
    <t>Alat Ukur Instrument Workshop</t>
  </si>
  <si>
    <t>Alat Ukur Lainnya</t>
  </si>
  <si>
    <t>d</t>
  </si>
  <si>
    <t>Alat Pertanian</t>
  </si>
  <si>
    <t>Alat Pengolahan</t>
  </si>
  <si>
    <t>Alat Pengolahan Tanah dan Tanaman</t>
  </si>
  <si>
    <t>Alat Pemeliharaan Tanaman/Ikan/Ternak</t>
  </si>
  <si>
    <t>Alat Panen</t>
  </si>
  <si>
    <t>Alat Penyimpan Hasil Percobaan Pertanian</t>
  </si>
  <si>
    <t>Alat Laboratorium Pertanian</t>
  </si>
  <si>
    <t>Alat Processing</t>
  </si>
  <si>
    <t>Alat Pasca Panen</t>
  </si>
  <si>
    <t>Alat Produksi Perikanan</t>
  </si>
  <si>
    <t>Alat-Alat Peternakan</t>
  </si>
  <si>
    <t>Alat Pengolahan Lainnya</t>
  </si>
  <si>
    <t>e</t>
  </si>
  <si>
    <t>Alat Kantor dan Rumah Tangga</t>
  </si>
  <si>
    <t>Alat Kantor</t>
  </si>
  <si>
    <t>Mesin Ketik</t>
  </si>
  <si>
    <t>Mesin Hitung/Mesin Jumlah</t>
  </si>
  <si>
    <t>Alat Reproduksi (Penggandaan)</t>
  </si>
  <si>
    <t>Alat Penyimpan Perlengkapan Kantor</t>
  </si>
  <si>
    <t>Alat Kantor Lainnya</t>
  </si>
  <si>
    <t>Alat Rumah Tangga</t>
  </si>
  <si>
    <t>Mebel</t>
  </si>
  <si>
    <t>Alat Pengukur Waktu</t>
  </si>
  <si>
    <t>Alat Pembersih</t>
  </si>
  <si>
    <t>Alat Pendingin</t>
  </si>
  <si>
    <t>Alat Dapur</t>
  </si>
  <si>
    <t>Alat Rumah Tangga Lainnya (Home Use)</t>
  </si>
  <si>
    <t>Alat Pemadam Kebakaran</t>
  </si>
  <si>
    <t>Meja dan Kursi Kerja/Rapat Pejabat</t>
  </si>
  <si>
    <t>Meja Kerja Pejabat</t>
  </si>
  <si>
    <t>Meja Rapat Pejabat</t>
  </si>
  <si>
    <t>Kursi Kerja Pejabat</t>
  </si>
  <si>
    <t>Kursi Rapat Pejabat</t>
  </si>
  <si>
    <t>Kursi Hadap Depan Meja Kerja Pejabat</t>
  </si>
  <si>
    <t>Kursi Tamu di Ruangan Pejabat</t>
  </si>
  <si>
    <t>Lemari dan Arsip Pejabat</t>
  </si>
  <si>
    <t>f</t>
  </si>
  <si>
    <t>06</t>
  </si>
  <si>
    <t>Alat Studio, Komunikasi, dan Pemancar</t>
  </si>
  <si>
    <t>Alat Studio</t>
  </si>
  <si>
    <t>Peralatan Studio Audio</t>
  </si>
  <si>
    <t>Peralatan Studio Video dan Film</t>
  </si>
  <si>
    <t>Peralatan Studio Gambar</t>
  </si>
  <si>
    <t>Peralatan Cetak</t>
  </si>
  <si>
    <t>Peralatan Studio Pemetaan/Peralatan Ukur Tanah</t>
  </si>
  <si>
    <t>Alat Studio Lainnya</t>
  </si>
  <si>
    <t>Alat Komunikasi</t>
  </si>
  <si>
    <t>Alat Komunikasi Telephone</t>
  </si>
  <si>
    <t>Alat Komunikasi Radio SSB</t>
  </si>
  <si>
    <t>Alat Komunikasi Radio HF/FM</t>
  </si>
  <si>
    <t>Alat Komunikasi Radio VHF</t>
  </si>
  <si>
    <t>Alat Komunikasi Radio UHF</t>
  </si>
  <si>
    <t>Alat Komunikasi Sosial</t>
  </si>
  <si>
    <t>Alat-Alat Sandi</t>
  </si>
  <si>
    <t>Alat Komunikasi Khusus</t>
  </si>
  <si>
    <t>Alat Komunikasi Digital dan Konvensional</t>
  </si>
  <si>
    <t>Alat Komunikasi Satelit</t>
  </si>
  <si>
    <t>Alat Komunikasi Lainnya</t>
  </si>
  <si>
    <t>Peralatan Pemancar</t>
  </si>
  <si>
    <t>Peralatan Pemancar MF/MW</t>
  </si>
  <si>
    <t>Peralatan Pemancar HF/SW</t>
  </si>
  <si>
    <t>Peralatan Pemancar VHF/FM</t>
  </si>
  <si>
    <t>Peralatan Pemancar UHF</t>
  </si>
  <si>
    <t>Peralatan Pemancar SHF</t>
  </si>
  <si>
    <t>Peralatan Antena MF/MW</t>
  </si>
  <si>
    <t>Peralatan Antena HF/SW</t>
  </si>
  <si>
    <t>Peralatan Antena VHF/FM</t>
  </si>
  <si>
    <t>Peralatan Antena UHF</t>
  </si>
  <si>
    <t>Peralatan Antena SHF/Parabola</t>
  </si>
  <si>
    <t>Peralatan Translator VHF/VHF</t>
  </si>
  <si>
    <t>Peralatan Translator UHF/UHF</t>
  </si>
  <si>
    <t>Peralatan Translator VHF/UHF</t>
  </si>
  <si>
    <t>Peralatan Translator UHF/VHF</t>
  </si>
  <si>
    <t>Peralatan Microwave FPU</t>
  </si>
  <si>
    <t>Peralatan Microwave Terestrial</t>
  </si>
  <si>
    <t>Peralatan Microwave TVRO</t>
  </si>
  <si>
    <t>Peralatan Dummy Load</t>
  </si>
  <si>
    <t>Switcher Antena</t>
  </si>
  <si>
    <t>Switcher/Menara Antena</t>
  </si>
  <si>
    <t>Humidity Control</t>
  </si>
  <si>
    <t>Program Input Equipment</t>
  </si>
  <si>
    <t>Peralatan Antena Penerima VHF</t>
  </si>
  <si>
    <t>Peralatan Pemancar LF</t>
  </si>
  <si>
    <t>Unit Pemancar MF+HF</t>
  </si>
  <si>
    <t>Peralatan Antena Pemancar MF+HF</t>
  </si>
  <si>
    <t>Peralatan Penerima</t>
  </si>
  <si>
    <t>Peralatan Pemancar dan Penerima LF</t>
  </si>
  <si>
    <t>Peralatan Pemancar dan Penerima MF</t>
  </si>
  <si>
    <t>Peralatan Pemancar dan Penerima HF</t>
  </si>
  <si>
    <t>Peralatan Pemancar dan Penerima MF+HF</t>
  </si>
  <si>
    <t>Peralatan Pemancar dan Penerima VHF</t>
  </si>
  <si>
    <t>Peralatan Pemancar dan Penerima UHF</t>
  </si>
  <si>
    <t>Peralatan Pemancar dan Penerima SHF</t>
  </si>
  <si>
    <t>Peralatan Antena Pemancar dan Penerima LF</t>
  </si>
  <si>
    <t>Peralatan Antena Pemancar dan Penerima MF</t>
  </si>
  <si>
    <t>Peralatan Antena Pemancar dan Penerima HF</t>
  </si>
  <si>
    <t>Peralatan Antena Pemancar dan Penerima MF+HF</t>
  </si>
  <si>
    <t>Peralatan Antena Pemancar dan Penerima VHF</t>
  </si>
  <si>
    <t>Peralatan Antena Pemancar dan Penerima UHF</t>
  </si>
  <si>
    <t>Peralatan Antena Pemancar dan Penerima SHF</t>
  </si>
  <si>
    <t>Peralatan Penerima Cuaca Citra Satelit Resolusi Rendah</t>
  </si>
  <si>
    <t>Peralatan Penerima Cuaca Citra Satelit Resolusi Tinggi</t>
  </si>
  <si>
    <t>Peralatan Penerima dan Pengirim Gambar ke Permukaan</t>
  </si>
  <si>
    <t>Peralatan Perlengkapan Radio</t>
  </si>
  <si>
    <t>Sumber Tenaga</t>
  </si>
  <si>
    <t>Peralatan Pemancar Lainnya</t>
  </si>
  <si>
    <t>Peralatan Komunikasi Navigasi</t>
  </si>
  <si>
    <t>Peralatan Komunikasi Navigasi Instrumen Landing System</t>
  </si>
  <si>
    <t>Very High Frequence Omni Range (VOR)</t>
  </si>
  <si>
    <t>Distance Measuring Equipment (DME)</t>
  </si>
  <si>
    <t>Radar</t>
  </si>
  <si>
    <t>Alat Pengatur Telekomunikasi</t>
  </si>
  <si>
    <t>Peralatan Komunikasi untuk Dokumentasi</t>
  </si>
  <si>
    <t>Peralatan Komunikasi Navigasi Lainnya</t>
  </si>
  <si>
    <t>g</t>
  </si>
  <si>
    <t>07</t>
  </si>
  <si>
    <t>Alat Kedokteran dan Kesehatan</t>
  </si>
  <si>
    <t>Alat Kedokteran</t>
  </si>
  <si>
    <t>Alat Kedokteran Umum</t>
  </si>
  <si>
    <t>Alat Kedokteran Gigi</t>
  </si>
  <si>
    <t>Alat Kedokteran Keluarga Berencana</t>
  </si>
  <si>
    <t>Alat Kedokteran Bedah</t>
  </si>
  <si>
    <t>Alat Kesehatan Kebidanan dan Penyakit Kandungan</t>
  </si>
  <si>
    <t>Alat Kedokteran THT</t>
  </si>
  <si>
    <t>Alat Kedokteran Mata</t>
  </si>
  <si>
    <t>Alat Kedokteran Bagian Penyakit Dalam</t>
  </si>
  <si>
    <t>Alat Kedokteran Kamar Jenazah/Mortuary</t>
  </si>
  <si>
    <t>Alat Kedokteran Anak</t>
  </si>
  <si>
    <t>Alat Kedokteran Poliklinik</t>
  </si>
  <si>
    <t>Alat Kesehatan Rehabilitasi Medis</t>
  </si>
  <si>
    <t>Alat Kedokteran Neurologi (Saraf)</t>
  </si>
  <si>
    <t>Alat Kedokteran Jantung</t>
  </si>
  <si>
    <t>Alat Kedokteran Radiodiagnostic</t>
  </si>
  <si>
    <t>Alat Kedokteran Patalogi Anatomy</t>
  </si>
  <si>
    <t>Alat Kedokteran Transfusi Darah</t>
  </si>
  <si>
    <t>Alat Kedokteran Radioterapi</t>
  </si>
  <si>
    <t>Alat Kedokteran Nuklir</t>
  </si>
  <si>
    <t>Alat Kedokteran Kulit dan Kelamin</t>
  </si>
  <si>
    <t>Alat Kedokteran Gawat Darurat</t>
  </si>
  <si>
    <t>Alat Kedokteran Jiwa</t>
  </si>
  <si>
    <t>Alat Kedokteran Bedah Ortopedi</t>
  </si>
  <si>
    <t>Alat Kedokteran ICU</t>
  </si>
  <si>
    <t>Alat Kedokteran ICCU</t>
  </si>
  <si>
    <t>Alat Kedokteran Bedah Jantung</t>
  </si>
  <si>
    <t>Alat Kedokteran Traditional Medicine</t>
  </si>
  <si>
    <t>Alat Kedokteran Anestesi</t>
  </si>
  <si>
    <t>Alat Kedokteran Lainnya</t>
  </si>
  <si>
    <t>Alat Kesehatan Umum</t>
  </si>
  <si>
    <t>Alat Kesehatan Matra Laut</t>
  </si>
  <si>
    <t>Alat Kesehatan Matra Udara</t>
  </si>
  <si>
    <t>Alat Kesehatan Kepolisian</t>
  </si>
  <si>
    <t>Alat Kesehatan Olahraga</t>
  </si>
  <si>
    <t>Alat Kesehatan Umum Lainnya</t>
  </si>
  <si>
    <t>h</t>
  </si>
  <si>
    <t>08</t>
  </si>
  <si>
    <t>Alat Laboratorium</t>
  </si>
  <si>
    <t>Unit Alat Laboratorium</t>
  </si>
  <si>
    <t>Alat Laboratorium Kimia Air Teknik Penyehatan</t>
  </si>
  <si>
    <t>Alat Laboratorium Mikro Biologi Teknik Penyehatan</t>
  </si>
  <si>
    <t>Alat Laboratorium Hidrokimia</t>
  </si>
  <si>
    <t>Alat Laboratorium Model Hidrolika</t>
  </si>
  <si>
    <t>Alat Laboratorium Batuan/Geologi</t>
  </si>
  <si>
    <t>Alat Laboratorium Bahan Bangunan Konstruksi</t>
  </si>
  <si>
    <t>Alat Laboratorium Aspal, Cat, dan Kimia</t>
  </si>
  <si>
    <t>Alat Laboratorium Mekanika Tanah dan Batuan</t>
  </si>
  <si>
    <t>Alat Laboratorium Cocok Tanam</t>
  </si>
  <si>
    <t>Alat Laboratorium Logam, Mesin, dan Listrik</t>
  </si>
  <si>
    <t>Alat Laboratorium Umum</t>
  </si>
  <si>
    <t>Alat Laboratorium Mikrobiologi</t>
  </si>
  <si>
    <t>Alat Laboratorium Kimia</t>
  </si>
  <si>
    <t>Alat Laboratorium Patologi</t>
  </si>
  <si>
    <t>Alat Laboratorium Immunologi</t>
  </si>
  <si>
    <t>Alat Laboratorium Hematologi</t>
  </si>
  <si>
    <t>Alat Laboratorium Film</t>
  </si>
  <si>
    <t>Alat Laboratorium Makanan</t>
  </si>
  <si>
    <t>Alat Laboratorium Farmasi</t>
  </si>
  <si>
    <t>Alat Laboratorium Fisika</t>
  </si>
  <si>
    <t>Alat Laboratorium Hidrodinamika</t>
  </si>
  <si>
    <t>Alat Laboratorium Klimatologi</t>
  </si>
  <si>
    <t>Alat Laboratorium Proses Peleburan</t>
  </si>
  <si>
    <t>Alat Laboratorium Pasir</t>
  </si>
  <si>
    <t>Alat Laboratorium Proses Pembuatan Cekatan</t>
  </si>
  <si>
    <t>Alat Laboratorium Pembuatan Pola</t>
  </si>
  <si>
    <t>Alat Laboratorium Metalografi</t>
  </si>
  <si>
    <t>Alat Laboratorium Proses Pengelasan</t>
  </si>
  <si>
    <t>Alat Laboratorium Uji Proses Pengelasan</t>
  </si>
  <si>
    <t>Alat Laboratorium Proses Pembuatan Logam</t>
  </si>
  <si>
    <t>Alat Laboratorium Metrologi</t>
  </si>
  <si>
    <t>Alat Laboratorium Pelapisan Logam</t>
  </si>
  <si>
    <t>Alat Laboratorium Proses Pengolahan Panas</t>
  </si>
  <si>
    <t>Alat Laboratorium Proses Teknologi Tekstil</t>
  </si>
  <si>
    <t>Alat Laboratorium Uji Tekstil</t>
  </si>
  <si>
    <t>Alat Laboratorium Proses Teknologi Keramik</t>
  </si>
  <si>
    <t>Alat Laboratorium Proses Teknologi Kulit, Karet, dan Plastik</t>
  </si>
  <si>
    <t>Alat Laboratorium Uji Kulit, Karet, dan Plastik</t>
  </si>
  <si>
    <t>Alat Laboratorium Uji Keramik</t>
  </si>
  <si>
    <t>Alat Laboratorium Proses Teknologi Selulosa</t>
  </si>
  <si>
    <t>Alat Laboratorium Elektronika dan Daya</t>
  </si>
  <si>
    <t>Alat Laboratorium Energi Surya</t>
  </si>
  <si>
    <t>Alat Laboratorium Konversi Batubara dan Biomas</t>
  </si>
  <si>
    <t>Alat Laboratorium Oseanografi</t>
  </si>
  <si>
    <t>Alat Laboratorium Lingkungan Perairan</t>
  </si>
  <si>
    <t>Alat Laboratorium Biologi Perairan</t>
  </si>
  <si>
    <t>Alat Laboratorium Biologi</t>
  </si>
  <si>
    <t>Alat Laboratorium Geofisika</t>
  </si>
  <si>
    <t>Alat Laboratorium Tambang</t>
  </si>
  <si>
    <t>Alat Laboratorium Proses/Teknik Kimia</t>
  </si>
  <si>
    <t>Alat Laboratorium Proses Industri</t>
  </si>
  <si>
    <t>Alat Laboratorium Kesehatan Kerja</t>
  </si>
  <si>
    <t>Laboratorium Kearsipan</t>
  </si>
  <si>
    <t xml:space="preserve">Laboratorium Hematologi dan Urinalisis  </t>
  </si>
  <si>
    <t>Alat Laboratorium Lain</t>
  </si>
  <si>
    <t xml:space="preserve">Alat Laboratorium Hermodinamika Motor dan Sistem Propulasi  </t>
  </si>
  <si>
    <t>0058</t>
  </si>
  <si>
    <t>Alat Laboratorium Pendidikan</t>
  </si>
  <si>
    <t>Alat Laboratorium Teknologi Proses Enzim</t>
  </si>
  <si>
    <t>Alat Laboratorium Teknik Pantai</t>
  </si>
  <si>
    <t>Alat Laboratorium Sumber Daya dan Energi</t>
  </si>
  <si>
    <t>Alat Laboratorium Populasi</t>
  </si>
  <si>
    <t>Alat Pengukur Gelombang</t>
  </si>
  <si>
    <t>0064</t>
  </si>
  <si>
    <t>Unit Alat Laboratorium Lainnya</t>
  </si>
  <si>
    <t>Unit Alat Laboratorium Kimia Nuklir</t>
  </si>
  <si>
    <t>Analytical Instrument</t>
  </si>
  <si>
    <t>Instrument Probe/Sensor</t>
  </si>
  <si>
    <t>General Laboratory Tool</t>
  </si>
  <si>
    <t>Glassware Plastic/Utensils</t>
  </si>
  <si>
    <t>Laboratory Safety Equipment</t>
  </si>
  <si>
    <t>Unit Alat Laboratorium Kimia Nuklir Lainnya</t>
  </si>
  <si>
    <t>Alat Peraga Praktik Sekolah</t>
  </si>
  <si>
    <t>Alat Peraga Praktik Sekolah Bidang Studi:Bahasa Indonesia</t>
  </si>
  <si>
    <t>Alat Peraga Praktik Sekolah Bidang Studi:Matematika</t>
  </si>
  <si>
    <t>Alat Peraga Praktik Sekolah Bidang Studi:IPA Dasar</t>
  </si>
  <si>
    <t>Alat Peraga Praktik Sekolah Bidang Studi:IPA Lanjutan</t>
  </si>
  <si>
    <t>Alat Peraga Praktik Sekolah Bidang Studi:IPA Menengah</t>
  </si>
  <si>
    <t>Alat Peraga Praktik Sekolah Bidang Studi:IPA Atas</t>
  </si>
  <si>
    <t>Alat Peraga Praktik Sekolah Bidang Studi:IPS</t>
  </si>
  <si>
    <t>Alat PeragaPraktik Sekolah Bidang Studi:Agama</t>
  </si>
  <si>
    <t>Alat Peraga Praktik Sekolah Bidang Studi:Keterampilan</t>
  </si>
  <si>
    <t>Alat Peraga Praktik Sekolah Bidang Studi:Kesenian</t>
  </si>
  <si>
    <t>Alat Peraga Praktik Sekolah Bidang Studi:Olahraga</t>
  </si>
  <si>
    <t>Alat Peraga Praktik Sekolah Bidang Studi:PKN</t>
  </si>
  <si>
    <t>Alat Peraga Luar Biasa (Tuna Netra, Terapi Fisik, Tuna Daksa, dan Tuna Rungu)</t>
  </si>
  <si>
    <t>Alat Peraga Kejuruan</t>
  </si>
  <si>
    <t>Alat Peraga PAUD/TK</t>
  </si>
  <si>
    <t>Alat Peraga Praktik Sekolah Lainnya</t>
  </si>
  <si>
    <t>Alat Laboratorium Fisika Nuklir/Elektronika</t>
  </si>
  <si>
    <t>Radiation Detector</t>
  </si>
  <si>
    <t>Modular Counting and Scientific Electronic</t>
  </si>
  <si>
    <t>Assembly/Counting System</t>
  </si>
  <si>
    <t>Recorder Display</t>
  </si>
  <si>
    <t>System/Power Supply</t>
  </si>
  <si>
    <t>Measuring/Testing Device</t>
  </si>
  <si>
    <t>Opto Electronics</t>
  </si>
  <si>
    <t>Accelerator</t>
  </si>
  <si>
    <t>Reactor Experimental System</t>
  </si>
  <si>
    <t>Alat Laboratorium Fisika Nuklir/Elektronika Lainnya</t>
  </si>
  <si>
    <t>Alat Proteksi Radiasi/Proteksi Lingkungan</t>
  </si>
  <si>
    <t>Alat Ukur Fisika Kesehatan</t>
  </si>
  <si>
    <t>Alat Kesehatan Kerja</t>
  </si>
  <si>
    <t>Proteksi Lingkungan</t>
  </si>
  <si>
    <t>Meteorological Equipment</t>
  </si>
  <si>
    <t>Sumber Radiasi</t>
  </si>
  <si>
    <t>Alat Proteksi Radiasi/Proteksi Lingkungan Lainnya</t>
  </si>
  <si>
    <t>Radiation Application and Non Destructive Testing Laboratory Lainnya</t>
  </si>
  <si>
    <t>Radiation Application Equipment</t>
  </si>
  <si>
    <t>Non Destructive Test (NDT) Device</t>
  </si>
  <si>
    <t>Peralatan Hidrologi</t>
  </si>
  <si>
    <t>Alat Laboratorium Lingkungan Hidup</t>
  </si>
  <si>
    <t>Alat Laboratorium Kualitas Air dan Tanah</t>
  </si>
  <si>
    <t>Alat Laboratorium Kualitas Udara</t>
  </si>
  <si>
    <t>Alat Laboratorium Kebisingan dan Getaran</t>
  </si>
  <si>
    <t>Laboratorium Lingkungan</t>
  </si>
  <si>
    <t>Alat Laboratorium Penunjang</t>
  </si>
  <si>
    <t>Alat Laboratorium Lingkungan Hidup Lainnya</t>
  </si>
  <si>
    <t>Peralatan Laboratorium Hydrodinamica</t>
  </si>
  <si>
    <t>Towing Carriage</t>
  </si>
  <si>
    <t>Wave Generator and Absorber</t>
  </si>
  <si>
    <t>Data Accquisition and Analyzing System</t>
  </si>
  <si>
    <t>Cavitation Tunnel</t>
  </si>
  <si>
    <t>Overhead Cranes</t>
  </si>
  <si>
    <t>Peralatan Umum</t>
  </si>
  <si>
    <t>Pemesinan:Model Ship Workshop</t>
  </si>
  <si>
    <t>Pemesinan:Propeller Model Workshop</t>
  </si>
  <si>
    <t>Pemesinan:Mechanical Workshop</t>
  </si>
  <si>
    <t>Pemesinan:Precision Mechanical Workshop</t>
  </si>
  <si>
    <t>Pemesinan:Painting Shop</t>
  </si>
  <si>
    <t>Pemesinan:Ship Model Preparation Shop</t>
  </si>
  <si>
    <t>Pemesinan:Electrical Workshop</t>
  </si>
  <si>
    <t>MOB</t>
  </si>
  <si>
    <t>Photo and Film Equipment</t>
  </si>
  <si>
    <t>Peralatan Laboratorium Hydrodinamica Lainnya</t>
  </si>
  <si>
    <t>09</t>
  </si>
  <si>
    <t>Alat Laboratorium Standarisasi Kalibrasi dan Instrumentasi</t>
  </si>
  <si>
    <t>Alat Laboratorium Kalibrasi Elektromedik dan Biomedik</t>
  </si>
  <si>
    <t>Alat Laboratorium Standar dan Kalibrator</t>
  </si>
  <si>
    <t>Alat Laboratorium Cahaya, Optik, dan Akustik</t>
  </si>
  <si>
    <t>Alat Laboratorium Listrik dan Mekanik</t>
  </si>
  <si>
    <t>Alat Laboratorium Tekanan dan Suhu</t>
  </si>
  <si>
    <t xml:space="preserve">Alat Laboratorium Standarisasi Kalibrasi dan Instrumentasi Lain  </t>
  </si>
  <si>
    <t>Alat Laboratorium Natius</t>
  </si>
  <si>
    <t>Alat Laboratorium Elektronika dan Telekomunikasi Pelayaran</t>
  </si>
  <si>
    <t>Alat Laboratorium Sarana Bantu Navigasi Pelayaran</t>
  </si>
  <si>
    <t>Alat Laboratorium Uji Perangkat</t>
  </si>
  <si>
    <t>Alat Laboratorium Standarisasi Kalibrasi dan Instrumentasi Lainnya</t>
  </si>
  <si>
    <t>i</t>
  </si>
  <si>
    <t>Alat Persenjataan</t>
  </si>
  <si>
    <t xml:space="preserve">Senjata Api </t>
  </si>
  <si>
    <t>Senjata Genggam</t>
  </si>
  <si>
    <t>Senjata Pinggang</t>
  </si>
  <si>
    <t xml:space="preserve">Senjata Bahu/Senjata Laras Panjang </t>
  </si>
  <si>
    <t xml:space="preserve">Senapan Mesin </t>
  </si>
  <si>
    <t>Mortir</t>
  </si>
  <si>
    <t xml:space="preserve">Anti Lapis Baja </t>
  </si>
  <si>
    <t xml:space="preserve">Artileri Medan (Armed) </t>
  </si>
  <si>
    <t xml:space="preserve">Artileri Pertahanan Udara (Arhanud) </t>
  </si>
  <si>
    <t xml:space="preserve">Kavaleri </t>
  </si>
  <si>
    <t xml:space="preserve">Senjata Lain-Lain </t>
  </si>
  <si>
    <t>Persenjataan Non Senjata Api</t>
  </si>
  <si>
    <t xml:space="preserve">Alat Keamanan </t>
  </si>
  <si>
    <t xml:space="preserve">Non Senjata Api </t>
  </si>
  <si>
    <t xml:space="preserve">Alat Penjinak Bahan Peledak (Aljihandak) </t>
  </si>
  <si>
    <t xml:space="preserve">Alat Nuklir, Biologi Dan Kimia </t>
  </si>
  <si>
    <t xml:space="preserve">Persenjataan Non Senjata Api Lainnya </t>
  </si>
  <si>
    <t xml:space="preserve">Senjata Sinar </t>
  </si>
  <si>
    <t>Laser</t>
  </si>
  <si>
    <t xml:space="preserve">Senjata Sinar Lainnya </t>
  </si>
  <si>
    <t>j</t>
  </si>
  <si>
    <t>10</t>
  </si>
  <si>
    <t>Komputer</t>
  </si>
  <si>
    <t>Komputer Unit</t>
  </si>
  <si>
    <t>Komputer Jaringan</t>
  </si>
  <si>
    <t>Personal Computer</t>
  </si>
  <si>
    <t>Komputer Unit Lainnya</t>
  </si>
  <si>
    <t>Peralatan Komputer</t>
  </si>
  <si>
    <t>Peralatan Mainframe</t>
  </si>
  <si>
    <t>Peralatan Mini Computer</t>
  </si>
  <si>
    <t>Peralatan Personal Computer</t>
  </si>
  <si>
    <t>Peralatan Jaringan</t>
  </si>
  <si>
    <t>Peralatan Komputer Lainnya</t>
  </si>
  <si>
    <t>k</t>
  </si>
  <si>
    <t>11</t>
  </si>
  <si>
    <t>Alat Eksplorasi</t>
  </si>
  <si>
    <t>Alat Eksplorasi Topografi</t>
  </si>
  <si>
    <t>Optik</t>
  </si>
  <si>
    <t>Ukur/Instrumen</t>
  </si>
  <si>
    <t>Alat Eksplorasi Topografi Lainnya</t>
  </si>
  <si>
    <t>Alat Eksplorasi Geofisika</t>
  </si>
  <si>
    <t>Mekanik</t>
  </si>
  <si>
    <t>Elektronik/Electric</t>
  </si>
  <si>
    <t>Manual</t>
  </si>
  <si>
    <t>Alat Eksplorasi Geofisika Lainnya</t>
  </si>
  <si>
    <t>l</t>
  </si>
  <si>
    <t>12</t>
  </si>
  <si>
    <t>Alat Pengeboran</t>
  </si>
  <si>
    <t>Alat Pengeboran Mesin</t>
  </si>
  <si>
    <t>Bor Mesin Tumbuk</t>
  </si>
  <si>
    <t>Bor Mesin Putar</t>
  </si>
  <si>
    <t>Alat Pengeboran Mesin Lainnya</t>
  </si>
  <si>
    <t>Alat Pengeboran Non Mesin</t>
  </si>
  <si>
    <t>Bangka</t>
  </si>
  <si>
    <t>Pantek</t>
  </si>
  <si>
    <t>Putar</t>
  </si>
  <si>
    <t>Peralatan Bantu</t>
  </si>
  <si>
    <t>Alat Pengeboran Non Mesin Lainnya</t>
  </si>
  <si>
    <t>m</t>
  </si>
  <si>
    <t>13</t>
  </si>
  <si>
    <t>Alat Produksi, Pengolahan, dan Pemurnian</t>
  </si>
  <si>
    <t>Sumur</t>
  </si>
  <si>
    <t>Peralatan Sumur Minyak</t>
  </si>
  <si>
    <t>Sumur Pemboran</t>
  </si>
  <si>
    <t>Sumur Lainnya</t>
  </si>
  <si>
    <t>Produksi</t>
  </si>
  <si>
    <t>RIG</t>
  </si>
  <si>
    <t>Produksi Lainnya</t>
  </si>
  <si>
    <t>Pengolahan dan Pemurnian</t>
  </si>
  <si>
    <t>Alat Pengolahan Minyak</t>
  </si>
  <si>
    <t>Alat Pengolahan Air</t>
  </si>
  <si>
    <t>Alat Pengolahan Steam</t>
  </si>
  <si>
    <t>Alat Pengolahan Wax</t>
  </si>
  <si>
    <t>Pengolahan dan Pemurnian Lainnya</t>
  </si>
  <si>
    <t>n</t>
  </si>
  <si>
    <t>14</t>
  </si>
  <si>
    <t>Alat Bantu Eksplorasi</t>
  </si>
  <si>
    <t>Elektrik</t>
  </si>
  <si>
    <t>Alat Bantu Ekplorasi Lainnya</t>
  </si>
  <si>
    <t>Alat Bantu Produksi</t>
  </si>
  <si>
    <t>Perawatan Sumur</t>
  </si>
  <si>
    <t>Tes Unit</t>
  </si>
  <si>
    <t>Alat Bantu Produksi Lainnya</t>
  </si>
  <si>
    <t>o</t>
  </si>
  <si>
    <t>15</t>
  </si>
  <si>
    <t>Alat Keselamatan Kerja</t>
  </si>
  <si>
    <t>Alat Deteksi</t>
  </si>
  <si>
    <t>Radiasi</t>
  </si>
  <si>
    <t>Suara</t>
  </si>
  <si>
    <t>Alat Deteksi Lainnya</t>
  </si>
  <si>
    <t>Alat Pelindung</t>
  </si>
  <si>
    <t>Baju Pengaman</t>
  </si>
  <si>
    <t>Masker</t>
  </si>
  <si>
    <t>Topi Kerja</t>
  </si>
  <si>
    <t>Sabuk Pengaman</t>
  </si>
  <si>
    <t>Sepatu Lapangan</t>
  </si>
  <si>
    <t>Alat Pelindung Lainnya</t>
  </si>
  <si>
    <t>Alat SAR</t>
  </si>
  <si>
    <t>Alat Penolong</t>
  </si>
  <si>
    <t>Alat Pendukung Pencarian</t>
  </si>
  <si>
    <t>Alat Kerja Bawah Air</t>
  </si>
  <si>
    <t>Alat SAR Lainnya</t>
  </si>
  <si>
    <t>Alat Kerja Penerbangan</t>
  </si>
  <si>
    <t>Peralatan Fasilitas Komunikasi Penerbangan</t>
  </si>
  <si>
    <t>Peralatan Fasilitas Navigasi dan Pengamatan Penerbangan</t>
  </si>
  <si>
    <t>Peralatan Fasilitas Bantu Pendaratan</t>
  </si>
  <si>
    <t>Peralatan Fasilitas Bantu Pelayanan dan Pengamanan Bandar Udara</t>
  </si>
  <si>
    <t>Peralatan Fasilitas Listrik Bandar Udara</t>
  </si>
  <si>
    <t>Alat Ukur Peralatan Faslektrik</t>
  </si>
  <si>
    <t>Alat Kerja Penerbangan Lainnya</t>
  </si>
  <si>
    <t>p</t>
  </si>
  <si>
    <t>16</t>
  </si>
  <si>
    <t>Alat Peraga</t>
  </si>
  <si>
    <t>Alat Peraga Pelatihan dan Percontohan</t>
  </si>
  <si>
    <t>Alat Peraga Pelatihan</t>
  </si>
  <si>
    <t>Alat Peraga Percontohan</t>
  </si>
  <si>
    <t>Alat Peraga Pelatihan dan Percontohan Lainnya</t>
  </si>
  <si>
    <t>q</t>
  </si>
  <si>
    <t>17</t>
  </si>
  <si>
    <t>Peralatan Proses/Produksi</t>
  </si>
  <si>
    <t>Unit Peralatan Proses/Produksi</t>
  </si>
  <si>
    <t>Liquid-Liquid Contractor Equipment</t>
  </si>
  <si>
    <t>Solid-Solid Mixing Equipment</t>
  </si>
  <si>
    <t>Solid-Solid Screening Equipment</t>
  </si>
  <si>
    <t>Solid-Solid Classifier</t>
  </si>
  <si>
    <t>Solid-Liquid Mixing Equipment</t>
  </si>
  <si>
    <t>Solid Liquid Crystallization Equipment</t>
  </si>
  <si>
    <t>Ion Exchange Absortion Equipment</t>
  </si>
  <si>
    <t>Leaching Equipment</t>
  </si>
  <si>
    <t>Gravity Sedimentation Equipment</t>
  </si>
  <si>
    <t>Solid Liquid Filtering Equipment</t>
  </si>
  <si>
    <t>Centrifuge for Solid Liquid</t>
  </si>
  <si>
    <t>Liquid from Solid Expelling (Expressor)-Equipment</t>
  </si>
  <si>
    <t>Gas-Solid Drying Equipment</t>
  </si>
  <si>
    <t>Gas-Solid Fluidised Bed Equipment</t>
  </si>
  <si>
    <t>Gas-Solid Separation Equipment</t>
  </si>
  <si>
    <t>Gas-Liquid Distillation Equipment</t>
  </si>
  <si>
    <t>Gas-Liquid Separation Equipment</t>
  </si>
  <si>
    <t>Isotope Separation Equipment</t>
  </si>
  <si>
    <t>Transport and Storage Equipment for Liquid</t>
  </si>
  <si>
    <t>Solid Material Handling Equipment</t>
  </si>
  <si>
    <t>Size Reduction Size Balargement Equipment</t>
  </si>
  <si>
    <t>Heat Generating Equipment</t>
  </si>
  <si>
    <t>Heat Transfer Equipment</t>
  </si>
  <si>
    <t>Mechanical Process</t>
  </si>
  <si>
    <t>Chemical Reaction Equipment</t>
  </si>
  <si>
    <t>Unit Peralatan Proses/Produksi Lainnya</t>
  </si>
  <si>
    <t>r</t>
  </si>
  <si>
    <t>18</t>
  </si>
  <si>
    <t>Rambu-rambu</t>
  </si>
  <si>
    <t>Rambu-rambu Lalu Lintas Darat</t>
  </si>
  <si>
    <t>Rambu Bersuar</t>
  </si>
  <si>
    <t>Rambu Tidak Bersuar</t>
  </si>
  <si>
    <t>Rambu-Rambu Lalu Lintas Darat Lainnya</t>
  </si>
  <si>
    <t>Rambu-rambu Lalu Lintas Udara</t>
  </si>
  <si>
    <t>Runway/Threshold Light</t>
  </si>
  <si>
    <t>Visual Approach Slope Indicator (VASI)</t>
  </si>
  <si>
    <t>Approach Light</t>
  </si>
  <si>
    <t>Runway Identification Light (REILS)</t>
  </si>
  <si>
    <t>Signal</t>
  </si>
  <si>
    <t>Flood Lights</t>
  </si>
  <si>
    <t>Rambu-Rambu Lalu Lintas Udara Lainnya</t>
  </si>
  <si>
    <t>Rambu-rambu Lalu Lintas Laut</t>
  </si>
  <si>
    <t>Rambu-Rambu Lalu Lintas Laut</t>
  </si>
  <si>
    <t>Rambu-Rambu Lalu Lintas Laut Lainnya</t>
  </si>
  <si>
    <t>s</t>
  </si>
  <si>
    <t>19</t>
  </si>
  <si>
    <t>Peralatan Olahraga Atletik</t>
  </si>
  <si>
    <t>Peralatan Permainan</t>
  </si>
  <si>
    <t>Peralatan Senam</t>
  </si>
  <si>
    <t>Peralatan Olahraga Air</t>
  </si>
  <si>
    <t>Peralatan Olahraga Udara</t>
  </si>
  <si>
    <t>Peralatan Olahraga Lainnya</t>
  </si>
  <si>
    <t>Bangunan Gedung</t>
  </si>
  <si>
    <t>Bangunan Gedung Tempat Kerja</t>
  </si>
  <si>
    <t>Bangunan Gedung Kantor</t>
  </si>
  <si>
    <t>Bangunan Gudang</t>
  </si>
  <si>
    <t>Bangunan Gedung untuk Bengkel/Hanggar</t>
  </si>
  <si>
    <t>Bangunan Gedung Instalasi</t>
  </si>
  <si>
    <t>Bangunan Gedung Laboratorium</t>
  </si>
  <si>
    <t>Bangunan Kesehatan</t>
  </si>
  <si>
    <t>Bangunan Oseanarium/Observatorium</t>
  </si>
  <si>
    <t>Bangunan Gedung Tempat Ibadah</t>
  </si>
  <si>
    <t>Bangunan Gedung Tempat Pertemuan</t>
  </si>
  <si>
    <t>Bangunan Gedung Tempat Pendidikan</t>
  </si>
  <si>
    <t>Bangunan Gedung Tempat Olahraga</t>
  </si>
  <si>
    <t>Bangunan Gedung Pertokoan/Koperasi/Pasar</t>
  </si>
  <si>
    <t>Bangunan Gedung untuk Pos Jaga</t>
  </si>
  <si>
    <t>Bangunan Gedung Garasi/Pool</t>
  </si>
  <si>
    <t>Bangunan Gedung Pemotong Hewan</t>
  </si>
  <si>
    <t>Bangunan Gedung Perpustakaan</t>
  </si>
  <si>
    <t>Bangunan Gedung Museum</t>
  </si>
  <si>
    <t>Bangunan Gedung Terminal/Pelabuhan/Bandara</t>
  </si>
  <si>
    <t>Bangunan Pengujian Kelaikan</t>
  </si>
  <si>
    <t>Bangunan Gedung Lembaga Pemasyarakatan</t>
  </si>
  <si>
    <t>Bangunan Rumah Tahanan</t>
  </si>
  <si>
    <t>Bangunan Gedung Krematorium</t>
  </si>
  <si>
    <t>Bangunan Pembakaran Bangkai Hewan</t>
  </si>
  <si>
    <t>Bangunan Tempat Persidangan</t>
  </si>
  <si>
    <t>Bangunan Terbuka</t>
  </si>
  <si>
    <t>Bangunan Penampung Sekam</t>
  </si>
  <si>
    <t>Bangunan Tempat Pelelangan Ikan (TPI)</t>
  </si>
  <si>
    <t>Bangunan Industri</t>
  </si>
  <si>
    <t>Bangunan Peternakan/Perikanan</t>
  </si>
  <si>
    <t>Bangunan Gedung Tempat Kerja Lainnya</t>
  </si>
  <si>
    <t>Bangunan Peralatan Geofisika</t>
  </si>
  <si>
    <t>Bangunan Fasilitas Umum</t>
  </si>
  <si>
    <t>Bangunan Parkir</t>
  </si>
  <si>
    <t>Bangunan Gedung Pabrik</t>
  </si>
  <si>
    <t>Bangunan Stasiun Bus</t>
  </si>
  <si>
    <t>Taman</t>
  </si>
  <si>
    <t>Bangunan Gedung Tempat Tinggal</t>
  </si>
  <si>
    <t>Rumah Negara Golongan I</t>
  </si>
  <si>
    <t>Rumah Negara Golongan II</t>
  </si>
  <si>
    <t>Rumah Negara Golongan III</t>
  </si>
  <si>
    <t>Mess/Wisma/Bungalow/Tempat Peristirahatan</t>
  </si>
  <si>
    <t>Hotel</t>
  </si>
  <si>
    <t>Motel</t>
  </si>
  <si>
    <t>Flat/Rumah Susun</t>
  </si>
  <si>
    <t>Rumah Negara dalam Proses Penggolongan</t>
  </si>
  <si>
    <t>Panti Asuhan</t>
  </si>
  <si>
    <t>Apartemen</t>
  </si>
  <si>
    <t>Rumah Tidak Bersusun</t>
  </si>
  <si>
    <t>Bangunan Gedung Tempat Tinggal Lainnya</t>
  </si>
  <si>
    <t>Monumen</t>
  </si>
  <si>
    <t>Candi/Tugu Peringatan/Prasasti</t>
  </si>
  <si>
    <t>Candi</t>
  </si>
  <si>
    <t>Tugu</t>
  </si>
  <si>
    <t>Bangunan Peninggalan</t>
  </si>
  <si>
    <t>Candi/Tugu Peringatan/Prasasti Lainnya</t>
  </si>
  <si>
    <t>Bangunan Menara</t>
  </si>
  <si>
    <t xml:space="preserve">Bangunan Menara Perambuan </t>
  </si>
  <si>
    <t>Bangunan Menara Perambuan Penerangan Pantai</t>
  </si>
  <si>
    <t>Bangunan Perambuan Penerangan Pantai</t>
  </si>
  <si>
    <t>Bangunan Menara Telekomunikasi</t>
  </si>
  <si>
    <t>Bangunan Menara Pengawas</t>
  </si>
  <si>
    <t>Bangunan Menara Perambuan Lainnya</t>
  </si>
  <si>
    <t>Tugu Titik Kontrol/Pasti</t>
  </si>
  <si>
    <t>Tugu/Tanda Batas</t>
  </si>
  <si>
    <t>Tugu/Tanda Batas Administrasi</t>
  </si>
  <si>
    <t>Tugu/Tanda Jaring Kontrol Geodesi</t>
  </si>
  <si>
    <t>Pilar/Tugu/Tanda Lainnya</t>
  </si>
  <si>
    <t>Pagar</t>
  </si>
  <si>
    <t>Tugu/Tanda Batas Lainnya</t>
  </si>
  <si>
    <t>JALAN, IRIGASI DAN JARINGAN</t>
  </si>
  <si>
    <t>Jalan dan Jembatan</t>
  </si>
  <si>
    <t>Jalan</t>
  </si>
  <si>
    <t>Jalan Nasional</t>
  </si>
  <si>
    <t>Jalan Provinsi</t>
  </si>
  <si>
    <t>Jalan Kabupaten</t>
  </si>
  <si>
    <t>Jalan Kota</t>
  </si>
  <si>
    <t>Jalan Desa</t>
  </si>
  <si>
    <t>Jalan Tol</t>
  </si>
  <si>
    <t>Jalan Kereta Api</t>
  </si>
  <si>
    <t>Landasan Pacu Pesawat Terbang</t>
  </si>
  <si>
    <t>Jalan Khusus</t>
  </si>
  <si>
    <t>Jalan Lainnya</t>
  </si>
  <si>
    <t>Jembatan</t>
  </si>
  <si>
    <t>Jembatan pada Jalan Nasional</t>
  </si>
  <si>
    <t>Jembatan pada Jalan Provinsi</t>
  </si>
  <si>
    <t>Jembatan pada Jalan Kabupaten</t>
  </si>
  <si>
    <t>Jembatan pada Jalan Kota</t>
  </si>
  <si>
    <t>Jembatan pada Jalan Desa</t>
  </si>
  <si>
    <t>Jembatan pada Jalan Tol</t>
  </si>
  <si>
    <t>Jembatan pada Jalan Kereta Api</t>
  </si>
  <si>
    <t>Jembatan pada Landasan Pacu Pesawat Terbang</t>
  </si>
  <si>
    <t>Jembatan pada Jalan Khusus</t>
  </si>
  <si>
    <t>Jembatan Penyeberangan</t>
  </si>
  <si>
    <t>Jembatan Labuh/Sandar pada Terminal</t>
  </si>
  <si>
    <t>Jembatan Pengukur</t>
  </si>
  <si>
    <t>Jembatan Lainnya</t>
  </si>
  <si>
    <t>Bangunan Air</t>
  </si>
  <si>
    <t>Bangunan Air Irigasi</t>
  </si>
  <si>
    <t>Bangunan Waduk Irigasi</t>
  </si>
  <si>
    <t>Bangunan Pengambilan Irigasi</t>
  </si>
  <si>
    <t>Bangunan Pembawa Irigasi</t>
  </si>
  <si>
    <t>Bangunan Pembuang Irigasi</t>
  </si>
  <si>
    <t>Bangunan Pengaman Irigasi</t>
  </si>
  <si>
    <t>Bangunan Pelengkap Irigasi</t>
  </si>
  <si>
    <t>Bangunan Sawah Irigasi</t>
  </si>
  <si>
    <t>Bangunan Air Irigasi Lainnya</t>
  </si>
  <si>
    <t>Bangunan Pengairan Pasang Surut</t>
  </si>
  <si>
    <t>Bangunan Waduk Pasang Surut</t>
  </si>
  <si>
    <t>Bangunan Pengambilan Pasang Surut</t>
  </si>
  <si>
    <t>Bangunan Pembawa Pasang Surut</t>
  </si>
  <si>
    <t>Saluran Pembuang Pasang Surut</t>
  </si>
  <si>
    <t>Bangunan Pengaman Pasang Surut</t>
  </si>
  <si>
    <t>Bangunan Pelengkap Pasang Surut</t>
  </si>
  <si>
    <t>Bangunan Sawah Pasang Surut</t>
  </si>
  <si>
    <t>Bangunan Pengairan Pasang Surut Lainnya</t>
  </si>
  <si>
    <t>Bangunan Pengembangan Rawa dan Polder</t>
  </si>
  <si>
    <t>Bangunan Waduk Pengembangan Rawa</t>
  </si>
  <si>
    <t>Bangunan Pengambilan Pengembangan Rawa</t>
  </si>
  <si>
    <t>Bangunan Pembawa Pengembangan Rawa</t>
  </si>
  <si>
    <t>Bangunan Pembuang Pengembangan Rawa</t>
  </si>
  <si>
    <t>Bangunan Pengaman Pengembangan Rawa</t>
  </si>
  <si>
    <t>Bangunan Pelengkap Pengembangan Rawa</t>
  </si>
  <si>
    <t>Bangunan Sawah Pengembangan Rawa</t>
  </si>
  <si>
    <t>Bangunan Pengembangan Rawa dan Polder Lainnya</t>
  </si>
  <si>
    <t>Bangunan Pengaman Sungai/Pantai dan Penanggulangan Bencana Alam</t>
  </si>
  <si>
    <t>Bangunan Pengambilan Pengaman Sungai/Pantai</t>
  </si>
  <si>
    <t>Bangunan Pembawa Pengaman Sungai/Pantai</t>
  </si>
  <si>
    <t>Bangunan Pembuang Pengaman Sungai</t>
  </si>
  <si>
    <t>Bangunan Pengaman Pengamanan Sungai/Pantai</t>
  </si>
  <si>
    <t>Bangunan Pelengkap Pengaman Sungai</t>
  </si>
  <si>
    <t>Bangunan Pengaman Sungai/Pantai dan Penanggulangan Bencana Alam Lainnya</t>
  </si>
  <si>
    <t>Bangunan Pengembangan Sumber Air dan Air Tanah</t>
  </si>
  <si>
    <t>Bangunan Waduk Pengembangan Sumber Air</t>
  </si>
  <si>
    <t>Bangunan Pengambilan Pengembangan Sumber Air</t>
  </si>
  <si>
    <t>Bangunan Pembawa Pengembangan Sumber Air</t>
  </si>
  <si>
    <t>Bangunan Pembuang Pengembangan Sumber Air</t>
  </si>
  <si>
    <t>Bangunan Pengaman Pengembangan Sumber Air</t>
  </si>
  <si>
    <t>Bangunan Pelengkap Pengembangan Sumber Air</t>
  </si>
  <si>
    <t>Bangunan Sawah Irigasi Air Tanah</t>
  </si>
  <si>
    <t>Bangunan Pengembangan Sumber Air dan Air Tanah Lainnya</t>
  </si>
  <si>
    <t>Bangunan Air Bersih/Air Baku</t>
  </si>
  <si>
    <t>Bangunan Waduk Air Bersih/Air Baku</t>
  </si>
  <si>
    <t>Bangunan Pengambilan Air Bersih/Air Baku</t>
  </si>
  <si>
    <t>Bangunan Pembawa Air Bersih/Air Baku</t>
  </si>
  <si>
    <t>Bangunan Pembuang Air Bersih/Air Baku</t>
  </si>
  <si>
    <t>Bangunan Pelengkap Air Bersih/Air Baku</t>
  </si>
  <si>
    <t>Bangunan Air Bersih/Air Baku Lainnya</t>
  </si>
  <si>
    <t>Bangunan Air Kotor</t>
  </si>
  <si>
    <t>Bangunan Pembawa Air Kotor</t>
  </si>
  <si>
    <t>Bangunan Waduk Air Kotor</t>
  </si>
  <si>
    <t>Bangunan Pembuang Air Kotor</t>
  </si>
  <si>
    <t>Bangunan Pengaman Air Kotor</t>
  </si>
  <si>
    <t>Bangunan Pelengkap Air Kotor</t>
  </si>
  <si>
    <t>Bangunan Air Kotor Lainnya</t>
  </si>
  <si>
    <t>Instalasi</t>
  </si>
  <si>
    <t>Instalasi Air Bersih/Air Baku</t>
  </si>
  <si>
    <t>Instalasi Air Permukaan</t>
  </si>
  <si>
    <t>Instalasi Air Sumber/Mata Air</t>
  </si>
  <si>
    <t>Instalasi Air Tanah Dalam</t>
  </si>
  <si>
    <t>Instalasi Air Tanah Dangkal</t>
  </si>
  <si>
    <t>Instalasi Air Bersih/Air Baku Lainnya</t>
  </si>
  <si>
    <t>Instalasi Air Kotor</t>
  </si>
  <si>
    <t>Instalasi Air Buangan Domestik</t>
  </si>
  <si>
    <t>Instalasi Air Buangan Industri</t>
  </si>
  <si>
    <t>Instalasi Air Buangan Pertanian</t>
  </si>
  <si>
    <t>Instalasi Air Kotor Lainnya</t>
  </si>
  <si>
    <t>Instalasi Pengolahan Sampah</t>
  </si>
  <si>
    <t>Instalasi Pengolahan Sampah Organik</t>
  </si>
  <si>
    <t>Instalasi Pengolahan Sampah Non Organik</t>
  </si>
  <si>
    <t>Bangunan Penampung Sampah</t>
  </si>
  <si>
    <t>Instalasi Pengolahan Sampah Lainnya</t>
  </si>
  <si>
    <t>Instalasi Pengolahan Bahan Bangunan</t>
  </si>
  <si>
    <t>Instalasi Pengolahan Bahan Bangunan Percontohan</t>
  </si>
  <si>
    <t>Instalasi Pengolahan Bahan Bangunan Perintis</t>
  </si>
  <si>
    <t>Instalasi Pengolahan Bahan Bangunan Terapan</t>
  </si>
  <si>
    <t>Instalasi Pengolahan Bahan Bangunan Lainnya</t>
  </si>
  <si>
    <t>Instalasi Pembangkit Listrik</t>
  </si>
  <si>
    <t>Instalasi Pembangkit Listrik Tenaga Air (PLTA)</t>
  </si>
  <si>
    <t>Instalasi Pembangkit Listrik Tenaga Diesel (PLTD)</t>
  </si>
  <si>
    <t>Instalasi Pembangkit Listrik Tenaga Mikro Hidro (PLTM)</t>
  </si>
  <si>
    <t>Instalasi Pembangkit Listrik Tenaga Angin (PLTAN)</t>
  </si>
  <si>
    <t>Instalasi Pembangkit Listrik Tenaga Uap (PLTU)</t>
  </si>
  <si>
    <t>Instalasi Pembangkit Listrik Tenaga Nuklir (PLTN)</t>
  </si>
  <si>
    <t>Instalasi Pembangkit Listrik Tenaga Gas (PLTG)</t>
  </si>
  <si>
    <t>Instalasi Pembangkit Listrik Tenaga Panas Bumi (PLTP)</t>
  </si>
  <si>
    <t>Instalasi Pembangkit Listrik Tenaga Surya (PLTS)</t>
  </si>
  <si>
    <t>Instalasi Pembangkit Listrik Tenaga Biogas (PLTB)</t>
  </si>
  <si>
    <t>Instalasi Pembangkit Listrik Tenaga Samudera/Gelombang Samudera</t>
  </si>
  <si>
    <t>Instalasi Pembangkit Listrik Lainnya</t>
  </si>
  <si>
    <t>Instalasi Gardu Listrik</t>
  </si>
  <si>
    <t>Instalasi Gardu Listrik Induk</t>
  </si>
  <si>
    <t>Instalasi Gardu Listrik Distribusi</t>
  </si>
  <si>
    <t>Instalasi Pusat Pengatur Listrik</t>
  </si>
  <si>
    <t>Instalasi Gardu Listrik Lainnya</t>
  </si>
  <si>
    <t>Instalasi Pertahanan</t>
  </si>
  <si>
    <t>Instalasi Pertahanan di Darat</t>
  </si>
  <si>
    <t>Instalasi Pertahanan Lainnya</t>
  </si>
  <si>
    <t>Instalasi Gas</t>
  </si>
  <si>
    <t>Instalasi Gardu Gas</t>
  </si>
  <si>
    <t>Instalasi Jaringan Pipa Gas</t>
  </si>
  <si>
    <t>Instalasi Pengolahan Gas</t>
  </si>
  <si>
    <t>Instalasi Gas Lainnya</t>
  </si>
  <si>
    <t>Instalasi Pengaman</t>
  </si>
  <si>
    <t>Instalasi Pengaman Penangkal Petir</t>
  </si>
  <si>
    <t>Instalasi Reaktor Nuklir</t>
  </si>
  <si>
    <t>Instalasi Pengolahan Limbah Radioaktif</t>
  </si>
  <si>
    <t>Instalasi Pengaman Lainnya</t>
  </si>
  <si>
    <t>Instalasi Lain</t>
  </si>
  <si>
    <t>Jaringan</t>
  </si>
  <si>
    <t>Jaringan Air Minum</t>
  </si>
  <si>
    <t>Jaringan Pembawa</t>
  </si>
  <si>
    <t>Jaringan Induk Distribusi</t>
  </si>
  <si>
    <t>Jaringan Cabang Distribusi</t>
  </si>
  <si>
    <t>Jaringan Sambungan ke Rumah</t>
  </si>
  <si>
    <t>Jaringan Air Minum Lainnya</t>
  </si>
  <si>
    <t>Jaringan Transmisi</t>
  </si>
  <si>
    <t>Jaringan Distribusi</t>
  </si>
  <si>
    <t>Jaringan Listrik Lainnya</t>
  </si>
  <si>
    <t>Jaringan Telepon</t>
  </si>
  <si>
    <t>Jaringan Telepon di atas Tanah</t>
  </si>
  <si>
    <t>Jaringan Telepon di bawah Tanah</t>
  </si>
  <si>
    <t>Jaringan Telepon di dalam Air</t>
  </si>
  <si>
    <t>Jaringan dengan Media Udara</t>
  </si>
  <si>
    <t>Jaringan Telepon Lainnya</t>
  </si>
  <si>
    <t>Jaringan Gas</t>
  </si>
  <si>
    <t>Jaringan Pipa Gas Transmisi</t>
  </si>
  <si>
    <t>Jaringan Pipa Distribusi</t>
  </si>
  <si>
    <t>Jaringan Pipa Dinas</t>
  </si>
  <si>
    <t>Jaringan BBM</t>
  </si>
  <si>
    <t>Jaringan Gas Lainnya</t>
  </si>
  <si>
    <t>Bahan Perpustakaan</t>
  </si>
  <si>
    <t>Bahan Perpustakaan Tercetak</t>
  </si>
  <si>
    <t>Buku Filsafat</t>
  </si>
  <si>
    <t>Buku Agama</t>
  </si>
  <si>
    <t>Buku Ilmu Sosial</t>
  </si>
  <si>
    <t>Buku Matematika dan Pengetahuan Alam</t>
  </si>
  <si>
    <t>Buku Ilmu Pengetahuan Praktis</t>
  </si>
  <si>
    <t>Buku Arsitektur, Kesenian, dan Olahraga</t>
  </si>
  <si>
    <t>Buku Geografi, Biografi, dan Sejarah</t>
  </si>
  <si>
    <t>Serial</t>
  </si>
  <si>
    <t>Buku Laporan</t>
  </si>
  <si>
    <t>Bahan Perpustakaan Tercetak Lainnya</t>
  </si>
  <si>
    <t>Bahan Perpustakaan Terekam dan Bentuk Mikro</t>
  </si>
  <si>
    <t>Audio Visual</t>
  </si>
  <si>
    <t>Bentuk Mikro (Microform)</t>
  </si>
  <si>
    <t>Terekam dan Bentuk Mikro Lainnya</t>
  </si>
  <si>
    <t>Kartografi, Naskah dan Lukisan</t>
  </si>
  <si>
    <t>Bahan Kartografi</t>
  </si>
  <si>
    <t>Naskah (Manuskrip)/Asli</t>
  </si>
  <si>
    <t>Lukisan dan Ukiran</t>
  </si>
  <si>
    <t>Kartografi, Naskah, dan Lukisan Lainnya</t>
  </si>
  <si>
    <t>Musik</t>
  </si>
  <si>
    <t>Karya Musik</t>
  </si>
  <si>
    <t>Musik Lainnya</t>
  </si>
  <si>
    <t>Karya Grafika (Graphic Material)</t>
  </si>
  <si>
    <t>Karya Grafika (Graphic Material) Lainnya</t>
  </si>
  <si>
    <t>Three Dimensional Artifacts and Realita</t>
  </si>
  <si>
    <t>Three Dimensional Artifacts and Realita Lainnya</t>
  </si>
  <si>
    <t>Tarscalt</t>
  </si>
  <si>
    <t>Tarscalt Lainnya</t>
  </si>
  <si>
    <t>Barang Bercorak Kesenian/Kebudayaan/ Olahraga</t>
  </si>
  <si>
    <t>Barang Bercorak Kesenian</t>
  </si>
  <si>
    <t>Alat Musik</t>
  </si>
  <si>
    <t>Lukisan</t>
  </si>
  <si>
    <t>Alat Peraga Kesenian</t>
  </si>
  <si>
    <t>Barang Bercorak Kesenian Lainnya</t>
  </si>
  <si>
    <t>Alat Bercorak Kebudayaan</t>
  </si>
  <si>
    <t>Pahatan</t>
  </si>
  <si>
    <t>Maket, Miniatur, Replika, Foto Dokumen, dan Benda Bersejarah</t>
  </si>
  <si>
    <t>Barang Kerajinan</t>
  </si>
  <si>
    <t>Alat Bercorak Kebudayaan Lainnya</t>
  </si>
  <si>
    <t>Tanda Penghargaan</t>
  </si>
  <si>
    <t>Tanda Penghargaan Bidang Olahraga</t>
  </si>
  <si>
    <t>Tanda Penghargaan Bidang Lainnya</t>
  </si>
  <si>
    <t>Hewan</t>
  </si>
  <si>
    <t>Hewan Piaraan</t>
  </si>
  <si>
    <t>Hewan Pengaman</t>
  </si>
  <si>
    <t>Hewan Pengangkut</t>
  </si>
  <si>
    <t>Hewan Kebun Binatang</t>
  </si>
  <si>
    <t>Hewan Piaraan Lainnya</t>
  </si>
  <si>
    <t>Ternak</t>
  </si>
  <si>
    <t>Ternak Potong</t>
  </si>
  <si>
    <t>Ternak Perah</t>
  </si>
  <si>
    <t>Ternak Unggas</t>
  </si>
  <si>
    <t>Ternak Lainnya</t>
  </si>
  <si>
    <t>Hewan Lainnya</t>
  </si>
  <si>
    <t>Biota Perairan</t>
  </si>
  <si>
    <t>Ikan Bersirip (Pisces/Ikan Bersirip)</t>
  </si>
  <si>
    <t>Ikan Budidaya</t>
  </si>
  <si>
    <t>Crustacea (Udang, Rajungan, Kepiting, dan Sebangsanya)</t>
  </si>
  <si>
    <t>Crustacea Budidaya (Udang, Rajungan, Kepiting, dan Sebangsanya)</t>
  </si>
  <si>
    <t>Mollusca (Kerang, Tiram, Cumi-Cumi, Gurita, Siput, dan Sebangsanya)</t>
  </si>
  <si>
    <t>Mollusca Budidaya (Kerang, Tiram, Cumi-cumi, Gurita, Siput, dan Sebangsanya)</t>
  </si>
  <si>
    <t>Coelenterata (Ubur-Ubur dan Sebangsanya)</t>
  </si>
  <si>
    <t>Coelenterata Budidaya (Ubur-Ubur dan Sebangsanya)</t>
  </si>
  <si>
    <t>Echinodermata (Tripang, Bulu Babi dan Sebangsanya)</t>
  </si>
  <si>
    <t>Echinodermata Budidaya (Tripang, Bulu Babi dan Sebangsanya)</t>
  </si>
  <si>
    <t>Amphibia (Kodok dan Sebangsanya)</t>
  </si>
  <si>
    <t>Amphibia Budidaya (Kodok dan Sebangsanya)</t>
  </si>
  <si>
    <t>Reptilia (Buaya, Penyu, Kura-Kura, Biawak, Ular Air, dan Sebangsanya)</t>
  </si>
  <si>
    <t>Reptilia Budidaya (Buaya, Penyu, Kura-Kura, Biawak, Ular Air, dan Sebangsanya)</t>
  </si>
  <si>
    <t>Mammalia (Paus, Lumba-Lumba, Pesut, Duyung, dan Sebangsanya)</t>
  </si>
  <si>
    <t>Mammalia Budidaya (Paus, Lumba-Lumba, Pesut, Duyung, dan Sebangsanya)</t>
  </si>
  <si>
    <t>Algae (Rumput Laut dan Tumbuh-Tumbuhan Lain yang Hidup di dalam Air)</t>
  </si>
  <si>
    <t>Algae Budidaya (Rumput Laut dan Tumbuh-Tumbuhan Lain yang Hidup di dalam Air)</t>
  </si>
  <si>
    <t>Biota Perairan Lainnya</t>
  </si>
  <si>
    <t>Budidaya Biota Perairan Lainnya</t>
  </si>
  <si>
    <t xml:space="preserve">Tanaman </t>
  </si>
  <si>
    <t>Barang Koleksi Non Budaya</t>
  </si>
  <si>
    <t>Hewan Koleksi</t>
  </si>
  <si>
    <t>Biota Perairan Koleksi</t>
  </si>
  <si>
    <t>Tanaman Koleksi</t>
  </si>
  <si>
    <t>Mikroba Koleksi</t>
  </si>
  <si>
    <t>Batuan Koleksi</t>
  </si>
  <si>
    <t>Fosil</t>
  </si>
  <si>
    <t>Barang Koleksi Non Budaya Lainnya</t>
  </si>
  <si>
    <t>Aset Tetap Dalam Renovasi</t>
  </si>
  <si>
    <t>KONSTRUKSI DALAM PENGERJAAN (KDP)</t>
  </si>
  <si>
    <t>Konstruksi Dalam Pengerjaan Tanah</t>
  </si>
  <si>
    <t>Konstruksi Dalam Pengerjaan Tanah Persil-Tanah Bangunan Perumahan/Gedung Tempat Tinggal</t>
  </si>
  <si>
    <t>Konstruksi Dalam Pengerjaan Tanah Persil-Tanah untuk Bangunan Gedung Perdagangan/Perusahaan</t>
  </si>
  <si>
    <t>Konstruksi Dalam Pengerjaan Tanah Persil-Tanah untuk Bangunan Industri</t>
  </si>
  <si>
    <t>Konstruksi Dalam Pengerjaan Tanah Persil-Tanah untuk Bangunan Tempat Kerja</t>
  </si>
  <si>
    <t>Konstruksi Dalam Pengerjaan Tanah Persil-Tanah untuk Bangunan Gedung Sarana Olahraga</t>
  </si>
  <si>
    <t>Konstruksi Dalam Pengerjaan Tanah Persil-Tanah untuk Bangunan Tempat Ibadah</t>
  </si>
  <si>
    <t>Konstruksi Dalam Pengerjaan Tanah Persil-Tanah Persil Lainnya</t>
  </si>
  <si>
    <t>Konstruksi Dalam Pengerjaan Tanah Non Persil-Tanah Basah</t>
  </si>
  <si>
    <t>Konstruksi Dalam Pengerjaan Tanah Non Persil-Tanah Kering</t>
  </si>
  <si>
    <t>Konstruksi Dalam Pengerjaan Tanah Non Persil-Tanah Perkebunan</t>
  </si>
  <si>
    <t>Konstruksi Dalam Pengerjaan Tanah Non Persil-Tanah Hutan</t>
  </si>
  <si>
    <t>Konstruksi Dalam Pengerjaan Tanah Non Persil-Tanah Tandus</t>
  </si>
  <si>
    <t>Konstruksi Dalam Pengerjaan Tanah Non Persil-Tanah Padang Alang-Alang/Rumput</t>
  </si>
  <si>
    <t>Konstruksi Dalam Pengerjaan Tanah Non Persil-Tanah Pertanian</t>
  </si>
  <si>
    <t>Konstruksi Dalam Pengerjaan Tanah Non Persil-Tanah Pertambangan</t>
  </si>
  <si>
    <t>Konstruksi Dalam Pengerjaan Tanah Non Persil-Tanah Non Persil Lainnya</t>
  </si>
  <si>
    <t>Konstruksi Dalam Pengerjaan Lapangan-Tanah Lapangan Olahraga</t>
  </si>
  <si>
    <t>Konstruksi Dalam Pengerjaan Lapangan-Tanah Lapangan Parkir</t>
  </si>
  <si>
    <t>Konstruksi Dalam Pengerjaan Lapangan-Tanah Lapangan Penimbunan Barang</t>
  </si>
  <si>
    <t>Konstruksi Dalam Pengerjaan Lapangan-Tanah Lapangan Pemancar dan Studio Alam</t>
  </si>
  <si>
    <t>Konstruksi Dalam Pengerjaan Lapangan-Tanah Lapangan Pengujian/Pengolahan</t>
  </si>
  <si>
    <t>Konstruksi Dalam Pengerjaan Lapangan-Tanah Lapangan Terbang</t>
  </si>
  <si>
    <t>Konstruksi Dalam Pengerjaan Lapangan-Tanah untuk Jalan</t>
  </si>
  <si>
    <t>Konstruksi Dalam Pengerjaan Lapangan-Tanah untuk Bangunan Air</t>
  </si>
  <si>
    <t>Konstruksi Dalam Pengerjaan Lapangan-Tanah untuk Bangunan Instalasi</t>
  </si>
  <si>
    <t>Konstruksi Dalam Pengerjaan Lapangan-Tanah untuk Bangunan Jaringan</t>
  </si>
  <si>
    <t>Konstruksi Dalam Pengerjaan Lapangan-Tanah untuk Bangunan Bersejarah</t>
  </si>
  <si>
    <t>Konstruksi Dalam Pengerjaan Lapangan-Tanah untuk Makam</t>
  </si>
  <si>
    <t>Konstruksi Dalam Pengerjaan Lapangan-Tanah untuk Taman</t>
  </si>
  <si>
    <t>Konstruksi Dalam Pengerjaan Lapangan-Tanah untuk Latihan</t>
  </si>
  <si>
    <t>Konstruksi Dalam Pengerjaan Lapangan-Tanah Daerah Pertahanan</t>
  </si>
  <si>
    <t>Konstruksi Dalam Pengerjaan Lapangan-Tanah Lapangan PBB</t>
  </si>
  <si>
    <t>Konstruksi Dalam Pengerjaan Lapangan-Tanah Kampung</t>
  </si>
  <si>
    <r>
      <t xml:space="preserve">Konstruksi Dalam Pengerjaan Lapangan- </t>
    </r>
    <r>
      <rPr>
        <i/>
        <sz val="11"/>
        <rFont val="Bookman Old Style"/>
        <family val="1"/>
      </rPr>
      <t>Emplasment</t>
    </r>
  </si>
  <si>
    <t>Konstruksi Dalam Pengerjaan Lapangan-Lapangan Lainnya</t>
  </si>
  <si>
    <t>Konstruksi Dalam Pengerjaan Peralatan dan Mesin</t>
  </si>
  <si>
    <t>Konstruksi Dalam Pengerjaan Alat Besar</t>
  </si>
  <si>
    <t>Konstruksi Dalam Pengerjaan Alat Besar Darat-Tractor</t>
  </si>
  <si>
    <t>Konstruksi Dalam Pengerjaan Alat Besar Darat-Grader</t>
  </si>
  <si>
    <t>Konstruksi Dalam Pengerjaan Alat Besar Darat-Excavator</t>
  </si>
  <si>
    <t>Konstruksi Dalam Pengerjaan Alat Besar Darat-Pile Driver</t>
  </si>
  <si>
    <t>Konstruksi Dalam Pengerjaan Alat Besar Darat-Hauler</t>
  </si>
  <si>
    <t>Konstruksi Dalam Pengerjaan Alat Besar Darat-Asphalt Equipment</t>
  </si>
  <si>
    <t>Konstruksi Dalam Pengerjaan Alat Besar Darat-Compacting Equipment</t>
  </si>
  <si>
    <t>Konstruksi Dalam Pengerjaan Alat Besar Darat-Aggregate and Concrete Equipment.</t>
  </si>
  <si>
    <t>Konstruksi Dalam Pengerjaan Alat Besar Darat-Loader</t>
  </si>
  <si>
    <t>Konstruksi Dalam Pengerjaan Alat Besar Darat-Alat Pengangkat</t>
  </si>
  <si>
    <t>Konstruksi Dalam Pengerjaan Alat Besar Darat-Mesin Proses</t>
  </si>
  <si>
    <t>Konstruksi Dalam Pengerjaan Alat Besar Darat-Alat Besar Darat Lainnya</t>
  </si>
  <si>
    <t>Konstruksi Dalam Pengerjaan Alat Besar Apung-Dredger</t>
  </si>
  <si>
    <t>Konstruksi Dalam Pengerjaan Alat Besar Apung-Floating Excavator</t>
  </si>
  <si>
    <t>Konstruksi Dalam Pengerjaan Alat Besar Apung-Amphibi Dredger</t>
  </si>
  <si>
    <t>Konstruksi Dalam Pengerjaan Alat Besar Apung-Kapal Tarik</t>
  </si>
  <si>
    <t>Konstruksi Dalam Pengerjaan Alat Besar Apung-Mesin Proses Apung</t>
  </si>
  <si>
    <t>Konstruksi Dalam Pengerjaan Alat Besar Apung-Alat Besar Apung Lainnya</t>
  </si>
  <si>
    <t>Konstruksi Dalam Pengerjaan Alat Bantu-Alat Penarik</t>
  </si>
  <si>
    <t>Konstruksi Dalam Pengerjaan Alat Bantu-Feeder</t>
  </si>
  <si>
    <t>Konstruksi Dalam Pengerjaan Alat Bantu-Compressor</t>
  </si>
  <si>
    <t>Konstruksi Dalam Pengerjaan Alat Bantu-Electric Generating Set</t>
  </si>
  <si>
    <t>Konstruksi Dalam Pengerjaan Alat Bantu-Pompa</t>
  </si>
  <si>
    <t>Konstruksi Dalam Pengerjaan Alat Bantu-Mesin Bor</t>
  </si>
  <si>
    <t>Konstruksi Dalam Pengerjaan Alat Bantu-Unit Pemeliharaan Lapangan</t>
  </si>
  <si>
    <t>Konstruksi Dalam Pengerjaan Alat Bantu-Alat Pengolahan Air Kotor</t>
  </si>
  <si>
    <t>Konstruksi Dalam Pengerjaan Alat Bantu-Pembangkit Uap Air Panas/Steam Generator</t>
  </si>
  <si>
    <t>Konstruksi Dalam Pengerjaan Alat Bantu-Air Port Maintenance Equipment/Alat Bantu Penerbangan</t>
  </si>
  <si>
    <t>Konstruksi Dalam Pengerjaan Alat Bantu-Mesin Tatoo</t>
  </si>
  <si>
    <t>Konstruksi Dalam Pengerjaan Alat Bantu-Perlengkapan Kebakaran Hutan</t>
  </si>
  <si>
    <t>Konstruksi Dalam Pengerjaan Alat Bantu-Peralatan Selam</t>
  </si>
  <si>
    <t>Konstruksi Dalam Pengerjaan Alat Bantu-Peralatan SAR Mountenering</t>
  </si>
  <si>
    <t>Konstruksi Dalam Pengerjaan Alat Bantu-Peralatan Intelijen</t>
  </si>
  <si>
    <t>Konstruksi Dalam Pengerjaan Alat Bantu-Alat Bantu Lainnya</t>
  </si>
  <si>
    <t>Konstruksi Dalam Pengerjaan Alat Angkutan</t>
  </si>
  <si>
    <t>Konstruksi Dalam Pengerjaan Alat Angkutan Darat Bermotor-Kendaraan Dinas Bermotor Perorangan</t>
  </si>
  <si>
    <t>Konstruksi Dalam Pengerjaan Alat Angkutan Darat Bermotor-Kendaraan Bermotor Penumpang</t>
  </si>
  <si>
    <t>Konstruksi Dalam Pengerjaan Alat Angkutan Darat Bermotor-Kendaraan Bermotor Angkutan Barang</t>
  </si>
  <si>
    <t>Konstruksi Dalam Pengerjaan Alat Angkutan Darat Bermotor-Kendaraan Bermotor Beroda Dua</t>
  </si>
  <si>
    <t>Konstruksi Dalam Pengerjaan Alat Angkutan Darat Bermotor-Kendaraan Bermotor Beroda Tiga</t>
  </si>
  <si>
    <t>Konstruksi Dalam Pengerjaan Alat Angkutan Darat Bermotor-Kendaraan Bermotor Khusus</t>
  </si>
  <si>
    <t>Konstruksi Dalam Pengerjaan Alat Angkutan Darat Bermotor-Kendaraan Tempur</t>
  </si>
  <si>
    <t>Konstruksi Dalam Pengerjaan Alat Angkutan Darat Bermotor-Alat Angkutan Kereta Rel</t>
  </si>
  <si>
    <t>Konstruksi Dalam Pengerjaan Alat Angkutan Darat Bermotor-Alat Angkutan Darat Bermotor Lainnya</t>
  </si>
  <si>
    <t>Konstruksi Dalam Pengerjaan Alat Angkutan Darat Tak Bermotor-Kendaraan Tak Bermotor Angkutan Barang</t>
  </si>
  <si>
    <t>Konstruksi Dalam Pengerjaan Alat Angkutan Darat Tak Bermotor-Kendaraan Tak Bermotor Penumpang</t>
  </si>
  <si>
    <t>Konstruksi Dalam Pengerjaan Alat Angkutan Darat Tak Bermotor-Alat Angkutan Kereta Rel Tak Bermotor</t>
  </si>
  <si>
    <t>Konstruksi Dalam Pengerjaan Alat Angkutan Darat Tak Bermotor-Alat Angkutan Darat Tak Bermotor Lainnya</t>
  </si>
  <si>
    <t>Konstruksi Dalam Pengerjaan Alat Angkutan Apung Bermotor-Alat Angkutan Apung Bermotor untuk Barang</t>
  </si>
  <si>
    <t>Konstruksi Dalam Pengerjaan Alat Alat Angkutan Apung Bermotor-Alat Angkutan Apung Bermotor untuk Penumpang</t>
  </si>
  <si>
    <t>Konstruksi Dalam Pengerjaan Alat Alat Angkutan Apung Bermotor-Alat Angkutan Apung Bermotor Khusus</t>
  </si>
  <si>
    <t>Konstruksi Dalam Pengerjaan Alat Alat Angkutan Apung Bermotor-Alat Angkutan Apung Bermotor Militer</t>
  </si>
  <si>
    <t>Konstruksi Dalam Pengerjaan Alat Alat Angkutan Apung Bermotor-Alat Angkutan Apung Bermotor Lainnya</t>
  </si>
  <si>
    <t>Konstruksi Dalam Pengerjaan Alat Angkutan Apung Tak Bermotor-Alat Angkutan Apung Tak Bermotor untuk Barang</t>
  </si>
  <si>
    <t>Konstruksi Dalam Pengerjaan Alat Angkutan Apung Tak Bermotor-Alat Angkutan Apung Tak Bermotor untuk Penumpang</t>
  </si>
  <si>
    <t>Konstruksi Dalam Pengerjaan Alat Angkutan Apung Tak Bermotor-Alat Angkutan Apung Tak Bermotor Khusus</t>
  </si>
  <si>
    <t>Konstruksi Dalam Pengerjaan Alat Angkutan Apung Tak Bermotor-Alat Angkutan Apung Tak Bermotor Lainnya</t>
  </si>
  <si>
    <t>Konstruksi Dalam Pengerjaan Alat Angkutan Bermotor Udara-Kapal Terbang</t>
  </si>
  <si>
    <t>Konstruksi Dalam Pengerjaan Alat Angkutan Bermotor Udara-Alat Angkutan Bermotor Udara Lainnya</t>
  </si>
  <si>
    <t>Konstruksi Dalam Pengerjaan Alat Bengkel dan Alat Ukur</t>
  </si>
  <si>
    <t>Konstruksi Dalam Pengerjaan Alat Bengkel Bermesin-Perkakas Konstruksi Logam Terpasang pada Fondasi</t>
  </si>
  <si>
    <t>Konstruksi Dalam Pengerjaan Alat Bengkel Bermesin-Perkakas Konstruksi Logam yang Transportable (Berpindah)</t>
  </si>
  <si>
    <t>Konstruksi Dalam Pengerjaan Alat Bengkel Bermesin-Perkakas Bengkel Listrik</t>
  </si>
  <si>
    <t>Konstruksi Dalam Pengerjaan Alat Bengkel Bermesin-Perkakas Bengkel Service</t>
  </si>
  <si>
    <t>Konstruksi Dalam Pengerjaan Alat Bengkel Bermesin-Perkakas Pengangkat Bermesin</t>
  </si>
  <si>
    <t>Konstruksi Dalam Pengerjaan Alat Bengkel Bermesin-Perkakas Bengkel Kayu</t>
  </si>
  <si>
    <t>Konstruksi Dalam Pengerjaan Alat Bengkel Bermesin-Perkakas Bengkel Khusus</t>
  </si>
  <si>
    <t>Konstruksi Dalam Pengerjaan Alat Bengkel Bermesin-Peralatan Las</t>
  </si>
  <si>
    <t>Konstruksi Dalam Pengerjaan Alat Bengkel Bermesin-Perkakas Pabrik Es</t>
  </si>
  <si>
    <t>Konstruksi Dalam Pengerjaan Alat Bengkel Bermesin-Alat Bengkel Bermesin Lainnya</t>
  </si>
  <si>
    <t>Konstruksi Dalam Pengerjaan Alat Bengkel Tak Bermesin-Perkakas Bengkel Konstruksi Logam</t>
  </si>
  <si>
    <t>Konstruksi Dalam Pengerjaan Alat Bengkel  Tak Bermesin-Perkakas Bengkel Listrik</t>
  </si>
  <si>
    <t>Konstruksi Dalam Pengerjaan Alat Bengkel Tak Bermesin-Perkakas Bengkel Service</t>
  </si>
  <si>
    <t>Konstruksi Dalam Pengerjaan Alat Bengkel Tak Bermesin-Perkakas Pengangkat</t>
  </si>
  <si>
    <t>Konstruksi Dalam Pengerjaan Alat Bengkel Tak Bermesin-Perkakas Standard (Standard Tools)</t>
  </si>
  <si>
    <t>Konstruksi Dalam Pengerjaan Alat Bengkel Tak Bermesin-Perkakas Khusus (Special Tools)</t>
  </si>
  <si>
    <t>Konstruksi Dalam Pengerjaan Alat Bengkel Tak Bermesin-Perkakas Bengkel Kerja</t>
  </si>
  <si>
    <t>Konstruksi Dalam Pengerjaan Alat Bengkel Tak Bermesin-Peralatan Tukang Besi</t>
  </si>
  <si>
    <t>Konstruksi Dalam Pengerjaan Alat Bengkel Tak Bermesin-Peralatan Tukang Kayu</t>
  </si>
  <si>
    <t>Konstruksi Dalam Pengerjaan Alat Bengkel Tak Bermesin- Peralatan Ukur, Gip dan Feeting</t>
  </si>
  <si>
    <t>Konstruksi Dalam Pengerjaan Alat Bengkel Tak Bermesin- Peralatan Bengkel Khusus Peladam</t>
  </si>
  <si>
    <t>Konstruksi Dalam Pengerjaan Alat Bengkel Tak Bermesin-Alat Bengkel Tak Bermesin Lainnya</t>
  </si>
  <si>
    <t>Konstruksi Dalam Pengerjaan Alat Ukur-Alat Ukur Universal</t>
  </si>
  <si>
    <t>Konstruksi Dalam Pengerjaan Alat Ukur-Alat Ukur/Tes Inteligensia</t>
  </si>
  <si>
    <t>Konstruksi Dalam Pengerjaan Alat Ukur-Alat Ukur/Tes Alat Kepribadian</t>
  </si>
  <si>
    <t>Konstruksi Dalam Pengerjaan Alat Ukur-Alat Ukur/Tes Klinis Lain</t>
  </si>
  <si>
    <t>Konstruksi Dalam Pengerjaan Alat Ukur-Alat Kalibrasi</t>
  </si>
  <si>
    <t>Konstruksi Dalam Pengerjaan Alat Ukur-Oscilloscope</t>
  </si>
  <si>
    <t>Konstruksi Dalam Pengerjaan Alat Ukur-Universal Tester</t>
  </si>
  <si>
    <t>Konstruksi Dalam Pengerjaan Alat Ukur-Alat Ukur/Pembanding</t>
  </si>
  <si>
    <t>Konstruksi Dalam Pengerjaan Alat Ukur-Alat Ukur Lain-Lain</t>
  </si>
  <si>
    <t>Konstruksi Dalam Pengerjaan Alat Ukur-Alat Timbangan/Biara</t>
  </si>
  <si>
    <t>Konstruksi Dalam Pengerjaan Alat Ukur-Anak Timbangan/Biara</t>
  </si>
  <si>
    <t>Konstruksi Dalam Pengerjaan Alat Ukur-Takaran Kering</t>
  </si>
  <si>
    <t>Konstruksi Dalam Pengerjaan Alat Ukur-Takaran Bahan Bangunan</t>
  </si>
  <si>
    <t>Konstruksi Dalam Pengerjaan Alat Ukur-Takaran Lainnya</t>
  </si>
  <si>
    <t>Konstruksi Dalam Pengerjaan Alat Ukur-Alat Penguji Kendaraan Bermotor</t>
  </si>
  <si>
    <t>Konstruksi Dalam Pengerjaan Alat Ukur-Specific Set</t>
  </si>
  <si>
    <t>Konstruksi Dalam Pengerjaan Alat Ukur-Alat Pengukur Keadaan Alam</t>
  </si>
  <si>
    <t>Konstruksi Dalam Pengerjaan Alat Ukur-Alat Pengukur Penglihatan</t>
  </si>
  <si>
    <t>Konstruksi Dalam Pengerjaan Alat Ukur- Alat Pengukur Ketepatan dan Koreksi Waktu</t>
  </si>
  <si>
    <t>Konstruksi Dalam Pengerjaan Alat Ukur-Alat Ukur Instrument Workshop</t>
  </si>
  <si>
    <t>Konstruksi Dalam Pengerjaan Alat Ukur-Alat Ukur Lainnya</t>
  </si>
  <si>
    <t>Konstruksi Dalam Pengerjaan Alat Pertanian</t>
  </si>
  <si>
    <t>Konstruksi Dalam Pengerjaan Alat Pengolahan-Alat Pengolahan Tanah dan Tanaman</t>
  </si>
  <si>
    <t>Konstruksi Dalam Pengerjaan Alat Pengolahan-Alat Pemeliharaan Tanaman/Ikan/Ternak</t>
  </si>
  <si>
    <t>Konstruksi Dalam Pengerjaan Alat Pengolahan-Alat Panen</t>
  </si>
  <si>
    <t>Konstruksi Dalam Pengerjaan Alat Pengolahan-Alat Penyimpan Hasil Percobaan Pertanian</t>
  </si>
  <si>
    <t>Konstruksi Dalam Pengerjaan Alat Pengolahan-Alat Laboratorium Pertanian</t>
  </si>
  <si>
    <t>Konstruksi Dalam Pengerjaan Alat Pengolahan-Alat Processing</t>
  </si>
  <si>
    <t>Konstruksi Dalam Pengerjaan Alat Pengolahan-Alat Pasca Panen</t>
  </si>
  <si>
    <t>Konstruksi Dalam Pengerjaan Alat Pengolahan-Alat Produksi Perikanan</t>
  </si>
  <si>
    <t>Konstruksi Dalam Pengerjaan Alat Pengolahan-Alat-Alat Peternakan</t>
  </si>
  <si>
    <t>Konstruksi Dalam Pengerjaan Alat Pengolahan-Alat Pengolahan Lainnya</t>
  </si>
  <si>
    <t>Konstruksi Dalam Pengerjaan Alat Kantor dan Rumah Tangga</t>
  </si>
  <si>
    <t>Konstruksi Dalam Pengerjaan Alat Kantor-Mesin Ketik</t>
  </si>
  <si>
    <t>Konstruksi Dalam Pengerjaan Alat Kantor-Mesin Hitung/Mesin Jumlah</t>
  </si>
  <si>
    <t>Konstruksi Dalam Pengerjaan Alat Kantor-Alat Reproduksi (Penggandaan)</t>
  </si>
  <si>
    <t>Konstruksi Dalam Pengerjaan Alat Kantor-Alat Penyimpan Perlengkapan Kantor</t>
  </si>
  <si>
    <t>Konstruksi Dalam Pengerjaan Alat Kantor-Alat Kantor Lainnya</t>
  </si>
  <si>
    <t>Konstruksi Dalam Pengerjaan Alat Rumah Tangga-Mebel</t>
  </si>
  <si>
    <t>Konstruksi Dalam Pengerjaan Alat Rumah Tangga-Alat Pengukur Waktu</t>
  </si>
  <si>
    <t>Konstruksi Dalam Pengerjaan Alat Rumah Tangga-Alat Pembersih</t>
  </si>
  <si>
    <t>Konstruksi Dalam Pengerjaan Alat Rumah Tangga-Alat Pendingin</t>
  </si>
  <si>
    <t>Konstruksi Dalam Pengerjaan Alat Rumah Tangga-Alat Dapur</t>
  </si>
  <si>
    <t>Konstruksi Dalam Pengerjaan Alat Rumah Tangga-Alat Rumah Tangga Lainnya (Home Use)</t>
  </si>
  <si>
    <t>Konstruksi Dalam Pengerjaan Alat Rumah Tangga-Alat Pemadam Kebakaran</t>
  </si>
  <si>
    <t>Konstruksi Dalam Pengerjaan Meja dan Kursi Kerja/Rapat Pejabat-Meja Kerja Pejabat</t>
  </si>
  <si>
    <t>Konstruksi Dalam Pengerjaan Meja dan Kursi Kerja/Rapat Pejabat-Meja Rapat Pejabat</t>
  </si>
  <si>
    <t>Konstruksi Dalam Pengerjaan Meja dan Kursi Kerja/Rapat Pejabat-Kursi Kerja Pejabat</t>
  </si>
  <si>
    <t>Konstruksi Dalam Pengerjaan Meja dan Kursi Kerja/Rapat Pejabat-Kursi Rapat Pejabat</t>
  </si>
  <si>
    <t>Konstruksi Dalam Pengerjaan Meja dan Kursi Kerja/Rapat Pejabat-Kursi Hadap Depan Meja Kerja Pejabat</t>
  </si>
  <si>
    <t>Konstruksi Dalam Pengerjaan Meja dan Kursi Kerja/Rapat Pejabat-Kursi Tamu di Ruangan Pejabat</t>
  </si>
  <si>
    <t>Konstruksi Dalam Pengerjaan Meja dan Kursi Kerja/Rapat Pejabat-Lemari dan Arsip Pejabat</t>
  </si>
  <si>
    <t>Konstruksi Dalam Pengerjaan Alat Studio, Komunikasi, dan Pemancar</t>
  </si>
  <si>
    <t>Konstruksi Dalam Pengerjaan Alat Studio-Peralatan Studio Audio</t>
  </si>
  <si>
    <t>Konstruksi Dalam Pengerjaan Alat Studio- Peralatan Studio Video dan Film</t>
  </si>
  <si>
    <t>Konstruksi Dalam Pengerjaan Alat Studio-Peralatan Studio Gambar</t>
  </si>
  <si>
    <t>Konstruksi Dalam Pengerjaan Alat Studio- Peralatan Cetak</t>
  </si>
  <si>
    <t>Konstruksi Dalam Pengerjaan Alat Studio- Peralatan Studio Pemetaan/Peralatan Ukur Tanah</t>
  </si>
  <si>
    <t>Konstruksi Dalam Pengerjaan Alat Studio-Alat Studio Lainnya</t>
  </si>
  <si>
    <t>Konstruksi Dalam Pengerjaan Alat Komunikasi-Alat Komunikasi Telephone</t>
  </si>
  <si>
    <t>Konstruksi Dalam Pengerjaan Alat Komunikasi-Alat Komunikasi Radio SSB</t>
  </si>
  <si>
    <t>Konstruksi Dalam Pengerjaan Alat Komunikasi-Alat Komunikasi Radio HF/FM</t>
  </si>
  <si>
    <t>Konstruksi Dalam Pengerjaan Alat Komunikasi-Alat Komunikasi Alat Komunikasi Radio VHF</t>
  </si>
  <si>
    <t>Konstruksi Dalam Pengerjaan Alat Komunikasi-Alat Komunikasi Radio UHF</t>
  </si>
  <si>
    <t>Konstruksi Dalam Pengerjaan Alat Komunikasi-Alat Komunikasi Sosial</t>
  </si>
  <si>
    <t>Konstruksi Dalam Pengerjaan Alat Komunikasi-Alat-Alat Sandi</t>
  </si>
  <si>
    <t>Konstruksi Dalam Pengerjaan Alat Komunikasi-Alat Komunikasi Khusus</t>
  </si>
  <si>
    <t>Konstruksi Dalam Pengerjaan Alat Komunikasi-Alat Komunikasi Digital dan Konvensional</t>
  </si>
  <si>
    <t>Konstruksi Dalam Pengerjaan Alat Komunikasi-Alat Komunikasi Satelit</t>
  </si>
  <si>
    <t>Konstruksi Dalam Pengerjaan Alat Komunikasi-Alat Komunikasi Lainnya</t>
  </si>
  <si>
    <t>Konstruksi Dalam Pengerjaan Peralatan Pemancar-Peralatan Pemancar MF/MW</t>
  </si>
  <si>
    <t>Konstruksi Dalam Pengerjaan Peralatan Pemancar-Peralatan Pemancar HF/SW</t>
  </si>
  <si>
    <t>Konstruksi Dalam Pengerjaan Peralatan Pemancar-Peralatan Pemancar VHF/FM</t>
  </si>
  <si>
    <t>Konstruksi Dalam Pengerjaan Peralatan Pemancar-Peralatan Pemancar UHF</t>
  </si>
  <si>
    <t>Konstruksi Dalam Pengerjaan Peralatan Pemancar-Peralatan Pemancar SHF</t>
  </si>
  <si>
    <t>Konstruksi Dalam Pengerjaan Peralatan Pemancar-Peralatan Antena MF/MW</t>
  </si>
  <si>
    <t>Konstruksi Dalam Pengerjaan Peralatan Pemancar-Peralatan Antena HF/SW</t>
  </si>
  <si>
    <t>Konstruksi Dalam Pengerjaan Peralatan Pemancar-Peralatan Antena VHF/FM</t>
  </si>
  <si>
    <t>Konstruksi Dalam Pengerjaan Peralatan Pemancar-Peralatan Antena UHF</t>
  </si>
  <si>
    <t>Konstruksi Dalam Pengerjaan Peralatan Pemancar-Peralatan Antena SHF/Parabola</t>
  </si>
  <si>
    <t>Konstruksi Dalam Pengerjaan Peralatan Pemancar-Peralatan Translator VHF/VHF</t>
  </si>
  <si>
    <t>Konstruksi Dalam Pengerjaan Peralatan Pemancar-Peralatan Translator UHF/UHF</t>
  </si>
  <si>
    <t>Konstruksi Dalam Pengerjaan Peralatan Pemancar-Peralatan Translator VHF/UHF</t>
  </si>
  <si>
    <t>Konstruksi Dalam Pengerjaan Peralatan Pemancar-Peralatan Translator UHF/VHF</t>
  </si>
  <si>
    <t>Konstruksi Dalam Pengerjaan Peralatan Pemancar-Peralatan Microwave FPU</t>
  </si>
  <si>
    <t>Konstruksi Dalam Pengerjaan Peralatan Pemancar-Peralatan Microwave Terestrial</t>
  </si>
  <si>
    <t>Konstruksi Dalam Pengerjaan Peralatan Pemancar-Peralatan Microwave TVRO</t>
  </si>
  <si>
    <t>Konstruksi Dalam Pengerjaan Peralatan Pemancar-Peralatan Dummy Load</t>
  </si>
  <si>
    <t>Konstruksi Dalam Pengerjaan Peralatan Pemancar-Switcher Antena</t>
  </si>
  <si>
    <t>Konstruksi Dalam Pengerjaan Peralatan Pemancar-Switcher/Menara Antena</t>
  </si>
  <si>
    <t>Konstruksi Dalam Pengerjaan Peralatan Pemancar-Feeder</t>
  </si>
  <si>
    <t>Konstruksi Dalam Pengerjaan Peralatan Pemancar-Humidity Control</t>
  </si>
  <si>
    <t>Konstruksi Dalam Pengerjaan Peralatan Pemancar-Program Input Equipment</t>
  </si>
  <si>
    <t>Konstruksi Dalam Pengerjaan Peralatan Pemancar-Peralatan Antena Penerima VHF</t>
  </si>
  <si>
    <t>Konstruksi Dalam Pengerjaan Peralatan Pemancar-Peralatan Pemancar LF</t>
  </si>
  <si>
    <t>Konstruksi Dalam Pengerjaan Peralatan Pemancar-Unit Pemancar MF+HF</t>
  </si>
  <si>
    <t>Konstruksi Dalam Pengerjaan Peralatan Pemancar-Peralatan Antena Pemancar MF+HF</t>
  </si>
  <si>
    <t>Konstruksi Dalam Pengerjaan Peralatan Pemancar-Peralatan Penerima</t>
  </si>
  <si>
    <t>Konstruksi Dalam Pengerjaan Peralatan Pemancar-Peralatan Pemancar dan Penerima LF</t>
  </si>
  <si>
    <t>Konstruksi Dalam Pengerjaan Peralatan Pemancar-Peralatan Pemancar dan Penerima MF</t>
  </si>
  <si>
    <t>Konstruksi Dalam Pengerjaan Peralatan Pemancar-Peralatan Pemancar dan Penerima HF</t>
  </si>
  <si>
    <t>Konstruksi Dalam Pengerjaan Peralatan Pemancar-Peralatan Pemancar dan Penerima MF+HF</t>
  </si>
  <si>
    <t>Konstruksi Dalam Pengerjaan Peralatan Pemancar-Peralatan Pemancar dan Penerima VHF</t>
  </si>
  <si>
    <t>Konstruksi Dalam Pengerjaan Peralatan Pemancar-Peralatan Pemancar dan Penerima UHF</t>
  </si>
  <si>
    <t>Konstruksi Dalam Pengerjaan Peralatan Pemancar-Peralatan Pemancar dan Penerima SHF</t>
  </si>
  <si>
    <t>Konstruksi Dalam Pengerjaan Peralatan Pemancar-Peralatan Antena Pemancar dan Penerima LF</t>
  </si>
  <si>
    <t>Konstruksi Dalam Pengerjaan Peralatan Pemancar-Peralatan Antena Pemancar dan Penerima MF</t>
  </si>
  <si>
    <t>Konstruksi Dalam Pengerjaan Peralatan Pemancar-Peralatan Antena Pemancar dan Penerima HF</t>
  </si>
  <si>
    <t>Konstruksi Dalam Pengerjaan Peralatan Pemancar-Peralatan Antena Pemancar dan Penerima MF+HF</t>
  </si>
  <si>
    <t>Konstruksi Dalam Pengerjaan Peralatan Pemancar-Peralatan Antena Pemancar dan Penerima VHF</t>
  </si>
  <si>
    <t>Konstruksi Dalam Pengerjaan Peralatan Pemancar-Peralatan Antena Pemancar dan Penerima UHF</t>
  </si>
  <si>
    <t>Konstruksi Dalam Pengerjaan Peralatan Pemancar-Peralatan Antena Pemancar dan Penerima SHF</t>
  </si>
  <si>
    <t>Konstruksi Dalam Pengerjaan Peralatan Pemancar-Peralatan Penerima Cuaca Citra Satelit Resolusi Rendah</t>
  </si>
  <si>
    <t>Konstruksi Dalam Pengerjaan Peralatan Pemancar-Peralatan Penerima Cuaca Citra Satelit Resolusi Tinggi</t>
  </si>
  <si>
    <t>Konstruksi Dalam Pengerjaan Peralatan Pemancar-Peralatan Penerima dan Pengirim Gambar ke Permukaan</t>
  </si>
  <si>
    <t>Konstruksi Dalam Pengerjaan Peralatan Pemancar-Peralatan Perlengkapan Radio</t>
  </si>
  <si>
    <t>Konstruksi Dalam Pengerjaan Peralatan Pemancar-Sumber Tenaga</t>
  </si>
  <si>
    <t>0065</t>
  </si>
  <si>
    <t>Konstruksi Dalam Pengerjaan Peralatan Pemancar-Peralatan Pemancar Lainnya</t>
  </si>
  <si>
    <t>Konstruksi Dalam Pengerjaan Peralatan Komunikasi Navigasi-Peralatan Komunikasi Navigasi Instrumen Landing System</t>
  </si>
  <si>
    <t>Konstruksi Dalam Pengerjaan Peralatan Komunikasi Navigasi-Very High Frequence Omni Range (VOR)</t>
  </si>
  <si>
    <t>Konstruksi Dalam Pengerjaan Peralatan Komunikasi Navigasi-Distance Measuring Equipment (DME)</t>
  </si>
  <si>
    <t>Konstruksi Dalam Pengerjaan Peralatan Komunikasi Navigasi-Radar</t>
  </si>
  <si>
    <t>Konstruksi Dalam Pengerjaan Peralatan Komunikasi Navigasi-Alat Pengatur Telekomunikasi</t>
  </si>
  <si>
    <t>Konstruksi Dalam Pengerjaan Peralatan Komunikasi Navigasi-Peralatan Komunikasi untuk Dokumentasi</t>
  </si>
  <si>
    <t>Konstruksi Dalam Pengerjaan Peralatan Komunikasi Navigasi-Peralatan Komunikasi Navigasi Lainnya</t>
  </si>
  <si>
    <t>Konstruksi Dalam Pengerjaan Alat Kedokteran dan Kesehatan</t>
  </si>
  <si>
    <t>Konstruksi Dalam Pengerjaan Alat Kedokteran-Alat Kedokteran Umum</t>
  </si>
  <si>
    <t>Konstruksi Dalam Pengerjaan Alat Kedokteran-Alat Kedokteran Gigi</t>
  </si>
  <si>
    <t>Konstruksi Dalam Pengerjaan Alat Kedokteran-Alat Kedokteran Keluarga Berencana</t>
  </si>
  <si>
    <t>Konstruksi Dalam Pengerjaan Alat Kedokteran-Alat Kedokteran Bedah</t>
  </si>
  <si>
    <t>Konstruksi Dalam Pengerjaan Alat Kedokteran-Alat Kesehatan Kebidanan dan Penyakit Kandungan</t>
  </si>
  <si>
    <t>Konstruksi Dalam Pengerjaan Alat Kedokteran-Alat Kedokteran THT</t>
  </si>
  <si>
    <t>Konstruksi Dalam Pengerjaan Alat Kedokteran-Alat Kedokteran Mata</t>
  </si>
  <si>
    <t>Konstruksi Dalam Pengerjaan Alat Kedokteran-Alat Kedokteran Bagian Penyakit Dalam</t>
  </si>
  <si>
    <t>Konstruksi Dalam Pengerjaan Alat Kedokteran-Alat Kedokteran Kamar Jenazah/Mortuary</t>
  </si>
  <si>
    <t>Konstruksi Dalam Pengerjaan Alat Kedokteran-Alat Kedokteran Anak</t>
  </si>
  <si>
    <t>Konstruksi Dalam Pengerjaan Alat Kedokteran-Alat Kedokteran Poliklinik</t>
  </si>
  <si>
    <t>Konstruksi Dalam Pengerjaan Alat Kedokteran- Alat Kesehatan Rehabilitasi Medis</t>
  </si>
  <si>
    <t>Konstruksi Dalam Pengerjaan Alat Kedokteran-Alat Kedokteran Neurologi (Saraf)</t>
  </si>
  <si>
    <t>Konstruksi Dalam Pengerjaan Alat Kedokteran-Alat Kedokteran Jantung</t>
  </si>
  <si>
    <t>Konstruksi Dalam Pengerjaan Alat Kedokteran-Alat Kedokteran Radiodiagnostic</t>
  </si>
  <si>
    <t>Konstruksi Dalam Pengerjaan Alat Kedokteran-Alat Kedokteran Patalogi Anatomy</t>
  </si>
  <si>
    <t>Konstruksi Dalam Pengerjaan Alat Kedokteran-Alat Kedokteran Transfusi Darah</t>
  </si>
  <si>
    <t>Konstruksi Dalam Pengerjaan Alat Kedokteran-Alat Kedokteran Radioterapi</t>
  </si>
  <si>
    <t>Konstruksi Dalam Pengerjaan Alat Kedokteran-Alat Kedokteran Nuklir</t>
  </si>
  <si>
    <t>Konstruksi Dalam Pengerjaan Alat Kedokteran-Alat Kedokteran Kulit dan Kelamin</t>
  </si>
  <si>
    <t>Konstruksi Dalam Pengerjaan Alat Kedokteran-Alat Kedokteran Gawat Darurat</t>
  </si>
  <si>
    <t>Konstruksi Dalam Pengerjaan Alat Kedokteran-Alat Kedokteran Jiwa</t>
  </si>
  <si>
    <t>Konstruksi Dalam Pengerjaan Alat Kedokteran-Alat Kedokteran Bedah Ortopedi</t>
  </si>
  <si>
    <t>Konstruksi Dalam Pengerjaan Alat Kedokteran-Alat Kedokteran ICU</t>
  </si>
  <si>
    <t>Konstruksi Dalam Pengerjaan Alat Kedokteran-Alat Kedokteran ICCU</t>
  </si>
  <si>
    <t>Konstruksi Dalam Pengerjaan Alat Kedokteran-Alat Kedokteran Bedah Jantung</t>
  </si>
  <si>
    <t>Konstruksi Dalam Pengerjaan Alat Kedokteran-Alat Kedokteran Traditional Medicine</t>
  </si>
  <si>
    <t>Konstruksi Dalam Pengerjaan Alat Kedokteran-Alat Kedokteran Anestesi</t>
  </si>
  <si>
    <t>Konstruksi Dalam Pengerjaan Alat Kedokteran-Alat Kedokteran Lainnya</t>
  </si>
  <si>
    <t>Konstruksi Dalam Pengerjaan Alat Kesehatan Umum-Alat Kesehatan Matra Laut</t>
  </si>
  <si>
    <t>Konstruksi Dalam Pengerjaan Alat Kesehatan Umum-Alat Kesehatan Matra Udara</t>
  </si>
  <si>
    <t>Konstruksi Dalam Pengerjaan Alat Kesehatan Umum-Alat Kesehatan Kepolisian</t>
  </si>
  <si>
    <t>Konstruksi Dalam Pengerjaan Alat Kesehatan Umum-Alat Kesehatan Olahraga</t>
  </si>
  <si>
    <t>Konstruksi Dalam Pengerjaan Alat Kesehatan Umum-Alat Kesehatan Umum Lainnya</t>
  </si>
  <si>
    <t>Konstruksi Dalam Pengerjaan Alat Laboratorium</t>
  </si>
  <si>
    <t>Konstruksi Dalam Pengerjaan Unit Alat Laboratorium-Alat Laboratorium Kimia Air Teknik Penyehatan</t>
  </si>
  <si>
    <t>Konstruksi Dalam Pengerjaan Unit Alat Laboratorium-Alat Laboratorium Mikro Biologi Teknik Penyehatan</t>
  </si>
  <si>
    <t>Konstruksi Dalam Pengerjaan Unit Alat Laboratorium-Alat Laboratorium Hidrokimia</t>
  </si>
  <si>
    <t>Konstruksi Dalam Pengerjaan Unit Alat Laboratorium-Alat Laboratorium Model Hidrolika</t>
  </si>
  <si>
    <t>Konstruksi Dalam Pengerjaan Unit Alat Laboratorium-Alat Laboratorium Batuan/Geologi</t>
  </si>
  <si>
    <t>Konstruksi Dalam Pengerjaan Unit Alat Laboratorium-Alat Laboratorium Bahan Bangunan Konstruksi</t>
  </si>
  <si>
    <t>Konstruksi Dalam Pengerjaan Unit Alat Laboratorium-Alat Laboratorium Aspal, Cat, dan Kimia</t>
  </si>
  <si>
    <t>Konstruksi Dalam Pengerjaan Unit Alat Laboratorium-Alat Laboratorium Mekanika Tanah dan Batuan</t>
  </si>
  <si>
    <t>Konstruksi Dalam Pengerjaan Unit Alat Laboratorium-Alat Laboratorium Cocok Tanam</t>
  </si>
  <si>
    <t>Konstruksi Dalam Pengerjaan Unit Alat Laboratorium-Alat Laboratorium Logam, Mesin, dan Listrik</t>
  </si>
  <si>
    <t>Konstruksi Dalam Pengerjaan Unit Alat Laboratorium-Alat Laboratorium Umum</t>
  </si>
  <si>
    <t>Konstruksi Dalam Pengerjaan Unit Alat Laboratorium-Alat Laboratorium Mikrobiologi</t>
  </si>
  <si>
    <t>Konstruksi Dalam Pengerjaan Unit Alat Laboratorium-Alat Laboratorium Kimia</t>
  </si>
  <si>
    <t>Konstruksi Dalam Pengerjaan Unit Alat Laboratorium-Alat Laboratorium Patologi</t>
  </si>
  <si>
    <t>Konstruksi Dalam Pengerjaan Unit Alat Laboratorium-Alat Laboratorium Immunologi</t>
  </si>
  <si>
    <t>Konstruksi Dalam Pengerjaan Unit Alat Laboratorium-Alat Laboratorium Hematologi</t>
  </si>
  <si>
    <t>Konstruksi Dalam Pengerjaan Unit Alat Laboratorium-Alat Laboratorium Film</t>
  </si>
  <si>
    <t>Konstruksi Dalam Pengerjaan Unit Alat Laboratorium-Alat Laboratorium Makanan</t>
  </si>
  <si>
    <t>Konstruksi Dalam Pengerjaan Unit Alat Laboratorium-Alat Laboratorium Farmasi</t>
  </si>
  <si>
    <t>Konstruksi Dalam Pengerjaan Unit Alat Laboratorium- Alat Laboratorium Fisika</t>
  </si>
  <si>
    <t>Konstruksi Dalam Pengerjaan Unit Alat Laboratorium-Alat Laboratorium Hidrodinamika</t>
  </si>
  <si>
    <t>Konstruksi Dalam Pengerjaan Unit Alat Laboratorium-Alat Laboratorium Klimatologi</t>
  </si>
  <si>
    <t>Konstruksi Dalam Pengerjaan Unit Alat Laboratorium-Alat Laboratorium Proses Peleburan</t>
  </si>
  <si>
    <t>Konstruksi Dalam Pengerjaan Unit Alat Laboratorium-Alat Laboratorium Pasir</t>
  </si>
  <si>
    <t>Konstruksi Dalam Pengerjaan Unit Alat Laboratorium-Alat Laboratorium Proses Pembuatan Cekatan</t>
  </si>
  <si>
    <t>Konstruksi Dalam Pengerjaan Unit Alat Laboratorium-Alat Laboratorium Pembuatan Pola</t>
  </si>
  <si>
    <t>Konstruksi Dalam Pengerjaan Unit Alat Laboratorium-Alat Laboratorium Metalografi</t>
  </si>
  <si>
    <t>Konstruksi Dalam Pengerjaan Unit Alat Laboratorium-Alat Laboratorium Proses Pengelasan</t>
  </si>
  <si>
    <t>Konstruksi Dalam Pengerjaan Unit Alat Laboratorium-Alat Laboratorium Uji Proses Pengelasan</t>
  </si>
  <si>
    <t>Konstruksi Dalam Pengerjaan Unit Alat Laboratorium-Alat Laboratorium Proses Pembuatan Logam</t>
  </si>
  <si>
    <t>Konstruksi Dalam Pengerjaan Unit Alat Laboratorium-Alat Laboratorium Metrologi</t>
  </si>
  <si>
    <t>Konstruksi Dalam Pengerjaan Unit Alat Laboratorium-Alat Laboratorium Pelapisan Logam</t>
  </si>
  <si>
    <t>Konstruksi Dalam Pengerjaan Unit Alat Laboratorium-Alat Laboratorium Proses Pengolahan Panas</t>
  </si>
  <si>
    <t>Konstruksi Dalam Pengerjaan Unit Alat Laboratorium-Alat Laboratorium Proses Teknologi Tekstil</t>
  </si>
  <si>
    <t>Konstruksi Dalam Pengerjaan Unit Alat Laboratorium- Alat Laboratorium Uji Tekstil</t>
  </si>
  <si>
    <t>Konstruksi Dalam Pengerjaan Unit Alat Laboratorium-Alat Laboratorium Proses Teknologi Keramik</t>
  </si>
  <si>
    <t>Konstruksi Dalam Pengerjaan Unit Alat Laboratorium-Alat Laboratorium Proses Teknologi Kulit, Karet, dan Plastik</t>
  </si>
  <si>
    <t>Konstruksi Dalam Pengerjaan Unit Alat Laboratorium-Alat Laboratorium Uji Kulit, Karet, dan Plastik</t>
  </si>
  <si>
    <t>Konstruksi Dalam Pengerjaan Unit Alat Laboratorium-Alat Laboratorium Uji Keramik</t>
  </si>
  <si>
    <t>Konstruksi Dalam Pengerjaan Unit Alat Laboratorium-Alat Laboratorium Proses Teknologi Selulosa</t>
  </si>
  <si>
    <t>Konstruksi Dalam Pengerjaan Unit Alat Laboratorium-Alat Laboratorium Pertanian</t>
  </si>
  <si>
    <t>Konstruksi Dalam Pengerjaan Unit Alat Laboratorium-Alat Laboratorium Elektronika dan Daya</t>
  </si>
  <si>
    <t>Konstruksi Dalam Pengerjaan Unit Alat Laboratorium-Alat Laboratorium Energi Surya</t>
  </si>
  <si>
    <t>Konstruksi Dalam Pengerjaan Unit Alat Laboratorium-Alat Laboratorium Konversi Batubara dan Biomas</t>
  </si>
  <si>
    <t>Konstruksi Dalam Pengerjaan Unit Alat Laboratorium-Alat Laboratorium Oseanografi</t>
  </si>
  <si>
    <t>Konstruksi Dalam Pengerjaan Unit Alat Laboratorium-Alat Laboratorium Lingkungan Perairan</t>
  </si>
  <si>
    <t>Konstruksi Dalam Pengerjaan Unit Alat Laboratorium-Alat Laboratorium Biologi Perairan</t>
  </si>
  <si>
    <t>Konstruksi Dalam Pengerjaan Unit Alat Laboratorium-Alat Laboratorium Biologi</t>
  </si>
  <si>
    <t>Konstruksi Dalam Pengerjaan Unit Alat Laboratorium-Alat Laboratorium Geofisika</t>
  </si>
  <si>
    <t>Konstruksi Dalam Pengerjaan Unit Alat Laboratorium-Alat Laboratorium Tambang</t>
  </si>
  <si>
    <t>Konstruksi Dalam Pengerjaan Unit Alat Laboratorium-Alat Laboratorium Proses/Teknik Kimia</t>
  </si>
  <si>
    <t>Konstruksi Dalam Pengerjaan Unit Alat Laboratorium-Alat Laboratorium Proses Industri</t>
  </si>
  <si>
    <t>Konstruksi Dalam Pengerjaan Unit Alat Laboratorium-Alat Laboratorium Kesehatan Kerja</t>
  </si>
  <si>
    <t>Konstruksi Dalam Pengerjaan Unit Alat Laboratorium-Laboratorium Kearsipan</t>
  </si>
  <si>
    <t>Konstruksi Dalam Pengerjaan Unit Alat Laboratorium-Laboratorium Hematologi dan Urinalisis</t>
  </si>
  <si>
    <t>Konstruksi Dalam Pengerjaan Unit Alat Laboratorium-Alat Laboratorium Lain</t>
  </si>
  <si>
    <t xml:space="preserve">Konstruksi Dalam Pengerjaan Unit Alat Laboratorium-Alat Laboratorium Hermodinamika Motor dan Sistem Propulasi </t>
  </si>
  <si>
    <t>Konstruksi Dalam Pengerjaan Unit Alat Laboratorium-Alat Laboratorium Pendidikan</t>
  </si>
  <si>
    <t>Konstruksi Dalam Pengerjaan Unit Alat Laboratorium-Alat Laboratorium Teknologi Proses Enzim</t>
  </si>
  <si>
    <t>Konstruksi Dalam Pengerjaan Unit Alat Laboratorium-alat Laboratorium Teknik Pantai</t>
  </si>
  <si>
    <t>Konstruksi Dalam Pengerjaan Unit Alat Laboratorium-Alat Laboratorium Sumber Daya dan Energi</t>
  </si>
  <si>
    <t>Konstruksi Dalam Pengerjaan Unit Alat Laboratorium-Alat Laboratorium Populasi</t>
  </si>
  <si>
    <t>Konstruksi Dalam Pengerjaan Unit Alat Laboratorium-Alat Pengukur Gelombang</t>
  </si>
  <si>
    <t>Konstruksi Dalam Pengerjaan Unit Alat Laboratorium-Unit Alat Laboratorium Lainnya</t>
  </si>
  <si>
    <t>Konstruksi Dalam Pengerjaan Unit Alat Laboratorium Kimia Nuklir-Analytical Instrument</t>
  </si>
  <si>
    <t>Konstruksi Dalam Pengerjaan Unit Alat Laboratorium-Instrument Probe/Sensor</t>
  </si>
  <si>
    <t>Konstruksi Dalam Pengerjaan Unit Alat Laboratorium-General Laboratory Tool</t>
  </si>
  <si>
    <t>Konstruksi Dalam Pengerjaan Unit Alat Laboratorium-Glassware Plastic/Utensils</t>
  </si>
  <si>
    <t>Konstruksi Dalam Pengerjaan Unit Alat Laboratorium-Laboratory Safety Equipment</t>
  </si>
  <si>
    <t>Konstruksi Dalam Pengerjaan Unit Alat Laboratorium-Unit Alat Laboratorium Kimia Nuklir Lainnya</t>
  </si>
  <si>
    <t>Konstruksi Dalam Pengerjaan Alat Peraga Praktik Sekolah-Alat Peraga Praktik Sekolah Bidang Studi:Bahasa Indonesia</t>
  </si>
  <si>
    <t>Konstruksi Dalam Pengerjaan Alat Peraga Praktik Sekolah-Alat Peraga Praktik Sekolah Bidang Studi:Matematika</t>
  </si>
  <si>
    <t>Konstruksi Dalam Pengerjaan Alat Peraga Praktik Sekolah-Alat Peraga Praktik Sekolah Bidang Studi:IPA Dasar</t>
  </si>
  <si>
    <t>Konstruksi Dalam Pengerjaan Alat Peraga Praktik Sekolah-Alat Peraga Praktik Sekolah Bidang Studi:IPA Lanjutan</t>
  </si>
  <si>
    <t>Konstruksi Dalam Pengerjaan Alat Peraga Praktik Sekolah-Alat Peraga Praktik Sekolah Bidang Studi:IPA Menengah</t>
  </si>
  <si>
    <t>Konstruksi Dalam Pengerjaan Alat Peraga Praktik Sekolah-Alat Peraga Praktik Sekolah Bidang Studi:IPA Atas.</t>
  </si>
  <si>
    <t>Konstruksi Dalam Pengerjaan Alat Peraga Praktik Sekolah-Alat Peraga Praktik Sekolah Bidang Studi:IPS</t>
  </si>
  <si>
    <t>Konstruksi Dalam Pengerjaan Alat Peraga Praktik Sekolah-Alat Peraga Praktik Sekolah Bidang Studi:Agama</t>
  </si>
  <si>
    <t>0079</t>
  </si>
  <si>
    <t>Konstruksi Dalam Pengerjaan Alat Peraga Praktik Sekolah-Alat Peraga Praktik Sekolah Bidang Studi:Keterampilan</t>
  </si>
  <si>
    <t>0080</t>
  </si>
  <si>
    <t>Konstruksi Dalam Pengerjaan Alat Peraga Praktik Sekolah-Alat Peraga Praktik Sekolah Bidang Studi:Kesenian</t>
  </si>
  <si>
    <t>0081</t>
  </si>
  <si>
    <t>Konstruksi Dalam Pengerjaan Alat Peraga Praktik Sekolah-Alat Peraga Praktik Sekolah Bidang Studi:Olahraga</t>
  </si>
  <si>
    <t>0082</t>
  </si>
  <si>
    <t>Konstruksi Dalam Pengerjaan Alat Peraga Praktik Sekolah-Alat Peraga Praktik Sekolah Bidang Studi:PKN</t>
  </si>
  <si>
    <t>0083</t>
  </si>
  <si>
    <t>Konstruksi Dalam Pengerjaan Alat Peraga Praktik Sekolah-Alat Peraga Luar Biasa (Tuna Netra, Terapi Fisik, Tuna Daksa, dan Tuna Rungu)</t>
  </si>
  <si>
    <t>0084</t>
  </si>
  <si>
    <t>Konstruksi Dalam Pengerjaan Alat Peraga Praktik Sekolah-Alat Peraga Kejuruan</t>
  </si>
  <si>
    <t>Konstruksi Dalam Pengerjaan Alat Peraga Praktik Sekolah-Alat Peraga PAUD/TK</t>
  </si>
  <si>
    <t>Konstruksi Dalam Pengerjaan Alat Peraga Praktik Sekolah-Alat Peraga Praktik Sekolah Lainnya</t>
  </si>
  <si>
    <t>Konstruksi Dalam Pengerjaan Alat Laboratorium Fisika Nuklir/Elektronika-Radiation Detector</t>
  </si>
  <si>
    <t>Konstruksi Dalam Pengerjaan Alat Laboratorium Fisika Nuklir/Elektronika-Modular Counting and Scientific Electronic</t>
  </si>
  <si>
    <t>Konstruksi Dalam Pengerjaan Alat Laboratorium Fisika Nuklir/Elektronika-Assembly/Counting System</t>
  </si>
  <si>
    <t>Konstruksi Dalam Pengerjaan Alat Laboratorium Fisika Nuklir/Elektronika-Recorder Display</t>
  </si>
  <si>
    <t>Konstruksi Dalam Pengerjaan Alat Laboratorium Fisika Nuklir/Elektronika-System/Power Supply</t>
  </si>
  <si>
    <t>Konstruksi Dalam Pengerjaan Alat Laboratorium Fisika Nuklir/Elektronika-Measuring/Testing Device</t>
  </si>
  <si>
    <t>Konstruksi Dalam Pengerjaan Alat Laboratorium Fisika Nuklir/Elektronika-Opto Electronics</t>
  </si>
  <si>
    <t>Konstruksi Dalam Pengerjaan Alat Laboratorium Fisika Nuklir/Elektronika-accelerator</t>
  </si>
  <si>
    <t>Konstruksi Dalam Pengerjaan Alat Laboratorium Fisika Nuklir/Elektronika-Reactor Experimental System</t>
  </si>
  <si>
    <t>0096</t>
  </si>
  <si>
    <t>Konstruksi Dalam Pengerjaan Alat Laboratorium Fisika Nuklir/Elektronika-Alat Laboratorium Fisika Nuklir/Elektronika Lainnya</t>
  </si>
  <si>
    <t>0097</t>
  </si>
  <si>
    <t>Konstruksi Dalam Pengerjaan Alat Proteksi Radiasi/Proteksi Lingkungan-Alat Ukur Fisika Kesehatan</t>
  </si>
  <si>
    <t>0098</t>
  </si>
  <si>
    <t>Konstruksi Dalam Pengerjaan Alat Proteksi Radiasi/Proteksi Lingkungan-Alat Kesehatan Kerja</t>
  </si>
  <si>
    <t>0099</t>
  </si>
  <si>
    <t>Konstruksi Dalam Pengerjaan Alat Proteksi Radiasi/Proteksi Lingkungan-Proteksi Lingkungan</t>
  </si>
  <si>
    <t>0100</t>
  </si>
  <si>
    <t>Konstruksi Dalam Pengerjaan Alat Proteksi Radiasi/Proteksi Lingkungan-Meteorological Equipment</t>
  </si>
  <si>
    <t>0101</t>
  </si>
  <si>
    <t>Konstruksi Dalam Pengerjaan Alat Proteksi Radiasi/Proteksi Lingkungan-Sumber Radiasi</t>
  </si>
  <si>
    <t>0102</t>
  </si>
  <si>
    <t>Konstruksi Dalam Pengerjaan Alat Proteksi Radiasi/Proteksi Lingkungan-Alat Proteksi Radiasi/Proteksi Lingkungan Lainnya</t>
  </si>
  <si>
    <t>0103</t>
  </si>
  <si>
    <t>Konstruksi Dalam Pengerjaan Radiation Application and Non Destructive Testing
Laboratory Lainnya-Radiation Application Equipment</t>
  </si>
  <si>
    <t>Konstruksi Dalam Pengerjaan Radiation Application and Non Destructive Testing Laboratory Lainnya-Non Destructive Test (NDT) Device</t>
  </si>
  <si>
    <t>Konstruksi Dalam Pengerjaan Radiation Application and Non Destructive Testing
Laboratory Lainnya-Peralatan Hidrologi</t>
  </si>
  <si>
    <t>Konstruksi Dalam Pengerjaan Radiation Application and Non Destructive Testing
Laboratory Lainnya-Radiation Application and Non Destructive Testing Laboratory Lainnya</t>
  </si>
  <si>
    <t>0107</t>
  </si>
  <si>
    <t>Konstruksi Dalam Pengerjaan Alat Laboratorium Lingkungan Hidup-Alat Laboratorium Kualitas Air dan Tanah</t>
  </si>
  <si>
    <t>0108</t>
  </si>
  <si>
    <t>Konstruksi Dalam Pengerjaan Alat Laboratorium Lingkungan Hidup-Alat Laboratorium Kualitas Udara</t>
  </si>
  <si>
    <t>Konstruksi Dalam Pengerjaan Alat Laboratorium Lingkungan Hidup-Alat Laboratorium Kebisingan dan Getaran</t>
  </si>
  <si>
    <t>0110</t>
  </si>
  <si>
    <t>Konstruksi Dalam Pengerjaan Alat Laboratorium Lingkungan Hidup-Laboratorium Lingkungan</t>
  </si>
  <si>
    <t>0111</t>
  </si>
  <si>
    <t>Konstruksi Dalam Pengerjaan Alat Laboratorium Lingkungan Hidup-Alat Laboratorium Penunjang</t>
  </si>
  <si>
    <t>0112</t>
  </si>
  <si>
    <t>Konstruksi Dalam Pengerjaan Alat Laboratorium Lingkungan Hidup-Alat Laboratorium Lingkungan Hidup Lainnya</t>
  </si>
  <si>
    <t>0113</t>
  </si>
  <si>
    <t>Konstruksi Dalam Pengerjaan Peralatan Laboratorium Hydrodinamica-Towing Carriage</t>
  </si>
  <si>
    <t>0114</t>
  </si>
  <si>
    <t>Konstruksi Dalam Pengerjaan Peralatan Laboratorium Hydrodinamica-Wave Generator and Absorber</t>
  </si>
  <si>
    <t>0115</t>
  </si>
  <si>
    <t>Konstruksi Dalam Pengerjaan Peralatan Laboratorium Hydrodinamica-Data Accquisition and Analyzing System</t>
  </si>
  <si>
    <t>0116</t>
  </si>
  <si>
    <t>Konstruksi Dalam Pengerjaan Peralatan Laboratorium Hydrodinamica-Cavitation Tunnel</t>
  </si>
  <si>
    <t>0117</t>
  </si>
  <si>
    <t>Konstruksi Dalam Pengerjaan Peralatan Laboratorium Hydrodinamica-Overhead Cranes</t>
  </si>
  <si>
    <t>0118</t>
  </si>
  <si>
    <t>Konstruksi Dalam Pengerjaan Peralatan Laboratorium Hydrodinamica-Peralatan Umum</t>
  </si>
  <si>
    <t>0119</t>
  </si>
  <si>
    <t>Konstruksi Dalam Pengerjaan Peralatan Laboratorium Hydrodinamica-Pemesinan: Model Ship Workshop</t>
  </si>
  <si>
    <t>0120</t>
  </si>
  <si>
    <t>Konstruksi Dalam Pengerjaan Peralatan Laboratorium Hydrodinamica-Pemesinan:Propeller Model Workshop</t>
  </si>
  <si>
    <t>0121</t>
  </si>
  <si>
    <t>Konstruksi Dalam Pengerjaan Peralatan Laboratorium Hydrodinamica-Pemesinan:Mechanical Workshop</t>
  </si>
  <si>
    <t>0122</t>
  </si>
  <si>
    <t>Konstruksi Dalam Pengerjaan Peralatan Laboratorium Hydrodinamica-Pemesinan:Precision Mechanical Workshop</t>
  </si>
  <si>
    <t>Konstruksi Dalam Pengerjaan Peralatan Laboratorium Hydrodinamica-Pemesinan:Painting Shop</t>
  </si>
  <si>
    <t>0124</t>
  </si>
  <si>
    <t>Konstruksi Dalam Pengerjaan Peralatan Laboratorium Hydrodinamica-Pemesinan: Ship Model Preparation Shop</t>
  </si>
  <si>
    <t>0125</t>
  </si>
  <si>
    <t>Konstruksi Dalam Pengerjaan Peralatan Laboratorium Hydrodinamica-Pemesinan:Electrical Workshop</t>
  </si>
  <si>
    <t>0126</t>
  </si>
  <si>
    <t>Konstruksi Dalam Pengerjaan Peralatan Laboratorium Hydrodinamica-MOB</t>
  </si>
  <si>
    <t>0127</t>
  </si>
  <si>
    <t>Konstruksi Dalam Pengerjaan Peralatan Laboratorium Hydrodinamica-Photo and Film Equipment</t>
  </si>
  <si>
    <t>0128</t>
  </si>
  <si>
    <t>Konstruksi Dalam Pengerjaan Peralatan Laboratorium Hydrodinamica-Peralatan Laboratorium Hydrodinamica Lainnya</t>
  </si>
  <si>
    <t>0129</t>
  </si>
  <si>
    <t>Konstruksi Dalam Pengerjaan Alat Laboratorium Standarisasi Kalibrasi dan Instrumentasi-Alat Laboratorium Kalibrasi Elektromedik dan Biomedik</t>
  </si>
  <si>
    <t>Konstruksi Dalam Pengerjaan Alat Laboratorium Standarisasi Kalibrasi dan Instrumentasi-Alat Laboratorium Standar dan Kalibrator</t>
  </si>
  <si>
    <t>Konstruksi Dalam Pengerjaan Alat Laboratorium Standarisasi Kalibrasi dan Instrumentasi-Alat Laboratorium Cahaya, Optik, dan Akustik</t>
  </si>
  <si>
    <t>Konstruksi Dalam Pengerjaan Alat Laboratorium Standarisasi Kalibrasi dan Instrumentasi-Alat Laboratorium Listrik dan Mekanik</t>
  </si>
  <si>
    <t>0133</t>
  </si>
  <si>
    <t>Konstruksi Dalam Pengerjaan Alat Laboratorium Standarisasi Kalibrasi dan Instrumentasi-Alat Laboratorium Tekanan dan Suhu</t>
  </si>
  <si>
    <t>0134</t>
  </si>
  <si>
    <t>Konstruksi Dalam Pengerjaan Alat Laboratorium Standarisasi Kalibrasi dan Instrumentasi-Alat Laboratorium Standarisasi Kalibrasi dan Instrumentasi Lain</t>
  </si>
  <si>
    <t>0135</t>
  </si>
  <si>
    <t>Konstruksi Dalam Pengerjaan Alat Laboratorium Standarisasi Kalibrasi dan Instrumentasi-Alat Laboratorium Natius</t>
  </si>
  <si>
    <t>0136</t>
  </si>
  <si>
    <t>Konstruksi Dalam Pengerjaan Alat Laboratorium Standarisasi Kalibrasi dan Instrumentasi-Alat Laboratorium Elektronika dan Telekomunikasi Pelayaran</t>
  </si>
  <si>
    <t>Konstruksi Dalam Pengerjaan Alat Laboratorium Standarisasi Kalibrasi dan Instrumentasi-Alat Laboratorium Sarana Bantu Navigasi Pelayaran</t>
  </si>
  <si>
    <t>Konstruksi Dalam Pengerjaan Alat Laboratorium Standarisasi Kalibrasi dan Instrumentasi-Alat Laboratorium Uji Perangkat</t>
  </si>
  <si>
    <t>Konstruksi Dalam Pengerjaan Alat Laboratorium Standarisasi Kalibrasi dan Instrumentasi-Alat Laboratorium Standarisasi Kalibrasi dan Instrumentasi Lainnya</t>
  </si>
  <si>
    <t>Konstruksi Dalam Pengerjaan Komputer</t>
  </si>
  <si>
    <t>Konstruksi Dalam Pengerjaan Komputer Unit-Komputer Jaringan</t>
  </si>
  <si>
    <t>Konstruksi Dalam Pengerjaan Komputer Unit-Personal Computer</t>
  </si>
  <si>
    <t>Konstruksi Dalam Pengerjaan Komputer Unit-Komputer Unit Lainnya</t>
  </si>
  <si>
    <t>Konstruksi Dalam Pengerjaan Peralatan Komputer-Peralatan Mainframe</t>
  </si>
  <si>
    <t>Konstruksi Dalam Pengerjaan Peralatan Komputer-Peralatan Mini Computer</t>
  </si>
  <si>
    <t>Konstruksi Dalam Pengerjaan Peralatan Komputer-Peralatan Personal Computer</t>
  </si>
  <si>
    <t>Konstruksi Dalam Pengerjaan Peralatan Komputer-Peralatan Jaringan</t>
  </si>
  <si>
    <t>Konstruksi Dalam Pengerjaan Peralatan Komputer-Peralatan Komputer Lainnya</t>
  </si>
  <si>
    <t>Konstruksi Dalam Pengerjaan Alat Eksplorasi</t>
  </si>
  <si>
    <t>Konstruksi Dalam Pengerjaan Alat Eksplorasi-Alat Eksplorasi Topografi-Optik</t>
  </si>
  <si>
    <t>Konstruksi Dalam Pengerjaan Alat Eksplorasi Topografi-Ukur/Instrumen</t>
  </si>
  <si>
    <t>Konstruksi Dalam Pengerjaan Alat Eksplorasi Topografi-Alat Eksplorasi Topografi Lainnya</t>
  </si>
  <si>
    <t>Konstruksi Dalam Pengerjaan Alat Eksplorasi Geofisika-Mekanik</t>
  </si>
  <si>
    <t>Konstruksi Dalam Pengerjaan Alat Eksplorasi Topografi-Elektronik/Electric</t>
  </si>
  <si>
    <t>Konstruksi Dalam Pengerjaan Alat Eksplorasi Topografi-Manual</t>
  </si>
  <si>
    <t>Konstruksi Dalam Pengerjaan Alat Eksplorasi Topografi-Alat Eksplorasi Geofisika Lainnya</t>
  </si>
  <si>
    <t>Konstruksi Dalam Pengerjaan Alat Pengeboran</t>
  </si>
  <si>
    <t>Konstruksi Dalam Pengerjaan Alat Pengeboran Mesin-Bor Mesin Tumbuk</t>
  </si>
  <si>
    <t>Konstruksi Dalam Pengerjaan Alat Pengeboran Mesin-Bor Mesin Putar</t>
  </si>
  <si>
    <t>Konstruksi Dalam Pengerjaan Alat Pengeboran Mesin-Alat Pengeboran Mesin Lainnya</t>
  </si>
  <si>
    <t>Konstruksi Dalam Pengerjaan Alat Pengeboran Non Mesin-Bangka</t>
  </si>
  <si>
    <t>Konstruksi Dalam Pengerjaan Alat Pengeboran Non Mesin-Pantek</t>
  </si>
  <si>
    <t>Konstruksi Dalam Pengerjaan Alat Pengeboran Non Mesin-Putar</t>
  </si>
  <si>
    <t>Konstruksi Dalam Pengerjaan Alat Pengeboran Non Mesin-Peralatan Bantu</t>
  </si>
  <si>
    <t>Konstruksi Dalam Pengerjaan Alat Pengeboran Non Mesin-Alat Pengeboran Non Mesin Lainnya</t>
  </si>
  <si>
    <t>Konstruksi Dalam Pengerjaan Alat Produksi, Pengolahan, dan Pemurnian</t>
  </si>
  <si>
    <t>Konstruksi Dalam Pengerjaan Sumur-Peralatan Sumur Minyak</t>
  </si>
  <si>
    <t>Konstruksi Dalam Pengerjaan Sumur-Sumur Pemboran</t>
  </si>
  <si>
    <t>Konstruksi Dalam Pengerjaan Sumur-Sumur Lainnya</t>
  </si>
  <si>
    <t>Konstruksi Dalam Pengerjaan Produksi-RIG</t>
  </si>
  <si>
    <t>Konstruksi Dalam Pengerjaan Produksi-Produksi Lainnya</t>
  </si>
  <si>
    <t>Konstruksi Dalam Pengerjaan Pengolahan dan Pemurnian-Alat Pengolahan Minyak</t>
  </si>
  <si>
    <t>Konstruksi Dalam Pengerjaan Pengolahan dan Pemurnian-Alat Pengolahan Air</t>
  </si>
  <si>
    <t>Konstruksi Dalam Pengerjaan Pengolahan dan Pemurnian-Alat Pengolahan Steam</t>
  </si>
  <si>
    <t>Konstruksi Dalam Pengerjaan Pengolahan dan Pemurnian-Alat Pengolahan Wax</t>
  </si>
  <si>
    <t>Konstruksi Dalam Pengerjaan Pengolahan dan Pemurnian-Pengolahan dan Pemurnian Lainnya</t>
  </si>
  <si>
    <t>Konstruksi Dalam Pengerjaan Alat Bantu Eksplorasi</t>
  </si>
  <si>
    <t>Konstruksi Dalam Pengerjaan Alat Bantu Eksplorasi-Mekanik</t>
  </si>
  <si>
    <t>Konstruksi Dalam Pengerjaan Alat Bantu Eksplorasi-Elektrik</t>
  </si>
  <si>
    <t>Konstruksi Dalam Pengerjaan Alat Bantu Eksplorasi-Alat Bantu Ekplorasi Lainnya</t>
  </si>
  <si>
    <t>Konstruksi Dalam Pengerjaan Alat Bantu Produksi- Perawatan Sumur</t>
  </si>
  <si>
    <t>Konstruksi Dalam Pengerjaan Alat Bantu Produksi-Tes Unit</t>
  </si>
  <si>
    <t>Konstruksi Dalam Pengerjaan Alat Bantu Produksi-Alat Bantu Produksi Lainnya</t>
  </si>
  <si>
    <t>Konstruksi Dalam Pengerjaan Alat Keselamatan Kerja</t>
  </si>
  <si>
    <t>Konstruksi Dalam Pengerjaan Alat Deteksi-Radiasi</t>
  </si>
  <si>
    <t>Konstruksi Dalam Pengerjaan Alat Deteksi-Suara</t>
  </si>
  <si>
    <t>Konstruksi Dalam Pengerjaan Alat Deteksi-Alat Deteksi Lainnya</t>
  </si>
  <si>
    <t>Konstruksi Dalam Pengerjaan Alat Pelindung-Baju Pengaman</t>
  </si>
  <si>
    <t>Konstruksi Dalam Pengerjaan Alat Pelindung-Masker</t>
  </si>
  <si>
    <t>Konstruksi Dalam Pengerjaan Alat Deteksi-Topi Kerja</t>
  </si>
  <si>
    <t>Konstruksi Dalam Pengerjaan Alat Deteksi-Sabuk Pengaman</t>
  </si>
  <si>
    <t>Konstruksi Dalam Pengerjaan Alat Deteksi-Sepatu Lapangan</t>
  </si>
  <si>
    <t>Konstruksi Dalam Pengerjaan Alat Deteksi-Alat Pelindung Lainnya</t>
  </si>
  <si>
    <t>Konstruksi Dalam Pengerjaan Alat SAR-Alat Penolong</t>
  </si>
  <si>
    <t>Konstruksi Dalam Pengerjaan Alat SAR-Alat Pendukung Pencarian</t>
  </si>
  <si>
    <t>Konstruksi Dalam Pengerjaan Alat SAR-Alat Kerja Bawah Air</t>
  </si>
  <si>
    <t>Konstruksi Dalam Pengerjaan Alat SAR-Alat SAR Lainnya</t>
  </si>
  <si>
    <t>Konstruksi Dalam Pengerjaan alat kerja penerbangan-Peralatan Fasilitas Komunikasi Penerbangan</t>
  </si>
  <si>
    <t>Konstruksi Dalam Pengerjaan Alat Kerja Penerbangan-Peralatan Fasilitas Navigasi dan Pengamatan Penerbangan</t>
  </si>
  <si>
    <t>Konstruksi Dalam Pengerjaan Alat Kerja Penerbangan-Peralatan Fasilitas Bantu Pendaratan</t>
  </si>
  <si>
    <t>Konstruksi Dalam Pengerjaan Alat Kerja Penerbangan- Peralatan Fasilitas Bantu Pelayanan dan pengamanan bandar udara</t>
  </si>
  <si>
    <t>Konstruksi Dalam Pengerjaan Alat Kerja Penerbangan-Peralatan Fasilitas Listrik Bandar Udara</t>
  </si>
  <si>
    <t>Konstruksi Dalam Pengerjaan Alat Kerja Penerbangan-Alat Ukur Peralatan Faslektrik</t>
  </si>
  <si>
    <t>Konstruksi Dalam Pengerjaan Alat Kerja Penerbangan-Alat Kerja Penerbangan Lainnya</t>
  </si>
  <si>
    <t>Konstruksi Dalam Pengerjaan Alat Peraga</t>
  </si>
  <si>
    <t>Konstruksi Dalam Pengerjaan Alat Peraga Pelatihan dan Percontohan-Alat Peraga Pelatihan</t>
  </si>
  <si>
    <t>Konstruksi Dalam Pengerjaan Alat Peraga Pelatihan dan Percontohan-Alat Peraga Percontohan</t>
  </si>
  <si>
    <t>Konstruksi Dalam Pengerjaan Alat Peraga Pelatihan dan Percontohan- Alat Peraga Pelatihan dan Percontohan Lainnya</t>
  </si>
  <si>
    <t>Konstruksi Dalam Pengerjaan Peralatan Proses/Produksi</t>
  </si>
  <si>
    <t>Konstruksi Dalam Pengerjaan Unit Peralatan Proses/Produksi-Liquid-Liquid Contractor Equipment</t>
  </si>
  <si>
    <t>Konstruksi Dalam Pengerjaan Unit Peralatan Proses/Produksi-Solid-Solid Mixing Equipment</t>
  </si>
  <si>
    <t>Konstruksi Dalam Pengerjaan Unit Peralatan Proses/Produksi-Solid-Solid Screening Equipment</t>
  </si>
  <si>
    <t>Konstruksi Dalam Pengerjaan Unit Peralatan Proses/Produksi-Solid-Solid Classifier</t>
  </si>
  <si>
    <t>Konstruksi Dalam Pengerjaan Unit Peralatan Proses/Produksi-Solid-Liquid Mixing Equipment</t>
  </si>
  <si>
    <t>Konstruksi Dalam Pengerjaan Unit Peralatan Proses/Produksi-Solid Liquid Crystallization Equipment</t>
  </si>
  <si>
    <t>Konstruksi Dalam Pengerjaan Unit Peralatan Proses/Produksi-Ion Exchange Absortion Equipment</t>
  </si>
  <si>
    <t>Konstruksi Dalam Pengerjaan Unit Peralatan Proses/Produksi-Leaching Equipment</t>
  </si>
  <si>
    <t>Konstruksi Dalam Pengerjaan Unit Peralatan Proses/Produksi-Gravity Sedimentation Equipment</t>
  </si>
  <si>
    <t>Konstruksi Dalam Pengerjaan Unit Peralatan Proses/Produksi-Solid Liquid Filtering Equipment</t>
  </si>
  <si>
    <t>Konstruksi Dalam Pengerjaan Unit Peralatan Proses/Produksi-Centrifuge for Solid Liquid</t>
  </si>
  <si>
    <t>Konstruksi Dalam Pengerjaan Unit Peralatan Proses/Produksi-Liquid from Solid Expelling (Expressor)-Equipment</t>
  </si>
  <si>
    <t>Konstruksi Dalam Pengerjaan Unit Peralatan Proses/Produksi-Gas-Solid Drying Equipment</t>
  </si>
  <si>
    <t>Konstruksi Dalam Pengerjaan Unit Peralatan Proses/Produksi-Gas-Solid Fluidised Bed Equipment</t>
  </si>
  <si>
    <t>Konstruksi Dalam Pengerjaan Unit Peralatan Proses/Produksi-Gas-Solid Separation Equipment</t>
  </si>
  <si>
    <t>Konstruksi Dalam Pengerjaan Unit Peralatan Proses/Produksi-Gas-Liquid Distillation Equipment</t>
  </si>
  <si>
    <t>Konstruksi Dalam Pengerjaan Unit Peralatan Proses/Produksi-Gas-liquid separation equipment</t>
  </si>
  <si>
    <t>Konstruksi Dalam Pengerjaan Unit Peralatan Proses/Produksi-Isotope Separation Equipment</t>
  </si>
  <si>
    <t>Konstruksi Dalam Pengerjaan Unit Peralatan Proses/Produksi-Transport and Storage Equipment for Liquid</t>
  </si>
  <si>
    <t>Konstruksi Dalam Pengerjaan Unit Peralatan Proses/Produksi-Solid Material Handling Equipment</t>
  </si>
  <si>
    <t>Konstruksi Dalam Pengerjaan Unit Peralatan Proses/Produksi-Size Reduction Size Balargement Equipment</t>
  </si>
  <si>
    <t>Konstruksi Dalam Pengerjaan Unit Peralatan Proses/Produksi-Heat Generating Equipment</t>
  </si>
  <si>
    <t>Konstruksi Dalam Pengerjaan Unit Peralatan Proses/Produksi-Heat Transfer Equipment</t>
  </si>
  <si>
    <t>Konstruksi Dalam Pengerjaan Unit Peralatan Proses/Produksi-Mechanical Process</t>
  </si>
  <si>
    <t>Konstruksi Dalam Pengerjaan Unit Peralatan Proses/Produksi-Chemical Reaction Equipment</t>
  </si>
  <si>
    <t>Konstruksi Dalam Pengerjaan Unit Peralatan Proses/Produksi-Unit Peralatan Proses/Produksi Lainnya</t>
  </si>
  <si>
    <t>Konstruksi Dalam Pengerjaan Rambu-rambu</t>
  </si>
  <si>
    <t>Konstruksi Dalam Pengerjaan Rambu-rambu Lalu Lintas Darat-Rambu Bersuar</t>
  </si>
  <si>
    <t>Konstruksi Dalam Pengerjaan Rambu-rambu Lalu Lintas Darat-Rambu Tidak Bersuar</t>
  </si>
  <si>
    <t>Konstruksi Dalam Pengerjaan Rambu-rambu Lalu Lintas Darat-Rambu-Rambu Lalu Lintas Darat Lainnya</t>
  </si>
  <si>
    <t>Konstruksi Dalam Pengerjaan Rambu-rambu Lalu Lintas Udara-Runway/Threshold Light</t>
  </si>
  <si>
    <t>Konstruksi Dalam Pengerjaan Rambu-rambu Lalu Lintas Udara-Visual Approach Slope Indicator (VASI)</t>
  </si>
  <si>
    <t>Konstruksi Dalam Pengerjaan Rambu-rambu Lalu Lintas Udara-Approach Light</t>
  </si>
  <si>
    <t>Konstruksi Dalam Pengerjaan Rambu-rambu Lalu Lintas Udara-Runway Identification Light (REILS)</t>
  </si>
  <si>
    <t>Konstruksi Dalam Pengerjaan Rambu-rambu Lalu Lintas Udara-Signal</t>
  </si>
  <si>
    <t>Konstruksi Dalam Pengerjaan Rambu-rambu Lalu Lintas Udara-Flood Lights</t>
  </si>
  <si>
    <t>Konstruksi Dalam Pengerjaan Rambu-rambu Lalu Lintas Udara-Rambu-Rambu Lalu Lintas Udara Lainnya</t>
  </si>
  <si>
    <t>Konstruksi Dalam Pengerjaan Rambu-rambu Lalu Lintas Laut-Rambu-Rambu Lalu Lintas Laut</t>
  </si>
  <si>
    <t>Konstruksi Dalam Pengerjaan Rambu-rambu Lalu Lintas Laut-Rambu-Rambu Lalu Lintas Laut Lainnya</t>
  </si>
  <si>
    <t>Konstruksi Dalam Pengerjaan Peralatan Olahraga</t>
  </si>
  <si>
    <t>Konstruksi Dalam Pengerjaan Peralatan Olahraga-Peralatan Olahraga Atletik</t>
  </si>
  <si>
    <t>Konstruksi Dalam Pengerjaan Peralatan Olahraga-Peralatan Permainan</t>
  </si>
  <si>
    <t>Konstruksi Dalam Pengerjaan Peralatan Olahraga-Peralatan Senam</t>
  </si>
  <si>
    <t>Konstruksi Dalam Pengerjaan Peralatan Olahraga-Peralatan Olahraga Air</t>
  </si>
  <si>
    <t>Konstruksi Dalam Pengerjaan Peralatan Olahraga-Peralatan Olahraga Udara</t>
  </si>
  <si>
    <t>Konstruksi Dalam Pengerjaan Peralatan Olahraga-Peralatan Olahraga Lainnya</t>
  </si>
  <si>
    <t>Konstruksi Dalam Pengerjaan Gedung dan Bangunan</t>
  </si>
  <si>
    <t>Konstruksi Dalam Pengerjaan Bangunan Gedung</t>
  </si>
  <si>
    <t>Konstruksi Dalam Pengerjaan Bangunan Gedung Tempat Kerja-Bangunan Gedung Kantor</t>
  </si>
  <si>
    <t>Konstruksi Dalam Pengerjaan Bangunan Gedung Tempat Kerja-Bangunan Gudang</t>
  </si>
  <si>
    <t>Konstruksi Dalam Pengerjaan Bangunan Gedung Tempat Kerja-Bangunan Gedung untuk Bengkel/Hanggar</t>
  </si>
  <si>
    <t>Konstruksi Dalam Pengerjaan Bangunan Gedung Tempat Kerja-Bangunan Gedung Instalasi</t>
  </si>
  <si>
    <t>Konstruksi Dalam Pengerjaan Bangunan Gedung Tempat Kerja-Bangunan Gedung Laboratorium</t>
  </si>
  <si>
    <t>Konstruksi Dalam Pengerjaan Bangunan Gedung Tempat Kerja-Bangunan Kesehatan</t>
  </si>
  <si>
    <t>Konstruksi Dalam Pengerjaan Bangunan Gedung Tempat Kerja-Bangunan Oseanarium/Observatorium</t>
  </si>
  <si>
    <t>Konstruksi Dalam Pengerjaan Bangunan Gedung Tempat Kerja-Bangunan Gedung Tempat Ibadah</t>
  </si>
  <si>
    <t>Konstruksi Dalam Pengerjaan Bangunan Gedung Tempat Kerja-Bangunan Gedung Tempat Pertemuan</t>
  </si>
  <si>
    <t>Konstruksi Dalam Pengerjaan Bangunan Gedung Tempat Kerja-Bangunan Gedung Tempat Pendidikan</t>
  </si>
  <si>
    <t>Konstruksi Dalam Pengerjaan Bangunan Gedung Tempat Kerja- Bangunan Gedung Tempat Olahraga</t>
  </si>
  <si>
    <t>Konstruksi Dalam Pengerjaan Bangunan Gedung Tempat Kerja-Bangunan Gedung Pertokoan/Koperasi/Pasar</t>
  </si>
  <si>
    <t>Konstruksi Dalam Pengerjaan Bangunan Gedung Tempat Kerja-Bangunan Gedung untuk Pos Jaga</t>
  </si>
  <si>
    <t>Konstruksi Dalam Pengerjaan Bangunan Gedung Tempat Kerja-Bangunan Gedung Garasi/Pool</t>
  </si>
  <si>
    <t>Konstruksi Dalam Pengerjaan Bangunan Gedung Tempat Kerja-Bangunan Gedung Pemotong Hewan</t>
  </si>
  <si>
    <t>Konstruksi Dalam Pengerjaan Bangunan Gedung Tempat Kerja-Bangunan Gedung Perpustakaan</t>
  </si>
  <si>
    <t>Konstruksi Dalam Pengerjaan Bangunan Gedung Tempat Kerja-Bangunan Gedung Museum</t>
  </si>
  <si>
    <t>Konstruksi Dalam Pengerjaan Bangunan Gedung Tempat Kerja-Bangunan Gedung
Terminal/Pelabuhan/Bandara</t>
  </si>
  <si>
    <t>Konstruksi Dalam Pengerjaan Bangunan Gedung Tempat Kerja-Bangunan Pengujian Kelaikan</t>
  </si>
  <si>
    <t>Konstruksi Dalam Pengerjaan Bangunan Gedung Tempat Kerja-Bangunan Gedung Lembaga Pemasyarakatan</t>
  </si>
  <si>
    <t>Konstruksi Dalam Pengerjaan Bangunan Gedung Tempat Kerja-Bangunan Rumah Tahanan</t>
  </si>
  <si>
    <t>Konstruksi Dalam Pengerjaan Bangunan Gedung Tempat Kerja-Bangunan Gedung Krematorium</t>
  </si>
  <si>
    <t>Konstruksi Dalam Pengerjaan Bangunan Gedung Tempat Kerja-Bangunan Pembakaran Bangkai Hewan</t>
  </si>
  <si>
    <t>Konstruksi Dalam Pengerjaan Bangunan Gedung Tempat Kerja-Bangunan Tempat Persidangan</t>
  </si>
  <si>
    <t>Konstruksi Dalam Pengerjaan Bangunan Gedung Tempat Kerja-Bangunan Terbuka</t>
  </si>
  <si>
    <t>Konstruksi Dalam Pengerjaan Bangunan Gedung Tempat Kerja-Bangunan Penampung Sekam</t>
  </si>
  <si>
    <t>Konstruksi Dalam Pengerjaan Bangunan Gedung Tempat Kerja-Bangunan Tempat Pelelangan Ikan (TPI)</t>
  </si>
  <si>
    <t>Konstruksi Dalam Pengerjaan Bangunan Gedung Tempat Kerja-Bangunan Industri</t>
  </si>
  <si>
    <t>Konstruksi Dalam Pengerjaan Bangunan Gedung Tempat Kerja-Bangunan Peternakan/Perikanan</t>
  </si>
  <si>
    <t>Konstruksi Dalam Pengerjaan Bangunan Gedung Tempat Kerja-Bangunan Gedung Tempat Kerja Lainnya</t>
  </si>
  <si>
    <t>Konstruksi Dalam Pengerjaan Bangunan Gedung Tempat Kerja-Bangunan Peralatan Geofisika</t>
  </si>
  <si>
    <t>Konstruksi Dalam Pengerjaan Bangunan Gedung Tempat Kerja-Bangunan Fasilitas Umum</t>
  </si>
  <si>
    <t>Konstruksi Dalam Pengerjaan Bangunan Gedung Tempat Kerja-Bangunan Parkir</t>
  </si>
  <si>
    <t>Konstruksi Dalam Pengerjaan Bangunan Gedung Tempat Kerja-Bangunan Gedung Pabrik</t>
  </si>
  <si>
    <t>Konstruksi Dalam Pengerjaan Bangunan Gedung Tempat Kerja-Bangunan Stasiun Bus</t>
  </si>
  <si>
    <t>Konstruksi Dalam Pengerjaan Bangunan Gedung Tempat Kerja-Taman</t>
  </si>
  <si>
    <t>Konstruksi Dalam Pengerjaan Bangunan Gedung Tempat Tinggal-Rumah Negara Golongan I</t>
  </si>
  <si>
    <t>Konstruksi Dalam Pengerjaan Bangunan Gedung Tempat Tinggal-Rumah Negara Golongan II</t>
  </si>
  <si>
    <t>Konstruksi Dalam Pengerjaan Bangunan Gedung Tempat Tinggal-Rumah Negara Golongan III</t>
  </si>
  <si>
    <t>Konstruksi Dalam Pengerjaan Bangunan Gedung Tempat Tinggal-Mess/Wisma/Bungalow/Tempat Peristirahatan</t>
  </si>
  <si>
    <t>Konstruksi Dalam Pengerjaan Bangunan Gedung Tempat Tinggal-Asrama</t>
  </si>
  <si>
    <t>Konstruksi Dalam Pengerjaan Bangunan Gedung Tempat Tinggal-Hotel</t>
  </si>
  <si>
    <t>Konstruksi Dalam Pengerjaan Bangunan Gedung Tempat Tinggal-Motel</t>
  </si>
  <si>
    <t>Konstruksi Dalam Pengerjaan Bangunan Gedung Tempat Tinggal-Flat/Rumah Susun</t>
  </si>
  <si>
    <t>Konstruksi Dalam Pengerjaan Bangunan Gedung Tempat Tinggal-Rumah Negara dalam Proses Penggolongan</t>
  </si>
  <si>
    <t>Konstruksi Dalam Pengerjaan Bangunan Gedung Tempat Tinggal-Panti Asuhan</t>
  </si>
  <si>
    <t>Konstruksi Dalam Pengerjaan Bangunan Gedung Tempat Tinggal-Apartemen</t>
  </si>
  <si>
    <t>Konstruksi Dalam Pengerjaan Bangunan Gedung Tempat Tinggal-Rumah Tidak Bersusun</t>
  </si>
  <si>
    <t>Konstruksi Dalam Pengerjaan Bangunan Gedung Tempat Tinggal- Bangunan Gedung Tempat Tinggal Lainnya</t>
  </si>
  <si>
    <t>Konstruksi Dalam Pengerjaan Monumen</t>
  </si>
  <si>
    <t>Konstruksi Dalam Pengerjaan Candi/Tugu Peringatan/Prasasti-Candi</t>
  </si>
  <si>
    <t>Konstruksi Dalam Pengerjaan Candi/Tugu Peringatan/Prasasti-Tugu</t>
  </si>
  <si>
    <t>Konstruksi Dalam Pengerjaan Candi/Tugu Peringatan/Prasasti-Bangunan Peninggalan</t>
  </si>
  <si>
    <t>Konstruksi Dalam Pengerjaan Candi/Tugu Peringatan/Prasasti-Candi/Tugu Peringatan/Prasasti Lainnya</t>
  </si>
  <si>
    <t>Konstruksi Dalam Pengerjaan Bangunan Menara</t>
  </si>
  <si>
    <t>Konstruksi Dalam Pengerjaan Bangunan Menara Perambuan-Bangunan Menara Perambuan Penerangan Pantai</t>
  </si>
  <si>
    <t>Konstruksi Dalam Pengerjaan Bangunan Menara Perambuan-Bangunan Perambuan Penerangan Pantai</t>
  </si>
  <si>
    <t>Konstruksi Dalam Pengerjaan Bangunan Menara Perambuan-Bangunan Menara Telekomunikasi</t>
  </si>
  <si>
    <t>Konstruksi Dalam Pengerjaan Bangunan Menara Perambuan-Bangunan Menara Pengawas</t>
  </si>
  <si>
    <t>Konstruksi Dalam Pengerjaan Bangunan Menara Perambuan-Bangunan Menara Perambuan Lainnya</t>
  </si>
  <si>
    <t>Konstruksi Dalam Pengerjaan Tugu Titik Kontrol/Pasti</t>
  </si>
  <si>
    <t>Konstruksi Dalam Pengerjaan Tugu/Tanda Batas-Tugu/Tanda Batas Administrasi</t>
  </si>
  <si>
    <t>Konstruksi Dalam Pengerjaan Tugu/Tanda Batas-Tugu/Tanda Jaring Kontrol Geodesi</t>
  </si>
  <si>
    <t>Konstruksi Dalam Pengerjaan Tugu/Tanda Batas- Pilar/Tugu/Tanda Lainnya</t>
  </si>
  <si>
    <t>Konstruksi Dalam Pengerjaan Tugu/Tanda Batas-Pagar</t>
  </si>
  <si>
    <t>Konstruksi Dalam Pengerjaan Tugu/Tanda Batas-Tugu/Tanda Batas Lainnya</t>
  </si>
  <si>
    <t>Konstruksi Dalam Pengerjaan Jalan, Jaringan, dan Irigasi</t>
  </si>
  <si>
    <t>Konstruksi Dalam Pengerjaan Jalan dan Jembatan</t>
  </si>
  <si>
    <t>Konstruksi Dalam Pengerjaan Jalan-Jalan Nasional</t>
  </si>
  <si>
    <t>Konstruksi Dalam Pengerjaan Jalan-Jalan Provinsi</t>
  </si>
  <si>
    <t>Konstruksi Dalam Pengerjaan Jalan-Jalan Kabupaten</t>
  </si>
  <si>
    <t>Konstruksi Dalam Pengerjaan Jalan-Jalan Kota</t>
  </si>
  <si>
    <t>Konstruksi Dalam Pengerjaan Jalan-Jalan Desa</t>
  </si>
  <si>
    <t>Konstruksi Dalam Pengerjaan Jalan-Jalan Tol</t>
  </si>
  <si>
    <t>Konstruksi Dalam Pengerjaan Jalan-Jalan Kereta Api</t>
  </si>
  <si>
    <t>Konstruksi Dalam Pengerjaan Jalan-Landasan Pacu Pesawat Terbang</t>
  </si>
  <si>
    <t>Konstruksi Dalam Pengerjaan Jalan-Jalan Khusus</t>
  </si>
  <si>
    <t>Konstruksi Dalam Pengerjaan Jalan-Jalan Lainnya</t>
  </si>
  <si>
    <t>Konstruksi Dalam Pengerjaan Jembatan-Jembatan pada Jalan Nasional</t>
  </si>
  <si>
    <t>Konstruksi Dalam Pengerjaan Jembatan-Jembatan pada Jalan Provinsi</t>
  </si>
  <si>
    <t>Konstruksi Dalam Pengerjaan Jembatan-Jembatan pada Jalan Kabupaten</t>
  </si>
  <si>
    <t>Konstruksi Dalam Pengerjaan Jembatan-Jembatan pada Jalan Kota</t>
  </si>
  <si>
    <t>Konstruksi Dalam Pengerjaan Jembatan-Jembatan pada Jalan Desa</t>
  </si>
  <si>
    <t>Konstruksi Dalam Pengerjaan Jembatan-Jembatan pada Jalan Tol</t>
  </si>
  <si>
    <t>Konstruksi Dalam Pengerjaan Jembatan-Jembatan pada Jalan Kereta Api</t>
  </si>
  <si>
    <t>Konstruksi Dalam Pengerjaan Jembatan-Jembatan pada Jalan Landasan Pacu Pesawat Terbang</t>
  </si>
  <si>
    <t>Konstruksi Dalam Pengerjaan Jembatan-Jembatan pada Jalan Khusus</t>
  </si>
  <si>
    <t>Konstruksi Dalam Pengerjaan Jembatan-Jembatan Penyeberangan</t>
  </si>
  <si>
    <t>Konstruksi Dalam Pengerjaan Jembatan-Jembatan Labuh/Sandar pada Terminal</t>
  </si>
  <si>
    <t>Konstruksi Dalam Pengerjaan Jembatan-Jembatan Pengukur</t>
  </si>
  <si>
    <t>Konstruksi Dalam Pengerjaan Jembatan-Jembatan Lainnya</t>
  </si>
  <si>
    <t>Konstruksi Dalam Pengerjaan Bangunan Air</t>
  </si>
  <si>
    <t>Konstruksi Dalam Pengerjaan Bangunan Air Irigasi-Bangunan Waduk Irigasi</t>
  </si>
  <si>
    <t>Konstruksi Dalam Pengerjaan Bangunan Air Irigasi- Bangunan Pengambilan Irigasi</t>
  </si>
  <si>
    <t>Konstruksi Dalam Pengerjaan Bangunan Air Irigasi-Bangunan Pembawa Irigasi</t>
  </si>
  <si>
    <t>Konstruksi Dalam Pengerjaan Bangunan Air Irigasi-Bangunan Pembuang Irigasi</t>
  </si>
  <si>
    <t>Konstruksi Dalam Pengerjaan Bangunan Air Irigasi-Bangunan Pengaman Irigasi</t>
  </si>
  <si>
    <t>Konstruksi Dalam Pengerjaan Bangunan Air Irigasi-Bangunan Pelengkap Irigasi</t>
  </si>
  <si>
    <t>Konstruksi Dalam Pengerjaan Bangunan Air Irigasi-Bangunan Sawah Irigasi</t>
  </si>
  <si>
    <t>Konstruksi Dalam Pengerjaan Bangunan Air Irigasi- Bangunan Air Irigasi Lainnya</t>
  </si>
  <si>
    <t>Konstruksi Dalam Pengerjaan Bangunan Pengairan Pasang Surut-Bangunan Waduk Pasang Surut</t>
  </si>
  <si>
    <t>Konstruksi Dalam Pengerjaan Bangunan Pengairan Pasang Surut-Bangunan Pengambilan Pasang Surut</t>
  </si>
  <si>
    <t>Konstruksi Dalam Pengerjaan Bangunan Pengairan Pasang Surut- Bangunan Pembawa Pasang Surut</t>
  </si>
  <si>
    <t>Konstruksi Dalam Pengerjaan Bangunan Pengairan Pasang Surut-Saluran Pembuang Pasang Surut</t>
  </si>
  <si>
    <t>Konstruksi Dalam Pengerjaan Bangunan Pengairan Pasang Surut-Bangunan Pengaman Pasang Surut</t>
  </si>
  <si>
    <t>Konstruksi Dalam Pengerjaan Bangunan Pengairan Pasang Surut-Bangunan Pelengkap Pasang Surut</t>
  </si>
  <si>
    <t>Konstruksi Dalam Pengerjaan Bangunan Pengairan Pasang Surut-Bangunan Sawah Pasang Surut</t>
  </si>
  <si>
    <t>Konstruksi Dalam Pengerjaan Bangunan Pengairan Pasang Surut-Bangunan Pengairan Pasang Surut Lainnya</t>
  </si>
  <si>
    <t>Konstruksi Dalam Pengerjaan Bangunan Pengembangan Rawa dan Polder-Bangunan Waduk Pengembangan Rawa</t>
  </si>
  <si>
    <t>Konstruksi Dalam Pengerjaan Bangunan Pengembangan Rawa dan Polder- Bangunan Pengambilan Pengembangan Rawa</t>
  </si>
  <si>
    <t>Konstruksi Dalam Pengerjaan Bangunan Pengembangan Rawa dan Polder-Bangunan Pembawa Pengembangan Rawa</t>
  </si>
  <si>
    <t>Konstruksi Dalam Pengerjaan Bangunan Pengembangan Rawa dan Polder-Bangunan Pembuang Pengembangan Rawa</t>
  </si>
  <si>
    <t>Konstruksi Dalam Pengerjaan Bangunan Pengembangan Rawa dan Polder-Bangunan Pengaman Pengembangan Rawa</t>
  </si>
  <si>
    <t>Konstruksi Dalam Pengerjaan Bangunan Pengembangan Rawa dan Polder-Bangunan Pelengkap Pengembangan Rawa</t>
  </si>
  <si>
    <t>Konstruksi Dalam Pengerjaan Bangunan Pengembangan Rawa dan Polder-Bangunan Sawah Pengembangan Rawa</t>
  </si>
  <si>
    <t>Konstruksi Dalam Pengerjaan Bangunan Pengembangan Rawa dan Polder-Bangunan Pengembangan Rawa dan Polder Lainnya</t>
  </si>
  <si>
    <t>Konstruksi Dalam Pengerjaan Bangunan Pengaman Sungai/Pantai dan Penanggulangan Bencana Alam-Bangunan Pengaman Sungai/Pantai dan Penanggulangan Bencana Alam</t>
  </si>
  <si>
    <t>Konstruksi Dalam Pengerjaan Bangunan Pengaman Sungai/Pantai dan Penanggulangan Bencana Alam-Bangunan Pengambilan Pengaman Sungai/Pantai</t>
  </si>
  <si>
    <t>Konstruksi Dalam Pengerjaan Bangunan Pengaman Sungai/Pantai dan Penanggulangan Bencana Alam-Bangunan Pembawa Pengaman Sungai/Pantai</t>
  </si>
  <si>
    <t>Konstruksi Dalam Pengerjaan Bangunan Pengaman Sungai/Pantai dan Penanggulangan Bencana Alam-Bangunan Pembuang Pengaman Sungai</t>
  </si>
  <si>
    <t>Konstruksi Dalam Pengerjaan Bangunan Pengaman Sungai/Pantai dan Penanggulangan Bencana Alam-Bangunan Pengaman Pengamanan Sungai/Pantai</t>
  </si>
  <si>
    <t>Konstruksi Dalam Pengerjaan Bangunan Pengaman Sungai/Pantai dan Penanggulangan Bencana Alam-Bangunan Pelengkap Pengaman Sungai</t>
  </si>
  <si>
    <t>Konstruksi Dalam Pengerjaan Bangunan Pengaman Sungai/Pantai dan Penanggulangan Bencana Alam-Bangunan Pengaman Sungai/Pantai dan Penanggulangan Bencana Alam Lainnya</t>
  </si>
  <si>
    <t>Konstruksi Dalam Pengerjaan Bangunan Pengembangan Sumber Air dan Air Tanah-Bangunan Waduk Pengembangan Sumber Air</t>
  </si>
  <si>
    <t>Konstruksi Dalam Pengerjaan Bangunan Pengembangan Sumber Air dan Air Tanah-Bangunan Pengambilan Pengembangan Sumber Air</t>
  </si>
  <si>
    <t>Konstruksi Dalam Pengerjaan Bangunan Pengembangan Sumber Air dan Air Tanah-Bangunan Pembawa Pengembangan Sumber Air</t>
  </si>
  <si>
    <t>Konstruksi Dalam Pengerjaan Bangunan Pengembangan Sumber Air dan Air Tanah-Bangunan Pembuang Pengembangan Sumber Air</t>
  </si>
  <si>
    <t>Konstruksi Dalam Pengerjaan Bangunan Pengembangan Sumber Air dan Air Tanah-Bangunan Pengaman Pengembangan Sumber Air</t>
  </si>
  <si>
    <t>Konstruksi Dalam Pengerjaan Bangunan Pengembangan Sumber Air dan Air Tanah-Bangunan Pelengkap Pengembangan Sumber Air</t>
  </si>
  <si>
    <t>Konstruksi Dalam Pengerjaan Bangunan Pengembangan Sumber Air dan Air Tanah-Bangunan Sawah Irigasi Air Tanah</t>
  </si>
  <si>
    <t>Konstruksi Dalam Pengerjaan Bangunan Pengembangan Sumber Air dan Air Tanah-Bangunan Pengembangan Sumber Air dan Air Tanah Lainnya</t>
  </si>
  <si>
    <t>Konstruksi Dalam Pengerjaan Bangunan Air Bersih/Air Baku-Bangunan Waduk Air Bersih/Air Baku</t>
  </si>
  <si>
    <t>Konstruksi Dalam Pengerjaan Bangunan Air Bersih/Air Baku-Bangunan Pengambilan Air Bersih/Air Baku</t>
  </si>
  <si>
    <t>Konstruksi Dalam Pengerjaan Bangunan Air Bersih/Air Baku-Bangunan Pembawa Air Bersih/Air Baku</t>
  </si>
  <si>
    <t>Konstruksi Dalam Pengerjaan Bangunan Air Bersih/Air Baku-Bangunan Pembuang Air Bersih/Air Baku</t>
  </si>
  <si>
    <t>Konstruksi Dalam Pengerjaan Bangunan Air Bersih/Air Baku-Bangunan Pelengkap Air Bersih/Air Baku</t>
  </si>
  <si>
    <t>Konstruksi Dalam Pengerjaan Bangunan Air Bersih/Air Baku-Bangunan Air Bersih/Air Baku Lainnya</t>
  </si>
  <si>
    <t>Konstruksi Dalam Pengerjaan Bangunan Air Kotor-Bangunan Pembawa Air Kotor</t>
  </si>
  <si>
    <t>Konstruksi Dalam Pengerjaan Bangunan Air Kotor-Bangunan Waduk Air Kotor</t>
  </si>
  <si>
    <t>Konstruksi Dalam Pengerjaan Bangunan Air Kotor-Bangunan Pembuang Air Kotor</t>
  </si>
  <si>
    <t>Konstruksi Dalam Pengerjaan Bangunan Air Kotor-Bangunan Pengaman Air Kotor</t>
  </si>
  <si>
    <t>Konstruksi Dalam Pengerjaan Bangunan Air Kotor-Bangunan Pelengkap Air Kotor</t>
  </si>
  <si>
    <t>Konstruksi Dalam Pengerjaan Bangunan Air Kotor-Bangunan Air Kotor Lainnya</t>
  </si>
  <si>
    <t>Konstruksi Dalam Pengerjaan Instalasi</t>
  </si>
  <si>
    <t>Konstruksi Dalam Pengerjaan Instalasi Air Bersih/Air Baku-Instalasi Air Permukaan</t>
  </si>
  <si>
    <t>Konstruksi Dalam Pengerjaan Instalasi Air Bersih/Air Baku-Instalasi Air Sumber/Mata Air</t>
  </si>
  <si>
    <t>Konstruksi Dalam Pengerjaan Instalasi Air Bersih/Air Baku-Instalasi Air Tanah Dalam</t>
  </si>
  <si>
    <t>Konstruksi Dalam Pengerjaan Instalasi Air Bersih/Air Baku-Instalasi Air Tanah Dangkal</t>
  </si>
  <si>
    <t>Konstruksi Dalam Pengerjaan Instalasi Air Bersih/Air Baku- Instalasi Air Bersih/Air Baku Lainnya</t>
  </si>
  <si>
    <t>Konstruksi Dalam Pengerjaan Instalasi Air Kotor-Instalasi Air Buangan Domestik</t>
  </si>
  <si>
    <t>Konstruksi Dalam Pengerjaan Instalasi Air Kotor-Instalasi Air Buangan Industri</t>
  </si>
  <si>
    <t>Konstruksi Dalam Pengerjaan Instalasi Air Kotor-Instalasi Air Buangan Pertanian</t>
  </si>
  <si>
    <t>Konstruksi Dalam Pengerjaan Instalasi Air Kotor-Instalasi Air Kotor Lainnya</t>
  </si>
  <si>
    <t>Konstruksi Dalam Pengerjaan Instalasi Pengolahan Sampah-Instalasi Pengolahan Sampah Organik</t>
  </si>
  <si>
    <t>Konstruksi Dalam Pengerjaan Instalasi Pengolahan Sampah-Instalasi Pengolahan Sampah Non Organik</t>
  </si>
  <si>
    <t>Konstruksi Dalam Pengerjaan Instalasi Pengolahan Sampah-Bangunan Penampung Sampah</t>
  </si>
  <si>
    <t>Konstruksi Dalam Pengerjaan Instalasi Pengolahan Sampah-Instalasi Pengolahan Sampah Lainnya</t>
  </si>
  <si>
    <t>Konstruksi Dalam Pengerjaan Instalasi Pengolahan Bahan Bangunan-Instalasi Pengolahan Bahan Bangunan Percontohan</t>
  </si>
  <si>
    <t>Konstruksi Dalam Pengerjaan Instalasi Pengolahan Bahan Bangunan-Instalasi Pengolahan Bahan Bangunan Perintis</t>
  </si>
  <si>
    <t>Konstruksi Dalam Pengerjaan Instalasi Pengolahan Bahan Bangunan-Instalasi Pengolahan Bahan Bangunan Terapan</t>
  </si>
  <si>
    <t>Konstruksi Dalam Pengerjaan Instalasi Pengolahan Bahan Bangunan-Instalasi Pengolahan Bahan Bangunan Lainnya</t>
  </si>
  <si>
    <t>Konstruksi Dalam Pengerjaan Instalasi Pembangkit Listrik-Instalasi Pembangkit Listrik Tenaga Air (PLTA)</t>
  </si>
  <si>
    <t>Konstruksi Dalam Pengerjaan Instalasi Pembangkit Listrik-Instalasi Pembangkit Listrik Tenaga Diesel (PLTD)</t>
  </si>
  <si>
    <t>Konstruksi Dalam Pengerjaan Instalasi Pembangkit Listrik-Instalasi Pembangkit Listrik Tenaga Mikro Hidro (PLTM)</t>
  </si>
  <si>
    <t>Konstruksi Dalam Pengerjaan Instalasi Pembangkit Listrik-Instalasi Pembangkit Listrik Tenaga Angin (PLTAN)</t>
  </si>
  <si>
    <t>Konstruksi Dalam Pengerjaan Instalasi Pembangkit Listrik-Instalasi Pembangkit Listrik Tenaga Uap (PLTU)</t>
  </si>
  <si>
    <t>Konstruksi Dalam Pengerjaan Instalasi Pembangkit Listrik-Instalasi Pembangkit Listrik Tenaga Nuklir (PLTN)</t>
  </si>
  <si>
    <t>Konstruksi Dalam Pengerjaan Instalasi Pembangkit Listrik-Instalasi Pembangkit Listrik Tenaga Gas (PLTG)</t>
  </si>
  <si>
    <t>Konstruksi Dalam Pengerjaan Instalasi Pembangkit Listrik-Instalasi Pembangkit Listrik Tenaga Panas Bumi (PLTP)</t>
  </si>
  <si>
    <t>Konstruksi Dalam Pengerjaan Instalasi Pembangkit Listrik-Instalasi Pembangkit Listrik Tenaga Surya (PLTS)</t>
  </si>
  <si>
    <t>Konstruksi Dalam Pengerjaan Instalasi Pembangkit Listrik-Instalasi Pembangkit Listrik Tenaga Biogas (PLTB)</t>
  </si>
  <si>
    <t>Konstruksi Dalam Pengerjaan Instalasi Pembangkit Listrik-Instalasi Pembangkit Listrik Tenaga
Samudera/Gelombang Samudera</t>
  </si>
  <si>
    <t>Konstruksi Dalam Pengerjaan Instalasi Pembangkit Listrik-Instalasi Pembangkit Listrik Lainnya</t>
  </si>
  <si>
    <t>Konstruksi Dalam Pengerjaan Instalasi Gardu Listrik-Instalasi Gardu Listrik Induk</t>
  </si>
  <si>
    <t>Konstruksi Dalam Pengerjaan Instalasi Gardu Listrik-Instalasi Gardu Listrik Distribusi</t>
  </si>
  <si>
    <t>Konstruksi Dalam Pengerjaan Instalasi Gardu Listrik-Instalasi Pusat Pengatur Listrik</t>
  </si>
  <si>
    <t>Konstruksi Dalam Pengerjaan Instalasi Gardu Listrik-Instalasi Gardu Listrik Lainnya</t>
  </si>
  <si>
    <t>Konstruksi Dalam Pengerjaan Instalasi Instalasi Pertahanan-Instalasi Pertahanan di Darat</t>
  </si>
  <si>
    <t>Konstruksi Dalam Pengerjaan Instalasi Instalasi Pertahanan-instalasi pertahanan lainnya</t>
  </si>
  <si>
    <t>Konstruksi Dalam Pengerjaan Instalasi Gas-Instalasi Gardu Gas</t>
  </si>
  <si>
    <t>Konstruksi Dalam Pengerjaan Instalasi Gas-Instalasi Jaringan Pipa Gas</t>
  </si>
  <si>
    <t>Konstruksi Dalam Pengerjaan Instalasi Gas-Instalasi Pengolahan Gas</t>
  </si>
  <si>
    <t>Konstruksi Dalam Pengerjaan Instalasi Gas-Instalasi Gas Lainnya</t>
  </si>
  <si>
    <t>Konstruksi Dalam Pengerjaan Instalasi Pengaman-Instalasi Pengaman Penangkal Petir</t>
  </si>
  <si>
    <t>Konstruksi Dalam Pengerjaan Instalasi Pengaman-Instalasi Reaktor Nuklir</t>
  </si>
  <si>
    <t>Konstruksi Dalam Pengerjaan Instalasi Pengaman-Instalasi Pengolahan Limbah Radioaktif</t>
  </si>
  <si>
    <t>Konstruksi Dalam Pengerjaan Instalasi Pengaman-Instalasi Pengaman Lainnya</t>
  </si>
  <si>
    <t>Konstruksi Dalam Pengerjaan Instalasi Lain-Instalasi Lain</t>
  </si>
  <si>
    <t>Konstruksi Dalam Pengerjaan Jaringan</t>
  </si>
  <si>
    <t>Konstruksi Dalam Pengerjaan Jaringan Air Minum-Jaringan Pembawa</t>
  </si>
  <si>
    <t>Konstruksi Dalam Pengerjaan Jaringan Air Minum-Jaringan Induk Distribusi</t>
  </si>
  <si>
    <t>Konstruksi Dalam Pengerjaan Jaringan Air Minum-Jaringan Cabang Distribusi</t>
  </si>
  <si>
    <t>Konstruksi Dalam Pengerjaan Jaringan Air Minum-Jaringan Sambungan ke Rumah</t>
  </si>
  <si>
    <t>Konstruksi Dalam Pengerjaan Jaringan Air Minum-Jaringan Air Minum Lainnya</t>
  </si>
  <si>
    <t>Konstruksi Dalam Pengerjaan Jaringan Listrik-Jaringan Transmisi</t>
  </si>
  <si>
    <t>Konstruksi Dalam Pengerjaan Jaringan Listrik-Jaringan Distribusi</t>
  </si>
  <si>
    <t>Konstruksi Dalam Pengerjaan Jaringan Listrik-Jaringan Listrik Lainnya</t>
  </si>
  <si>
    <t>Konstruksi Dalam Pengerjaan Jaringan Telepon- Jaringan Telepon di atas Tanah</t>
  </si>
  <si>
    <t>Konstruksi Dalam Pengerjaan Jaringan Telepon- Jaringan Telepon di bawah Tanah</t>
  </si>
  <si>
    <t>Konstruksi Dalam Pengerjaan Jaringan Telepon- Jaringan Telepon di dalam Air</t>
  </si>
  <si>
    <t>Konstruksi Dalam Pengerjaan Jaringan Telepon- Jaringan dengan Media Udara</t>
  </si>
  <si>
    <t>Konstruksi Dalam Pengerjaan Jaringan Telepon- Jaringan Telepon Lainnya</t>
  </si>
  <si>
    <t>Konstruksi Dalam Pengerjaan Jaringan Gas-Jaringan Pipa Gas Transmisi</t>
  </si>
  <si>
    <t>Konstruksi Dalam Pengerjaan Jaringan Gas-Jaringan Pipa Distribusi</t>
  </si>
  <si>
    <t>Konstruksi Dalam Pengerjaan Jaringan Gas-Jaringan Pipa Dinas</t>
  </si>
  <si>
    <t>Konstruksi Dalam Pengerjaan Jaringan Gas-Jaringan BBM</t>
  </si>
  <si>
    <t>Konstruksi Dalam Pengerjaan Jaringan Gas-Jaringan Gas Lainnya</t>
  </si>
  <si>
    <t>Konstruksi Dalam Pengerjaan Aset Tetap Lainnya</t>
  </si>
  <si>
    <t>Konstruksi Dalam Pengerjaan Bahan Perpustakaan</t>
  </si>
  <si>
    <t>Konstruksi Dalam Pengerjaan Bahan Perpustakaan Tercetak-Buku Umum</t>
  </si>
  <si>
    <t>Konstruksi Dalam Pengerjaan Bahan Perpustakaan Tercetak-Buku Filsafat</t>
  </si>
  <si>
    <t>Konstruksi Dalam Pengerjaan Bahan Perpustakaan Tercetak-Buku Agama</t>
  </si>
  <si>
    <t>Konstruksi Dalam Pengerjaan Bahan Perpustakaan Tercetak-Buku Ilmu Sosial</t>
  </si>
  <si>
    <t>Konstruksi Dalam Pengerjaan Bahan Perpustakaan Tercetak-Buku Ilmu Bahasa</t>
  </si>
  <si>
    <t>Konstruksi Dalam Pengerjaan Bahan Perpustakaan Tercetak-Buku Matematika dan Pengetahuan Alam</t>
  </si>
  <si>
    <t>Konstruksi Dalam Pengerjaan Bahan Perpustakaan Tercetak-Buku Ilmu Pengetahuan Praktis</t>
  </si>
  <si>
    <t>Konstruksi Dalam Pengerjaan Bahan Perpustakaan Tercetak-Buku Arsitektur, Kesenian, dan Olahraga</t>
  </si>
  <si>
    <t>Konstruksi Dalam Pengerjaan Bahan Perpustakaan Tercetak-Buku Geografi, Biografi, dan Sejarah</t>
  </si>
  <si>
    <t>Konstruksi Dalam Pengerjaan Bahan Perpustakaan Tercetak-Serial</t>
  </si>
  <si>
    <t>Konstruksi Dalam Pengerjaan Bahan Perpustakaan Tercetak-Buku Laporan</t>
  </si>
  <si>
    <t>Konstruksi Dalam Pengerjaan Bahan Perpustakaan Tercetak-Bahan Perpustakaan Tercetak Lainnya</t>
  </si>
  <si>
    <t>Konstruksi Dalam Pengerjaan Bahan Perpustakaan Terekam dan Bentuk Mikro-Audio Visual</t>
  </si>
  <si>
    <t>Konstruksi Dalam Pengerjaan Bahan Perpustakaan Terekam dan Bentuk Mikro-Bentuk Mikro (Microform)</t>
  </si>
  <si>
    <t>Konstruksi Dalam Pengerjaan Bahan Perpustakaan Terekam dan Bentuk Mikro-Terekam dan Bentuk Mikro Lainnya</t>
  </si>
  <si>
    <t>Konstruksi Dalam Pengerjaan Kartografi, Naskah dan Lukisan-Bahan Kartografi</t>
  </si>
  <si>
    <t>Konstruksi Dalam Pengerjaan Kartografi, Naskah dan Lukisan-Naskah (Manuskrip)/Asli</t>
  </si>
  <si>
    <t>Konstruksi Dalam Pengerjaan Kartografi, Naskah dan Lukisan-Lukisan dan Ukiran</t>
  </si>
  <si>
    <t>Konstruksi Dalam Pengerjaan Kartografi, Naskah dan Lukisan-Kartografi, Naskah, dan Lukisan Lainnya</t>
  </si>
  <si>
    <t>Konstruksi Dalam Pengerjaan Musik-Karya Musik</t>
  </si>
  <si>
    <t>Konstruksi Dalam Pengerjaan Musik-Musik Lainnya</t>
  </si>
  <si>
    <t>Konstruksi Dalam Pengerjaan Karya Grafika (Graphic Material)-Karya Grafika (Graphic Material)</t>
  </si>
  <si>
    <t>Konstruksi Dalam Pengerjaan Karya Grafika (Graphic Material)-Karya Grafika (Graphic Material) Lainnya</t>
  </si>
  <si>
    <t>Konstruksi Dalam Pengerjaan Three Dimensional Artifacts and Realita-Three Dimensional Artifacts and Realita</t>
  </si>
  <si>
    <t>Konstruksi Dalam Pengerjaan Three Dimensional Artifacts and Realita-Three Dimensional Artifacts and Realita Lainnya</t>
  </si>
  <si>
    <t>Konstruksi Dalam Pengerjaan Tarscalt-Tarscalt</t>
  </si>
  <si>
    <t>Konstruksi Dalam Pengerjaan Tarscalt-Tarscalt Lainnya</t>
  </si>
  <si>
    <t>Konstruksi Dalam Pengerjaan Barang Bercorak Kesenian/Kebudayaan/Olahraga</t>
  </si>
  <si>
    <t>Konstruksi Dalam Pengerjaan Barang Bercorak Kesenian-Alat Musik</t>
  </si>
  <si>
    <t>Konstruksi Dalam Pengerjaan Barang Bercorak Kesenian-Lukisan</t>
  </si>
  <si>
    <t>Konstruksi Dalam Pengerjaan Barang Bercorak Kesenian-Alat Peraga Kesenian</t>
  </si>
  <si>
    <t>Konstruksi Dalam Pengerjaan Barang Bercorak Kesenian-Barang Bercorak Kesenian Lainnya</t>
  </si>
  <si>
    <t>Konstruksi Dalam Pengerjaan Alat Bercorak Kebudayaan-Pahatan</t>
  </si>
  <si>
    <t>Konstruksi Dalam Pengerjaan Alat Bercorak Kebudayaan-Maket, Miniatur, Replika, Foto Dokumen, dan Benda Bersejarah</t>
  </si>
  <si>
    <t>Konstruksi Dalam Pengerjaan Alat Bercorak Kebudayaan-Barang Kerajinan</t>
  </si>
  <si>
    <t>Konstruksi Dalam Pengerjaan Alat Bercorak Kebudayaan-Alat Bercorak Kebudayaan Lainnya</t>
  </si>
  <si>
    <t>Konstruksi Dalam Pengerjaan Tanda Penghargaan-Tanda Penghargaan Bidang Olahraga</t>
  </si>
  <si>
    <t>Konstruksi Dalam Pengerjaan Tanda Penghargaan-Tanda Penghargaan Bidang Lainnya</t>
  </si>
  <si>
    <t>Konstruksi Dalam Pengerjaan Hewan</t>
  </si>
  <si>
    <t>Konstruksi Dalam Pengerjaan Hewan Piaraan-Hewan Pengaman</t>
  </si>
  <si>
    <t>Konstruksi Dalam Pengerjaan Hewan Piaraan-Hewan Pengangkut</t>
  </si>
  <si>
    <t>Konstruksi Dalam Pengerjaan Hewan Piaraan-Hewan Kebun Binatang</t>
  </si>
  <si>
    <t>Konstruksi Dalam Pengerjaan Hewan Piaraan-Hewan Piaraan Lainnya</t>
  </si>
  <si>
    <t>Konstruksi Dalam Pengerjaan Ternak-Ternak Potong</t>
  </si>
  <si>
    <t>Konstruksi Dalam Pengerjaan Ternak-Ternak Perah</t>
  </si>
  <si>
    <t>Konstruksi Dalam Pengerjaan Ternak-Ternak Unggas</t>
  </si>
  <si>
    <t>Konstruksi Dalam Pengerjaan Ternak-Ternak Lainnya</t>
  </si>
  <si>
    <t>Konstruksi Dalam Pengerjaan Hewan Lainnya-Hewan Lainnya</t>
  </si>
  <si>
    <t>Konstruksi Dalam Pengerjaan Biota Perairan</t>
  </si>
  <si>
    <t>Konstruksi Dalam Pengerjaan Ikan Bersirip (Pisces/Ikan Bersirip)-Ikan Budidaya</t>
  </si>
  <si>
    <t>Konstruksi Dalam Pengerjaan Crustacea (Udang, Rajungan, Kepiting, dan Sebangsanya)-Crustacea Budidaya (Udang, Rajungan, Kepiting, dan Sebangsanya)</t>
  </si>
  <si>
    <t>Konstruksi Dalam Pengerjaan Mollusca (Kerang, Tiram, Cumi-Cumi, Gurita,Siput, dan Sebangsanya)-Mollusca Budidaya (Kerang, Tiram, Cumi-Cumi, Gurita, Siput, dan Sebangsanya)</t>
  </si>
  <si>
    <t>Konstruksi Dalam Pengerjaan Coelenterata (Ubur-Ubur dan Sebangsanya)-Coelenterata Budidaya (Ubur-Ubur dan Sebangsanya)</t>
  </si>
  <si>
    <t>Konstruksi Dalam Pengerjaan Echinodermata (Tripang, Bulu Babi dan Sebangsanya)-Echinodermata Budidaya (Tripang, Bulu Babi dan Sebangsanya)</t>
  </si>
  <si>
    <t>Konstruksi Dalam Pengerjaan Amphibia (Kodok dan Sebangsanya)-Amphibia Budidaya (Kodok dan Sebangsanya)</t>
  </si>
  <si>
    <t>Konstruksi Dalam Pengerjaan Reptilia (Buaya, Penyu, Kura-Kura, Biawak, Ular Air, dan Sebangsanya)-Reptilia Budidaya (Buaya, Penyu, Kura-Kura,
Biawak, Ular Air, dan Sebangsanya)</t>
  </si>
  <si>
    <t>Konstruksi Dalam Pengerjaan Mammalia (Paus, Lumba-Lumba, Pesut, Duyung, dan Sebangsanya)-Mammalia Budidaya (Paus, Lumba-Lumba, Pesut, Duyung, dan Sebangsanya)</t>
  </si>
  <si>
    <t>Konstruksi Dalam Pengerjaan Algae (Rumput Laut dan Tumbuh-TumbuhanLain yang Hidup di dalam Air)-Algae Budidaya (Rumput Laut dan Tumbuh-Tumbuhan Lain yang Hidup di dalam Air)</t>
  </si>
  <si>
    <t>Konstruksi Dalam Pengerjaan Biota Perairan Lainnya-Budidaya Biota Perairan Lainnya</t>
  </si>
  <si>
    <t>Konstruksi Dalam Pengerjaan Tanaman</t>
  </si>
  <si>
    <t>Konstruksi Dalam Pengerjaan Tanaman-Tanaman</t>
  </si>
  <si>
    <t>Konstruksi Dalam Pengerjaan Barang Koleksi Non Budaya</t>
  </si>
  <si>
    <t>Konstruksi Dalam Pengerjaan Barang Koleksi Non Budaya-Hewan Koleksi</t>
  </si>
  <si>
    <t>Konstruksi Dalam Pengerjaan Barang Koleksi Non Budaya-Biota Perairan Koleksi</t>
  </si>
  <si>
    <t>Konstruksi Dalam Pengerjaan Barang Koleksi Non Budaya-Tanaman Koleksi</t>
  </si>
  <si>
    <t>Konstruksi Dalam Pengerjaan Barang Koleksi Non Budaya-Mikroba Koleksi</t>
  </si>
  <si>
    <t>Konstruksi Dalam Pengerjaan Barang Koleksi Non Budaya-Batuan Koleksi</t>
  </si>
  <si>
    <t>Konstruksi Dalam Pengerjaan Barang Koleksi Non Budaya-Fosil</t>
  </si>
  <si>
    <t>Konstruksi Dalam Pengerjaan Barang Koleksi Non Budaya-Barang Koleksi Non Budaya Lainnya</t>
  </si>
  <si>
    <t>Konstruksi Dalam Pengerjaan Aset Tetap Dalam Renovasi</t>
  </si>
  <si>
    <t>ASET  LAINNYA</t>
  </si>
  <si>
    <t>5</t>
  </si>
  <si>
    <t>Tagihan Jangka Panjang</t>
  </si>
  <si>
    <t>Tagihan Penjualan Angsuran</t>
  </si>
  <si>
    <t xml:space="preserve">Tagihan Angsuran Penjualan Rumah Negara Golongan III </t>
  </si>
  <si>
    <t>Tagihan Angsuran Penjualan Rumah Negara Golongan III.</t>
  </si>
  <si>
    <t xml:space="preserve">Tagihan Angsuran Penjualan Kendaraan Perorangan  Dinas </t>
  </si>
  <si>
    <t>Tagihan Angsuran Penjualan Kendaraan Perorangan Dinas.</t>
  </si>
  <si>
    <t xml:space="preserve">Tuntutan Ganti Kerugian Daerah </t>
  </si>
  <si>
    <t xml:space="preserve">Tuntutan Ganti Kerugian Daerah Terhadap Bendahara </t>
  </si>
  <si>
    <t>Tuntutan Ganti Kerugian Daerah Terhadap Bendahara</t>
  </si>
  <si>
    <t>Tuntutan Ganti Kerugian Daerah Terhadap Pegawai Negeri Bukan Bendahara atau Pejabat Lain</t>
  </si>
  <si>
    <t>Kemitraan dengan Pihak Ketiga</t>
  </si>
  <si>
    <t>Sewa</t>
  </si>
  <si>
    <t>Kerja Sama Pemanfaatan</t>
  </si>
  <si>
    <t>Bangun Guna Serah/Bangun Serah Guna (BGS/BSG)</t>
  </si>
  <si>
    <t>Kerja Sama Penyediaan Infrastruktur</t>
  </si>
  <si>
    <t>Aset Tidak Berwujud</t>
  </si>
  <si>
    <t>Goodwill</t>
  </si>
  <si>
    <t>Lisensi dan Franchise</t>
  </si>
  <si>
    <t>Hak Cipta</t>
  </si>
  <si>
    <t>Hak Paten</t>
  </si>
  <si>
    <t>Software</t>
  </si>
  <si>
    <t>Kajian</t>
  </si>
  <si>
    <t>Aset Tidak Berwujud Yang Mempunyai Nilai Sejarah/Budaya</t>
  </si>
  <si>
    <t>Aset Tidak Berwujud Dalam Pengerjaan</t>
  </si>
  <si>
    <t>Aset Tidak Berwujud Lainnya</t>
  </si>
  <si>
    <t>Aset Lain-lain</t>
  </si>
  <si>
    <t>Aset Rusak Berat/Usang</t>
  </si>
  <si>
    <t>Aset Tetap  yang Tidak Digunakan Dalam Operasional Pemerintah</t>
  </si>
  <si>
    <t>Akumulasi Amortisasi Aset Tidak Berwujud</t>
  </si>
  <si>
    <t>Akumulasi Amortisasi Aset Tidak Berwujud-Lisensi dan Frenchise</t>
  </si>
  <si>
    <t>Akumulasi Amortisasi Aset Tidak Berwujud-Hak Cipta</t>
  </si>
  <si>
    <t>Akumulasi Amortisasi Aset Tidak Berwujud-Hak Paten</t>
  </si>
  <si>
    <t>Akumulasi Amortisasi Aset Tidak Berwujud-Software</t>
  </si>
  <si>
    <t>Akumulasi Amortisasi Aset Tidak Berwujud-Kajian</t>
  </si>
  <si>
    <t>Akumulasi Penyusutan Aset Lainnya</t>
  </si>
  <si>
    <t>Akumulasi Penyusutan Kemitraan dengan Pihak Ketiga</t>
  </si>
  <si>
    <t>Akumulasi Penyusutan Kemitraan Dengan Pihak Ketiga-Sewa</t>
  </si>
  <si>
    <t>Akumulasi Penyusutan Kemitraan Dengan Pihak Ketiga-Kerjasama Pemanfaatan</t>
  </si>
  <si>
    <t>Akumulasi Penyusutan Kemitraan Dengan Pihak Ketiga-Bangun Guna Serah/Bangun Serah Guna (BGS/BSG)</t>
  </si>
  <si>
    <t>Akumulasi Penyusutan Kemitraan Dengan Pihak Ketiga-Kerjasama Penyediaan Infrastruktur</t>
  </si>
  <si>
    <t>Total Aset Tetap + Aset Lainnya</t>
  </si>
  <si>
    <t xml:space="preserve">  Mengetahui :</t>
  </si>
  <si>
    <t>KEPALA BPSDM</t>
  </si>
  <si>
    <t xml:space="preserve"> Pengurus Barang </t>
  </si>
  <si>
    <t>PROVINSI JAMBI</t>
  </si>
  <si>
    <t>H. MUKTI, SE, ME</t>
  </si>
  <si>
    <t>ROMMY FWIDAWIJAYA, SE</t>
  </si>
  <si>
    <t>Pembina Utama Muda</t>
  </si>
  <si>
    <t>Penata Tingkat I</t>
  </si>
  <si>
    <t>NIP. 19700112 199903 1 002</t>
  </si>
  <si>
    <t>NIP. 19761106 201101 1 002</t>
  </si>
  <si>
    <t>=Q182-L183</t>
  </si>
  <si>
    <t>Jambi,  31 Desember 2022</t>
  </si>
  <si>
    <t>Hand Troley (lori dorong)</t>
  </si>
  <si>
    <t>Kalkulator(Mesin Hitung Manual)</t>
  </si>
  <si>
    <t>Flip Chart</t>
  </si>
  <si>
    <t>Pintu Besi (Teralis)</t>
  </si>
  <si>
    <t>2 PK</t>
  </si>
  <si>
    <t>1 PK</t>
  </si>
  <si>
    <t>Kaban, Sutoro, Lailatul</t>
  </si>
  <si>
    <t>Axio</t>
  </si>
  <si>
    <t>Bangunan Taman Kantor</t>
  </si>
  <si>
    <t>Jambi,  30 Juni  2023</t>
  </si>
  <si>
    <t>1.3.2.10.01.02.009</t>
  </si>
  <si>
    <t>Ipad</t>
  </si>
  <si>
    <t>Apple</t>
  </si>
  <si>
    <t>Ruan Program</t>
  </si>
  <si>
    <t>Akumulasi  Penyusutan s/d tahun ini (Rp)</t>
  </si>
  <si>
    <t>Per 31 Desember 2023</t>
  </si>
  <si>
    <t>Jambi, 1 Januari 2024</t>
  </si>
  <si>
    <t>1.3.2.06.03.20.005</t>
  </si>
  <si>
    <t>SEMESTER II</t>
  </si>
  <si>
    <t>Per 1 Juli 2023</t>
  </si>
  <si>
    <t>1,3,02,10,01.002</t>
  </si>
  <si>
    <t>PERSONAL KOMPUTER</t>
  </si>
  <si>
    <t>1.3.02.10.02.</t>
  </si>
  <si>
    <t>PERALATAN PERSONAL KOMPUTER</t>
  </si>
  <si>
    <t>1.3.02.10.01.02</t>
  </si>
  <si>
    <t>1.3.02.10.02.003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</si>
</sst>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.00_);_(* \(#,##0.00\);_(* &quot;-&quot;_);_(@_)"/>
    <numFmt numFmtId="167" formatCode="_-* #,##0.0000_-;\-* #,##0.0000_-;_-* &quot;-&quot;??_-;_-@_-"/>
    <numFmt numFmtId="168" formatCode="0.0"/>
    <numFmt numFmtId="169" formatCode="_-* #,##0.00000000000000000000000_-;\-* #,##0.00000000000000000000000_-;_-* &quot;-&quot;??_-;_-@_-"/>
    <numFmt numFmtId="170" formatCode="_-* #,##0.00000_-;\-* #,##0.00000_-;_-* &quot;-&quot;?????_-;_-@_-"/>
    <numFmt numFmtId="171" formatCode="_-* #,##0.00000000_-;\-* #,##0.00000000_-;_-* &quot;-&quot;?????_-;_-@_-"/>
    <numFmt numFmtId="172" formatCode="0.00000"/>
    <numFmt numFmtId="173" formatCode="_(* #,##0.0_);_(* \(#,##0.0\);_(* &quot;-&quot;_);_(@_)"/>
    <numFmt numFmtId="174" formatCode="_-* #,##0.0_-;\-* #,##0.0_-;_-* &quot;-&quot;??_-;_-@_-"/>
    <numFmt numFmtId="175" formatCode="_-* #,##0.0000000000_-;\-* #,##0.0000000000_-;_-* &quot;-&quot;??_-;_-@_-"/>
    <numFmt numFmtId="176" formatCode="_-* #,##0.000000000000000000000000_-;\-* #,##0.000000000000000000000000_-;_-* &quot;-&quot;??_-;_-@_-"/>
    <numFmt numFmtId="177" formatCode="_-* #,##0.0000000000000000000000000_-;\-* #,##0.0000000000000000000000000_-;_-* &quot;-&quot;??_-;_-@_-"/>
    <numFmt numFmtId="178" formatCode="_-* #,##0.00_-;\-* #,##0.00_-;_-* &quot;-&quot;_-;_-@_-"/>
    <numFmt numFmtId="179" formatCode="_(&quot;Rp&quot;* #,##0_);_(&quot;Rp&quot;* \(#,##0\);_(&quot;Rp&quot;* &quot;-&quot;_);_(@_)"/>
    <numFmt numFmtId="180" formatCode="_-* #,##0.00_-;\-* #,##0.00_-;_-* &quot;-&quot;?????_-;_-@_-"/>
    <numFmt numFmtId="181" formatCode="_-* #,##0.00000_-;\-* #,##0.00000_-;_-* &quot;-&quot;_-;_-@_-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8"/>
      <color theme="1"/>
      <name val="Bookman Old Style"/>
      <family val="1"/>
    </font>
    <font>
      <sz val="8"/>
      <color theme="1"/>
      <name val="Bookman Old Style"/>
      <family val="1"/>
    </font>
    <font>
      <b/>
      <sz val="9"/>
      <color theme="1"/>
      <name val="Bookman Old Style"/>
      <family val="1"/>
    </font>
    <font>
      <sz val="8"/>
      <color rgb="FFFF0000"/>
      <name val="Bookman Old Style"/>
      <family val="1"/>
    </font>
    <font>
      <sz val="11"/>
      <color indexed="8"/>
      <name val="Calibri"/>
      <family val="2"/>
    </font>
    <font>
      <sz val="10"/>
      <name val="Century Gothic"/>
      <family val="2"/>
    </font>
    <font>
      <sz val="8"/>
      <name val="Bookman Old Style"/>
      <family val="1"/>
    </font>
    <font>
      <b/>
      <sz val="9"/>
      <name val="Bookman Old Style"/>
      <family val="1"/>
    </font>
    <font>
      <b/>
      <sz val="10"/>
      <color theme="1"/>
      <name val="Bookman Old Style"/>
      <family val="1"/>
    </font>
    <font>
      <b/>
      <sz val="10"/>
      <name val="Bookman Old Style"/>
      <family val="1"/>
    </font>
    <font>
      <sz val="9"/>
      <color theme="1"/>
      <name val="Bookman Old Style"/>
      <family val="1"/>
    </font>
    <font>
      <sz val="14"/>
      <color theme="1"/>
      <name val="Bookman Old Style"/>
      <family val="1"/>
    </font>
    <font>
      <sz val="18"/>
      <name val="Bookman Old Style"/>
      <family val="1"/>
    </font>
    <font>
      <sz val="20"/>
      <color theme="1"/>
      <name val="Bookman Old Style"/>
      <family val="1"/>
    </font>
    <font>
      <b/>
      <u/>
      <sz val="20"/>
      <name val="Bookman Old Style"/>
      <family val="1"/>
    </font>
    <font>
      <b/>
      <u/>
      <sz val="18"/>
      <name val="Bookman Old Style"/>
      <family val="1"/>
    </font>
    <font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b/>
      <sz val="11"/>
      <color indexed="8"/>
      <name val="Bookman Old Style"/>
      <family val="1"/>
    </font>
    <font>
      <b/>
      <i/>
      <sz val="11"/>
      <color indexed="8"/>
      <name val="Bookman Old Style"/>
      <family val="1"/>
    </font>
    <font>
      <b/>
      <i/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b/>
      <sz val="11"/>
      <name val="Bookman Old Style"/>
      <family val="1"/>
    </font>
    <font>
      <sz val="11"/>
      <name val="Bookman Old Style"/>
      <family val="1"/>
    </font>
    <font>
      <i/>
      <sz val="11"/>
      <name val="Bookman Old Style"/>
      <family val="1"/>
    </font>
    <font>
      <sz val="11"/>
      <color indexed="8"/>
      <name val="Bookman Old Style"/>
      <family val="1"/>
    </font>
    <font>
      <sz val="12"/>
      <color theme="1"/>
      <name val="Arial"/>
      <family val="2"/>
      <charset val="1"/>
    </font>
    <font>
      <sz val="12"/>
      <color indexed="8"/>
      <name val="Arial"/>
      <family val="2"/>
      <charset val="1"/>
    </font>
    <font>
      <b/>
      <u/>
      <sz val="11"/>
      <color indexed="8"/>
      <name val="Bookman Old Style"/>
      <family val="1"/>
    </font>
    <font>
      <b/>
      <u/>
      <sz val="11"/>
      <name val="Bookman Old Style"/>
      <family val="1"/>
    </font>
    <font>
      <u/>
      <sz val="9.35"/>
      <color theme="10"/>
      <name val="Calibri"/>
      <family val="2"/>
      <charset val="1"/>
    </font>
    <font>
      <b/>
      <sz val="14"/>
      <color theme="1"/>
      <name val="Bookman Old Style"/>
      <family val="1"/>
    </font>
    <font>
      <sz val="9"/>
      <name val="Bookman Old Style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2" fillId="0" borderId="0"/>
    <xf numFmtId="0" fontId="19" fillId="0" borderId="0"/>
    <xf numFmtId="164" fontId="19" fillId="0" borderId="0" applyFont="0" applyFill="0" applyBorder="0" applyAlignment="0" applyProtection="0"/>
    <xf numFmtId="41" fontId="2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/>
    <xf numFmtId="165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1" fillId="0" borderId="0"/>
    <xf numFmtId="164" fontId="1" fillId="0" borderId="0" applyFont="0" applyFill="0" applyBorder="0" applyAlignment="0" applyProtection="0"/>
    <xf numFmtId="179" fontId="1" fillId="0" borderId="0" applyFont="0" applyFill="0" applyBorder="0" applyAlignment="0" applyProtection="0"/>
  </cellStyleXfs>
  <cellXfs count="473">
    <xf numFmtId="0" fontId="0" fillId="0" borderId="0" xfId="0"/>
    <xf numFmtId="0" fontId="4" fillId="2" borderId="0" xfId="0" applyFont="1" applyFill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center" wrapText="1"/>
    </xf>
    <xf numFmtId="43" fontId="4" fillId="2" borderId="0" xfId="0" applyNumberFormat="1" applyFont="1" applyFill="1"/>
    <xf numFmtId="0" fontId="3" fillId="0" borderId="5" xfId="0" applyFont="1" applyBorder="1" applyAlignment="1">
      <alignment horizontal="center" vertical="center" wrapText="1"/>
    </xf>
    <xf numFmtId="0" fontId="3" fillId="0" borderId="5" xfId="2" applyNumberFormat="1" applyFont="1" applyFill="1" applyBorder="1" applyAlignment="1">
      <alignment horizontal="center" vertical="center" wrapText="1"/>
    </xf>
    <xf numFmtId="165" fontId="4" fillId="2" borderId="0" xfId="0" applyNumberFormat="1" applyFont="1" applyFill="1"/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vertical="center"/>
    </xf>
    <xf numFmtId="164" fontId="5" fillId="3" borderId="7" xfId="2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4" fillId="4" borderId="8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left" vertical="center"/>
    </xf>
    <xf numFmtId="0" fontId="4" fillId="4" borderId="8" xfId="0" applyFont="1" applyFill="1" applyBorder="1" applyAlignment="1">
      <alignment horizontal="left" vertical="center" wrapText="1"/>
    </xf>
    <xf numFmtId="0" fontId="4" fillId="4" borderId="8" xfId="0" applyFont="1" applyFill="1" applyBorder="1"/>
    <xf numFmtId="0" fontId="4" fillId="0" borderId="8" xfId="0" applyFont="1" applyBorder="1" applyAlignment="1">
      <alignment horizontal="center"/>
    </xf>
    <xf numFmtId="0" fontId="4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wrapText="1"/>
    </xf>
    <xf numFmtId="0" fontId="4" fillId="0" borderId="8" xfId="0" applyFont="1" applyBorder="1"/>
    <xf numFmtId="0" fontId="4" fillId="5" borderId="8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left" vertical="center"/>
    </xf>
    <xf numFmtId="0" fontId="4" fillId="5" borderId="8" xfId="0" applyFont="1" applyFill="1" applyBorder="1" applyAlignment="1">
      <alignment horizontal="left" vertical="center" wrapText="1"/>
    </xf>
    <xf numFmtId="0" fontId="4" fillId="5" borderId="8" xfId="0" applyFont="1" applyFill="1" applyBorder="1"/>
    <xf numFmtId="0" fontId="5" fillId="3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vertical="center"/>
    </xf>
    <xf numFmtId="164" fontId="5" fillId="3" borderId="8" xfId="2" applyFont="1" applyFill="1" applyBorder="1" applyAlignment="1">
      <alignment vertical="center"/>
    </xf>
    <xf numFmtId="166" fontId="5" fillId="3" borderId="8" xfId="2" applyNumberFormat="1" applyFont="1" applyFill="1" applyBorder="1" applyAlignment="1">
      <alignment vertical="center"/>
    </xf>
    <xf numFmtId="167" fontId="5" fillId="2" borderId="0" xfId="0" applyNumberFormat="1" applyFont="1" applyFill="1" applyAlignment="1">
      <alignment vertical="center"/>
    </xf>
    <xf numFmtId="43" fontId="5" fillId="2" borderId="0" xfId="0" applyNumberFormat="1" applyFont="1" applyFill="1" applyAlignment="1">
      <alignment vertical="center"/>
    </xf>
    <xf numFmtId="166" fontId="4" fillId="4" borderId="8" xfId="2" applyNumberFormat="1" applyFont="1" applyFill="1" applyBorder="1"/>
    <xf numFmtId="0" fontId="4" fillId="4" borderId="9" xfId="0" applyFont="1" applyFill="1" applyBorder="1"/>
    <xf numFmtId="166" fontId="4" fillId="4" borderId="0" xfId="2" applyNumberFormat="1" applyFont="1" applyFill="1" applyBorder="1"/>
    <xf numFmtId="166" fontId="4" fillId="5" borderId="8" xfId="2" applyNumberFormat="1" applyFont="1" applyFill="1" applyBorder="1"/>
    <xf numFmtId="166" fontId="4" fillId="0" borderId="8" xfId="2" applyNumberFormat="1" applyFont="1" applyBorder="1"/>
    <xf numFmtId="0" fontId="4" fillId="0" borderId="8" xfId="0" quotePrefix="1" applyFont="1" applyBorder="1" applyAlignment="1">
      <alignment horizontal="left" vertical="center"/>
    </xf>
    <xf numFmtId="43" fontId="4" fillId="0" borderId="8" xfId="0" applyNumberFormat="1" applyFont="1" applyBorder="1"/>
    <xf numFmtId="168" fontId="4" fillId="0" borderId="8" xfId="0" applyNumberFormat="1" applyFont="1" applyBorder="1"/>
    <xf numFmtId="167" fontId="4" fillId="2" borderId="0" xfId="0" applyNumberFormat="1" applyFont="1" applyFill="1"/>
    <xf numFmtId="168" fontId="4" fillId="4" borderId="8" xfId="0" applyNumberFormat="1" applyFont="1" applyFill="1" applyBorder="1"/>
    <xf numFmtId="166" fontId="4" fillId="5" borderId="8" xfId="0" applyNumberFormat="1" applyFont="1" applyFill="1" applyBorder="1"/>
    <xf numFmtId="168" fontId="4" fillId="5" borderId="8" xfId="0" applyNumberFormat="1" applyFont="1" applyFill="1" applyBorder="1"/>
    <xf numFmtId="0" fontId="4" fillId="2" borderId="8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 wrapText="1"/>
    </xf>
    <xf numFmtId="0" fontId="4" fillId="2" borderId="8" xfId="0" applyFont="1" applyFill="1" applyBorder="1"/>
    <xf numFmtId="166" fontId="4" fillId="2" borderId="8" xfId="2" applyNumberFormat="1" applyFont="1" applyFill="1" applyBorder="1"/>
    <xf numFmtId="168" fontId="4" fillId="2" borderId="8" xfId="0" applyNumberFormat="1" applyFont="1" applyFill="1" applyBorder="1"/>
    <xf numFmtId="166" fontId="4" fillId="2" borderId="0" xfId="0" applyNumberFormat="1" applyFont="1" applyFill="1"/>
    <xf numFmtId="165" fontId="4" fillId="2" borderId="8" xfId="0" applyNumberFormat="1" applyFont="1" applyFill="1" applyBorder="1"/>
    <xf numFmtId="2" fontId="4" fillId="2" borderId="8" xfId="0" applyNumberFormat="1" applyFont="1" applyFill="1" applyBorder="1"/>
    <xf numFmtId="166" fontId="8" fillId="2" borderId="4" xfId="3" applyNumberFormat="1" applyFont="1" applyFill="1" applyBorder="1" applyAlignment="1" applyProtection="1">
      <alignment horizontal="left" vertical="top"/>
    </xf>
    <xf numFmtId="166" fontId="4" fillId="2" borderId="8" xfId="0" applyNumberFormat="1" applyFont="1" applyFill="1" applyBorder="1"/>
    <xf numFmtId="166" fontId="8" fillId="2" borderId="8" xfId="3" applyNumberFormat="1" applyFont="1" applyFill="1" applyBorder="1" applyAlignment="1" applyProtection="1">
      <alignment horizontal="left" vertical="top"/>
    </xf>
    <xf numFmtId="0" fontId="4" fillId="2" borderId="9" xfId="0" applyFont="1" applyFill="1" applyBorder="1"/>
    <xf numFmtId="0" fontId="4" fillId="2" borderId="10" xfId="0" applyFont="1" applyFill="1" applyBorder="1"/>
    <xf numFmtId="2" fontId="4" fillId="2" borderId="0" xfId="0" applyNumberFormat="1" applyFont="1" applyFill="1"/>
    <xf numFmtId="0" fontId="9" fillId="5" borderId="8" xfId="0" applyFont="1" applyFill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164" fontId="4" fillId="4" borderId="8" xfId="2" applyFont="1" applyFill="1" applyBorder="1"/>
    <xf numFmtId="164" fontId="4" fillId="5" borderId="8" xfId="2" applyFont="1" applyFill="1" applyBorder="1"/>
    <xf numFmtId="166" fontId="4" fillId="0" borderId="12" xfId="2" applyNumberFormat="1" applyFont="1" applyBorder="1" applyAlignment="1">
      <alignment vertical="center"/>
    </xf>
    <xf numFmtId="1" fontId="4" fillId="0" borderId="8" xfId="0" applyNumberFormat="1" applyFont="1" applyBorder="1"/>
    <xf numFmtId="165" fontId="4" fillId="0" borderId="8" xfId="0" applyNumberFormat="1" applyFont="1" applyBorder="1"/>
    <xf numFmtId="169" fontId="4" fillId="2" borderId="0" xfId="0" applyNumberFormat="1" applyFont="1" applyFill="1"/>
    <xf numFmtId="2" fontId="4" fillId="0" borderId="8" xfId="0" applyNumberFormat="1" applyFont="1" applyBorder="1"/>
    <xf numFmtId="0" fontId="4" fillId="2" borderId="8" xfId="0" quotePrefix="1" applyFont="1" applyFill="1" applyBorder="1" applyAlignment="1">
      <alignment horizontal="left" vertical="center"/>
    </xf>
    <xf numFmtId="164" fontId="4" fillId="2" borderId="0" xfId="0" applyNumberFormat="1" applyFont="1" applyFill="1"/>
    <xf numFmtId="166" fontId="4" fillId="2" borderId="0" xfId="2" applyNumberFormat="1" applyFont="1" applyFill="1"/>
    <xf numFmtId="0" fontId="6" fillId="2" borderId="8" xfId="0" applyFont="1" applyFill="1" applyBorder="1" applyAlignment="1">
      <alignment horizontal="left" vertical="center" wrapText="1"/>
    </xf>
    <xf numFmtId="166" fontId="4" fillId="6" borderId="8" xfId="2" applyNumberFormat="1" applyFont="1" applyFill="1" applyBorder="1"/>
    <xf numFmtId="164" fontId="4" fillId="0" borderId="8" xfId="2" applyFont="1" applyBorder="1"/>
    <xf numFmtId="43" fontId="4" fillId="0" borderId="8" xfId="1" applyFont="1" applyBorder="1"/>
    <xf numFmtId="171" fontId="4" fillId="2" borderId="0" xfId="2" applyNumberFormat="1" applyFont="1" applyFill="1"/>
    <xf numFmtId="171" fontId="4" fillId="2" borderId="0" xfId="0" applyNumberFormat="1" applyFont="1" applyFill="1"/>
    <xf numFmtId="166" fontId="4" fillId="0" borderId="8" xfId="2" quotePrefix="1" applyNumberFormat="1" applyFont="1" applyBorder="1" applyAlignment="1">
      <alignment horizontal="right"/>
    </xf>
    <xf numFmtId="170" fontId="4" fillId="2" borderId="0" xfId="0" applyNumberFormat="1" applyFont="1" applyFill="1"/>
    <xf numFmtId="0" fontId="9" fillId="4" borderId="8" xfId="0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43" fontId="4" fillId="5" borderId="8" xfId="1" applyFont="1" applyFill="1" applyBorder="1"/>
    <xf numFmtId="43" fontId="4" fillId="2" borderId="8" xfId="1" applyFont="1" applyFill="1" applyBorder="1"/>
    <xf numFmtId="172" fontId="4" fillId="2" borderId="0" xfId="0" applyNumberFormat="1" applyFont="1" applyFill="1"/>
    <xf numFmtId="0" fontId="10" fillId="3" borderId="8" xfId="0" applyFont="1" applyFill="1" applyBorder="1" applyAlignment="1">
      <alignment horizontal="left" vertical="center" wrapText="1"/>
    </xf>
    <xf numFmtId="165" fontId="5" fillId="2" borderId="0" xfId="0" applyNumberFormat="1" applyFont="1" applyFill="1" applyAlignment="1">
      <alignment vertical="center"/>
    </xf>
    <xf numFmtId="0" fontId="4" fillId="0" borderId="13" xfId="0" applyFont="1" applyBorder="1"/>
    <xf numFmtId="43" fontId="4" fillId="2" borderId="8" xfId="0" applyNumberFormat="1" applyFont="1" applyFill="1" applyBorder="1"/>
    <xf numFmtId="173" fontId="4" fillId="2" borderId="8" xfId="0" applyNumberFormat="1" applyFont="1" applyFill="1" applyBorder="1"/>
    <xf numFmtId="0" fontId="4" fillId="0" borderId="11" xfId="0" applyFont="1" applyBorder="1"/>
    <xf numFmtId="173" fontId="4" fillId="4" borderId="8" xfId="2" applyNumberFormat="1" applyFont="1" applyFill="1" applyBorder="1"/>
    <xf numFmtId="173" fontId="4" fillId="5" borderId="8" xfId="2" applyNumberFormat="1" applyFont="1" applyFill="1" applyBorder="1"/>
    <xf numFmtId="0" fontId="9" fillId="0" borderId="8" xfId="0" applyFont="1" applyBorder="1" applyAlignment="1">
      <alignment horizontal="left" vertical="center"/>
    </xf>
    <xf numFmtId="166" fontId="6" fillId="7" borderId="8" xfId="2" applyNumberFormat="1" applyFont="1" applyFill="1" applyBorder="1"/>
    <xf numFmtId="0" fontId="4" fillId="6" borderId="8" xfId="0" quotePrefix="1" applyFont="1" applyFill="1" applyBorder="1" applyAlignment="1">
      <alignment horizontal="left" vertical="center"/>
    </xf>
    <xf numFmtId="0" fontId="9" fillId="6" borderId="8" xfId="0" applyFont="1" applyFill="1" applyBorder="1" applyAlignment="1">
      <alignment horizontal="left" vertical="center" wrapText="1"/>
    </xf>
    <xf numFmtId="0" fontId="4" fillId="6" borderId="8" xfId="0" applyFont="1" applyFill="1" applyBorder="1"/>
    <xf numFmtId="0" fontId="5" fillId="3" borderId="8" xfId="0" applyFont="1" applyFill="1" applyBorder="1"/>
    <xf numFmtId="0" fontId="5" fillId="2" borderId="0" xfId="0" applyFont="1" applyFill="1"/>
    <xf numFmtId="166" fontId="5" fillId="3" borderId="8" xfId="2" applyNumberFormat="1" applyFont="1" applyFill="1" applyBorder="1"/>
    <xf numFmtId="0" fontId="11" fillId="8" borderId="8" xfId="0" applyFont="1" applyFill="1" applyBorder="1" applyAlignment="1">
      <alignment horizontal="center" vertical="center"/>
    </xf>
    <xf numFmtId="0" fontId="11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left" vertical="center" wrapText="1"/>
    </xf>
    <xf numFmtId="0" fontId="11" fillId="8" borderId="8" xfId="0" applyFont="1" applyFill="1" applyBorder="1" applyAlignment="1">
      <alignment vertical="center"/>
    </xf>
    <xf numFmtId="166" fontId="11" fillId="8" borderId="8" xfId="2" applyNumberFormat="1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13" fillId="3" borderId="8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left" vertical="center"/>
    </xf>
    <xf numFmtId="0" fontId="13" fillId="3" borderId="8" xfId="0" applyFont="1" applyFill="1" applyBorder="1" applyAlignment="1">
      <alignment vertical="center"/>
    </xf>
    <xf numFmtId="166" fontId="13" fillId="3" borderId="8" xfId="2" applyNumberFormat="1" applyFont="1" applyFill="1" applyBorder="1" applyAlignment="1">
      <alignment vertical="center"/>
    </xf>
    <xf numFmtId="0" fontId="13" fillId="2" borderId="0" xfId="0" applyFont="1" applyFill="1" applyAlignment="1">
      <alignment vertical="center"/>
    </xf>
    <xf numFmtId="0" fontId="4" fillId="0" borderId="8" xfId="0" applyFont="1" applyBorder="1" applyAlignment="1">
      <alignment vertical="center" wrapText="1"/>
    </xf>
    <xf numFmtId="0" fontId="4" fillId="0" borderId="14" xfId="0" applyFont="1" applyBorder="1" applyAlignment="1">
      <alignment horizontal="center"/>
    </xf>
    <xf numFmtId="0" fontId="4" fillId="0" borderId="14" xfId="0" applyFont="1" applyBorder="1"/>
    <xf numFmtId="0" fontId="4" fillId="0" borderId="14" xfId="0" applyFont="1" applyBorder="1" applyAlignment="1">
      <alignment vertical="center" wrapText="1"/>
    </xf>
    <xf numFmtId="166" fontId="4" fillId="0" borderId="14" xfId="2" applyNumberFormat="1" applyFont="1" applyBorder="1"/>
    <xf numFmtId="164" fontId="3" fillId="0" borderId="12" xfId="2" applyFont="1" applyBorder="1"/>
    <xf numFmtId="166" fontId="3" fillId="0" borderId="12" xfId="2" applyNumberFormat="1" applyFont="1" applyBorder="1"/>
    <xf numFmtId="0" fontId="3" fillId="0" borderId="12" xfId="0" applyFont="1" applyBorder="1"/>
    <xf numFmtId="0" fontId="3" fillId="0" borderId="0" xfId="0" applyFont="1"/>
    <xf numFmtId="164" fontId="3" fillId="0" borderId="15" xfId="2" applyFont="1" applyBorder="1"/>
    <xf numFmtId="166" fontId="3" fillId="0" borderId="15" xfId="2" applyNumberFormat="1" applyFont="1" applyBorder="1"/>
    <xf numFmtId="43" fontId="4" fillId="0" borderId="0" xfId="1" applyFont="1"/>
    <xf numFmtId="166" fontId="4" fillId="0" borderId="0" xfId="2" applyNumberFormat="1" applyFont="1"/>
    <xf numFmtId="43" fontId="4" fillId="0" borderId="0" xfId="0" applyNumberFormat="1" applyFont="1"/>
    <xf numFmtId="164" fontId="4" fillId="0" borderId="0" xfId="0" applyNumberFormat="1" applyFont="1"/>
    <xf numFmtId="166" fontId="4" fillId="0" borderId="0" xfId="0" applyNumberFormat="1" applyFont="1"/>
    <xf numFmtId="0" fontId="14" fillId="0" borderId="0" xfId="0" applyFont="1"/>
    <xf numFmtId="166" fontId="14" fillId="0" borderId="0" xfId="2" applyNumberFormat="1" applyFont="1" applyAlignment="1">
      <alignment vertical="center"/>
    </xf>
    <xf numFmtId="43" fontId="14" fillId="0" borderId="0" xfId="0" applyNumberFormat="1" applyFont="1"/>
    <xf numFmtId="165" fontId="14" fillId="0" borderId="0" xfId="0" applyNumberFormat="1" applyFont="1"/>
    <xf numFmtId="164" fontId="5" fillId="3" borderId="8" xfId="0" applyNumberFormat="1" applyFont="1" applyFill="1" applyBorder="1" applyAlignment="1">
      <alignment vertical="center"/>
    </xf>
    <xf numFmtId="174" fontId="5" fillId="2" borderId="0" xfId="0" applyNumberFormat="1" applyFont="1" applyFill="1" applyAlignment="1">
      <alignment vertical="center"/>
    </xf>
    <xf numFmtId="0" fontId="4" fillId="9" borderId="8" xfId="0" applyFont="1" applyFill="1" applyBorder="1" applyAlignment="1">
      <alignment horizontal="center"/>
    </xf>
    <xf numFmtId="0" fontId="4" fillId="9" borderId="8" xfId="0" applyFont="1" applyFill="1" applyBorder="1" applyAlignment="1">
      <alignment horizontal="left" vertical="center"/>
    </xf>
    <xf numFmtId="0" fontId="4" fillId="9" borderId="8" xfId="0" applyFont="1" applyFill="1" applyBorder="1" applyAlignment="1">
      <alignment horizontal="left" vertical="center" wrapText="1"/>
    </xf>
    <xf numFmtId="0" fontId="4" fillId="9" borderId="8" xfId="0" applyFont="1" applyFill="1" applyBorder="1"/>
    <xf numFmtId="166" fontId="4" fillId="9" borderId="8" xfId="2" applyNumberFormat="1" applyFont="1" applyFill="1" applyBorder="1"/>
    <xf numFmtId="174" fontId="4" fillId="2" borderId="0" xfId="0" applyNumberFormat="1" applyFont="1" applyFill="1"/>
    <xf numFmtId="175" fontId="4" fillId="2" borderId="0" xfId="0" applyNumberFormat="1" applyFont="1" applyFill="1"/>
    <xf numFmtId="166" fontId="4" fillId="9" borderId="8" xfId="0" applyNumberFormat="1" applyFont="1" applyFill="1" applyBorder="1"/>
    <xf numFmtId="168" fontId="4" fillId="9" borderId="8" xfId="0" applyNumberFormat="1" applyFont="1" applyFill="1" applyBorder="1"/>
    <xf numFmtId="0" fontId="3" fillId="5" borderId="8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left" vertical="center"/>
    </xf>
    <xf numFmtId="0" fontId="3" fillId="5" borderId="8" xfId="0" applyFont="1" applyFill="1" applyBorder="1"/>
    <xf numFmtId="168" fontId="3" fillId="5" borderId="8" xfId="0" applyNumberFormat="1" applyFont="1" applyFill="1" applyBorder="1"/>
    <xf numFmtId="43" fontId="3" fillId="2" borderId="0" xfId="0" applyNumberFormat="1" applyFont="1" applyFill="1"/>
    <xf numFmtId="0" fontId="3" fillId="2" borderId="0" xfId="0" applyFont="1" applyFill="1"/>
    <xf numFmtId="2" fontId="4" fillId="5" borderId="8" xfId="0" applyNumberFormat="1" applyFont="1" applyFill="1" applyBorder="1"/>
    <xf numFmtId="0" fontId="4" fillId="5" borderId="0" xfId="0" applyFont="1" applyFill="1"/>
    <xf numFmtId="43" fontId="4" fillId="5" borderId="0" xfId="0" applyNumberFormat="1" applyFont="1" applyFill="1"/>
    <xf numFmtId="0" fontId="4" fillId="5" borderId="5" xfId="0" applyFont="1" applyFill="1" applyBorder="1"/>
    <xf numFmtId="176" fontId="4" fillId="2" borderId="0" xfId="0" applyNumberFormat="1" applyFont="1" applyFill="1"/>
    <xf numFmtId="0" fontId="4" fillId="9" borderId="11" xfId="0" applyFont="1" applyFill="1" applyBorder="1"/>
    <xf numFmtId="43" fontId="4" fillId="9" borderId="8" xfId="1" applyFont="1" applyFill="1" applyBorder="1"/>
    <xf numFmtId="0" fontId="4" fillId="9" borderId="0" xfId="0" applyFont="1" applyFill="1"/>
    <xf numFmtId="43" fontId="4" fillId="9" borderId="0" xfId="0" applyNumberFormat="1" applyFont="1" applyFill="1"/>
    <xf numFmtId="0" fontId="3" fillId="5" borderId="11" xfId="0" applyFont="1" applyFill="1" applyBorder="1"/>
    <xf numFmtId="166" fontId="3" fillId="2" borderId="8" xfId="0" applyNumberFormat="1" applyFont="1" applyFill="1" applyBorder="1"/>
    <xf numFmtId="164" fontId="4" fillId="9" borderId="8" xfId="2" applyFont="1" applyFill="1" applyBorder="1"/>
    <xf numFmtId="166" fontId="4" fillId="0" borderId="0" xfId="2" applyNumberFormat="1" applyFont="1" applyBorder="1" applyAlignment="1">
      <alignment vertical="center"/>
    </xf>
    <xf numFmtId="164" fontId="4" fillId="2" borderId="8" xfId="2" applyFont="1" applyFill="1" applyBorder="1"/>
    <xf numFmtId="165" fontId="4" fillId="5" borderId="8" xfId="0" applyNumberFormat="1" applyFont="1" applyFill="1" applyBorder="1"/>
    <xf numFmtId="177" fontId="4" fillId="2" borderId="0" xfId="0" applyNumberFormat="1" applyFont="1" applyFill="1"/>
    <xf numFmtId="1" fontId="4" fillId="2" borderId="8" xfId="0" applyNumberFormat="1" applyFont="1" applyFill="1" applyBorder="1"/>
    <xf numFmtId="0" fontId="4" fillId="7" borderId="0" xfId="0" applyFont="1" applyFill="1"/>
    <xf numFmtId="177" fontId="4" fillId="7" borderId="0" xfId="0" applyNumberFormat="1" applyFont="1" applyFill="1"/>
    <xf numFmtId="43" fontId="4" fillId="7" borderId="0" xfId="0" applyNumberFormat="1" applyFont="1" applyFill="1"/>
    <xf numFmtId="165" fontId="4" fillId="9" borderId="8" xfId="0" applyNumberFormat="1" applyFont="1" applyFill="1" applyBorder="1"/>
    <xf numFmtId="0" fontId="4" fillId="5" borderId="8" xfId="0" quotePrefix="1" applyFont="1" applyFill="1" applyBorder="1" applyAlignment="1">
      <alignment horizontal="left" vertical="center"/>
    </xf>
    <xf numFmtId="174" fontId="4" fillId="2" borderId="8" xfId="0" applyNumberFormat="1" applyFont="1" applyFill="1" applyBorder="1"/>
    <xf numFmtId="1" fontId="4" fillId="5" borderId="8" xfId="0" applyNumberFormat="1" applyFont="1" applyFill="1" applyBorder="1"/>
    <xf numFmtId="173" fontId="4" fillId="2" borderId="8" xfId="2" applyNumberFormat="1" applyFont="1" applyFill="1" applyBorder="1"/>
    <xf numFmtId="2" fontId="6" fillId="0" borderId="8" xfId="0" applyNumberFormat="1" applyFont="1" applyBorder="1"/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166" fontId="4" fillId="9" borderId="0" xfId="2" applyNumberFormat="1" applyFont="1" applyFill="1"/>
    <xf numFmtId="171" fontId="4" fillId="9" borderId="0" xfId="2" applyNumberFormat="1" applyFont="1" applyFill="1"/>
    <xf numFmtId="43" fontId="4" fillId="4" borderId="8" xfId="1" applyFont="1" applyFill="1" applyBorder="1"/>
    <xf numFmtId="0" fontId="9" fillId="9" borderId="8" xfId="0" applyFont="1" applyFill="1" applyBorder="1" applyAlignment="1">
      <alignment horizontal="left" vertical="center" wrapText="1"/>
    </xf>
    <xf numFmtId="165" fontId="4" fillId="9" borderId="0" xfId="0" applyNumberFormat="1" applyFont="1" applyFill="1"/>
    <xf numFmtId="0" fontId="4" fillId="5" borderId="13" xfId="0" applyFont="1" applyFill="1" applyBorder="1"/>
    <xf numFmtId="0" fontId="9" fillId="0" borderId="8" xfId="0" quotePrefix="1" applyFont="1" applyBorder="1" applyAlignment="1">
      <alignment horizontal="left" vertical="center" wrapText="1"/>
    </xf>
    <xf numFmtId="0" fontId="4" fillId="10" borderId="8" xfId="0" applyFont="1" applyFill="1" applyBorder="1"/>
    <xf numFmtId="0" fontId="4" fillId="10" borderId="0" xfId="0" applyFont="1" applyFill="1"/>
    <xf numFmtId="43" fontId="4" fillId="10" borderId="0" xfId="0" applyNumberFormat="1" applyFont="1" applyFill="1"/>
    <xf numFmtId="0" fontId="16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5" fillId="0" borderId="0" xfId="0" applyFont="1" applyAlignment="1">
      <alignment horizontal="left" vertical="top"/>
    </xf>
    <xf numFmtId="0" fontId="6" fillId="5" borderId="8" xfId="0" applyFont="1" applyFill="1" applyBorder="1" applyAlignment="1">
      <alignment horizontal="left" vertical="center" wrapText="1"/>
    </xf>
    <xf numFmtId="0" fontId="20" fillId="0" borderId="0" xfId="5" applyFont="1" applyAlignment="1">
      <alignment horizontal="center" vertical="center"/>
    </xf>
    <xf numFmtId="0" fontId="20" fillId="0" borderId="0" xfId="5" applyFont="1" applyAlignment="1">
      <alignment vertical="center"/>
    </xf>
    <xf numFmtId="0" fontId="22" fillId="0" borderId="0" xfId="5" applyFont="1" applyAlignment="1">
      <alignment horizontal="center" vertical="center" wrapText="1" readingOrder="1"/>
    </xf>
    <xf numFmtId="0" fontId="23" fillId="0" borderId="0" xfId="5" applyFont="1" applyAlignment="1">
      <alignment horizontal="center" vertical="center" wrapText="1" readingOrder="1"/>
    </xf>
    <xf numFmtId="0" fontId="24" fillId="0" borderId="0" xfId="5" applyFont="1" applyAlignment="1">
      <alignment horizontal="center" vertical="center"/>
    </xf>
    <xf numFmtId="0" fontId="21" fillId="0" borderId="0" xfId="5" applyFont="1" applyAlignment="1">
      <alignment horizontal="center" vertical="center" wrapText="1" readingOrder="1"/>
    </xf>
    <xf numFmtId="0" fontId="25" fillId="0" borderId="0" xfId="0" applyFont="1" applyAlignment="1">
      <alignment vertical="center"/>
    </xf>
    <xf numFmtId="0" fontId="24" fillId="0" borderId="0" xfId="5" applyFont="1" applyAlignment="1">
      <alignment vertical="center"/>
    </xf>
    <xf numFmtId="0" fontId="20" fillId="0" borderId="0" xfId="6" applyNumberFormat="1" applyFont="1" applyFill="1" applyAlignment="1">
      <alignment vertical="center"/>
    </xf>
    <xf numFmtId="0" fontId="21" fillId="0" borderId="12" xfId="5" applyFont="1" applyBorder="1" applyAlignment="1">
      <alignment horizontal="center" vertical="center" wrapText="1" readingOrder="1"/>
    </xf>
    <xf numFmtId="0" fontId="21" fillId="0" borderId="12" xfId="6" applyNumberFormat="1" applyFont="1" applyFill="1" applyBorder="1" applyAlignment="1">
      <alignment horizontal="center" vertical="center" wrapText="1" readingOrder="1"/>
    </xf>
    <xf numFmtId="0" fontId="24" fillId="0" borderId="12" xfId="5" applyFont="1" applyBorder="1" applyAlignment="1">
      <alignment horizontal="center" vertical="center" wrapText="1" readingOrder="1"/>
    </xf>
    <xf numFmtId="0" fontId="24" fillId="0" borderId="12" xfId="6" applyNumberFormat="1" applyFont="1" applyFill="1" applyBorder="1" applyAlignment="1">
      <alignment horizontal="center" vertical="center" wrapText="1" readingOrder="1"/>
    </xf>
    <xf numFmtId="0" fontId="25" fillId="0" borderId="0" xfId="0" applyFont="1" applyAlignment="1">
      <alignment horizontal="center"/>
    </xf>
    <xf numFmtId="49" fontId="25" fillId="0" borderId="12" xfId="0" applyNumberFormat="1" applyFont="1" applyBorder="1" applyAlignment="1">
      <alignment horizontal="center" vertical="center"/>
    </xf>
    <xf numFmtId="49" fontId="25" fillId="0" borderId="12" xfId="0" applyNumberFormat="1" applyFont="1" applyBorder="1" applyAlignment="1">
      <alignment vertical="center" wrapText="1"/>
    </xf>
    <xf numFmtId="178" fontId="25" fillId="0" borderId="12" xfId="7" applyNumberFormat="1" applyFont="1" applyFill="1" applyBorder="1" applyAlignment="1">
      <alignment horizontal="left"/>
    </xf>
    <xf numFmtId="49" fontId="25" fillId="0" borderId="0" xfId="0" applyNumberFormat="1" applyFont="1"/>
    <xf numFmtId="0" fontId="25" fillId="0" borderId="0" xfId="0" applyFont="1"/>
    <xf numFmtId="0" fontId="26" fillId="0" borderId="0" xfId="0" applyFont="1" applyAlignment="1">
      <alignment horizontal="center"/>
    </xf>
    <xf numFmtId="49" fontId="26" fillId="0" borderId="12" xfId="0" applyNumberFormat="1" applyFont="1" applyBorder="1" applyAlignment="1">
      <alignment horizontal="center" vertical="center"/>
    </xf>
    <xf numFmtId="49" fontId="26" fillId="0" borderId="12" xfId="0" applyNumberFormat="1" applyFont="1" applyBorder="1" applyAlignment="1">
      <alignment vertical="center" wrapText="1"/>
    </xf>
    <xf numFmtId="178" fontId="26" fillId="0" borderId="12" xfId="7" applyNumberFormat="1" applyFont="1" applyFill="1" applyBorder="1" applyAlignment="1">
      <alignment horizontal="left"/>
    </xf>
    <xf numFmtId="49" fontId="26" fillId="0" borderId="0" xfId="0" applyNumberFormat="1" applyFont="1"/>
    <xf numFmtId="0" fontId="26" fillId="0" borderId="0" xfId="0" applyFont="1"/>
    <xf numFmtId="178" fontId="26" fillId="0" borderId="12" xfId="7" applyNumberFormat="1" applyFont="1" applyFill="1" applyBorder="1" applyAlignment="1"/>
    <xf numFmtId="0" fontId="26" fillId="0" borderId="0" xfId="5" applyFont="1" applyAlignment="1">
      <alignment horizontal="center" vertical="center"/>
    </xf>
    <xf numFmtId="3" fontId="26" fillId="0" borderId="12" xfId="5" applyNumberFormat="1" applyFont="1" applyBorder="1" applyAlignment="1">
      <alignment horizontal="center" vertical="center"/>
    </xf>
    <xf numFmtId="0" fontId="25" fillId="0" borderId="12" xfId="5" quotePrefix="1" applyFont="1" applyBorder="1" applyAlignment="1">
      <alignment horizontal="center" vertical="center"/>
    </xf>
    <xf numFmtId="0" fontId="26" fillId="0" borderId="12" xfId="5" quotePrefix="1" applyFont="1" applyBorder="1" applyAlignment="1">
      <alignment horizontal="center" vertical="center"/>
    </xf>
    <xf numFmtId="0" fontId="25" fillId="0" borderId="12" xfId="5" applyFont="1" applyBorder="1" applyAlignment="1">
      <alignment horizontal="left" vertical="center" wrapText="1"/>
    </xf>
    <xf numFmtId="178" fontId="25" fillId="0" borderId="12" xfId="7" applyNumberFormat="1" applyFont="1" applyFill="1" applyBorder="1" applyAlignment="1">
      <alignment horizontal="left" vertical="center" wrapText="1"/>
    </xf>
    <xf numFmtId="0" fontId="26" fillId="0" borderId="0" xfId="5" applyFont="1" applyAlignment="1">
      <alignment vertical="center"/>
    </xf>
    <xf numFmtId="0" fontId="25" fillId="0" borderId="0" xfId="5" applyFont="1" applyAlignment="1">
      <alignment horizontal="center" vertical="center"/>
    </xf>
    <xf numFmtId="3" fontId="25" fillId="0" borderId="12" xfId="5" applyNumberFormat="1" applyFont="1" applyBorder="1" applyAlignment="1">
      <alignment horizontal="center" vertical="center"/>
    </xf>
    <xf numFmtId="178" fontId="25" fillId="0" borderId="12" xfId="7" applyNumberFormat="1" applyFont="1" applyFill="1" applyBorder="1" applyAlignment="1">
      <alignment horizontal="left" vertical="center"/>
    </xf>
    <xf numFmtId="0" fontId="25" fillId="0" borderId="0" xfId="5" applyFont="1" applyAlignment="1">
      <alignment vertical="center"/>
    </xf>
    <xf numFmtId="43" fontId="26" fillId="0" borderId="0" xfId="1" applyFont="1"/>
    <xf numFmtId="0" fontId="25" fillId="0" borderId="12" xfId="5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2" xfId="0" quotePrefix="1" applyFont="1" applyBorder="1" applyAlignment="1">
      <alignment horizontal="center" vertical="center"/>
    </xf>
    <xf numFmtId="0" fontId="25" fillId="0" borderId="12" xfId="0" applyFont="1" applyBorder="1" applyAlignment="1">
      <alignment horizontal="left" vertical="center" wrapText="1"/>
    </xf>
    <xf numFmtId="0" fontId="26" fillId="0" borderId="12" xfId="0" applyFont="1" applyBorder="1" applyAlignment="1">
      <alignment horizontal="center" vertical="center"/>
    </xf>
    <xf numFmtId="0" fontId="26" fillId="0" borderId="12" xfId="0" quotePrefix="1" applyFont="1" applyBorder="1" applyAlignment="1">
      <alignment horizontal="center" vertical="center"/>
    </xf>
    <xf numFmtId="0" fontId="26" fillId="0" borderId="12" xfId="0" applyFont="1" applyBorder="1" applyAlignment="1">
      <alignment horizontal="left" vertical="center" wrapText="1"/>
    </xf>
    <xf numFmtId="0" fontId="26" fillId="0" borderId="12" xfId="5" applyFont="1" applyBorder="1" applyAlignment="1">
      <alignment horizontal="left" vertical="center" wrapText="1"/>
    </xf>
    <xf numFmtId="178" fontId="26" fillId="0" borderId="12" xfId="7" applyNumberFormat="1" applyFont="1" applyFill="1" applyBorder="1" applyAlignment="1">
      <alignment horizontal="left" vertical="center" wrapText="1"/>
    </xf>
    <xf numFmtId="178" fontId="26" fillId="0" borderId="12" xfId="7" applyNumberFormat="1" applyFont="1" applyFill="1" applyBorder="1"/>
    <xf numFmtId="178" fontId="26" fillId="0" borderId="12" xfId="7" applyNumberFormat="1" applyFont="1" applyFill="1" applyBorder="1" applyAlignment="1">
      <alignment vertical="top"/>
    </xf>
    <xf numFmtId="178" fontId="26" fillId="0" borderId="12" xfId="7" applyNumberFormat="1" applyFont="1" applyFill="1" applyBorder="1" applyAlignment="1">
      <alignment vertical="top" wrapText="1"/>
    </xf>
    <xf numFmtId="0" fontId="26" fillId="0" borderId="0" xfId="0" applyFont="1" applyAlignment="1">
      <alignment vertical="top" wrapText="1"/>
    </xf>
    <xf numFmtId="39" fontId="26" fillId="0" borderId="0" xfId="0" applyNumberFormat="1" applyFont="1" applyAlignment="1">
      <alignment horizontal="right" vertical="top"/>
    </xf>
    <xf numFmtId="178" fontId="26" fillId="0" borderId="12" xfId="7" applyNumberFormat="1" applyFont="1" applyFill="1" applyBorder="1" applyAlignment="1">
      <alignment horizontal="center" vertical="center"/>
    </xf>
    <xf numFmtId="178" fontId="26" fillId="0" borderId="12" xfId="7" applyNumberFormat="1" applyFont="1" applyFill="1" applyBorder="1" applyAlignment="1">
      <alignment vertical="center"/>
    </xf>
    <xf numFmtId="3" fontId="28" fillId="0" borderId="12" xfId="5" applyNumberFormat="1" applyFont="1" applyBorder="1" applyAlignment="1">
      <alignment horizontal="center" vertical="center"/>
    </xf>
    <xf numFmtId="0" fontId="28" fillId="0" borderId="12" xfId="5" quotePrefix="1" applyFont="1" applyBorder="1" applyAlignment="1">
      <alignment horizontal="center" vertical="center"/>
    </xf>
    <xf numFmtId="0" fontId="28" fillId="0" borderId="12" xfId="5" applyFont="1" applyBorder="1" applyAlignment="1">
      <alignment horizontal="left" vertical="center" wrapText="1"/>
    </xf>
    <xf numFmtId="178" fontId="26" fillId="0" borderId="12" xfId="7" applyNumberFormat="1" applyFont="1" applyFill="1" applyBorder="1" applyAlignment="1">
      <alignment horizontal="left" vertical="center"/>
    </xf>
    <xf numFmtId="178" fontId="20" fillId="0" borderId="12" xfId="7" applyNumberFormat="1" applyFont="1" applyFill="1" applyBorder="1" applyAlignment="1">
      <alignment horizontal="left" vertical="center"/>
    </xf>
    <xf numFmtId="178" fontId="25" fillId="0" borderId="12" xfId="7" applyNumberFormat="1" applyFont="1" applyFill="1" applyBorder="1" applyAlignment="1">
      <alignment vertical="center" wrapText="1"/>
    </xf>
    <xf numFmtId="3" fontId="21" fillId="0" borderId="12" xfId="5" applyNumberFormat="1" applyFont="1" applyBorder="1" applyAlignment="1">
      <alignment horizontal="center" vertical="center"/>
    </xf>
    <xf numFmtId="0" fontId="21" fillId="0" borderId="12" xfId="5" applyFont="1" applyBorder="1" applyAlignment="1">
      <alignment horizontal="center" vertical="center"/>
    </xf>
    <xf numFmtId="0" fontId="21" fillId="0" borderId="12" xfId="5" quotePrefix="1" applyFont="1" applyBorder="1" applyAlignment="1">
      <alignment horizontal="center" vertical="center"/>
    </xf>
    <xf numFmtId="0" fontId="21" fillId="0" borderId="12" xfId="5" applyFont="1" applyBorder="1" applyAlignment="1">
      <alignment horizontal="left" vertical="center" wrapText="1"/>
    </xf>
    <xf numFmtId="178" fontId="21" fillId="0" borderId="12" xfId="7" applyNumberFormat="1" applyFont="1" applyFill="1" applyBorder="1" applyAlignment="1">
      <alignment horizontal="left" vertical="center" wrapText="1"/>
    </xf>
    <xf numFmtId="178" fontId="24" fillId="0" borderId="12" xfId="7" applyNumberFormat="1" applyFont="1" applyFill="1" applyBorder="1" applyAlignment="1">
      <alignment horizontal="left" vertical="center"/>
    </xf>
    <xf numFmtId="178" fontId="25" fillId="0" borderId="12" xfId="7" applyNumberFormat="1" applyFont="1" applyFill="1" applyBorder="1" applyAlignment="1">
      <alignment vertical="center"/>
    </xf>
    <xf numFmtId="179" fontId="20" fillId="0" borderId="0" xfId="8" applyFont="1" applyFill="1" applyAlignment="1">
      <alignment vertical="center"/>
    </xf>
    <xf numFmtId="43" fontId="21" fillId="0" borderId="0" xfId="8" applyNumberFormat="1" applyFont="1" applyFill="1" applyAlignment="1">
      <alignment vertical="center"/>
    </xf>
    <xf numFmtId="0" fontId="21" fillId="0" borderId="0" xfId="8" applyNumberFormat="1" applyFont="1" applyFill="1" applyAlignment="1">
      <alignment vertical="center"/>
    </xf>
    <xf numFmtId="0" fontId="28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0" xfId="9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165" fontId="26" fillId="0" borderId="0" xfId="10" applyFont="1" applyFill="1" applyAlignment="1">
      <alignment vertical="center"/>
    </xf>
    <xf numFmtId="166" fontId="26" fillId="0" borderId="0" xfId="0" applyNumberFormat="1" applyFont="1" applyAlignment="1">
      <alignment vertical="center"/>
    </xf>
    <xf numFmtId="165" fontId="26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6" fillId="0" borderId="0" xfId="7" applyNumberFormat="1" applyFont="1" applyFill="1" applyAlignment="1">
      <alignment vertical="center"/>
    </xf>
    <xf numFmtId="165" fontId="26" fillId="0" borderId="0" xfId="0" applyNumberFormat="1" applyFont="1" applyAlignment="1">
      <alignment horizontal="center" vertical="center"/>
    </xf>
    <xf numFmtId="165" fontId="26" fillId="0" borderId="0" xfId="10" applyFont="1" applyFill="1" applyAlignment="1">
      <alignment horizontal="center" vertical="center"/>
    </xf>
    <xf numFmtId="0" fontId="25" fillId="0" borderId="0" xfId="7" applyNumberFormat="1" applyFont="1" applyFill="1" applyAlignment="1">
      <alignment horizontal="left" vertical="center"/>
    </xf>
    <xf numFmtId="0" fontId="26" fillId="0" borderId="0" xfId="10" applyNumberFormat="1" applyFont="1" applyFill="1" applyAlignment="1">
      <alignment vertical="center"/>
    </xf>
    <xf numFmtId="165" fontId="25" fillId="0" borderId="0" xfId="0" applyNumberFormat="1" applyFont="1" applyAlignment="1">
      <alignment vertical="center"/>
    </xf>
    <xf numFmtId="179" fontId="26" fillId="0" borderId="0" xfId="11" applyFont="1" applyFill="1" applyAlignment="1">
      <alignment vertical="center"/>
    </xf>
    <xf numFmtId="0" fontId="26" fillId="0" borderId="0" xfId="11" applyNumberFormat="1" applyFont="1" applyFill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26" fillId="0" borderId="0" xfId="0" applyFont="1" applyAlignment="1">
      <alignment vertical="top"/>
    </xf>
    <xf numFmtId="0" fontId="31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top"/>
    </xf>
    <xf numFmtId="0" fontId="28" fillId="0" borderId="0" xfId="0" applyFont="1"/>
    <xf numFmtId="0" fontId="28" fillId="0" borderId="0" xfId="0" applyFont="1" applyAlignment="1">
      <alignment vertical="top"/>
    </xf>
    <xf numFmtId="0" fontId="20" fillId="0" borderId="0" xfId="5" applyFont="1" applyAlignment="1">
      <alignment horizontal="center"/>
    </xf>
    <xf numFmtId="179" fontId="20" fillId="0" borderId="0" xfId="8" applyFont="1" applyFill="1" applyAlignment="1">
      <alignment vertical="top"/>
    </xf>
    <xf numFmtId="179" fontId="20" fillId="0" borderId="0" xfId="8" applyFont="1" applyFill="1" applyAlignment="1">
      <alignment horizontal="center" vertical="top"/>
    </xf>
    <xf numFmtId="0" fontId="20" fillId="0" borderId="0" xfId="6" applyNumberFormat="1" applyFont="1" applyFill="1" applyAlignment="1">
      <alignment vertical="top"/>
    </xf>
    <xf numFmtId="0" fontId="20" fillId="0" borderId="0" xfId="8" applyNumberFormat="1" applyFont="1" applyFill="1" applyAlignment="1">
      <alignment vertical="top"/>
    </xf>
    <xf numFmtId="0" fontId="20" fillId="0" borderId="0" xfId="5" applyFont="1"/>
    <xf numFmtId="0" fontId="20" fillId="0" borderId="0" xfId="5" applyFont="1" applyAlignment="1">
      <alignment vertical="top"/>
    </xf>
    <xf numFmtId="0" fontId="20" fillId="0" borderId="0" xfId="5" applyFont="1" applyAlignment="1">
      <alignment horizontal="center" vertical="top"/>
    </xf>
    <xf numFmtId="43" fontId="20" fillId="0" borderId="0" xfId="5" applyNumberFormat="1" applyFont="1" applyAlignment="1">
      <alignment vertical="top"/>
    </xf>
    <xf numFmtId="0" fontId="24" fillId="0" borderId="0" xfId="0" applyFont="1"/>
    <xf numFmtId="0" fontId="20" fillId="0" borderId="0" xfId="0" applyFont="1"/>
    <xf numFmtId="180" fontId="4" fillId="2" borderId="0" xfId="2" applyNumberFormat="1" applyFont="1" applyFill="1"/>
    <xf numFmtId="166" fontId="6" fillId="5" borderId="8" xfId="2" applyNumberFormat="1" applyFont="1" applyFill="1" applyBorder="1"/>
    <xf numFmtId="43" fontId="26" fillId="0" borderId="0" xfId="5" applyNumberFormat="1" applyFont="1" applyAlignment="1">
      <alignment vertical="center"/>
    </xf>
    <xf numFmtId="43" fontId="20" fillId="0" borderId="0" xfId="5" applyNumberFormat="1" applyFont="1" applyAlignment="1">
      <alignment vertical="center"/>
    </xf>
    <xf numFmtId="166" fontId="20" fillId="0" borderId="0" xfId="2" applyNumberFormat="1" applyFont="1" applyAlignment="1">
      <alignment vertical="center"/>
    </xf>
    <xf numFmtId="43" fontId="26" fillId="0" borderId="0" xfId="0" applyNumberFormat="1" applyFont="1" applyAlignment="1">
      <alignment horizontal="left" vertical="center"/>
    </xf>
    <xf numFmtId="166" fontId="3" fillId="5" borderId="8" xfId="2" applyNumberFormat="1" applyFont="1" applyFill="1" applyBorder="1"/>
    <xf numFmtId="0" fontId="4" fillId="7" borderId="8" xfId="0" applyFont="1" applyFill="1" applyBorder="1" applyAlignment="1">
      <alignment horizontal="left" vertical="center"/>
    </xf>
    <xf numFmtId="0" fontId="4" fillId="7" borderId="8" xfId="0" applyFont="1" applyFill="1" applyBorder="1" applyAlignment="1">
      <alignment horizontal="left" vertical="center" wrapText="1"/>
    </xf>
    <xf numFmtId="0" fontId="4" fillId="7" borderId="8" xfId="0" applyFont="1" applyFill="1" applyBorder="1"/>
    <xf numFmtId="166" fontId="4" fillId="7" borderId="8" xfId="2" applyNumberFormat="1" applyFont="1" applyFill="1" applyBorder="1"/>
    <xf numFmtId="2" fontId="4" fillId="7" borderId="8" xfId="0" applyNumberFormat="1" applyFont="1" applyFill="1" applyBorder="1"/>
    <xf numFmtId="165" fontId="4" fillId="7" borderId="8" xfId="0" applyNumberFormat="1" applyFont="1" applyFill="1" applyBorder="1"/>
    <xf numFmtId="0" fontId="4" fillId="7" borderId="8" xfId="0" quotePrefix="1" applyFont="1" applyFill="1" applyBorder="1" applyAlignment="1">
      <alignment horizontal="left" vertical="center"/>
    </xf>
    <xf numFmtId="0" fontId="4" fillId="7" borderId="8" xfId="0" applyFont="1" applyFill="1" applyBorder="1" applyAlignment="1">
      <alignment horizontal="center"/>
    </xf>
    <xf numFmtId="166" fontId="4" fillId="7" borderId="8" xfId="2" quotePrefix="1" applyNumberFormat="1" applyFont="1" applyFill="1" applyBorder="1" applyAlignment="1">
      <alignment horizontal="right"/>
    </xf>
    <xf numFmtId="0" fontId="9" fillId="2" borderId="8" xfId="0" quotePrefix="1" applyFont="1" applyFill="1" applyBorder="1" applyAlignment="1">
      <alignment horizontal="left" vertical="center" wrapText="1"/>
    </xf>
    <xf numFmtId="0" fontId="4" fillId="2" borderId="11" xfId="0" applyFont="1" applyFill="1" applyBorder="1"/>
    <xf numFmtId="0" fontId="20" fillId="0" borderId="0" xfId="13" applyFont="1" applyAlignment="1">
      <alignment horizontal="center" vertical="center"/>
    </xf>
    <xf numFmtId="0" fontId="20" fillId="0" borderId="0" xfId="13" applyFont="1" applyAlignment="1">
      <alignment vertical="center"/>
    </xf>
    <xf numFmtId="0" fontId="22" fillId="0" borderId="0" xfId="13" applyFont="1" applyAlignment="1">
      <alignment horizontal="center" vertical="center" wrapText="1" readingOrder="1"/>
    </xf>
    <xf numFmtId="0" fontId="23" fillId="0" borderId="0" xfId="13" applyFont="1" applyAlignment="1">
      <alignment horizontal="center" vertical="center" wrapText="1" readingOrder="1"/>
    </xf>
    <xf numFmtId="0" fontId="24" fillId="0" borderId="0" xfId="13" applyFont="1" applyAlignment="1">
      <alignment horizontal="center" vertical="center"/>
    </xf>
    <xf numFmtId="0" fontId="21" fillId="0" borderId="0" xfId="13" applyFont="1" applyAlignment="1">
      <alignment horizontal="center" vertical="center" wrapText="1" readingOrder="1"/>
    </xf>
    <xf numFmtId="0" fontId="24" fillId="0" borderId="0" xfId="13" applyFont="1" applyAlignment="1">
      <alignment vertical="center"/>
    </xf>
    <xf numFmtId="0" fontId="20" fillId="0" borderId="0" xfId="14" applyNumberFormat="1" applyFont="1" applyFill="1" applyAlignment="1">
      <alignment vertical="center"/>
    </xf>
    <xf numFmtId="0" fontId="21" fillId="0" borderId="12" xfId="13" applyFont="1" applyBorder="1" applyAlignment="1">
      <alignment horizontal="center" vertical="center" wrapText="1" readingOrder="1"/>
    </xf>
    <xf numFmtId="0" fontId="21" fillId="0" borderId="12" xfId="14" applyNumberFormat="1" applyFont="1" applyFill="1" applyBorder="1" applyAlignment="1">
      <alignment horizontal="center" vertical="center" wrapText="1" readingOrder="1"/>
    </xf>
    <xf numFmtId="0" fontId="24" fillId="0" borderId="12" xfId="13" applyFont="1" applyBorder="1" applyAlignment="1">
      <alignment horizontal="center" vertical="center" wrapText="1" readingOrder="1"/>
    </xf>
    <xf numFmtId="0" fontId="24" fillId="0" borderId="12" xfId="14" applyNumberFormat="1" applyFont="1" applyFill="1" applyBorder="1" applyAlignment="1">
      <alignment horizontal="center" vertical="center" wrapText="1" readingOrder="1"/>
    </xf>
    <xf numFmtId="0" fontId="26" fillId="0" borderId="0" xfId="13" applyFont="1" applyAlignment="1">
      <alignment horizontal="center" vertical="center"/>
    </xf>
    <xf numFmtId="3" fontId="26" fillId="0" borderId="12" xfId="13" applyNumberFormat="1" applyFont="1" applyBorder="1" applyAlignment="1">
      <alignment horizontal="center" vertical="center"/>
    </xf>
    <xf numFmtId="0" fontId="25" fillId="0" borderId="12" xfId="13" quotePrefix="1" applyFont="1" applyBorder="1" applyAlignment="1">
      <alignment horizontal="center" vertical="center"/>
    </xf>
    <xf numFmtId="0" fontId="26" fillId="0" borderId="12" xfId="13" quotePrefix="1" applyFont="1" applyBorder="1" applyAlignment="1">
      <alignment horizontal="center" vertical="center"/>
    </xf>
    <xf numFmtId="0" fontId="25" fillId="0" borderId="12" xfId="13" applyFont="1" applyBorder="1" applyAlignment="1">
      <alignment horizontal="left" vertical="center" wrapText="1"/>
    </xf>
    <xf numFmtId="0" fontId="26" fillId="0" borderId="0" xfId="13" applyFont="1" applyAlignment="1">
      <alignment vertical="center"/>
    </xf>
    <xf numFmtId="0" fontId="25" fillId="0" borderId="0" xfId="13" applyFont="1" applyAlignment="1">
      <alignment horizontal="center" vertical="center"/>
    </xf>
    <xf numFmtId="3" fontId="25" fillId="0" borderId="12" xfId="13" applyNumberFormat="1" applyFont="1" applyBorder="1" applyAlignment="1">
      <alignment horizontal="center" vertical="center"/>
    </xf>
    <xf numFmtId="0" fontId="25" fillId="0" borderId="0" xfId="13" applyFont="1" applyAlignment="1">
      <alignment vertical="center"/>
    </xf>
    <xf numFmtId="0" fontId="25" fillId="0" borderId="12" xfId="13" applyFont="1" applyBorder="1" applyAlignment="1">
      <alignment horizontal="center" vertical="center"/>
    </xf>
    <xf numFmtId="0" fontId="26" fillId="0" borderId="12" xfId="13" applyFont="1" applyBorder="1" applyAlignment="1">
      <alignment horizontal="left" vertical="center" wrapText="1"/>
    </xf>
    <xf numFmtId="3" fontId="28" fillId="0" borderId="12" xfId="13" applyNumberFormat="1" applyFont="1" applyBorder="1" applyAlignment="1">
      <alignment horizontal="center" vertical="center"/>
    </xf>
    <xf numFmtId="0" fontId="28" fillId="0" borderId="12" xfId="13" quotePrefix="1" applyFont="1" applyBorder="1" applyAlignment="1">
      <alignment horizontal="center" vertical="center"/>
    </xf>
    <xf numFmtId="0" fontId="28" fillId="0" borderId="12" xfId="13" applyFont="1" applyBorder="1" applyAlignment="1">
      <alignment horizontal="left" vertical="center" wrapText="1"/>
    </xf>
    <xf numFmtId="3" fontId="21" fillId="0" borderId="12" xfId="13" applyNumberFormat="1" applyFont="1" applyBorder="1" applyAlignment="1">
      <alignment horizontal="center" vertical="center"/>
    </xf>
    <xf numFmtId="0" fontId="21" fillId="0" borderId="12" xfId="13" applyFont="1" applyBorder="1" applyAlignment="1">
      <alignment horizontal="center" vertical="center"/>
    </xf>
    <xf numFmtId="0" fontId="21" fillId="0" borderId="12" xfId="13" quotePrefix="1" applyFont="1" applyBorder="1" applyAlignment="1">
      <alignment horizontal="center" vertical="center"/>
    </xf>
    <xf numFmtId="0" fontId="21" fillId="0" borderId="12" xfId="13" applyFont="1" applyBorder="1" applyAlignment="1">
      <alignment horizontal="left" vertical="center" wrapText="1"/>
    </xf>
    <xf numFmtId="179" fontId="20" fillId="0" borderId="0" xfId="15" applyFont="1" applyFill="1" applyAlignment="1">
      <alignment vertical="center"/>
    </xf>
    <xf numFmtId="0" fontId="21" fillId="0" borderId="0" xfId="15" applyNumberFormat="1" applyFont="1" applyFill="1" applyAlignment="1">
      <alignment vertical="center"/>
    </xf>
    <xf numFmtId="0" fontId="20" fillId="0" borderId="0" xfId="13" applyFont="1" applyAlignment="1">
      <alignment horizontal="center"/>
    </xf>
    <xf numFmtId="179" fontId="20" fillId="0" borderId="0" xfId="15" applyFont="1" applyFill="1" applyAlignment="1">
      <alignment vertical="top"/>
    </xf>
    <xf numFmtId="179" fontId="20" fillId="0" borderId="0" xfId="15" applyFont="1" applyFill="1" applyAlignment="1">
      <alignment horizontal="center" vertical="top"/>
    </xf>
    <xf numFmtId="0" fontId="20" fillId="0" borderId="0" xfId="14" applyNumberFormat="1" applyFont="1" applyFill="1" applyAlignment="1">
      <alignment vertical="top"/>
    </xf>
    <xf numFmtId="0" fontId="20" fillId="0" borderId="0" xfId="15" applyNumberFormat="1" applyFont="1" applyFill="1" applyAlignment="1">
      <alignment vertical="top"/>
    </xf>
    <xf numFmtId="0" fontId="20" fillId="0" borderId="0" xfId="13" applyFont="1"/>
    <xf numFmtId="0" fontId="20" fillId="0" borderId="0" xfId="13" applyFont="1" applyAlignment="1">
      <alignment vertical="top"/>
    </xf>
    <xf numFmtId="0" fontId="20" fillId="0" borderId="0" xfId="13" applyFont="1" applyAlignment="1">
      <alignment horizontal="center" vertical="top"/>
    </xf>
    <xf numFmtId="43" fontId="20" fillId="0" borderId="0" xfId="13" applyNumberFormat="1" applyFont="1" applyAlignment="1">
      <alignment vertical="top"/>
    </xf>
    <xf numFmtId="43" fontId="26" fillId="0" borderId="0" xfId="0" applyNumberFormat="1" applyFont="1" applyAlignment="1">
      <alignment vertical="center"/>
    </xf>
    <xf numFmtId="43" fontId="26" fillId="0" borderId="0" xfId="10" applyNumberFormat="1" applyFont="1" applyFill="1" applyAlignment="1">
      <alignment vertical="center"/>
    </xf>
    <xf numFmtId="43" fontId="4" fillId="7" borderId="8" xfId="0" applyNumberFormat="1" applyFont="1" applyFill="1" applyBorder="1"/>
    <xf numFmtId="168" fontId="4" fillId="7" borderId="8" xfId="0" applyNumberFormat="1" applyFont="1" applyFill="1" applyBorder="1"/>
    <xf numFmtId="181" fontId="26" fillId="0" borderId="12" xfId="7" applyNumberFormat="1" applyFont="1" applyFill="1" applyBorder="1" applyAlignment="1">
      <alignment horizontal="left"/>
    </xf>
    <xf numFmtId="0" fontId="4" fillId="10" borderId="8" xfId="0" applyFont="1" applyFill="1" applyBorder="1" applyAlignment="1">
      <alignment horizontal="left" vertical="center" wrapText="1"/>
    </xf>
    <xf numFmtId="166" fontId="4" fillId="10" borderId="8" xfId="2" applyNumberFormat="1" applyFont="1" applyFill="1" applyBorder="1"/>
    <xf numFmtId="2" fontId="4" fillId="10" borderId="8" xfId="0" applyNumberFormat="1" applyFont="1" applyFill="1" applyBorder="1"/>
    <xf numFmtId="165" fontId="4" fillId="10" borderId="8" xfId="0" applyNumberFormat="1" applyFont="1" applyFill="1" applyBorder="1"/>
    <xf numFmtId="166" fontId="3" fillId="5" borderId="8" xfId="0" applyNumberFormat="1" applyFont="1" applyFill="1" applyBorder="1"/>
    <xf numFmtId="166" fontId="4" fillId="4" borderId="8" xfId="0" applyNumberFormat="1" applyFont="1" applyFill="1" applyBorder="1"/>
    <xf numFmtId="164" fontId="4" fillId="2" borderId="0" xfId="2" applyFont="1" applyFill="1"/>
    <xf numFmtId="180" fontId="4" fillId="2" borderId="0" xfId="0" applyNumberFormat="1" applyFont="1" applyFill="1"/>
    <xf numFmtId="43" fontId="26" fillId="0" borderId="0" xfId="0" applyNumberFormat="1" applyFont="1" applyAlignment="1">
      <alignment horizontal="center" vertical="center"/>
    </xf>
    <xf numFmtId="166" fontId="26" fillId="0" borderId="0" xfId="2" applyNumberFormat="1" applyFont="1" applyAlignment="1">
      <alignment horizontal="center" vertical="center"/>
    </xf>
    <xf numFmtId="173" fontId="4" fillId="0" borderId="0" xfId="2" applyNumberFormat="1" applyFont="1"/>
    <xf numFmtId="0" fontId="4" fillId="10" borderId="8" xfId="0" applyFont="1" applyFill="1" applyBorder="1" applyAlignment="1">
      <alignment horizontal="left" vertical="center"/>
    </xf>
    <xf numFmtId="43" fontId="4" fillId="10" borderId="8" xfId="0" applyNumberFormat="1" applyFont="1" applyFill="1" applyBorder="1"/>
    <xf numFmtId="43" fontId="4" fillId="10" borderId="8" xfId="1" applyFont="1" applyFill="1" applyBorder="1"/>
    <xf numFmtId="166" fontId="6" fillId="4" borderId="8" xfId="2" applyNumberFormat="1" applyFont="1" applyFill="1" applyBorder="1"/>
    <xf numFmtId="178" fontId="24" fillId="0" borderId="12" xfId="7" applyNumberFormat="1" applyFont="1" applyFill="1" applyBorder="1" applyAlignment="1">
      <alignment horizontal="left"/>
    </xf>
    <xf numFmtId="178" fontId="24" fillId="2" borderId="12" xfId="7" applyNumberFormat="1" applyFont="1" applyFill="1" applyBorder="1" applyAlignment="1">
      <alignment horizontal="left"/>
    </xf>
    <xf numFmtId="2" fontId="21" fillId="0" borderId="0" xfId="15" applyNumberFormat="1" applyFont="1" applyFill="1" applyAlignment="1">
      <alignment vertical="center"/>
    </xf>
    <xf numFmtId="43" fontId="20" fillId="0" borderId="11" xfId="0" applyNumberFormat="1" applyFont="1" applyBorder="1"/>
    <xf numFmtId="166" fontId="20" fillId="2" borderId="12" xfId="0" applyNumberFormat="1" applyFont="1" applyFill="1" applyBorder="1"/>
    <xf numFmtId="43" fontId="25" fillId="0" borderId="0" xfId="0" applyNumberFormat="1" applyFont="1" applyAlignment="1">
      <alignment vertical="center"/>
    </xf>
    <xf numFmtId="178" fontId="25" fillId="0" borderId="16" xfId="7" applyNumberFormat="1" applyFont="1" applyFill="1" applyBorder="1" applyAlignment="1">
      <alignment horizontal="left"/>
    </xf>
    <xf numFmtId="43" fontId="20" fillId="0" borderId="0" xfId="13" applyNumberFormat="1" applyFont="1" applyAlignment="1">
      <alignment vertical="center"/>
    </xf>
    <xf numFmtId="0" fontId="34" fillId="0" borderId="0" xfId="0" applyFont="1"/>
    <xf numFmtId="166" fontId="4" fillId="0" borderId="8" xfId="0" applyNumberFormat="1" applyFont="1" applyBorder="1"/>
    <xf numFmtId="1" fontId="4" fillId="2" borderId="8" xfId="2" applyNumberFormat="1" applyFont="1" applyFill="1" applyBorder="1"/>
    <xf numFmtId="180" fontId="4" fillId="9" borderId="0" xfId="2" applyNumberFormat="1" applyFont="1" applyFill="1"/>
    <xf numFmtId="43" fontId="26" fillId="0" borderId="0" xfId="7" applyNumberFormat="1" applyFont="1" applyFill="1" applyAlignment="1">
      <alignment vertical="center"/>
    </xf>
    <xf numFmtId="166" fontId="35" fillId="0" borderId="0" xfId="2" applyNumberFormat="1" applyFont="1" applyAlignment="1">
      <alignment horizontal="center" vertical="center"/>
    </xf>
    <xf numFmtId="166" fontId="25" fillId="0" borderId="0" xfId="2" applyNumberFormat="1" applyFont="1" applyAlignment="1">
      <alignment vertical="center"/>
    </xf>
    <xf numFmtId="166" fontId="26" fillId="0" borderId="0" xfId="2" applyNumberFormat="1" applyFont="1" applyFill="1" applyAlignment="1">
      <alignment vertical="center"/>
    </xf>
    <xf numFmtId="165" fontId="20" fillId="0" borderId="0" xfId="13" applyNumberFormat="1" applyFont="1" applyAlignment="1">
      <alignment vertical="center"/>
    </xf>
    <xf numFmtId="165" fontId="23" fillId="0" borderId="0" xfId="13" applyNumberFormat="1" applyFont="1" applyAlignment="1">
      <alignment horizontal="center" vertical="center" wrapText="1" readingOrder="1"/>
    </xf>
    <xf numFmtId="43" fontId="20" fillId="0" borderId="8" xfId="0" applyNumberFormat="1" applyFont="1" applyBorder="1"/>
    <xf numFmtId="178" fontId="25" fillId="0" borderId="0" xfId="13" applyNumberFormat="1" applyFont="1" applyAlignment="1">
      <alignment vertical="center"/>
    </xf>
    <xf numFmtId="164" fontId="25" fillId="0" borderId="0" xfId="2" applyFont="1" applyAlignment="1">
      <alignment vertical="center"/>
    </xf>
    <xf numFmtId="164" fontId="4" fillId="5" borderId="8" xfId="0" applyNumberFormat="1" applyFont="1" applyFill="1" applyBorder="1"/>
    <xf numFmtId="164" fontId="4" fillId="9" borderId="8" xfId="0" applyNumberFormat="1" applyFont="1" applyFill="1" applyBorder="1"/>
    <xf numFmtId="166" fontId="4" fillId="7" borderId="8" xfId="2" applyNumberFormat="1" applyFont="1" applyFill="1" applyBorder="1" applyAlignment="1">
      <alignment horizontal="left" vertical="center"/>
    </xf>
    <xf numFmtId="166" fontId="9" fillId="7" borderId="8" xfId="2" applyNumberFormat="1" applyFont="1" applyFill="1" applyBorder="1" applyAlignment="1">
      <alignment horizontal="left" vertical="center" wrapText="1"/>
    </xf>
    <xf numFmtId="164" fontId="4" fillId="7" borderId="8" xfId="2" applyNumberFormat="1" applyFont="1" applyFill="1" applyBorder="1"/>
    <xf numFmtId="164" fontId="4" fillId="7" borderId="8" xfId="2" applyFont="1" applyFill="1" applyBorder="1"/>
    <xf numFmtId="0" fontId="4" fillId="7" borderId="8" xfId="2" applyNumberFormat="1" applyFont="1" applyFill="1" applyBorder="1"/>
    <xf numFmtId="0" fontId="9" fillId="7" borderId="8" xfId="0" applyFont="1" applyFill="1" applyBorder="1" applyAlignment="1">
      <alignment horizontal="left" vertical="center" wrapText="1"/>
    </xf>
    <xf numFmtId="0" fontId="9" fillId="10" borderId="8" xfId="0" applyFont="1" applyFill="1" applyBorder="1" applyAlignment="1">
      <alignment horizontal="left" vertical="center" wrapText="1"/>
    </xf>
    <xf numFmtId="0" fontId="18" fillId="0" borderId="0" xfId="4" applyFont="1" applyAlignment="1">
      <alignment horizontal="left" vertical="center"/>
    </xf>
    <xf numFmtId="0" fontId="15" fillId="0" borderId="0" xfId="4" applyFont="1" applyAlignment="1">
      <alignment horizontal="left" vertic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2" borderId="9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9" xfId="0" quotePrefix="1" applyFont="1" applyFill="1" applyBorder="1" applyAlignment="1">
      <alignment horizontal="left"/>
    </xf>
    <xf numFmtId="0" fontId="4" fillId="2" borderId="10" xfId="0" quotePrefix="1" applyFont="1" applyFill="1" applyBorder="1" applyAlignment="1">
      <alignment horizontal="left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/>
    <xf numFmtId="0" fontId="3" fillId="0" borderId="6" xfId="0" applyFont="1" applyBorder="1"/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2" applyNumberFormat="1" applyFont="1" applyFill="1" applyBorder="1" applyAlignment="1">
      <alignment horizontal="center" vertical="center"/>
    </xf>
    <xf numFmtId="0" fontId="3" fillId="0" borderId="5" xfId="2" applyNumberFormat="1" applyFont="1" applyFill="1" applyBorder="1" applyAlignment="1">
      <alignment horizontal="center" vertical="center"/>
    </xf>
    <xf numFmtId="0" fontId="3" fillId="0" borderId="6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66" fontId="3" fillId="0" borderId="4" xfId="2" applyNumberFormat="1" applyFont="1" applyFill="1" applyBorder="1" applyAlignment="1">
      <alignment horizontal="center" vertical="center"/>
    </xf>
    <xf numFmtId="166" fontId="3" fillId="0" borderId="6" xfId="2" applyNumberFormat="1" applyFont="1" applyFill="1" applyBorder="1" applyAlignment="1">
      <alignment horizontal="center" vertical="center"/>
    </xf>
    <xf numFmtId="166" fontId="3" fillId="0" borderId="4" xfId="2" applyNumberFormat="1" applyFont="1" applyFill="1" applyBorder="1" applyAlignment="1">
      <alignment horizontal="center" vertical="center" wrapText="1"/>
    </xf>
    <xf numFmtId="166" fontId="3" fillId="0" borderId="6" xfId="2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2" applyNumberFormat="1" applyFont="1" applyFill="1" applyBorder="1" applyAlignment="1">
      <alignment horizontal="center" vertical="center"/>
    </xf>
    <xf numFmtId="0" fontId="3" fillId="0" borderId="3" xfId="2" applyNumberFormat="1" applyFont="1" applyFill="1" applyBorder="1" applyAlignment="1">
      <alignment horizontal="center" vertical="center"/>
    </xf>
    <xf numFmtId="0" fontId="20" fillId="0" borderId="0" xfId="5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top"/>
    </xf>
    <xf numFmtId="3" fontId="21" fillId="0" borderId="12" xfId="5" applyNumberFormat="1" applyFont="1" applyBorder="1" applyAlignment="1">
      <alignment horizontal="center" vertical="center"/>
    </xf>
    <xf numFmtId="0" fontId="20" fillId="0" borderId="15" xfId="5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1" fillId="0" borderId="12" xfId="5" applyFont="1" applyBorder="1" applyAlignment="1">
      <alignment horizontal="center" vertical="center" wrapText="1" readingOrder="1"/>
    </xf>
    <xf numFmtId="0" fontId="24" fillId="0" borderId="12" xfId="5" applyFont="1" applyBorder="1" applyAlignment="1">
      <alignment horizontal="center" vertical="center" wrapText="1" readingOrder="1"/>
    </xf>
    <xf numFmtId="0" fontId="21" fillId="0" borderId="0" xfId="5" applyFont="1" applyAlignment="1">
      <alignment horizontal="center" vertical="center" wrapText="1" readingOrder="1"/>
    </xf>
    <xf numFmtId="0" fontId="22" fillId="0" borderId="0" xfId="5" applyFont="1" applyAlignment="1">
      <alignment horizontal="center" vertical="center" wrapText="1" readingOrder="1"/>
    </xf>
    <xf numFmtId="0" fontId="21" fillId="0" borderId="4" xfId="5" applyFont="1" applyBorder="1" applyAlignment="1">
      <alignment horizontal="center" vertical="center" wrapText="1" readingOrder="1"/>
    </xf>
    <xf numFmtId="0" fontId="21" fillId="0" borderId="5" xfId="5" applyFont="1" applyBorder="1" applyAlignment="1">
      <alignment horizontal="center" vertical="center" wrapText="1" readingOrder="1"/>
    </xf>
    <xf numFmtId="0" fontId="21" fillId="0" borderId="6" xfId="5" applyFont="1" applyBorder="1" applyAlignment="1">
      <alignment horizontal="center" vertical="center" wrapText="1" readingOrder="1"/>
    </xf>
    <xf numFmtId="43" fontId="15" fillId="0" borderId="0" xfId="0" applyNumberFormat="1" applyFont="1" applyAlignment="1">
      <alignment horizontal="left" vertical="center"/>
    </xf>
    <xf numFmtId="0" fontId="20" fillId="0" borderId="0" xfId="13" applyFont="1" applyAlignment="1">
      <alignment horizontal="center"/>
    </xf>
    <xf numFmtId="3" fontId="21" fillId="0" borderId="12" xfId="13" applyNumberFormat="1" applyFont="1" applyBorder="1" applyAlignment="1">
      <alignment horizontal="center" vertical="center"/>
    </xf>
    <xf numFmtId="0" fontId="20" fillId="0" borderId="15" xfId="13" applyFont="1" applyBorder="1" applyAlignment="1">
      <alignment horizontal="center" vertical="center"/>
    </xf>
    <xf numFmtId="0" fontId="21" fillId="0" borderId="12" xfId="13" applyFont="1" applyBorder="1" applyAlignment="1">
      <alignment horizontal="center" vertical="center" wrapText="1" readingOrder="1"/>
    </xf>
    <xf numFmtId="0" fontId="24" fillId="0" borderId="12" xfId="13" applyFont="1" applyBorder="1" applyAlignment="1">
      <alignment horizontal="center" vertical="center" wrapText="1" readingOrder="1"/>
    </xf>
    <xf numFmtId="0" fontId="21" fillId="0" borderId="0" xfId="13" applyFont="1" applyAlignment="1">
      <alignment horizontal="center" vertical="center" wrapText="1" readingOrder="1"/>
    </xf>
    <xf numFmtId="0" fontId="22" fillId="0" borderId="0" xfId="13" applyFont="1" applyAlignment="1">
      <alignment horizontal="center" vertical="center" wrapText="1" readingOrder="1"/>
    </xf>
    <xf numFmtId="0" fontId="21" fillId="0" borderId="4" xfId="13" applyFont="1" applyBorder="1" applyAlignment="1">
      <alignment horizontal="center" vertical="center" wrapText="1" readingOrder="1"/>
    </xf>
    <xf numFmtId="0" fontId="21" fillId="0" borderId="5" xfId="13" applyFont="1" applyBorder="1" applyAlignment="1">
      <alignment horizontal="center" vertical="center" wrapText="1" readingOrder="1"/>
    </xf>
    <xf numFmtId="0" fontId="21" fillId="0" borderId="6" xfId="13" applyFont="1" applyBorder="1" applyAlignment="1">
      <alignment horizontal="center" vertical="center" wrapText="1" readingOrder="1"/>
    </xf>
  </cellXfs>
  <cellStyles count="16">
    <cellStyle name="Comma" xfId="1" builtinId="3"/>
    <cellStyle name="Comma [0]" xfId="2" builtinId="6"/>
    <cellStyle name="Comma [0] 2" xfId="7" xr:uid="{5170A9F2-EDC3-4C83-837F-BCCA68F32E34}"/>
    <cellStyle name="Comma [0] 2 2" xfId="3" xr:uid="{2289EC2C-6A6D-4F3B-97A1-F70F9A4D72E8}"/>
    <cellStyle name="Comma [0] 9" xfId="6" xr:uid="{588AA511-E0D1-4183-A3BB-9F5BCEDFB405}"/>
    <cellStyle name="Comma [0] 9 2" xfId="14" xr:uid="{466E913C-CFDD-4FF6-AB75-3A103EE017FE}"/>
    <cellStyle name="Comma 3" xfId="10" xr:uid="{765CB293-404A-4931-9AB4-C8B9B5E1F09D}"/>
    <cellStyle name="Currency [0] 2" xfId="11" xr:uid="{2813D7FF-0E74-4493-86FD-689FFD4B8BD2}"/>
    <cellStyle name="Currency [0] 3" xfId="8" xr:uid="{57A3DB99-52BE-44FB-80DC-5E6E40D2E17F}"/>
    <cellStyle name="Currency [0] 3 2" xfId="15" xr:uid="{7D141336-A859-43E6-A020-8025796445AA}"/>
    <cellStyle name="Hyperlink 2" xfId="12" xr:uid="{94BDDBEE-7859-4FFA-B716-A0818DA32ADD}"/>
    <cellStyle name="Normal" xfId="0" builtinId="0"/>
    <cellStyle name="Normal 2" xfId="9" xr:uid="{1AA0AA75-BF29-46D6-AAB9-3274E0FEB84C}"/>
    <cellStyle name="Normal 2 2 2 3" xfId="4" xr:uid="{5947A005-AF08-42D8-A14F-31376AC5B461}"/>
    <cellStyle name="Normal 2 3" xfId="5" xr:uid="{008060A8-5EF8-47D2-B251-BE85DB497C97}"/>
    <cellStyle name="Normal 2 3 2" xfId="13" xr:uid="{4F5C52F3-3DD4-423E-B022-9B903985CF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381000</xdr:colOff>
      <xdr:row>1846</xdr:row>
      <xdr:rowOff>44823</xdr:rowOff>
    </xdr:from>
    <xdr:to>
      <xdr:col>8</xdr:col>
      <xdr:colOff>24983</xdr:colOff>
      <xdr:row>1853</xdr:row>
      <xdr:rowOff>88962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A1647C-7FBA-4109-98EA-AAF1030996F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B4AFAB"/>
            </a:clrFrom>
            <a:clrTo>
              <a:srgbClr val="B4AFAB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7827" t="37973" b="38069"/>
        <a:stretch/>
      </xdr:blipFill>
      <xdr:spPr>
        <a:xfrm>
          <a:off x="3971925" y="24381198"/>
          <a:ext cx="2549108" cy="147288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PSDM\Documents\108%20new\Laporan%20Aset%20Semester%20I%202023\BI%20Tahun%20Semester%20I%20Tahun%20%20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Laporan%20Aset%202019\I%202019\BELANJA%20MODAL%20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SET%20BPSDM\Laporan%20Aset%20Semester%20I%202023\BI%20Tahun%20Semester%20I%20Tahun%20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 Tahun 2021"/>
      <sheetName val=" Rekap BI Tahun 2021"/>
      <sheetName val="Rekap Penyusutan Th 2021"/>
      <sheetName val="BI Tahun Smt I 2022 "/>
      <sheetName val="Rekap KIB Smt I 2022"/>
      <sheetName val="Rekap Peny. Smt I 2022"/>
      <sheetName val="BI Tahun  2022 "/>
      <sheetName val="Rekap KIB 2022 "/>
      <sheetName val="Rekap Peny.  2022 "/>
      <sheetName val="BI Tahun  SMT I 2023"/>
      <sheetName val="Rekap KIB SMT I 2023"/>
      <sheetName val="Rekap Peny. SMT I 20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09">
          <cell r="AB109">
            <v>7073697828.84795</v>
          </cell>
        </row>
        <row r="1160">
          <cell r="AH1160">
            <v>73926300</v>
          </cell>
        </row>
      </sheetData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2019"/>
      <sheetName val="TANAH"/>
      <sheetName val="PERALATAN MESIN"/>
      <sheetName val="GEDUNG BANGUNAN"/>
      <sheetName val="JALAN JARINGAN IRIGAS"/>
      <sheetName val="ASET TETAP LAINNYA"/>
      <sheetName val="Sheet2"/>
      <sheetName val="Sheet3"/>
    </sheetNames>
    <sheetDataSet>
      <sheetData sheetId="0"/>
      <sheetData sheetId="1"/>
      <sheetData sheetId="2"/>
      <sheetData sheetId="3">
        <row r="76">
          <cell r="P76">
            <v>4400000</v>
          </cell>
        </row>
        <row r="77">
          <cell r="P77">
            <v>2893000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 Tahun 2021"/>
      <sheetName val=" Rekap BI Tahun 2021"/>
      <sheetName val="Rekap Penyusutan Th 2021"/>
      <sheetName val="BI Tahun Smt I 2022 "/>
      <sheetName val="Rekap KIB Smt I 2022"/>
      <sheetName val="Rekap Peny. Smt I 2022"/>
      <sheetName val="BI Tahun  2022 "/>
      <sheetName val="Rekap KIB 2022 "/>
      <sheetName val="Rekap Peny.  2022 "/>
      <sheetName val="BI Tahun  SMT I 2023"/>
      <sheetName val="Rekap KIB SMT I 2023"/>
      <sheetName val="Rekap Peny. SMT I 20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09">
          <cell r="AB109">
            <v>7073697828.84795</v>
          </cell>
        </row>
        <row r="1160">
          <cell r="AH1160">
            <v>73926300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B0463-E635-46B7-A8FD-C6A65AB90B68}">
  <dimension ref="A1:AI1518"/>
  <sheetViews>
    <sheetView view="pageBreakPreview" topLeftCell="X1505" zoomScaleNormal="40" zoomScaleSheetLayoutView="100" workbookViewId="0">
      <selection activeCell="AB1507" sqref="AB1507"/>
    </sheetView>
  </sheetViews>
  <sheetFormatPr defaultColWidth="9.140625" defaultRowHeight="12.75" x14ac:dyDescent="0.25"/>
  <cols>
    <col min="1" max="1" width="5.7109375" style="2" customWidth="1"/>
    <col min="2" max="2" width="16.5703125" style="3" customWidth="1"/>
    <col min="3" max="3" width="9.85546875" style="3" customWidth="1"/>
    <col min="4" max="4" width="33.42578125" style="4" customWidth="1"/>
    <col min="5" max="5" width="9.7109375" style="3" customWidth="1"/>
    <col min="6" max="6" width="20" style="3" customWidth="1"/>
    <col min="7" max="7" width="8.85546875" style="3" customWidth="1"/>
    <col min="8" max="8" width="10.140625" style="3" customWidth="1"/>
    <col min="9" max="9" width="9.28515625" style="3" customWidth="1"/>
    <col min="10" max="10" width="9.5703125" style="3" customWidth="1"/>
    <col min="11" max="11" width="6.28515625" style="3" customWidth="1"/>
    <col min="12" max="13" width="8.7109375" style="3" customWidth="1"/>
    <col min="14" max="14" width="17.42578125" style="3" customWidth="1"/>
    <col min="15" max="15" width="21" style="3" customWidth="1"/>
    <col min="16" max="16" width="19.28515625" style="3" customWidth="1"/>
    <col min="17" max="17" width="18.42578125" style="3" customWidth="1"/>
    <col min="18" max="18" width="12.85546875" style="3" customWidth="1"/>
    <col min="19" max="19" width="20.42578125" style="3" customWidth="1"/>
    <col min="20" max="20" width="10.140625" style="3" customWidth="1"/>
    <col min="21" max="21" width="20" style="3" customWidth="1"/>
    <col min="22" max="22" width="6.140625" style="3" customWidth="1"/>
    <col min="23" max="23" width="16.28515625" style="3" customWidth="1"/>
    <col min="24" max="24" width="6.140625" style="3" customWidth="1"/>
    <col min="25" max="25" width="18.7109375" style="3" customWidth="1"/>
    <col min="26" max="26" width="17.7109375" style="3" customWidth="1"/>
    <col min="27" max="27" width="9" style="3" customWidth="1"/>
    <col min="28" max="28" width="23.42578125" style="3" customWidth="1"/>
    <col min="29" max="29" width="18.5703125" style="3" customWidth="1"/>
    <col min="30" max="30" width="8.5703125" style="3" customWidth="1"/>
    <col min="31" max="31" width="9.85546875" style="3" customWidth="1"/>
    <col min="32" max="32" width="22.140625" style="3" customWidth="1"/>
    <col min="33" max="33" width="17.5703125" style="3" customWidth="1"/>
    <col min="34" max="34" width="16.7109375" style="3" customWidth="1"/>
    <col min="35" max="35" width="14" style="3" bestFit="1" customWidth="1"/>
    <col min="36" max="16384" width="9.140625" style="3"/>
  </cols>
  <sheetData>
    <row r="1" spans="1:33" s="1" customFormat="1" ht="15" customHeight="1" x14ac:dyDescent="0.25">
      <c r="A1" s="443" t="s">
        <v>0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</row>
    <row r="2" spans="1:33" s="1" customFormat="1" ht="10.5" x14ac:dyDescent="0.25">
      <c r="A2" s="443" t="s">
        <v>1621</v>
      </c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</row>
    <row r="3" spans="1:33" s="1" customFormat="1" ht="10.5" x14ac:dyDescent="0.25">
      <c r="A3" s="444" t="s">
        <v>1622</v>
      </c>
      <c r="B3" s="444"/>
      <c r="C3" s="444"/>
      <c r="D3" s="444"/>
      <c r="E3" s="444"/>
      <c r="F3" s="444"/>
      <c r="G3" s="444"/>
      <c r="H3" s="444"/>
      <c r="I3" s="444"/>
      <c r="J3" s="444"/>
      <c r="K3" s="444"/>
      <c r="L3" s="444"/>
      <c r="M3" s="444"/>
      <c r="N3" s="444"/>
      <c r="O3" s="444"/>
      <c r="P3" s="444"/>
      <c r="Q3" s="444"/>
      <c r="R3" s="444"/>
      <c r="S3" s="444"/>
      <c r="T3" s="444"/>
      <c r="U3" s="444"/>
      <c r="V3" s="444"/>
      <c r="W3" s="444"/>
      <c r="X3" s="444"/>
      <c r="Y3" s="444"/>
      <c r="Z3" s="444"/>
      <c r="AA3" s="444"/>
      <c r="AB3" s="444"/>
      <c r="AC3" s="444"/>
      <c r="AD3" s="444"/>
      <c r="AE3" s="444"/>
    </row>
    <row r="4" spans="1:33" s="1" customFormat="1" x14ac:dyDescent="0.25">
      <c r="A4" s="437" t="s">
        <v>1</v>
      </c>
      <c r="B4" s="445"/>
      <c r="C4" s="438"/>
      <c r="D4" s="431" t="s">
        <v>2</v>
      </c>
      <c r="E4" s="432"/>
      <c r="F4" s="433"/>
      <c r="G4" s="422" t="s">
        <v>3</v>
      </c>
      <c r="H4" s="422" t="s">
        <v>4</v>
      </c>
      <c r="I4" s="422" t="s">
        <v>5</v>
      </c>
      <c r="J4" s="422" t="s">
        <v>6</v>
      </c>
      <c r="K4" s="422" t="s">
        <v>7</v>
      </c>
      <c r="L4" s="422" t="s">
        <v>8</v>
      </c>
      <c r="M4" s="437" t="s">
        <v>9</v>
      </c>
      <c r="N4" s="445"/>
      <c r="O4" s="438"/>
      <c r="P4" s="422" t="s">
        <v>10</v>
      </c>
      <c r="Q4" s="437" t="s">
        <v>11</v>
      </c>
      <c r="R4" s="438"/>
      <c r="S4" s="422" t="s">
        <v>12</v>
      </c>
      <c r="T4" s="422" t="s">
        <v>13</v>
      </c>
      <c r="U4" s="422" t="s">
        <v>14</v>
      </c>
      <c r="V4" s="431" t="s">
        <v>15</v>
      </c>
      <c r="W4" s="432"/>
      <c r="X4" s="432"/>
      <c r="Y4" s="433"/>
      <c r="Z4" s="434" t="s">
        <v>16</v>
      </c>
      <c r="AA4" s="422" t="s">
        <v>17</v>
      </c>
      <c r="AB4" s="422" t="s">
        <v>18</v>
      </c>
      <c r="AC4" s="422" t="s">
        <v>19</v>
      </c>
      <c r="AD4" s="422" t="s">
        <v>20</v>
      </c>
      <c r="AE4" s="422" t="s">
        <v>21</v>
      </c>
    </row>
    <row r="5" spans="1:33" s="1" customFormat="1" ht="24" customHeight="1" x14ac:dyDescent="0.25">
      <c r="A5" s="422" t="s">
        <v>22</v>
      </c>
      <c r="B5" s="422" t="s">
        <v>23</v>
      </c>
      <c r="C5" s="426" t="s">
        <v>24</v>
      </c>
      <c r="D5" s="422" t="s">
        <v>25</v>
      </c>
      <c r="E5" s="422" t="s">
        <v>26</v>
      </c>
      <c r="F5" s="422" t="s">
        <v>27</v>
      </c>
      <c r="G5" s="430"/>
      <c r="H5" s="430"/>
      <c r="I5" s="430"/>
      <c r="J5" s="430"/>
      <c r="K5" s="430"/>
      <c r="L5" s="430"/>
      <c r="M5" s="428" t="s">
        <v>28</v>
      </c>
      <c r="N5" s="428" t="s">
        <v>29</v>
      </c>
      <c r="O5" s="439" t="s">
        <v>30</v>
      </c>
      <c r="P5" s="430"/>
      <c r="Q5" s="441" t="s">
        <v>31</v>
      </c>
      <c r="R5" s="441" t="s">
        <v>32</v>
      </c>
      <c r="S5" s="430"/>
      <c r="T5" s="430"/>
      <c r="U5" s="430"/>
      <c r="V5" s="446" t="s">
        <v>33</v>
      </c>
      <c r="W5" s="447"/>
      <c r="X5" s="446" t="s">
        <v>34</v>
      </c>
      <c r="Y5" s="447"/>
      <c r="Z5" s="435"/>
      <c r="AA5" s="430"/>
      <c r="AB5" s="430"/>
      <c r="AC5" s="430"/>
      <c r="AD5" s="423"/>
      <c r="AE5" s="423"/>
      <c r="AF5" s="5"/>
      <c r="AG5" s="5"/>
    </row>
    <row r="6" spans="1:33" s="1" customFormat="1" ht="37.5" customHeight="1" x14ac:dyDescent="0.25">
      <c r="A6" s="425"/>
      <c r="B6" s="425"/>
      <c r="C6" s="427"/>
      <c r="D6" s="425"/>
      <c r="E6" s="425"/>
      <c r="F6" s="425"/>
      <c r="G6" s="425"/>
      <c r="H6" s="425"/>
      <c r="I6" s="425"/>
      <c r="J6" s="425"/>
      <c r="K6" s="425"/>
      <c r="L6" s="6" t="s">
        <v>35</v>
      </c>
      <c r="M6" s="429"/>
      <c r="N6" s="429"/>
      <c r="O6" s="440"/>
      <c r="P6" s="425"/>
      <c r="Q6" s="442"/>
      <c r="R6" s="442"/>
      <c r="S6" s="425"/>
      <c r="T6" s="425"/>
      <c r="U6" s="425"/>
      <c r="V6" s="7" t="s">
        <v>36</v>
      </c>
      <c r="W6" s="7" t="s">
        <v>37</v>
      </c>
      <c r="X6" s="7" t="s">
        <v>36</v>
      </c>
      <c r="Y6" s="7" t="s">
        <v>37</v>
      </c>
      <c r="Z6" s="436"/>
      <c r="AA6" s="425"/>
      <c r="AB6" s="425"/>
      <c r="AC6" s="425"/>
      <c r="AD6" s="424"/>
      <c r="AE6" s="424"/>
      <c r="AF6" s="8"/>
    </row>
    <row r="7" spans="1:33" s="1" customFormat="1" ht="10.5" x14ac:dyDescent="0.25">
      <c r="A7" s="9">
        <v>1</v>
      </c>
      <c r="B7" s="9">
        <v>2</v>
      </c>
      <c r="C7" s="9">
        <v>3</v>
      </c>
      <c r="D7" s="10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  <c r="L7" s="9">
        <v>12</v>
      </c>
      <c r="M7" s="9">
        <v>13</v>
      </c>
      <c r="N7" s="9">
        <v>14</v>
      </c>
      <c r="O7" s="9">
        <v>15</v>
      </c>
      <c r="P7" s="9">
        <v>16</v>
      </c>
      <c r="Q7" s="9">
        <v>17</v>
      </c>
      <c r="R7" s="9">
        <v>18</v>
      </c>
      <c r="S7" s="9">
        <v>19</v>
      </c>
      <c r="T7" s="9">
        <v>20</v>
      </c>
      <c r="U7" s="9">
        <v>21</v>
      </c>
      <c r="V7" s="9">
        <v>22</v>
      </c>
      <c r="W7" s="9">
        <v>23</v>
      </c>
      <c r="X7" s="9">
        <v>24</v>
      </c>
      <c r="Y7" s="9">
        <v>25</v>
      </c>
      <c r="Z7" s="9">
        <v>26</v>
      </c>
      <c r="AA7" s="9">
        <v>27</v>
      </c>
      <c r="AB7" s="9">
        <v>28</v>
      </c>
      <c r="AC7" s="9">
        <v>29</v>
      </c>
      <c r="AD7" s="9">
        <v>30</v>
      </c>
      <c r="AE7" s="9">
        <v>31</v>
      </c>
      <c r="AF7" s="8">
        <f>AC30-AF8</f>
        <v>0</v>
      </c>
      <c r="AG7" s="5"/>
    </row>
    <row r="8" spans="1:33" s="16" customFormat="1" ht="23.25" customHeight="1" x14ac:dyDescent="0.35">
      <c r="A8" s="11">
        <v>1</v>
      </c>
      <c r="B8" s="12" t="s">
        <v>38</v>
      </c>
      <c r="C8" s="12"/>
      <c r="D8" s="13" t="s">
        <v>39</v>
      </c>
      <c r="E8" s="14"/>
      <c r="F8" s="14"/>
      <c r="G8" s="14"/>
      <c r="H8" s="14"/>
      <c r="I8" s="14"/>
      <c r="J8" s="14"/>
      <c r="K8" s="14"/>
      <c r="L8" s="14"/>
      <c r="M8" s="14">
        <f>M9+M14+M19+M24</f>
        <v>0</v>
      </c>
      <c r="N8" s="14"/>
      <c r="O8" s="15">
        <f t="shared" ref="O8:AC8" si="0">O9+O14+O19+O24</f>
        <v>0</v>
      </c>
      <c r="P8" s="15">
        <f t="shared" si="0"/>
        <v>0</v>
      </c>
      <c r="Q8" s="15">
        <f t="shared" si="0"/>
        <v>0</v>
      </c>
      <c r="R8" s="15">
        <f t="shared" si="0"/>
        <v>0</v>
      </c>
      <c r="S8" s="15">
        <f t="shared" si="0"/>
        <v>0</v>
      </c>
      <c r="T8" s="15"/>
      <c r="U8" s="15">
        <f t="shared" si="0"/>
        <v>0</v>
      </c>
      <c r="V8" s="15"/>
      <c r="W8" s="15">
        <f t="shared" si="0"/>
        <v>0</v>
      </c>
      <c r="X8" s="15"/>
      <c r="Y8" s="15">
        <f t="shared" si="0"/>
        <v>0</v>
      </c>
      <c r="Z8" s="15">
        <f t="shared" si="0"/>
        <v>0</v>
      </c>
      <c r="AA8" s="15"/>
      <c r="AB8" s="15">
        <f t="shared" si="0"/>
        <v>0</v>
      </c>
      <c r="AC8" s="15">
        <f t="shared" si="0"/>
        <v>0</v>
      </c>
      <c r="AD8" s="14"/>
      <c r="AE8" s="14"/>
      <c r="AF8" s="16">
        <v>1115213657.5740476</v>
      </c>
    </row>
    <row r="9" spans="1:33" s="1" customFormat="1" ht="10.5" hidden="1" x14ac:dyDescent="0.25">
      <c r="A9" s="17"/>
      <c r="B9" s="18" t="s">
        <v>40</v>
      </c>
      <c r="C9" s="18"/>
      <c r="D9" s="19" t="s">
        <v>39</v>
      </c>
      <c r="E9" s="20"/>
      <c r="F9" s="20"/>
      <c r="G9" s="20"/>
      <c r="H9" s="20"/>
      <c r="I9" s="20"/>
      <c r="J9" s="20"/>
      <c r="K9" s="20"/>
      <c r="L9" s="20"/>
      <c r="M9" s="20">
        <f>SUM(M10:M13)</f>
        <v>0</v>
      </c>
      <c r="N9" s="20"/>
      <c r="O9" s="20">
        <f>SUM(O10:O13)</f>
        <v>0</v>
      </c>
      <c r="P9" s="20">
        <f t="shared" ref="P9:U9" si="1">SUM(P10:P13)</f>
        <v>0</v>
      </c>
      <c r="Q9" s="20">
        <f t="shared" si="1"/>
        <v>0</v>
      </c>
      <c r="R9" s="20">
        <f t="shared" si="1"/>
        <v>0</v>
      </c>
      <c r="S9" s="20">
        <f t="shared" si="1"/>
        <v>0</v>
      </c>
      <c r="T9" s="20"/>
      <c r="U9" s="20">
        <f t="shared" si="1"/>
        <v>0</v>
      </c>
      <c r="V9" s="20"/>
      <c r="W9" s="20">
        <f>SUM(W10:W13)</f>
        <v>0</v>
      </c>
      <c r="X9" s="20"/>
      <c r="Y9" s="20">
        <f>SUM(Y10:Y13)</f>
        <v>0</v>
      </c>
      <c r="Z9" s="20">
        <f>SUM(Z10:Z13)</f>
        <v>0</v>
      </c>
      <c r="AA9" s="20"/>
      <c r="AB9" s="20">
        <f>SUM(AB10:AB13)</f>
        <v>0</v>
      </c>
      <c r="AC9" s="20">
        <f>SUM(AC10:AC13)</f>
        <v>0</v>
      </c>
      <c r="AD9" s="20"/>
      <c r="AE9" s="20"/>
    </row>
    <row r="10" spans="1:33" s="1" customFormat="1" ht="10.5" hidden="1" x14ac:dyDescent="0.25">
      <c r="A10" s="21"/>
      <c r="B10" s="22"/>
      <c r="C10" s="22"/>
      <c r="D10" s="23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</row>
    <row r="11" spans="1:33" s="1" customFormat="1" ht="10.5" hidden="1" x14ac:dyDescent="0.25">
      <c r="A11" s="21"/>
      <c r="B11" s="22"/>
      <c r="C11" s="22"/>
      <c r="D11" s="23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</row>
    <row r="12" spans="1:33" s="1" customFormat="1" ht="10.5" hidden="1" x14ac:dyDescent="0.25">
      <c r="A12" s="21"/>
      <c r="B12" s="22"/>
      <c r="C12" s="22"/>
      <c r="D12" s="23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</row>
    <row r="13" spans="1:33" s="1" customFormat="1" ht="10.5" hidden="1" x14ac:dyDescent="0.25">
      <c r="A13" s="21"/>
      <c r="B13" s="22"/>
      <c r="C13" s="22"/>
      <c r="D13" s="23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</row>
    <row r="14" spans="1:33" s="1" customFormat="1" ht="10.5" hidden="1" x14ac:dyDescent="0.25">
      <c r="A14" s="25"/>
      <c r="B14" s="26" t="s">
        <v>41</v>
      </c>
      <c r="C14" s="26"/>
      <c r="D14" s="27" t="s">
        <v>42</v>
      </c>
      <c r="E14" s="28"/>
      <c r="F14" s="28"/>
      <c r="G14" s="28"/>
      <c r="H14" s="28"/>
      <c r="I14" s="28"/>
      <c r="J14" s="28"/>
      <c r="K14" s="28"/>
      <c r="L14" s="28"/>
      <c r="M14" s="28">
        <f>SUM(M15:M18)</f>
        <v>0</v>
      </c>
      <c r="N14" s="28"/>
      <c r="O14" s="28">
        <f t="shared" ref="O14:AC14" si="2">SUM(O15:O18)</f>
        <v>0</v>
      </c>
      <c r="P14" s="28">
        <f t="shared" si="2"/>
        <v>0</v>
      </c>
      <c r="Q14" s="28">
        <f t="shared" si="2"/>
        <v>0</v>
      </c>
      <c r="R14" s="28">
        <f t="shared" si="2"/>
        <v>0</v>
      </c>
      <c r="S14" s="28">
        <f t="shared" si="2"/>
        <v>0</v>
      </c>
      <c r="T14" s="28"/>
      <c r="U14" s="28">
        <f t="shared" si="2"/>
        <v>0</v>
      </c>
      <c r="V14" s="28"/>
      <c r="W14" s="28">
        <f t="shared" si="2"/>
        <v>0</v>
      </c>
      <c r="X14" s="28"/>
      <c r="Y14" s="28">
        <f t="shared" si="2"/>
        <v>0</v>
      </c>
      <c r="Z14" s="28">
        <f t="shared" si="2"/>
        <v>0</v>
      </c>
      <c r="AA14" s="28"/>
      <c r="AB14" s="28">
        <f t="shared" si="2"/>
        <v>0</v>
      </c>
      <c r="AC14" s="28">
        <f t="shared" si="2"/>
        <v>0</v>
      </c>
      <c r="AD14" s="28"/>
      <c r="AE14" s="28"/>
    </row>
    <row r="15" spans="1:33" s="1" customFormat="1" ht="10.5" hidden="1" x14ac:dyDescent="0.25">
      <c r="A15" s="21"/>
      <c r="B15" s="22"/>
      <c r="C15" s="22"/>
      <c r="D15" s="23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</row>
    <row r="16" spans="1:33" s="1" customFormat="1" ht="10.5" hidden="1" x14ac:dyDescent="0.25">
      <c r="A16" s="21"/>
      <c r="B16" s="22"/>
      <c r="C16" s="22"/>
      <c r="D16" s="2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</row>
    <row r="17" spans="1:34" s="1" customFormat="1" ht="10.5" hidden="1" x14ac:dyDescent="0.25">
      <c r="A17" s="21"/>
      <c r="B17" s="22"/>
      <c r="C17" s="22"/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</row>
    <row r="18" spans="1:34" s="1" customFormat="1" ht="10.5" hidden="1" x14ac:dyDescent="0.25">
      <c r="A18" s="21"/>
      <c r="B18" s="22"/>
      <c r="C18" s="22"/>
      <c r="D18" s="23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</row>
    <row r="19" spans="1:34" s="1" customFormat="1" ht="10.5" hidden="1" x14ac:dyDescent="0.25">
      <c r="A19" s="25"/>
      <c r="B19" s="26" t="s">
        <v>43</v>
      </c>
      <c r="C19" s="26"/>
      <c r="D19" s="27" t="s">
        <v>44</v>
      </c>
      <c r="E19" s="28"/>
      <c r="F19" s="28"/>
      <c r="G19" s="28"/>
      <c r="H19" s="28"/>
      <c r="I19" s="28"/>
      <c r="J19" s="28"/>
      <c r="K19" s="28"/>
      <c r="L19" s="28"/>
      <c r="M19" s="28">
        <f>SUM(M20:M23)</f>
        <v>0</v>
      </c>
      <c r="N19" s="28"/>
      <c r="O19" s="28">
        <f t="shared" ref="O19:AC19" si="3">SUM(O20:O23)</f>
        <v>0</v>
      </c>
      <c r="P19" s="28">
        <f t="shared" si="3"/>
        <v>0</v>
      </c>
      <c r="Q19" s="28">
        <f t="shared" si="3"/>
        <v>0</v>
      </c>
      <c r="R19" s="28">
        <f t="shared" si="3"/>
        <v>0</v>
      </c>
      <c r="S19" s="28">
        <f t="shared" si="3"/>
        <v>0</v>
      </c>
      <c r="T19" s="28"/>
      <c r="U19" s="28">
        <f t="shared" si="3"/>
        <v>0</v>
      </c>
      <c r="V19" s="28"/>
      <c r="W19" s="28">
        <f t="shared" si="3"/>
        <v>0</v>
      </c>
      <c r="X19" s="28"/>
      <c r="Y19" s="28">
        <f t="shared" si="3"/>
        <v>0</v>
      </c>
      <c r="Z19" s="28">
        <f t="shared" si="3"/>
        <v>0</v>
      </c>
      <c r="AA19" s="28"/>
      <c r="AB19" s="28">
        <f t="shared" si="3"/>
        <v>0</v>
      </c>
      <c r="AC19" s="28">
        <f t="shared" si="3"/>
        <v>0</v>
      </c>
      <c r="AD19" s="28"/>
      <c r="AE19" s="28"/>
    </row>
    <row r="20" spans="1:34" s="1" customFormat="1" ht="10.5" hidden="1" x14ac:dyDescent="0.25">
      <c r="A20" s="21"/>
      <c r="B20" s="22"/>
      <c r="C20" s="22"/>
      <c r="D20" s="23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</row>
    <row r="21" spans="1:34" s="1" customFormat="1" ht="10.5" hidden="1" x14ac:dyDescent="0.25">
      <c r="A21" s="21"/>
      <c r="B21" s="22"/>
      <c r="C21" s="22"/>
      <c r="D21" s="23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</row>
    <row r="22" spans="1:34" s="1" customFormat="1" ht="10.5" hidden="1" x14ac:dyDescent="0.25">
      <c r="A22" s="21"/>
      <c r="B22" s="22"/>
      <c r="C22" s="22"/>
      <c r="D22" s="2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</row>
    <row r="23" spans="1:34" s="1" customFormat="1" ht="10.5" hidden="1" x14ac:dyDescent="0.25">
      <c r="A23" s="21"/>
      <c r="B23" s="22"/>
      <c r="C23" s="22"/>
      <c r="D23" s="23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</row>
    <row r="24" spans="1:34" s="1" customFormat="1" ht="10.5" hidden="1" x14ac:dyDescent="0.25">
      <c r="A24" s="25"/>
      <c r="B24" s="26" t="s">
        <v>45</v>
      </c>
      <c r="C24" s="26"/>
      <c r="D24" s="27" t="s">
        <v>46</v>
      </c>
      <c r="E24" s="28"/>
      <c r="F24" s="28"/>
      <c r="G24" s="28"/>
      <c r="H24" s="28"/>
      <c r="I24" s="28"/>
      <c r="J24" s="28"/>
      <c r="K24" s="28"/>
      <c r="L24" s="28"/>
      <c r="M24" s="28">
        <f>SUM(M25:M28)</f>
        <v>0</v>
      </c>
      <c r="N24" s="28"/>
      <c r="O24" s="28">
        <f>SUM(O25:O28)</f>
        <v>0</v>
      </c>
      <c r="P24" s="28">
        <f t="shared" ref="P24:AC24" si="4">SUM(P25:P28)</f>
        <v>0</v>
      </c>
      <c r="Q24" s="28">
        <f t="shared" si="4"/>
        <v>0</v>
      </c>
      <c r="R24" s="28">
        <f t="shared" si="4"/>
        <v>0</v>
      </c>
      <c r="S24" s="28">
        <f t="shared" si="4"/>
        <v>0</v>
      </c>
      <c r="T24" s="28"/>
      <c r="U24" s="28">
        <f t="shared" si="4"/>
        <v>0</v>
      </c>
      <c r="V24" s="28"/>
      <c r="W24" s="28">
        <f t="shared" si="4"/>
        <v>0</v>
      </c>
      <c r="X24" s="28"/>
      <c r="Y24" s="28">
        <f t="shared" si="4"/>
        <v>0</v>
      </c>
      <c r="Z24" s="28">
        <f t="shared" si="4"/>
        <v>0</v>
      </c>
      <c r="AA24" s="28"/>
      <c r="AB24" s="28">
        <f t="shared" si="4"/>
        <v>0</v>
      </c>
      <c r="AC24" s="28">
        <f t="shared" si="4"/>
        <v>0</v>
      </c>
      <c r="AD24" s="28"/>
      <c r="AE24" s="28"/>
    </row>
    <row r="25" spans="1:34" s="1" customFormat="1" ht="10.5" hidden="1" x14ac:dyDescent="0.25">
      <c r="A25" s="21"/>
      <c r="B25" s="22"/>
      <c r="C25" s="22"/>
      <c r="D25" s="23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</row>
    <row r="26" spans="1:34" s="1" customFormat="1" ht="10.5" hidden="1" x14ac:dyDescent="0.25">
      <c r="A26" s="21"/>
      <c r="B26" s="22"/>
      <c r="C26" s="22"/>
      <c r="D26" s="23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</row>
    <row r="27" spans="1:34" s="1" customFormat="1" ht="10.5" hidden="1" x14ac:dyDescent="0.25">
      <c r="A27" s="21"/>
      <c r="B27" s="22"/>
      <c r="C27" s="22"/>
      <c r="D27" s="23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</row>
    <row r="28" spans="1:34" s="1" customFormat="1" ht="10.5" hidden="1" x14ac:dyDescent="0.25">
      <c r="A28" s="21"/>
      <c r="B28" s="22"/>
      <c r="C28" s="22"/>
      <c r="D28" s="23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</row>
    <row r="29" spans="1:34" s="1" customFormat="1" ht="10.5" hidden="1" x14ac:dyDescent="0.25">
      <c r="A29" s="21"/>
      <c r="B29" s="22"/>
      <c r="C29" s="22"/>
      <c r="D29" s="23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</row>
    <row r="30" spans="1:34" s="16" customFormat="1" ht="19.5" customHeight="1" x14ac:dyDescent="0.35">
      <c r="A30" s="29">
        <v>2</v>
      </c>
      <c r="B30" s="30" t="s">
        <v>47</v>
      </c>
      <c r="C30" s="30"/>
      <c r="D30" s="31" t="s">
        <v>48</v>
      </c>
      <c r="E30" s="32"/>
      <c r="F30" s="32"/>
      <c r="G30" s="32"/>
      <c r="H30" s="32"/>
      <c r="I30" s="32"/>
      <c r="J30" s="32"/>
      <c r="K30" s="32"/>
      <c r="L30" s="32"/>
      <c r="M30" s="33">
        <f>SUM(M31+M44+M101+M742+M764+M802+M999)</f>
        <v>4998</v>
      </c>
      <c r="N30" s="136"/>
      <c r="O30" s="34">
        <f>SUM(O31+O44+O101+O742+O764+O802+O999)</f>
        <v>12692433158.004616</v>
      </c>
      <c r="P30" s="32">
        <f>P31+P44+P89+P96+P101+P742+P764+P772+P793+P802+P951+P956+P961+P970+P977+P986+P989+P992+P999</f>
        <v>3121945214</v>
      </c>
      <c r="Q30" s="32">
        <f>Q31+Q44+Q89+Q96+Q101+Q742+Q764+Q772+Q793+Q802+Q951+Q956+Q961+Q970+Q977+Q986+Q989+Q992+Q999</f>
        <v>0</v>
      </c>
      <c r="R30" s="32">
        <f>R31+R44+R89+R96+R101+R742+R764+R772+R793+R802+R951+R956+R961+R970+R977+R986+R989+R992+R999</f>
        <v>0</v>
      </c>
      <c r="S30" s="34">
        <f>SUM(S31+S44+S101+S742+S764+S802+S999)</f>
        <v>12692433158.004616</v>
      </c>
      <c r="T30" s="34"/>
      <c r="U30" s="34">
        <f>SUM(U31+U44+U101+U742+U764+U772+U793+U802+U951+U956+U961+U970+U977+U986+U989+U992+U999)</f>
        <v>979377679.52857149</v>
      </c>
      <c r="V30" s="34"/>
      <c r="W30" s="34">
        <f>SUM(W31+W44+W101+W742+W764+W772+W793+W802+W951+W956+W961+W970+W977+W986+W989+W992+W999)+0.06</f>
        <v>281560011.12904769</v>
      </c>
      <c r="X30" s="34"/>
      <c r="Y30" s="34">
        <f>SUM(Y31+Y44+Y101+Y742+Y764+Y772+Y793+Y802+Y951+Y956+Y961+Y970+Y977+Y986+Y989+Y992+Y999)</f>
        <v>272782174.60238099</v>
      </c>
      <c r="Z30" s="34">
        <f>SUM(Z31+Z44+Z101+Z742+Z764+Z772+Z793+Z802+Z951+Z956+Z961+Z970+Z977+Z986+Z989+Z992+Z999)+0.06</f>
        <v>554342185.73142862</v>
      </c>
      <c r="AA30" s="34"/>
      <c r="AB30" s="34">
        <f>SUM(AB31+AB44+AB101+AB742+AB764+AB772+AB793+AB802+AB951+AB956+AB961+AB970+AB977+AB986+AB989+AB992+AB999)+0.6</f>
        <v>11577219500.430571</v>
      </c>
      <c r="AC30" s="34">
        <f>SUM(AC31+AC44+AC101+AC742+AC764+AC772+AC793+AC802+AC951+AC956+AC961+AC970+AC977+AC986+AC989+AC992+AC999)-0.07</f>
        <v>1115213657.5740476</v>
      </c>
      <c r="AD30" s="32"/>
      <c r="AE30" s="32"/>
      <c r="AF30" s="36">
        <v>1127642295.7426188</v>
      </c>
      <c r="AG30" s="137">
        <f>AF30-AC30</f>
        <v>12428638.168571234</v>
      </c>
      <c r="AH30" s="36"/>
    </row>
    <row r="31" spans="1:34" s="1" customFormat="1" ht="11.45" x14ac:dyDescent="0.25">
      <c r="A31" s="17"/>
      <c r="B31" s="18" t="s">
        <v>49</v>
      </c>
      <c r="C31" s="18"/>
      <c r="D31" s="19" t="s">
        <v>50</v>
      </c>
      <c r="E31" s="20"/>
      <c r="F31" s="20"/>
      <c r="G31" s="20"/>
      <c r="H31" s="20"/>
      <c r="I31" s="20"/>
      <c r="J31" s="20"/>
      <c r="K31" s="20"/>
      <c r="L31" s="20"/>
      <c r="M31" s="20">
        <f>SUM(M40)</f>
        <v>1</v>
      </c>
      <c r="N31" s="20"/>
      <c r="O31" s="37">
        <f>SUM(O40)</f>
        <v>509600000</v>
      </c>
      <c r="P31" s="20">
        <f t="shared" ref="P31:AC31" si="5">P32+P36+P40</f>
        <v>0</v>
      </c>
      <c r="Q31" s="20">
        <f t="shared" si="5"/>
        <v>0</v>
      </c>
      <c r="R31" s="20">
        <f t="shared" si="5"/>
        <v>0</v>
      </c>
      <c r="S31" s="37">
        <f>SUM(S40)</f>
        <v>509600000</v>
      </c>
      <c r="T31" s="37"/>
      <c r="U31" s="37">
        <f t="shared" si="5"/>
        <v>50960000</v>
      </c>
      <c r="V31" s="37"/>
      <c r="W31" s="37">
        <f t="shared" si="5"/>
        <v>25480000</v>
      </c>
      <c r="X31" s="37"/>
      <c r="Y31" s="37">
        <f t="shared" si="5"/>
        <v>25480000</v>
      </c>
      <c r="Z31" s="37">
        <f t="shared" si="5"/>
        <v>50960000</v>
      </c>
      <c r="AA31" s="37"/>
      <c r="AB31" s="37">
        <f>SUM(AB40)</f>
        <v>509600000</v>
      </c>
      <c r="AC31" s="37">
        <f t="shared" si="5"/>
        <v>0</v>
      </c>
      <c r="AD31" s="20"/>
      <c r="AE31" s="38"/>
      <c r="AF31" s="39">
        <v>11817728862.791998</v>
      </c>
      <c r="AG31" s="35"/>
    </row>
    <row r="32" spans="1:34" s="1" customFormat="1" ht="11.45" hidden="1" x14ac:dyDescent="0.25">
      <c r="A32" s="25"/>
      <c r="B32" s="26" t="s">
        <v>51</v>
      </c>
      <c r="C32" s="26"/>
      <c r="D32" s="27" t="s">
        <v>52</v>
      </c>
      <c r="E32" s="28"/>
      <c r="F32" s="28"/>
      <c r="G32" s="28"/>
      <c r="H32" s="28"/>
      <c r="I32" s="28"/>
      <c r="J32" s="28"/>
      <c r="K32" s="28"/>
      <c r="L32" s="28"/>
      <c r="M32" s="28">
        <f>SUM(M33:M35)</f>
        <v>0</v>
      </c>
      <c r="N32" s="28"/>
      <c r="O32" s="40">
        <f>SUM(O33:O35)</f>
        <v>0</v>
      </c>
      <c r="P32" s="28">
        <f t="shared" ref="P32:AC32" si="6">SUM(P33:P35)</f>
        <v>0</v>
      </c>
      <c r="Q32" s="28">
        <f t="shared" si="6"/>
        <v>0</v>
      </c>
      <c r="R32" s="28">
        <f t="shared" si="6"/>
        <v>0</v>
      </c>
      <c r="S32" s="40">
        <f t="shared" si="6"/>
        <v>0</v>
      </c>
      <c r="T32" s="40"/>
      <c r="U32" s="40">
        <f t="shared" si="6"/>
        <v>0</v>
      </c>
      <c r="V32" s="40"/>
      <c r="W32" s="40">
        <f t="shared" si="6"/>
        <v>0</v>
      </c>
      <c r="X32" s="40"/>
      <c r="Y32" s="40">
        <f t="shared" si="6"/>
        <v>0</v>
      </c>
      <c r="Z32" s="40">
        <f t="shared" si="6"/>
        <v>0</v>
      </c>
      <c r="AA32" s="40"/>
      <c r="AB32" s="40">
        <f t="shared" si="6"/>
        <v>0</v>
      </c>
      <c r="AC32" s="40">
        <f t="shared" si="6"/>
        <v>0</v>
      </c>
      <c r="AD32" s="28"/>
      <c r="AE32" s="28"/>
      <c r="AG32" s="36"/>
    </row>
    <row r="33" spans="1:34" s="1" customFormat="1" ht="11.45" hidden="1" x14ac:dyDescent="0.25">
      <c r="A33" s="21"/>
      <c r="B33" s="22"/>
      <c r="C33" s="22"/>
      <c r="D33" s="23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41"/>
      <c r="P33" s="24"/>
      <c r="Q33" s="24"/>
      <c r="R33" s="24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24"/>
      <c r="AE33" s="24"/>
      <c r="AG33" s="36"/>
    </row>
    <row r="34" spans="1:34" s="1" customFormat="1" ht="11.45" hidden="1" x14ac:dyDescent="0.25">
      <c r="A34" s="21"/>
      <c r="B34" s="22"/>
      <c r="C34" s="22"/>
      <c r="D34" s="23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41"/>
      <c r="P34" s="24"/>
      <c r="Q34" s="24"/>
      <c r="R34" s="24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24"/>
      <c r="AE34" s="24"/>
      <c r="AG34" s="36"/>
    </row>
    <row r="35" spans="1:34" s="1" customFormat="1" ht="11.45" hidden="1" x14ac:dyDescent="0.25">
      <c r="A35" s="21"/>
      <c r="B35" s="22"/>
      <c r="C35" s="22"/>
      <c r="D35" s="23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41"/>
      <c r="P35" s="24"/>
      <c r="Q35" s="24"/>
      <c r="R35" s="24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24"/>
      <c r="AE35" s="24"/>
      <c r="AG35" s="36"/>
    </row>
    <row r="36" spans="1:34" s="1" customFormat="1" ht="11.45" hidden="1" x14ac:dyDescent="0.25">
      <c r="A36" s="25"/>
      <c r="B36" s="26" t="s">
        <v>53</v>
      </c>
      <c r="C36" s="26"/>
      <c r="D36" s="27" t="s">
        <v>54</v>
      </c>
      <c r="E36" s="28"/>
      <c r="F36" s="28"/>
      <c r="G36" s="28"/>
      <c r="H36" s="28"/>
      <c r="I36" s="28"/>
      <c r="J36" s="28"/>
      <c r="K36" s="28"/>
      <c r="L36" s="28"/>
      <c r="M36" s="28">
        <f>SUM(M37:M39)</f>
        <v>0</v>
      </c>
      <c r="N36" s="28"/>
      <c r="O36" s="40">
        <f t="shared" ref="O36:AC36" si="7">SUM(O37:O39)</f>
        <v>0</v>
      </c>
      <c r="P36" s="28">
        <f t="shared" si="7"/>
        <v>0</v>
      </c>
      <c r="Q36" s="28">
        <f t="shared" si="7"/>
        <v>0</v>
      </c>
      <c r="R36" s="28">
        <f t="shared" si="7"/>
        <v>0</v>
      </c>
      <c r="S36" s="40">
        <f t="shared" si="7"/>
        <v>0</v>
      </c>
      <c r="T36" s="40"/>
      <c r="U36" s="40">
        <f t="shared" si="7"/>
        <v>0</v>
      </c>
      <c r="V36" s="40"/>
      <c r="W36" s="40">
        <f t="shared" si="7"/>
        <v>0</v>
      </c>
      <c r="X36" s="40"/>
      <c r="Y36" s="40">
        <f t="shared" si="7"/>
        <v>0</v>
      </c>
      <c r="Z36" s="40">
        <f t="shared" si="7"/>
        <v>0</v>
      </c>
      <c r="AA36" s="40"/>
      <c r="AB36" s="40">
        <f t="shared" si="7"/>
        <v>0</v>
      </c>
      <c r="AC36" s="40">
        <f t="shared" si="7"/>
        <v>0</v>
      </c>
      <c r="AD36" s="28"/>
      <c r="AE36" s="28"/>
      <c r="AG36" s="36"/>
    </row>
    <row r="37" spans="1:34" s="1" customFormat="1" ht="11.45" hidden="1" x14ac:dyDescent="0.25">
      <c r="A37" s="21"/>
      <c r="B37" s="22"/>
      <c r="C37" s="22"/>
      <c r="D37" s="23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41"/>
      <c r="P37" s="24"/>
      <c r="Q37" s="24"/>
      <c r="R37" s="24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24"/>
      <c r="AE37" s="24"/>
      <c r="AG37" s="36"/>
    </row>
    <row r="38" spans="1:34" s="1" customFormat="1" ht="11.45" hidden="1" x14ac:dyDescent="0.25">
      <c r="A38" s="21"/>
      <c r="B38" s="22"/>
      <c r="C38" s="22"/>
      <c r="D38" s="23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41"/>
      <c r="P38" s="24"/>
      <c r="Q38" s="24"/>
      <c r="R38" s="24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24"/>
      <c r="AE38" s="24"/>
      <c r="AG38" s="36"/>
    </row>
    <row r="39" spans="1:34" s="1" customFormat="1" ht="11.45" hidden="1" x14ac:dyDescent="0.25">
      <c r="A39" s="21"/>
      <c r="B39" s="22"/>
      <c r="C39" s="22"/>
      <c r="D39" s="23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41"/>
      <c r="P39" s="24"/>
      <c r="Q39" s="24"/>
      <c r="R39" s="24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24"/>
      <c r="AE39" s="24"/>
      <c r="AG39" s="36"/>
    </row>
    <row r="40" spans="1:34" s="1" customFormat="1" ht="10.5" x14ac:dyDescent="0.25">
      <c r="A40" s="138"/>
      <c r="B40" s="139" t="s">
        <v>55</v>
      </c>
      <c r="C40" s="139"/>
      <c r="D40" s="140" t="s">
        <v>56</v>
      </c>
      <c r="E40" s="141"/>
      <c r="F40" s="141"/>
      <c r="G40" s="141"/>
      <c r="H40" s="141"/>
      <c r="I40" s="141"/>
      <c r="J40" s="141"/>
      <c r="K40" s="141"/>
      <c r="L40" s="141"/>
      <c r="M40" s="141">
        <f>SUM(M41)</f>
        <v>1</v>
      </c>
      <c r="N40" s="141"/>
      <c r="O40" s="142">
        <f>O41</f>
        <v>509600000</v>
      </c>
      <c r="P40" s="141">
        <f>SUM(P42:P43)</f>
        <v>0</v>
      </c>
      <c r="Q40" s="141">
        <f>SUM(Q42:Q43)</f>
        <v>0</v>
      </c>
      <c r="R40" s="141">
        <f>SUM(R42:R43)</f>
        <v>0</v>
      </c>
      <c r="S40" s="142">
        <f>S41</f>
        <v>509600000</v>
      </c>
      <c r="T40" s="142"/>
      <c r="U40" s="142">
        <f>U41</f>
        <v>50960000</v>
      </c>
      <c r="V40" s="142"/>
      <c r="W40" s="142">
        <f>W41</f>
        <v>25480000</v>
      </c>
      <c r="X40" s="142"/>
      <c r="Y40" s="142">
        <f>Y41</f>
        <v>25480000</v>
      </c>
      <c r="Z40" s="142">
        <f>Z41</f>
        <v>50960000</v>
      </c>
      <c r="AA40" s="142"/>
      <c r="AB40" s="142">
        <f>AB41</f>
        <v>509600000</v>
      </c>
      <c r="AC40" s="141">
        <f>AC41</f>
        <v>0</v>
      </c>
      <c r="AD40" s="141"/>
      <c r="AE40" s="141"/>
      <c r="AF40" s="8">
        <f>Y30-AF41</f>
        <v>0</v>
      </c>
      <c r="AG40" s="5">
        <f>AF31-AB30</f>
        <v>240509362.36142731</v>
      </c>
    </row>
    <row r="41" spans="1:34" s="1" customFormat="1" ht="10.5" x14ac:dyDescent="0.25">
      <c r="A41" s="25"/>
      <c r="B41" s="26" t="s">
        <v>1623</v>
      </c>
      <c r="C41" s="26"/>
      <c r="D41" s="27" t="s">
        <v>1624</v>
      </c>
      <c r="E41" s="28"/>
      <c r="F41" s="28"/>
      <c r="G41" s="28"/>
      <c r="H41" s="28"/>
      <c r="I41" s="28"/>
      <c r="J41" s="28"/>
      <c r="K41" s="28"/>
      <c r="L41" s="28"/>
      <c r="M41" s="28">
        <f>SUM(M42)</f>
        <v>1</v>
      </c>
      <c r="N41" s="28"/>
      <c r="O41" s="40">
        <f>SUM(O42)</f>
        <v>509600000</v>
      </c>
      <c r="P41" s="28"/>
      <c r="Q41" s="28"/>
      <c r="R41" s="28"/>
      <c r="S41" s="40">
        <f>SUM(S42)</f>
        <v>509600000</v>
      </c>
      <c r="T41" s="40"/>
      <c r="U41" s="40">
        <f>SUM(U42)</f>
        <v>50960000</v>
      </c>
      <c r="V41" s="40"/>
      <c r="W41" s="40">
        <f>SUM(W42)</f>
        <v>25480000</v>
      </c>
      <c r="X41" s="40"/>
      <c r="Y41" s="40">
        <f>SUM(Y42)</f>
        <v>25480000</v>
      </c>
      <c r="Z41" s="40">
        <f>SUM(Z42)</f>
        <v>50960000</v>
      </c>
      <c r="AA41" s="40"/>
      <c r="AB41" s="40">
        <f>SUM(AB42)</f>
        <v>509600000</v>
      </c>
      <c r="AC41" s="28">
        <f>SUM(AC42)</f>
        <v>0</v>
      </c>
      <c r="AD41" s="28"/>
      <c r="AE41" s="28"/>
      <c r="AF41" s="8">
        <v>272782174.60238099</v>
      </c>
      <c r="AG41" s="5"/>
    </row>
    <row r="42" spans="1:34" s="1" customFormat="1" ht="10.5" x14ac:dyDescent="0.25">
      <c r="A42" s="21">
        <v>1</v>
      </c>
      <c r="B42" s="22" t="s">
        <v>57</v>
      </c>
      <c r="C42" s="42" t="s">
        <v>58</v>
      </c>
      <c r="D42" s="23" t="s">
        <v>59</v>
      </c>
      <c r="E42" s="24" t="s">
        <v>60</v>
      </c>
      <c r="F42" s="24"/>
      <c r="G42" s="24" t="s">
        <v>61</v>
      </c>
      <c r="H42" s="24" t="s">
        <v>62</v>
      </c>
      <c r="I42" s="24">
        <v>2013</v>
      </c>
      <c r="J42" s="24"/>
      <c r="K42" s="24" t="s">
        <v>63</v>
      </c>
      <c r="L42" s="24" t="s">
        <v>64</v>
      </c>
      <c r="M42" s="24">
        <v>1</v>
      </c>
      <c r="N42" s="41">
        <v>509600000</v>
      </c>
      <c r="O42" s="41">
        <v>509600000</v>
      </c>
      <c r="P42" s="24"/>
      <c r="Q42" s="24"/>
      <c r="R42" s="24"/>
      <c r="S42" s="43">
        <f>SUM(N42-R42)</f>
        <v>509600000</v>
      </c>
      <c r="T42" s="24">
        <v>10</v>
      </c>
      <c r="U42" s="43">
        <f>SUM(S42/T42)</f>
        <v>50960000</v>
      </c>
      <c r="V42" s="44">
        <v>0.5</v>
      </c>
      <c r="W42" s="43">
        <f t="shared" ref="W42" si="8">SUM(U42*V42)</f>
        <v>25480000</v>
      </c>
      <c r="X42" s="44">
        <v>0.5</v>
      </c>
      <c r="Y42" s="43">
        <f t="shared" ref="Y42" si="9">SUM(U42*X42)</f>
        <v>25480000</v>
      </c>
      <c r="Z42" s="43">
        <f>SUM(W42+Y42)</f>
        <v>50960000</v>
      </c>
      <c r="AA42" s="44">
        <f>2021-I42+V42+X42+V42+V42</f>
        <v>10</v>
      </c>
      <c r="AB42" s="43">
        <f>SUM(U42*AA42)</f>
        <v>509600000</v>
      </c>
      <c r="AC42" s="43">
        <f>SUM(O42-AB42)</f>
        <v>0</v>
      </c>
      <c r="AD42" s="24" t="s">
        <v>65</v>
      </c>
      <c r="AE42" s="24"/>
      <c r="AF42" s="8">
        <v>1127642295.4726191</v>
      </c>
      <c r="AG42" s="143">
        <f>AC30-AF42</f>
        <v>-12428637.898571491</v>
      </c>
    </row>
    <row r="43" spans="1:34" s="1" customFormat="1" ht="10.5" x14ac:dyDescent="0.25">
      <c r="A43" s="21"/>
      <c r="B43" s="22"/>
      <c r="C43" s="22"/>
      <c r="D43" s="23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44"/>
      <c r="Y43" s="44"/>
      <c r="Z43" s="24"/>
      <c r="AA43" s="24"/>
      <c r="AB43" s="24"/>
      <c r="AC43" s="24"/>
      <c r="AD43" s="24"/>
      <c r="AE43" s="24"/>
      <c r="AF43" s="8"/>
      <c r="AG43" s="5"/>
    </row>
    <row r="44" spans="1:34" s="1" customFormat="1" ht="10.5" x14ac:dyDescent="0.25">
      <c r="A44" s="17"/>
      <c r="B44" s="18" t="s">
        <v>66</v>
      </c>
      <c r="C44" s="18"/>
      <c r="D44" s="19" t="s">
        <v>67</v>
      </c>
      <c r="E44" s="20"/>
      <c r="F44" s="20"/>
      <c r="G44" s="20"/>
      <c r="H44" s="20"/>
      <c r="I44" s="20"/>
      <c r="J44" s="20"/>
      <c r="K44" s="20"/>
      <c r="L44" s="20"/>
      <c r="M44" s="20">
        <f>SUM(M46+M56+M58+M79)</f>
        <v>32</v>
      </c>
      <c r="N44" s="20"/>
      <c r="O44" s="37">
        <f>SUM(O46+O56+O58+O79)</f>
        <v>2493984900</v>
      </c>
      <c r="P44" s="20">
        <f>P45+P79+P83+P85+P87</f>
        <v>0</v>
      </c>
      <c r="Q44" s="20">
        <f>Q45+Q79+Q83+Q85+Q87</f>
        <v>0</v>
      </c>
      <c r="R44" s="20">
        <f>R45+R79+R83+R85+R87</f>
        <v>0</v>
      </c>
      <c r="S44" s="37">
        <f>SUM(S46+S56+S58+S79)</f>
        <v>2493984900</v>
      </c>
      <c r="T44" s="20"/>
      <c r="U44" s="37">
        <f>SUM(U46+U56+U58+U79)</f>
        <v>227918571.42857143</v>
      </c>
      <c r="V44" s="20"/>
      <c r="W44" s="37">
        <f>SUM(W46+W56+W58+W79)</f>
        <v>43335714.285714284</v>
      </c>
      <c r="X44" s="46"/>
      <c r="Y44" s="37">
        <f>Y45+Y79+Y83+Y85+Y87</f>
        <v>41010714.285714284</v>
      </c>
      <c r="Z44" s="37">
        <f>SUM(Z46+Z56+Z58+Z79)</f>
        <v>84346428.571428567</v>
      </c>
      <c r="AA44" s="20"/>
      <c r="AB44" s="37">
        <f>SUM(AB46+AB56+AB58+AB79)</f>
        <v>2286732519.0476189</v>
      </c>
      <c r="AC44" s="37">
        <f>SUM(AC46+AC56+AC58+AC79)-0.3</f>
        <v>207252380.66238093</v>
      </c>
      <c r="AD44" s="20"/>
      <c r="AE44" s="20"/>
      <c r="AF44" s="8"/>
      <c r="AG44" s="144"/>
      <c r="AH44" s="5"/>
    </row>
    <row r="45" spans="1:34" s="1" customFormat="1" ht="10.5" x14ac:dyDescent="0.25">
      <c r="A45" s="25"/>
      <c r="B45" s="139" t="s">
        <v>68</v>
      </c>
      <c r="C45" s="139"/>
      <c r="D45" s="140" t="s">
        <v>69</v>
      </c>
      <c r="E45" s="141"/>
      <c r="F45" s="141"/>
      <c r="G45" s="141"/>
      <c r="H45" s="141"/>
      <c r="I45" s="141"/>
      <c r="J45" s="141"/>
      <c r="K45" s="141"/>
      <c r="L45" s="141"/>
      <c r="M45" s="141">
        <f>SUM(M46+M56+M58)</f>
        <v>30</v>
      </c>
      <c r="N45" s="141"/>
      <c r="O45" s="145">
        <f>SUM(O46+O56+O58)</f>
        <v>2481994900</v>
      </c>
      <c r="P45" s="141">
        <f>SUM(P76:P78)</f>
        <v>0</v>
      </c>
      <c r="Q45" s="141">
        <f>SUM(Q76:Q78)</f>
        <v>0</v>
      </c>
      <c r="R45" s="141">
        <f>SUM(R76:R78)</f>
        <v>0</v>
      </c>
      <c r="S45" s="142">
        <f>SUM(S46+S56+S58)</f>
        <v>2481994900</v>
      </c>
      <c r="T45" s="141"/>
      <c r="U45" s="142">
        <f>SUM(U46+U56+U58)</f>
        <v>227918571.42857143</v>
      </c>
      <c r="V45" s="141"/>
      <c r="W45" s="142">
        <f>SUM(W46+W56+W58)</f>
        <v>43335714.285714284</v>
      </c>
      <c r="X45" s="146"/>
      <c r="Y45" s="142">
        <f>SUM(Y46+Y56+Y58)</f>
        <v>41010714.285714284</v>
      </c>
      <c r="Z45" s="142">
        <f>SUM(Z46+Z56+Z58)</f>
        <v>84346428.571428567</v>
      </c>
      <c r="AA45" s="141"/>
      <c r="AB45" s="142">
        <f>SUM(AB46+AB56+AB58)</f>
        <v>2274742519.0476189</v>
      </c>
      <c r="AC45" s="142">
        <f>SUM(AC46+AC56+AC58)</f>
        <v>207252380.96238095</v>
      </c>
      <c r="AD45" s="141"/>
      <c r="AE45" s="141"/>
      <c r="AF45" s="5"/>
      <c r="AG45" s="5"/>
    </row>
    <row r="46" spans="1:34" s="152" customFormat="1" ht="21" x14ac:dyDescent="0.25">
      <c r="A46" s="147"/>
      <c r="B46" s="148" t="s">
        <v>1625</v>
      </c>
      <c r="C46" s="148"/>
      <c r="D46" s="27" t="s">
        <v>1626</v>
      </c>
      <c r="E46" s="149"/>
      <c r="F46" s="149"/>
      <c r="G46" s="149"/>
      <c r="H46" s="149"/>
      <c r="I46" s="149"/>
      <c r="J46" s="149"/>
      <c r="K46" s="149"/>
      <c r="L46" s="149"/>
      <c r="M46" s="28">
        <f>SUM(M47:M55)</f>
        <v>9</v>
      </c>
      <c r="N46" s="149"/>
      <c r="O46" s="47">
        <f>SUM(O47:O55)</f>
        <v>1963604900</v>
      </c>
      <c r="P46" s="149"/>
      <c r="Q46" s="149"/>
      <c r="R46" s="149"/>
      <c r="S46" s="40">
        <f>SUM(S47:S55)</f>
        <v>1963604900</v>
      </c>
      <c r="T46" s="149"/>
      <c r="U46" s="40">
        <f>SUM(U47:U55)</f>
        <v>162104285.71428573</v>
      </c>
      <c r="V46" s="149"/>
      <c r="W46" s="40">
        <f>SUM(W47:W55)</f>
        <v>22142857.142857142</v>
      </c>
      <c r="X46" s="150"/>
      <c r="Y46" s="40">
        <f>SUM(Y47:Y55)</f>
        <v>22142857.142857142</v>
      </c>
      <c r="Z46" s="40">
        <f>SUM(Z47:Z55)</f>
        <v>44285714.285714284</v>
      </c>
      <c r="AA46" s="149"/>
      <c r="AB46" s="40">
        <f>SUM(AB47:AB55)</f>
        <v>1790152519.0476191</v>
      </c>
      <c r="AC46" s="40">
        <f>SUM(AC47:AC55)</f>
        <v>173452380.96238095</v>
      </c>
      <c r="AD46" s="149"/>
      <c r="AE46" s="149"/>
      <c r="AF46" s="151"/>
      <c r="AG46" s="151"/>
    </row>
    <row r="47" spans="1:34" s="1" customFormat="1" ht="10.5" x14ac:dyDescent="0.25">
      <c r="A47" s="49">
        <v>1</v>
      </c>
      <c r="B47" s="50" t="s">
        <v>70</v>
      </c>
      <c r="C47" s="50" t="s">
        <v>58</v>
      </c>
      <c r="D47" s="51" t="s">
        <v>71</v>
      </c>
      <c r="E47" s="52" t="s">
        <v>72</v>
      </c>
      <c r="F47" s="52" t="s">
        <v>73</v>
      </c>
      <c r="G47" s="52" t="s">
        <v>61</v>
      </c>
      <c r="H47" s="52" t="s">
        <v>62</v>
      </c>
      <c r="I47" s="52">
        <v>2009</v>
      </c>
      <c r="J47" s="52"/>
      <c r="K47" s="52" t="s">
        <v>63</v>
      </c>
      <c r="L47" s="52" t="s">
        <v>64</v>
      </c>
      <c r="M47" s="52">
        <v>1</v>
      </c>
      <c r="N47" s="53">
        <v>209255500</v>
      </c>
      <c r="O47" s="53">
        <v>209255500</v>
      </c>
      <c r="P47" s="52"/>
      <c r="Q47" s="52"/>
      <c r="R47" s="52"/>
      <c r="S47" s="53">
        <f>SUM(O47-R47)</f>
        <v>209255500</v>
      </c>
      <c r="T47" s="52">
        <v>7</v>
      </c>
      <c r="U47" s="53">
        <v>0</v>
      </c>
      <c r="V47" s="54">
        <v>0.5</v>
      </c>
      <c r="W47" s="52">
        <f t="shared" ref="W47:W51" si="10">SUM(U47*V47)</f>
        <v>0</v>
      </c>
      <c r="X47" s="54"/>
      <c r="Y47" s="52">
        <f t="shared" ref="Y47:Y51" si="11">SUM(U47*X47)</f>
        <v>0</v>
      </c>
      <c r="Z47" s="52">
        <f t="shared" ref="Z47:Z51" si="12">SUM(W47+Y47)</f>
        <v>0</v>
      </c>
      <c r="AA47" s="52">
        <v>7</v>
      </c>
      <c r="AB47" s="53">
        <v>209255500</v>
      </c>
      <c r="AC47" s="53">
        <f t="shared" ref="AC47:AC54" si="13">SUM(O47-AB47)</f>
        <v>0</v>
      </c>
      <c r="AD47" s="52" t="s">
        <v>74</v>
      </c>
      <c r="AE47" s="52"/>
      <c r="AG47" s="5"/>
    </row>
    <row r="48" spans="1:34" s="1" customFormat="1" ht="10.5" x14ac:dyDescent="0.25">
      <c r="A48" s="49">
        <v>2</v>
      </c>
      <c r="B48" s="50" t="s">
        <v>70</v>
      </c>
      <c r="C48" s="50" t="s">
        <v>75</v>
      </c>
      <c r="D48" s="51" t="s">
        <v>71</v>
      </c>
      <c r="E48" s="52" t="s">
        <v>76</v>
      </c>
      <c r="F48" s="52" t="s">
        <v>77</v>
      </c>
      <c r="G48" s="52" t="s">
        <v>61</v>
      </c>
      <c r="H48" s="52" t="s">
        <v>62</v>
      </c>
      <c r="I48" s="52">
        <v>2011</v>
      </c>
      <c r="J48" s="52"/>
      <c r="K48" s="52" t="s">
        <v>63</v>
      </c>
      <c r="L48" s="52" t="s">
        <v>64</v>
      </c>
      <c r="M48" s="52">
        <v>1</v>
      </c>
      <c r="N48" s="53">
        <v>174500000</v>
      </c>
      <c r="O48" s="53">
        <v>174500000</v>
      </c>
      <c r="P48" s="52"/>
      <c r="Q48" s="52"/>
      <c r="R48" s="52"/>
      <c r="S48" s="53">
        <f t="shared" ref="S48:S55" si="14">SUM(O48-R48)</f>
        <v>174500000</v>
      </c>
      <c r="T48" s="52">
        <v>7</v>
      </c>
      <c r="U48" s="53">
        <v>0</v>
      </c>
      <c r="V48" s="54">
        <v>0.5</v>
      </c>
      <c r="W48" s="52">
        <f t="shared" si="10"/>
        <v>0</v>
      </c>
      <c r="X48" s="54"/>
      <c r="Y48" s="52">
        <f t="shared" si="11"/>
        <v>0</v>
      </c>
      <c r="Z48" s="52">
        <f t="shared" si="12"/>
        <v>0</v>
      </c>
      <c r="AA48" s="52">
        <v>7</v>
      </c>
      <c r="AB48" s="53">
        <v>174500000</v>
      </c>
      <c r="AC48" s="53">
        <f t="shared" si="13"/>
        <v>0</v>
      </c>
      <c r="AD48" s="52" t="s">
        <v>78</v>
      </c>
      <c r="AE48" s="52"/>
      <c r="AF48" s="55"/>
      <c r="AG48" s="5"/>
    </row>
    <row r="49" spans="1:33" s="1" customFormat="1" ht="10.5" x14ac:dyDescent="0.25">
      <c r="A49" s="49">
        <v>3</v>
      </c>
      <c r="B49" s="50" t="s">
        <v>70</v>
      </c>
      <c r="C49" s="50" t="s">
        <v>79</v>
      </c>
      <c r="D49" s="51" t="s">
        <v>71</v>
      </c>
      <c r="E49" s="52" t="s">
        <v>80</v>
      </c>
      <c r="F49" s="52" t="s">
        <v>81</v>
      </c>
      <c r="G49" s="52"/>
      <c r="H49" s="52" t="s">
        <v>62</v>
      </c>
      <c r="I49" s="52">
        <v>2011</v>
      </c>
      <c r="J49" s="52"/>
      <c r="K49" s="52" t="s">
        <v>63</v>
      </c>
      <c r="L49" s="52" t="s">
        <v>64</v>
      </c>
      <c r="M49" s="52">
        <v>1</v>
      </c>
      <c r="N49" s="53">
        <v>255650000</v>
      </c>
      <c r="O49" s="53">
        <v>255650000</v>
      </c>
      <c r="P49" s="52"/>
      <c r="Q49" s="52"/>
      <c r="R49" s="52"/>
      <c r="S49" s="53">
        <f t="shared" si="14"/>
        <v>255650000</v>
      </c>
      <c r="T49" s="52">
        <v>7</v>
      </c>
      <c r="U49" s="53">
        <f>SUM(S49/T49)</f>
        <v>36521428.571428575</v>
      </c>
      <c r="V49" s="54"/>
      <c r="W49" s="52"/>
      <c r="X49" s="54"/>
      <c r="Y49" s="53"/>
      <c r="Z49" s="53"/>
      <c r="AA49" s="52">
        <v>7</v>
      </c>
      <c r="AB49" s="53">
        <v>255650000.00000003</v>
      </c>
      <c r="AC49" s="53"/>
      <c r="AD49" s="52" t="s">
        <v>82</v>
      </c>
      <c r="AE49" s="52" t="s">
        <v>83</v>
      </c>
      <c r="AF49" s="5"/>
      <c r="AG49" s="5"/>
    </row>
    <row r="50" spans="1:33" s="1" customFormat="1" ht="10.5" x14ac:dyDescent="0.25">
      <c r="A50" s="49">
        <v>4</v>
      </c>
      <c r="B50" s="50" t="s">
        <v>70</v>
      </c>
      <c r="C50" s="50" t="s">
        <v>84</v>
      </c>
      <c r="D50" s="51" t="s">
        <v>71</v>
      </c>
      <c r="E50" s="52" t="s">
        <v>85</v>
      </c>
      <c r="F50" s="52" t="s">
        <v>86</v>
      </c>
      <c r="G50" s="52" t="s">
        <v>61</v>
      </c>
      <c r="H50" s="52" t="s">
        <v>62</v>
      </c>
      <c r="I50" s="52">
        <v>2012</v>
      </c>
      <c r="J50" s="52"/>
      <c r="K50" s="52" t="s">
        <v>63</v>
      </c>
      <c r="L50" s="52" t="s">
        <v>64</v>
      </c>
      <c r="M50" s="52">
        <v>1</v>
      </c>
      <c r="N50" s="53">
        <v>264119400</v>
      </c>
      <c r="O50" s="53">
        <v>264119400</v>
      </c>
      <c r="P50" s="56"/>
      <c r="Q50" s="52"/>
      <c r="R50" s="52"/>
      <c r="S50" s="53">
        <f t="shared" si="14"/>
        <v>264119400</v>
      </c>
      <c r="T50" s="52">
        <v>7</v>
      </c>
      <c r="U50" s="53">
        <v>0</v>
      </c>
      <c r="V50" s="54">
        <v>0.5</v>
      </c>
      <c r="W50" s="52">
        <f t="shared" si="10"/>
        <v>0</v>
      </c>
      <c r="X50" s="54"/>
      <c r="Y50" s="52">
        <f t="shared" si="11"/>
        <v>0</v>
      </c>
      <c r="Z50" s="52">
        <f t="shared" si="12"/>
        <v>0</v>
      </c>
      <c r="AA50" s="52">
        <v>7</v>
      </c>
      <c r="AB50" s="53">
        <v>264119400</v>
      </c>
      <c r="AC50" s="53">
        <f t="shared" si="13"/>
        <v>0</v>
      </c>
      <c r="AD50" s="52" t="s">
        <v>87</v>
      </c>
      <c r="AE50" s="52"/>
      <c r="AF50" s="55"/>
      <c r="AG50" s="5"/>
    </row>
    <row r="51" spans="1:33" s="1" customFormat="1" ht="10.5" x14ac:dyDescent="0.25">
      <c r="A51" s="49">
        <v>5</v>
      </c>
      <c r="B51" s="50" t="s">
        <v>70</v>
      </c>
      <c r="C51" s="50" t="s">
        <v>88</v>
      </c>
      <c r="D51" s="51" t="s">
        <v>71</v>
      </c>
      <c r="E51" s="52" t="s">
        <v>89</v>
      </c>
      <c r="F51" s="52" t="s">
        <v>90</v>
      </c>
      <c r="G51" s="52" t="s">
        <v>61</v>
      </c>
      <c r="H51" s="52" t="s">
        <v>62</v>
      </c>
      <c r="I51" s="52">
        <v>2012</v>
      </c>
      <c r="J51" s="52"/>
      <c r="K51" s="52" t="s">
        <v>63</v>
      </c>
      <c r="L51" s="52" t="s">
        <v>64</v>
      </c>
      <c r="M51" s="52">
        <v>1</v>
      </c>
      <c r="N51" s="53">
        <v>181000000</v>
      </c>
      <c r="O51" s="53">
        <v>181000000</v>
      </c>
      <c r="P51" s="52"/>
      <c r="Q51" s="52"/>
      <c r="R51" s="52"/>
      <c r="S51" s="53">
        <f t="shared" si="14"/>
        <v>181000000</v>
      </c>
      <c r="T51" s="52">
        <v>7</v>
      </c>
      <c r="U51" s="53">
        <v>0</v>
      </c>
      <c r="V51" s="54">
        <v>0.5</v>
      </c>
      <c r="W51" s="52">
        <f t="shared" si="10"/>
        <v>0</v>
      </c>
      <c r="X51" s="54"/>
      <c r="Y51" s="52">
        <f t="shared" si="11"/>
        <v>0</v>
      </c>
      <c r="Z51" s="52">
        <f t="shared" si="12"/>
        <v>0</v>
      </c>
      <c r="AA51" s="52">
        <v>7</v>
      </c>
      <c r="AB51" s="53">
        <v>181000000</v>
      </c>
      <c r="AC51" s="53">
        <f t="shared" si="13"/>
        <v>0</v>
      </c>
      <c r="AD51" s="52" t="s">
        <v>91</v>
      </c>
      <c r="AE51" s="52"/>
      <c r="AG51" s="5"/>
    </row>
    <row r="52" spans="1:33" s="1" customFormat="1" ht="10.5" x14ac:dyDescent="0.25">
      <c r="A52" s="49">
        <v>6</v>
      </c>
      <c r="B52" s="50" t="s">
        <v>70</v>
      </c>
      <c r="C52" s="50" t="s">
        <v>92</v>
      </c>
      <c r="D52" s="51" t="s">
        <v>71</v>
      </c>
      <c r="E52" s="52" t="s">
        <v>93</v>
      </c>
      <c r="F52" s="52" t="s">
        <v>94</v>
      </c>
      <c r="G52" s="52" t="s">
        <v>61</v>
      </c>
      <c r="H52" s="52" t="s">
        <v>62</v>
      </c>
      <c r="I52" s="52">
        <v>2014</v>
      </c>
      <c r="J52" s="52"/>
      <c r="K52" s="52" t="s">
        <v>63</v>
      </c>
      <c r="L52" s="52" t="s">
        <v>64</v>
      </c>
      <c r="M52" s="52">
        <v>1</v>
      </c>
      <c r="N52" s="53">
        <v>183670000</v>
      </c>
      <c r="O52" s="53">
        <v>183670000</v>
      </c>
      <c r="P52" s="52"/>
      <c r="Q52" s="52"/>
      <c r="R52" s="52"/>
      <c r="S52" s="53">
        <f t="shared" si="14"/>
        <v>183670000</v>
      </c>
      <c r="T52" s="52">
        <v>7</v>
      </c>
      <c r="U52" s="53">
        <f t="shared" ref="U52:U55" si="15">SUM(S52/T52)</f>
        <v>26238571.428571429</v>
      </c>
      <c r="V52" s="54">
        <v>0.5</v>
      </c>
      <c r="W52" s="53"/>
      <c r="X52" s="54"/>
      <c r="Y52" s="53">
        <f>SUM(U52*X52)</f>
        <v>0</v>
      </c>
      <c r="Z52" s="53"/>
      <c r="AA52" s="52">
        <v>7</v>
      </c>
      <c r="AB52" s="53">
        <f>SUM(U52*AA52)</f>
        <v>183670000</v>
      </c>
      <c r="AC52" s="53">
        <f t="shared" si="13"/>
        <v>0</v>
      </c>
      <c r="AD52" s="52" t="s">
        <v>95</v>
      </c>
      <c r="AE52" s="52"/>
      <c r="AG52" s="5"/>
    </row>
    <row r="53" spans="1:33" s="1" customFormat="1" ht="10.5" x14ac:dyDescent="0.25">
      <c r="A53" s="49">
        <v>7</v>
      </c>
      <c r="B53" s="50" t="s">
        <v>70</v>
      </c>
      <c r="C53" s="50" t="s">
        <v>96</v>
      </c>
      <c r="D53" s="51" t="s">
        <v>71</v>
      </c>
      <c r="E53" s="52" t="s">
        <v>97</v>
      </c>
      <c r="F53" s="52" t="s">
        <v>98</v>
      </c>
      <c r="G53" s="52" t="s">
        <v>61</v>
      </c>
      <c r="H53" s="52" t="s">
        <v>62</v>
      </c>
      <c r="I53" s="52">
        <v>2014</v>
      </c>
      <c r="J53" s="52"/>
      <c r="K53" s="52" t="s">
        <v>63</v>
      </c>
      <c r="L53" s="52" t="s">
        <v>64</v>
      </c>
      <c r="M53" s="52">
        <v>1</v>
      </c>
      <c r="N53" s="53">
        <v>183670000</v>
      </c>
      <c r="O53" s="53">
        <v>183670000</v>
      </c>
      <c r="P53" s="52"/>
      <c r="Q53" s="52"/>
      <c r="R53" s="52"/>
      <c r="S53" s="53">
        <f t="shared" si="14"/>
        <v>183670000</v>
      </c>
      <c r="T53" s="52">
        <v>7</v>
      </c>
      <c r="U53" s="53">
        <f t="shared" si="15"/>
        <v>26238571.428571429</v>
      </c>
      <c r="V53" s="54">
        <v>0.5</v>
      </c>
      <c r="W53" s="53"/>
      <c r="X53" s="54"/>
      <c r="Y53" s="53">
        <f t="shared" ref="Y53:Y54" si="16">SUM(U53*X53)</f>
        <v>0</v>
      </c>
      <c r="Z53" s="53"/>
      <c r="AA53" s="52">
        <v>7</v>
      </c>
      <c r="AB53" s="53">
        <f>SUM(U53*AA53)</f>
        <v>183670000</v>
      </c>
      <c r="AC53" s="53">
        <f t="shared" si="13"/>
        <v>0</v>
      </c>
      <c r="AD53" s="52" t="s">
        <v>99</v>
      </c>
      <c r="AE53" s="52"/>
      <c r="AG53" s="5"/>
    </row>
    <row r="54" spans="1:33" s="1" customFormat="1" ht="10.5" x14ac:dyDescent="0.25">
      <c r="A54" s="49">
        <v>8</v>
      </c>
      <c r="B54" s="50" t="s">
        <v>70</v>
      </c>
      <c r="C54" s="50" t="s">
        <v>100</v>
      </c>
      <c r="D54" s="51" t="s">
        <v>71</v>
      </c>
      <c r="E54" s="52" t="s">
        <v>101</v>
      </c>
      <c r="F54" s="52" t="s">
        <v>102</v>
      </c>
      <c r="G54" s="52" t="s">
        <v>61</v>
      </c>
      <c r="H54" s="52" t="s">
        <v>62</v>
      </c>
      <c r="I54" s="52">
        <v>2014</v>
      </c>
      <c r="J54" s="52"/>
      <c r="K54" s="52" t="s">
        <v>63</v>
      </c>
      <c r="L54" s="52" t="s">
        <v>64</v>
      </c>
      <c r="M54" s="52">
        <v>1</v>
      </c>
      <c r="N54" s="53">
        <v>201740000</v>
      </c>
      <c r="O54" s="53">
        <v>201740000</v>
      </c>
      <c r="P54" s="52"/>
      <c r="Q54" s="52"/>
      <c r="R54" s="52"/>
      <c r="S54" s="53">
        <f t="shared" si="14"/>
        <v>201740000</v>
      </c>
      <c r="T54" s="52">
        <v>7</v>
      </c>
      <c r="U54" s="53">
        <f t="shared" si="15"/>
        <v>28820000</v>
      </c>
      <c r="V54" s="54">
        <v>0.5</v>
      </c>
      <c r="W54" s="53"/>
      <c r="X54" s="54"/>
      <c r="Y54" s="53">
        <f t="shared" si="16"/>
        <v>0</v>
      </c>
      <c r="Z54" s="53"/>
      <c r="AA54" s="52">
        <v>7</v>
      </c>
      <c r="AB54" s="53">
        <f>SUM(U54*AA54)</f>
        <v>201740000</v>
      </c>
      <c r="AC54" s="53">
        <f t="shared" si="13"/>
        <v>0</v>
      </c>
      <c r="AD54" s="52" t="s">
        <v>103</v>
      </c>
      <c r="AE54" s="52"/>
      <c r="AG54" s="5"/>
    </row>
    <row r="55" spans="1:33" s="1" customFormat="1" ht="10.5" x14ac:dyDescent="0.25">
      <c r="A55" s="49">
        <v>10</v>
      </c>
      <c r="B55" s="50" t="s">
        <v>70</v>
      </c>
      <c r="C55" s="50" t="s">
        <v>108</v>
      </c>
      <c r="D55" s="51" t="s">
        <v>71</v>
      </c>
      <c r="E55" s="52" t="s">
        <v>80</v>
      </c>
      <c r="F55" s="52" t="s">
        <v>109</v>
      </c>
      <c r="G55" s="52" t="s">
        <v>61</v>
      </c>
      <c r="H55" s="52" t="s">
        <v>62</v>
      </c>
      <c r="I55" s="52">
        <v>2019</v>
      </c>
      <c r="J55" s="52"/>
      <c r="K55" s="52" t="s">
        <v>63</v>
      </c>
      <c r="L55" s="52" t="s">
        <v>64</v>
      </c>
      <c r="M55" s="52">
        <v>1</v>
      </c>
      <c r="N55" s="53">
        <v>310000000</v>
      </c>
      <c r="O55" s="53">
        <v>310000000</v>
      </c>
      <c r="P55" s="52"/>
      <c r="Q55" s="52"/>
      <c r="R55" s="52"/>
      <c r="S55" s="53">
        <f t="shared" si="14"/>
        <v>310000000</v>
      </c>
      <c r="T55" s="52">
        <v>7</v>
      </c>
      <c r="U55" s="53">
        <f t="shared" si="15"/>
        <v>44285714.285714284</v>
      </c>
      <c r="V55" s="54">
        <v>0.5</v>
      </c>
      <c r="W55" s="53">
        <f t="shared" ref="W55" si="17">SUM(U55*V55)</f>
        <v>22142857.142857142</v>
      </c>
      <c r="X55" s="54">
        <v>0.5</v>
      </c>
      <c r="Y55" s="53">
        <f>U55*X55</f>
        <v>22142857.142857142</v>
      </c>
      <c r="Z55" s="53">
        <f t="shared" ref="Z55" si="18">SUM(W55+Y55)</f>
        <v>44285714.285714284</v>
      </c>
      <c r="AA55" s="57">
        <f>2022-I55+V55+X55-11/12</f>
        <v>3.0833333333333335</v>
      </c>
      <c r="AB55" s="53">
        <f>SUM(U55*AA55)</f>
        <v>136547619.04761904</v>
      </c>
      <c r="AC55" s="53">
        <f>SUM(O55-AB55)+0.01</f>
        <v>173452380.96238095</v>
      </c>
      <c r="AD55" s="52" t="s">
        <v>110</v>
      </c>
      <c r="AE55" s="52" t="s">
        <v>111</v>
      </c>
      <c r="AG55" s="5"/>
    </row>
    <row r="56" spans="1:33" s="154" customFormat="1" ht="10.5" x14ac:dyDescent="0.25">
      <c r="A56" s="25"/>
      <c r="B56" s="26" t="s">
        <v>1627</v>
      </c>
      <c r="C56" s="26"/>
      <c r="D56" s="26" t="s">
        <v>1628</v>
      </c>
      <c r="E56" s="28"/>
      <c r="F56" s="28"/>
      <c r="G56" s="28"/>
      <c r="H56" s="28"/>
      <c r="I56" s="28"/>
      <c r="J56" s="28"/>
      <c r="K56" s="28"/>
      <c r="L56" s="28"/>
      <c r="M56" s="28">
        <f>SUM(M57)</f>
        <v>1</v>
      </c>
      <c r="N56" s="40"/>
      <c r="O56" s="40">
        <f>SUM(O57)</f>
        <v>195300000</v>
      </c>
      <c r="P56" s="28"/>
      <c r="Q56" s="28"/>
      <c r="R56" s="28"/>
      <c r="S56" s="40">
        <f>SUM(S57)</f>
        <v>195300000</v>
      </c>
      <c r="T56" s="28"/>
      <c r="U56" s="40">
        <f>SUM(U57)</f>
        <v>27900000</v>
      </c>
      <c r="V56" s="48"/>
      <c r="W56" s="40">
        <f>SUM(W57)</f>
        <v>13950000</v>
      </c>
      <c r="X56" s="48"/>
      <c r="Y56" s="40">
        <f>SUM(Y57)</f>
        <v>11625000</v>
      </c>
      <c r="Z56" s="40">
        <f>SUM(Z57)</f>
        <v>25575000</v>
      </c>
      <c r="AA56" s="153"/>
      <c r="AB56" s="40">
        <f>SUM(AB57)</f>
        <v>195300000</v>
      </c>
      <c r="AC56" s="40">
        <f>SUM(AC57)</f>
        <v>0</v>
      </c>
      <c r="AD56" s="28"/>
      <c r="AE56" s="28"/>
      <c r="AG56" s="155"/>
    </row>
    <row r="57" spans="1:33" s="1" customFormat="1" ht="10.5" x14ac:dyDescent="0.25">
      <c r="A57" s="49">
        <v>9</v>
      </c>
      <c r="B57" s="50" t="s">
        <v>104</v>
      </c>
      <c r="C57" s="50" t="s">
        <v>105</v>
      </c>
      <c r="D57" s="51" t="s">
        <v>106</v>
      </c>
      <c r="E57" s="52" t="s">
        <v>107</v>
      </c>
      <c r="F57" s="52"/>
      <c r="G57" s="52" t="s">
        <v>61</v>
      </c>
      <c r="H57" s="52" t="s">
        <v>62</v>
      </c>
      <c r="I57" s="52">
        <v>2015</v>
      </c>
      <c r="J57" s="52"/>
      <c r="K57" s="52" t="s">
        <v>63</v>
      </c>
      <c r="L57" s="52" t="s">
        <v>64</v>
      </c>
      <c r="M57" s="52">
        <v>1</v>
      </c>
      <c r="N57" s="53">
        <v>195300000</v>
      </c>
      <c r="O57" s="53">
        <v>195300000</v>
      </c>
      <c r="P57" s="52"/>
      <c r="Q57" s="52"/>
      <c r="R57" s="52"/>
      <c r="S57" s="53">
        <f t="shared" ref="S57" si="19">SUM(O57-R57)</f>
        <v>195300000</v>
      </c>
      <c r="T57" s="52">
        <v>7</v>
      </c>
      <c r="U57" s="53">
        <f t="shared" ref="U57" si="20">SUM(S57/T57)</f>
        <v>27900000</v>
      </c>
      <c r="V57" s="54">
        <v>0.5</v>
      </c>
      <c r="W57" s="53">
        <f t="shared" ref="W57" si="21">SUM(U57*V57)</f>
        <v>13950000</v>
      </c>
      <c r="X57" s="54">
        <v>0.5</v>
      </c>
      <c r="Y57" s="53">
        <f>U57*X57-2325000</f>
        <v>11625000</v>
      </c>
      <c r="Z57" s="53">
        <f t="shared" ref="Z57" si="22">SUM(W57+Y57)</f>
        <v>25575000</v>
      </c>
      <c r="AA57" s="57">
        <f>2022-I57+V57+X57-11/12-1/12</f>
        <v>7</v>
      </c>
      <c r="AB57" s="53">
        <f>SUM(U57*AA57)</f>
        <v>195300000</v>
      </c>
      <c r="AC57" s="53">
        <f t="shared" ref="AC57" si="23">SUM(O57-AB57)</f>
        <v>0</v>
      </c>
      <c r="AD57" s="52" t="s">
        <v>82</v>
      </c>
      <c r="AE57" s="52"/>
      <c r="AG57" s="5"/>
    </row>
    <row r="58" spans="1:33" s="154" customFormat="1" ht="10.5" x14ac:dyDescent="0.25">
      <c r="A58" s="25"/>
      <c r="B58" s="26" t="s">
        <v>1629</v>
      </c>
      <c r="C58" s="26"/>
      <c r="D58" s="27" t="s">
        <v>1630</v>
      </c>
      <c r="E58" s="28"/>
      <c r="F58" s="28"/>
      <c r="G58" s="28"/>
      <c r="H58" s="28"/>
      <c r="I58" s="28"/>
      <c r="J58" s="28"/>
      <c r="K58" s="28"/>
      <c r="L58" s="28"/>
      <c r="M58" s="28">
        <f>SUM(M59:M78)</f>
        <v>20</v>
      </c>
      <c r="N58" s="40"/>
      <c r="O58" s="40">
        <f>SUM(O59:O78)</f>
        <v>323090000</v>
      </c>
      <c r="P58" s="156"/>
      <c r="Q58" s="28"/>
      <c r="R58" s="28"/>
      <c r="S58" s="40">
        <f>SUM(S59:S78)</f>
        <v>323090000</v>
      </c>
      <c r="T58" s="28"/>
      <c r="U58" s="40">
        <f>SUM(U59:U78)</f>
        <v>37914285.714285702</v>
      </c>
      <c r="V58" s="48"/>
      <c r="W58" s="40">
        <f>SUM(W59:W78)</f>
        <v>7242857.1428571427</v>
      </c>
      <c r="X58" s="48"/>
      <c r="Y58" s="40">
        <f>SUM(Y59:Y78)</f>
        <v>7242857.1428571427</v>
      </c>
      <c r="Z58" s="40">
        <f>SUM(Z59:Z78)</f>
        <v>14485714.285714285</v>
      </c>
      <c r="AA58" s="153"/>
      <c r="AB58" s="40">
        <f>SUM(AB59:AB78)</f>
        <v>289290000</v>
      </c>
      <c r="AC58" s="40">
        <f>SUM(AC59:AC78)</f>
        <v>33800000.000000007</v>
      </c>
      <c r="AD58" s="28"/>
      <c r="AE58" s="28"/>
      <c r="AG58" s="155"/>
    </row>
    <row r="59" spans="1:33" s="1" customFormat="1" ht="12.6" x14ac:dyDescent="0.25">
      <c r="A59" s="49">
        <v>11</v>
      </c>
      <c r="B59" s="50" t="s">
        <v>112</v>
      </c>
      <c r="C59" s="50" t="s">
        <v>58</v>
      </c>
      <c r="D59" s="51" t="s">
        <v>113</v>
      </c>
      <c r="E59" s="52" t="s">
        <v>114</v>
      </c>
      <c r="F59" s="52" t="s">
        <v>115</v>
      </c>
      <c r="G59" s="52" t="s">
        <v>61</v>
      </c>
      <c r="H59" s="52" t="s">
        <v>62</v>
      </c>
      <c r="I59" s="52">
        <v>2009</v>
      </c>
      <c r="J59" s="52"/>
      <c r="K59" s="52" t="s">
        <v>63</v>
      </c>
      <c r="L59" s="52" t="s">
        <v>64</v>
      </c>
      <c r="M59" s="52">
        <v>1</v>
      </c>
      <c r="N59" s="53">
        <v>14150000</v>
      </c>
      <c r="O59" s="53">
        <v>14150000</v>
      </c>
      <c r="P59" s="58"/>
      <c r="Q59" s="59"/>
      <c r="R59" s="52"/>
      <c r="S59" s="53">
        <f t="shared" ref="S59:S78" si="24">SUM(O59-R59)</f>
        <v>14150000</v>
      </c>
      <c r="T59" s="52">
        <v>7</v>
      </c>
      <c r="U59" s="53"/>
      <c r="V59" s="54"/>
      <c r="W59" s="53">
        <f t="shared" ref="W59:W78" si="25">SUM(U59*V59)</f>
        <v>0</v>
      </c>
      <c r="X59" s="54"/>
      <c r="Y59" s="53"/>
      <c r="Z59" s="53">
        <f t="shared" ref="Z59:Z78" si="26">SUM(W59+Y59)</f>
        <v>0</v>
      </c>
      <c r="AA59" s="52">
        <v>7</v>
      </c>
      <c r="AB59" s="53">
        <v>14150000</v>
      </c>
      <c r="AC59" s="53">
        <f t="shared" ref="AC59:AC78" si="27">SUM(O59-AB59)</f>
        <v>0</v>
      </c>
      <c r="AD59" s="52" t="s">
        <v>116</v>
      </c>
      <c r="AE59" s="52"/>
      <c r="AG59" s="5"/>
    </row>
    <row r="60" spans="1:33" s="1" customFormat="1" ht="12.6" x14ac:dyDescent="0.25">
      <c r="A60" s="49">
        <v>12</v>
      </c>
      <c r="B60" s="50" t="s">
        <v>112</v>
      </c>
      <c r="C60" s="50" t="s">
        <v>75</v>
      </c>
      <c r="D60" s="51" t="s">
        <v>113</v>
      </c>
      <c r="E60" s="52" t="s">
        <v>114</v>
      </c>
      <c r="F60" s="52" t="s">
        <v>117</v>
      </c>
      <c r="G60" s="52" t="s">
        <v>61</v>
      </c>
      <c r="H60" s="52" t="s">
        <v>62</v>
      </c>
      <c r="I60" s="52">
        <v>2009</v>
      </c>
      <c r="J60" s="52"/>
      <c r="K60" s="52" t="s">
        <v>63</v>
      </c>
      <c r="L60" s="52" t="s">
        <v>64</v>
      </c>
      <c r="M60" s="52">
        <v>1</v>
      </c>
      <c r="N60" s="53">
        <v>14150000</v>
      </c>
      <c r="O60" s="53">
        <v>14150000</v>
      </c>
      <c r="P60" s="60"/>
      <c r="Q60" s="59"/>
      <c r="R60" s="52"/>
      <c r="S60" s="53">
        <f t="shared" si="24"/>
        <v>14150000</v>
      </c>
      <c r="T60" s="52">
        <v>7</v>
      </c>
      <c r="U60" s="53"/>
      <c r="V60" s="54"/>
      <c r="W60" s="53">
        <f t="shared" si="25"/>
        <v>0</v>
      </c>
      <c r="X60" s="54"/>
      <c r="Y60" s="53">
        <f t="shared" ref="Y60:Y78" si="28">SUM(U60*X60)</f>
        <v>0</v>
      </c>
      <c r="Z60" s="53">
        <f t="shared" si="26"/>
        <v>0</v>
      </c>
      <c r="AA60" s="52">
        <v>7</v>
      </c>
      <c r="AB60" s="53">
        <v>14150000</v>
      </c>
      <c r="AC60" s="53">
        <f t="shared" si="27"/>
        <v>0</v>
      </c>
      <c r="AD60" s="52" t="s">
        <v>116</v>
      </c>
      <c r="AE60" s="52"/>
      <c r="AG60" s="5"/>
    </row>
    <row r="61" spans="1:33" s="1" customFormat="1" ht="15" customHeight="1" x14ac:dyDescent="0.25">
      <c r="A61" s="49">
        <v>13</v>
      </c>
      <c r="B61" s="50" t="s">
        <v>112</v>
      </c>
      <c r="C61" s="50" t="s">
        <v>79</v>
      </c>
      <c r="D61" s="51" t="s">
        <v>113</v>
      </c>
      <c r="E61" s="52" t="s">
        <v>118</v>
      </c>
      <c r="F61" s="52" t="s">
        <v>119</v>
      </c>
      <c r="G61" s="52" t="s">
        <v>61</v>
      </c>
      <c r="H61" s="52" t="s">
        <v>62</v>
      </c>
      <c r="I61" s="52">
        <v>2011</v>
      </c>
      <c r="J61" s="52"/>
      <c r="K61" s="52" t="s">
        <v>63</v>
      </c>
      <c r="L61" s="52" t="s">
        <v>64</v>
      </c>
      <c r="M61" s="52">
        <v>1</v>
      </c>
      <c r="N61" s="53">
        <v>14695000</v>
      </c>
      <c r="O61" s="53">
        <v>14695000</v>
      </c>
      <c r="P61" s="60"/>
      <c r="Q61" s="59"/>
      <c r="R61" s="52"/>
      <c r="S61" s="53">
        <f t="shared" si="24"/>
        <v>14695000</v>
      </c>
      <c r="T61" s="52">
        <v>7</v>
      </c>
      <c r="U61" s="53"/>
      <c r="V61" s="54"/>
      <c r="W61" s="53">
        <f t="shared" si="25"/>
        <v>0</v>
      </c>
      <c r="X61" s="54"/>
      <c r="Y61" s="53"/>
      <c r="Z61" s="53">
        <f t="shared" si="26"/>
        <v>0</v>
      </c>
      <c r="AA61" s="52">
        <v>7</v>
      </c>
      <c r="AB61" s="53">
        <v>14695000</v>
      </c>
      <c r="AC61" s="53">
        <f t="shared" si="27"/>
        <v>0</v>
      </c>
      <c r="AD61" s="61" t="s">
        <v>120</v>
      </c>
      <c r="AE61" s="62"/>
      <c r="AG61" s="5"/>
    </row>
    <row r="62" spans="1:33" s="1" customFormat="1" ht="12.6" x14ac:dyDescent="0.25">
      <c r="A62" s="49">
        <v>14</v>
      </c>
      <c r="B62" s="50" t="s">
        <v>112</v>
      </c>
      <c r="C62" s="50" t="s">
        <v>84</v>
      </c>
      <c r="D62" s="51" t="s">
        <v>113</v>
      </c>
      <c r="E62" s="52" t="s">
        <v>118</v>
      </c>
      <c r="F62" s="52" t="s">
        <v>121</v>
      </c>
      <c r="G62" s="52" t="s">
        <v>61</v>
      </c>
      <c r="H62" s="52" t="s">
        <v>62</v>
      </c>
      <c r="I62" s="52">
        <v>2011</v>
      </c>
      <c r="J62" s="52"/>
      <c r="K62" s="52" t="s">
        <v>63</v>
      </c>
      <c r="L62" s="52" t="s">
        <v>64</v>
      </c>
      <c r="M62" s="52">
        <v>1</v>
      </c>
      <c r="N62" s="53">
        <v>14695000</v>
      </c>
      <c r="O62" s="53">
        <v>14695000</v>
      </c>
      <c r="P62" s="60"/>
      <c r="Q62" s="59"/>
      <c r="R62" s="52"/>
      <c r="S62" s="53">
        <f t="shared" si="24"/>
        <v>14695000</v>
      </c>
      <c r="T62" s="52">
        <v>7</v>
      </c>
      <c r="U62" s="53"/>
      <c r="V62" s="54"/>
      <c r="W62" s="53">
        <f t="shared" si="25"/>
        <v>0</v>
      </c>
      <c r="X62" s="54"/>
      <c r="Y62" s="53">
        <f t="shared" si="28"/>
        <v>0</v>
      </c>
      <c r="Z62" s="53">
        <f t="shared" si="26"/>
        <v>0</v>
      </c>
      <c r="AA62" s="52">
        <v>7</v>
      </c>
      <c r="AB62" s="53">
        <v>14695000</v>
      </c>
      <c r="AC62" s="53">
        <f t="shared" si="27"/>
        <v>0</v>
      </c>
      <c r="AD62" s="52" t="s">
        <v>116</v>
      </c>
      <c r="AE62" s="52"/>
      <c r="AG62" s="5"/>
    </row>
    <row r="63" spans="1:33" s="1" customFormat="1" ht="15" customHeight="1" x14ac:dyDescent="0.25">
      <c r="A63" s="49">
        <v>15</v>
      </c>
      <c r="B63" s="50" t="s">
        <v>112</v>
      </c>
      <c r="C63" s="50" t="s">
        <v>88</v>
      </c>
      <c r="D63" s="51" t="s">
        <v>113</v>
      </c>
      <c r="E63" s="52" t="s">
        <v>122</v>
      </c>
      <c r="F63" s="52" t="s">
        <v>123</v>
      </c>
      <c r="G63" s="52" t="s">
        <v>61</v>
      </c>
      <c r="H63" s="52" t="s">
        <v>62</v>
      </c>
      <c r="I63" s="52">
        <v>2014</v>
      </c>
      <c r="J63" s="52"/>
      <c r="K63" s="52" t="s">
        <v>63</v>
      </c>
      <c r="L63" s="52" t="s">
        <v>64</v>
      </c>
      <c r="M63" s="52">
        <v>1</v>
      </c>
      <c r="N63" s="53">
        <v>16400000</v>
      </c>
      <c r="O63" s="53">
        <v>16400000</v>
      </c>
      <c r="P63" s="60"/>
      <c r="Q63" s="59"/>
      <c r="R63" s="52"/>
      <c r="S63" s="53">
        <f t="shared" si="24"/>
        <v>16400000</v>
      </c>
      <c r="T63" s="52">
        <v>7</v>
      </c>
      <c r="U63" s="53">
        <f t="shared" ref="U63:U78" si="29">SUM(S63/T63)</f>
        <v>2342857.1428571427</v>
      </c>
      <c r="V63" s="54">
        <v>0.5</v>
      </c>
      <c r="W63" s="53"/>
      <c r="X63" s="54"/>
      <c r="Y63" s="53">
        <f t="shared" si="28"/>
        <v>0</v>
      </c>
      <c r="Z63" s="53"/>
      <c r="AA63" s="52">
        <v>7</v>
      </c>
      <c r="AB63" s="53">
        <f t="shared" ref="AB63:AB78" si="30">SUM(U63*AA63)</f>
        <v>16400000</v>
      </c>
      <c r="AC63" s="53">
        <f t="shared" si="27"/>
        <v>0</v>
      </c>
      <c r="AD63" s="418" t="s">
        <v>124</v>
      </c>
      <c r="AE63" s="419"/>
      <c r="AG63" s="5"/>
    </row>
    <row r="64" spans="1:33" s="1" customFormat="1" ht="15" customHeight="1" x14ac:dyDescent="0.25">
      <c r="A64" s="49">
        <v>16</v>
      </c>
      <c r="B64" s="50" t="s">
        <v>112</v>
      </c>
      <c r="C64" s="50" t="s">
        <v>92</v>
      </c>
      <c r="D64" s="51" t="s">
        <v>113</v>
      </c>
      <c r="E64" s="52" t="s">
        <v>122</v>
      </c>
      <c r="F64" s="52" t="s">
        <v>125</v>
      </c>
      <c r="G64" s="52" t="s">
        <v>61</v>
      </c>
      <c r="H64" s="52" t="s">
        <v>62</v>
      </c>
      <c r="I64" s="52">
        <v>2014</v>
      </c>
      <c r="J64" s="52"/>
      <c r="K64" s="52" t="s">
        <v>63</v>
      </c>
      <c r="L64" s="52" t="s">
        <v>64</v>
      </c>
      <c r="M64" s="52">
        <v>1</v>
      </c>
      <c r="N64" s="53">
        <v>16400000</v>
      </c>
      <c r="O64" s="53">
        <v>16400000</v>
      </c>
      <c r="P64" s="60"/>
      <c r="Q64" s="59"/>
      <c r="R64" s="52"/>
      <c r="S64" s="53">
        <f t="shared" si="24"/>
        <v>16400000</v>
      </c>
      <c r="T64" s="52">
        <v>7</v>
      </c>
      <c r="U64" s="53">
        <f t="shared" si="29"/>
        <v>2342857.1428571427</v>
      </c>
      <c r="V64" s="54">
        <v>0.5</v>
      </c>
      <c r="W64" s="53"/>
      <c r="X64" s="54"/>
      <c r="Y64" s="53">
        <f t="shared" si="28"/>
        <v>0</v>
      </c>
      <c r="Z64" s="53"/>
      <c r="AA64" s="52">
        <v>7</v>
      </c>
      <c r="AB64" s="53">
        <f t="shared" si="30"/>
        <v>16400000</v>
      </c>
      <c r="AC64" s="53">
        <f t="shared" si="27"/>
        <v>0</v>
      </c>
      <c r="AD64" s="420" t="s">
        <v>126</v>
      </c>
      <c r="AE64" s="421"/>
      <c r="AG64" s="5"/>
    </row>
    <row r="65" spans="1:33" s="1" customFormat="1" ht="15" customHeight="1" x14ac:dyDescent="0.25">
      <c r="A65" s="49">
        <v>17</v>
      </c>
      <c r="B65" s="50" t="s">
        <v>112</v>
      </c>
      <c r="C65" s="50" t="s">
        <v>96</v>
      </c>
      <c r="D65" s="51" t="s">
        <v>113</v>
      </c>
      <c r="E65" s="52" t="s">
        <v>122</v>
      </c>
      <c r="F65" s="52" t="s">
        <v>127</v>
      </c>
      <c r="G65" s="52" t="s">
        <v>61</v>
      </c>
      <c r="H65" s="52" t="s">
        <v>62</v>
      </c>
      <c r="I65" s="52">
        <v>2014</v>
      </c>
      <c r="J65" s="52"/>
      <c r="K65" s="52" t="s">
        <v>63</v>
      </c>
      <c r="L65" s="52" t="s">
        <v>64</v>
      </c>
      <c r="M65" s="52">
        <v>1</v>
      </c>
      <c r="N65" s="53">
        <v>16400000</v>
      </c>
      <c r="O65" s="53">
        <v>16400000</v>
      </c>
      <c r="P65" s="60"/>
      <c r="Q65" s="59"/>
      <c r="R65" s="52"/>
      <c r="S65" s="53">
        <f t="shared" si="24"/>
        <v>16400000</v>
      </c>
      <c r="T65" s="52">
        <v>7</v>
      </c>
      <c r="U65" s="53">
        <f t="shared" si="29"/>
        <v>2342857.1428571427</v>
      </c>
      <c r="V65" s="54">
        <v>0.5</v>
      </c>
      <c r="W65" s="53"/>
      <c r="X65" s="54"/>
      <c r="Y65" s="53">
        <f t="shared" si="28"/>
        <v>0</v>
      </c>
      <c r="Z65" s="53"/>
      <c r="AA65" s="52">
        <v>7</v>
      </c>
      <c r="AB65" s="53">
        <f t="shared" si="30"/>
        <v>16400000</v>
      </c>
      <c r="AC65" s="53">
        <f t="shared" si="27"/>
        <v>0</v>
      </c>
      <c r="AD65" s="420" t="s">
        <v>128</v>
      </c>
      <c r="AE65" s="421"/>
      <c r="AG65" s="5"/>
    </row>
    <row r="66" spans="1:33" s="1" customFormat="1" ht="15" customHeight="1" x14ac:dyDescent="0.25">
      <c r="A66" s="49">
        <v>18</v>
      </c>
      <c r="B66" s="50" t="s">
        <v>112</v>
      </c>
      <c r="C66" s="50" t="s">
        <v>100</v>
      </c>
      <c r="D66" s="51" t="s">
        <v>113</v>
      </c>
      <c r="E66" s="52" t="s">
        <v>122</v>
      </c>
      <c r="F66" s="52" t="s">
        <v>129</v>
      </c>
      <c r="G66" s="52" t="s">
        <v>61</v>
      </c>
      <c r="H66" s="52" t="s">
        <v>62</v>
      </c>
      <c r="I66" s="52">
        <v>2014</v>
      </c>
      <c r="J66" s="52"/>
      <c r="K66" s="52" t="s">
        <v>63</v>
      </c>
      <c r="L66" s="52" t="s">
        <v>64</v>
      </c>
      <c r="M66" s="52">
        <v>1</v>
      </c>
      <c r="N66" s="53">
        <v>16400000</v>
      </c>
      <c r="O66" s="53">
        <v>16400000</v>
      </c>
      <c r="P66" s="60"/>
      <c r="Q66" s="59"/>
      <c r="R66" s="52"/>
      <c r="S66" s="53">
        <f t="shared" si="24"/>
        <v>16400000</v>
      </c>
      <c r="T66" s="52">
        <v>7</v>
      </c>
      <c r="U66" s="53">
        <f t="shared" si="29"/>
        <v>2342857.1428571427</v>
      </c>
      <c r="V66" s="54">
        <v>0.5</v>
      </c>
      <c r="W66" s="53"/>
      <c r="X66" s="54"/>
      <c r="Y66" s="53">
        <f t="shared" si="28"/>
        <v>0</v>
      </c>
      <c r="Z66" s="53"/>
      <c r="AA66" s="52">
        <v>7</v>
      </c>
      <c r="AB66" s="53">
        <f t="shared" si="30"/>
        <v>16400000</v>
      </c>
      <c r="AC66" s="53">
        <f t="shared" si="27"/>
        <v>0</v>
      </c>
      <c r="AD66" s="418" t="s">
        <v>130</v>
      </c>
      <c r="AE66" s="419"/>
      <c r="AG66" s="5"/>
    </row>
    <row r="67" spans="1:33" s="1" customFormat="1" ht="12.6" x14ac:dyDescent="0.25">
      <c r="A67" s="49">
        <v>19</v>
      </c>
      <c r="B67" s="50" t="s">
        <v>112</v>
      </c>
      <c r="C67" s="50" t="s">
        <v>105</v>
      </c>
      <c r="D67" s="51" t="s">
        <v>113</v>
      </c>
      <c r="E67" s="52" t="s">
        <v>122</v>
      </c>
      <c r="F67" s="52" t="s">
        <v>131</v>
      </c>
      <c r="G67" s="52" t="s">
        <v>61</v>
      </c>
      <c r="H67" s="52" t="s">
        <v>62</v>
      </c>
      <c r="I67" s="52">
        <v>2014</v>
      </c>
      <c r="J67" s="52"/>
      <c r="K67" s="52" t="s">
        <v>63</v>
      </c>
      <c r="L67" s="52" t="s">
        <v>64</v>
      </c>
      <c r="M67" s="52">
        <v>1</v>
      </c>
      <c r="N67" s="53">
        <v>16400000</v>
      </c>
      <c r="O67" s="53">
        <v>16400000</v>
      </c>
      <c r="P67" s="60"/>
      <c r="Q67" s="59"/>
      <c r="R67" s="52"/>
      <c r="S67" s="53">
        <f t="shared" si="24"/>
        <v>16400000</v>
      </c>
      <c r="T67" s="52">
        <v>7</v>
      </c>
      <c r="U67" s="53">
        <f t="shared" si="29"/>
        <v>2342857.1428571427</v>
      </c>
      <c r="V67" s="54">
        <v>0.5</v>
      </c>
      <c r="W67" s="53"/>
      <c r="X67" s="54"/>
      <c r="Y67" s="53">
        <f t="shared" si="28"/>
        <v>0</v>
      </c>
      <c r="Z67" s="53"/>
      <c r="AA67" s="52">
        <v>7</v>
      </c>
      <c r="AB67" s="53">
        <f t="shared" si="30"/>
        <v>16400000</v>
      </c>
      <c r="AC67" s="53">
        <f t="shared" si="27"/>
        <v>0</v>
      </c>
      <c r="AD67" s="52" t="s">
        <v>132</v>
      </c>
      <c r="AE67" s="52"/>
      <c r="AG67" s="5"/>
    </row>
    <row r="68" spans="1:33" s="1" customFormat="1" ht="15" customHeight="1" x14ac:dyDescent="0.25">
      <c r="A68" s="49">
        <v>20</v>
      </c>
      <c r="B68" s="50" t="s">
        <v>112</v>
      </c>
      <c r="C68" s="50" t="s">
        <v>108</v>
      </c>
      <c r="D68" s="51" t="s">
        <v>113</v>
      </c>
      <c r="E68" s="52" t="s">
        <v>122</v>
      </c>
      <c r="F68" s="52" t="s">
        <v>133</v>
      </c>
      <c r="G68" s="52" t="s">
        <v>61</v>
      </c>
      <c r="H68" s="52" t="s">
        <v>62</v>
      </c>
      <c r="I68" s="52">
        <v>2014</v>
      </c>
      <c r="J68" s="52"/>
      <c r="K68" s="52" t="s">
        <v>63</v>
      </c>
      <c r="L68" s="52" t="s">
        <v>64</v>
      </c>
      <c r="M68" s="52">
        <v>1</v>
      </c>
      <c r="N68" s="53">
        <v>16400000</v>
      </c>
      <c r="O68" s="53">
        <v>16400000</v>
      </c>
      <c r="P68" s="60"/>
      <c r="Q68" s="59"/>
      <c r="R68" s="52"/>
      <c r="S68" s="53">
        <f t="shared" si="24"/>
        <v>16400000</v>
      </c>
      <c r="T68" s="52">
        <v>7</v>
      </c>
      <c r="U68" s="53">
        <f t="shared" si="29"/>
        <v>2342857.1428571427</v>
      </c>
      <c r="V68" s="54">
        <v>0.5</v>
      </c>
      <c r="W68" s="53"/>
      <c r="X68" s="54"/>
      <c r="Y68" s="53">
        <f t="shared" si="28"/>
        <v>0</v>
      </c>
      <c r="Z68" s="53"/>
      <c r="AA68" s="52">
        <v>7</v>
      </c>
      <c r="AB68" s="53">
        <f t="shared" si="30"/>
        <v>16400000</v>
      </c>
      <c r="AC68" s="53">
        <f t="shared" si="27"/>
        <v>0</v>
      </c>
      <c r="AD68" s="418" t="s">
        <v>134</v>
      </c>
      <c r="AE68" s="419"/>
      <c r="AG68" s="5"/>
    </row>
    <row r="69" spans="1:33" s="1" customFormat="1" ht="12.6" x14ac:dyDescent="0.25">
      <c r="A69" s="49">
        <v>21</v>
      </c>
      <c r="B69" s="50" t="s">
        <v>112</v>
      </c>
      <c r="C69" s="50" t="s">
        <v>135</v>
      </c>
      <c r="D69" s="51" t="s">
        <v>113</v>
      </c>
      <c r="E69" s="52" t="s">
        <v>122</v>
      </c>
      <c r="F69" s="52" t="s">
        <v>136</v>
      </c>
      <c r="G69" s="52" t="s">
        <v>61</v>
      </c>
      <c r="H69" s="52" t="s">
        <v>62</v>
      </c>
      <c r="I69" s="52">
        <v>2014</v>
      </c>
      <c r="J69" s="52"/>
      <c r="K69" s="52" t="s">
        <v>63</v>
      </c>
      <c r="L69" s="52" t="s">
        <v>64</v>
      </c>
      <c r="M69" s="52">
        <v>1</v>
      </c>
      <c r="N69" s="53">
        <v>16400000</v>
      </c>
      <c r="O69" s="53">
        <v>16400000</v>
      </c>
      <c r="P69" s="60"/>
      <c r="Q69" s="59"/>
      <c r="R69" s="52"/>
      <c r="S69" s="53">
        <f t="shared" si="24"/>
        <v>16400000</v>
      </c>
      <c r="T69" s="52">
        <v>7</v>
      </c>
      <c r="U69" s="53">
        <f t="shared" si="29"/>
        <v>2342857.1428571427</v>
      </c>
      <c r="V69" s="54">
        <v>0.5</v>
      </c>
      <c r="W69" s="53"/>
      <c r="X69" s="54"/>
      <c r="Y69" s="53">
        <f t="shared" si="28"/>
        <v>0</v>
      </c>
      <c r="Z69" s="53"/>
      <c r="AA69" s="52">
        <v>7</v>
      </c>
      <c r="AB69" s="53">
        <f t="shared" si="30"/>
        <v>16400000</v>
      </c>
      <c r="AC69" s="53">
        <f t="shared" si="27"/>
        <v>0</v>
      </c>
      <c r="AD69" s="52" t="s">
        <v>137</v>
      </c>
      <c r="AE69" s="52"/>
      <c r="AG69" s="5"/>
    </row>
    <row r="70" spans="1:33" s="1" customFormat="1" ht="15" customHeight="1" x14ac:dyDescent="0.25">
      <c r="A70" s="49">
        <v>22</v>
      </c>
      <c r="B70" s="50" t="s">
        <v>112</v>
      </c>
      <c r="C70" s="50" t="s">
        <v>138</v>
      </c>
      <c r="D70" s="51" t="s">
        <v>113</v>
      </c>
      <c r="E70" s="52" t="s">
        <v>122</v>
      </c>
      <c r="F70" s="52" t="s">
        <v>139</v>
      </c>
      <c r="G70" s="52" t="s">
        <v>61</v>
      </c>
      <c r="H70" s="52" t="s">
        <v>62</v>
      </c>
      <c r="I70" s="52">
        <v>2014</v>
      </c>
      <c r="J70" s="52"/>
      <c r="K70" s="52" t="s">
        <v>63</v>
      </c>
      <c r="L70" s="52" t="s">
        <v>64</v>
      </c>
      <c r="M70" s="52">
        <v>1</v>
      </c>
      <c r="N70" s="53">
        <v>16400000</v>
      </c>
      <c r="O70" s="53">
        <v>16400000</v>
      </c>
      <c r="P70" s="60"/>
      <c r="Q70" s="59"/>
      <c r="R70" s="52"/>
      <c r="S70" s="53">
        <f t="shared" si="24"/>
        <v>16400000</v>
      </c>
      <c r="T70" s="52">
        <v>7</v>
      </c>
      <c r="U70" s="53">
        <f t="shared" si="29"/>
        <v>2342857.1428571427</v>
      </c>
      <c r="V70" s="54">
        <v>0.5</v>
      </c>
      <c r="W70" s="53"/>
      <c r="X70" s="54"/>
      <c r="Y70" s="53">
        <f t="shared" si="28"/>
        <v>0</v>
      </c>
      <c r="Z70" s="53"/>
      <c r="AA70" s="52">
        <v>7</v>
      </c>
      <c r="AB70" s="53">
        <f t="shared" si="30"/>
        <v>16400000</v>
      </c>
      <c r="AC70" s="53">
        <f t="shared" si="27"/>
        <v>0</v>
      </c>
      <c r="AD70" s="418" t="s">
        <v>134</v>
      </c>
      <c r="AE70" s="419"/>
      <c r="AF70" s="63"/>
      <c r="AG70" s="5"/>
    </row>
    <row r="71" spans="1:33" s="1" customFormat="1" ht="15" customHeight="1" x14ac:dyDescent="0.25">
      <c r="A71" s="49">
        <v>23</v>
      </c>
      <c r="B71" s="50" t="s">
        <v>112</v>
      </c>
      <c r="C71" s="50" t="s">
        <v>140</v>
      </c>
      <c r="D71" s="51" t="s">
        <v>113</v>
      </c>
      <c r="E71" s="52" t="s">
        <v>122</v>
      </c>
      <c r="F71" s="52" t="s">
        <v>141</v>
      </c>
      <c r="G71" s="52" t="s">
        <v>61</v>
      </c>
      <c r="H71" s="52" t="s">
        <v>62</v>
      </c>
      <c r="I71" s="52">
        <v>2014</v>
      </c>
      <c r="J71" s="52"/>
      <c r="K71" s="52" t="s">
        <v>63</v>
      </c>
      <c r="L71" s="52" t="s">
        <v>64</v>
      </c>
      <c r="M71" s="52">
        <v>1</v>
      </c>
      <c r="N71" s="53">
        <v>16400000</v>
      </c>
      <c r="O71" s="53">
        <v>16400000</v>
      </c>
      <c r="P71" s="60"/>
      <c r="Q71" s="59"/>
      <c r="R71" s="52"/>
      <c r="S71" s="53">
        <f t="shared" si="24"/>
        <v>16400000</v>
      </c>
      <c r="T71" s="52">
        <v>7</v>
      </c>
      <c r="U71" s="53">
        <f t="shared" si="29"/>
        <v>2342857.1428571427</v>
      </c>
      <c r="V71" s="54">
        <v>0.5</v>
      </c>
      <c r="W71" s="53"/>
      <c r="X71" s="54"/>
      <c r="Y71" s="53">
        <f t="shared" si="28"/>
        <v>0</v>
      </c>
      <c r="Z71" s="53"/>
      <c r="AA71" s="52">
        <v>7</v>
      </c>
      <c r="AB71" s="53">
        <f t="shared" si="30"/>
        <v>16400000</v>
      </c>
      <c r="AC71" s="53">
        <f t="shared" si="27"/>
        <v>0</v>
      </c>
      <c r="AD71" s="420" t="s">
        <v>142</v>
      </c>
      <c r="AE71" s="421"/>
      <c r="AG71" s="5"/>
    </row>
    <row r="72" spans="1:33" s="1" customFormat="1" ht="15" customHeight="1" x14ac:dyDescent="0.25">
      <c r="A72" s="49">
        <v>24</v>
      </c>
      <c r="B72" s="50" t="s">
        <v>112</v>
      </c>
      <c r="C72" s="50" t="s">
        <v>143</v>
      </c>
      <c r="D72" s="51" t="s">
        <v>113</v>
      </c>
      <c r="E72" s="52" t="s">
        <v>122</v>
      </c>
      <c r="F72" s="52" t="s">
        <v>144</v>
      </c>
      <c r="G72" s="52" t="s">
        <v>61</v>
      </c>
      <c r="H72" s="52" t="s">
        <v>62</v>
      </c>
      <c r="I72" s="52">
        <v>2014</v>
      </c>
      <c r="J72" s="52"/>
      <c r="K72" s="52" t="s">
        <v>63</v>
      </c>
      <c r="L72" s="52" t="s">
        <v>64</v>
      </c>
      <c r="M72" s="52">
        <v>1</v>
      </c>
      <c r="N72" s="53">
        <v>16400000</v>
      </c>
      <c r="O72" s="53">
        <v>16400000</v>
      </c>
      <c r="P72" s="60"/>
      <c r="Q72" s="59"/>
      <c r="R72" s="52"/>
      <c r="S72" s="53">
        <f t="shared" si="24"/>
        <v>16400000</v>
      </c>
      <c r="T72" s="52">
        <v>7</v>
      </c>
      <c r="U72" s="53">
        <f t="shared" si="29"/>
        <v>2342857.1428571427</v>
      </c>
      <c r="V72" s="54">
        <v>0.5</v>
      </c>
      <c r="W72" s="53"/>
      <c r="X72" s="54"/>
      <c r="Y72" s="53"/>
      <c r="Z72" s="53"/>
      <c r="AA72" s="52">
        <v>7</v>
      </c>
      <c r="AB72" s="53">
        <f t="shared" si="30"/>
        <v>16400000</v>
      </c>
      <c r="AC72" s="53">
        <f t="shared" si="27"/>
        <v>0</v>
      </c>
      <c r="AD72" s="418" t="s">
        <v>145</v>
      </c>
      <c r="AE72" s="419"/>
      <c r="AG72" s="5"/>
    </row>
    <row r="73" spans="1:33" s="1" customFormat="1" ht="15" customHeight="1" x14ac:dyDescent="0.25">
      <c r="A73" s="49">
        <v>25</v>
      </c>
      <c r="B73" s="50" t="s">
        <v>112</v>
      </c>
      <c r="C73" s="50" t="s">
        <v>146</v>
      </c>
      <c r="D73" s="51" t="s">
        <v>113</v>
      </c>
      <c r="E73" s="52" t="s">
        <v>147</v>
      </c>
      <c r="F73" s="52" t="s">
        <v>148</v>
      </c>
      <c r="G73" s="52" t="s">
        <v>61</v>
      </c>
      <c r="H73" s="52" t="s">
        <v>62</v>
      </c>
      <c r="I73" s="52">
        <v>2018</v>
      </c>
      <c r="J73" s="52"/>
      <c r="K73" s="52" t="s">
        <v>63</v>
      </c>
      <c r="L73" s="52" t="s">
        <v>64</v>
      </c>
      <c r="M73" s="52">
        <v>1</v>
      </c>
      <c r="N73" s="53">
        <v>16900000</v>
      </c>
      <c r="O73" s="53">
        <v>16900000</v>
      </c>
      <c r="P73" s="60"/>
      <c r="Q73" s="59"/>
      <c r="R73" s="52"/>
      <c r="S73" s="53">
        <f t="shared" si="24"/>
        <v>16900000</v>
      </c>
      <c r="T73" s="52">
        <v>7</v>
      </c>
      <c r="U73" s="53">
        <f t="shared" si="29"/>
        <v>2414285.7142857141</v>
      </c>
      <c r="V73" s="54">
        <v>0.5</v>
      </c>
      <c r="W73" s="53">
        <f t="shared" si="25"/>
        <v>1207142.857142857</v>
      </c>
      <c r="X73" s="54">
        <v>0.5</v>
      </c>
      <c r="Y73" s="53">
        <f t="shared" si="28"/>
        <v>1207142.857142857</v>
      </c>
      <c r="Z73" s="53">
        <f t="shared" si="26"/>
        <v>2414285.7142857141</v>
      </c>
      <c r="AA73" s="57">
        <f>2022-I73+V73+X73-4/12</f>
        <v>4.666666666666667</v>
      </c>
      <c r="AB73" s="53">
        <f t="shared" si="30"/>
        <v>11266666.666666666</v>
      </c>
      <c r="AC73" s="53">
        <f t="shared" si="27"/>
        <v>5633333.333333334</v>
      </c>
      <c r="AD73" s="418" t="s">
        <v>149</v>
      </c>
      <c r="AE73" s="419"/>
      <c r="AG73" s="157"/>
    </row>
    <row r="74" spans="1:33" s="1" customFormat="1" ht="15" customHeight="1" x14ac:dyDescent="0.25">
      <c r="A74" s="49">
        <v>26</v>
      </c>
      <c r="B74" s="50" t="s">
        <v>112</v>
      </c>
      <c r="C74" s="50" t="s">
        <v>150</v>
      </c>
      <c r="D74" s="51" t="s">
        <v>113</v>
      </c>
      <c r="E74" s="52" t="s">
        <v>147</v>
      </c>
      <c r="F74" s="52" t="s">
        <v>151</v>
      </c>
      <c r="G74" s="52" t="s">
        <v>61</v>
      </c>
      <c r="H74" s="52" t="s">
        <v>62</v>
      </c>
      <c r="I74" s="52">
        <v>2018</v>
      </c>
      <c r="J74" s="52"/>
      <c r="K74" s="52" t="s">
        <v>63</v>
      </c>
      <c r="L74" s="52" t="s">
        <v>64</v>
      </c>
      <c r="M74" s="52">
        <v>1</v>
      </c>
      <c r="N74" s="53">
        <v>16900000</v>
      </c>
      <c r="O74" s="53">
        <v>16900000</v>
      </c>
      <c r="P74" s="60"/>
      <c r="Q74" s="59"/>
      <c r="R74" s="52"/>
      <c r="S74" s="53">
        <f t="shared" si="24"/>
        <v>16900000</v>
      </c>
      <c r="T74" s="52">
        <v>7</v>
      </c>
      <c r="U74" s="53">
        <f t="shared" si="29"/>
        <v>2414285.7142857141</v>
      </c>
      <c r="V74" s="54">
        <v>0.5</v>
      </c>
      <c r="W74" s="53">
        <f t="shared" si="25"/>
        <v>1207142.857142857</v>
      </c>
      <c r="X74" s="54">
        <v>0.5</v>
      </c>
      <c r="Y74" s="53">
        <f t="shared" si="28"/>
        <v>1207142.857142857</v>
      </c>
      <c r="Z74" s="53">
        <f t="shared" si="26"/>
        <v>2414285.7142857141</v>
      </c>
      <c r="AA74" s="57">
        <f t="shared" ref="AA74:AA78" si="31">2022-I74+V74+X74-4/12</f>
        <v>4.666666666666667</v>
      </c>
      <c r="AB74" s="53">
        <f t="shared" si="30"/>
        <v>11266666.666666666</v>
      </c>
      <c r="AC74" s="53">
        <f t="shared" si="27"/>
        <v>5633333.333333334</v>
      </c>
      <c r="AD74" s="418" t="s">
        <v>152</v>
      </c>
      <c r="AE74" s="419"/>
      <c r="AG74" s="144"/>
    </row>
    <row r="75" spans="1:33" s="1" customFormat="1" ht="15" customHeight="1" x14ac:dyDescent="0.25">
      <c r="A75" s="49">
        <v>27</v>
      </c>
      <c r="B75" s="50" t="s">
        <v>112</v>
      </c>
      <c r="C75" s="50" t="s">
        <v>153</v>
      </c>
      <c r="D75" s="51" t="s">
        <v>113</v>
      </c>
      <c r="E75" s="52" t="s">
        <v>147</v>
      </c>
      <c r="F75" s="52" t="s">
        <v>154</v>
      </c>
      <c r="G75" s="52" t="s">
        <v>61</v>
      </c>
      <c r="H75" s="52" t="s">
        <v>62</v>
      </c>
      <c r="I75" s="52">
        <v>2018</v>
      </c>
      <c r="J75" s="52"/>
      <c r="K75" s="52" t="s">
        <v>63</v>
      </c>
      <c r="L75" s="52" t="s">
        <v>64</v>
      </c>
      <c r="M75" s="52">
        <v>1</v>
      </c>
      <c r="N75" s="53">
        <v>16900000</v>
      </c>
      <c r="O75" s="53">
        <v>16900000</v>
      </c>
      <c r="P75" s="60"/>
      <c r="Q75" s="59"/>
      <c r="R75" s="52"/>
      <c r="S75" s="53">
        <f t="shared" si="24"/>
        <v>16900000</v>
      </c>
      <c r="T75" s="52">
        <v>7</v>
      </c>
      <c r="U75" s="53">
        <f t="shared" si="29"/>
        <v>2414285.7142857141</v>
      </c>
      <c r="V75" s="54">
        <v>0.5</v>
      </c>
      <c r="W75" s="53">
        <f t="shared" si="25"/>
        <v>1207142.857142857</v>
      </c>
      <c r="X75" s="54">
        <v>0.5</v>
      </c>
      <c r="Y75" s="53">
        <f t="shared" si="28"/>
        <v>1207142.857142857</v>
      </c>
      <c r="Z75" s="53">
        <f t="shared" si="26"/>
        <v>2414285.7142857141</v>
      </c>
      <c r="AA75" s="57">
        <f t="shared" si="31"/>
        <v>4.666666666666667</v>
      </c>
      <c r="AB75" s="53">
        <f t="shared" si="30"/>
        <v>11266666.666666666</v>
      </c>
      <c r="AC75" s="53">
        <f t="shared" si="27"/>
        <v>5633333.333333334</v>
      </c>
      <c r="AD75" s="418" t="s">
        <v>155</v>
      </c>
      <c r="AE75" s="419"/>
      <c r="AG75" s="5"/>
    </row>
    <row r="76" spans="1:33" s="1" customFormat="1" ht="12.6" x14ac:dyDescent="0.25">
      <c r="A76" s="49">
        <v>28</v>
      </c>
      <c r="B76" s="22" t="s">
        <v>112</v>
      </c>
      <c r="C76" s="22" t="s">
        <v>156</v>
      </c>
      <c r="D76" s="23" t="s">
        <v>113</v>
      </c>
      <c r="E76" s="24" t="s">
        <v>147</v>
      </c>
      <c r="F76" s="24" t="s">
        <v>157</v>
      </c>
      <c r="G76" s="24" t="s">
        <v>61</v>
      </c>
      <c r="H76" s="24" t="s">
        <v>62</v>
      </c>
      <c r="I76" s="24">
        <v>2018</v>
      </c>
      <c r="J76" s="24"/>
      <c r="K76" s="24" t="s">
        <v>63</v>
      </c>
      <c r="L76" s="24" t="s">
        <v>64</v>
      </c>
      <c r="M76" s="24">
        <v>1</v>
      </c>
      <c r="N76" s="41">
        <v>16900000</v>
      </c>
      <c r="O76" s="41">
        <v>16900000</v>
      </c>
      <c r="P76" s="60"/>
      <c r="Q76" s="59"/>
      <c r="R76" s="24"/>
      <c r="S76" s="53">
        <f t="shared" si="24"/>
        <v>16900000</v>
      </c>
      <c r="T76" s="52">
        <v>7</v>
      </c>
      <c r="U76" s="53">
        <f t="shared" si="29"/>
        <v>2414285.7142857141</v>
      </c>
      <c r="V76" s="54">
        <v>0.5</v>
      </c>
      <c r="W76" s="53">
        <f t="shared" si="25"/>
        <v>1207142.857142857</v>
      </c>
      <c r="X76" s="54">
        <v>0.5</v>
      </c>
      <c r="Y76" s="53">
        <f t="shared" si="28"/>
        <v>1207142.857142857</v>
      </c>
      <c r="Z76" s="53">
        <f t="shared" si="26"/>
        <v>2414285.7142857141</v>
      </c>
      <c r="AA76" s="57">
        <f t="shared" si="31"/>
        <v>4.666666666666667</v>
      </c>
      <c r="AB76" s="53">
        <f t="shared" si="30"/>
        <v>11266666.666666666</v>
      </c>
      <c r="AC76" s="53">
        <f t="shared" si="27"/>
        <v>5633333.333333334</v>
      </c>
      <c r="AD76" s="24" t="s">
        <v>158</v>
      </c>
      <c r="AE76" s="24"/>
      <c r="AG76" s="5"/>
    </row>
    <row r="77" spans="1:33" s="1" customFormat="1" ht="15" customHeight="1" x14ac:dyDescent="0.25">
      <c r="A77" s="49">
        <v>29</v>
      </c>
      <c r="B77" s="22" t="s">
        <v>112</v>
      </c>
      <c r="C77" s="22" t="s">
        <v>159</v>
      </c>
      <c r="D77" s="23" t="s">
        <v>113</v>
      </c>
      <c r="E77" s="24" t="s">
        <v>147</v>
      </c>
      <c r="F77" s="24" t="s">
        <v>160</v>
      </c>
      <c r="G77" s="24" t="s">
        <v>61</v>
      </c>
      <c r="H77" s="24" t="s">
        <v>62</v>
      </c>
      <c r="I77" s="24">
        <v>2018</v>
      </c>
      <c r="J77" s="24"/>
      <c r="K77" s="24" t="s">
        <v>63</v>
      </c>
      <c r="L77" s="24" t="s">
        <v>64</v>
      </c>
      <c r="M77" s="24">
        <v>1</v>
      </c>
      <c r="N77" s="41">
        <v>16900000</v>
      </c>
      <c r="O77" s="41">
        <v>16900000</v>
      </c>
      <c r="P77" s="60"/>
      <c r="Q77" s="59"/>
      <c r="R77" s="24"/>
      <c r="S77" s="53">
        <f t="shared" si="24"/>
        <v>16900000</v>
      </c>
      <c r="T77" s="52">
        <v>7</v>
      </c>
      <c r="U77" s="53">
        <f t="shared" si="29"/>
        <v>2414285.7142857141</v>
      </c>
      <c r="V77" s="54">
        <v>0.5</v>
      </c>
      <c r="W77" s="53">
        <f t="shared" si="25"/>
        <v>1207142.857142857</v>
      </c>
      <c r="X77" s="54">
        <v>0.5</v>
      </c>
      <c r="Y77" s="53">
        <f t="shared" si="28"/>
        <v>1207142.857142857</v>
      </c>
      <c r="Z77" s="53">
        <f t="shared" si="26"/>
        <v>2414285.7142857141</v>
      </c>
      <c r="AA77" s="57">
        <f t="shared" si="31"/>
        <v>4.666666666666667</v>
      </c>
      <c r="AB77" s="53">
        <f t="shared" si="30"/>
        <v>11266666.666666666</v>
      </c>
      <c r="AC77" s="53">
        <f t="shared" si="27"/>
        <v>5633333.333333334</v>
      </c>
      <c r="AD77" s="416" t="s">
        <v>161</v>
      </c>
      <c r="AE77" s="417"/>
      <c r="AG77" s="5"/>
    </row>
    <row r="78" spans="1:33" s="1" customFormat="1" ht="12.6" x14ac:dyDescent="0.25">
      <c r="A78" s="49">
        <v>30</v>
      </c>
      <c r="B78" s="22" t="s">
        <v>112</v>
      </c>
      <c r="C78" s="22" t="s">
        <v>162</v>
      </c>
      <c r="D78" s="23" t="s">
        <v>113</v>
      </c>
      <c r="E78" s="24" t="s">
        <v>147</v>
      </c>
      <c r="F78" s="24" t="s">
        <v>163</v>
      </c>
      <c r="G78" s="24" t="s">
        <v>61</v>
      </c>
      <c r="H78" s="24" t="s">
        <v>62</v>
      </c>
      <c r="I78" s="24">
        <v>2018</v>
      </c>
      <c r="J78" s="24"/>
      <c r="K78" s="24" t="s">
        <v>63</v>
      </c>
      <c r="L78" s="24" t="s">
        <v>64</v>
      </c>
      <c r="M78" s="24">
        <v>1</v>
      </c>
      <c r="N78" s="41">
        <v>16900000</v>
      </c>
      <c r="O78" s="41">
        <v>16900000</v>
      </c>
      <c r="P78" s="60"/>
      <c r="Q78" s="59"/>
      <c r="R78" s="24"/>
      <c r="S78" s="53">
        <f t="shared" si="24"/>
        <v>16900000</v>
      </c>
      <c r="T78" s="52">
        <v>7</v>
      </c>
      <c r="U78" s="53">
        <f t="shared" si="29"/>
        <v>2414285.7142857141</v>
      </c>
      <c r="V78" s="54">
        <v>0.5</v>
      </c>
      <c r="W78" s="53">
        <f t="shared" si="25"/>
        <v>1207142.857142857</v>
      </c>
      <c r="X78" s="54">
        <v>0.5</v>
      </c>
      <c r="Y78" s="53">
        <f t="shared" si="28"/>
        <v>1207142.857142857</v>
      </c>
      <c r="Z78" s="53">
        <f t="shared" si="26"/>
        <v>2414285.7142857141</v>
      </c>
      <c r="AA78" s="57">
        <f t="shared" si="31"/>
        <v>4.666666666666667</v>
      </c>
      <c r="AB78" s="53">
        <f t="shared" si="30"/>
        <v>11266666.666666666</v>
      </c>
      <c r="AC78" s="53">
        <f t="shared" si="27"/>
        <v>5633333.333333334</v>
      </c>
      <c r="AD78" s="24" t="s">
        <v>164</v>
      </c>
      <c r="AE78" s="24"/>
      <c r="AG78" s="5"/>
    </row>
    <row r="79" spans="1:33" s="160" customFormat="1" ht="10.5" x14ac:dyDescent="0.25">
      <c r="A79" s="138"/>
      <c r="B79" s="139" t="s">
        <v>169</v>
      </c>
      <c r="C79" s="139"/>
      <c r="D79" s="140" t="s">
        <v>170</v>
      </c>
      <c r="E79" s="141"/>
      <c r="F79" s="141"/>
      <c r="G79" s="141"/>
      <c r="H79" s="141"/>
      <c r="I79" s="141"/>
      <c r="J79" s="141"/>
      <c r="K79" s="141"/>
      <c r="L79" s="141"/>
      <c r="M79" s="141">
        <f>SUM(M81:M82)</f>
        <v>2</v>
      </c>
      <c r="N79" s="141"/>
      <c r="O79" s="142">
        <f>SUM(O81:O82)</f>
        <v>11990000</v>
      </c>
      <c r="P79" s="158">
        <f>SUM(P81:P82)</f>
        <v>0</v>
      </c>
      <c r="Q79" s="145"/>
      <c r="R79" s="141">
        <f>SUM(R81:R82)</f>
        <v>0</v>
      </c>
      <c r="S79" s="159">
        <f>SUM(S81:S82)</f>
        <v>11990000</v>
      </c>
      <c r="T79" s="141"/>
      <c r="U79" s="141">
        <f>SUM(U81:U82)</f>
        <v>0</v>
      </c>
      <c r="V79" s="146"/>
      <c r="W79" s="141">
        <f>SUM(W81:W82)</f>
        <v>0</v>
      </c>
      <c r="X79" s="141"/>
      <c r="Y79" s="141">
        <f>SUM(Y81:Y82)</f>
        <v>0</v>
      </c>
      <c r="Z79" s="141">
        <f>SUM(Z81:Z82)</f>
        <v>0</v>
      </c>
      <c r="AA79" s="141"/>
      <c r="AB79" s="159">
        <f>SUM(AB80)</f>
        <v>11990000</v>
      </c>
      <c r="AC79" s="141">
        <f>SUM(AC81:AC82)</f>
        <v>0</v>
      </c>
      <c r="AD79" s="141"/>
      <c r="AE79" s="141"/>
      <c r="AG79" s="161"/>
    </row>
    <row r="80" spans="1:33" s="152" customFormat="1" ht="21" x14ac:dyDescent="0.25">
      <c r="A80" s="147"/>
      <c r="B80" s="148" t="s">
        <v>1631</v>
      </c>
      <c r="C80" s="148"/>
      <c r="D80" s="27" t="s">
        <v>1632</v>
      </c>
      <c r="E80" s="149"/>
      <c r="F80" s="149"/>
      <c r="G80" s="149"/>
      <c r="H80" s="149"/>
      <c r="I80" s="149"/>
      <c r="J80" s="149"/>
      <c r="K80" s="149"/>
      <c r="L80" s="149"/>
      <c r="M80" s="28">
        <f>SUM(M81)</f>
        <v>2</v>
      </c>
      <c r="N80" s="149"/>
      <c r="O80" s="40">
        <f>O81</f>
        <v>11990000</v>
      </c>
      <c r="P80" s="162"/>
      <c r="Q80" s="163"/>
      <c r="R80" s="149"/>
      <c r="S80" s="86">
        <f>SUM(S81)</f>
        <v>11990000</v>
      </c>
      <c r="T80" s="149"/>
      <c r="U80" s="40">
        <f>SUM(U81)</f>
        <v>0</v>
      </c>
      <c r="V80" s="150"/>
      <c r="W80" s="149"/>
      <c r="X80" s="149"/>
      <c r="Y80" s="149"/>
      <c r="Z80" s="149"/>
      <c r="AA80" s="149"/>
      <c r="AB80" s="86">
        <f>SUM(AB81)</f>
        <v>11990000</v>
      </c>
      <c r="AC80" s="149"/>
      <c r="AD80" s="149"/>
      <c r="AE80" s="149"/>
      <c r="AG80" s="151"/>
    </row>
    <row r="81" spans="1:33" s="1" customFormat="1" ht="10.5" x14ac:dyDescent="0.25">
      <c r="A81" s="21"/>
      <c r="B81" s="22" t="s">
        <v>1633</v>
      </c>
      <c r="C81" s="22" t="s">
        <v>58</v>
      </c>
      <c r="D81" s="23" t="s">
        <v>165</v>
      </c>
      <c r="E81" s="24" t="s">
        <v>166</v>
      </c>
      <c r="F81" s="24"/>
      <c r="G81" s="24" t="s">
        <v>61</v>
      </c>
      <c r="H81" s="24" t="s">
        <v>62</v>
      </c>
      <c r="I81" s="24">
        <v>2014</v>
      </c>
      <c r="J81" s="24"/>
      <c r="K81" s="24" t="s">
        <v>63</v>
      </c>
      <c r="L81" s="24" t="s">
        <v>167</v>
      </c>
      <c r="M81" s="24">
        <v>2</v>
      </c>
      <c r="N81" s="79">
        <f>11990000/M81</f>
        <v>5995000</v>
      </c>
      <c r="O81" s="41">
        <v>11990000</v>
      </c>
      <c r="P81" s="24"/>
      <c r="Q81" s="59"/>
      <c r="R81" s="24"/>
      <c r="S81" s="79">
        <f t="shared" ref="S81" si="32">SUM(O81-R81)</f>
        <v>11990000</v>
      </c>
      <c r="T81" s="24">
        <v>2</v>
      </c>
      <c r="U81" s="41"/>
      <c r="V81" s="44">
        <v>0.5</v>
      </c>
      <c r="W81" s="24">
        <f t="shared" ref="W81" si="33">SUM(U81*V81)</f>
        <v>0</v>
      </c>
      <c r="X81" s="24">
        <v>0.5</v>
      </c>
      <c r="Y81" s="24">
        <f t="shared" ref="Y81" si="34">SUM(U81*X81)</f>
        <v>0</v>
      </c>
      <c r="Z81" s="24">
        <f t="shared" ref="Z81" si="35">SUM(W81+Y81)</f>
        <v>0</v>
      </c>
      <c r="AA81" s="24">
        <v>2</v>
      </c>
      <c r="AB81" s="79">
        <v>11990000</v>
      </c>
      <c r="AC81" s="24">
        <f t="shared" ref="AC81" si="36">SUM(O81-AB81)</f>
        <v>0</v>
      </c>
      <c r="AD81" s="24" t="s">
        <v>168</v>
      </c>
      <c r="AE81" s="24"/>
      <c r="AG81" s="5"/>
    </row>
    <row r="82" spans="1:33" s="1" customFormat="1" ht="10.5" x14ac:dyDescent="0.25">
      <c r="A82" s="21"/>
      <c r="B82" s="22"/>
      <c r="C82" s="22"/>
      <c r="D82" s="23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41"/>
      <c r="P82" s="24"/>
      <c r="Q82" s="59">
        <f t="shared" ref="Q82:Q100" si="37">P82-O82</f>
        <v>0</v>
      </c>
      <c r="R82" s="24"/>
      <c r="S82" s="24"/>
      <c r="T82" s="24"/>
      <c r="U82" s="24"/>
      <c r="V82" s="44"/>
      <c r="W82" s="24"/>
      <c r="X82" s="24"/>
      <c r="Y82" s="24"/>
      <c r="Z82" s="24"/>
      <c r="AA82" s="24"/>
      <c r="AB82" s="24"/>
      <c r="AC82" s="24"/>
      <c r="AD82" s="24"/>
      <c r="AE82" s="24"/>
      <c r="AG82" s="5"/>
    </row>
    <row r="83" spans="1:33" s="1" customFormat="1" ht="10.5" x14ac:dyDescent="0.25">
      <c r="A83" s="25"/>
      <c r="B83" s="26" t="s">
        <v>171</v>
      </c>
      <c r="C83" s="26"/>
      <c r="D83" s="27" t="s">
        <v>172</v>
      </c>
      <c r="E83" s="28"/>
      <c r="F83" s="28"/>
      <c r="G83" s="28"/>
      <c r="H83" s="28"/>
      <c r="I83" s="28"/>
      <c r="J83" s="28"/>
      <c r="K83" s="28"/>
      <c r="L83" s="28"/>
      <c r="M83" s="28">
        <f>SUM(M84:M84)</f>
        <v>0</v>
      </c>
      <c r="N83" s="28"/>
      <c r="O83" s="40">
        <f>SUM(O84:O84)</f>
        <v>0</v>
      </c>
      <c r="P83" s="28">
        <f>SUM(P84:P84)</f>
        <v>0</v>
      </c>
      <c r="Q83" s="59">
        <f t="shared" si="37"/>
        <v>0</v>
      </c>
      <c r="R83" s="28">
        <f>SUM(R84:R84)</f>
        <v>0</v>
      </c>
      <c r="S83" s="28">
        <f>SUM(S84:S84)</f>
        <v>0</v>
      </c>
      <c r="T83" s="28"/>
      <c r="U83" s="28">
        <f>SUM(U84:U84)</f>
        <v>0</v>
      </c>
      <c r="V83" s="48"/>
      <c r="W83" s="28">
        <f>SUM(W84:W84)</f>
        <v>0</v>
      </c>
      <c r="X83" s="28"/>
      <c r="Y83" s="28">
        <f>SUM(Y84:Y84)</f>
        <v>0</v>
      </c>
      <c r="Z83" s="28">
        <f>SUM(Z84:Z84)</f>
        <v>0</v>
      </c>
      <c r="AA83" s="28"/>
      <c r="AB83" s="28">
        <f>SUM(AB84:AB84)</f>
        <v>0</v>
      </c>
      <c r="AC83" s="28">
        <f>SUM(AC84:AC84)</f>
        <v>0</v>
      </c>
      <c r="AD83" s="28"/>
      <c r="AE83" s="28"/>
      <c r="AG83" s="5"/>
    </row>
    <row r="84" spans="1:33" s="1" customFormat="1" ht="10.5" x14ac:dyDescent="0.25">
      <c r="A84" s="21"/>
      <c r="B84" s="22"/>
      <c r="C84" s="22"/>
      <c r="D84" s="23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41"/>
      <c r="P84" s="24"/>
      <c r="Q84" s="59">
        <f t="shared" si="37"/>
        <v>0</v>
      </c>
      <c r="R84" s="24"/>
      <c r="S84" s="24"/>
      <c r="T84" s="24"/>
      <c r="U84" s="24"/>
      <c r="V84" s="44"/>
      <c r="W84" s="24"/>
      <c r="X84" s="24"/>
      <c r="Y84" s="24"/>
      <c r="Z84" s="24"/>
      <c r="AA84" s="24"/>
      <c r="AB84" s="24"/>
      <c r="AC84" s="24"/>
      <c r="AD84" s="24"/>
      <c r="AE84" s="24"/>
      <c r="AG84" s="5"/>
    </row>
    <row r="85" spans="1:33" s="1" customFormat="1" ht="10.5" x14ac:dyDescent="0.25">
      <c r="A85" s="25"/>
      <c r="B85" s="26" t="s">
        <v>173</v>
      </c>
      <c r="C85" s="26"/>
      <c r="D85" s="27" t="s">
        <v>174</v>
      </c>
      <c r="E85" s="28"/>
      <c r="F85" s="28"/>
      <c r="G85" s="28"/>
      <c r="H85" s="28"/>
      <c r="I85" s="28"/>
      <c r="J85" s="28"/>
      <c r="K85" s="28"/>
      <c r="L85" s="28"/>
      <c r="M85" s="28">
        <f>SUM(M86:M86)</f>
        <v>0</v>
      </c>
      <c r="N85" s="28"/>
      <c r="O85" s="40">
        <f>SUM(O86:O86)</f>
        <v>0</v>
      </c>
      <c r="P85" s="28">
        <f>SUM(P86:P86)</f>
        <v>0</v>
      </c>
      <c r="Q85" s="59">
        <f t="shared" si="37"/>
        <v>0</v>
      </c>
      <c r="R85" s="28">
        <f>SUM(R86:R86)</f>
        <v>0</v>
      </c>
      <c r="S85" s="28">
        <f>SUM(S86:S86)</f>
        <v>0</v>
      </c>
      <c r="T85" s="28"/>
      <c r="U85" s="28">
        <f>SUM(U86:U86)</f>
        <v>0</v>
      </c>
      <c r="V85" s="48"/>
      <c r="W85" s="28">
        <f>SUM(W86:W86)</f>
        <v>0</v>
      </c>
      <c r="X85" s="28"/>
      <c r="Y85" s="28">
        <f>SUM(Y86:Y86)</f>
        <v>0</v>
      </c>
      <c r="Z85" s="28">
        <f>SUM(Z86:Z86)</f>
        <v>0</v>
      </c>
      <c r="AA85" s="28"/>
      <c r="AB85" s="28">
        <f>SUM(AB86:AB86)</f>
        <v>0</v>
      </c>
      <c r="AC85" s="28">
        <f>SUM(AC86:AC86)</f>
        <v>0</v>
      </c>
      <c r="AD85" s="28"/>
      <c r="AE85" s="28"/>
      <c r="AG85" s="5"/>
    </row>
    <row r="86" spans="1:33" s="1" customFormat="1" ht="10.5" x14ac:dyDescent="0.25">
      <c r="A86" s="21"/>
      <c r="B86" s="22"/>
      <c r="C86" s="22"/>
      <c r="D86" s="23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41"/>
      <c r="P86" s="24"/>
      <c r="Q86" s="59">
        <f t="shared" si="37"/>
        <v>0</v>
      </c>
      <c r="R86" s="24"/>
      <c r="S86" s="24"/>
      <c r="T86" s="24"/>
      <c r="U86" s="24"/>
      <c r="V86" s="44"/>
      <c r="W86" s="24"/>
      <c r="X86" s="24"/>
      <c r="Y86" s="24"/>
      <c r="Z86" s="24"/>
      <c r="AA86" s="24"/>
      <c r="AB86" s="24"/>
      <c r="AC86" s="24"/>
      <c r="AD86" s="24"/>
      <c r="AE86" s="24"/>
      <c r="AG86" s="5"/>
    </row>
    <row r="87" spans="1:33" s="1" customFormat="1" ht="10.5" x14ac:dyDescent="0.25">
      <c r="A87" s="25"/>
      <c r="B87" s="26" t="s">
        <v>175</v>
      </c>
      <c r="C87" s="26"/>
      <c r="D87" s="64" t="s">
        <v>176</v>
      </c>
      <c r="E87" s="28"/>
      <c r="F87" s="28"/>
      <c r="G87" s="28"/>
      <c r="H87" s="28"/>
      <c r="I87" s="28"/>
      <c r="J87" s="28"/>
      <c r="K87" s="28"/>
      <c r="L87" s="28"/>
      <c r="M87" s="28">
        <f>SUM(M88:M88)</f>
        <v>0</v>
      </c>
      <c r="N87" s="28"/>
      <c r="O87" s="40">
        <f>SUM(O88:O88)</f>
        <v>0</v>
      </c>
      <c r="P87" s="28">
        <f>SUM(P88:P88)</f>
        <v>0</v>
      </c>
      <c r="Q87" s="59">
        <f t="shared" si="37"/>
        <v>0</v>
      </c>
      <c r="R87" s="28">
        <f>SUM(R88:R88)</f>
        <v>0</v>
      </c>
      <c r="S87" s="28">
        <f>SUM(S88:S88)</f>
        <v>0</v>
      </c>
      <c r="T87" s="28"/>
      <c r="U87" s="28">
        <f>SUM(U88:U88)</f>
        <v>0</v>
      </c>
      <c r="V87" s="48"/>
      <c r="W87" s="28">
        <f>SUM(W88:W88)</f>
        <v>0</v>
      </c>
      <c r="X87" s="28"/>
      <c r="Y87" s="28">
        <f>SUM(Y88:Y88)</f>
        <v>0</v>
      </c>
      <c r="Z87" s="28">
        <f>SUM(Z88:Z88)</f>
        <v>0</v>
      </c>
      <c r="AA87" s="28"/>
      <c r="AB87" s="28">
        <f>SUM(AB88:AB88)</f>
        <v>0</v>
      </c>
      <c r="AC87" s="28">
        <f>SUM(AC88:AC88)</f>
        <v>0</v>
      </c>
      <c r="AD87" s="28"/>
      <c r="AE87" s="28"/>
      <c r="AG87" s="5"/>
    </row>
    <row r="88" spans="1:33" s="1" customFormat="1" ht="10.5" x14ac:dyDescent="0.25">
      <c r="A88" s="21"/>
      <c r="B88" s="22"/>
      <c r="C88" s="22"/>
      <c r="D88" s="65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41"/>
      <c r="P88" s="24"/>
      <c r="Q88" s="59">
        <f t="shared" si="37"/>
        <v>0</v>
      </c>
      <c r="R88" s="24"/>
      <c r="S88" s="24"/>
      <c r="T88" s="24"/>
      <c r="U88" s="24"/>
      <c r="V88" s="44"/>
      <c r="W88" s="24"/>
      <c r="X88" s="24"/>
      <c r="Y88" s="24"/>
      <c r="Z88" s="24"/>
      <c r="AA88" s="24"/>
      <c r="AB88" s="24"/>
      <c r="AC88" s="24"/>
      <c r="AD88" s="24"/>
      <c r="AE88" s="24"/>
      <c r="AG88" s="5"/>
    </row>
    <row r="89" spans="1:33" s="1" customFormat="1" ht="10.5" x14ac:dyDescent="0.25">
      <c r="A89" s="17"/>
      <c r="B89" s="18" t="s">
        <v>177</v>
      </c>
      <c r="C89" s="18"/>
      <c r="D89" s="19" t="s">
        <v>178</v>
      </c>
      <c r="E89" s="20"/>
      <c r="F89" s="20"/>
      <c r="G89" s="20"/>
      <c r="H89" s="20"/>
      <c r="I89" s="20"/>
      <c r="J89" s="20"/>
      <c r="K89" s="20"/>
      <c r="L89" s="20"/>
      <c r="M89" s="20">
        <f>M90+M92+M94</f>
        <v>0</v>
      </c>
      <c r="N89" s="20"/>
      <c r="O89" s="37">
        <f>O90+O92+O94</f>
        <v>0</v>
      </c>
      <c r="P89" s="20">
        <f>P90+P92+P94</f>
        <v>0</v>
      </c>
      <c r="Q89" s="59">
        <f t="shared" si="37"/>
        <v>0</v>
      </c>
      <c r="R89" s="20">
        <f>R90+R92+R94</f>
        <v>0</v>
      </c>
      <c r="S89" s="20">
        <f>S90+S92+S94</f>
        <v>0</v>
      </c>
      <c r="T89" s="20"/>
      <c r="U89" s="20">
        <f>U90+U92+U94</f>
        <v>0</v>
      </c>
      <c r="V89" s="46"/>
      <c r="W89" s="20">
        <f>W90+W92+W94</f>
        <v>0</v>
      </c>
      <c r="X89" s="20"/>
      <c r="Y89" s="20">
        <f>Y90+Y92+Y94</f>
        <v>0</v>
      </c>
      <c r="Z89" s="20">
        <f>Z90+Z92+Z94</f>
        <v>0</v>
      </c>
      <c r="AA89" s="20"/>
      <c r="AB89" s="20">
        <f>AB90+AB92+AB94</f>
        <v>0</v>
      </c>
      <c r="AC89" s="20">
        <f>AC90+AC92+AC94</f>
        <v>0</v>
      </c>
      <c r="AD89" s="20"/>
      <c r="AE89" s="20"/>
      <c r="AG89" s="5"/>
    </row>
    <row r="90" spans="1:33" s="1" customFormat="1" ht="10.5" x14ac:dyDescent="0.25">
      <c r="A90" s="25"/>
      <c r="B90" s="26" t="s">
        <v>179</v>
      </c>
      <c r="C90" s="26"/>
      <c r="D90" s="64" t="s">
        <v>180</v>
      </c>
      <c r="E90" s="28"/>
      <c r="F90" s="28"/>
      <c r="G90" s="28"/>
      <c r="H90" s="28"/>
      <c r="I90" s="28"/>
      <c r="J90" s="28"/>
      <c r="K90" s="28"/>
      <c r="L90" s="28"/>
      <c r="M90" s="28">
        <f>SUM(M91:M91)</f>
        <v>0</v>
      </c>
      <c r="N90" s="28"/>
      <c r="O90" s="40">
        <f>SUM(O91:O91)</f>
        <v>0</v>
      </c>
      <c r="P90" s="28">
        <f>SUM(P91:P91)</f>
        <v>0</v>
      </c>
      <c r="Q90" s="59">
        <f t="shared" si="37"/>
        <v>0</v>
      </c>
      <c r="R90" s="28">
        <f>SUM(R91:R91)</f>
        <v>0</v>
      </c>
      <c r="S90" s="28">
        <f>SUM(S91:S91)</f>
        <v>0</v>
      </c>
      <c r="T90" s="28"/>
      <c r="U90" s="28">
        <f>SUM(U91:U91)</f>
        <v>0</v>
      </c>
      <c r="V90" s="48"/>
      <c r="W90" s="28">
        <f>SUM(W91:W91)</f>
        <v>0</v>
      </c>
      <c r="X90" s="28"/>
      <c r="Y90" s="28">
        <f>SUM(Y91:Y91)</f>
        <v>0</v>
      </c>
      <c r="Z90" s="28">
        <f>SUM(Z91:Z91)</f>
        <v>0</v>
      </c>
      <c r="AA90" s="28"/>
      <c r="AB90" s="28">
        <f>SUM(AB91:AB91)</f>
        <v>0</v>
      </c>
      <c r="AC90" s="28">
        <f>SUM(AC91:AC91)</f>
        <v>0</v>
      </c>
      <c r="AD90" s="28"/>
      <c r="AE90" s="28"/>
      <c r="AG90" s="5"/>
    </row>
    <row r="91" spans="1:33" s="1" customFormat="1" ht="10.5" x14ac:dyDescent="0.25">
      <c r="A91" s="21"/>
      <c r="B91" s="22"/>
      <c r="C91" s="22"/>
      <c r="D91" s="65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41"/>
      <c r="P91" s="24"/>
      <c r="Q91" s="59">
        <f t="shared" si="37"/>
        <v>0</v>
      </c>
      <c r="R91" s="24"/>
      <c r="S91" s="24"/>
      <c r="T91" s="24"/>
      <c r="U91" s="24"/>
      <c r="V91" s="44"/>
      <c r="W91" s="24"/>
      <c r="X91" s="24"/>
      <c r="Y91" s="24"/>
      <c r="Z91" s="24"/>
      <c r="AA91" s="24"/>
      <c r="AB91" s="24"/>
      <c r="AC91" s="24"/>
      <c r="AD91" s="24"/>
      <c r="AE91" s="24"/>
      <c r="AG91" s="5"/>
    </row>
    <row r="92" spans="1:33" s="1" customFormat="1" ht="10.5" x14ac:dyDescent="0.25">
      <c r="A92" s="25"/>
      <c r="B92" s="26" t="s">
        <v>181</v>
      </c>
      <c r="C92" s="26"/>
      <c r="D92" s="64" t="s">
        <v>182</v>
      </c>
      <c r="E92" s="28"/>
      <c r="F92" s="28"/>
      <c r="G92" s="28"/>
      <c r="H92" s="28"/>
      <c r="I92" s="28"/>
      <c r="J92" s="28"/>
      <c r="K92" s="28"/>
      <c r="L92" s="28"/>
      <c r="M92" s="28">
        <f>SUM(M93:M93)</f>
        <v>0</v>
      </c>
      <c r="N92" s="28"/>
      <c r="O92" s="40">
        <f>SUM(O93:O93)</f>
        <v>0</v>
      </c>
      <c r="P92" s="28">
        <f>SUM(P93:P93)</f>
        <v>0</v>
      </c>
      <c r="Q92" s="59">
        <f t="shared" si="37"/>
        <v>0</v>
      </c>
      <c r="R92" s="28">
        <f>SUM(R93:R93)</f>
        <v>0</v>
      </c>
      <c r="S92" s="28">
        <f>SUM(S93:S93)</f>
        <v>0</v>
      </c>
      <c r="T92" s="28"/>
      <c r="U92" s="28">
        <f>SUM(U93:U93)</f>
        <v>0</v>
      </c>
      <c r="V92" s="48"/>
      <c r="W92" s="28">
        <f>SUM(W93:W93)</f>
        <v>0</v>
      </c>
      <c r="X92" s="28"/>
      <c r="Y92" s="28">
        <f>SUM(Y93:Y93)</f>
        <v>0</v>
      </c>
      <c r="Z92" s="28">
        <f>SUM(Z93:Z93)</f>
        <v>0</v>
      </c>
      <c r="AA92" s="28"/>
      <c r="AB92" s="28">
        <f>SUM(AB93:AB93)</f>
        <v>0</v>
      </c>
      <c r="AC92" s="28">
        <f>SUM(AC93:AC93)</f>
        <v>0</v>
      </c>
      <c r="AD92" s="28"/>
      <c r="AE92" s="28"/>
      <c r="AG92" s="5"/>
    </row>
    <row r="93" spans="1:33" s="1" customFormat="1" ht="10.5" x14ac:dyDescent="0.25">
      <c r="A93" s="21"/>
      <c r="B93" s="22"/>
      <c r="C93" s="22"/>
      <c r="D93" s="65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41"/>
      <c r="P93" s="24"/>
      <c r="Q93" s="59">
        <f t="shared" si="37"/>
        <v>0</v>
      </c>
      <c r="R93" s="24"/>
      <c r="S93" s="24"/>
      <c r="T93" s="24"/>
      <c r="U93" s="24"/>
      <c r="V93" s="44"/>
      <c r="W93" s="24"/>
      <c r="X93" s="24"/>
      <c r="Y93" s="24"/>
      <c r="Z93" s="24"/>
      <c r="AA93" s="24"/>
      <c r="AB93" s="24"/>
      <c r="AC93" s="24"/>
      <c r="AD93" s="24"/>
      <c r="AE93" s="24"/>
      <c r="AG93" s="5"/>
    </row>
    <row r="94" spans="1:33" s="1" customFormat="1" ht="10.5" x14ac:dyDescent="0.25">
      <c r="A94" s="25"/>
      <c r="B94" s="26" t="s">
        <v>183</v>
      </c>
      <c r="C94" s="26"/>
      <c r="D94" s="64" t="s">
        <v>184</v>
      </c>
      <c r="E94" s="28"/>
      <c r="F94" s="28"/>
      <c r="G94" s="28"/>
      <c r="H94" s="28"/>
      <c r="I94" s="28"/>
      <c r="J94" s="28"/>
      <c r="K94" s="28"/>
      <c r="L94" s="28"/>
      <c r="M94" s="28">
        <f>SUM(M95:M95)</f>
        <v>0</v>
      </c>
      <c r="N94" s="28"/>
      <c r="O94" s="40">
        <f>SUM(O95:O95)</f>
        <v>0</v>
      </c>
      <c r="P94" s="28">
        <f>SUM(P95:P95)</f>
        <v>0</v>
      </c>
      <c r="Q94" s="59">
        <f t="shared" si="37"/>
        <v>0</v>
      </c>
      <c r="R94" s="28">
        <f>SUM(R95:R95)</f>
        <v>0</v>
      </c>
      <c r="S94" s="28">
        <f>SUM(S95:S95)</f>
        <v>0</v>
      </c>
      <c r="T94" s="28"/>
      <c r="U94" s="28">
        <f>SUM(U95:U95)</f>
        <v>0</v>
      </c>
      <c r="V94" s="48"/>
      <c r="W94" s="28">
        <f>SUM(W95:W95)</f>
        <v>0</v>
      </c>
      <c r="X94" s="28"/>
      <c r="Y94" s="28">
        <f>SUM(Y95:Y95)</f>
        <v>0</v>
      </c>
      <c r="Z94" s="28">
        <f>SUM(Z95:Z95)</f>
        <v>0</v>
      </c>
      <c r="AA94" s="28"/>
      <c r="AB94" s="28">
        <f>SUM(AB95:AB95)</f>
        <v>0</v>
      </c>
      <c r="AC94" s="28">
        <f>SUM(AC95:AC95)</f>
        <v>0</v>
      </c>
      <c r="AD94" s="28"/>
      <c r="AE94" s="28"/>
      <c r="AG94" s="5"/>
    </row>
    <row r="95" spans="1:33" s="1" customFormat="1" ht="10.5" x14ac:dyDescent="0.25">
      <c r="A95" s="21"/>
      <c r="B95" s="22"/>
      <c r="C95" s="22"/>
      <c r="D95" s="65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41"/>
      <c r="P95" s="24"/>
      <c r="Q95" s="59">
        <f t="shared" si="37"/>
        <v>0</v>
      </c>
      <c r="R95" s="24"/>
      <c r="S95" s="24"/>
      <c r="T95" s="24"/>
      <c r="U95" s="24"/>
      <c r="V95" s="44"/>
      <c r="W95" s="24"/>
      <c r="X95" s="24"/>
      <c r="Y95" s="24"/>
      <c r="Z95" s="24"/>
      <c r="AA95" s="24"/>
      <c r="AB95" s="24"/>
      <c r="AC95" s="24"/>
      <c r="AD95" s="24"/>
      <c r="AE95" s="24"/>
      <c r="AG95" s="5"/>
    </row>
    <row r="96" spans="1:33" s="1" customFormat="1" ht="10.5" x14ac:dyDescent="0.25">
      <c r="A96" s="17"/>
      <c r="B96" s="18" t="s">
        <v>185</v>
      </c>
      <c r="C96" s="18"/>
      <c r="D96" s="19" t="s">
        <v>186</v>
      </c>
      <c r="E96" s="20"/>
      <c r="F96" s="20"/>
      <c r="G96" s="20"/>
      <c r="H96" s="20"/>
      <c r="I96" s="20"/>
      <c r="J96" s="20"/>
      <c r="K96" s="20"/>
      <c r="L96" s="20"/>
      <c r="M96" s="20">
        <f>M97</f>
        <v>0</v>
      </c>
      <c r="N96" s="20"/>
      <c r="O96" s="37">
        <f t="shared" ref="O96:AC96" si="38">O97</f>
        <v>0</v>
      </c>
      <c r="P96" s="20">
        <f t="shared" si="38"/>
        <v>0</v>
      </c>
      <c r="Q96" s="59">
        <f t="shared" si="37"/>
        <v>0</v>
      </c>
      <c r="R96" s="20">
        <f t="shared" si="38"/>
        <v>0</v>
      </c>
      <c r="S96" s="20">
        <f t="shared" si="38"/>
        <v>0</v>
      </c>
      <c r="T96" s="20"/>
      <c r="U96" s="20">
        <f t="shared" si="38"/>
        <v>0</v>
      </c>
      <c r="V96" s="46"/>
      <c r="W96" s="20">
        <f t="shared" si="38"/>
        <v>0</v>
      </c>
      <c r="X96" s="20"/>
      <c r="Y96" s="20">
        <f t="shared" si="38"/>
        <v>0</v>
      </c>
      <c r="Z96" s="20">
        <f t="shared" si="38"/>
        <v>0</v>
      </c>
      <c r="AA96" s="20"/>
      <c r="AB96" s="20">
        <f t="shared" si="38"/>
        <v>0</v>
      </c>
      <c r="AC96" s="20">
        <f t="shared" si="38"/>
        <v>0</v>
      </c>
      <c r="AD96" s="20"/>
      <c r="AE96" s="20"/>
      <c r="AG96" s="5"/>
    </row>
    <row r="97" spans="1:35" s="1" customFormat="1" ht="10.5" x14ac:dyDescent="0.25">
      <c r="A97" s="25"/>
      <c r="B97" s="26" t="s">
        <v>187</v>
      </c>
      <c r="C97" s="26"/>
      <c r="D97" s="27" t="s">
        <v>188</v>
      </c>
      <c r="E97" s="28"/>
      <c r="F97" s="28"/>
      <c r="G97" s="28"/>
      <c r="H97" s="28"/>
      <c r="I97" s="28"/>
      <c r="J97" s="28"/>
      <c r="K97" s="28"/>
      <c r="L97" s="28"/>
      <c r="M97" s="28">
        <f>SUM(M98:M100)</f>
        <v>0</v>
      </c>
      <c r="N97" s="28"/>
      <c r="O97" s="40">
        <f t="shared" ref="O97:AC97" si="39">SUM(O98:O100)</f>
        <v>0</v>
      </c>
      <c r="P97" s="28">
        <f t="shared" si="39"/>
        <v>0</v>
      </c>
      <c r="Q97" s="59">
        <f t="shared" si="37"/>
        <v>0</v>
      </c>
      <c r="R97" s="28">
        <f t="shared" si="39"/>
        <v>0</v>
      </c>
      <c r="S97" s="28">
        <f t="shared" si="39"/>
        <v>0</v>
      </c>
      <c r="T97" s="28"/>
      <c r="U97" s="28">
        <f t="shared" si="39"/>
        <v>0</v>
      </c>
      <c r="V97" s="48"/>
      <c r="W97" s="28">
        <f t="shared" si="39"/>
        <v>0</v>
      </c>
      <c r="X97" s="28"/>
      <c r="Y97" s="28">
        <f t="shared" si="39"/>
        <v>0</v>
      </c>
      <c r="Z97" s="28">
        <f t="shared" si="39"/>
        <v>0</v>
      </c>
      <c r="AA97" s="28"/>
      <c r="AB97" s="28">
        <f t="shared" si="39"/>
        <v>0</v>
      </c>
      <c r="AC97" s="28">
        <f t="shared" si="39"/>
        <v>0</v>
      </c>
      <c r="AD97" s="28"/>
      <c r="AE97" s="28"/>
      <c r="AG97" s="5"/>
    </row>
    <row r="98" spans="1:35" s="1" customFormat="1" ht="10.5" x14ac:dyDescent="0.25">
      <c r="A98" s="21"/>
      <c r="B98" s="22"/>
      <c r="C98" s="22"/>
      <c r="D98" s="23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41"/>
      <c r="P98" s="24"/>
      <c r="Q98" s="59">
        <f t="shared" si="37"/>
        <v>0</v>
      </c>
      <c r="R98" s="24"/>
      <c r="S98" s="24"/>
      <c r="T98" s="24"/>
      <c r="U98" s="24"/>
      <c r="V98" s="44"/>
      <c r="W98" s="24"/>
      <c r="X98" s="24"/>
      <c r="Y98" s="24"/>
      <c r="Z98" s="24"/>
      <c r="AA98" s="24"/>
      <c r="AB98" s="24"/>
      <c r="AC98" s="24"/>
      <c r="AD98" s="24"/>
      <c r="AE98" s="24"/>
      <c r="AG98" s="5"/>
    </row>
    <row r="99" spans="1:35" s="1" customFormat="1" ht="10.5" x14ac:dyDescent="0.25">
      <c r="A99" s="21"/>
      <c r="B99" s="22"/>
      <c r="C99" s="22"/>
      <c r="D99" s="23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41"/>
      <c r="P99" s="24"/>
      <c r="Q99" s="59">
        <f t="shared" si="37"/>
        <v>0</v>
      </c>
      <c r="R99" s="24"/>
      <c r="S99" s="24"/>
      <c r="T99" s="24"/>
      <c r="U99" s="24"/>
      <c r="V99" s="44"/>
      <c r="W99" s="24"/>
      <c r="X99" s="24"/>
      <c r="Y99" s="24"/>
      <c r="Z99" s="24"/>
      <c r="AA99" s="24"/>
      <c r="AB99" s="24"/>
      <c r="AC99" s="24"/>
      <c r="AD99" s="24"/>
      <c r="AE99" s="24"/>
      <c r="AG99" s="5"/>
    </row>
    <row r="100" spans="1:35" s="1" customFormat="1" ht="10.5" x14ac:dyDescent="0.25">
      <c r="A100" s="21"/>
      <c r="B100" s="22"/>
      <c r="C100" s="22"/>
      <c r="D100" s="23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41"/>
      <c r="P100" s="24"/>
      <c r="Q100" s="59">
        <f t="shared" si="37"/>
        <v>0</v>
      </c>
      <c r="R100" s="24"/>
      <c r="S100" s="24"/>
      <c r="T100" s="24"/>
      <c r="U100" s="24"/>
      <c r="V100" s="44"/>
      <c r="W100" s="24"/>
      <c r="X100" s="24"/>
      <c r="Y100" s="24"/>
      <c r="Z100" s="24"/>
      <c r="AA100" s="24"/>
      <c r="AB100" s="24"/>
      <c r="AC100" s="24"/>
      <c r="AD100" s="24"/>
      <c r="AE100" s="24"/>
      <c r="AF100" s="5">
        <f>AF101-AC101</f>
        <v>12536383.626666546</v>
      </c>
      <c r="AG100" s="5"/>
    </row>
    <row r="101" spans="1:35" s="1" customFormat="1" ht="10.5" x14ac:dyDescent="0.25">
      <c r="A101" s="17"/>
      <c r="B101" s="18" t="s">
        <v>189</v>
      </c>
      <c r="C101" s="18"/>
      <c r="D101" s="19" t="s">
        <v>190</v>
      </c>
      <c r="E101" s="20"/>
      <c r="F101" s="20"/>
      <c r="G101" s="20"/>
      <c r="H101" s="20"/>
      <c r="I101" s="20"/>
      <c r="J101" s="20"/>
      <c r="K101" s="20"/>
      <c r="L101" s="20"/>
      <c r="M101" s="66">
        <f>SUM(M102+M236+M685)</f>
        <v>4532</v>
      </c>
      <c r="N101" s="20"/>
      <c r="O101" s="37">
        <f>SUM(O102+O236+O685)</f>
        <v>7410093671.0046158</v>
      </c>
      <c r="P101" s="20">
        <f>P102+P236+P685</f>
        <v>3121945214</v>
      </c>
      <c r="Q101" s="20">
        <f>Q102+Q236+Q685</f>
        <v>0</v>
      </c>
      <c r="R101" s="20">
        <f>R102+R236+R685</f>
        <v>0</v>
      </c>
      <c r="S101" s="37">
        <f>SUM(S102+S236+S685)</f>
        <v>7410093671.0046158</v>
      </c>
      <c r="T101" s="20"/>
      <c r="U101" s="37">
        <f>SUM(U102+U236+U685)</f>
        <v>483506708.20000005</v>
      </c>
      <c r="V101" s="37"/>
      <c r="W101" s="37">
        <f>SUM(W102+W236+W685)</f>
        <v>134611663.50000003</v>
      </c>
      <c r="X101" s="37"/>
      <c r="Y101" s="37">
        <f>Y102+Y236+Y685</f>
        <v>131306564.53333336</v>
      </c>
      <c r="Z101" s="37">
        <f>SUM(Z102+Z236+Z685)</f>
        <v>265918228.03333339</v>
      </c>
      <c r="AA101" s="37"/>
      <c r="AB101" s="37">
        <f>SUM(AB102+AB236+AB685)</f>
        <v>6940158212.2146168</v>
      </c>
      <c r="AC101" s="37">
        <f>SUM(AC102+AC236+AC685)</f>
        <v>469935458.78999996</v>
      </c>
      <c r="AD101" s="20"/>
      <c r="AE101" s="20"/>
      <c r="AF101" s="75">
        <v>482471842.41666651</v>
      </c>
      <c r="AG101" s="5"/>
    </row>
    <row r="102" spans="1:35" s="1" customFormat="1" ht="10.5" x14ac:dyDescent="0.25">
      <c r="A102" s="138"/>
      <c r="B102" s="139" t="s">
        <v>191</v>
      </c>
      <c r="C102" s="139"/>
      <c r="D102" s="140" t="s">
        <v>192</v>
      </c>
      <c r="E102" s="141"/>
      <c r="F102" s="141"/>
      <c r="G102" s="141"/>
      <c r="H102" s="141"/>
      <c r="I102" s="141"/>
      <c r="J102" s="141"/>
      <c r="K102" s="141"/>
      <c r="L102" s="141"/>
      <c r="M102" s="164">
        <f>SUM(M103+M110+M113+M115+M171)</f>
        <v>313</v>
      </c>
      <c r="N102" s="164"/>
      <c r="O102" s="142">
        <f>SUM(O103+O110+O113+O115+O171)</f>
        <v>1190547400</v>
      </c>
      <c r="P102" s="164">
        <f>SUM(P104:P929)</f>
        <v>3121945214</v>
      </c>
      <c r="Q102" s="164">
        <f>SUM(Q104:Q929)</f>
        <v>0</v>
      </c>
      <c r="R102" s="164">
        <f>SUM(R104:R929)</f>
        <v>0</v>
      </c>
      <c r="S102" s="142">
        <f>SUM(S103+S110+S113+S115+S171)</f>
        <v>1190547400</v>
      </c>
      <c r="T102" s="164"/>
      <c r="U102" s="142">
        <f>SUM(U103+U110+U113+U115+U171)</f>
        <v>89296320</v>
      </c>
      <c r="V102" s="164"/>
      <c r="W102" s="142">
        <f>SUM(W103+W110+W113+W115+W171)</f>
        <v>16186301.66666669</v>
      </c>
      <c r="X102" s="164"/>
      <c r="Y102" s="142">
        <f>SUM(Y103+Y110+Y113+Y115+Y171)</f>
        <v>14936793.33333334</v>
      </c>
      <c r="Z102" s="142">
        <f>SUM(Z103+Z110+Z113+Z115+Z171)</f>
        <v>31123095.000000026</v>
      </c>
      <c r="AA102" s="164"/>
      <c r="AB102" s="142">
        <f>SUM(AB103+AB110+AB113+AB115+AB171)</f>
        <v>1171119796.6666667</v>
      </c>
      <c r="AC102" s="142">
        <f>SUM(AC103+AC110+AC115+AC171)</f>
        <v>19427603.333333332</v>
      </c>
      <c r="AD102" s="141"/>
      <c r="AE102" s="141"/>
      <c r="AF102" s="68">
        <f>'[1]BI Tahun  SMT I 2023'!$AB$109-AB101</f>
        <v>133539616.63333321</v>
      </c>
      <c r="AG102" s="5"/>
      <c r="AH102" s="5"/>
    </row>
    <row r="103" spans="1:35" s="1" customFormat="1" ht="10.5" x14ac:dyDescent="0.25">
      <c r="A103" s="25"/>
      <c r="B103" s="26" t="s">
        <v>1634</v>
      </c>
      <c r="C103" s="26"/>
      <c r="D103" s="27" t="s">
        <v>1635</v>
      </c>
      <c r="E103" s="28"/>
      <c r="F103" s="28"/>
      <c r="G103" s="28"/>
      <c r="H103" s="28"/>
      <c r="I103" s="28"/>
      <c r="J103" s="28"/>
      <c r="K103" s="28"/>
      <c r="L103" s="28"/>
      <c r="M103" s="67">
        <f>SUM(M104:M109)</f>
        <v>6</v>
      </c>
      <c r="N103" s="67"/>
      <c r="O103" s="40">
        <f>SUM(O104:O109)</f>
        <v>9950000</v>
      </c>
      <c r="P103" s="67"/>
      <c r="Q103" s="67"/>
      <c r="R103" s="67"/>
      <c r="S103" s="40">
        <f>SUM(S104:S109)</f>
        <v>9950000</v>
      </c>
      <c r="T103" s="67"/>
      <c r="U103" s="40">
        <f>SUM(U104:U109)</f>
        <v>0</v>
      </c>
      <c r="V103" s="67"/>
      <c r="W103" s="40">
        <f>SUM(W104:W109)</f>
        <v>0</v>
      </c>
      <c r="X103" s="67"/>
      <c r="Y103" s="40"/>
      <c r="Z103" s="40">
        <f>SUM(Z104:Z109)</f>
        <v>0</v>
      </c>
      <c r="AA103" s="67"/>
      <c r="AB103" s="40">
        <f>SUM(AB104:AB109)</f>
        <v>9950000</v>
      </c>
      <c r="AC103" s="40">
        <f>SUM(AC104:AC109)</f>
        <v>0</v>
      </c>
      <c r="AD103" s="28"/>
      <c r="AE103" s="28"/>
      <c r="AF103" s="165"/>
      <c r="AG103" s="5"/>
      <c r="AH103" s="5"/>
    </row>
    <row r="104" spans="1:35" s="1" customFormat="1" ht="10.5" x14ac:dyDescent="0.25">
      <c r="A104" s="21">
        <v>2</v>
      </c>
      <c r="B104" s="22" t="s">
        <v>1636</v>
      </c>
      <c r="C104" s="50" t="s">
        <v>96</v>
      </c>
      <c r="D104" s="51" t="s">
        <v>382</v>
      </c>
      <c r="E104" s="52" t="s">
        <v>383</v>
      </c>
      <c r="F104" s="24"/>
      <c r="G104" s="24" t="s">
        <v>61</v>
      </c>
      <c r="H104" s="24" t="s">
        <v>62</v>
      </c>
      <c r="I104" s="24">
        <v>2011</v>
      </c>
      <c r="J104" s="24"/>
      <c r="K104" s="24" t="s">
        <v>63</v>
      </c>
      <c r="L104" s="24" t="s">
        <v>64</v>
      </c>
      <c r="M104" s="24">
        <v>1</v>
      </c>
      <c r="N104" s="41">
        <f t="shared" ref="N104:N109" si="40">SUM(O104/M104)</f>
        <v>1675000</v>
      </c>
      <c r="O104" s="41">
        <v>1675000</v>
      </c>
      <c r="P104" s="24"/>
      <c r="Q104" s="24"/>
      <c r="R104" s="24"/>
      <c r="S104" s="41">
        <f t="shared" ref="S104:S109" si="41">SUM(O104-R104)</f>
        <v>1675000</v>
      </c>
      <c r="T104" s="24">
        <v>5</v>
      </c>
      <c r="U104" s="41"/>
      <c r="V104" s="24">
        <v>0.5</v>
      </c>
      <c r="W104" s="41">
        <f t="shared" ref="W104:W109" si="42">SUM(U104*V104)</f>
        <v>0</v>
      </c>
      <c r="X104" s="24"/>
      <c r="Y104" s="41">
        <f t="shared" ref="Y104:Y109" si="43">SUM(U104*X104)</f>
        <v>0</v>
      </c>
      <c r="Z104" s="41">
        <f t="shared" ref="Z104:Z109" si="44">SUM(W104+Y104)</f>
        <v>0</v>
      </c>
      <c r="AA104" s="72">
        <v>5</v>
      </c>
      <c r="AB104" s="41">
        <v>1675000</v>
      </c>
      <c r="AC104" s="41">
        <f t="shared" ref="AC104:AC109" si="45">SUM(O104-AB104)</f>
        <v>0</v>
      </c>
      <c r="AD104" s="70" t="s">
        <v>259</v>
      </c>
      <c r="AE104" s="70"/>
      <c r="AF104" s="1">
        <v>1232500</v>
      </c>
      <c r="AG104" s="5">
        <f t="shared" ref="AG104:AG108" si="46">AB104+Z104-AB104</f>
        <v>0</v>
      </c>
      <c r="AH104" s="5"/>
      <c r="AI104" s="5"/>
    </row>
    <row r="105" spans="1:35" s="1" customFormat="1" ht="10.5" x14ac:dyDescent="0.25">
      <c r="A105" s="21">
        <v>3</v>
      </c>
      <c r="B105" s="22" t="s">
        <v>1636</v>
      </c>
      <c r="C105" s="50" t="s">
        <v>100</v>
      </c>
      <c r="D105" s="51" t="s">
        <v>384</v>
      </c>
      <c r="E105" s="52" t="s">
        <v>383</v>
      </c>
      <c r="F105" s="52"/>
      <c r="G105" s="52" t="s">
        <v>61</v>
      </c>
      <c r="H105" s="52" t="s">
        <v>62</v>
      </c>
      <c r="I105" s="52">
        <v>2011</v>
      </c>
      <c r="J105" s="52"/>
      <c r="K105" s="52" t="s">
        <v>63</v>
      </c>
      <c r="L105" s="52" t="s">
        <v>64</v>
      </c>
      <c r="M105" s="52">
        <v>1</v>
      </c>
      <c r="N105" s="53">
        <f t="shared" si="40"/>
        <v>1232500</v>
      </c>
      <c r="O105" s="53">
        <v>1232500</v>
      </c>
      <c r="P105" s="52"/>
      <c r="Q105" s="52"/>
      <c r="R105" s="52"/>
      <c r="S105" s="53">
        <f t="shared" si="41"/>
        <v>1232500</v>
      </c>
      <c r="T105" s="52">
        <v>5</v>
      </c>
      <c r="U105" s="53"/>
      <c r="V105" s="52">
        <v>0.5</v>
      </c>
      <c r="W105" s="53">
        <f t="shared" si="42"/>
        <v>0</v>
      </c>
      <c r="X105" s="24"/>
      <c r="Y105" s="53">
        <f t="shared" si="43"/>
        <v>0</v>
      </c>
      <c r="Z105" s="53">
        <f t="shared" si="44"/>
        <v>0</v>
      </c>
      <c r="AA105" s="72">
        <v>5</v>
      </c>
      <c r="AB105" s="53">
        <v>1232500</v>
      </c>
      <c r="AC105" s="53">
        <f t="shared" si="45"/>
        <v>0</v>
      </c>
      <c r="AD105" s="56" t="s">
        <v>385</v>
      </c>
      <c r="AE105" s="56"/>
      <c r="AF105" s="1">
        <v>1232500</v>
      </c>
      <c r="AG105" s="5">
        <f t="shared" si="46"/>
        <v>0</v>
      </c>
      <c r="AH105" s="5"/>
      <c r="AI105" s="5"/>
    </row>
    <row r="106" spans="1:35" s="1" customFormat="1" ht="10.5" x14ac:dyDescent="0.25">
      <c r="A106" s="21">
        <v>4</v>
      </c>
      <c r="B106" s="22" t="s">
        <v>1636</v>
      </c>
      <c r="C106" s="50" t="s">
        <v>105</v>
      </c>
      <c r="D106" s="51" t="s">
        <v>384</v>
      </c>
      <c r="E106" s="52" t="s">
        <v>383</v>
      </c>
      <c r="F106" s="52"/>
      <c r="G106" s="52" t="s">
        <v>61</v>
      </c>
      <c r="H106" s="52" t="s">
        <v>62</v>
      </c>
      <c r="I106" s="52">
        <v>2011</v>
      </c>
      <c r="J106" s="52"/>
      <c r="K106" s="52" t="s">
        <v>63</v>
      </c>
      <c r="L106" s="52" t="s">
        <v>64</v>
      </c>
      <c r="M106" s="52">
        <v>1</v>
      </c>
      <c r="N106" s="53">
        <f t="shared" si="40"/>
        <v>1232500</v>
      </c>
      <c r="O106" s="53">
        <v>1232500</v>
      </c>
      <c r="P106" s="52"/>
      <c r="Q106" s="52"/>
      <c r="R106" s="52"/>
      <c r="S106" s="53">
        <f t="shared" si="41"/>
        <v>1232500</v>
      </c>
      <c r="T106" s="52">
        <v>5</v>
      </c>
      <c r="U106" s="53"/>
      <c r="V106" s="52">
        <v>0.5</v>
      </c>
      <c r="W106" s="53">
        <f t="shared" si="42"/>
        <v>0</v>
      </c>
      <c r="X106" s="52"/>
      <c r="Y106" s="53">
        <f t="shared" si="43"/>
        <v>0</v>
      </c>
      <c r="Z106" s="53">
        <f t="shared" si="44"/>
        <v>0</v>
      </c>
      <c r="AA106" s="57">
        <v>5</v>
      </c>
      <c r="AB106" s="53">
        <v>1232500</v>
      </c>
      <c r="AC106" s="53">
        <f t="shared" si="45"/>
        <v>0</v>
      </c>
      <c r="AD106" s="56" t="s">
        <v>386</v>
      </c>
      <c r="AE106" s="56"/>
      <c r="AF106" s="1">
        <v>1232500</v>
      </c>
      <c r="AG106" s="5">
        <f t="shared" si="46"/>
        <v>0</v>
      </c>
      <c r="AH106" s="5"/>
      <c r="AI106" s="5"/>
    </row>
    <row r="107" spans="1:35" s="1" customFormat="1" ht="10.5" x14ac:dyDescent="0.25">
      <c r="A107" s="21">
        <v>5</v>
      </c>
      <c r="B107" s="22" t="s">
        <v>1636</v>
      </c>
      <c r="C107" s="50" t="s">
        <v>108</v>
      </c>
      <c r="D107" s="51" t="s">
        <v>384</v>
      </c>
      <c r="E107" s="52" t="s">
        <v>383</v>
      </c>
      <c r="F107" s="52"/>
      <c r="G107" s="52" t="s">
        <v>61</v>
      </c>
      <c r="H107" s="52" t="s">
        <v>62</v>
      </c>
      <c r="I107" s="52">
        <v>2011</v>
      </c>
      <c r="J107" s="52"/>
      <c r="K107" s="52" t="s">
        <v>63</v>
      </c>
      <c r="L107" s="52" t="s">
        <v>64</v>
      </c>
      <c r="M107" s="52">
        <v>1</v>
      </c>
      <c r="N107" s="53">
        <f t="shared" si="40"/>
        <v>1232500</v>
      </c>
      <c r="O107" s="53">
        <v>1232500</v>
      </c>
      <c r="P107" s="52"/>
      <c r="Q107" s="52"/>
      <c r="R107" s="52"/>
      <c r="S107" s="53">
        <f t="shared" si="41"/>
        <v>1232500</v>
      </c>
      <c r="T107" s="52">
        <v>5</v>
      </c>
      <c r="U107" s="53"/>
      <c r="V107" s="52">
        <v>0.5</v>
      </c>
      <c r="W107" s="53">
        <f t="shared" si="42"/>
        <v>0</v>
      </c>
      <c r="X107" s="52"/>
      <c r="Y107" s="53">
        <f t="shared" si="43"/>
        <v>0</v>
      </c>
      <c r="Z107" s="53">
        <f t="shared" si="44"/>
        <v>0</v>
      </c>
      <c r="AA107" s="57">
        <v>5</v>
      </c>
      <c r="AB107" s="53">
        <v>1232500</v>
      </c>
      <c r="AC107" s="53">
        <f t="shared" si="45"/>
        <v>0</v>
      </c>
      <c r="AD107" s="56" t="s">
        <v>387</v>
      </c>
      <c r="AE107" s="56"/>
      <c r="AF107" s="74">
        <v>1232500</v>
      </c>
      <c r="AG107" s="5">
        <f t="shared" si="46"/>
        <v>0</v>
      </c>
      <c r="AH107" s="5"/>
      <c r="AI107" s="5"/>
    </row>
    <row r="108" spans="1:35" s="1" customFormat="1" ht="10.5" x14ac:dyDescent="0.25">
      <c r="A108" s="21">
        <v>6</v>
      </c>
      <c r="B108" s="22" t="s">
        <v>1637</v>
      </c>
      <c r="C108" s="50" t="s">
        <v>135</v>
      </c>
      <c r="D108" s="51" t="s">
        <v>384</v>
      </c>
      <c r="E108" s="52" t="s">
        <v>383</v>
      </c>
      <c r="F108" s="52"/>
      <c r="G108" s="52" t="s">
        <v>61</v>
      </c>
      <c r="H108" s="52" t="s">
        <v>62</v>
      </c>
      <c r="I108" s="52">
        <v>2011</v>
      </c>
      <c r="J108" s="52"/>
      <c r="K108" s="52" t="s">
        <v>63</v>
      </c>
      <c r="L108" s="52" t="s">
        <v>64</v>
      </c>
      <c r="M108" s="52">
        <v>1</v>
      </c>
      <c r="N108" s="53">
        <f t="shared" si="40"/>
        <v>1232500</v>
      </c>
      <c r="O108" s="53">
        <v>1232500</v>
      </c>
      <c r="P108" s="52"/>
      <c r="Q108" s="52"/>
      <c r="R108" s="52"/>
      <c r="S108" s="53">
        <f t="shared" si="41"/>
        <v>1232500</v>
      </c>
      <c r="T108" s="52">
        <v>5</v>
      </c>
      <c r="U108" s="53"/>
      <c r="V108" s="52">
        <v>0.5</v>
      </c>
      <c r="W108" s="53">
        <f t="shared" si="42"/>
        <v>0</v>
      </c>
      <c r="X108" s="52"/>
      <c r="Y108" s="53">
        <f t="shared" si="43"/>
        <v>0</v>
      </c>
      <c r="Z108" s="53">
        <f t="shared" si="44"/>
        <v>0</v>
      </c>
      <c r="AA108" s="52">
        <v>5</v>
      </c>
      <c r="AB108" s="53">
        <v>1232500</v>
      </c>
      <c r="AC108" s="53">
        <f t="shared" si="45"/>
        <v>0</v>
      </c>
      <c r="AD108" s="56" t="s">
        <v>388</v>
      </c>
      <c r="AE108" s="56"/>
      <c r="AF108" s="1">
        <v>3345000</v>
      </c>
      <c r="AG108" s="5">
        <f t="shared" si="46"/>
        <v>0</v>
      </c>
      <c r="AH108" s="5"/>
      <c r="AI108" s="5"/>
    </row>
    <row r="109" spans="1:35" s="1" customFormat="1" ht="10.5" x14ac:dyDescent="0.25">
      <c r="A109" s="21"/>
      <c r="B109" s="22" t="s">
        <v>1638</v>
      </c>
      <c r="C109" s="50" t="s">
        <v>92</v>
      </c>
      <c r="D109" s="51" t="s">
        <v>389</v>
      </c>
      <c r="E109" s="52" t="s">
        <v>383</v>
      </c>
      <c r="F109" s="52"/>
      <c r="G109" s="52" t="s">
        <v>61</v>
      </c>
      <c r="H109" s="52" t="s">
        <v>62</v>
      </c>
      <c r="I109" s="52">
        <v>2011</v>
      </c>
      <c r="J109" s="52"/>
      <c r="K109" s="52" t="s">
        <v>63</v>
      </c>
      <c r="L109" s="52" t="s">
        <v>64</v>
      </c>
      <c r="M109" s="166">
        <v>1</v>
      </c>
      <c r="N109" s="166">
        <f t="shared" si="40"/>
        <v>3345000</v>
      </c>
      <c r="O109" s="53">
        <v>3345000</v>
      </c>
      <c r="P109" s="166"/>
      <c r="Q109" s="166"/>
      <c r="R109" s="166"/>
      <c r="S109" s="53">
        <f t="shared" si="41"/>
        <v>3345000</v>
      </c>
      <c r="T109" s="166">
        <v>5</v>
      </c>
      <c r="U109" s="53"/>
      <c r="V109" s="166">
        <v>0.5</v>
      </c>
      <c r="W109" s="53">
        <f t="shared" si="42"/>
        <v>0</v>
      </c>
      <c r="X109" s="166"/>
      <c r="Y109" s="53">
        <f t="shared" si="43"/>
        <v>0</v>
      </c>
      <c r="Z109" s="53">
        <f t="shared" si="44"/>
        <v>0</v>
      </c>
      <c r="AA109" s="166">
        <v>5</v>
      </c>
      <c r="AB109" s="53">
        <v>3345000</v>
      </c>
      <c r="AC109" s="53">
        <f t="shared" si="45"/>
        <v>0</v>
      </c>
      <c r="AD109" s="52" t="s">
        <v>276</v>
      </c>
      <c r="AE109" s="52"/>
      <c r="AG109" s="5"/>
      <c r="AH109" s="5"/>
      <c r="AI109" s="5"/>
    </row>
    <row r="110" spans="1:35" s="1" customFormat="1" ht="10.5" x14ac:dyDescent="0.25">
      <c r="A110" s="21">
        <v>7</v>
      </c>
      <c r="B110" s="26" t="s">
        <v>1639</v>
      </c>
      <c r="C110" s="26"/>
      <c r="D110" s="27" t="s">
        <v>1640</v>
      </c>
      <c r="E110" s="28"/>
      <c r="F110" s="28"/>
      <c r="G110" s="28"/>
      <c r="H110" s="28"/>
      <c r="I110" s="28"/>
      <c r="J110" s="28"/>
      <c r="K110" s="28"/>
      <c r="L110" s="28"/>
      <c r="M110" s="28">
        <f>SUM(M111:M112)</f>
        <v>6</v>
      </c>
      <c r="N110" s="40"/>
      <c r="O110" s="40">
        <f>SUM(O111:O112)</f>
        <v>4625600</v>
      </c>
      <c r="P110" s="28"/>
      <c r="Q110" s="28"/>
      <c r="R110" s="28"/>
      <c r="S110" s="40">
        <f>SUM(S111:S112)</f>
        <v>4625600</v>
      </c>
      <c r="T110" s="28"/>
      <c r="U110" s="40">
        <f>SUM(U111:U112)</f>
        <v>791120</v>
      </c>
      <c r="V110" s="28"/>
      <c r="W110" s="40">
        <f>SUM(W111:W112)</f>
        <v>395560</v>
      </c>
      <c r="X110" s="28"/>
      <c r="Y110" s="40">
        <f>SUM(Y111:Y112)</f>
        <v>395560</v>
      </c>
      <c r="Z110" s="40">
        <f>SUM(Z111:Z112)</f>
        <v>791120</v>
      </c>
      <c r="AA110" s="28"/>
      <c r="AB110" s="40">
        <f>SUM(AB111:AB112)</f>
        <v>4098186.6666666665</v>
      </c>
      <c r="AC110" s="40">
        <f>SUM(AC111:AC112)</f>
        <v>527413.33333333349</v>
      </c>
      <c r="AD110" s="167"/>
      <c r="AE110" s="167"/>
      <c r="AG110" s="168"/>
      <c r="AH110" s="5"/>
      <c r="AI110" s="5"/>
    </row>
    <row r="111" spans="1:35" s="1" customFormat="1" ht="10.5" x14ac:dyDescent="0.25">
      <c r="A111" s="21">
        <v>8</v>
      </c>
      <c r="B111" s="22" t="s">
        <v>1641</v>
      </c>
      <c r="C111" s="50" t="s">
        <v>274</v>
      </c>
      <c r="D111" s="51" t="s">
        <v>275</v>
      </c>
      <c r="E111" s="52" t="s">
        <v>265</v>
      </c>
      <c r="F111" s="52"/>
      <c r="G111" s="52" t="s">
        <v>194</v>
      </c>
      <c r="H111" s="52" t="s">
        <v>62</v>
      </c>
      <c r="I111" s="52">
        <v>2008</v>
      </c>
      <c r="J111" s="52"/>
      <c r="K111" s="52" t="s">
        <v>63</v>
      </c>
      <c r="L111" s="52" t="s">
        <v>64</v>
      </c>
      <c r="M111" s="52">
        <v>5</v>
      </c>
      <c r="N111" s="53">
        <f t="shared" ref="N111" si="47">SUM(O111/M111)</f>
        <v>134000</v>
      </c>
      <c r="O111" s="53">
        <v>670000</v>
      </c>
      <c r="P111" s="52"/>
      <c r="Q111" s="52"/>
      <c r="R111" s="52"/>
      <c r="S111" s="53">
        <f t="shared" ref="S111" si="48">SUM(O111-R111)</f>
        <v>670000</v>
      </c>
      <c r="T111" s="52">
        <v>5</v>
      </c>
      <c r="U111" s="53"/>
      <c r="V111" s="52">
        <v>0.5</v>
      </c>
      <c r="W111" s="53">
        <f t="shared" ref="W111" si="49">SUM(U111*V111)</f>
        <v>0</v>
      </c>
      <c r="X111" s="52"/>
      <c r="Y111" s="53">
        <f t="shared" ref="Y111" si="50">SUM(U111*X111)</f>
        <v>0</v>
      </c>
      <c r="Z111" s="53">
        <f t="shared" ref="Z111" si="51">SUM(W111+Y111)</f>
        <v>0</v>
      </c>
      <c r="AA111" s="52">
        <v>5</v>
      </c>
      <c r="AB111" s="53">
        <v>670000</v>
      </c>
      <c r="AC111" s="53">
        <f t="shared" ref="AC111" si="52">SUM(O111-AB111)</f>
        <v>0</v>
      </c>
      <c r="AD111" s="56" t="s">
        <v>276</v>
      </c>
      <c r="AE111" s="56"/>
      <c r="AF111" s="1">
        <v>670000</v>
      </c>
      <c r="AG111" s="168">
        <f t="shared" ref="AG111" si="53">AB111+Z111-AB111</f>
        <v>0</v>
      </c>
      <c r="AH111" s="5"/>
      <c r="AI111" s="5"/>
    </row>
    <row r="112" spans="1:35" s="1" customFormat="1" ht="10.5" x14ac:dyDescent="0.25">
      <c r="A112" s="21">
        <v>9</v>
      </c>
      <c r="B112" s="22" t="s">
        <v>1642</v>
      </c>
      <c r="C112" s="50" t="s">
        <v>58</v>
      </c>
      <c r="D112" s="51" t="s">
        <v>396</v>
      </c>
      <c r="E112" s="52" t="s">
        <v>397</v>
      </c>
      <c r="F112" s="52"/>
      <c r="G112" s="52" t="s">
        <v>194</v>
      </c>
      <c r="H112" s="52" t="s">
        <v>62</v>
      </c>
      <c r="I112" s="52">
        <v>2018</v>
      </c>
      <c r="J112" s="52"/>
      <c r="K112" s="52" t="s">
        <v>63</v>
      </c>
      <c r="L112" s="52" t="s">
        <v>64</v>
      </c>
      <c r="M112" s="52">
        <v>1</v>
      </c>
      <c r="N112" s="53">
        <f t="shared" ref="N112" si="54">SUM(O112/M112)</f>
        <v>3955600</v>
      </c>
      <c r="O112" s="53">
        <v>3955600</v>
      </c>
      <c r="P112" s="52"/>
      <c r="Q112" s="52"/>
      <c r="R112" s="52"/>
      <c r="S112" s="53">
        <f t="shared" ref="S112" si="55">SUM(O112-R112)</f>
        <v>3955600</v>
      </c>
      <c r="T112" s="52">
        <v>5</v>
      </c>
      <c r="U112" s="53">
        <f>SUM(S112/T112)</f>
        <v>791120</v>
      </c>
      <c r="V112" s="52">
        <v>0.5</v>
      </c>
      <c r="W112" s="53">
        <f t="shared" ref="W112" si="56">SUM(U112*V112)</f>
        <v>395560</v>
      </c>
      <c r="X112" s="52">
        <v>0.5</v>
      </c>
      <c r="Y112" s="53">
        <f t="shared" ref="Y112" si="57">SUM(U112*X112)</f>
        <v>395560</v>
      </c>
      <c r="Z112" s="53">
        <f t="shared" ref="Z112" si="58">SUM(W112+Y112)</f>
        <v>791120</v>
      </c>
      <c r="AA112" s="54">
        <f>2022-I112+V112+X112-8/12</f>
        <v>4.333333333333333</v>
      </c>
      <c r="AB112" s="53">
        <f>SUM(U112*AA112)</f>
        <v>3428186.6666666665</v>
      </c>
      <c r="AC112" s="53">
        <f t="shared" ref="AC112" si="59">SUM(O112-AB112)</f>
        <v>527413.33333333349</v>
      </c>
      <c r="AD112" s="56" t="s">
        <v>398</v>
      </c>
      <c r="AE112" s="56"/>
      <c r="AG112" s="168"/>
      <c r="AH112" s="5"/>
      <c r="AI112" s="5"/>
    </row>
    <row r="113" spans="1:35" s="1" customFormat="1" ht="10.5" x14ac:dyDescent="0.25">
      <c r="A113" s="21">
        <v>10</v>
      </c>
      <c r="B113" s="26" t="s">
        <v>1643</v>
      </c>
      <c r="C113" s="26"/>
      <c r="D113" s="27" t="s">
        <v>1644</v>
      </c>
      <c r="E113" s="28"/>
      <c r="F113" s="28"/>
      <c r="G113" s="28"/>
      <c r="H113" s="28"/>
      <c r="I113" s="28"/>
      <c r="J113" s="28"/>
      <c r="K113" s="28"/>
      <c r="L113" s="28"/>
      <c r="M113" s="28">
        <f>SUM(M114)</f>
        <v>1</v>
      </c>
      <c r="N113" s="40"/>
      <c r="O113" s="40">
        <f>SUM(O114)</f>
        <v>39240300</v>
      </c>
      <c r="P113" s="28"/>
      <c r="Q113" s="28"/>
      <c r="R113" s="28"/>
      <c r="S113" s="40">
        <f>SUM(S114)</f>
        <v>39240300</v>
      </c>
      <c r="T113" s="28"/>
      <c r="U113" s="40">
        <f>SUM(U114)</f>
        <v>0</v>
      </c>
      <c r="V113" s="28"/>
      <c r="W113" s="40"/>
      <c r="X113" s="28"/>
      <c r="Y113" s="40"/>
      <c r="Z113" s="40"/>
      <c r="AA113" s="28"/>
      <c r="AB113" s="40">
        <f>SUM(AB114)</f>
        <v>39240300</v>
      </c>
      <c r="AC113" s="40">
        <f>SUM(AC114)</f>
        <v>0</v>
      </c>
      <c r="AD113" s="167"/>
      <c r="AE113" s="167"/>
      <c r="AG113" s="168"/>
      <c r="AH113" s="5"/>
      <c r="AI113" s="5"/>
    </row>
    <row r="114" spans="1:35" s="1" customFormat="1" ht="10.5" x14ac:dyDescent="0.25">
      <c r="A114" s="21">
        <v>11</v>
      </c>
      <c r="B114" s="22" t="s">
        <v>1645</v>
      </c>
      <c r="C114" s="50" t="s">
        <v>58</v>
      </c>
      <c r="D114" s="51" t="s">
        <v>380</v>
      </c>
      <c r="E114" s="52" t="s">
        <v>381</v>
      </c>
      <c r="F114" s="52"/>
      <c r="G114" s="52" t="s">
        <v>194</v>
      </c>
      <c r="H114" s="52" t="s">
        <v>62</v>
      </c>
      <c r="I114" s="52">
        <v>2014</v>
      </c>
      <c r="J114" s="52"/>
      <c r="K114" s="52" t="s">
        <v>63</v>
      </c>
      <c r="L114" s="52" t="s">
        <v>64</v>
      </c>
      <c r="M114" s="52">
        <v>1</v>
      </c>
      <c r="N114" s="53">
        <f t="shared" ref="N114" si="60">SUM(O114/M114)</f>
        <v>39240300</v>
      </c>
      <c r="O114" s="53">
        <v>39240300</v>
      </c>
      <c r="P114" s="52"/>
      <c r="Q114" s="52"/>
      <c r="R114" s="52"/>
      <c r="S114" s="53">
        <f t="shared" ref="S114" si="61">SUM(O114-R114)</f>
        <v>39240300</v>
      </c>
      <c r="T114" s="52">
        <v>5</v>
      </c>
      <c r="U114" s="53"/>
      <c r="V114" s="52">
        <v>0.5</v>
      </c>
      <c r="W114" s="53">
        <f t="shared" ref="W114" si="62">SUM(U114*V114)</f>
        <v>0</v>
      </c>
      <c r="X114" s="52"/>
      <c r="Y114" s="53">
        <f t="shared" ref="Y114" si="63">SUM(U114*X114)</f>
        <v>0</v>
      </c>
      <c r="Z114" s="53">
        <f t="shared" ref="Z114" si="64">SUM(W114+Y114)</f>
        <v>0</v>
      </c>
      <c r="AA114" s="52">
        <v>5</v>
      </c>
      <c r="AB114" s="53">
        <v>39240300</v>
      </c>
      <c r="AC114" s="53">
        <f t="shared" ref="AC114" si="65">SUM(O114-AB114)</f>
        <v>0</v>
      </c>
      <c r="AD114" s="56" t="s">
        <v>239</v>
      </c>
      <c r="AE114" s="56"/>
      <c r="AG114" s="168"/>
      <c r="AH114" s="5"/>
      <c r="AI114" s="5"/>
    </row>
    <row r="115" spans="1:35" s="1" customFormat="1" ht="10.5" customHeight="1" x14ac:dyDescent="0.25">
      <c r="A115" s="21">
        <v>12</v>
      </c>
      <c r="B115" s="26" t="s">
        <v>1646</v>
      </c>
      <c r="C115" s="26"/>
      <c r="D115" s="27" t="s">
        <v>1647</v>
      </c>
      <c r="E115" s="28"/>
      <c r="F115" s="28"/>
      <c r="G115" s="28"/>
      <c r="H115" s="28"/>
      <c r="I115" s="28"/>
      <c r="J115" s="28"/>
      <c r="K115" s="28"/>
      <c r="L115" s="28"/>
      <c r="M115" s="28">
        <f>SUM(M116:M169)</f>
        <v>200</v>
      </c>
      <c r="N115" s="40"/>
      <c r="O115" s="40">
        <f>SUM(O116:O169)</f>
        <v>454264000</v>
      </c>
      <c r="P115" s="28"/>
      <c r="Q115" s="28"/>
      <c r="R115" s="28"/>
      <c r="S115" s="40">
        <f>SUM(S116:S169)</f>
        <v>454264000</v>
      </c>
      <c r="T115" s="28"/>
      <c r="U115" s="40">
        <f>SUM(U116:U169)</f>
        <v>14917100</v>
      </c>
      <c r="V115" s="28"/>
      <c r="W115" s="40">
        <f>SUM(W116:W169)</f>
        <v>4958800</v>
      </c>
      <c r="X115" s="28"/>
      <c r="Y115" s="40">
        <f>SUM(Y116:Y169)</f>
        <v>4792333.3333333395</v>
      </c>
      <c r="Z115" s="40">
        <f>SUM(Z116:Z169)</f>
        <v>9751133.3333333395</v>
      </c>
      <c r="AA115" s="28"/>
      <c r="AB115" s="40">
        <f>SUM(AB116:AB169)</f>
        <v>450964000</v>
      </c>
      <c r="AC115" s="40">
        <f>SUM(AC116:AC169)</f>
        <v>3300000</v>
      </c>
      <c r="AD115" s="167"/>
      <c r="AE115" s="167"/>
      <c r="AG115" s="168"/>
      <c r="AH115" s="5"/>
      <c r="AI115" s="5"/>
    </row>
    <row r="116" spans="1:35" s="1" customFormat="1" ht="10.5" x14ac:dyDescent="0.25">
      <c r="A116" s="21">
        <v>1</v>
      </c>
      <c r="B116" s="22" t="s">
        <v>1648</v>
      </c>
      <c r="C116" s="22" t="s">
        <v>788</v>
      </c>
      <c r="D116" s="51" t="s">
        <v>789</v>
      </c>
      <c r="E116" s="24" t="s">
        <v>166</v>
      </c>
      <c r="F116" s="52"/>
      <c r="G116" s="52" t="s">
        <v>319</v>
      </c>
      <c r="H116" s="52" t="s">
        <v>62</v>
      </c>
      <c r="I116" s="52">
        <v>2012</v>
      </c>
      <c r="J116" s="52"/>
      <c r="K116" s="52" t="s">
        <v>63</v>
      </c>
      <c r="L116" s="52" t="s">
        <v>64</v>
      </c>
      <c r="M116" s="52">
        <v>1</v>
      </c>
      <c r="N116" s="53">
        <f t="shared" ref="N116:N128" si="66">SUM(O116/M116)</f>
        <v>1485000</v>
      </c>
      <c r="O116" s="53">
        <v>1485000</v>
      </c>
      <c r="P116" s="52"/>
      <c r="Q116" s="52"/>
      <c r="R116" s="52"/>
      <c r="S116" s="53">
        <f t="shared" ref="S116:S128" si="67">SUM(O116-R116)</f>
        <v>1485000</v>
      </c>
      <c r="T116" s="52">
        <v>5</v>
      </c>
      <c r="U116" s="53"/>
      <c r="V116" s="52">
        <v>0.5</v>
      </c>
      <c r="W116" s="53">
        <f t="shared" ref="W116:W128" si="68">SUM(U116*V116)</f>
        <v>0</v>
      </c>
      <c r="X116" s="52"/>
      <c r="Y116" s="53">
        <f t="shared" ref="Y116:Y128" si="69">SUM(U116*X116)</f>
        <v>0</v>
      </c>
      <c r="Z116" s="53">
        <f t="shared" ref="Z116:Z128" si="70">SUM(W116+Y116)</f>
        <v>0</v>
      </c>
      <c r="AA116" s="52">
        <v>5</v>
      </c>
      <c r="AB116" s="53">
        <v>1485000</v>
      </c>
      <c r="AC116" s="53">
        <f t="shared" ref="AC116:AC166" si="71">SUM(O116-AB116)</f>
        <v>0</v>
      </c>
      <c r="AD116" s="56" t="s">
        <v>348</v>
      </c>
      <c r="AE116" s="56"/>
      <c r="AF116" s="1">
        <v>3080000</v>
      </c>
      <c r="AG116" s="168">
        <f t="shared" ref="AG116:AG120" si="72">AB116+Z116-AB116</f>
        <v>0</v>
      </c>
      <c r="AH116" s="5"/>
      <c r="AI116" s="5"/>
    </row>
    <row r="117" spans="1:35" s="1" customFormat="1" ht="10.5" x14ac:dyDescent="0.25">
      <c r="A117" s="21">
        <v>2</v>
      </c>
      <c r="B117" s="22" t="s">
        <v>1648</v>
      </c>
      <c r="C117" s="22" t="s">
        <v>790</v>
      </c>
      <c r="D117" s="51" t="s">
        <v>789</v>
      </c>
      <c r="E117" s="24" t="s">
        <v>166</v>
      </c>
      <c r="F117" s="52"/>
      <c r="G117" s="52" t="s">
        <v>319</v>
      </c>
      <c r="H117" s="52" t="s">
        <v>62</v>
      </c>
      <c r="I117" s="52">
        <v>2012</v>
      </c>
      <c r="J117" s="52"/>
      <c r="K117" s="52" t="s">
        <v>63</v>
      </c>
      <c r="L117" s="52" t="s">
        <v>64</v>
      </c>
      <c r="M117" s="52">
        <v>14</v>
      </c>
      <c r="N117" s="53">
        <f t="shared" si="66"/>
        <v>1485000</v>
      </c>
      <c r="O117" s="53">
        <v>20790000</v>
      </c>
      <c r="P117" s="52"/>
      <c r="Q117" s="52"/>
      <c r="R117" s="52"/>
      <c r="S117" s="53">
        <f t="shared" si="67"/>
        <v>20790000</v>
      </c>
      <c r="T117" s="52">
        <v>5</v>
      </c>
      <c r="U117" s="53"/>
      <c r="V117" s="52">
        <v>0.5</v>
      </c>
      <c r="W117" s="53">
        <f t="shared" si="68"/>
        <v>0</v>
      </c>
      <c r="X117" s="52"/>
      <c r="Y117" s="53">
        <f t="shared" si="69"/>
        <v>0</v>
      </c>
      <c r="Z117" s="53">
        <f t="shared" si="70"/>
        <v>0</v>
      </c>
      <c r="AA117" s="57">
        <v>5</v>
      </c>
      <c r="AB117" s="53">
        <v>20790000</v>
      </c>
      <c r="AC117" s="53">
        <f t="shared" si="71"/>
        <v>0</v>
      </c>
      <c r="AD117" s="56" t="s">
        <v>350</v>
      </c>
      <c r="AE117" s="56"/>
      <c r="AF117" s="1">
        <v>3080000</v>
      </c>
      <c r="AG117" s="168">
        <f t="shared" si="72"/>
        <v>0</v>
      </c>
      <c r="AH117" s="5"/>
      <c r="AI117" s="5"/>
    </row>
    <row r="118" spans="1:35" s="1" customFormat="1" ht="10.5" x14ac:dyDescent="0.25">
      <c r="A118" s="21">
        <v>3</v>
      </c>
      <c r="B118" s="22" t="s">
        <v>1648</v>
      </c>
      <c r="C118" s="22" t="s">
        <v>791</v>
      </c>
      <c r="D118" s="51" t="s">
        <v>789</v>
      </c>
      <c r="E118" s="24" t="s">
        <v>166</v>
      </c>
      <c r="F118" s="52"/>
      <c r="G118" s="52" t="s">
        <v>319</v>
      </c>
      <c r="H118" s="52" t="s">
        <v>62</v>
      </c>
      <c r="I118" s="52">
        <v>2012</v>
      </c>
      <c r="J118" s="52"/>
      <c r="K118" s="52" t="s">
        <v>63</v>
      </c>
      <c r="L118" s="52" t="s">
        <v>64</v>
      </c>
      <c r="M118" s="52">
        <v>1</v>
      </c>
      <c r="N118" s="53">
        <f t="shared" si="66"/>
        <v>1485000</v>
      </c>
      <c r="O118" s="53">
        <v>1485000</v>
      </c>
      <c r="P118" s="52"/>
      <c r="Q118" s="52"/>
      <c r="R118" s="52"/>
      <c r="S118" s="53">
        <f t="shared" si="67"/>
        <v>1485000</v>
      </c>
      <c r="T118" s="52">
        <v>5</v>
      </c>
      <c r="U118" s="53"/>
      <c r="V118" s="52">
        <v>0.5</v>
      </c>
      <c r="W118" s="53">
        <f t="shared" si="68"/>
        <v>0</v>
      </c>
      <c r="X118" s="52"/>
      <c r="Y118" s="53">
        <f t="shared" si="69"/>
        <v>0</v>
      </c>
      <c r="Z118" s="53">
        <f t="shared" si="70"/>
        <v>0</v>
      </c>
      <c r="AA118" s="52">
        <v>5</v>
      </c>
      <c r="AB118" s="53">
        <v>1485000</v>
      </c>
      <c r="AC118" s="53">
        <f t="shared" si="71"/>
        <v>0</v>
      </c>
      <c r="AD118" s="56" t="s">
        <v>351</v>
      </c>
      <c r="AE118" s="56"/>
      <c r="AF118" s="1">
        <v>1485000</v>
      </c>
      <c r="AG118" s="168">
        <f t="shared" si="72"/>
        <v>0</v>
      </c>
      <c r="AH118" s="5"/>
      <c r="AI118" s="5"/>
    </row>
    <row r="119" spans="1:35" s="1" customFormat="1" ht="10.5" x14ac:dyDescent="0.25">
      <c r="A119" s="21">
        <v>4</v>
      </c>
      <c r="B119" s="22" t="s">
        <v>1648</v>
      </c>
      <c r="C119" s="22" t="s">
        <v>792</v>
      </c>
      <c r="D119" s="51" t="s">
        <v>789</v>
      </c>
      <c r="E119" s="24" t="s">
        <v>166</v>
      </c>
      <c r="F119" s="52"/>
      <c r="G119" s="52" t="s">
        <v>319</v>
      </c>
      <c r="H119" s="52" t="s">
        <v>62</v>
      </c>
      <c r="I119" s="52">
        <v>2012</v>
      </c>
      <c r="J119" s="52"/>
      <c r="K119" s="52" t="s">
        <v>63</v>
      </c>
      <c r="L119" s="52" t="s">
        <v>64</v>
      </c>
      <c r="M119" s="52">
        <v>17</v>
      </c>
      <c r="N119" s="53">
        <f t="shared" si="66"/>
        <v>1485000</v>
      </c>
      <c r="O119" s="53">
        <v>25245000</v>
      </c>
      <c r="P119" s="52"/>
      <c r="Q119" s="52"/>
      <c r="R119" s="52"/>
      <c r="S119" s="53">
        <f t="shared" si="67"/>
        <v>25245000</v>
      </c>
      <c r="T119" s="52">
        <v>5</v>
      </c>
      <c r="U119" s="53"/>
      <c r="V119" s="52">
        <v>0.5</v>
      </c>
      <c r="W119" s="53">
        <f t="shared" si="68"/>
        <v>0</v>
      </c>
      <c r="X119" s="52"/>
      <c r="Y119" s="53">
        <f t="shared" si="69"/>
        <v>0</v>
      </c>
      <c r="Z119" s="53">
        <f t="shared" si="70"/>
        <v>0</v>
      </c>
      <c r="AA119" s="52">
        <v>5</v>
      </c>
      <c r="AB119" s="53">
        <v>25245000</v>
      </c>
      <c r="AC119" s="53">
        <f t="shared" si="71"/>
        <v>0</v>
      </c>
      <c r="AD119" s="56" t="s">
        <v>354</v>
      </c>
      <c r="AE119" s="56"/>
      <c r="AF119" s="1">
        <v>25245000</v>
      </c>
      <c r="AG119" s="168">
        <f t="shared" si="72"/>
        <v>0</v>
      </c>
      <c r="AH119" s="5"/>
      <c r="AI119" s="5"/>
    </row>
    <row r="120" spans="1:35" s="1" customFormat="1" ht="10.5" x14ac:dyDescent="0.25">
      <c r="A120" s="21">
        <v>5</v>
      </c>
      <c r="B120" s="22" t="s">
        <v>1648</v>
      </c>
      <c r="C120" s="22" t="s">
        <v>436</v>
      </c>
      <c r="D120" s="51" t="s">
        <v>789</v>
      </c>
      <c r="E120" s="24" t="s">
        <v>166</v>
      </c>
      <c r="F120" s="52"/>
      <c r="G120" s="52" t="s">
        <v>319</v>
      </c>
      <c r="H120" s="52" t="s">
        <v>62</v>
      </c>
      <c r="I120" s="52">
        <v>2012</v>
      </c>
      <c r="J120" s="52"/>
      <c r="K120" s="52" t="s">
        <v>63</v>
      </c>
      <c r="L120" s="52" t="s">
        <v>64</v>
      </c>
      <c r="M120" s="52">
        <v>1</v>
      </c>
      <c r="N120" s="53">
        <f t="shared" si="66"/>
        <v>1485000</v>
      </c>
      <c r="O120" s="53">
        <v>1485000</v>
      </c>
      <c r="P120" s="52"/>
      <c r="Q120" s="52"/>
      <c r="R120" s="52"/>
      <c r="S120" s="53">
        <f t="shared" si="67"/>
        <v>1485000</v>
      </c>
      <c r="T120" s="52">
        <v>5</v>
      </c>
      <c r="U120" s="53"/>
      <c r="V120" s="52">
        <v>0.5</v>
      </c>
      <c r="W120" s="53">
        <f t="shared" si="68"/>
        <v>0</v>
      </c>
      <c r="X120" s="52"/>
      <c r="Y120" s="53">
        <f t="shared" si="69"/>
        <v>0</v>
      </c>
      <c r="Z120" s="53">
        <f t="shared" si="70"/>
        <v>0</v>
      </c>
      <c r="AA120" s="52">
        <v>5</v>
      </c>
      <c r="AB120" s="53">
        <v>1485000</v>
      </c>
      <c r="AC120" s="53">
        <f t="shared" si="71"/>
        <v>0</v>
      </c>
      <c r="AD120" s="56" t="s">
        <v>480</v>
      </c>
      <c r="AE120" s="56"/>
      <c r="AF120" s="1">
        <v>1485000</v>
      </c>
      <c r="AG120" s="168">
        <f t="shared" si="72"/>
        <v>0</v>
      </c>
      <c r="AH120" s="5"/>
      <c r="AI120" s="5"/>
    </row>
    <row r="121" spans="1:35" s="1" customFormat="1" ht="10.5" x14ac:dyDescent="0.25">
      <c r="A121" s="21">
        <v>6</v>
      </c>
      <c r="B121" s="22" t="s">
        <v>1648</v>
      </c>
      <c r="C121" s="22" t="s">
        <v>793</v>
      </c>
      <c r="D121" s="51" t="s">
        <v>789</v>
      </c>
      <c r="E121" s="24" t="s">
        <v>166</v>
      </c>
      <c r="F121" s="52"/>
      <c r="G121" s="52" t="s">
        <v>319</v>
      </c>
      <c r="H121" s="52" t="s">
        <v>62</v>
      </c>
      <c r="I121" s="52">
        <v>2018</v>
      </c>
      <c r="J121" s="52"/>
      <c r="K121" s="52" t="s">
        <v>63</v>
      </c>
      <c r="L121" s="52" t="s">
        <v>64</v>
      </c>
      <c r="M121" s="52">
        <v>8</v>
      </c>
      <c r="N121" s="53">
        <f t="shared" si="66"/>
        <v>2475000</v>
      </c>
      <c r="O121" s="53">
        <v>19800000</v>
      </c>
      <c r="P121" s="52"/>
      <c r="Q121" s="52"/>
      <c r="R121" s="52"/>
      <c r="S121" s="53">
        <f t="shared" si="67"/>
        <v>19800000</v>
      </c>
      <c r="T121" s="52">
        <v>5</v>
      </c>
      <c r="U121" s="53">
        <f>SUM(S121/T121)</f>
        <v>3960000</v>
      </c>
      <c r="V121" s="52">
        <v>0.5</v>
      </c>
      <c r="W121" s="53">
        <f t="shared" si="68"/>
        <v>1980000</v>
      </c>
      <c r="X121" s="52">
        <v>0.5</v>
      </c>
      <c r="Y121" s="53">
        <f t="shared" si="69"/>
        <v>1980000</v>
      </c>
      <c r="Z121" s="53">
        <f t="shared" si="70"/>
        <v>3960000</v>
      </c>
      <c r="AA121" s="57">
        <f>2022-I121+V121+X121-5/12</f>
        <v>4.583333333333333</v>
      </c>
      <c r="AB121" s="53">
        <f>SUM(U121*AA121)</f>
        <v>18150000</v>
      </c>
      <c r="AC121" s="53">
        <f t="shared" si="71"/>
        <v>1650000</v>
      </c>
      <c r="AD121" s="56" t="s">
        <v>367</v>
      </c>
      <c r="AE121" s="56"/>
      <c r="AF121" s="1">
        <v>18150000</v>
      </c>
      <c r="AG121" s="168">
        <f>AF121+Z121-AB121</f>
        <v>3960000</v>
      </c>
      <c r="AH121" s="5"/>
      <c r="AI121" s="5"/>
    </row>
    <row r="122" spans="1:35" s="1" customFormat="1" ht="10.5" x14ac:dyDescent="0.25">
      <c r="A122" s="21">
        <v>7</v>
      </c>
      <c r="B122" s="22" t="s">
        <v>1648</v>
      </c>
      <c r="C122" s="22" t="s">
        <v>794</v>
      </c>
      <c r="D122" s="51" t="s">
        <v>789</v>
      </c>
      <c r="E122" s="24" t="s">
        <v>166</v>
      </c>
      <c r="F122" s="52"/>
      <c r="G122" s="52" t="s">
        <v>319</v>
      </c>
      <c r="H122" s="52" t="s">
        <v>62</v>
      </c>
      <c r="I122" s="52">
        <v>2018</v>
      </c>
      <c r="J122" s="52"/>
      <c r="K122" s="52" t="s">
        <v>63</v>
      </c>
      <c r="L122" s="52" t="s">
        <v>64</v>
      </c>
      <c r="M122" s="52">
        <v>8</v>
      </c>
      <c r="N122" s="53">
        <f t="shared" si="66"/>
        <v>2475000</v>
      </c>
      <c r="O122" s="53">
        <v>19800000</v>
      </c>
      <c r="P122" s="52"/>
      <c r="Q122" s="52"/>
      <c r="R122" s="52"/>
      <c r="S122" s="53">
        <f t="shared" si="67"/>
        <v>19800000</v>
      </c>
      <c r="T122" s="52">
        <v>5</v>
      </c>
      <c r="U122" s="53">
        <f>SUM(S122/T122)</f>
        <v>3960000</v>
      </c>
      <c r="V122" s="52">
        <v>0.5</v>
      </c>
      <c r="W122" s="53">
        <f t="shared" si="68"/>
        <v>1980000</v>
      </c>
      <c r="X122" s="52">
        <v>0.5</v>
      </c>
      <c r="Y122" s="53">
        <f t="shared" si="69"/>
        <v>1980000</v>
      </c>
      <c r="Z122" s="53">
        <f t="shared" si="70"/>
        <v>3960000</v>
      </c>
      <c r="AA122" s="57">
        <f>2022-I122+V122+X122-5/12</f>
        <v>4.583333333333333</v>
      </c>
      <c r="AB122" s="53">
        <f>SUM(U122*AA122)</f>
        <v>18150000</v>
      </c>
      <c r="AC122" s="53">
        <f t="shared" si="71"/>
        <v>1650000</v>
      </c>
      <c r="AD122" s="56" t="s">
        <v>370</v>
      </c>
      <c r="AE122" s="56"/>
      <c r="AF122" s="1">
        <v>18150000</v>
      </c>
      <c r="AG122" s="168">
        <f>AF122+Z122-AB122</f>
        <v>3960000</v>
      </c>
      <c r="AH122" s="5"/>
      <c r="AI122" s="5"/>
    </row>
    <row r="123" spans="1:35" s="1" customFormat="1" ht="10.5" x14ac:dyDescent="0.25">
      <c r="A123" s="21">
        <v>13</v>
      </c>
      <c r="B123" s="22" t="s">
        <v>1648</v>
      </c>
      <c r="C123" s="22" t="s">
        <v>58</v>
      </c>
      <c r="D123" s="51" t="s">
        <v>795</v>
      </c>
      <c r="E123" s="24" t="s">
        <v>166</v>
      </c>
      <c r="F123" s="52"/>
      <c r="G123" s="52" t="s">
        <v>319</v>
      </c>
      <c r="H123" s="52" t="s">
        <v>62</v>
      </c>
      <c r="I123" s="52">
        <v>2012</v>
      </c>
      <c r="J123" s="52"/>
      <c r="K123" s="52" t="s">
        <v>63</v>
      </c>
      <c r="L123" s="52" t="s">
        <v>64</v>
      </c>
      <c r="M123" s="52">
        <v>1</v>
      </c>
      <c r="N123" s="53">
        <f t="shared" si="66"/>
        <v>5126500</v>
      </c>
      <c r="O123" s="53">
        <v>5126500</v>
      </c>
      <c r="P123" s="52"/>
      <c r="Q123" s="52"/>
      <c r="R123" s="52"/>
      <c r="S123" s="53">
        <f t="shared" si="67"/>
        <v>5126500</v>
      </c>
      <c r="T123" s="52">
        <v>5</v>
      </c>
      <c r="U123" s="53"/>
      <c r="V123" s="52">
        <v>0.5</v>
      </c>
      <c r="W123" s="53">
        <f t="shared" si="68"/>
        <v>0</v>
      </c>
      <c r="X123" s="52"/>
      <c r="Y123" s="53">
        <f t="shared" si="69"/>
        <v>0</v>
      </c>
      <c r="Z123" s="53">
        <f t="shared" si="70"/>
        <v>0</v>
      </c>
      <c r="AA123" s="57">
        <v>5</v>
      </c>
      <c r="AB123" s="53">
        <v>5126500</v>
      </c>
      <c r="AC123" s="53">
        <f t="shared" si="71"/>
        <v>0</v>
      </c>
      <c r="AD123" s="56" t="s">
        <v>746</v>
      </c>
      <c r="AE123" s="56"/>
      <c r="AF123" s="1">
        <v>5126500</v>
      </c>
      <c r="AG123" s="168">
        <f t="shared" ref="AG123:AG169" si="73">AB123+Z123-AB123</f>
        <v>0</v>
      </c>
      <c r="AH123" s="5"/>
      <c r="AI123" s="5"/>
    </row>
    <row r="124" spans="1:35" s="1" customFormat="1" ht="10.5" x14ac:dyDescent="0.25">
      <c r="A124" s="21">
        <v>14</v>
      </c>
      <c r="B124" s="22" t="s">
        <v>1648</v>
      </c>
      <c r="C124" s="50" t="s">
        <v>726</v>
      </c>
      <c r="D124" s="51" t="s">
        <v>796</v>
      </c>
      <c r="E124" s="52" t="s">
        <v>166</v>
      </c>
      <c r="F124" s="52"/>
      <c r="G124" s="52" t="s">
        <v>319</v>
      </c>
      <c r="H124" s="52" t="s">
        <v>62</v>
      </c>
      <c r="I124" s="52">
        <v>2012</v>
      </c>
      <c r="J124" s="52"/>
      <c r="K124" s="52" t="s">
        <v>63</v>
      </c>
      <c r="L124" s="52" t="s">
        <v>64</v>
      </c>
      <c r="M124" s="52">
        <v>40</v>
      </c>
      <c r="N124" s="53">
        <f t="shared" si="66"/>
        <v>1217075</v>
      </c>
      <c r="O124" s="53">
        <v>48683000</v>
      </c>
      <c r="P124" s="52"/>
      <c r="Q124" s="52"/>
      <c r="R124" s="52"/>
      <c r="S124" s="53">
        <f t="shared" si="67"/>
        <v>48683000</v>
      </c>
      <c r="T124" s="52">
        <v>5</v>
      </c>
      <c r="U124" s="53"/>
      <c r="V124" s="52">
        <v>0.5</v>
      </c>
      <c r="W124" s="53">
        <f t="shared" si="68"/>
        <v>0</v>
      </c>
      <c r="X124" s="52"/>
      <c r="Y124" s="53">
        <f t="shared" si="69"/>
        <v>0</v>
      </c>
      <c r="Z124" s="53">
        <f t="shared" si="70"/>
        <v>0</v>
      </c>
      <c r="AA124" s="57">
        <v>5</v>
      </c>
      <c r="AB124" s="53">
        <v>48683000</v>
      </c>
      <c r="AC124" s="53">
        <f t="shared" si="71"/>
        <v>0</v>
      </c>
      <c r="AD124" s="56" t="s">
        <v>357</v>
      </c>
      <c r="AE124" s="56"/>
      <c r="AF124" s="1">
        <v>48683000</v>
      </c>
      <c r="AG124" s="168">
        <f t="shared" si="73"/>
        <v>0</v>
      </c>
      <c r="AH124" s="5"/>
      <c r="AI124" s="5"/>
    </row>
    <row r="125" spans="1:35" s="1" customFormat="1" ht="10.5" x14ac:dyDescent="0.25">
      <c r="A125" s="21">
        <v>15</v>
      </c>
      <c r="B125" s="22" t="s">
        <v>1648</v>
      </c>
      <c r="C125" s="50" t="s">
        <v>407</v>
      </c>
      <c r="D125" s="51" t="s">
        <v>797</v>
      </c>
      <c r="E125" s="52" t="s">
        <v>166</v>
      </c>
      <c r="F125" s="52"/>
      <c r="G125" s="52" t="s">
        <v>319</v>
      </c>
      <c r="H125" s="52" t="s">
        <v>62</v>
      </c>
      <c r="I125" s="52">
        <v>2004</v>
      </c>
      <c r="J125" s="52"/>
      <c r="K125" s="52" t="s">
        <v>63</v>
      </c>
      <c r="L125" s="52" t="s">
        <v>212</v>
      </c>
      <c r="M125" s="52">
        <v>1</v>
      </c>
      <c r="N125" s="53">
        <f t="shared" si="66"/>
        <v>1750000</v>
      </c>
      <c r="O125" s="53">
        <v>1750000</v>
      </c>
      <c r="P125" s="52"/>
      <c r="Q125" s="52"/>
      <c r="R125" s="52"/>
      <c r="S125" s="53">
        <f t="shared" si="67"/>
        <v>1750000</v>
      </c>
      <c r="T125" s="52">
        <v>5</v>
      </c>
      <c r="U125" s="53"/>
      <c r="V125" s="52">
        <v>0.5</v>
      </c>
      <c r="W125" s="53">
        <f t="shared" si="68"/>
        <v>0</v>
      </c>
      <c r="X125" s="52"/>
      <c r="Y125" s="53">
        <f t="shared" si="69"/>
        <v>0</v>
      </c>
      <c r="Z125" s="53">
        <f t="shared" si="70"/>
        <v>0</v>
      </c>
      <c r="AA125" s="57">
        <v>5</v>
      </c>
      <c r="AB125" s="53">
        <v>1750000</v>
      </c>
      <c r="AC125" s="53">
        <f t="shared" si="71"/>
        <v>0</v>
      </c>
      <c r="AD125" s="56" t="s">
        <v>351</v>
      </c>
      <c r="AE125" s="56"/>
      <c r="AF125" s="1">
        <v>1750000</v>
      </c>
      <c r="AG125" s="168">
        <f t="shared" si="73"/>
        <v>0</v>
      </c>
      <c r="AH125" s="5"/>
      <c r="AI125" s="5"/>
    </row>
    <row r="126" spans="1:35" s="1" customFormat="1" ht="10.5" x14ac:dyDescent="0.25">
      <c r="A126" s="21">
        <v>16</v>
      </c>
      <c r="B126" s="22" t="s">
        <v>1648</v>
      </c>
      <c r="C126" s="50" t="s">
        <v>408</v>
      </c>
      <c r="D126" s="51" t="s">
        <v>797</v>
      </c>
      <c r="E126" s="52" t="s">
        <v>166</v>
      </c>
      <c r="F126" s="24"/>
      <c r="G126" s="24" t="s">
        <v>319</v>
      </c>
      <c r="H126" s="24" t="s">
        <v>62</v>
      </c>
      <c r="I126" s="24">
        <v>2004</v>
      </c>
      <c r="J126" s="24"/>
      <c r="K126" s="24" t="s">
        <v>63</v>
      </c>
      <c r="L126" s="24" t="s">
        <v>212</v>
      </c>
      <c r="M126" s="24">
        <v>1</v>
      </c>
      <c r="N126" s="41">
        <f t="shared" si="66"/>
        <v>4150000</v>
      </c>
      <c r="O126" s="41">
        <v>4150000</v>
      </c>
      <c r="P126" s="24"/>
      <c r="Q126" s="24"/>
      <c r="R126" s="24"/>
      <c r="S126" s="41">
        <f t="shared" si="67"/>
        <v>4150000</v>
      </c>
      <c r="T126" s="24">
        <v>5</v>
      </c>
      <c r="U126" s="41"/>
      <c r="V126" s="24">
        <v>0.5</v>
      </c>
      <c r="W126" s="41">
        <f t="shared" si="68"/>
        <v>0</v>
      </c>
      <c r="X126" s="24"/>
      <c r="Y126" s="41">
        <f t="shared" si="69"/>
        <v>0</v>
      </c>
      <c r="Z126" s="41">
        <f t="shared" si="70"/>
        <v>0</v>
      </c>
      <c r="AA126" s="24">
        <v>5</v>
      </c>
      <c r="AB126" s="41">
        <v>4150000</v>
      </c>
      <c r="AC126" s="41">
        <f t="shared" si="71"/>
        <v>0</v>
      </c>
      <c r="AD126" s="70" t="s">
        <v>616</v>
      </c>
      <c r="AE126" s="56"/>
      <c r="AF126" s="1">
        <v>4150000</v>
      </c>
      <c r="AG126" s="168">
        <f t="shared" si="73"/>
        <v>0</v>
      </c>
      <c r="AH126" s="5"/>
      <c r="AI126" s="5"/>
    </row>
    <row r="127" spans="1:35" s="1" customFormat="1" ht="10.5" x14ac:dyDescent="0.25">
      <c r="A127" s="21">
        <v>17</v>
      </c>
      <c r="B127" s="22" t="s">
        <v>1648</v>
      </c>
      <c r="C127" s="50" t="s">
        <v>409</v>
      </c>
      <c r="D127" s="51" t="s">
        <v>797</v>
      </c>
      <c r="E127" s="52" t="s">
        <v>166</v>
      </c>
      <c r="F127" s="24"/>
      <c r="G127" s="24" t="s">
        <v>319</v>
      </c>
      <c r="H127" s="24" t="s">
        <v>62</v>
      </c>
      <c r="I127" s="24">
        <v>2004</v>
      </c>
      <c r="J127" s="24"/>
      <c r="K127" s="24" t="s">
        <v>63</v>
      </c>
      <c r="L127" s="24" t="s">
        <v>212</v>
      </c>
      <c r="M127" s="24">
        <v>1</v>
      </c>
      <c r="N127" s="41">
        <f t="shared" si="66"/>
        <v>2960000</v>
      </c>
      <c r="O127" s="41">
        <v>2960000</v>
      </c>
      <c r="P127" s="24"/>
      <c r="Q127" s="24"/>
      <c r="R127" s="24"/>
      <c r="S127" s="41">
        <f t="shared" si="67"/>
        <v>2960000</v>
      </c>
      <c r="T127" s="24">
        <v>5</v>
      </c>
      <c r="U127" s="41"/>
      <c r="V127" s="24">
        <v>0.5</v>
      </c>
      <c r="W127" s="41">
        <f t="shared" si="68"/>
        <v>0</v>
      </c>
      <c r="X127" s="24"/>
      <c r="Y127" s="41">
        <f t="shared" si="69"/>
        <v>0</v>
      </c>
      <c r="Z127" s="41">
        <f t="shared" si="70"/>
        <v>0</v>
      </c>
      <c r="AA127" s="24">
        <v>5</v>
      </c>
      <c r="AB127" s="41">
        <v>2960000</v>
      </c>
      <c r="AC127" s="41">
        <f t="shared" si="71"/>
        <v>0</v>
      </c>
      <c r="AD127" s="70" t="s">
        <v>540</v>
      </c>
      <c r="AE127" s="56"/>
      <c r="AF127" s="1">
        <v>2960000</v>
      </c>
      <c r="AG127" s="168">
        <f t="shared" si="73"/>
        <v>0</v>
      </c>
      <c r="AH127" s="5"/>
      <c r="AI127" s="5"/>
    </row>
    <row r="128" spans="1:35" s="1" customFormat="1" ht="10.5" x14ac:dyDescent="0.25">
      <c r="A128" s="21">
        <v>18</v>
      </c>
      <c r="B128" s="22" t="s">
        <v>1648</v>
      </c>
      <c r="C128" s="50" t="s">
        <v>726</v>
      </c>
      <c r="D128" s="51" t="s">
        <v>798</v>
      </c>
      <c r="E128" s="52" t="s">
        <v>166</v>
      </c>
      <c r="F128" s="24"/>
      <c r="G128" s="24" t="s">
        <v>319</v>
      </c>
      <c r="H128" s="24" t="s">
        <v>62</v>
      </c>
      <c r="I128" s="24">
        <v>2012</v>
      </c>
      <c r="J128" s="24"/>
      <c r="K128" s="24" t="s">
        <v>63</v>
      </c>
      <c r="L128" s="24" t="s">
        <v>64</v>
      </c>
      <c r="M128" s="24">
        <v>40</v>
      </c>
      <c r="N128" s="41">
        <f t="shared" si="66"/>
        <v>2359475</v>
      </c>
      <c r="O128" s="41">
        <v>94379000</v>
      </c>
      <c r="P128" s="24"/>
      <c r="Q128" s="24"/>
      <c r="R128" s="24"/>
      <c r="S128" s="41">
        <f t="shared" si="67"/>
        <v>94379000</v>
      </c>
      <c r="T128" s="24">
        <v>5</v>
      </c>
      <c r="U128" s="41"/>
      <c r="V128" s="24">
        <v>0.5</v>
      </c>
      <c r="W128" s="41">
        <f t="shared" si="68"/>
        <v>0</v>
      </c>
      <c r="X128" s="24"/>
      <c r="Y128" s="41">
        <f t="shared" si="69"/>
        <v>0</v>
      </c>
      <c r="Z128" s="41">
        <f t="shared" si="70"/>
        <v>0</v>
      </c>
      <c r="AA128" s="24">
        <v>5</v>
      </c>
      <c r="AB128" s="41">
        <v>94379000</v>
      </c>
      <c r="AC128" s="41">
        <f t="shared" si="71"/>
        <v>0</v>
      </c>
      <c r="AD128" s="70" t="s">
        <v>357</v>
      </c>
      <c r="AE128" s="56"/>
      <c r="AF128" s="1">
        <v>94379000</v>
      </c>
      <c r="AG128" s="168">
        <f t="shared" si="73"/>
        <v>0</v>
      </c>
      <c r="AH128" s="5"/>
      <c r="AI128" s="5"/>
    </row>
    <row r="129" spans="1:35" s="1" customFormat="1" ht="10.5" x14ac:dyDescent="0.25">
      <c r="A129" s="21">
        <v>19</v>
      </c>
      <c r="B129" s="22" t="s">
        <v>1649</v>
      </c>
      <c r="C129" s="50" t="s">
        <v>214</v>
      </c>
      <c r="D129" s="51" t="s">
        <v>215</v>
      </c>
      <c r="E129" s="52" t="s">
        <v>216</v>
      </c>
      <c r="F129" s="24"/>
      <c r="G129" s="24" t="s">
        <v>61</v>
      </c>
      <c r="H129" s="24" t="s">
        <v>62</v>
      </c>
      <c r="I129" s="24">
        <v>2014</v>
      </c>
      <c r="J129" s="24"/>
      <c r="K129" s="24" t="s">
        <v>63</v>
      </c>
      <c r="L129" s="24" t="s">
        <v>64</v>
      </c>
      <c r="M129" s="24">
        <v>2</v>
      </c>
      <c r="N129" s="41">
        <f t="shared" ref="N129:N148" si="74">SUM(O129/M129)</f>
        <v>3080000</v>
      </c>
      <c r="O129" s="41">
        <v>6160000</v>
      </c>
      <c r="P129" s="24"/>
      <c r="Q129" s="24"/>
      <c r="R129" s="24"/>
      <c r="S129" s="41">
        <f t="shared" ref="S129:S148" si="75">SUM(O129-R129)</f>
        <v>6160000</v>
      </c>
      <c r="T129" s="24">
        <v>5</v>
      </c>
      <c r="U129" s="41"/>
      <c r="V129" s="24">
        <v>0.5</v>
      </c>
      <c r="W129" s="41">
        <f t="shared" ref="W129:W138" si="76">SUM(U129*V129)</f>
        <v>0</v>
      </c>
      <c r="X129" s="24"/>
      <c r="Y129" s="41">
        <f t="shared" ref="Y129:Y138" si="77">SUM(U129*X129)</f>
        <v>0</v>
      </c>
      <c r="Z129" s="41">
        <f t="shared" ref="Z129:Z138" si="78">SUM(W129+Y129)</f>
        <v>0</v>
      </c>
      <c r="AA129" s="24">
        <v>5</v>
      </c>
      <c r="AB129" s="41">
        <v>6160000</v>
      </c>
      <c r="AC129" s="41">
        <f t="shared" si="71"/>
        <v>0</v>
      </c>
      <c r="AD129" s="70" t="s">
        <v>217</v>
      </c>
      <c r="AE129" s="56"/>
      <c r="AF129" s="1">
        <v>6160000</v>
      </c>
      <c r="AG129" s="168">
        <f t="shared" si="73"/>
        <v>0</v>
      </c>
      <c r="AH129" s="5"/>
      <c r="AI129" s="5"/>
    </row>
    <row r="130" spans="1:35" s="1" customFormat="1" ht="10.5" x14ac:dyDescent="0.25">
      <c r="A130" s="21">
        <v>20</v>
      </c>
      <c r="B130" s="22" t="s">
        <v>1649</v>
      </c>
      <c r="C130" s="50" t="s">
        <v>214</v>
      </c>
      <c r="D130" s="51" t="s">
        <v>215</v>
      </c>
      <c r="E130" s="52" t="s">
        <v>216</v>
      </c>
      <c r="F130" s="24"/>
      <c r="G130" s="24" t="s">
        <v>61</v>
      </c>
      <c r="H130" s="24" t="s">
        <v>62</v>
      </c>
      <c r="I130" s="24">
        <v>2014</v>
      </c>
      <c r="J130" s="24"/>
      <c r="K130" s="24" t="s">
        <v>63</v>
      </c>
      <c r="L130" s="24" t="s">
        <v>64</v>
      </c>
      <c r="M130" s="24">
        <v>2</v>
      </c>
      <c r="N130" s="41">
        <f t="shared" si="74"/>
        <v>3080000</v>
      </c>
      <c r="O130" s="41">
        <v>6160000</v>
      </c>
      <c r="P130" s="24"/>
      <c r="Q130" s="24"/>
      <c r="R130" s="24"/>
      <c r="S130" s="41">
        <f t="shared" si="75"/>
        <v>6160000</v>
      </c>
      <c r="T130" s="24">
        <v>5</v>
      </c>
      <c r="U130" s="41"/>
      <c r="V130" s="24">
        <v>0.5</v>
      </c>
      <c r="W130" s="41">
        <f t="shared" si="76"/>
        <v>0</v>
      </c>
      <c r="X130" s="24"/>
      <c r="Y130" s="41">
        <f t="shared" si="77"/>
        <v>0</v>
      </c>
      <c r="Z130" s="41">
        <f t="shared" si="78"/>
        <v>0</v>
      </c>
      <c r="AA130" s="24">
        <v>5</v>
      </c>
      <c r="AB130" s="41">
        <v>6160000</v>
      </c>
      <c r="AC130" s="41">
        <f t="shared" si="71"/>
        <v>0</v>
      </c>
      <c r="AD130" s="70" t="s">
        <v>218</v>
      </c>
      <c r="AE130" s="56"/>
      <c r="AF130" s="1">
        <v>6160000</v>
      </c>
      <c r="AG130" s="168">
        <f t="shared" si="73"/>
        <v>0</v>
      </c>
      <c r="AH130" s="5"/>
      <c r="AI130" s="5"/>
    </row>
    <row r="131" spans="1:35" s="1" customFormat="1" ht="10.5" x14ac:dyDescent="0.25">
      <c r="A131" s="21">
        <v>21</v>
      </c>
      <c r="B131" s="22" t="s">
        <v>1649</v>
      </c>
      <c r="C131" s="50" t="s">
        <v>214</v>
      </c>
      <c r="D131" s="51" t="s">
        <v>215</v>
      </c>
      <c r="E131" s="52" t="s">
        <v>216</v>
      </c>
      <c r="F131" s="24"/>
      <c r="G131" s="24" t="s">
        <v>61</v>
      </c>
      <c r="H131" s="24" t="s">
        <v>62</v>
      </c>
      <c r="I131" s="24">
        <v>2014</v>
      </c>
      <c r="J131" s="24"/>
      <c r="K131" s="24" t="s">
        <v>63</v>
      </c>
      <c r="L131" s="24" t="s">
        <v>64</v>
      </c>
      <c r="M131" s="24">
        <v>2</v>
      </c>
      <c r="N131" s="41">
        <f t="shared" si="74"/>
        <v>3080000</v>
      </c>
      <c r="O131" s="41">
        <v>6160000</v>
      </c>
      <c r="P131" s="24"/>
      <c r="Q131" s="24"/>
      <c r="R131" s="24"/>
      <c r="S131" s="41">
        <f t="shared" si="75"/>
        <v>6160000</v>
      </c>
      <c r="T131" s="24">
        <v>5</v>
      </c>
      <c r="U131" s="41"/>
      <c r="V131" s="24">
        <v>0.5</v>
      </c>
      <c r="W131" s="41">
        <f t="shared" si="76"/>
        <v>0</v>
      </c>
      <c r="X131" s="24"/>
      <c r="Y131" s="41">
        <f t="shared" si="77"/>
        <v>0</v>
      </c>
      <c r="Z131" s="41">
        <f t="shared" si="78"/>
        <v>0</v>
      </c>
      <c r="AA131" s="24">
        <v>5</v>
      </c>
      <c r="AB131" s="41">
        <v>6160000</v>
      </c>
      <c r="AC131" s="41">
        <f t="shared" si="71"/>
        <v>0</v>
      </c>
      <c r="AD131" s="70" t="s">
        <v>219</v>
      </c>
      <c r="AE131" s="56"/>
      <c r="AF131" s="1">
        <v>6160000</v>
      </c>
      <c r="AG131" s="168">
        <f t="shared" si="73"/>
        <v>0</v>
      </c>
      <c r="AH131" s="5"/>
      <c r="AI131" s="5"/>
    </row>
    <row r="132" spans="1:35" s="1" customFormat="1" ht="10.5" x14ac:dyDescent="0.25">
      <c r="A132" s="21">
        <v>22</v>
      </c>
      <c r="B132" s="22" t="s">
        <v>1649</v>
      </c>
      <c r="C132" s="50" t="s">
        <v>214</v>
      </c>
      <c r="D132" s="51" t="s">
        <v>215</v>
      </c>
      <c r="E132" s="52" t="s">
        <v>216</v>
      </c>
      <c r="F132" s="24"/>
      <c r="G132" s="24" t="s">
        <v>61</v>
      </c>
      <c r="H132" s="24" t="s">
        <v>62</v>
      </c>
      <c r="I132" s="24">
        <v>2014</v>
      </c>
      <c r="J132" s="24"/>
      <c r="K132" s="24" t="s">
        <v>63</v>
      </c>
      <c r="L132" s="24" t="s">
        <v>64</v>
      </c>
      <c r="M132" s="24">
        <v>2</v>
      </c>
      <c r="N132" s="41">
        <f t="shared" si="74"/>
        <v>3080000</v>
      </c>
      <c r="O132" s="41">
        <v>6160000</v>
      </c>
      <c r="P132" s="24"/>
      <c r="Q132" s="24"/>
      <c r="R132" s="24"/>
      <c r="S132" s="41">
        <f t="shared" si="75"/>
        <v>6160000</v>
      </c>
      <c r="T132" s="24">
        <v>5</v>
      </c>
      <c r="U132" s="41"/>
      <c r="V132" s="24">
        <v>0.5</v>
      </c>
      <c r="W132" s="41">
        <f t="shared" si="76"/>
        <v>0</v>
      </c>
      <c r="X132" s="24"/>
      <c r="Y132" s="41">
        <f t="shared" si="77"/>
        <v>0</v>
      </c>
      <c r="Z132" s="41">
        <f t="shared" si="78"/>
        <v>0</v>
      </c>
      <c r="AA132" s="24">
        <v>5</v>
      </c>
      <c r="AB132" s="41">
        <v>6160000</v>
      </c>
      <c r="AC132" s="41">
        <f t="shared" si="71"/>
        <v>0</v>
      </c>
      <c r="AD132" s="70" t="s">
        <v>220</v>
      </c>
      <c r="AE132" s="56"/>
      <c r="AF132" s="1">
        <v>6160000</v>
      </c>
      <c r="AG132" s="168">
        <f t="shared" si="73"/>
        <v>0</v>
      </c>
      <c r="AH132" s="5"/>
      <c r="AI132" s="5"/>
    </row>
    <row r="133" spans="1:35" s="1" customFormat="1" ht="10.5" x14ac:dyDescent="0.25">
      <c r="A133" s="21">
        <v>23</v>
      </c>
      <c r="B133" s="22" t="s">
        <v>1649</v>
      </c>
      <c r="C133" s="50" t="s">
        <v>214</v>
      </c>
      <c r="D133" s="51" t="s">
        <v>215</v>
      </c>
      <c r="E133" s="52" t="s">
        <v>216</v>
      </c>
      <c r="F133" s="24"/>
      <c r="G133" s="24" t="s">
        <v>61</v>
      </c>
      <c r="H133" s="24" t="s">
        <v>62</v>
      </c>
      <c r="I133" s="24">
        <v>2014</v>
      </c>
      <c r="J133" s="24"/>
      <c r="K133" s="24" t="s">
        <v>63</v>
      </c>
      <c r="L133" s="24" t="s">
        <v>64</v>
      </c>
      <c r="M133" s="24">
        <v>2</v>
      </c>
      <c r="N133" s="41">
        <f t="shared" si="74"/>
        <v>3080000</v>
      </c>
      <c r="O133" s="41">
        <v>6160000</v>
      </c>
      <c r="P133" s="24"/>
      <c r="Q133" s="24"/>
      <c r="R133" s="24"/>
      <c r="S133" s="41">
        <f t="shared" si="75"/>
        <v>6160000</v>
      </c>
      <c r="T133" s="24">
        <v>5</v>
      </c>
      <c r="U133" s="41"/>
      <c r="V133" s="24">
        <v>0.5</v>
      </c>
      <c r="W133" s="41">
        <f t="shared" si="76"/>
        <v>0</v>
      </c>
      <c r="X133" s="24"/>
      <c r="Y133" s="41">
        <f t="shared" si="77"/>
        <v>0</v>
      </c>
      <c r="Z133" s="41">
        <f t="shared" si="78"/>
        <v>0</v>
      </c>
      <c r="AA133" s="24">
        <v>5</v>
      </c>
      <c r="AB133" s="41">
        <v>6160000</v>
      </c>
      <c r="AC133" s="41">
        <f t="shared" si="71"/>
        <v>0</v>
      </c>
      <c r="AD133" s="70" t="s">
        <v>221</v>
      </c>
      <c r="AE133" s="56"/>
      <c r="AF133" s="1">
        <v>6160000</v>
      </c>
      <c r="AG133" s="168">
        <f t="shared" si="73"/>
        <v>0</v>
      </c>
      <c r="AH133" s="5"/>
      <c r="AI133" s="5"/>
    </row>
    <row r="134" spans="1:35" s="1" customFormat="1" ht="10.5" x14ac:dyDescent="0.25">
      <c r="A134" s="21">
        <v>24</v>
      </c>
      <c r="B134" s="22" t="s">
        <v>1649</v>
      </c>
      <c r="C134" s="50" t="s">
        <v>214</v>
      </c>
      <c r="D134" s="51" t="s">
        <v>215</v>
      </c>
      <c r="E134" s="52" t="s">
        <v>216</v>
      </c>
      <c r="F134" s="24"/>
      <c r="G134" s="24" t="s">
        <v>61</v>
      </c>
      <c r="H134" s="24" t="s">
        <v>62</v>
      </c>
      <c r="I134" s="24">
        <v>2014</v>
      </c>
      <c r="J134" s="24"/>
      <c r="K134" s="24" t="s">
        <v>63</v>
      </c>
      <c r="L134" s="24" t="s">
        <v>64</v>
      </c>
      <c r="M134" s="24">
        <v>1</v>
      </c>
      <c r="N134" s="41">
        <f t="shared" si="74"/>
        <v>3080000</v>
      </c>
      <c r="O134" s="41">
        <v>3080000</v>
      </c>
      <c r="P134" s="24"/>
      <c r="Q134" s="24"/>
      <c r="R134" s="24"/>
      <c r="S134" s="41">
        <f t="shared" si="75"/>
        <v>3080000</v>
      </c>
      <c r="T134" s="24">
        <v>5</v>
      </c>
      <c r="U134" s="41"/>
      <c r="V134" s="24">
        <v>0.5</v>
      </c>
      <c r="W134" s="41">
        <f t="shared" si="76"/>
        <v>0</v>
      </c>
      <c r="X134" s="24"/>
      <c r="Y134" s="41">
        <f t="shared" si="77"/>
        <v>0</v>
      </c>
      <c r="Z134" s="41">
        <f t="shared" si="78"/>
        <v>0</v>
      </c>
      <c r="AA134" s="24">
        <v>5</v>
      </c>
      <c r="AB134" s="41">
        <v>3080000</v>
      </c>
      <c r="AC134" s="41">
        <f t="shared" si="71"/>
        <v>0</v>
      </c>
      <c r="AD134" s="70" t="s">
        <v>222</v>
      </c>
      <c r="AE134" s="56"/>
      <c r="AF134" s="1">
        <v>3080000</v>
      </c>
      <c r="AG134" s="168">
        <f t="shared" si="73"/>
        <v>0</v>
      </c>
      <c r="AH134" s="5"/>
      <c r="AI134" s="5"/>
    </row>
    <row r="135" spans="1:35" s="1" customFormat="1" ht="10.5" x14ac:dyDescent="0.25">
      <c r="A135" s="21">
        <v>25</v>
      </c>
      <c r="B135" s="22" t="s">
        <v>1649</v>
      </c>
      <c r="C135" s="50" t="s">
        <v>214</v>
      </c>
      <c r="D135" s="51" t="s">
        <v>215</v>
      </c>
      <c r="E135" s="52" t="s">
        <v>216</v>
      </c>
      <c r="F135" s="24"/>
      <c r="G135" s="24" t="s">
        <v>61</v>
      </c>
      <c r="H135" s="24" t="s">
        <v>62</v>
      </c>
      <c r="I135" s="24">
        <v>2014</v>
      </c>
      <c r="J135" s="24"/>
      <c r="K135" s="24" t="s">
        <v>63</v>
      </c>
      <c r="L135" s="24" t="s">
        <v>64</v>
      </c>
      <c r="M135" s="24">
        <v>1</v>
      </c>
      <c r="N135" s="41">
        <f t="shared" si="74"/>
        <v>3080000</v>
      </c>
      <c r="O135" s="41">
        <v>3080000</v>
      </c>
      <c r="P135" s="24"/>
      <c r="Q135" s="24"/>
      <c r="R135" s="24"/>
      <c r="S135" s="41">
        <f t="shared" si="75"/>
        <v>3080000</v>
      </c>
      <c r="T135" s="24">
        <v>5</v>
      </c>
      <c r="U135" s="41"/>
      <c r="V135" s="24">
        <v>0.5</v>
      </c>
      <c r="W135" s="41">
        <f t="shared" si="76"/>
        <v>0</v>
      </c>
      <c r="X135" s="24"/>
      <c r="Y135" s="41">
        <f t="shared" si="77"/>
        <v>0</v>
      </c>
      <c r="Z135" s="41">
        <f t="shared" si="78"/>
        <v>0</v>
      </c>
      <c r="AA135" s="24">
        <v>5</v>
      </c>
      <c r="AB135" s="41">
        <v>3080000</v>
      </c>
      <c r="AC135" s="41">
        <f t="shared" si="71"/>
        <v>0</v>
      </c>
      <c r="AD135" s="70" t="s">
        <v>223</v>
      </c>
      <c r="AE135" s="56"/>
      <c r="AF135" s="1">
        <v>3080000</v>
      </c>
      <c r="AG135" s="168">
        <f t="shared" si="73"/>
        <v>0</v>
      </c>
      <c r="AH135" s="5"/>
      <c r="AI135" s="5"/>
    </row>
    <row r="136" spans="1:35" s="1" customFormat="1" ht="10.5" x14ac:dyDescent="0.25">
      <c r="A136" s="21">
        <v>26</v>
      </c>
      <c r="B136" s="22" t="s">
        <v>1649</v>
      </c>
      <c r="C136" s="50" t="s">
        <v>214</v>
      </c>
      <c r="D136" s="51" t="s">
        <v>215</v>
      </c>
      <c r="E136" s="52" t="s">
        <v>216</v>
      </c>
      <c r="F136" s="24"/>
      <c r="G136" s="24" t="s">
        <v>61</v>
      </c>
      <c r="H136" s="24" t="s">
        <v>62</v>
      </c>
      <c r="I136" s="24">
        <v>2014</v>
      </c>
      <c r="J136" s="24"/>
      <c r="K136" s="24" t="s">
        <v>63</v>
      </c>
      <c r="L136" s="24" t="s">
        <v>64</v>
      </c>
      <c r="M136" s="24">
        <v>1</v>
      </c>
      <c r="N136" s="41">
        <f t="shared" si="74"/>
        <v>3080000</v>
      </c>
      <c r="O136" s="41">
        <v>3080000</v>
      </c>
      <c r="P136" s="24"/>
      <c r="Q136" s="24"/>
      <c r="R136" s="24"/>
      <c r="S136" s="41">
        <f t="shared" si="75"/>
        <v>3080000</v>
      </c>
      <c r="T136" s="24">
        <v>5</v>
      </c>
      <c r="U136" s="41"/>
      <c r="V136" s="24">
        <v>0.5</v>
      </c>
      <c r="W136" s="41">
        <f t="shared" si="76"/>
        <v>0</v>
      </c>
      <c r="X136" s="24"/>
      <c r="Y136" s="41">
        <f t="shared" si="77"/>
        <v>0</v>
      </c>
      <c r="Z136" s="41">
        <f t="shared" si="78"/>
        <v>0</v>
      </c>
      <c r="AA136" s="24">
        <v>5</v>
      </c>
      <c r="AB136" s="41">
        <v>3080000</v>
      </c>
      <c r="AC136" s="41">
        <f t="shared" si="71"/>
        <v>0</v>
      </c>
      <c r="AD136" s="70" t="s">
        <v>224</v>
      </c>
      <c r="AE136" s="56"/>
      <c r="AF136" s="1">
        <v>3080000</v>
      </c>
      <c r="AG136" s="168">
        <f t="shared" si="73"/>
        <v>0</v>
      </c>
      <c r="AH136" s="5"/>
      <c r="AI136" s="5"/>
    </row>
    <row r="137" spans="1:35" s="1" customFormat="1" ht="10.5" x14ac:dyDescent="0.25">
      <c r="A137" s="21">
        <v>27</v>
      </c>
      <c r="B137" s="22" t="s">
        <v>1649</v>
      </c>
      <c r="C137" s="50" t="s">
        <v>214</v>
      </c>
      <c r="D137" s="51" t="s">
        <v>215</v>
      </c>
      <c r="E137" s="52" t="s">
        <v>216</v>
      </c>
      <c r="F137" s="24"/>
      <c r="G137" s="24" t="s">
        <v>61</v>
      </c>
      <c r="H137" s="24" t="s">
        <v>62</v>
      </c>
      <c r="I137" s="24">
        <v>2014</v>
      </c>
      <c r="J137" s="24"/>
      <c r="K137" s="24" t="s">
        <v>63</v>
      </c>
      <c r="L137" s="24" t="s">
        <v>64</v>
      </c>
      <c r="M137" s="24">
        <v>1</v>
      </c>
      <c r="N137" s="41">
        <f t="shared" si="74"/>
        <v>3080000</v>
      </c>
      <c r="O137" s="41">
        <v>3080000</v>
      </c>
      <c r="P137" s="24"/>
      <c r="Q137" s="24"/>
      <c r="R137" s="24"/>
      <c r="S137" s="41">
        <f t="shared" si="75"/>
        <v>3080000</v>
      </c>
      <c r="T137" s="24">
        <v>5</v>
      </c>
      <c r="U137" s="41"/>
      <c r="V137" s="24">
        <v>0.5</v>
      </c>
      <c r="W137" s="41">
        <f t="shared" si="76"/>
        <v>0</v>
      </c>
      <c r="X137" s="24"/>
      <c r="Y137" s="41">
        <f>SUM(U137*X137)</f>
        <v>0</v>
      </c>
      <c r="Z137" s="41">
        <f t="shared" si="78"/>
        <v>0</v>
      </c>
      <c r="AA137" s="24">
        <v>5</v>
      </c>
      <c r="AB137" s="41">
        <v>3080000</v>
      </c>
      <c r="AC137" s="41">
        <f t="shared" si="71"/>
        <v>0</v>
      </c>
      <c r="AD137" s="70" t="s">
        <v>225</v>
      </c>
      <c r="AE137" s="56"/>
      <c r="AF137" s="1">
        <v>3080000</v>
      </c>
      <c r="AG137" s="168">
        <f t="shared" si="73"/>
        <v>0</v>
      </c>
      <c r="AH137" s="5"/>
      <c r="AI137" s="5"/>
    </row>
    <row r="138" spans="1:35" s="1" customFormat="1" ht="10.5" x14ac:dyDescent="0.25">
      <c r="A138" s="21">
        <v>28</v>
      </c>
      <c r="B138" s="22" t="s">
        <v>1649</v>
      </c>
      <c r="C138" s="50" t="s">
        <v>214</v>
      </c>
      <c r="D138" s="51" t="s">
        <v>215</v>
      </c>
      <c r="E138" s="52" t="s">
        <v>216</v>
      </c>
      <c r="F138" s="24"/>
      <c r="G138" s="24" t="s">
        <v>61</v>
      </c>
      <c r="H138" s="24" t="s">
        <v>62</v>
      </c>
      <c r="I138" s="24">
        <v>2014</v>
      </c>
      <c r="J138" s="24"/>
      <c r="K138" s="24" t="s">
        <v>63</v>
      </c>
      <c r="L138" s="24" t="s">
        <v>64</v>
      </c>
      <c r="M138" s="24">
        <v>1</v>
      </c>
      <c r="N138" s="41">
        <f t="shared" si="74"/>
        <v>3080000</v>
      </c>
      <c r="O138" s="41">
        <v>3080000</v>
      </c>
      <c r="P138" s="24"/>
      <c r="Q138" s="24"/>
      <c r="R138" s="24"/>
      <c r="S138" s="41">
        <f t="shared" si="75"/>
        <v>3080000</v>
      </c>
      <c r="T138" s="24">
        <v>5</v>
      </c>
      <c r="U138" s="41"/>
      <c r="V138" s="24">
        <v>0.5</v>
      </c>
      <c r="W138" s="41">
        <f t="shared" si="76"/>
        <v>0</v>
      </c>
      <c r="X138" s="24"/>
      <c r="Y138" s="41">
        <f t="shared" si="77"/>
        <v>0</v>
      </c>
      <c r="Z138" s="41">
        <f t="shared" si="78"/>
        <v>0</v>
      </c>
      <c r="AA138" s="24">
        <v>5</v>
      </c>
      <c r="AB138" s="41">
        <v>3080000</v>
      </c>
      <c r="AC138" s="41">
        <f t="shared" si="71"/>
        <v>0</v>
      </c>
      <c r="AD138" s="70" t="s">
        <v>226</v>
      </c>
      <c r="AE138" s="56"/>
      <c r="AF138" s="1">
        <v>3080000</v>
      </c>
      <c r="AG138" s="168">
        <f t="shared" si="73"/>
        <v>0</v>
      </c>
      <c r="AH138" s="5"/>
      <c r="AI138" s="5"/>
    </row>
    <row r="139" spans="1:35" s="1" customFormat="1" ht="10.5" x14ac:dyDescent="0.25">
      <c r="A139" s="21">
        <v>29</v>
      </c>
      <c r="B139" s="22" t="s">
        <v>1649</v>
      </c>
      <c r="C139" s="50" t="s">
        <v>227</v>
      </c>
      <c r="D139" s="51" t="s">
        <v>215</v>
      </c>
      <c r="E139" s="52" t="s">
        <v>228</v>
      </c>
      <c r="F139" s="52"/>
      <c r="G139" s="52" t="s">
        <v>61</v>
      </c>
      <c r="H139" s="52" t="s">
        <v>62</v>
      </c>
      <c r="I139" s="52">
        <v>2015</v>
      </c>
      <c r="J139" s="52"/>
      <c r="K139" s="52" t="s">
        <v>63</v>
      </c>
      <c r="L139" s="52" t="s">
        <v>64</v>
      </c>
      <c r="M139" s="52">
        <v>1</v>
      </c>
      <c r="N139" s="53">
        <f t="shared" si="74"/>
        <v>1999800</v>
      </c>
      <c r="O139" s="53">
        <v>1999800</v>
      </c>
      <c r="P139" s="52"/>
      <c r="Q139" s="52"/>
      <c r="R139" s="52"/>
      <c r="S139" s="53">
        <f t="shared" si="75"/>
        <v>1999800</v>
      </c>
      <c r="T139" s="52">
        <v>5</v>
      </c>
      <c r="U139" s="53">
        <f t="shared" ref="U139:U148" si="79">SUM(S139/T139)</f>
        <v>399960</v>
      </c>
      <c r="V139" s="52">
        <v>0.5</v>
      </c>
      <c r="W139" s="53"/>
      <c r="X139" s="52"/>
      <c r="Y139" s="53">
        <f>SUM(U139*X139)</f>
        <v>0</v>
      </c>
      <c r="Z139" s="53"/>
      <c r="AA139" s="57">
        <v>5</v>
      </c>
      <c r="AB139" s="53">
        <f t="shared" ref="AB139:AB148" si="80">SUM(U139*AA139)</f>
        <v>1999800</v>
      </c>
      <c r="AC139" s="53">
        <f t="shared" si="71"/>
        <v>0</v>
      </c>
      <c r="AD139" s="56" t="s">
        <v>229</v>
      </c>
      <c r="AE139" s="56"/>
      <c r="AF139" s="1">
        <v>1999800</v>
      </c>
      <c r="AG139" s="168">
        <f t="shared" si="73"/>
        <v>0</v>
      </c>
      <c r="AH139" s="5"/>
      <c r="AI139" s="5"/>
    </row>
    <row r="140" spans="1:35" s="1" customFormat="1" ht="10.5" x14ac:dyDescent="0.25">
      <c r="A140" s="21">
        <v>30</v>
      </c>
      <c r="B140" s="22" t="s">
        <v>1649</v>
      </c>
      <c r="C140" s="50" t="s">
        <v>230</v>
      </c>
      <c r="D140" s="51" t="s">
        <v>215</v>
      </c>
      <c r="E140" s="52" t="s">
        <v>228</v>
      </c>
      <c r="F140" s="52"/>
      <c r="G140" s="52" t="s">
        <v>61</v>
      </c>
      <c r="H140" s="52" t="s">
        <v>62</v>
      </c>
      <c r="I140" s="52">
        <v>2015</v>
      </c>
      <c r="J140" s="52"/>
      <c r="K140" s="52" t="s">
        <v>63</v>
      </c>
      <c r="L140" s="52" t="s">
        <v>64</v>
      </c>
      <c r="M140" s="52">
        <v>1</v>
      </c>
      <c r="N140" s="53">
        <f t="shared" si="74"/>
        <v>1999800</v>
      </c>
      <c r="O140" s="53">
        <v>1999800</v>
      </c>
      <c r="P140" s="52"/>
      <c r="Q140" s="52"/>
      <c r="R140" s="52"/>
      <c r="S140" s="53">
        <f t="shared" si="75"/>
        <v>1999800</v>
      </c>
      <c r="T140" s="52">
        <v>5</v>
      </c>
      <c r="U140" s="53">
        <f t="shared" si="79"/>
        <v>399960</v>
      </c>
      <c r="V140" s="52">
        <v>0.5</v>
      </c>
      <c r="W140" s="53"/>
      <c r="X140" s="52"/>
      <c r="Y140" s="53">
        <f t="shared" ref="Y140:Y148" si="81">SUM(U140*X140)</f>
        <v>0</v>
      </c>
      <c r="Z140" s="53"/>
      <c r="AA140" s="57">
        <v>5</v>
      </c>
      <c r="AB140" s="53">
        <f t="shared" si="80"/>
        <v>1999800</v>
      </c>
      <c r="AC140" s="53">
        <f t="shared" si="71"/>
        <v>0</v>
      </c>
      <c r="AD140" s="56" t="s">
        <v>231</v>
      </c>
      <c r="AE140" s="56"/>
      <c r="AF140" s="1">
        <v>1999800</v>
      </c>
      <c r="AG140" s="168">
        <f t="shared" si="73"/>
        <v>0</v>
      </c>
      <c r="AH140" s="5"/>
      <c r="AI140" s="5"/>
    </row>
    <row r="141" spans="1:35" s="1" customFormat="1" ht="10.5" x14ac:dyDescent="0.25">
      <c r="A141" s="21">
        <v>31</v>
      </c>
      <c r="B141" s="22" t="s">
        <v>1649</v>
      </c>
      <c r="C141" s="50" t="s">
        <v>232</v>
      </c>
      <c r="D141" s="51" t="s">
        <v>215</v>
      </c>
      <c r="E141" s="52" t="s">
        <v>228</v>
      </c>
      <c r="F141" s="52"/>
      <c r="G141" s="52" t="s">
        <v>61</v>
      </c>
      <c r="H141" s="52" t="s">
        <v>62</v>
      </c>
      <c r="I141" s="52">
        <v>2015</v>
      </c>
      <c r="J141" s="52"/>
      <c r="K141" s="52" t="s">
        <v>63</v>
      </c>
      <c r="L141" s="52" t="s">
        <v>64</v>
      </c>
      <c r="M141" s="52">
        <v>1</v>
      </c>
      <c r="N141" s="53">
        <f t="shared" si="74"/>
        <v>1999800</v>
      </c>
      <c r="O141" s="53">
        <v>1999800</v>
      </c>
      <c r="P141" s="52"/>
      <c r="Q141" s="52"/>
      <c r="R141" s="52"/>
      <c r="S141" s="53">
        <f t="shared" si="75"/>
        <v>1999800</v>
      </c>
      <c r="T141" s="52">
        <v>5</v>
      </c>
      <c r="U141" s="53">
        <f t="shared" si="79"/>
        <v>399960</v>
      </c>
      <c r="V141" s="52">
        <v>0.5</v>
      </c>
      <c r="W141" s="53"/>
      <c r="X141" s="52"/>
      <c r="Y141" s="53">
        <f t="shared" si="81"/>
        <v>0</v>
      </c>
      <c r="Z141" s="53"/>
      <c r="AA141" s="52">
        <v>5</v>
      </c>
      <c r="AB141" s="53">
        <f t="shared" si="80"/>
        <v>1999800</v>
      </c>
      <c r="AC141" s="53">
        <f t="shared" si="71"/>
        <v>0</v>
      </c>
      <c r="AD141" s="56" t="s">
        <v>233</v>
      </c>
      <c r="AE141" s="56"/>
      <c r="AF141" s="1">
        <v>1999800</v>
      </c>
      <c r="AG141" s="168">
        <f t="shared" si="73"/>
        <v>0</v>
      </c>
      <c r="AH141" s="5"/>
      <c r="AI141" s="5"/>
    </row>
    <row r="142" spans="1:35" s="1" customFormat="1" ht="10.5" x14ac:dyDescent="0.25">
      <c r="A142" s="21">
        <v>32</v>
      </c>
      <c r="B142" s="22" t="s">
        <v>1649</v>
      </c>
      <c r="C142" s="50" t="s">
        <v>234</v>
      </c>
      <c r="D142" s="51" t="s">
        <v>215</v>
      </c>
      <c r="E142" s="52" t="s">
        <v>228</v>
      </c>
      <c r="F142" s="52"/>
      <c r="G142" s="52" t="s">
        <v>61</v>
      </c>
      <c r="H142" s="52" t="s">
        <v>62</v>
      </c>
      <c r="I142" s="52">
        <v>2015</v>
      </c>
      <c r="J142" s="52"/>
      <c r="K142" s="52" t="s">
        <v>63</v>
      </c>
      <c r="L142" s="52" t="s">
        <v>64</v>
      </c>
      <c r="M142" s="52">
        <v>1</v>
      </c>
      <c r="N142" s="53">
        <f t="shared" si="74"/>
        <v>1999800</v>
      </c>
      <c r="O142" s="53">
        <v>1999800</v>
      </c>
      <c r="P142" s="52"/>
      <c r="Q142" s="52"/>
      <c r="R142" s="52"/>
      <c r="S142" s="53">
        <f t="shared" si="75"/>
        <v>1999800</v>
      </c>
      <c r="T142" s="52">
        <v>5</v>
      </c>
      <c r="U142" s="53">
        <f t="shared" si="79"/>
        <v>399960</v>
      </c>
      <c r="V142" s="52">
        <v>0.5</v>
      </c>
      <c r="W142" s="53"/>
      <c r="X142" s="52"/>
      <c r="Y142" s="53">
        <f t="shared" si="81"/>
        <v>0</v>
      </c>
      <c r="Z142" s="53"/>
      <c r="AA142" s="52">
        <v>5</v>
      </c>
      <c r="AB142" s="53">
        <f t="shared" si="80"/>
        <v>1999800</v>
      </c>
      <c r="AC142" s="53">
        <f t="shared" si="71"/>
        <v>0</v>
      </c>
      <c r="AD142" s="56" t="s">
        <v>235</v>
      </c>
      <c r="AE142" s="56"/>
      <c r="AF142" s="1">
        <v>1999800</v>
      </c>
      <c r="AG142" s="168">
        <f t="shared" si="73"/>
        <v>0</v>
      </c>
      <c r="AH142" s="5"/>
      <c r="AI142" s="5"/>
    </row>
    <row r="143" spans="1:35" s="1" customFormat="1" ht="10.5" x14ac:dyDescent="0.25">
      <c r="A143" s="21">
        <v>33</v>
      </c>
      <c r="B143" s="22" t="s">
        <v>1649</v>
      </c>
      <c r="C143" s="50" t="s">
        <v>236</v>
      </c>
      <c r="D143" s="51" t="s">
        <v>215</v>
      </c>
      <c r="E143" s="52" t="s">
        <v>228</v>
      </c>
      <c r="F143" s="52"/>
      <c r="G143" s="52" t="s">
        <v>61</v>
      </c>
      <c r="H143" s="52" t="s">
        <v>62</v>
      </c>
      <c r="I143" s="52">
        <v>2015</v>
      </c>
      <c r="J143" s="52"/>
      <c r="K143" s="52" t="s">
        <v>63</v>
      </c>
      <c r="L143" s="52" t="s">
        <v>64</v>
      </c>
      <c r="M143" s="52">
        <v>1</v>
      </c>
      <c r="N143" s="53">
        <f t="shared" si="74"/>
        <v>1999800</v>
      </c>
      <c r="O143" s="53">
        <v>1999800</v>
      </c>
      <c r="P143" s="52"/>
      <c r="Q143" s="52"/>
      <c r="R143" s="52"/>
      <c r="S143" s="53">
        <f t="shared" si="75"/>
        <v>1999800</v>
      </c>
      <c r="T143" s="52">
        <v>5</v>
      </c>
      <c r="U143" s="53">
        <f t="shared" si="79"/>
        <v>399960</v>
      </c>
      <c r="V143" s="52">
        <v>0.5</v>
      </c>
      <c r="W143" s="53"/>
      <c r="X143" s="52"/>
      <c r="Y143" s="53">
        <f t="shared" si="81"/>
        <v>0</v>
      </c>
      <c r="Z143" s="53"/>
      <c r="AA143" s="52">
        <v>5</v>
      </c>
      <c r="AB143" s="53">
        <f t="shared" si="80"/>
        <v>1999800</v>
      </c>
      <c r="AC143" s="53">
        <f t="shared" si="71"/>
        <v>0</v>
      </c>
      <c r="AD143" s="56" t="s">
        <v>237</v>
      </c>
      <c r="AE143" s="56"/>
      <c r="AF143" s="1">
        <v>1999800</v>
      </c>
      <c r="AG143" s="168">
        <f t="shared" si="73"/>
        <v>0</v>
      </c>
      <c r="AH143" s="5"/>
      <c r="AI143" s="5"/>
    </row>
    <row r="144" spans="1:35" s="1" customFormat="1" ht="10.5" x14ac:dyDescent="0.25">
      <c r="A144" s="21">
        <v>34</v>
      </c>
      <c r="B144" s="22" t="s">
        <v>1649</v>
      </c>
      <c r="C144" s="50" t="s">
        <v>238</v>
      </c>
      <c r="D144" s="51" t="s">
        <v>215</v>
      </c>
      <c r="E144" s="52" t="s">
        <v>228</v>
      </c>
      <c r="F144" s="52"/>
      <c r="G144" s="52" t="s">
        <v>61</v>
      </c>
      <c r="H144" s="52" t="s">
        <v>62</v>
      </c>
      <c r="I144" s="52">
        <v>2015</v>
      </c>
      <c r="J144" s="52"/>
      <c r="K144" s="52" t="s">
        <v>63</v>
      </c>
      <c r="L144" s="52" t="s">
        <v>64</v>
      </c>
      <c r="M144" s="52">
        <v>1</v>
      </c>
      <c r="N144" s="53">
        <f t="shared" si="74"/>
        <v>1999800</v>
      </c>
      <c r="O144" s="53">
        <v>1999800</v>
      </c>
      <c r="P144" s="52"/>
      <c r="Q144" s="52"/>
      <c r="R144" s="52"/>
      <c r="S144" s="53">
        <f t="shared" si="75"/>
        <v>1999800</v>
      </c>
      <c r="T144" s="52">
        <v>5</v>
      </c>
      <c r="U144" s="53">
        <f t="shared" si="79"/>
        <v>399960</v>
      </c>
      <c r="V144" s="52">
        <v>0.5</v>
      </c>
      <c r="W144" s="53"/>
      <c r="X144" s="52"/>
      <c r="Y144" s="53">
        <f t="shared" si="81"/>
        <v>0</v>
      </c>
      <c r="Z144" s="53"/>
      <c r="AA144" s="52">
        <v>5</v>
      </c>
      <c r="AB144" s="53">
        <f t="shared" si="80"/>
        <v>1999800</v>
      </c>
      <c r="AC144" s="53">
        <f t="shared" si="71"/>
        <v>0</v>
      </c>
      <c r="AD144" s="56" t="s">
        <v>239</v>
      </c>
      <c r="AE144" s="56"/>
      <c r="AF144" s="1">
        <v>1999800</v>
      </c>
      <c r="AG144" s="168">
        <f t="shared" si="73"/>
        <v>0</v>
      </c>
      <c r="AH144" s="5"/>
      <c r="AI144" s="5"/>
    </row>
    <row r="145" spans="1:35" s="1" customFormat="1" ht="10.5" x14ac:dyDescent="0.25">
      <c r="A145" s="21">
        <v>35</v>
      </c>
      <c r="B145" s="22" t="s">
        <v>1649</v>
      </c>
      <c r="C145" s="50" t="s">
        <v>240</v>
      </c>
      <c r="D145" s="51" t="s">
        <v>215</v>
      </c>
      <c r="E145" s="52" t="s">
        <v>228</v>
      </c>
      <c r="F145" s="52"/>
      <c r="G145" s="52" t="s">
        <v>61</v>
      </c>
      <c r="H145" s="52" t="s">
        <v>62</v>
      </c>
      <c r="I145" s="52">
        <v>2015</v>
      </c>
      <c r="J145" s="52"/>
      <c r="K145" s="52" t="s">
        <v>63</v>
      </c>
      <c r="L145" s="52" t="s">
        <v>64</v>
      </c>
      <c r="M145" s="52">
        <v>1</v>
      </c>
      <c r="N145" s="53">
        <f t="shared" si="74"/>
        <v>1999800</v>
      </c>
      <c r="O145" s="53">
        <v>1999800</v>
      </c>
      <c r="P145" s="52"/>
      <c r="Q145" s="52"/>
      <c r="R145" s="52"/>
      <c r="S145" s="53">
        <f t="shared" si="75"/>
        <v>1999800</v>
      </c>
      <c r="T145" s="52">
        <v>5</v>
      </c>
      <c r="U145" s="53">
        <f t="shared" si="79"/>
        <v>399960</v>
      </c>
      <c r="V145" s="52">
        <v>0.5</v>
      </c>
      <c r="W145" s="53"/>
      <c r="X145" s="52"/>
      <c r="Y145" s="53">
        <f t="shared" si="81"/>
        <v>0</v>
      </c>
      <c r="Z145" s="53"/>
      <c r="AA145" s="52">
        <v>5</v>
      </c>
      <c r="AB145" s="53">
        <f t="shared" si="80"/>
        <v>1999800</v>
      </c>
      <c r="AC145" s="53">
        <f t="shared" si="71"/>
        <v>0</v>
      </c>
      <c r="AD145" s="56" t="s">
        <v>241</v>
      </c>
      <c r="AE145" s="56"/>
      <c r="AF145" s="1">
        <v>1999800</v>
      </c>
      <c r="AG145" s="168">
        <f t="shared" si="73"/>
        <v>0</v>
      </c>
      <c r="AH145" s="5"/>
      <c r="AI145" s="5"/>
    </row>
    <row r="146" spans="1:35" s="1" customFormat="1" ht="10.5" x14ac:dyDescent="0.25">
      <c r="A146" s="21">
        <v>36</v>
      </c>
      <c r="B146" s="22" t="s">
        <v>1649</v>
      </c>
      <c r="C146" s="50" t="s">
        <v>242</v>
      </c>
      <c r="D146" s="51" t="s">
        <v>215</v>
      </c>
      <c r="E146" s="52" t="s">
        <v>228</v>
      </c>
      <c r="F146" s="52"/>
      <c r="G146" s="52" t="s">
        <v>61</v>
      </c>
      <c r="H146" s="52" t="s">
        <v>62</v>
      </c>
      <c r="I146" s="52">
        <v>2015</v>
      </c>
      <c r="J146" s="52"/>
      <c r="K146" s="52" t="s">
        <v>63</v>
      </c>
      <c r="L146" s="52" t="s">
        <v>64</v>
      </c>
      <c r="M146" s="52">
        <v>1</v>
      </c>
      <c r="N146" s="53">
        <f t="shared" si="74"/>
        <v>1999800</v>
      </c>
      <c r="O146" s="53">
        <v>1999800</v>
      </c>
      <c r="P146" s="52"/>
      <c r="Q146" s="52"/>
      <c r="R146" s="52"/>
      <c r="S146" s="53">
        <f t="shared" si="75"/>
        <v>1999800</v>
      </c>
      <c r="T146" s="52">
        <v>5</v>
      </c>
      <c r="U146" s="53">
        <f t="shared" si="79"/>
        <v>399960</v>
      </c>
      <c r="V146" s="52">
        <v>0.5</v>
      </c>
      <c r="W146" s="53"/>
      <c r="X146" s="52"/>
      <c r="Y146" s="53">
        <f t="shared" si="81"/>
        <v>0</v>
      </c>
      <c r="Z146" s="53"/>
      <c r="AA146" s="52">
        <v>5</v>
      </c>
      <c r="AB146" s="53">
        <f t="shared" si="80"/>
        <v>1999800</v>
      </c>
      <c r="AC146" s="53">
        <f t="shared" si="71"/>
        <v>0</v>
      </c>
      <c r="AD146" s="56" t="s">
        <v>243</v>
      </c>
      <c r="AE146" s="56"/>
      <c r="AF146" s="1">
        <v>1999800</v>
      </c>
      <c r="AG146" s="168">
        <f t="shared" si="73"/>
        <v>0</v>
      </c>
      <c r="AH146" s="5"/>
      <c r="AI146" s="5"/>
    </row>
    <row r="147" spans="1:35" s="1" customFormat="1" ht="10.5" x14ac:dyDescent="0.25">
      <c r="A147" s="21">
        <v>37</v>
      </c>
      <c r="B147" s="22" t="s">
        <v>1649</v>
      </c>
      <c r="C147" s="50" t="s">
        <v>244</v>
      </c>
      <c r="D147" s="51" t="s">
        <v>215</v>
      </c>
      <c r="E147" s="52" t="s">
        <v>228</v>
      </c>
      <c r="F147" s="52"/>
      <c r="G147" s="52" t="s">
        <v>61</v>
      </c>
      <c r="H147" s="52" t="s">
        <v>62</v>
      </c>
      <c r="I147" s="52">
        <v>2015</v>
      </c>
      <c r="J147" s="52"/>
      <c r="K147" s="52" t="s">
        <v>63</v>
      </c>
      <c r="L147" s="52" t="s">
        <v>64</v>
      </c>
      <c r="M147" s="52">
        <v>1</v>
      </c>
      <c r="N147" s="53">
        <f t="shared" si="74"/>
        <v>1999800</v>
      </c>
      <c r="O147" s="53">
        <v>1999800</v>
      </c>
      <c r="P147" s="52"/>
      <c r="Q147" s="52"/>
      <c r="R147" s="52"/>
      <c r="S147" s="53">
        <f t="shared" si="75"/>
        <v>1999800</v>
      </c>
      <c r="T147" s="52">
        <v>5</v>
      </c>
      <c r="U147" s="53">
        <f t="shared" si="79"/>
        <v>399960</v>
      </c>
      <c r="V147" s="52">
        <v>0.5</v>
      </c>
      <c r="W147" s="53"/>
      <c r="X147" s="52"/>
      <c r="Y147" s="53">
        <f t="shared" si="81"/>
        <v>0</v>
      </c>
      <c r="Z147" s="53"/>
      <c r="AA147" s="52">
        <v>5</v>
      </c>
      <c r="AB147" s="53">
        <f t="shared" si="80"/>
        <v>1999800</v>
      </c>
      <c r="AC147" s="53">
        <f t="shared" si="71"/>
        <v>0</v>
      </c>
      <c r="AD147" s="56" t="s">
        <v>245</v>
      </c>
      <c r="AE147" s="56"/>
      <c r="AF147" s="1">
        <v>1999800</v>
      </c>
      <c r="AG147" s="168">
        <f t="shared" si="73"/>
        <v>0</v>
      </c>
      <c r="AH147" s="5"/>
      <c r="AI147" s="5"/>
    </row>
    <row r="148" spans="1:35" s="1" customFormat="1" ht="10.5" x14ac:dyDescent="0.25">
      <c r="A148" s="21">
        <v>38</v>
      </c>
      <c r="B148" s="22" t="s">
        <v>1649</v>
      </c>
      <c r="C148" s="50" t="s">
        <v>246</v>
      </c>
      <c r="D148" s="51" t="s">
        <v>215</v>
      </c>
      <c r="E148" s="52" t="s">
        <v>228</v>
      </c>
      <c r="F148" s="52"/>
      <c r="G148" s="52" t="s">
        <v>61</v>
      </c>
      <c r="H148" s="52" t="s">
        <v>62</v>
      </c>
      <c r="I148" s="52">
        <v>2015</v>
      </c>
      <c r="J148" s="52"/>
      <c r="K148" s="52" t="s">
        <v>63</v>
      </c>
      <c r="L148" s="52" t="s">
        <v>64</v>
      </c>
      <c r="M148" s="52">
        <v>1</v>
      </c>
      <c r="N148" s="53">
        <f t="shared" si="74"/>
        <v>1999800</v>
      </c>
      <c r="O148" s="53">
        <v>1999800</v>
      </c>
      <c r="P148" s="52"/>
      <c r="Q148" s="52"/>
      <c r="R148" s="52"/>
      <c r="S148" s="53">
        <f t="shared" si="75"/>
        <v>1999800</v>
      </c>
      <c r="T148" s="52">
        <v>5</v>
      </c>
      <c r="U148" s="53">
        <f t="shared" si="79"/>
        <v>399960</v>
      </c>
      <c r="V148" s="52">
        <v>0.5</v>
      </c>
      <c r="W148" s="53"/>
      <c r="X148" s="52"/>
      <c r="Y148" s="53">
        <f t="shared" si="81"/>
        <v>0</v>
      </c>
      <c r="Z148" s="53"/>
      <c r="AA148" s="52">
        <v>5</v>
      </c>
      <c r="AB148" s="53">
        <f t="shared" si="80"/>
        <v>1999800</v>
      </c>
      <c r="AC148" s="53">
        <f t="shared" si="71"/>
        <v>0</v>
      </c>
      <c r="AD148" s="56" t="s">
        <v>245</v>
      </c>
      <c r="AE148" s="56"/>
      <c r="AF148" s="1">
        <v>1999800</v>
      </c>
      <c r="AG148" s="168">
        <f t="shared" si="73"/>
        <v>0</v>
      </c>
      <c r="AH148" s="5"/>
      <c r="AI148" s="5"/>
    </row>
    <row r="149" spans="1:35" s="1" customFormat="1" ht="10.5" x14ac:dyDescent="0.25">
      <c r="A149" s="21">
        <v>39</v>
      </c>
      <c r="B149" s="22" t="s">
        <v>1650</v>
      </c>
      <c r="C149" s="50" t="s">
        <v>317</v>
      </c>
      <c r="D149" s="51" t="s">
        <v>318</v>
      </c>
      <c r="E149" s="52" t="s">
        <v>166</v>
      </c>
      <c r="F149" s="52"/>
      <c r="G149" s="52" t="s">
        <v>319</v>
      </c>
      <c r="H149" s="52" t="s">
        <v>62</v>
      </c>
      <c r="I149" s="52">
        <v>2014</v>
      </c>
      <c r="J149" s="52"/>
      <c r="K149" s="52" t="s">
        <v>63</v>
      </c>
      <c r="L149" s="52" t="s">
        <v>64</v>
      </c>
      <c r="M149" s="52">
        <v>3</v>
      </c>
      <c r="N149" s="53">
        <f t="shared" ref="N149:N166" si="82">SUM(O149/M149)</f>
        <v>2640000</v>
      </c>
      <c r="O149" s="53">
        <v>7920000</v>
      </c>
      <c r="P149" s="52"/>
      <c r="Q149" s="52"/>
      <c r="R149" s="52"/>
      <c r="S149" s="53">
        <f t="shared" ref="S149:S168" si="83">SUM(O149-R149)</f>
        <v>7920000</v>
      </c>
      <c r="T149" s="52">
        <v>5</v>
      </c>
      <c r="U149" s="53"/>
      <c r="V149" s="52">
        <v>0.5</v>
      </c>
      <c r="W149" s="53">
        <f t="shared" ref="W149:W166" si="84">SUM(U149*V149)</f>
        <v>0</v>
      </c>
      <c r="X149" s="52"/>
      <c r="Y149" s="53">
        <f t="shared" ref="Y149:Y166" si="85">SUM(U149*X149)</f>
        <v>0</v>
      </c>
      <c r="Z149" s="53">
        <f t="shared" ref="Z149:Z166" si="86">SUM(W149+Y149)</f>
        <v>0</v>
      </c>
      <c r="AA149" s="52">
        <v>5</v>
      </c>
      <c r="AB149" s="53">
        <v>7920000</v>
      </c>
      <c r="AC149" s="53">
        <f t="shared" si="71"/>
        <v>0</v>
      </c>
      <c r="AD149" s="56" t="s">
        <v>320</v>
      </c>
      <c r="AE149" s="56"/>
      <c r="AF149" s="1">
        <v>7920000</v>
      </c>
      <c r="AG149" s="168">
        <f t="shared" si="73"/>
        <v>0</v>
      </c>
      <c r="AH149" s="5"/>
      <c r="AI149" s="5"/>
    </row>
    <row r="150" spans="1:35" s="1" customFormat="1" ht="10.5" x14ac:dyDescent="0.25">
      <c r="A150" s="21">
        <v>40</v>
      </c>
      <c r="B150" s="22" t="s">
        <v>1650</v>
      </c>
      <c r="C150" s="50" t="s">
        <v>321</v>
      </c>
      <c r="D150" s="51" t="s">
        <v>318</v>
      </c>
      <c r="E150" s="52" t="s">
        <v>166</v>
      </c>
      <c r="F150" s="52"/>
      <c r="G150" s="52" t="s">
        <v>319</v>
      </c>
      <c r="H150" s="52" t="s">
        <v>62</v>
      </c>
      <c r="I150" s="52">
        <v>2014</v>
      </c>
      <c r="J150" s="52"/>
      <c r="K150" s="52" t="s">
        <v>63</v>
      </c>
      <c r="L150" s="52" t="s">
        <v>64</v>
      </c>
      <c r="M150" s="52">
        <v>3</v>
      </c>
      <c r="N150" s="53">
        <f t="shared" si="82"/>
        <v>2640000</v>
      </c>
      <c r="O150" s="53">
        <v>7920000</v>
      </c>
      <c r="P150" s="52"/>
      <c r="Q150" s="52"/>
      <c r="R150" s="52"/>
      <c r="S150" s="53">
        <f t="shared" si="83"/>
        <v>7920000</v>
      </c>
      <c r="T150" s="52">
        <v>5</v>
      </c>
      <c r="U150" s="53"/>
      <c r="V150" s="52">
        <v>0.5</v>
      </c>
      <c r="W150" s="53">
        <f t="shared" si="84"/>
        <v>0</v>
      </c>
      <c r="X150" s="52"/>
      <c r="Y150" s="53">
        <f t="shared" si="85"/>
        <v>0</v>
      </c>
      <c r="Z150" s="53">
        <f t="shared" si="86"/>
        <v>0</v>
      </c>
      <c r="AA150" s="52">
        <v>5</v>
      </c>
      <c r="AB150" s="53">
        <v>7920000</v>
      </c>
      <c r="AC150" s="53">
        <f t="shared" si="71"/>
        <v>0</v>
      </c>
      <c r="AD150" s="56" t="s">
        <v>322</v>
      </c>
      <c r="AE150" s="56"/>
      <c r="AF150" s="1">
        <v>7920000</v>
      </c>
      <c r="AG150" s="168">
        <f t="shared" si="73"/>
        <v>0</v>
      </c>
      <c r="AH150" s="5"/>
      <c r="AI150" s="5"/>
    </row>
    <row r="151" spans="1:35" s="1" customFormat="1" ht="10.5" x14ac:dyDescent="0.25">
      <c r="A151" s="21">
        <v>41</v>
      </c>
      <c r="B151" s="22" t="s">
        <v>1650</v>
      </c>
      <c r="C151" s="50" t="s">
        <v>323</v>
      </c>
      <c r="D151" s="51" t="s">
        <v>318</v>
      </c>
      <c r="E151" s="52" t="s">
        <v>166</v>
      </c>
      <c r="F151" s="52"/>
      <c r="G151" s="52" t="s">
        <v>319</v>
      </c>
      <c r="H151" s="52" t="s">
        <v>62</v>
      </c>
      <c r="I151" s="52">
        <v>2014</v>
      </c>
      <c r="J151" s="52"/>
      <c r="K151" s="52" t="s">
        <v>63</v>
      </c>
      <c r="L151" s="52" t="s">
        <v>64</v>
      </c>
      <c r="M151" s="52">
        <v>3</v>
      </c>
      <c r="N151" s="53">
        <f t="shared" si="82"/>
        <v>2640000</v>
      </c>
      <c r="O151" s="53">
        <v>7920000</v>
      </c>
      <c r="P151" s="52"/>
      <c r="Q151" s="52"/>
      <c r="R151" s="52"/>
      <c r="S151" s="53">
        <f t="shared" si="83"/>
        <v>7920000</v>
      </c>
      <c r="T151" s="52">
        <v>5</v>
      </c>
      <c r="U151" s="53"/>
      <c r="V151" s="52">
        <v>0.5</v>
      </c>
      <c r="W151" s="53">
        <f t="shared" si="84"/>
        <v>0</v>
      </c>
      <c r="X151" s="52"/>
      <c r="Y151" s="53">
        <f t="shared" si="85"/>
        <v>0</v>
      </c>
      <c r="Z151" s="53">
        <f t="shared" si="86"/>
        <v>0</v>
      </c>
      <c r="AA151" s="52">
        <v>5</v>
      </c>
      <c r="AB151" s="53">
        <v>7920000</v>
      </c>
      <c r="AC151" s="53">
        <f t="shared" si="71"/>
        <v>0</v>
      </c>
      <c r="AD151" s="56" t="s">
        <v>324</v>
      </c>
      <c r="AE151" s="56"/>
      <c r="AF151" s="1">
        <v>7920000</v>
      </c>
      <c r="AG151" s="168">
        <f t="shared" si="73"/>
        <v>0</v>
      </c>
      <c r="AH151" s="5"/>
      <c r="AI151" s="5"/>
    </row>
    <row r="152" spans="1:35" s="1" customFormat="1" ht="10.5" x14ac:dyDescent="0.25">
      <c r="A152" s="21">
        <v>42</v>
      </c>
      <c r="B152" s="22" t="s">
        <v>1650</v>
      </c>
      <c r="C152" s="50" t="s">
        <v>325</v>
      </c>
      <c r="D152" s="51" t="s">
        <v>318</v>
      </c>
      <c r="E152" s="52" t="s">
        <v>166</v>
      </c>
      <c r="F152" s="52"/>
      <c r="G152" s="52" t="s">
        <v>319</v>
      </c>
      <c r="H152" s="52" t="s">
        <v>62</v>
      </c>
      <c r="I152" s="52">
        <v>2014</v>
      </c>
      <c r="J152" s="52"/>
      <c r="K152" s="52" t="s">
        <v>63</v>
      </c>
      <c r="L152" s="52" t="s">
        <v>64</v>
      </c>
      <c r="M152" s="52">
        <v>3</v>
      </c>
      <c r="N152" s="53">
        <f t="shared" si="82"/>
        <v>2640000</v>
      </c>
      <c r="O152" s="53">
        <v>7920000</v>
      </c>
      <c r="P152" s="52"/>
      <c r="Q152" s="52"/>
      <c r="R152" s="52"/>
      <c r="S152" s="53">
        <f t="shared" si="83"/>
        <v>7920000</v>
      </c>
      <c r="T152" s="52">
        <v>5</v>
      </c>
      <c r="U152" s="53"/>
      <c r="V152" s="52">
        <v>0.5</v>
      </c>
      <c r="W152" s="53">
        <f t="shared" si="84"/>
        <v>0</v>
      </c>
      <c r="X152" s="52"/>
      <c r="Y152" s="53">
        <f t="shared" si="85"/>
        <v>0</v>
      </c>
      <c r="Z152" s="53">
        <f t="shared" si="86"/>
        <v>0</v>
      </c>
      <c r="AA152" s="52">
        <v>5</v>
      </c>
      <c r="AB152" s="53">
        <v>7920000</v>
      </c>
      <c r="AC152" s="53">
        <f t="shared" si="71"/>
        <v>0</v>
      </c>
      <c r="AD152" s="56" t="s">
        <v>326</v>
      </c>
      <c r="AE152" s="56"/>
      <c r="AF152" s="1">
        <v>7920000</v>
      </c>
      <c r="AG152" s="168">
        <f t="shared" si="73"/>
        <v>0</v>
      </c>
      <c r="AH152" s="5"/>
      <c r="AI152" s="5"/>
    </row>
    <row r="153" spans="1:35" s="1" customFormat="1" ht="10.5" x14ac:dyDescent="0.25">
      <c r="A153" s="21">
        <v>43</v>
      </c>
      <c r="B153" s="22" t="s">
        <v>1650</v>
      </c>
      <c r="C153" s="50" t="s">
        <v>327</v>
      </c>
      <c r="D153" s="51" t="s">
        <v>318</v>
      </c>
      <c r="E153" s="52" t="s">
        <v>166</v>
      </c>
      <c r="F153" s="52"/>
      <c r="G153" s="52" t="s">
        <v>319</v>
      </c>
      <c r="H153" s="52" t="s">
        <v>62</v>
      </c>
      <c r="I153" s="52">
        <v>2014</v>
      </c>
      <c r="J153" s="52"/>
      <c r="K153" s="52" t="s">
        <v>63</v>
      </c>
      <c r="L153" s="52" t="s">
        <v>64</v>
      </c>
      <c r="M153" s="52">
        <v>1</v>
      </c>
      <c r="N153" s="53">
        <f t="shared" si="82"/>
        <v>2640000</v>
      </c>
      <c r="O153" s="53">
        <v>2640000</v>
      </c>
      <c r="P153" s="52"/>
      <c r="Q153" s="52"/>
      <c r="R153" s="52"/>
      <c r="S153" s="53">
        <f t="shared" si="83"/>
        <v>2640000</v>
      </c>
      <c r="T153" s="52">
        <v>5</v>
      </c>
      <c r="U153" s="53"/>
      <c r="V153" s="52">
        <v>0.5</v>
      </c>
      <c r="W153" s="53">
        <f t="shared" si="84"/>
        <v>0</v>
      </c>
      <c r="X153" s="52"/>
      <c r="Y153" s="53">
        <f t="shared" si="85"/>
        <v>0</v>
      </c>
      <c r="Z153" s="53">
        <f t="shared" si="86"/>
        <v>0</v>
      </c>
      <c r="AA153" s="52">
        <v>5</v>
      </c>
      <c r="AB153" s="53">
        <v>2640000</v>
      </c>
      <c r="AC153" s="53">
        <f t="shared" si="71"/>
        <v>0</v>
      </c>
      <c r="AD153" s="56" t="s">
        <v>328</v>
      </c>
      <c r="AE153" s="56"/>
      <c r="AF153" s="1">
        <v>2640000</v>
      </c>
      <c r="AG153" s="168">
        <f t="shared" si="73"/>
        <v>0</v>
      </c>
      <c r="AH153" s="5"/>
      <c r="AI153" s="5"/>
    </row>
    <row r="154" spans="1:35" s="1" customFormat="1" ht="10.5" x14ac:dyDescent="0.25">
      <c r="A154" s="21">
        <v>44</v>
      </c>
      <c r="B154" s="22" t="s">
        <v>1650</v>
      </c>
      <c r="C154" s="50" t="s">
        <v>329</v>
      </c>
      <c r="D154" s="51" t="s">
        <v>318</v>
      </c>
      <c r="E154" s="52" t="s">
        <v>166</v>
      </c>
      <c r="F154" s="52"/>
      <c r="G154" s="52" t="s">
        <v>319</v>
      </c>
      <c r="H154" s="52" t="s">
        <v>62</v>
      </c>
      <c r="I154" s="52">
        <v>2014</v>
      </c>
      <c r="J154" s="52"/>
      <c r="K154" s="52" t="s">
        <v>63</v>
      </c>
      <c r="L154" s="52" t="s">
        <v>64</v>
      </c>
      <c r="M154" s="52">
        <v>1</v>
      </c>
      <c r="N154" s="53">
        <f t="shared" si="82"/>
        <v>2640000</v>
      </c>
      <c r="O154" s="53">
        <v>2640000</v>
      </c>
      <c r="P154" s="52"/>
      <c r="Q154" s="52"/>
      <c r="R154" s="52"/>
      <c r="S154" s="53">
        <f t="shared" si="83"/>
        <v>2640000</v>
      </c>
      <c r="T154" s="52">
        <v>5</v>
      </c>
      <c r="U154" s="53"/>
      <c r="V154" s="52">
        <v>0.5</v>
      </c>
      <c r="W154" s="53">
        <f t="shared" si="84"/>
        <v>0</v>
      </c>
      <c r="X154" s="52"/>
      <c r="Y154" s="53">
        <f t="shared" si="85"/>
        <v>0</v>
      </c>
      <c r="Z154" s="53">
        <f t="shared" si="86"/>
        <v>0</v>
      </c>
      <c r="AA154" s="52">
        <v>5</v>
      </c>
      <c r="AB154" s="53">
        <v>2640000</v>
      </c>
      <c r="AC154" s="53">
        <f t="shared" si="71"/>
        <v>0</v>
      </c>
      <c r="AD154" s="56" t="s">
        <v>276</v>
      </c>
      <c r="AE154" s="56"/>
      <c r="AF154" s="1">
        <v>2640000</v>
      </c>
      <c r="AG154" s="168">
        <f t="shared" si="73"/>
        <v>0</v>
      </c>
      <c r="AH154" s="5"/>
      <c r="AI154" s="5"/>
    </row>
    <row r="155" spans="1:35" s="1" customFormat="1" ht="10.5" x14ac:dyDescent="0.25">
      <c r="A155" s="21">
        <v>45</v>
      </c>
      <c r="B155" s="22" t="s">
        <v>1650</v>
      </c>
      <c r="C155" s="50" t="s">
        <v>330</v>
      </c>
      <c r="D155" s="51" t="s">
        <v>318</v>
      </c>
      <c r="E155" s="52" t="s">
        <v>166</v>
      </c>
      <c r="F155" s="52"/>
      <c r="G155" s="52" t="s">
        <v>319</v>
      </c>
      <c r="H155" s="52" t="s">
        <v>62</v>
      </c>
      <c r="I155" s="52">
        <v>2014</v>
      </c>
      <c r="J155" s="52"/>
      <c r="K155" s="52" t="s">
        <v>63</v>
      </c>
      <c r="L155" s="52" t="s">
        <v>64</v>
      </c>
      <c r="M155" s="52">
        <v>1</v>
      </c>
      <c r="N155" s="53">
        <f t="shared" si="82"/>
        <v>2640000</v>
      </c>
      <c r="O155" s="53">
        <v>2640000</v>
      </c>
      <c r="P155" s="52"/>
      <c r="Q155" s="52"/>
      <c r="R155" s="52"/>
      <c r="S155" s="53">
        <f t="shared" si="83"/>
        <v>2640000</v>
      </c>
      <c r="T155" s="52">
        <v>5</v>
      </c>
      <c r="U155" s="53"/>
      <c r="V155" s="52">
        <v>0.5</v>
      </c>
      <c r="W155" s="53">
        <f t="shared" si="84"/>
        <v>0</v>
      </c>
      <c r="X155" s="52"/>
      <c r="Y155" s="53">
        <f t="shared" si="85"/>
        <v>0</v>
      </c>
      <c r="Z155" s="53">
        <f t="shared" si="86"/>
        <v>0</v>
      </c>
      <c r="AA155" s="169">
        <v>5</v>
      </c>
      <c r="AB155" s="53">
        <v>2640000</v>
      </c>
      <c r="AC155" s="53">
        <f t="shared" si="71"/>
        <v>0</v>
      </c>
      <c r="AD155" s="56" t="s">
        <v>331</v>
      </c>
      <c r="AE155" s="56"/>
      <c r="AF155" s="1">
        <v>2640000</v>
      </c>
      <c r="AG155" s="168">
        <f t="shared" si="73"/>
        <v>0</v>
      </c>
      <c r="AH155" s="5"/>
      <c r="AI155" s="5"/>
    </row>
    <row r="156" spans="1:35" s="1" customFormat="1" ht="10.5" x14ac:dyDescent="0.25">
      <c r="A156" s="21">
        <v>46</v>
      </c>
      <c r="B156" s="22" t="s">
        <v>1650</v>
      </c>
      <c r="C156" s="50" t="s">
        <v>332</v>
      </c>
      <c r="D156" s="51" t="s">
        <v>318</v>
      </c>
      <c r="E156" s="52" t="s">
        <v>166</v>
      </c>
      <c r="F156" s="52"/>
      <c r="G156" s="52" t="s">
        <v>319</v>
      </c>
      <c r="H156" s="52" t="s">
        <v>62</v>
      </c>
      <c r="I156" s="52">
        <v>2014</v>
      </c>
      <c r="J156" s="52"/>
      <c r="K156" s="52" t="s">
        <v>63</v>
      </c>
      <c r="L156" s="52" t="s">
        <v>64</v>
      </c>
      <c r="M156" s="52">
        <v>1</v>
      </c>
      <c r="N156" s="53">
        <f t="shared" si="82"/>
        <v>2640000</v>
      </c>
      <c r="O156" s="53">
        <v>2640000</v>
      </c>
      <c r="P156" s="52"/>
      <c r="Q156" s="52"/>
      <c r="R156" s="52"/>
      <c r="S156" s="53">
        <f t="shared" si="83"/>
        <v>2640000</v>
      </c>
      <c r="T156" s="52">
        <v>5</v>
      </c>
      <c r="U156" s="53"/>
      <c r="V156" s="52">
        <v>0.5</v>
      </c>
      <c r="W156" s="53">
        <f t="shared" si="84"/>
        <v>0</v>
      </c>
      <c r="X156" s="52"/>
      <c r="Y156" s="53">
        <f t="shared" si="85"/>
        <v>0</v>
      </c>
      <c r="Z156" s="53">
        <f t="shared" si="86"/>
        <v>0</v>
      </c>
      <c r="AA156" s="169">
        <v>5</v>
      </c>
      <c r="AB156" s="53">
        <v>2640000</v>
      </c>
      <c r="AC156" s="53">
        <f t="shared" si="71"/>
        <v>0</v>
      </c>
      <c r="AD156" s="56" t="s">
        <v>333</v>
      </c>
      <c r="AE156" s="56"/>
      <c r="AF156" s="1">
        <v>2640000</v>
      </c>
      <c r="AG156" s="168">
        <f t="shared" si="73"/>
        <v>0</v>
      </c>
      <c r="AH156" s="5"/>
      <c r="AI156" s="5"/>
    </row>
    <row r="157" spans="1:35" s="1" customFormat="1" ht="10.5" x14ac:dyDescent="0.25">
      <c r="A157" s="21">
        <v>47</v>
      </c>
      <c r="B157" s="22" t="s">
        <v>1650</v>
      </c>
      <c r="C157" s="50" t="s">
        <v>75</v>
      </c>
      <c r="D157" s="51" t="s">
        <v>334</v>
      </c>
      <c r="E157" s="52" t="s">
        <v>166</v>
      </c>
      <c r="F157" s="52"/>
      <c r="G157" s="52" t="s">
        <v>319</v>
      </c>
      <c r="H157" s="52" t="s">
        <v>62</v>
      </c>
      <c r="I157" s="52">
        <v>2010</v>
      </c>
      <c r="J157" s="52"/>
      <c r="K157" s="52" t="s">
        <v>63</v>
      </c>
      <c r="L157" s="52" t="s">
        <v>64</v>
      </c>
      <c r="M157" s="52">
        <v>1</v>
      </c>
      <c r="N157" s="53">
        <f t="shared" si="82"/>
        <v>9350000</v>
      </c>
      <c r="O157" s="53">
        <v>9350000</v>
      </c>
      <c r="P157" s="52"/>
      <c r="Q157" s="52"/>
      <c r="R157" s="52"/>
      <c r="S157" s="53">
        <f t="shared" si="83"/>
        <v>9350000</v>
      </c>
      <c r="T157" s="52">
        <v>5</v>
      </c>
      <c r="U157" s="53"/>
      <c r="V157" s="52">
        <v>0.5</v>
      </c>
      <c r="W157" s="53">
        <f t="shared" si="84"/>
        <v>0</v>
      </c>
      <c r="X157" s="52"/>
      <c r="Y157" s="53">
        <f t="shared" si="85"/>
        <v>0</v>
      </c>
      <c r="Z157" s="53">
        <f t="shared" si="86"/>
        <v>0</v>
      </c>
      <c r="AA157" s="169">
        <v>5</v>
      </c>
      <c r="AB157" s="53">
        <v>9350000</v>
      </c>
      <c r="AC157" s="53">
        <f t="shared" si="71"/>
        <v>0</v>
      </c>
      <c r="AD157" s="56" t="s">
        <v>259</v>
      </c>
      <c r="AE157" s="56"/>
      <c r="AF157" s="1">
        <v>9350000</v>
      </c>
      <c r="AG157" s="168">
        <f t="shared" si="73"/>
        <v>0</v>
      </c>
      <c r="AH157" s="5"/>
      <c r="AI157" s="5"/>
    </row>
    <row r="158" spans="1:35" s="1" customFormat="1" ht="10.5" x14ac:dyDescent="0.25">
      <c r="A158" s="21">
        <v>48</v>
      </c>
      <c r="B158" s="22" t="s">
        <v>1650</v>
      </c>
      <c r="C158" s="50" t="s">
        <v>79</v>
      </c>
      <c r="D158" s="51" t="s">
        <v>334</v>
      </c>
      <c r="E158" s="52" t="s">
        <v>166</v>
      </c>
      <c r="F158" s="52"/>
      <c r="G158" s="52" t="s">
        <v>319</v>
      </c>
      <c r="H158" s="52" t="s">
        <v>62</v>
      </c>
      <c r="I158" s="52">
        <v>2011</v>
      </c>
      <c r="J158" s="52"/>
      <c r="K158" s="52" t="s">
        <v>63</v>
      </c>
      <c r="L158" s="52" t="s">
        <v>64</v>
      </c>
      <c r="M158" s="52">
        <v>1</v>
      </c>
      <c r="N158" s="53">
        <f t="shared" si="82"/>
        <v>5000000</v>
      </c>
      <c r="O158" s="53">
        <v>5000000</v>
      </c>
      <c r="P158" s="52"/>
      <c r="Q158" s="52"/>
      <c r="R158" s="52"/>
      <c r="S158" s="53">
        <f t="shared" si="83"/>
        <v>5000000</v>
      </c>
      <c r="T158" s="52">
        <v>5</v>
      </c>
      <c r="U158" s="53"/>
      <c r="V158" s="52">
        <v>0.5</v>
      </c>
      <c r="W158" s="53">
        <f t="shared" si="84"/>
        <v>0</v>
      </c>
      <c r="X158" s="52"/>
      <c r="Y158" s="53">
        <f t="shared" si="85"/>
        <v>0</v>
      </c>
      <c r="Z158" s="53">
        <f t="shared" si="86"/>
        <v>0</v>
      </c>
      <c r="AA158" s="169">
        <v>5</v>
      </c>
      <c r="AB158" s="53">
        <v>5000000</v>
      </c>
      <c r="AC158" s="53">
        <f t="shared" si="71"/>
        <v>0</v>
      </c>
      <c r="AD158" s="56" t="s">
        <v>335</v>
      </c>
      <c r="AE158" s="56"/>
      <c r="AF158" s="1">
        <v>5000000</v>
      </c>
      <c r="AG158" s="168">
        <f t="shared" si="73"/>
        <v>0</v>
      </c>
      <c r="AH158" s="5"/>
      <c r="AI158" s="5"/>
    </row>
    <row r="159" spans="1:35" s="1" customFormat="1" ht="10.5" x14ac:dyDescent="0.25">
      <c r="A159" s="21">
        <v>49</v>
      </c>
      <c r="B159" s="22" t="s">
        <v>1650</v>
      </c>
      <c r="C159" s="50" t="s">
        <v>336</v>
      </c>
      <c r="D159" s="51" t="s">
        <v>334</v>
      </c>
      <c r="E159" s="52" t="s">
        <v>166</v>
      </c>
      <c r="F159" s="52"/>
      <c r="G159" s="52" t="s">
        <v>319</v>
      </c>
      <c r="H159" s="52" t="s">
        <v>62</v>
      </c>
      <c r="I159" s="52">
        <v>2014</v>
      </c>
      <c r="J159" s="52"/>
      <c r="K159" s="52" t="s">
        <v>63</v>
      </c>
      <c r="L159" s="52" t="s">
        <v>64</v>
      </c>
      <c r="M159" s="52">
        <v>2</v>
      </c>
      <c r="N159" s="53">
        <f t="shared" si="82"/>
        <v>4290000</v>
      </c>
      <c r="O159" s="53">
        <v>8580000</v>
      </c>
      <c r="P159" s="52"/>
      <c r="Q159" s="52"/>
      <c r="R159" s="52"/>
      <c r="S159" s="53">
        <f t="shared" si="83"/>
        <v>8580000</v>
      </c>
      <c r="T159" s="52">
        <v>5</v>
      </c>
      <c r="U159" s="53"/>
      <c r="V159" s="52">
        <v>0.5</v>
      </c>
      <c r="W159" s="53">
        <f t="shared" si="84"/>
        <v>0</v>
      </c>
      <c r="X159" s="52"/>
      <c r="Y159" s="53">
        <f t="shared" si="85"/>
        <v>0</v>
      </c>
      <c r="Z159" s="53">
        <f t="shared" si="86"/>
        <v>0</v>
      </c>
      <c r="AA159" s="52">
        <v>5</v>
      </c>
      <c r="AB159" s="53">
        <v>8580000</v>
      </c>
      <c r="AC159" s="53">
        <f t="shared" si="71"/>
        <v>0</v>
      </c>
      <c r="AD159" s="56" t="s">
        <v>320</v>
      </c>
      <c r="AE159" s="56"/>
      <c r="AF159" s="1">
        <v>8580000</v>
      </c>
      <c r="AG159" s="168">
        <f t="shared" si="73"/>
        <v>0</v>
      </c>
      <c r="AH159" s="5"/>
      <c r="AI159" s="5"/>
    </row>
    <row r="160" spans="1:35" s="1" customFormat="1" ht="10.5" x14ac:dyDescent="0.25">
      <c r="A160" s="21">
        <v>50</v>
      </c>
      <c r="B160" s="22" t="s">
        <v>1650</v>
      </c>
      <c r="C160" s="50" t="s">
        <v>337</v>
      </c>
      <c r="D160" s="51" t="s">
        <v>334</v>
      </c>
      <c r="E160" s="52" t="s">
        <v>166</v>
      </c>
      <c r="F160" s="52"/>
      <c r="G160" s="52" t="s">
        <v>319</v>
      </c>
      <c r="H160" s="52" t="s">
        <v>62</v>
      </c>
      <c r="I160" s="52">
        <v>2014</v>
      </c>
      <c r="J160" s="52"/>
      <c r="K160" s="52" t="s">
        <v>63</v>
      </c>
      <c r="L160" s="52" t="s">
        <v>64</v>
      </c>
      <c r="M160" s="52">
        <v>2</v>
      </c>
      <c r="N160" s="53">
        <f t="shared" si="82"/>
        <v>4290000</v>
      </c>
      <c r="O160" s="53">
        <v>8580000</v>
      </c>
      <c r="P160" s="52"/>
      <c r="Q160" s="52"/>
      <c r="R160" s="52"/>
      <c r="S160" s="53">
        <f t="shared" si="83"/>
        <v>8580000</v>
      </c>
      <c r="T160" s="52">
        <v>5</v>
      </c>
      <c r="U160" s="53"/>
      <c r="V160" s="52">
        <v>0.5</v>
      </c>
      <c r="W160" s="53">
        <f t="shared" si="84"/>
        <v>0</v>
      </c>
      <c r="X160" s="52"/>
      <c r="Y160" s="53">
        <f t="shared" si="85"/>
        <v>0</v>
      </c>
      <c r="Z160" s="53">
        <f t="shared" si="86"/>
        <v>0</v>
      </c>
      <c r="AA160" s="52">
        <v>5</v>
      </c>
      <c r="AB160" s="53">
        <v>8580000</v>
      </c>
      <c r="AC160" s="53">
        <f t="shared" si="71"/>
        <v>0</v>
      </c>
      <c r="AD160" s="56" t="s">
        <v>322</v>
      </c>
      <c r="AE160" s="56"/>
      <c r="AF160" s="1">
        <v>8580000</v>
      </c>
      <c r="AG160" s="168">
        <f t="shared" si="73"/>
        <v>0</v>
      </c>
      <c r="AH160" s="5"/>
      <c r="AI160" s="5"/>
    </row>
    <row r="161" spans="1:35" s="1" customFormat="1" ht="10.5" x14ac:dyDescent="0.25">
      <c r="A161" s="21">
        <v>51</v>
      </c>
      <c r="B161" s="22" t="s">
        <v>1650</v>
      </c>
      <c r="C161" s="50" t="s">
        <v>338</v>
      </c>
      <c r="D161" s="51" t="s">
        <v>334</v>
      </c>
      <c r="E161" s="52" t="s">
        <v>166</v>
      </c>
      <c r="F161" s="52"/>
      <c r="G161" s="52" t="s">
        <v>319</v>
      </c>
      <c r="H161" s="52" t="s">
        <v>62</v>
      </c>
      <c r="I161" s="52">
        <v>2014</v>
      </c>
      <c r="J161" s="52"/>
      <c r="K161" s="52" t="s">
        <v>63</v>
      </c>
      <c r="L161" s="52" t="s">
        <v>64</v>
      </c>
      <c r="M161" s="52">
        <v>2</v>
      </c>
      <c r="N161" s="53">
        <f t="shared" si="82"/>
        <v>4290000</v>
      </c>
      <c r="O161" s="53">
        <v>8580000</v>
      </c>
      <c r="P161" s="52"/>
      <c r="Q161" s="52"/>
      <c r="R161" s="52"/>
      <c r="S161" s="53">
        <f t="shared" si="83"/>
        <v>8580000</v>
      </c>
      <c r="T161" s="52">
        <v>5</v>
      </c>
      <c r="U161" s="53"/>
      <c r="V161" s="52">
        <v>0.5</v>
      </c>
      <c r="W161" s="53">
        <f t="shared" si="84"/>
        <v>0</v>
      </c>
      <c r="X161" s="52"/>
      <c r="Y161" s="53">
        <f t="shared" si="85"/>
        <v>0</v>
      </c>
      <c r="Z161" s="53">
        <f t="shared" si="86"/>
        <v>0</v>
      </c>
      <c r="AA161" s="52">
        <v>5</v>
      </c>
      <c r="AB161" s="53">
        <v>8580000</v>
      </c>
      <c r="AC161" s="53">
        <f t="shared" si="71"/>
        <v>0</v>
      </c>
      <c r="AD161" s="56" t="s">
        <v>326</v>
      </c>
      <c r="AE161" s="56"/>
      <c r="AF161" s="1">
        <v>8580000</v>
      </c>
      <c r="AG161" s="168">
        <f t="shared" si="73"/>
        <v>0</v>
      </c>
      <c r="AH161" s="5"/>
      <c r="AI161" s="5"/>
    </row>
    <row r="162" spans="1:35" s="1" customFormat="1" ht="10.5" x14ac:dyDescent="0.25">
      <c r="A162" s="21">
        <v>52</v>
      </c>
      <c r="B162" s="50" t="s">
        <v>1650</v>
      </c>
      <c r="C162" s="73" t="s">
        <v>339</v>
      </c>
      <c r="D162" s="51" t="s">
        <v>334</v>
      </c>
      <c r="E162" s="52" t="s">
        <v>166</v>
      </c>
      <c r="F162" s="52"/>
      <c r="G162" s="52" t="s">
        <v>319</v>
      </c>
      <c r="H162" s="52" t="s">
        <v>62</v>
      </c>
      <c r="I162" s="52">
        <v>2014</v>
      </c>
      <c r="J162" s="52"/>
      <c r="K162" s="52" t="s">
        <v>63</v>
      </c>
      <c r="L162" s="52" t="s">
        <v>64</v>
      </c>
      <c r="M162" s="52">
        <v>2</v>
      </c>
      <c r="N162" s="53">
        <f t="shared" si="82"/>
        <v>4290000</v>
      </c>
      <c r="O162" s="53">
        <v>8580000</v>
      </c>
      <c r="P162" s="52"/>
      <c r="Q162" s="52"/>
      <c r="R162" s="52"/>
      <c r="S162" s="53">
        <f t="shared" si="83"/>
        <v>8580000</v>
      </c>
      <c r="T162" s="52">
        <v>5</v>
      </c>
      <c r="U162" s="53"/>
      <c r="V162" s="52">
        <v>0.5</v>
      </c>
      <c r="W162" s="53">
        <f t="shared" si="84"/>
        <v>0</v>
      </c>
      <c r="X162" s="52"/>
      <c r="Y162" s="53">
        <f t="shared" si="85"/>
        <v>0</v>
      </c>
      <c r="Z162" s="53">
        <f t="shared" si="86"/>
        <v>0</v>
      </c>
      <c r="AA162" s="52">
        <v>5</v>
      </c>
      <c r="AB162" s="53">
        <v>8580000</v>
      </c>
      <c r="AC162" s="53">
        <f t="shared" si="71"/>
        <v>0</v>
      </c>
      <c r="AD162" s="56" t="s">
        <v>324</v>
      </c>
      <c r="AE162" s="56"/>
      <c r="AF162" s="1">
        <v>8580000</v>
      </c>
      <c r="AG162" s="168">
        <f t="shared" si="73"/>
        <v>0</v>
      </c>
      <c r="AH162" s="5"/>
      <c r="AI162" s="5"/>
    </row>
    <row r="163" spans="1:35" s="1" customFormat="1" ht="10.5" x14ac:dyDescent="0.25">
      <c r="A163" s="21">
        <v>53</v>
      </c>
      <c r="B163" s="22" t="s">
        <v>1650</v>
      </c>
      <c r="C163" s="22" t="s">
        <v>340</v>
      </c>
      <c r="D163" s="51" t="s">
        <v>334</v>
      </c>
      <c r="E163" s="24" t="s">
        <v>166</v>
      </c>
      <c r="F163" s="52"/>
      <c r="G163" s="52" t="s">
        <v>319</v>
      </c>
      <c r="H163" s="52" t="s">
        <v>62</v>
      </c>
      <c r="I163" s="52">
        <v>2014</v>
      </c>
      <c r="J163" s="52"/>
      <c r="K163" s="52" t="s">
        <v>63</v>
      </c>
      <c r="L163" s="52" t="s">
        <v>64</v>
      </c>
      <c r="M163" s="52">
        <v>2</v>
      </c>
      <c r="N163" s="53">
        <f t="shared" si="82"/>
        <v>4290000</v>
      </c>
      <c r="O163" s="53">
        <v>8580000</v>
      </c>
      <c r="P163" s="52"/>
      <c r="Q163" s="52"/>
      <c r="R163" s="52"/>
      <c r="S163" s="53">
        <f t="shared" si="83"/>
        <v>8580000</v>
      </c>
      <c r="T163" s="52">
        <v>5</v>
      </c>
      <c r="U163" s="53"/>
      <c r="V163" s="52">
        <v>0.5</v>
      </c>
      <c r="W163" s="53">
        <f t="shared" si="84"/>
        <v>0</v>
      </c>
      <c r="X163" s="52"/>
      <c r="Y163" s="53">
        <f t="shared" si="85"/>
        <v>0</v>
      </c>
      <c r="Z163" s="53">
        <f t="shared" si="86"/>
        <v>0</v>
      </c>
      <c r="AA163" s="52">
        <v>5</v>
      </c>
      <c r="AB163" s="53">
        <v>8580000</v>
      </c>
      <c r="AC163" s="53">
        <f t="shared" si="71"/>
        <v>0</v>
      </c>
      <c r="AD163" s="56" t="s">
        <v>328</v>
      </c>
      <c r="AE163" s="56"/>
      <c r="AF163" s="1">
        <v>8580000</v>
      </c>
      <c r="AG163" s="168">
        <f t="shared" si="73"/>
        <v>0</v>
      </c>
      <c r="AH163" s="5"/>
      <c r="AI163" s="5"/>
    </row>
    <row r="164" spans="1:35" s="1" customFormat="1" ht="10.5" x14ac:dyDescent="0.25">
      <c r="A164" s="21">
        <v>54</v>
      </c>
      <c r="B164" s="22" t="s">
        <v>1650</v>
      </c>
      <c r="C164" s="22" t="s">
        <v>143</v>
      </c>
      <c r="D164" s="51" t="s">
        <v>334</v>
      </c>
      <c r="E164" s="24" t="s">
        <v>166</v>
      </c>
      <c r="F164" s="52"/>
      <c r="G164" s="52" t="s">
        <v>319</v>
      </c>
      <c r="H164" s="52" t="s">
        <v>62</v>
      </c>
      <c r="I164" s="52">
        <v>2014</v>
      </c>
      <c r="J164" s="52"/>
      <c r="K164" s="52" t="s">
        <v>63</v>
      </c>
      <c r="L164" s="52" t="s">
        <v>64</v>
      </c>
      <c r="M164" s="52">
        <v>1</v>
      </c>
      <c r="N164" s="53">
        <f t="shared" si="82"/>
        <v>4290000</v>
      </c>
      <c r="O164" s="53">
        <v>4290000</v>
      </c>
      <c r="P164" s="52"/>
      <c r="Q164" s="52"/>
      <c r="R164" s="52"/>
      <c r="S164" s="53">
        <f t="shared" si="83"/>
        <v>4290000</v>
      </c>
      <c r="T164" s="52">
        <v>5</v>
      </c>
      <c r="U164" s="53"/>
      <c r="V164" s="52">
        <v>0.5</v>
      </c>
      <c r="W164" s="53">
        <f t="shared" si="84"/>
        <v>0</v>
      </c>
      <c r="X164" s="52"/>
      <c r="Y164" s="53">
        <f t="shared" si="85"/>
        <v>0</v>
      </c>
      <c r="Z164" s="53">
        <f t="shared" si="86"/>
        <v>0</v>
      </c>
      <c r="AA164" s="52">
        <v>5</v>
      </c>
      <c r="AB164" s="53">
        <v>4290000</v>
      </c>
      <c r="AC164" s="53">
        <f t="shared" si="71"/>
        <v>0</v>
      </c>
      <c r="AD164" s="56" t="s">
        <v>333</v>
      </c>
      <c r="AE164" s="56"/>
      <c r="AF164" s="1">
        <v>4290000</v>
      </c>
      <c r="AG164" s="168">
        <f t="shared" si="73"/>
        <v>0</v>
      </c>
      <c r="AH164" s="5"/>
      <c r="AI164" s="5"/>
    </row>
    <row r="165" spans="1:35" s="1" customFormat="1" ht="10.5" x14ac:dyDescent="0.25">
      <c r="A165" s="21">
        <v>55</v>
      </c>
      <c r="B165" s="22" t="s">
        <v>1650</v>
      </c>
      <c r="C165" s="22" t="s">
        <v>341</v>
      </c>
      <c r="D165" s="51" t="s">
        <v>334</v>
      </c>
      <c r="E165" s="24" t="s">
        <v>166</v>
      </c>
      <c r="F165" s="52"/>
      <c r="G165" s="52" t="s">
        <v>319</v>
      </c>
      <c r="H165" s="52" t="s">
        <v>62</v>
      </c>
      <c r="I165" s="52">
        <v>2014</v>
      </c>
      <c r="J165" s="52"/>
      <c r="K165" s="52" t="s">
        <v>63</v>
      </c>
      <c r="L165" s="52" t="s">
        <v>64</v>
      </c>
      <c r="M165" s="52">
        <v>2</v>
      </c>
      <c r="N165" s="53">
        <f t="shared" si="82"/>
        <v>4290000</v>
      </c>
      <c r="O165" s="53">
        <v>8580000</v>
      </c>
      <c r="P165" s="52"/>
      <c r="Q165" s="52"/>
      <c r="R165" s="52"/>
      <c r="S165" s="53">
        <f t="shared" si="83"/>
        <v>8580000</v>
      </c>
      <c r="T165" s="52">
        <v>5</v>
      </c>
      <c r="U165" s="53"/>
      <c r="V165" s="52">
        <v>0.5</v>
      </c>
      <c r="W165" s="53">
        <f t="shared" si="84"/>
        <v>0</v>
      </c>
      <c r="X165" s="52"/>
      <c r="Y165" s="53">
        <f t="shared" si="85"/>
        <v>0</v>
      </c>
      <c r="Z165" s="53">
        <f t="shared" si="86"/>
        <v>0</v>
      </c>
      <c r="AA165" s="52">
        <v>5</v>
      </c>
      <c r="AB165" s="53">
        <v>8580000</v>
      </c>
      <c r="AC165" s="53">
        <f t="shared" si="71"/>
        <v>0</v>
      </c>
      <c r="AD165" s="56" t="s">
        <v>331</v>
      </c>
      <c r="AE165" s="56"/>
      <c r="AF165" s="1">
        <v>8580000</v>
      </c>
      <c r="AG165" s="168">
        <f t="shared" si="73"/>
        <v>0</v>
      </c>
      <c r="AH165" s="5"/>
      <c r="AI165" s="5"/>
    </row>
    <row r="166" spans="1:35" s="1" customFormat="1" ht="10.5" x14ac:dyDescent="0.25">
      <c r="A166" s="21">
        <v>56</v>
      </c>
      <c r="B166" s="22" t="s">
        <v>1650</v>
      </c>
      <c r="C166" s="22" t="s">
        <v>342</v>
      </c>
      <c r="D166" s="51" t="s">
        <v>334</v>
      </c>
      <c r="E166" s="24" t="s">
        <v>166</v>
      </c>
      <c r="F166" s="52"/>
      <c r="G166" s="52" t="s">
        <v>319</v>
      </c>
      <c r="H166" s="52" t="s">
        <v>62</v>
      </c>
      <c r="I166" s="52">
        <v>2014</v>
      </c>
      <c r="J166" s="52"/>
      <c r="K166" s="52" t="s">
        <v>63</v>
      </c>
      <c r="L166" s="52" t="s">
        <v>64</v>
      </c>
      <c r="M166" s="52">
        <v>2</v>
      </c>
      <c r="N166" s="53">
        <f t="shared" si="82"/>
        <v>4290000</v>
      </c>
      <c r="O166" s="53">
        <v>8580000</v>
      </c>
      <c r="P166" s="52"/>
      <c r="Q166" s="52"/>
      <c r="R166" s="52"/>
      <c r="S166" s="53">
        <f t="shared" si="83"/>
        <v>8580000</v>
      </c>
      <c r="T166" s="52">
        <v>5</v>
      </c>
      <c r="U166" s="53"/>
      <c r="V166" s="52">
        <v>0.5</v>
      </c>
      <c r="W166" s="53">
        <f t="shared" si="84"/>
        <v>0</v>
      </c>
      <c r="X166" s="52"/>
      <c r="Y166" s="53">
        <f t="shared" si="85"/>
        <v>0</v>
      </c>
      <c r="Z166" s="53">
        <f t="shared" si="86"/>
        <v>0</v>
      </c>
      <c r="AA166" s="52">
        <v>5</v>
      </c>
      <c r="AB166" s="53">
        <v>8580000</v>
      </c>
      <c r="AC166" s="53">
        <f t="shared" si="71"/>
        <v>0</v>
      </c>
      <c r="AD166" s="56" t="s">
        <v>276</v>
      </c>
      <c r="AE166" s="56"/>
      <c r="AF166" s="1">
        <v>8580000</v>
      </c>
      <c r="AG166" s="168">
        <f t="shared" si="73"/>
        <v>0</v>
      </c>
      <c r="AH166" s="5"/>
      <c r="AI166" s="5"/>
    </row>
    <row r="167" spans="1:35" s="1" customFormat="1" ht="10.5" x14ac:dyDescent="0.25">
      <c r="A167" s="21">
        <v>58</v>
      </c>
      <c r="B167" s="22" t="s">
        <v>1650</v>
      </c>
      <c r="C167" s="22" t="s">
        <v>58</v>
      </c>
      <c r="D167" s="51" t="s">
        <v>454</v>
      </c>
      <c r="E167" s="24" t="s">
        <v>455</v>
      </c>
      <c r="F167" s="52"/>
      <c r="G167" s="52" t="s">
        <v>61</v>
      </c>
      <c r="H167" s="52" t="s">
        <v>62</v>
      </c>
      <c r="I167" s="52">
        <v>2015</v>
      </c>
      <c r="J167" s="52"/>
      <c r="K167" s="52" t="s">
        <v>63</v>
      </c>
      <c r="L167" s="52" t="s">
        <v>64</v>
      </c>
      <c r="M167" s="52">
        <v>1</v>
      </c>
      <c r="N167" s="53">
        <f t="shared" ref="N167:N168" si="87">SUM(O167/M167)</f>
        <v>4999500</v>
      </c>
      <c r="O167" s="53">
        <v>4999500</v>
      </c>
      <c r="P167" s="52"/>
      <c r="Q167" s="52"/>
      <c r="R167" s="52"/>
      <c r="S167" s="53">
        <f t="shared" si="83"/>
        <v>4999500</v>
      </c>
      <c r="T167" s="52">
        <v>5</v>
      </c>
      <c r="U167" s="53">
        <f t="shared" ref="U167:U168" si="88">SUM(S167/T167)</f>
        <v>999900</v>
      </c>
      <c r="V167" s="52">
        <v>0.5</v>
      </c>
      <c r="W167" s="53"/>
      <c r="X167" s="52"/>
      <c r="Y167" s="53">
        <f t="shared" ref="Y167" si="89">SUM(U167*X167)</f>
        <v>0</v>
      </c>
      <c r="Z167" s="53"/>
      <c r="AA167" s="52">
        <v>5</v>
      </c>
      <c r="AB167" s="53">
        <f t="shared" ref="AB167" si="90">SUM(U167*AA167)</f>
        <v>4999500</v>
      </c>
      <c r="AC167" s="53">
        <f t="shared" ref="AC167" si="91">SUM(O167-AB167)</f>
        <v>0</v>
      </c>
      <c r="AD167" s="56"/>
      <c r="AE167" s="56"/>
      <c r="AF167" s="1">
        <v>4999500</v>
      </c>
      <c r="AG167" s="168">
        <f t="shared" si="73"/>
        <v>0</v>
      </c>
      <c r="AH167" s="5"/>
      <c r="AI167" s="5"/>
    </row>
    <row r="168" spans="1:35" s="1" customFormat="1" ht="10.5" x14ac:dyDescent="0.25">
      <c r="A168" s="21">
        <v>59</v>
      </c>
      <c r="B168" s="22" t="s">
        <v>1651</v>
      </c>
      <c r="C168" s="22" t="s">
        <v>209</v>
      </c>
      <c r="D168" s="51" t="s">
        <v>934</v>
      </c>
      <c r="E168" s="24"/>
      <c r="F168" s="52"/>
      <c r="G168" s="52" t="s">
        <v>61</v>
      </c>
      <c r="H168" s="52" t="s">
        <v>62</v>
      </c>
      <c r="I168" s="52">
        <v>2017</v>
      </c>
      <c r="J168" s="52"/>
      <c r="K168" s="52" t="s">
        <v>63</v>
      </c>
      <c r="L168" s="52" t="s">
        <v>64</v>
      </c>
      <c r="M168" s="52">
        <v>2</v>
      </c>
      <c r="N168" s="53">
        <f t="shared" si="87"/>
        <v>4994000</v>
      </c>
      <c r="O168" s="53">
        <v>9988000</v>
      </c>
      <c r="P168" s="52"/>
      <c r="Q168" s="52"/>
      <c r="R168" s="52"/>
      <c r="S168" s="53">
        <f t="shared" si="83"/>
        <v>9988000</v>
      </c>
      <c r="T168" s="52">
        <v>5</v>
      </c>
      <c r="U168" s="53">
        <f t="shared" si="88"/>
        <v>1997600</v>
      </c>
      <c r="V168" s="52">
        <v>0.5</v>
      </c>
      <c r="W168" s="53">
        <f t="shared" ref="W168:W169" si="92">SUM(U168*V168)</f>
        <v>998800</v>
      </c>
      <c r="X168" s="52">
        <v>0.5</v>
      </c>
      <c r="Y168" s="53">
        <f>SUM(U168*X168)-166466.66666666</f>
        <v>832333.33333334001</v>
      </c>
      <c r="Z168" s="53">
        <f t="shared" ref="Z168" si="93">SUM(W168+Y168)</f>
        <v>1831133.33333334</v>
      </c>
      <c r="AA168" s="52">
        <f>2022-I168+V168+X168-11/12-1/12</f>
        <v>5</v>
      </c>
      <c r="AB168" s="53">
        <f t="shared" ref="AB168" si="94">SUM(U168*AA168)</f>
        <v>9988000</v>
      </c>
      <c r="AC168" s="53">
        <f t="shared" ref="AC168" si="95">SUM(O168-AB168)</f>
        <v>0</v>
      </c>
      <c r="AD168" s="56" t="s">
        <v>226</v>
      </c>
      <c r="AE168" s="56"/>
      <c r="AF168" s="1">
        <v>9988000</v>
      </c>
      <c r="AG168" s="168">
        <f t="shared" si="73"/>
        <v>1831133.3333333395</v>
      </c>
      <c r="AH168" s="5"/>
      <c r="AI168" s="5"/>
    </row>
    <row r="169" spans="1:35" s="1" customFormat="1" ht="10.5" x14ac:dyDescent="0.25">
      <c r="A169" s="21">
        <v>60</v>
      </c>
      <c r="B169" s="22" t="s">
        <v>1651</v>
      </c>
      <c r="C169" s="22" t="s">
        <v>274</v>
      </c>
      <c r="D169" s="51" t="s">
        <v>660</v>
      </c>
      <c r="E169" s="24" t="s">
        <v>166</v>
      </c>
      <c r="F169" s="52"/>
      <c r="G169" s="52" t="s">
        <v>661</v>
      </c>
      <c r="H169" s="52" t="s">
        <v>62</v>
      </c>
      <c r="I169" s="52">
        <v>2004</v>
      </c>
      <c r="J169" s="52"/>
      <c r="K169" s="52" t="s">
        <v>63</v>
      </c>
      <c r="L169" s="52" t="s">
        <v>212</v>
      </c>
      <c r="M169" s="52">
        <v>5</v>
      </c>
      <c r="N169" s="53">
        <f t="shared" ref="N169" si="96">SUM(O169/M169)</f>
        <v>1000000</v>
      </c>
      <c r="O169" s="53">
        <v>5000000</v>
      </c>
      <c r="P169" s="52"/>
      <c r="Q169" s="52"/>
      <c r="R169" s="52"/>
      <c r="S169" s="53">
        <f t="shared" ref="S169" si="97">SUM(O169-R169)</f>
        <v>5000000</v>
      </c>
      <c r="T169" s="52">
        <v>5</v>
      </c>
      <c r="U169" s="53"/>
      <c r="V169" s="52">
        <v>0.5</v>
      </c>
      <c r="W169" s="53">
        <f t="shared" si="92"/>
        <v>0</v>
      </c>
      <c r="X169" s="52"/>
      <c r="Y169" s="53">
        <f t="shared" ref="Y169" si="98">SUM(U169*X169)</f>
        <v>0</v>
      </c>
      <c r="Z169" s="53">
        <f t="shared" ref="Z169" si="99">SUM(W169+Y169)</f>
        <v>0</v>
      </c>
      <c r="AA169" s="52">
        <v>5</v>
      </c>
      <c r="AB169" s="53">
        <v>5000000</v>
      </c>
      <c r="AC169" s="53">
        <f t="shared" ref="AC169" si="100">SUM(O169-AB169)</f>
        <v>0</v>
      </c>
      <c r="AD169" s="56" t="s">
        <v>616</v>
      </c>
      <c r="AE169" s="56"/>
      <c r="AF169" s="1">
        <v>5000000</v>
      </c>
      <c r="AG169" s="168">
        <f t="shared" si="73"/>
        <v>0</v>
      </c>
      <c r="AH169" s="5"/>
      <c r="AI169" s="5"/>
    </row>
    <row r="170" spans="1:35" s="1" customFormat="1" ht="10.5" x14ac:dyDescent="0.25">
      <c r="A170" s="21"/>
      <c r="B170" s="22"/>
      <c r="C170" s="22"/>
      <c r="D170" s="51"/>
      <c r="E170" s="24"/>
      <c r="F170" s="52"/>
      <c r="G170" s="52"/>
      <c r="H170" s="52"/>
      <c r="I170" s="52"/>
      <c r="J170" s="52"/>
      <c r="K170" s="52"/>
      <c r="L170" s="52"/>
      <c r="M170" s="52"/>
      <c r="N170" s="53"/>
      <c r="O170" s="53"/>
      <c r="P170" s="52"/>
      <c r="Q170" s="52"/>
      <c r="R170" s="52"/>
      <c r="S170" s="53"/>
      <c r="T170" s="52"/>
      <c r="U170" s="53"/>
      <c r="V170" s="52"/>
      <c r="W170" s="53"/>
      <c r="X170" s="52"/>
      <c r="Y170" s="53"/>
      <c r="Z170" s="53"/>
      <c r="AA170" s="52"/>
      <c r="AB170" s="53"/>
      <c r="AC170" s="53"/>
      <c r="AD170" s="56"/>
      <c r="AE170" s="56"/>
      <c r="AG170" s="168"/>
      <c r="AH170" s="5"/>
      <c r="AI170" s="5"/>
    </row>
    <row r="171" spans="1:35" s="1" customFormat="1" ht="10.5" x14ac:dyDescent="0.25">
      <c r="A171" s="21"/>
      <c r="B171" s="26" t="s">
        <v>1652</v>
      </c>
      <c r="C171" s="26"/>
      <c r="D171" s="27" t="s">
        <v>1653</v>
      </c>
      <c r="E171" s="28"/>
      <c r="F171" s="28"/>
      <c r="G171" s="28"/>
      <c r="H171" s="28"/>
      <c r="I171" s="28"/>
      <c r="J171" s="28"/>
      <c r="K171" s="28"/>
      <c r="L171" s="28"/>
      <c r="M171" s="28">
        <f>SUM(M172:M234)</f>
        <v>100</v>
      </c>
      <c r="N171" s="40"/>
      <c r="O171" s="40">
        <f>SUM(O172:O234)</f>
        <v>682467500</v>
      </c>
      <c r="P171" s="28"/>
      <c r="Q171" s="28"/>
      <c r="R171" s="28"/>
      <c r="S171" s="40">
        <f>SUM(S172:S234)</f>
        <v>682467500</v>
      </c>
      <c r="T171" s="28"/>
      <c r="U171" s="40">
        <f>SUM(U172:U234)</f>
        <v>73588100</v>
      </c>
      <c r="V171" s="28"/>
      <c r="W171" s="40">
        <f>SUM(W172:W234)</f>
        <v>10831941.66666669</v>
      </c>
      <c r="X171" s="28"/>
      <c r="Y171" s="40">
        <f>SUM(Y172:Y234)</f>
        <v>9748900</v>
      </c>
      <c r="Z171" s="40">
        <f>SUM(Z172:Z234)</f>
        <v>20580841.666666687</v>
      </c>
      <c r="AA171" s="28"/>
      <c r="AB171" s="40">
        <f>SUM(AB172:AB234)</f>
        <v>666867310</v>
      </c>
      <c r="AC171" s="40">
        <f>SUM(AC172:AC234)</f>
        <v>15600190</v>
      </c>
      <c r="AD171" s="167"/>
      <c r="AE171" s="167"/>
      <c r="AG171" s="168"/>
      <c r="AH171" s="5"/>
      <c r="AI171" s="5"/>
    </row>
    <row r="172" spans="1:35" s="1" customFormat="1" ht="10.5" x14ac:dyDescent="0.25">
      <c r="A172" s="21">
        <v>1</v>
      </c>
      <c r="B172" s="22" t="s">
        <v>1654</v>
      </c>
      <c r="C172" s="50" t="s">
        <v>58</v>
      </c>
      <c r="D172" s="51" t="s">
        <v>206</v>
      </c>
      <c r="E172" s="52" t="s">
        <v>207</v>
      </c>
      <c r="F172" s="52"/>
      <c r="G172" s="52" t="s">
        <v>194</v>
      </c>
      <c r="H172" s="52" t="s">
        <v>62</v>
      </c>
      <c r="I172" s="52">
        <v>2012</v>
      </c>
      <c r="J172" s="52"/>
      <c r="K172" s="52" t="s">
        <v>202</v>
      </c>
      <c r="L172" s="52" t="s">
        <v>64</v>
      </c>
      <c r="M172" s="52">
        <v>1</v>
      </c>
      <c r="N172" s="53">
        <f t="shared" ref="N172:N173" si="101">SUM(O172/M172)</f>
        <v>17050000</v>
      </c>
      <c r="O172" s="53">
        <v>17050000</v>
      </c>
      <c r="P172" s="52"/>
      <c r="Q172" s="52"/>
      <c r="R172" s="52"/>
      <c r="S172" s="53">
        <f t="shared" ref="S172:S173" si="102">SUM(O172-R172)</f>
        <v>17050000</v>
      </c>
      <c r="T172" s="52">
        <v>5</v>
      </c>
      <c r="U172" s="53"/>
      <c r="V172" s="52">
        <v>0.5</v>
      </c>
      <c r="W172" s="53">
        <f t="shared" ref="W172" si="103">SUM(U172*V172)</f>
        <v>0</v>
      </c>
      <c r="X172" s="52"/>
      <c r="Y172" s="53">
        <f t="shared" ref="Y172:Y173" si="104">SUM(U172*X172)</f>
        <v>0</v>
      </c>
      <c r="Z172" s="53">
        <f t="shared" ref="Z172" si="105">SUM(W172+Y172)</f>
        <v>0</v>
      </c>
      <c r="AA172" s="52">
        <v>5</v>
      </c>
      <c r="AB172" s="53">
        <v>17050000</v>
      </c>
      <c r="AC172" s="53">
        <f t="shared" ref="AC172:AC173" si="106">SUM(O172-AB172)</f>
        <v>0</v>
      </c>
      <c r="AD172" s="56" t="s">
        <v>208</v>
      </c>
      <c r="AE172" s="56"/>
      <c r="AF172" s="1">
        <v>17050000</v>
      </c>
      <c r="AG172" s="168">
        <f t="shared" ref="AG172:AG234" si="107">AB172+Z172-AB172</f>
        <v>0</v>
      </c>
      <c r="AH172" s="5"/>
      <c r="AI172" s="5"/>
    </row>
    <row r="173" spans="1:35" s="1" customFormat="1" ht="10.5" x14ac:dyDescent="0.25">
      <c r="A173" s="21">
        <v>2</v>
      </c>
      <c r="B173" s="22" t="s">
        <v>1654</v>
      </c>
      <c r="C173" s="73" t="s">
        <v>58</v>
      </c>
      <c r="D173" s="51" t="s">
        <v>272</v>
      </c>
      <c r="E173" s="52" t="s">
        <v>273</v>
      </c>
      <c r="F173" s="52"/>
      <c r="G173" s="52" t="s">
        <v>194</v>
      </c>
      <c r="H173" s="52" t="s">
        <v>62</v>
      </c>
      <c r="I173" s="52">
        <v>2015</v>
      </c>
      <c r="J173" s="52"/>
      <c r="K173" s="52" t="s">
        <v>261</v>
      </c>
      <c r="L173" s="52" t="s">
        <v>64</v>
      </c>
      <c r="M173" s="52">
        <v>1</v>
      </c>
      <c r="N173" s="53">
        <f t="shared" si="101"/>
        <v>85239000</v>
      </c>
      <c r="O173" s="53">
        <v>85239000</v>
      </c>
      <c r="P173" s="52"/>
      <c r="Q173" s="52"/>
      <c r="R173" s="52"/>
      <c r="S173" s="53">
        <f t="shared" si="102"/>
        <v>85239000</v>
      </c>
      <c r="T173" s="52">
        <v>5</v>
      </c>
      <c r="U173" s="53">
        <f>SUM(S173/T173)</f>
        <v>17047800</v>
      </c>
      <c r="V173" s="52">
        <v>0.5</v>
      </c>
      <c r="W173" s="53"/>
      <c r="X173" s="52"/>
      <c r="Y173" s="53">
        <f t="shared" si="104"/>
        <v>0</v>
      </c>
      <c r="Z173" s="53"/>
      <c r="AA173" s="52">
        <f>4.5+0.5</f>
        <v>5</v>
      </c>
      <c r="AB173" s="53">
        <f>SUM(U173*AA173)</f>
        <v>85239000</v>
      </c>
      <c r="AC173" s="53">
        <f t="shared" si="106"/>
        <v>0</v>
      </c>
      <c r="AD173" s="56" t="s">
        <v>195</v>
      </c>
      <c r="AE173" s="56"/>
      <c r="AF173" s="1">
        <v>85239000</v>
      </c>
      <c r="AG173" s="168">
        <f t="shared" si="107"/>
        <v>0</v>
      </c>
      <c r="AH173" s="5"/>
      <c r="AI173" s="5"/>
    </row>
    <row r="174" spans="1:35" s="1" customFormat="1" ht="10.5" x14ac:dyDescent="0.25">
      <c r="A174" s="21">
        <v>3</v>
      </c>
      <c r="B174" s="22" t="s">
        <v>1655</v>
      </c>
      <c r="C174" s="22" t="s">
        <v>58</v>
      </c>
      <c r="D174" s="51" t="s">
        <v>458</v>
      </c>
      <c r="E174" s="24" t="s">
        <v>166</v>
      </c>
      <c r="F174" s="52"/>
      <c r="G174" s="52" t="s">
        <v>319</v>
      </c>
      <c r="H174" s="52" t="s">
        <v>62</v>
      </c>
      <c r="I174" s="52">
        <v>2015</v>
      </c>
      <c r="J174" s="52"/>
      <c r="K174" s="52" t="s">
        <v>63</v>
      </c>
      <c r="L174" s="52" t="s">
        <v>64</v>
      </c>
      <c r="M174" s="52">
        <v>1</v>
      </c>
      <c r="N174" s="53">
        <f t="shared" ref="N174" si="108">SUM(O174/M174)</f>
        <v>3500000</v>
      </c>
      <c r="O174" s="53">
        <v>3500000</v>
      </c>
      <c r="P174" s="52"/>
      <c r="Q174" s="52"/>
      <c r="R174" s="52"/>
      <c r="S174" s="53">
        <f t="shared" ref="S174" si="109">SUM(O174-R174)</f>
        <v>3500000</v>
      </c>
      <c r="T174" s="52">
        <v>5</v>
      </c>
      <c r="U174" s="53">
        <f t="shared" ref="U174" si="110">SUM(S174/T174)</f>
        <v>700000</v>
      </c>
      <c r="V174" s="52">
        <v>0.5</v>
      </c>
      <c r="W174" s="53"/>
      <c r="X174" s="52"/>
      <c r="Y174" s="53">
        <f t="shared" ref="Y174" si="111">SUM(U174*X174)</f>
        <v>0</v>
      </c>
      <c r="Z174" s="53"/>
      <c r="AA174" s="52">
        <v>5</v>
      </c>
      <c r="AB174" s="53">
        <f t="shared" ref="AB174" si="112">SUM(U174*AA174)</f>
        <v>3500000</v>
      </c>
      <c r="AC174" s="53">
        <f t="shared" ref="AC174:AC180" si="113">SUM(O174-AB174)</f>
        <v>0</v>
      </c>
      <c r="AD174" s="56" t="s">
        <v>195</v>
      </c>
      <c r="AE174" s="56"/>
      <c r="AF174" s="1">
        <v>3500000</v>
      </c>
      <c r="AG174" s="168">
        <f t="shared" si="107"/>
        <v>0</v>
      </c>
      <c r="AH174" s="5"/>
      <c r="AI174" s="5"/>
    </row>
    <row r="175" spans="1:35" s="1" customFormat="1" ht="10.5" x14ac:dyDescent="0.25">
      <c r="A175" s="21">
        <v>4</v>
      </c>
      <c r="B175" s="22" t="s">
        <v>1656</v>
      </c>
      <c r="C175" s="22" t="s">
        <v>58</v>
      </c>
      <c r="D175" s="51" t="s">
        <v>1051</v>
      </c>
      <c r="E175" s="24" t="s">
        <v>1052</v>
      </c>
      <c r="F175" s="52"/>
      <c r="G175" s="52" t="s">
        <v>319</v>
      </c>
      <c r="H175" s="52" t="s">
        <v>62</v>
      </c>
      <c r="I175" s="52">
        <v>2014</v>
      </c>
      <c r="J175" s="52"/>
      <c r="K175" s="52" t="s">
        <v>63</v>
      </c>
      <c r="L175" s="52" t="s">
        <v>64</v>
      </c>
      <c r="M175" s="52">
        <v>1</v>
      </c>
      <c r="N175" s="53">
        <f t="shared" ref="N175:N180" si="114">SUM(O175/M175)</f>
        <v>998800</v>
      </c>
      <c r="O175" s="53">
        <v>998800</v>
      </c>
      <c r="P175" s="52"/>
      <c r="Q175" s="52"/>
      <c r="R175" s="52"/>
      <c r="S175" s="53">
        <f t="shared" ref="S175:S181" si="115">SUM(O175-R175)</f>
        <v>998800</v>
      </c>
      <c r="T175" s="52">
        <v>5</v>
      </c>
      <c r="U175" s="53"/>
      <c r="V175" s="52">
        <v>0.5</v>
      </c>
      <c r="W175" s="53">
        <f t="shared" ref="W175:W180" si="116">SUM(U175*V175)</f>
        <v>0</v>
      </c>
      <c r="X175" s="52"/>
      <c r="Y175" s="53">
        <f t="shared" ref="Y175:Y180" si="117">SUM(U175*X175)</f>
        <v>0</v>
      </c>
      <c r="Z175" s="53">
        <f t="shared" ref="Z175:Z181" si="118">SUM(W175+Y175)</f>
        <v>0</v>
      </c>
      <c r="AA175" s="52">
        <v>5</v>
      </c>
      <c r="AB175" s="53">
        <v>998800</v>
      </c>
      <c r="AC175" s="53">
        <f t="shared" si="113"/>
        <v>0</v>
      </c>
      <c r="AD175" s="56" t="s">
        <v>297</v>
      </c>
      <c r="AE175" s="56"/>
      <c r="AF175" s="1">
        <v>998800</v>
      </c>
      <c r="AG175" s="168">
        <f t="shared" si="107"/>
        <v>0</v>
      </c>
      <c r="AH175" s="5"/>
      <c r="AI175" s="5"/>
    </row>
    <row r="176" spans="1:35" s="1" customFormat="1" ht="10.5" x14ac:dyDescent="0.25">
      <c r="A176" s="21">
        <v>5</v>
      </c>
      <c r="B176" s="22" t="s">
        <v>1656</v>
      </c>
      <c r="C176" s="22" t="s">
        <v>75</v>
      </c>
      <c r="D176" s="51" t="s">
        <v>1051</v>
      </c>
      <c r="E176" s="24" t="s">
        <v>1053</v>
      </c>
      <c r="F176" s="52"/>
      <c r="G176" s="52" t="s">
        <v>319</v>
      </c>
      <c r="H176" s="52" t="s">
        <v>62</v>
      </c>
      <c r="I176" s="52">
        <v>2014</v>
      </c>
      <c r="J176" s="52"/>
      <c r="K176" s="52" t="s">
        <v>63</v>
      </c>
      <c r="L176" s="52" t="s">
        <v>64</v>
      </c>
      <c r="M176" s="52">
        <v>1</v>
      </c>
      <c r="N176" s="53">
        <f t="shared" si="114"/>
        <v>998800</v>
      </c>
      <c r="O176" s="53">
        <v>998800</v>
      </c>
      <c r="P176" s="52"/>
      <c r="Q176" s="52"/>
      <c r="R176" s="52"/>
      <c r="S176" s="53">
        <f t="shared" si="115"/>
        <v>998800</v>
      </c>
      <c r="T176" s="52">
        <v>5</v>
      </c>
      <c r="U176" s="53"/>
      <c r="V176" s="52">
        <v>0.5</v>
      </c>
      <c r="W176" s="53">
        <f t="shared" si="116"/>
        <v>0</v>
      </c>
      <c r="X176" s="52"/>
      <c r="Y176" s="53">
        <f t="shared" si="117"/>
        <v>0</v>
      </c>
      <c r="Z176" s="53">
        <f t="shared" si="118"/>
        <v>0</v>
      </c>
      <c r="AA176" s="52">
        <v>5</v>
      </c>
      <c r="AB176" s="53">
        <v>998800</v>
      </c>
      <c r="AC176" s="53">
        <f t="shared" si="113"/>
        <v>0</v>
      </c>
      <c r="AD176" s="56" t="s">
        <v>287</v>
      </c>
      <c r="AE176" s="56"/>
      <c r="AF176" s="1">
        <v>998800</v>
      </c>
      <c r="AG176" s="168">
        <f t="shared" si="107"/>
        <v>0</v>
      </c>
      <c r="AH176" s="5"/>
      <c r="AI176" s="5"/>
    </row>
    <row r="177" spans="1:35" s="1" customFormat="1" ht="10.5" x14ac:dyDescent="0.25">
      <c r="A177" s="21">
        <v>6</v>
      </c>
      <c r="B177" s="22" t="s">
        <v>1656</v>
      </c>
      <c r="C177" s="22" t="s">
        <v>79</v>
      </c>
      <c r="D177" s="51" t="s">
        <v>1051</v>
      </c>
      <c r="E177" s="24" t="s">
        <v>1054</v>
      </c>
      <c r="F177" s="52"/>
      <c r="G177" s="52" t="s">
        <v>319</v>
      </c>
      <c r="H177" s="52" t="s">
        <v>62</v>
      </c>
      <c r="I177" s="52">
        <v>2014</v>
      </c>
      <c r="J177" s="52"/>
      <c r="K177" s="52" t="s">
        <v>63</v>
      </c>
      <c r="L177" s="52" t="s">
        <v>64</v>
      </c>
      <c r="M177" s="52">
        <v>1</v>
      </c>
      <c r="N177" s="53">
        <f t="shared" si="114"/>
        <v>998800</v>
      </c>
      <c r="O177" s="53">
        <v>998800</v>
      </c>
      <c r="P177" s="52"/>
      <c r="Q177" s="52"/>
      <c r="R177" s="52"/>
      <c r="S177" s="53">
        <f t="shared" si="115"/>
        <v>998800</v>
      </c>
      <c r="T177" s="52">
        <v>5</v>
      </c>
      <c r="U177" s="53"/>
      <c r="V177" s="52">
        <v>0.5</v>
      </c>
      <c r="W177" s="53">
        <f t="shared" si="116"/>
        <v>0</v>
      </c>
      <c r="X177" s="52"/>
      <c r="Y177" s="53">
        <f t="shared" si="117"/>
        <v>0</v>
      </c>
      <c r="Z177" s="53">
        <f t="shared" si="118"/>
        <v>0</v>
      </c>
      <c r="AA177" s="52">
        <v>5</v>
      </c>
      <c r="AB177" s="53">
        <v>998800</v>
      </c>
      <c r="AC177" s="53">
        <f t="shared" si="113"/>
        <v>0</v>
      </c>
      <c r="AD177" s="56" t="s">
        <v>303</v>
      </c>
      <c r="AE177" s="56"/>
      <c r="AF177" s="1">
        <v>998800</v>
      </c>
      <c r="AG177" s="168">
        <f t="shared" si="107"/>
        <v>0</v>
      </c>
      <c r="AH177" s="5"/>
      <c r="AI177" s="5"/>
    </row>
    <row r="178" spans="1:35" s="1" customFormat="1" ht="10.5" x14ac:dyDescent="0.25">
      <c r="A178" s="21">
        <v>7</v>
      </c>
      <c r="B178" s="22" t="s">
        <v>1656</v>
      </c>
      <c r="C178" s="22" t="s">
        <v>84</v>
      </c>
      <c r="D178" s="51" t="s">
        <v>1051</v>
      </c>
      <c r="E178" s="24" t="s">
        <v>1055</v>
      </c>
      <c r="F178" s="52"/>
      <c r="G178" s="52" t="s">
        <v>319</v>
      </c>
      <c r="H178" s="52" t="s">
        <v>62</v>
      </c>
      <c r="I178" s="52">
        <v>2014</v>
      </c>
      <c r="J178" s="52"/>
      <c r="K178" s="52" t="s">
        <v>63</v>
      </c>
      <c r="L178" s="52" t="s">
        <v>64</v>
      </c>
      <c r="M178" s="52">
        <v>1</v>
      </c>
      <c r="N178" s="53">
        <f t="shared" si="114"/>
        <v>998800</v>
      </c>
      <c r="O178" s="53">
        <v>998800</v>
      </c>
      <c r="P178" s="52"/>
      <c r="Q178" s="52"/>
      <c r="R178" s="52"/>
      <c r="S178" s="53">
        <f t="shared" si="115"/>
        <v>998800</v>
      </c>
      <c r="T178" s="52">
        <v>5</v>
      </c>
      <c r="U178" s="53"/>
      <c r="V178" s="52">
        <v>0.5</v>
      </c>
      <c r="W178" s="53">
        <f t="shared" si="116"/>
        <v>0</v>
      </c>
      <c r="X178" s="52"/>
      <c r="Y178" s="53">
        <f t="shared" si="117"/>
        <v>0</v>
      </c>
      <c r="Z178" s="53">
        <f t="shared" si="118"/>
        <v>0</v>
      </c>
      <c r="AA178" s="52">
        <v>5</v>
      </c>
      <c r="AB178" s="53">
        <v>998800</v>
      </c>
      <c r="AC178" s="53">
        <f t="shared" si="113"/>
        <v>0</v>
      </c>
      <c r="AD178" s="56" t="s">
        <v>909</v>
      </c>
      <c r="AE178" s="56"/>
      <c r="AF178" s="1">
        <v>998800</v>
      </c>
      <c r="AG178" s="168">
        <f t="shared" si="107"/>
        <v>0</v>
      </c>
      <c r="AH178" s="5"/>
      <c r="AI178" s="5"/>
    </row>
    <row r="179" spans="1:35" s="1" customFormat="1" ht="10.5" x14ac:dyDescent="0.25">
      <c r="A179" s="21">
        <v>8</v>
      </c>
      <c r="B179" s="22" t="s">
        <v>1656</v>
      </c>
      <c r="C179" s="22" t="s">
        <v>88</v>
      </c>
      <c r="D179" s="51" t="s">
        <v>1051</v>
      </c>
      <c r="E179" s="24" t="s">
        <v>1056</v>
      </c>
      <c r="F179" s="52"/>
      <c r="G179" s="52" t="s">
        <v>319</v>
      </c>
      <c r="H179" s="52" t="s">
        <v>62</v>
      </c>
      <c r="I179" s="52">
        <v>2014</v>
      </c>
      <c r="J179" s="52"/>
      <c r="K179" s="52" t="s">
        <v>63</v>
      </c>
      <c r="L179" s="52" t="s">
        <v>64</v>
      </c>
      <c r="M179" s="52">
        <v>1</v>
      </c>
      <c r="N179" s="53">
        <f t="shared" si="114"/>
        <v>998800</v>
      </c>
      <c r="O179" s="53">
        <v>998800</v>
      </c>
      <c r="P179" s="52"/>
      <c r="Q179" s="52"/>
      <c r="R179" s="52"/>
      <c r="S179" s="53">
        <f t="shared" si="115"/>
        <v>998800</v>
      </c>
      <c r="T179" s="52">
        <v>5</v>
      </c>
      <c r="U179" s="53"/>
      <c r="V179" s="52">
        <v>0.5</v>
      </c>
      <c r="W179" s="53">
        <f t="shared" si="116"/>
        <v>0</v>
      </c>
      <c r="X179" s="52"/>
      <c r="Y179" s="53">
        <f t="shared" si="117"/>
        <v>0</v>
      </c>
      <c r="Z179" s="53">
        <f t="shared" si="118"/>
        <v>0</v>
      </c>
      <c r="AA179" s="52">
        <v>5</v>
      </c>
      <c r="AB179" s="53">
        <v>998800</v>
      </c>
      <c r="AC179" s="53">
        <f t="shared" si="113"/>
        <v>0</v>
      </c>
      <c r="AD179" s="56" t="s">
        <v>907</v>
      </c>
      <c r="AE179" s="56"/>
      <c r="AF179" s="1">
        <v>998800</v>
      </c>
      <c r="AG179" s="168">
        <f t="shared" si="107"/>
        <v>0</v>
      </c>
      <c r="AH179" s="5"/>
      <c r="AI179" s="5"/>
    </row>
    <row r="180" spans="1:35" s="1" customFormat="1" ht="10.5" x14ac:dyDescent="0.25">
      <c r="A180" s="21">
        <v>9</v>
      </c>
      <c r="B180" s="22" t="s">
        <v>1656</v>
      </c>
      <c r="C180" s="22" t="s">
        <v>92</v>
      </c>
      <c r="D180" s="51" t="s">
        <v>1051</v>
      </c>
      <c r="E180" s="24" t="s">
        <v>1057</v>
      </c>
      <c r="F180" s="52"/>
      <c r="G180" s="52" t="s">
        <v>319</v>
      </c>
      <c r="H180" s="52" t="s">
        <v>62</v>
      </c>
      <c r="I180" s="52">
        <v>2014</v>
      </c>
      <c r="J180" s="52"/>
      <c r="K180" s="52" t="s">
        <v>63</v>
      </c>
      <c r="L180" s="52" t="s">
        <v>64</v>
      </c>
      <c r="M180" s="52">
        <v>1</v>
      </c>
      <c r="N180" s="53">
        <f t="shared" si="114"/>
        <v>998800</v>
      </c>
      <c r="O180" s="53">
        <v>998800</v>
      </c>
      <c r="P180" s="52"/>
      <c r="Q180" s="52"/>
      <c r="R180" s="52"/>
      <c r="S180" s="53">
        <f t="shared" si="115"/>
        <v>998800</v>
      </c>
      <c r="T180" s="52">
        <v>5</v>
      </c>
      <c r="U180" s="53"/>
      <c r="V180" s="52">
        <v>0.5</v>
      </c>
      <c r="W180" s="53">
        <f t="shared" si="116"/>
        <v>0</v>
      </c>
      <c r="X180" s="52"/>
      <c r="Y180" s="53">
        <f t="shared" si="117"/>
        <v>0</v>
      </c>
      <c r="Z180" s="53">
        <f t="shared" si="118"/>
        <v>0</v>
      </c>
      <c r="AA180" s="52">
        <v>5</v>
      </c>
      <c r="AB180" s="53">
        <v>998800</v>
      </c>
      <c r="AC180" s="53">
        <f t="shared" si="113"/>
        <v>0</v>
      </c>
      <c r="AD180" s="56" t="s">
        <v>909</v>
      </c>
      <c r="AE180" s="56"/>
      <c r="AF180" s="1">
        <v>998800</v>
      </c>
      <c r="AG180" s="168">
        <f t="shared" si="107"/>
        <v>0</v>
      </c>
      <c r="AH180" s="5"/>
      <c r="AI180" s="5"/>
    </row>
    <row r="181" spans="1:35" s="1" customFormat="1" ht="10.5" x14ac:dyDescent="0.25">
      <c r="A181" s="21">
        <v>10</v>
      </c>
      <c r="B181" s="22" t="s">
        <v>1657</v>
      </c>
      <c r="C181" s="73" t="s">
        <v>58</v>
      </c>
      <c r="D181" s="51" t="s">
        <v>204</v>
      </c>
      <c r="E181" s="52" t="s">
        <v>205</v>
      </c>
      <c r="F181" s="52"/>
      <c r="G181" s="52" t="s">
        <v>61</v>
      </c>
      <c r="H181" s="52" t="s">
        <v>62</v>
      </c>
      <c r="I181" s="52">
        <v>2019</v>
      </c>
      <c r="J181" s="52"/>
      <c r="K181" s="52" t="s">
        <v>63</v>
      </c>
      <c r="L181" s="52" t="s">
        <v>64</v>
      </c>
      <c r="M181" s="52">
        <v>1</v>
      </c>
      <c r="N181" s="53">
        <v>18478000</v>
      </c>
      <c r="O181" s="53">
        <v>18478000</v>
      </c>
      <c r="P181" s="52"/>
      <c r="Q181" s="52"/>
      <c r="R181" s="52"/>
      <c r="S181" s="53">
        <f t="shared" si="115"/>
        <v>18478000</v>
      </c>
      <c r="T181" s="52">
        <v>5</v>
      </c>
      <c r="U181" s="53">
        <f>SUM(S181/T181)</f>
        <v>3695600</v>
      </c>
      <c r="V181" s="52">
        <v>0.5</v>
      </c>
      <c r="W181" s="53">
        <f t="shared" ref="W181" si="119">SUM(U181*V181)</f>
        <v>1847800</v>
      </c>
      <c r="X181" s="52">
        <v>0.5</v>
      </c>
      <c r="Y181" s="53">
        <f t="shared" ref="Y181" si="120">SUM(U181*X181)</f>
        <v>1847800</v>
      </c>
      <c r="Z181" s="53">
        <f t="shared" si="118"/>
        <v>3695600</v>
      </c>
      <c r="AA181" s="52">
        <f>2022-I181+V181+X181-9/12</f>
        <v>3.25</v>
      </c>
      <c r="AB181" s="53">
        <f>SUM(U181*AA181)</f>
        <v>12010700</v>
      </c>
      <c r="AC181" s="53">
        <f t="shared" ref="AC181" si="121">SUM(O181-AB181)</f>
        <v>6467300</v>
      </c>
      <c r="AD181" s="56"/>
      <c r="AE181" s="56"/>
      <c r="AF181" s="1">
        <v>12010700</v>
      </c>
      <c r="AG181" s="168">
        <f>AF181+Z181-AB181</f>
        <v>3695600</v>
      </c>
      <c r="AH181" s="5"/>
      <c r="AI181" s="5"/>
    </row>
    <row r="182" spans="1:35" s="1" customFormat="1" ht="10.5" x14ac:dyDescent="0.25">
      <c r="A182" s="21">
        <v>11</v>
      </c>
      <c r="B182" s="22" t="s">
        <v>1658</v>
      </c>
      <c r="C182" s="50" t="s">
        <v>58</v>
      </c>
      <c r="D182" s="51" t="s">
        <v>390</v>
      </c>
      <c r="E182" s="52" t="s">
        <v>166</v>
      </c>
      <c r="F182" s="52"/>
      <c r="G182" s="52" t="s">
        <v>61</v>
      </c>
      <c r="H182" s="52" t="s">
        <v>62</v>
      </c>
      <c r="I182" s="52">
        <v>2014</v>
      </c>
      <c r="J182" s="52"/>
      <c r="K182" s="52" t="s">
        <v>63</v>
      </c>
      <c r="L182" s="52" t="s">
        <v>64</v>
      </c>
      <c r="M182" s="52">
        <v>1</v>
      </c>
      <c r="N182" s="53">
        <f t="shared" ref="N182:N185" si="122">SUM(O182/M182)</f>
        <v>1669800</v>
      </c>
      <c r="O182" s="53">
        <v>1669800</v>
      </c>
      <c r="P182" s="52"/>
      <c r="Q182" s="52"/>
      <c r="R182" s="52"/>
      <c r="S182" s="53">
        <f t="shared" ref="S182:S185" si="123">SUM(O182-R182)</f>
        <v>1669800</v>
      </c>
      <c r="T182" s="52">
        <v>5</v>
      </c>
      <c r="U182" s="53"/>
      <c r="V182" s="52">
        <v>0.5</v>
      </c>
      <c r="W182" s="53">
        <f t="shared" ref="W182:W185" si="124">SUM(U182*V182)</f>
        <v>0</v>
      </c>
      <c r="X182" s="52"/>
      <c r="Y182" s="53">
        <f t="shared" ref="Y182:Y185" si="125">SUM(U182*X182)</f>
        <v>0</v>
      </c>
      <c r="Z182" s="53">
        <f t="shared" ref="Z182:Z185" si="126">SUM(W182+Y182)</f>
        <v>0</v>
      </c>
      <c r="AA182" s="52">
        <v>5</v>
      </c>
      <c r="AB182" s="53">
        <v>1669800</v>
      </c>
      <c r="AC182" s="53">
        <f t="shared" ref="AC182:AC185" si="127">SUM(O182-AB182)</f>
        <v>0</v>
      </c>
      <c r="AD182" s="56" t="s">
        <v>331</v>
      </c>
      <c r="AE182" s="56"/>
      <c r="AF182" s="1">
        <v>1669800</v>
      </c>
      <c r="AG182" s="168">
        <f t="shared" si="107"/>
        <v>0</v>
      </c>
      <c r="AH182" s="5"/>
      <c r="AI182" s="5"/>
    </row>
    <row r="183" spans="1:35" s="170" customFormat="1" ht="10.5" x14ac:dyDescent="0.25">
      <c r="A183" s="21">
        <v>12</v>
      </c>
      <c r="B183" s="22" t="s">
        <v>1658</v>
      </c>
      <c r="C183" s="50" t="s">
        <v>75</v>
      </c>
      <c r="D183" s="51" t="s">
        <v>390</v>
      </c>
      <c r="E183" s="52" t="s">
        <v>166</v>
      </c>
      <c r="F183" s="52"/>
      <c r="G183" s="52" t="s">
        <v>61</v>
      </c>
      <c r="H183" s="52" t="s">
        <v>62</v>
      </c>
      <c r="I183" s="52">
        <v>2014</v>
      </c>
      <c r="J183" s="52"/>
      <c r="K183" s="52" t="s">
        <v>63</v>
      </c>
      <c r="L183" s="52" t="s">
        <v>64</v>
      </c>
      <c r="M183" s="52">
        <v>1</v>
      </c>
      <c r="N183" s="53">
        <f t="shared" si="122"/>
        <v>1669800</v>
      </c>
      <c r="O183" s="53">
        <v>1669800</v>
      </c>
      <c r="P183" s="52"/>
      <c r="Q183" s="52"/>
      <c r="R183" s="52"/>
      <c r="S183" s="53">
        <f t="shared" si="123"/>
        <v>1669800</v>
      </c>
      <c r="T183" s="52">
        <v>5</v>
      </c>
      <c r="U183" s="53"/>
      <c r="V183" s="52">
        <v>0.5</v>
      </c>
      <c r="W183" s="53">
        <f t="shared" si="124"/>
        <v>0</v>
      </c>
      <c r="X183" s="52"/>
      <c r="Y183" s="53">
        <f t="shared" si="125"/>
        <v>0</v>
      </c>
      <c r="Z183" s="53">
        <f t="shared" si="126"/>
        <v>0</v>
      </c>
      <c r="AA183" s="52">
        <v>5</v>
      </c>
      <c r="AB183" s="53">
        <v>1669800</v>
      </c>
      <c r="AC183" s="53">
        <f t="shared" si="127"/>
        <v>0</v>
      </c>
      <c r="AD183" s="56" t="s">
        <v>328</v>
      </c>
      <c r="AE183" s="56"/>
      <c r="AF183" s="170">
        <v>1669800</v>
      </c>
      <c r="AG183" s="171">
        <f t="shared" si="107"/>
        <v>0</v>
      </c>
      <c r="AH183" s="172"/>
      <c r="AI183" s="172"/>
    </row>
    <row r="184" spans="1:35" s="1" customFormat="1" ht="10.5" x14ac:dyDescent="0.25">
      <c r="A184" s="21">
        <v>13</v>
      </c>
      <c r="B184" s="22" t="s">
        <v>1658</v>
      </c>
      <c r="C184" s="50" t="s">
        <v>391</v>
      </c>
      <c r="D184" s="51" t="s">
        <v>390</v>
      </c>
      <c r="E184" s="52" t="s">
        <v>392</v>
      </c>
      <c r="F184" s="24"/>
      <c r="G184" s="24" t="s">
        <v>194</v>
      </c>
      <c r="H184" s="24" t="s">
        <v>62</v>
      </c>
      <c r="I184" s="24">
        <v>2018</v>
      </c>
      <c r="J184" s="24"/>
      <c r="K184" s="24" t="s">
        <v>63</v>
      </c>
      <c r="L184" s="24" t="s">
        <v>64</v>
      </c>
      <c r="M184" s="24">
        <v>7</v>
      </c>
      <c r="N184" s="41">
        <f t="shared" si="122"/>
        <v>2089371.4285714286</v>
      </c>
      <c r="O184" s="41">
        <v>14625600</v>
      </c>
      <c r="P184" s="24"/>
      <c r="Q184" s="24"/>
      <c r="R184" s="24"/>
      <c r="S184" s="41">
        <f t="shared" si="123"/>
        <v>14625600</v>
      </c>
      <c r="T184" s="24">
        <v>5</v>
      </c>
      <c r="U184" s="41">
        <f>SUM(S184/T184)</f>
        <v>2925120</v>
      </c>
      <c r="V184" s="24">
        <v>0.5</v>
      </c>
      <c r="W184" s="41">
        <f t="shared" si="124"/>
        <v>1462560</v>
      </c>
      <c r="X184" s="24">
        <v>0.5</v>
      </c>
      <c r="Y184" s="41">
        <f t="shared" si="125"/>
        <v>1462560</v>
      </c>
      <c r="Z184" s="41">
        <f t="shared" si="126"/>
        <v>2925120</v>
      </c>
      <c r="AA184" s="24">
        <f>2022-I184+V184+X184-8/12</f>
        <v>4.333333333333333</v>
      </c>
      <c r="AB184" s="41">
        <f>SUM(U184*AA184)</f>
        <v>12675520</v>
      </c>
      <c r="AC184" s="41">
        <f t="shared" si="127"/>
        <v>1950080</v>
      </c>
      <c r="AD184" s="70"/>
      <c r="AE184" s="70"/>
      <c r="AF184" s="1">
        <v>12675520</v>
      </c>
      <c r="AG184" s="168">
        <f>AF184+Z184-AB184</f>
        <v>2925120</v>
      </c>
      <c r="AH184" s="5"/>
      <c r="AI184" s="5"/>
    </row>
    <row r="185" spans="1:35" s="1" customFormat="1" ht="10.5" x14ac:dyDescent="0.25">
      <c r="A185" s="21">
        <v>14</v>
      </c>
      <c r="B185" s="22" t="s">
        <v>1659</v>
      </c>
      <c r="C185" s="50" t="s">
        <v>58</v>
      </c>
      <c r="D185" s="51" t="s">
        <v>378</v>
      </c>
      <c r="E185" s="52" t="s">
        <v>379</v>
      </c>
      <c r="F185" s="24"/>
      <c r="G185" s="24" t="s">
        <v>194</v>
      </c>
      <c r="H185" s="24" t="s">
        <v>62</v>
      </c>
      <c r="I185" s="24">
        <v>2008</v>
      </c>
      <c r="J185" s="24"/>
      <c r="K185" s="24" t="s">
        <v>63</v>
      </c>
      <c r="L185" s="24" t="s">
        <v>212</v>
      </c>
      <c r="M185" s="24">
        <v>1</v>
      </c>
      <c r="N185" s="41">
        <f t="shared" si="122"/>
        <v>17500000</v>
      </c>
      <c r="O185" s="41">
        <v>17500000</v>
      </c>
      <c r="P185" s="24"/>
      <c r="Q185" s="24"/>
      <c r="R185" s="24"/>
      <c r="S185" s="41">
        <f t="shared" si="123"/>
        <v>17500000</v>
      </c>
      <c r="T185" s="24">
        <v>5</v>
      </c>
      <c r="U185" s="41"/>
      <c r="V185" s="24">
        <v>0.5</v>
      </c>
      <c r="W185" s="41">
        <f t="shared" si="124"/>
        <v>0</v>
      </c>
      <c r="X185" s="24"/>
      <c r="Y185" s="41">
        <f t="shared" si="125"/>
        <v>0</v>
      </c>
      <c r="Z185" s="41">
        <f t="shared" si="126"/>
        <v>0</v>
      </c>
      <c r="AA185" s="24">
        <v>5</v>
      </c>
      <c r="AB185" s="41">
        <v>17500000</v>
      </c>
      <c r="AC185" s="41">
        <f t="shared" si="127"/>
        <v>0</v>
      </c>
      <c r="AD185" s="70" t="s">
        <v>217</v>
      </c>
      <c r="AE185" s="70"/>
      <c r="AF185" s="1">
        <v>17500000</v>
      </c>
      <c r="AG185" s="168">
        <f t="shared" si="107"/>
        <v>0</v>
      </c>
      <c r="AH185" s="5"/>
      <c r="AI185" s="5"/>
    </row>
    <row r="186" spans="1:35" s="1" customFormat="1" ht="10.5" x14ac:dyDescent="0.25">
      <c r="A186" s="21">
        <v>15</v>
      </c>
      <c r="B186" s="22" t="s">
        <v>1660</v>
      </c>
      <c r="C186" s="50" t="s">
        <v>58</v>
      </c>
      <c r="D186" s="51" t="s">
        <v>289</v>
      </c>
      <c r="E186" s="52" t="s">
        <v>290</v>
      </c>
      <c r="F186" s="24"/>
      <c r="G186" s="24" t="s">
        <v>194</v>
      </c>
      <c r="H186" s="24" t="s">
        <v>62</v>
      </c>
      <c r="I186" s="24">
        <v>2012</v>
      </c>
      <c r="J186" s="24"/>
      <c r="K186" s="24" t="s">
        <v>63</v>
      </c>
      <c r="L186" s="24" t="s">
        <v>167</v>
      </c>
      <c r="M186" s="24">
        <v>1</v>
      </c>
      <c r="N186" s="41">
        <f t="shared" ref="N186:N199" si="128">SUM(O186/M186)</f>
        <v>29260000</v>
      </c>
      <c r="O186" s="41">
        <v>29260000</v>
      </c>
      <c r="P186" s="24"/>
      <c r="Q186" s="24"/>
      <c r="R186" s="24"/>
      <c r="S186" s="41">
        <f t="shared" ref="S186:S199" si="129">SUM(O186-R186)</f>
        <v>29260000</v>
      </c>
      <c r="T186" s="24">
        <v>5</v>
      </c>
      <c r="U186" s="41"/>
      <c r="V186" s="24">
        <v>0.5</v>
      </c>
      <c r="W186" s="41">
        <f t="shared" ref="W186:W193" si="130">SUM(U186*V186)</f>
        <v>0</v>
      </c>
      <c r="X186" s="24"/>
      <c r="Y186" s="41">
        <f t="shared" ref="Y186:Y200" si="131">SUM(U186*X186)</f>
        <v>0</v>
      </c>
      <c r="Z186" s="41">
        <f t="shared" ref="Z186:Z199" si="132">SUM(W186+Y186)</f>
        <v>0</v>
      </c>
      <c r="AA186" s="24">
        <v>5</v>
      </c>
      <c r="AB186" s="41">
        <v>29260000</v>
      </c>
      <c r="AC186" s="41">
        <f t="shared" ref="AC186:AC200" si="133">SUM(O186-AB186)</f>
        <v>0</v>
      </c>
      <c r="AD186" s="70" t="s">
        <v>287</v>
      </c>
      <c r="AE186" s="70"/>
      <c r="AF186" s="1">
        <v>29260000</v>
      </c>
      <c r="AG186" s="168">
        <f t="shared" si="107"/>
        <v>0</v>
      </c>
      <c r="AH186" s="5"/>
      <c r="AI186" s="5"/>
    </row>
    <row r="187" spans="1:35" s="1" customFormat="1" ht="10.5" x14ac:dyDescent="0.25">
      <c r="A187" s="21">
        <v>16</v>
      </c>
      <c r="B187" s="22" t="s">
        <v>1660</v>
      </c>
      <c r="C187" s="50" t="s">
        <v>75</v>
      </c>
      <c r="D187" s="51" t="s">
        <v>289</v>
      </c>
      <c r="E187" s="52" t="s">
        <v>290</v>
      </c>
      <c r="F187" s="24"/>
      <c r="G187" s="24" t="s">
        <v>194</v>
      </c>
      <c r="H187" s="24" t="s">
        <v>62</v>
      </c>
      <c r="I187" s="24">
        <v>2012</v>
      </c>
      <c r="J187" s="24"/>
      <c r="K187" s="24" t="s">
        <v>63</v>
      </c>
      <c r="L187" s="24" t="s">
        <v>64</v>
      </c>
      <c r="M187" s="24">
        <v>1</v>
      </c>
      <c r="N187" s="41">
        <f t="shared" si="128"/>
        <v>29260000</v>
      </c>
      <c r="O187" s="41">
        <v>29260000</v>
      </c>
      <c r="P187" s="24"/>
      <c r="Q187" s="24"/>
      <c r="R187" s="24"/>
      <c r="S187" s="41">
        <f t="shared" si="129"/>
        <v>29260000</v>
      </c>
      <c r="T187" s="24">
        <v>5</v>
      </c>
      <c r="U187" s="41"/>
      <c r="V187" s="24">
        <v>0.5</v>
      </c>
      <c r="W187" s="41">
        <f t="shared" si="130"/>
        <v>0</v>
      </c>
      <c r="X187" s="24"/>
      <c r="Y187" s="41">
        <f t="shared" si="131"/>
        <v>0</v>
      </c>
      <c r="Z187" s="41">
        <f t="shared" si="132"/>
        <v>0</v>
      </c>
      <c r="AA187" s="24">
        <v>5</v>
      </c>
      <c r="AB187" s="41">
        <v>29260000</v>
      </c>
      <c r="AC187" s="41">
        <f t="shared" si="133"/>
        <v>0</v>
      </c>
      <c r="AD187" s="70" t="s">
        <v>288</v>
      </c>
      <c r="AE187" s="70"/>
      <c r="AF187" s="1">
        <v>29260000</v>
      </c>
      <c r="AG187" s="168">
        <f t="shared" si="107"/>
        <v>0</v>
      </c>
      <c r="AH187" s="5"/>
      <c r="AI187" s="5"/>
    </row>
    <row r="188" spans="1:35" s="1" customFormat="1" ht="10.5" x14ac:dyDescent="0.25">
      <c r="A188" s="21">
        <v>17</v>
      </c>
      <c r="B188" s="22" t="s">
        <v>1660</v>
      </c>
      <c r="C188" s="50" t="s">
        <v>291</v>
      </c>
      <c r="D188" s="51" t="s">
        <v>292</v>
      </c>
      <c r="E188" s="52" t="s">
        <v>293</v>
      </c>
      <c r="F188" s="24"/>
      <c r="G188" s="24" t="s">
        <v>194</v>
      </c>
      <c r="H188" s="24" t="s">
        <v>62</v>
      </c>
      <c r="I188" s="24">
        <v>2011</v>
      </c>
      <c r="J188" s="24"/>
      <c r="K188" s="24" t="s">
        <v>63</v>
      </c>
      <c r="L188" s="24" t="s">
        <v>64</v>
      </c>
      <c r="M188" s="24">
        <v>4</v>
      </c>
      <c r="N188" s="41">
        <f t="shared" si="128"/>
        <v>4775000</v>
      </c>
      <c r="O188" s="41">
        <v>19100000</v>
      </c>
      <c r="P188" s="24"/>
      <c r="Q188" s="24"/>
      <c r="R188" s="24"/>
      <c r="S188" s="41">
        <f t="shared" si="129"/>
        <v>19100000</v>
      </c>
      <c r="T188" s="24">
        <v>5</v>
      </c>
      <c r="U188" s="41"/>
      <c r="V188" s="24">
        <v>0.5</v>
      </c>
      <c r="W188" s="41">
        <f t="shared" si="130"/>
        <v>0</v>
      </c>
      <c r="X188" s="24"/>
      <c r="Y188" s="41">
        <f t="shared" si="131"/>
        <v>0</v>
      </c>
      <c r="Z188" s="41">
        <f t="shared" si="132"/>
        <v>0</v>
      </c>
      <c r="AA188" s="24">
        <v>5</v>
      </c>
      <c r="AB188" s="41">
        <v>19100000</v>
      </c>
      <c r="AC188" s="41">
        <f t="shared" si="133"/>
        <v>0</v>
      </c>
      <c r="AD188" s="70" t="s">
        <v>250</v>
      </c>
      <c r="AE188" s="70"/>
      <c r="AF188" s="1">
        <v>19100000</v>
      </c>
      <c r="AG188" s="168">
        <f t="shared" si="107"/>
        <v>0</v>
      </c>
      <c r="AH188" s="5"/>
      <c r="AI188" s="5"/>
    </row>
    <row r="189" spans="1:35" s="1" customFormat="1" ht="10.5" x14ac:dyDescent="0.25">
      <c r="A189" s="21">
        <v>18</v>
      </c>
      <c r="B189" s="22" t="s">
        <v>1660</v>
      </c>
      <c r="C189" s="50" t="s">
        <v>96</v>
      </c>
      <c r="D189" s="51" t="s">
        <v>292</v>
      </c>
      <c r="E189" s="52" t="s">
        <v>294</v>
      </c>
      <c r="F189" s="24"/>
      <c r="G189" s="24" t="s">
        <v>194</v>
      </c>
      <c r="H189" s="24" t="s">
        <v>62</v>
      </c>
      <c r="I189" s="24">
        <v>2011</v>
      </c>
      <c r="J189" s="24"/>
      <c r="K189" s="24" t="s">
        <v>63</v>
      </c>
      <c r="L189" s="24" t="s">
        <v>64</v>
      </c>
      <c r="M189" s="24">
        <v>1</v>
      </c>
      <c r="N189" s="41">
        <f t="shared" si="128"/>
        <v>46000000</v>
      </c>
      <c r="O189" s="41">
        <v>46000000</v>
      </c>
      <c r="P189" s="24"/>
      <c r="Q189" s="24"/>
      <c r="R189" s="24"/>
      <c r="S189" s="41">
        <f t="shared" si="129"/>
        <v>46000000</v>
      </c>
      <c r="T189" s="24">
        <v>5</v>
      </c>
      <c r="U189" s="41"/>
      <c r="V189" s="24">
        <v>0.5</v>
      </c>
      <c r="W189" s="41">
        <f t="shared" si="130"/>
        <v>0</v>
      </c>
      <c r="X189" s="24"/>
      <c r="Y189" s="41">
        <f t="shared" si="131"/>
        <v>0</v>
      </c>
      <c r="Z189" s="41">
        <f t="shared" si="132"/>
        <v>0</v>
      </c>
      <c r="AA189" s="72">
        <v>5</v>
      </c>
      <c r="AB189" s="41">
        <v>46000000</v>
      </c>
      <c r="AC189" s="41">
        <f t="shared" si="133"/>
        <v>0</v>
      </c>
      <c r="AD189" s="70" t="s">
        <v>295</v>
      </c>
      <c r="AE189" s="70"/>
      <c r="AF189" s="1">
        <v>46000000</v>
      </c>
      <c r="AG189" s="168">
        <f t="shared" si="107"/>
        <v>0</v>
      </c>
      <c r="AH189" s="5"/>
      <c r="AI189" s="5"/>
    </row>
    <row r="190" spans="1:35" s="1" customFormat="1" ht="10.5" x14ac:dyDescent="0.25">
      <c r="A190" s="21">
        <v>19</v>
      </c>
      <c r="B190" s="22" t="s">
        <v>1660</v>
      </c>
      <c r="C190" s="50" t="s">
        <v>100</v>
      </c>
      <c r="D190" s="51" t="s">
        <v>292</v>
      </c>
      <c r="E190" s="52" t="s">
        <v>296</v>
      </c>
      <c r="F190" s="24"/>
      <c r="G190" s="24" t="s">
        <v>194</v>
      </c>
      <c r="H190" s="24" t="s">
        <v>62</v>
      </c>
      <c r="I190" s="24">
        <v>2011</v>
      </c>
      <c r="J190" s="24"/>
      <c r="K190" s="24" t="s">
        <v>63</v>
      </c>
      <c r="L190" s="24" t="s">
        <v>64</v>
      </c>
      <c r="M190" s="24">
        <v>1</v>
      </c>
      <c r="N190" s="41">
        <f t="shared" si="128"/>
        <v>28400000</v>
      </c>
      <c r="O190" s="41">
        <v>28400000</v>
      </c>
      <c r="P190" s="24"/>
      <c r="Q190" s="24"/>
      <c r="R190" s="24"/>
      <c r="S190" s="41">
        <f t="shared" si="129"/>
        <v>28400000</v>
      </c>
      <c r="T190" s="24">
        <v>5</v>
      </c>
      <c r="U190" s="41"/>
      <c r="V190" s="24">
        <v>0.5</v>
      </c>
      <c r="W190" s="41">
        <f t="shared" si="130"/>
        <v>0</v>
      </c>
      <c r="X190" s="24"/>
      <c r="Y190" s="41">
        <f t="shared" si="131"/>
        <v>0</v>
      </c>
      <c r="Z190" s="41">
        <f t="shared" si="132"/>
        <v>0</v>
      </c>
      <c r="AA190" s="72">
        <v>5</v>
      </c>
      <c r="AB190" s="41">
        <v>28400000</v>
      </c>
      <c r="AC190" s="41">
        <f t="shared" si="133"/>
        <v>0</v>
      </c>
      <c r="AD190" s="70" t="s">
        <v>297</v>
      </c>
      <c r="AE190" s="70"/>
      <c r="AF190" s="1">
        <v>28400000</v>
      </c>
      <c r="AG190" s="168">
        <f t="shared" si="107"/>
        <v>0</v>
      </c>
      <c r="AH190" s="5"/>
      <c r="AI190" s="5"/>
    </row>
    <row r="191" spans="1:35" s="1" customFormat="1" ht="10.5" x14ac:dyDescent="0.25">
      <c r="A191" s="21">
        <v>20</v>
      </c>
      <c r="B191" s="22" t="s">
        <v>1660</v>
      </c>
      <c r="C191" s="50" t="s">
        <v>298</v>
      </c>
      <c r="D191" s="51" t="s">
        <v>299</v>
      </c>
      <c r="E191" s="52" t="s">
        <v>300</v>
      </c>
      <c r="F191" s="24"/>
      <c r="G191" s="24" t="s">
        <v>194</v>
      </c>
      <c r="H191" s="24" t="s">
        <v>62</v>
      </c>
      <c r="I191" s="24">
        <v>2012</v>
      </c>
      <c r="J191" s="24"/>
      <c r="K191" s="24" t="s">
        <v>63</v>
      </c>
      <c r="L191" s="24" t="s">
        <v>64</v>
      </c>
      <c r="M191" s="24">
        <v>2</v>
      </c>
      <c r="N191" s="41">
        <f t="shared" si="128"/>
        <v>5940000</v>
      </c>
      <c r="O191" s="41">
        <v>11880000</v>
      </c>
      <c r="P191" s="24"/>
      <c r="Q191" s="24"/>
      <c r="R191" s="24"/>
      <c r="S191" s="41">
        <f t="shared" si="129"/>
        <v>11880000</v>
      </c>
      <c r="T191" s="24">
        <v>5</v>
      </c>
      <c r="U191" s="41"/>
      <c r="V191" s="24">
        <v>0.5</v>
      </c>
      <c r="W191" s="41">
        <f t="shared" si="130"/>
        <v>0</v>
      </c>
      <c r="X191" s="24"/>
      <c r="Y191" s="41">
        <f t="shared" si="131"/>
        <v>0</v>
      </c>
      <c r="Z191" s="41">
        <f t="shared" si="132"/>
        <v>0</v>
      </c>
      <c r="AA191" s="72">
        <v>5</v>
      </c>
      <c r="AB191" s="41">
        <v>11880000</v>
      </c>
      <c r="AC191" s="41">
        <f t="shared" si="133"/>
        <v>0</v>
      </c>
      <c r="AD191" s="70" t="s">
        <v>301</v>
      </c>
      <c r="AE191" s="70"/>
      <c r="AF191" s="1">
        <v>11880000</v>
      </c>
      <c r="AG191" s="168">
        <f t="shared" si="107"/>
        <v>0</v>
      </c>
      <c r="AH191" s="5"/>
      <c r="AI191" s="5"/>
    </row>
    <row r="192" spans="1:35" s="1" customFormat="1" ht="10.5" x14ac:dyDescent="0.25">
      <c r="A192" s="21">
        <v>21</v>
      </c>
      <c r="B192" s="22" t="s">
        <v>1660</v>
      </c>
      <c r="C192" s="50" t="s">
        <v>135</v>
      </c>
      <c r="D192" s="51" t="s">
        <v>299</v>
      </c>
      <c r="E192" s="52" t="s">
        <v>300</v>
      </c>
      <c r="F192" s="24"/>
      <c r="G192" s="24" t="s">
        <v>194</v>
      </c>
      <c r="H192" s="24" t="s">
        <v>62</v>
      </c>
      <c r="I192" s="24">
        <v>2012</v>
      </c>
      <c r="J192" s="24"/>
      <c r="K192" s="24" t="s">
        <v>63</v>
      </c>
      <c r="L192" s="24" t="s">
        <v>302</v>
      </c>
      <c r="M192" s="24">
        <v>1</v>
      </c>
      <c r="N192" s="41">
        <f t="shared" si="128"/>
        <v>5940000</v>
      </c>
      <c r="O192" s="41">
        <v>5940000</v>
      </c>
      <c r="P192" s="24"/>
      <c r="Q192" s="24"/>
      <c r="R192" s="24"/>
      <c r="S192" s="41">
        <f t="shared" si="129"/>
        <v>5940000</v>
      </c>
      <c r="T192" s="24">
        <v>5</v>
      </c>
      <c r="U192" s="41"/>
      <c r="V192" s="24">
        <v>0.5</v>
      </c>
      <c r="W192" s="41">
        <f t="shared" si="130"/>
        <v>0</v>
      </c>
      <c r="X192" s="24"/>
      <c r="Y192" s="41">
        <f t="shared" si="131"/>
        <v>0</v>
      </c>
      <c r="Z192" s="41">
        <f t="shared" si="132"/>
        <v>0</v>
      </c>
      <c r="AA192" s="24">
        <v>5</v>
      </c>
      <c r="AB192" s="41">
        <v>5940000</v>
      </c>
      <c r="AC192" s="41">
        <f t="shared" si="133"/>
        <v>0</v>
      </c>
      <c r="AD192" s="70" t="s">
        <v>303</v>
      </c>
      <c r="AE192" s="70"/>
      <c r="AF192" s="1">
        <v>5940000</v>
      </c>
      <c r="AG192" s="168">
        <f t="shared" si="107"/>
        <v>0</v>
      </c>
      <c r="AH192" s="5"/>
      <c r="AI192" s="5"/>
    </row>
    <row r="193" spans="1:35" s="1" customFormat="1" ht="10.5" x14ac:dyDescent="0.25">
      <c r="A193" s="21">
        <v>22</v>
      </c>
      <c r="B193" s="22" t="s">
        <v>1660</v>
      </c>
      <c r="C193" s="50" t="s">
        <v>304</v>
      </c>
      <c r="D193" s="51" t="s">
        <v>299</v>
      </c>
      <c r="E193" s="52" t="s">
        <v>300</v>
      </c>
      <c r="F193" s="24"/>
      <c r="G193" s="24" t="s">
        <v>194</v>
      </c>
      <c r="H193" s="24" t="s">
        <v>62</v>
      </c>
      <c r="I193" s="24">
        <v>2012</v>
      </c>
      <c r="J193" s="24"/>
      <c r="K193" s="24" t="s">
        <v>63</v>
      </c>
      <c r="L193" s="24" t="s">
        <v>167</v>
      </c>
      <c r="M193" s="24">
        <v>3</v>
      </c>
      <c r="N193" s="41">
        <f t="shared" si="128"/>
        <v>5940000</v>
      </c>
      <c r="O193" s="41">
        <v>17820000</v>
      </c>
      <c r="P193" s="24"/>
      <c r="Q193" s="24"/>
      <c r="R193" s="24"/>
      <c r="S193" s="41">
        <f t="shared" si="129"/>
        <v>17820000</v>
      </c>
      <c r="T193" s="24">
        <v>5</v>
      </c>
      <c r="U193" s="41"/>
      <c r="V193" s="24">
        <v>0.5</v>
      </c>
      <c r="W193" s="41">
        <f t="shared" si="130"/>
        <v>0</v>
      </c>
      <c r="X193" s="24"/>
      <c r="Y193" s="41">
        <f t="shared" si="131"/>
        <v>0</v>
      </c>
      <c r="Z193" s="41">
        <f t="shared" si="132"/>
        <v>0</v>
      </c>
      <c r="AA193" s="24">
        <v>5</v>
      </c>
      <c r="AB193" s="41">
        <v>17820000</v>
      </c>
      <c r="AC193" s="41">
        <f t="shared" si="133"/>
        <v>0</v>
      </c>
      <c r="AD193" s="70" t="s">
        <v>305</v>
      </c>
      <c r="AE193" s="70"/>
      <c r="AF193" s="1">
        <v>17820000</v>
      </c>
      <c r="AG193" s="168">
        <f t="shared" si="107"/>
        <v>0</v>
      </c>
      <c r="AH193" s="5"/>
      <c r="AI193" s="5"/>
    </row>
    <row r="194" spans="1:35" s="1" customFormat="1" ht="10.5" x14ac:dyDescent="0.25">
      <c r="A194" s="21">
        <v>23</v>
      </c>
      <c r="B194" s="22" t="s">
        <v>1660</v>
      </c>
      <c r="C194" s="50" t="s">
        <v>306</v>
      </c>
      <c r="D194" s="51" t="s">
        <v>299</v>
      </c>
      <c r="E194" s="52" t="s">
        <v>307</v>
      </c>
      <c r="F194" s="24"/>
      <c r="G194" s="24" t="s">
        <v>194</v>
      </c>
      <c r="H194" s="24" t="s">
        <v>62</v>
      </c>
      <c r="I194" s="24">
        <v>2015</v>
      </c>
      <c r="J194" s="24"/>
      <c r="K194" s="24" t="s">
        <v>63</v>
      </c>
      <c r="L194" s="24" t="s">
        <v>64</v>
      </c>
      <c r="M194" s="24">
        <v>6</v>
      </c>
      <c r="N194" s="41">
        <f t="shared" si="128"/>
        <v>14960000</v>
      </c>
      <c r="O194" s="41">
        <v>89760000</v>
      </c>
      <c r="P194" s="24"/>
      <c r="Q194" s="24"/>
      <c r="R194" s="24"/>
      <c r="S194" s="41">
        <f t="shared" si="129"/>
        <v>89760000</v>
      </c>
      <c r="T194" s="24">
        <v>5</v>
      </c>
      <c r="U194" s="41">
        <f t="shared" ref="U194:U200" si="134">SUM(S194/T194)</f>
        <v>17952000</v>
      </c>
      <c r="V194" s="24">
        <v>0.5</v>
      </c>
      <c r="W194" s="41"/>
      <c r="X194" s="24"/>
      <c r="Y194" s="41">
        <f t="shared" si="131"/>
        <v>0</v>
      </c>
      <c r="Z194" s="41"/>
      <c r="AA194" s="24">
        <v>5</v>
      </c>
      <c r="AB194" s="41">
        <f t="shared" ref="AB194:AB200" si="135">SUM(U194*AA194)</f>
        <v>89760000</v>
      </c>
      <c r="AC194" s="41">
        <f t="shared" si="133"/>
        <v>0</v>
      </c>
      <c r="AD194" s="70" t="s">
        <v>308</v>
      </c>
      <c r="AE194" s="70"/>
      <c r="AF194" s="1">
        <v>89760000</v>
      </c>
      <c r="AG194" s="168">
        <f t="shared" si="107"/>
        <v>0</v>
      </c>
      <c r="AH194" s="5"/>
      <c r="AI194" s="5"/>
    </row>
    <row r="195" spans="1:35" s="1" customFormat="1" ht="10.5" x14ac:dyDescent="0.25">
      <c r="A195" s="21">
        <v>24</v>
      </c>
      <c r="B195" s="22" t="s">
        <v>1660</v>
      </c>
      <c r="C195" s="50" t="s">
        <v>159</v>
      </c>
      <c r="D195" s="51" t="s">
        <v>299</v>
      </c>
      <c r="E195" s="52" t="s">
        <v>307</v>
      </c>
      <c r="F195" s="24"/>
      <c r="G195" s="24" t="s">
        <v>194</v>
      </c>
      <c r="H195" s="24" t="s">
        <v>62</v>
      </c>
      <c r="I195" s="24">
        <v>2016</v>
      </c>
      <c r="J195" s="24"/>
      <c r="K195" s="24" t="s">
        <v>63</v>
      </c>
      <c r="L195" s="24" t="s">
        <v>64</v>
      </c>
      <c r="M195" s="24">
        <v>2</v>
      </c>
      <c r="N195" s="41">
        <f t="shared" si="128"/>
        <v>12985000</v>
      </c>
      <c r="O195" s="41">
        <v>25970000</v>
      </c>
      <c r="P195" s="24"/>
      <c r="Q195" s="24"/>
      <c r="R195" s="24"/>
      <c r="S195" s="41">
        <f t="shared" si="129"/>
        <v>25970000</v>
      </c>
      <c r="T195" s="24">
        <v>5</v>
      </c>
      <c r="U195" s="41">
        <f t="shared" si="134"/>
        <v>5194000</v>
      </c>
      <c r="V195" s="24"/>
      <c r="W195" s="41"/>
      <c r="X195" s="24"/>
      <c r="Y195" s="41">
        <f t="shared" si="131"/>
        <v>0</v>
      </c>
      <c r="Z195" s="41"/>
      <c r="AA195" s="24">
        <v>5</v>
      </c>
      <c r="AB195" s="41">
        <f t="shared" si="135"/>
        <v>25970000</v>
      </c>
      <c r="AC195" s="41">
        <f t="shared" si="133"/>
        <v>0</v>
      </c>
      <c r="AD195" s="70" t="s">
        <v>309</v>
      </c>
      <c r="AE195" s="70"/>
      <c r="AF195" s="1">
        <v>25970000</v>
      </c>
      <c r="AG195" s="168">
        <f t="shared" si="107"/>
        <v>0</v>
      </c>
      <c r="AH195" s="5"/>
      <c r="AI195" s="5"/>
    </row>
    <row r="196" spans="1:35" s="1" customFormat="1" ht="10.5" x14ac:dyDescent="0.25">
      <c r="A196" s="21">
        <v>25</v>
      </c>
      <c r="B196" s="22" t="s">
        <v>1660</v>
      </c>
      <c r="C196" s="50" t="s">
        <v>162</v>
      </c>
      <c r="D196" s="51" t="s">
        <v>299</v>
      </c>
      <c r="E196" s="52" t="s">
        <v>310</v>
      </c>
      <c r="F196" s="24"/>
      <c r="G196" s="24" t="s">
        <v>194</v>
      </c>
      <c r="H196" s="24" t="s">
        <v>62</v>
      </c>
      <c r="I196" s="24">
        <v>2017</v>
      </c>
      <c r="J196" s="24"/>
      <c r="K196" s="24" t="s">
        <v>63</v>
      </c>
      <c r="L196" s="24" t="s">
        <v>64</v>
      </c>
      <c r="M196" s="24">
        <v>1</v>
      </c>
      <c r="N196" s="41">
        <f t="shared" si="128"/>
        <v>12996500</v>
      </c>
      <c r="O196" s="41">
        <v>12996500</v>
      </c>
      <c r="P196" s="24"/>
      <c r="Q196" s="24"/>
      <c r="R196" s="24"/>
      <c r="S196" s="41">
        <f t="shared" si="129"/>
        <v>12996500</v>
      </c>
      <c r="T196" s="24">
        <v>5</v>
      </c>
      <c r="U196" s="41">
        <f t="shared" si="134"/>
        <v>2599300</v>
      </c>
      <c r="V196" s="24">
        <v>0.5</v>
      </c>
      <c r="W196" s="41">
        <f>SUM(U196*V196)-1083041.66666666</f>
        <v>216608.33333334001</v>
      </c>
      <c r="X196" s="24"/>
      <c r="Y196" s="41">
        <f t="shared" si="131"/>
        <v>0</v>
      </c>
      <c r="Z196" s="41">
        <f>SUM(W196+Y196)</f>
        <v>216608.33333334001</v>
      </c>
      <c r="AA196" s="24">
        <f>2022-I196+V196+X196-1/12-5/12</f>
        <v>5</v>
      </c>
      <c r="AB196" s="41">
        <f t="shared" si="135"/>
        <v>12996500</v>
      </c>
      <c r="AC196" s="41">
        <f t="shared" si="133"/>
        <v>0</v>
      </c>
      <c r="AD196" s="70" t="s">
        <v>311</v>
      </c>
      <c r="AE196" s="70"/>
      <c r="AF196" s="1">
        <v>12996500</v>
      </c>
      <c r="AG196" s="168">
        <f t="shared" si="107"/>
        <v>216608.33333333954</v>
      </c>
      <c r="AH196" s="5"/>
      <c r="AI196" s="5"/>
    </row>
    <row r="197" spans="1:35" s="1" customFormat="1" ht="10.5" x14ac:dyDescent="0.25">
      <c r="A197" s="21">
        <v>26</v>
      </c>
      <c r="B197" s="22" t="s">
        <v>1660</v>
      </c>
      <c r="C197" s="50" t="s">
        <v>312</v>
      </c>
      <c r="D197" s="51" t="s">
        <v>299</v>
      </c>
      <c r="E197" s="52" t="s">
        <v>310</v>
      </c>
      <c r="F197" s="52"/>
      <c r="G197" s="52" t="s">
        <v>194</v>
      </c>
      <c r="H197" s="52" t="s">
        <v>62</v>
      </c>
      <c r="I197" s="52">
        <v>2017</v>
      </c>
      <c r="J197" s="52"/>
      <c r="K197" s="52" t="s">
        <v>63</v>
      </c>
      <c r="L197" s="52" t="s">
        <v>64</v>
      </c>
      <c r="M197" s="52">
        <v>1</v>
      </c>
      <c r="N197" s="53">
        <f t="shared" si="128"/>
        <v>12996500</v>
      </c>
      <c r="O197" s="53">
        <v>12996500</v>
      </c>
      <c r="P197" s="52"/>
      <c r="Q197" s="52"/>
      <c r="R197" s="52"/>
      <c r="S197" s="53">
        <f t="shared" si="129"/>
        <v>12996500</v>
      </c>
      <c r="T197" s="52">
        <v>5</v>
      </c>
      <c r="U197" s="53">
        <f t="shared" si="134"/>
        <v>2599300</v>
      </c>
      <c r="V197" s="52">
        <v>0.5</v>
      </c>
      <c r="W197" s="53">
        <f>SUM(U197*V197)-1083041.66666666</f>
        <v>216608.33333334001</v>
      </c>
      <c r="X197" s="52"/>
      <c r="Y197" s="53">
        <f t="shared" si="131"/>
        <v>0</v>
      </c>
      <c r="Z197" s="53">
        <f t="shared" si="132"/>
        <v>216608.33333334001</v>
      </c>
      <c r="AA197" s="52">
        <f>2022-I197+V197+X197-1/12-5/12</f>
        <v>5</v>
      </c>
      <c r="AB197" s="53">
        <f t="shared" si="135"/>
        <v>12996500</v>
      </c>
      <c r="AC197" s="53">
        <f t="shared" si="133"/>
        <v>0</v>
      </c>
      <c r="AD197" s="56" t="s">
        <v>213</v>
      </c>
      <c r="AE197" s="56"/>
      <c r="AF197" s="1">
        <v>12996500</v>
      </c>
      <c r="AG197" s="168">
        <f t="shared" si="107"/>
        <v>216608.33333333954</v>
      </c>
      <c r="AH197" s="5"/>
      <c r="AI197" s="5"/>
    </row>
    <row r="198" spans="1:35" s="1" customFormat="1" ht="10.5" x14ac:dyDescent="0.25">
      <c r="A198" s="21">
        <v>27</v>
      </c>
      <c r="B198" s="22" t="s">
        <v>1660</v>
      </c>
      <c r="C198" s="50" t="s">
        <v>313</v>
      </c>
      <c r="D198" s="51" t="s">
        <v>299</v>
      </c>
      <c r="E198" s="52" t="s">
        <v>310</v>
      </c>
      <c r="F198" s="52"/>
      <c r="G198" s="52" t="s">
        <v>194</v>
      </c>
      <c r="H198" s="52" t="s">
        <v>62</v>
      </c>
      <c r="I198" s="52">
        <v>2017</v>
      </c>
      <c r="J198" s="52"/>
      <c r="K198" s="52" t="s">
        <v>63</v>
      </c>
      <c r="L198" s="52" t="s">
        <v>64</v>
      </c>
      <c r="M198" s="52">
        <v>1</v>
      </c>
      <c r="N198" s="53">
        <f t="shared" si="128"/>
        <v>12996500</v>
      </c>
      <c r="O198" s="53">
        <v>12996500</v>
      </c>
      <c r="P198" s="52"/>
      <c r="Q198" s="52"/>
      <c r="R198" s="52"/>
      <c r="S198" s="53">
        <f t="shared" si="129"/>
        <v>12996500</v>
      </c>
      <c r="T198" s="52">
        <v>5</v>
      </c>
      <c r="U198" s="53">
        <f t="shared" si="134"/>
        <v>2599300</v>
      </c>
      <c r="V198" s="52">
        <v>0.5</v>
      </c>
      <c r="W198" s="53">
        <f>SUM(U198*V198)-1083041.66666666</f>
        <v>216608.33333334001</v>
      </c>
      <c r="X198" s="52"/>
      <c r="Y198" s="53">
        <f t="shared" si="131"/>
        <v>0</v>
      </c>
      <c r="Z198" s="53">
        <f t="shared" si="132"/>
        <v>216608.33333334001</v>
      </c>
      <c r="AA198" s="52">
        <f>2022-I198+V198+X198-1/12-5/12</f>
        <v>5</v>
      </c>
      <c r="AB198" s="53">
        <f t="shared" si="135"/>
        <v>12996500</v>
      </c>
      <c r="AC198" s="53">
        <f t="shared" si="133"/>
        <v>0</v>
      </c>
      <c r="AD198" s="56" t="s">
        <v>224</v>
      </c>
      <c r="AE198" s="56"/>
      <c r="AF198" s="1">
        <v>12996500</v>
      </c>
      <c r="AG198" s="168">
        <f t="shared" si="107"/>
        <v>216608.33333333954</v>
      </c>
      <c r="AH198" s="5"/>
      <c r="AI198" s="5"/>
    </row>
    <row r="199" spans="1:35" s="1" customFormat="1" ht="10.5" x14ac:dyDescent="0.25">
      <c r="A199" s="21">
        <v>28</v>
      </c>
      <c r="B199" s="22" t="s">
        <v>1660</v>
      </c>
      <c r="C199" s="50" t="s">
        <v>314</v>
      </c>
      <c r="D199" s="51" t="s">
        <v>299</v>
      </c>
      <c r="E199" s="52" t="s">
        <v>310</v>
      </c>
      <c r="F199" s="52"/>
      <c r="G199" s="52" t="s">
        <v>194</v>
      </c>
      <c r="H199" s="52" t="s">
        <v>62</v>
      </c>
      <c r="I199" s="52">
        <v>2017</v>
      </c>
      <c r="J199" s="52"/>
      <c r="K199" s="52" t="s">
        <v>63</v>
      </c>
      <c r="L199" s="52" t="s">
        <v>64</v>
      </c>
      <c r="M199" s="52">
        <v>2</v>
      </c>
      <c r="N199" s="53">
        <f t="shared" si="128"/>
        <v>12996500</v>
      </c>
      <c r="O199" s="53">
        <v>25993000</v>
      </c>
      <c r="P199" s="52"/>
      <c r="Q199" s="52"/>
      <c r="R199" s="52"/>
      <c r="S199" s="53">
        <f t="shared" si="129"/>
        <v>25993000</v>
      </c>
      <c r="T199" s="52">
        <v>5</v>
      </c>
      <c r="U199" s="53">
        <f t="shared" si="134"/>
        <v>5198600</v>
      </c>
      <c r="V199" s="52">
        <v>0.5</v>
      </c>
      <c r="W199" s="53">
        <f>SUM(U199*V199)-2166083.33333333</f>
        <v>433216.66666666977</v>
      </c>
      <c r="X199" s="52"/>
      <c r="Y199" s="53">
        <f t="shared" si="131"/>
        <v>0</v>
      </c>
      <c r="Z199" s="53">
        <f t="shared" si="132"/>
        <v>433216.66666666977</v>
      </c>
      <c r="AA199" s="52">
        <f>2022-I199+V199+X199-1/12-5/12</f>
        <v>5</v>
      </c>
      <c r="AB199" s="53">
        <f t="shared" si="135"/>
        <v>25993000</v>
      </c>
      <c r="AC199" s="53">
        <f t="shared" si="133"/>
        <v>0</v>
      </c>
      <c r="AD199" s="56" t="s">
        <v>315</v>
      </c>
      <c r="AE199" s="56"/>
      <c r="AF199" s="1">
        <v>25993000</v>
      </c>
      <c r="AG199" s="168">
        <f t="shared" si="107"/>
        <v>433216.66666667163</v>
      </c>
      <c r="AH199" s="5"/>
      <c r="AI199" s="5"/>
    </row>
    <row r="200" spans="1:35" s="1" customFormat="1" ht="10.5" x14ac:dyDescent="0.25">
      <c r="A200" s="21">
        <v>29</v>
      </c>
      <c r="B200" s="22" t="s">
        <v>1660</v>
      </c>
      <c r="C200" s="50" t="s">
        <v>316</v>
      </c>
      <c r="D200" s="51" t="s">
        <v>299</v>
      </c>
      <c r="E200" s="52" t="s">
        <v>307</v>
      </c>
      <c r="F200" s="52"/>
      <c r="G200" s="52" t="s">
        <v>194</v>
      </c>
      <c r="H200" s="52" t="s">
        <v>62</v>
      </c>
      <c r="I200" s="52">
        <v>2018</v>
      </c>
      <c r="J200" s="52"/>
      <c r="K200" s="52" t="s">
        <v>63</v>
      </c>
      <c r="L200" s="52" t="s">
        <v>64</v>
      </c>
      <c r="M200" s="52">
        <v>2</v>
      </c>
      <c r="N200" s="53">
        <f t="shared" ref="N200" si="136">SUM(O200/M200)</f>
        <v>24750000</v>
      </c>
      <c r="O200" s="53">
        <v>49500000</v>
      </c>
      <c r="P200" s="52"/>
      <c r="Q200" s="52"/>
      <c r="R200" s="52"/>
      <c r="S200" s="53">
        <f t="shared" ref="S200" si="137">SUM(O200-R200)</f>
        <v>49500000</v>
      </c>
      <c r="T200" s="52">
        <v>5</v>
      </c>
      <c r="U200" s="53">
        <f t="shared" si="134"/>
        <v>9900000</v>
      </c>
      <c r="V200" s="52">
        <v>0.5</v>
      </c>
      <c r="W200" s="53">
        <f t="shared" ref="W200" si="138">SUM(U200*V200)</f>
        <v>4950000</v>
      </c>
      <c r="X200" s="52">
        <v>0.5</v>
      </c>
      <c r="Y200" s="53">
        <f t="shared" si="131"/>
        <v>4950000</v>
      </c>
      <c r="Z200" s="53">
        <f t="shared" ref="Z200" si="139">SUM(W200+Y200)</f>
        <v>9900000</v>
      </c>
      <c r="AA200" s="52">
        <f>2022-I200+V200+X200-6/12</f>
        <v>4.5</v>
      </c>
      <c r="AB200" s="53">
        <f t="shared" si="135"/>
        <v>44550000</v>
      </c>
      <c r="AC200" s="53">
        <f t="shared" si="133"/>
        <v>4950000</v>
      </c>
      <c r="AD200" s="56"/>
      <c r="AE200" s="56"/>
      <c r="AF200" s="1">
        <v>44550000</v>
      </c>
      <c r="AG200" s="168">
        <f>AF200+Z200-AB200</f>
        <v>9900000</v>
      </c>
      <c r="AH200" s="5"/>
      <c r="AI200" s="5"/>
    </row>
    <row r="201" spans="1:35" s="1" customFormat="1" ht="10.5" x14ac:dyDescent="0.25">
      <c r="A201" s="21">
        <v>30</v>
      </c>
      <c r="B201" s="22" t="s">
        <v>1661</v>
      </c>
      <c r="C201" s="22" t="s">
        <v>896</v>
      </c>
      <c r="D201" s="51" t="s">
        <v>897</v>
      </c>
      <c r="E201" s="24" t="s">
        <v>166</v>
      </c>
      <c r="F201" s="52"/>
      <c r="G201" s="52" t="s">
        <v>319</v>
      </c>
      <c r="H201" s="52" t="s">
        <v>62</v>
      </c>
      <c r="I201" s="52">
        <v>2005</v>
      </c>
      <c r="J201" s="52"/>
      <c r="K201" s="52" t="s">
        <v>63</v>
      </c>
      <c r="L201" s="52" t="s">
        <v>212</v>
      </c>
      <c r="M201" s="52">
        <v>2</v>
      </c>
      <c r="N201" s="53">
        <v>200000</v>
      </c>
      <c r="O201" s="53">
        <v>400000</v>
      </c>
      <c r="P201" s="52"/>
      <c r="Q201" s="52"/>
      <c r="R201" s="52"/>
      <c r="S201" s="53">
        <v>400000</v>
      </c>
      <c r="T201" s="52">
        <v>5</v>
      </c>
      <c r="U201" s="53"/>
      <c r="V201" s="52">
        <v>0.5</v>
      </c>
      <c r="W201" s="53">
        <v>0</v>
      </c>
      <c r="X201" s="52"/>
      <c r="Y201" s="53">
        <v>0</v>
      </c>
      <c r="Z201" s="53">
        <v>0</v>
      </c>
      <c r="AA201" s="52">
        <v>5</v>
      </c>
      <c r="AB201" s="53">
        <v>400000</v>
      </c>
      <c r="AC201" s="53">
        <v>0</v>
      </c>
      <c r="AD201" s="56" t="s">
        <v>295</v>
      </c>
      <c r="AE201" s="56"/>
      <c r="AF201" s="1">
        <v>400000</v>
      </c>
      <c r="AG201" s="168">
        <f t="shared" si="107"/>
        <v>0</v>
      </c>
      <c r="AH201" s="5"/>
      <c r="AI201" s="5"/>
    </row>
    <row r="202" spans="1:35" s="1" customFormat="1" ht="10.5" x14ac:dyDescent="0.25">
      <c r="A202" s="21">
        <v>31</v>
      </c>
      <c r="B202" s="22" t="s">
        <v>1661</v>
      </c>
      <c r="C202" s="22" t="s">
        <v>898</v>
      </c>
      <c r="D202" s="51" t="s">
        <v>897</v>
      </c>
      <c r="E202" s="24" t="s">
        <v>166</v>
      </c>
      <c r="F202" s="52"/>
      <c r="G202" s="52" t="s">
        <v>319</v>
      </c>
      <c r="H202" s="52" t="s">
        <v>62</v>
      </c>
      <c r="I202" s="52">
        <v>2005</v>
      </c>
      <c r="J202" s="52"/>
      <c r="K202" s="52" t="s">
        <v>63</v>
      </c>
      <c r="L202" s="52" t="s">
        <v>212</v>
      </c>
      <c r="M202" s="52">
        <v>2</v>
      </c>
      <c r="N202" s="53">
        <v>200000</v>
      </c>
      <c r="O202" s="53">
        <v>400000</v>
      </c>
      <c r="P202" s="52"/>
      <c r="Q202" s="52"/>
      <c r="R202" s="52"/>
      <c r="S202" s="53">
        <v>400000</v>
      </c>
      <c r="T202" s="52">
        <v>5</v>
      </c>
      <c r="U202" s="53"/>
      <c r="V202" s="52">
        <v>0.5</v>
      </c>
      <c r="W202" s="53">
        <v>0</v>
      </c>
      <c r="X202" s="52"/>
      <c r="Y202" s="53">
        <v>0</v>
      </c>
      <c r="Z202" s="53">
        <v>0</v>
      </c>
      <c r="AA202" s="57">
        <v>5</v>
      </c>
      <c r="AB202" s="53">
        <v>400000</v>
      </c>
      <c r="AC202" s="53">
        <v>0</v>
      </c>
      <c r="AD202" s="56" t="s">
        <v>297</v>
      </c>
      <c r="AE202" s="56"/>
      <c r="AF202" s="1">
        <v>400000</v>
      </c>
      <c r="AG202" s="168">
        <f t="shared" si="107"/>
        <v>0</v>
      </c>
      <c r="AH202" s="5"/>
      <c r="AI202" s="5"/>
    </row>
    <row r="203" spans="1:35" s="1" customFormat="1" ht="10.5" x14ac:dyDescent="0.25">
      <c r="A203" s="21">
        <v>32</v>
      </c>
      <c r="B203" s="22" t="s">
        <v>1661</v>
      </c>
      <c r="C203" s="22" t="s">
        <v>899</v>
      </c>
      <c r="D203" s="51" t="s">
        <v>897</v>
      </c>
      <c r="E203" s="24" t="s">
        <v>166</v>
      </c>
      <c r="F203" s="52"/>
      <c r="G203" s="52" t="s">
        <v>319</v>
      </c>
      <c r="H203" s="52" t="s">
        <v>62</v>
      </c>
      <c r="I203" s="52">
        <v>2005</v>
      </c>
      <c r="J203" s="52"/>
      <c r="K203" s="52" t="s">
        <v>63</v>
      </c>
      <c r="L203" s="52" t="s">
        <v>212</v>
      </c>
      <c r="M203" s="52">
        <v>1</v>
      </c>
      <c r="N203" s="53">
        <v>200000</v>
      </c>
      <c r="O203" s="53">
        <v>200000</v>
      </c>
      <c r="P203" s="52"/>
      <c r="Q203" s="52"/>
      <c r="R203" s="52"/>
      <c r="S203" s="53">
        <v>200000</v>
      </c>
      <c r="T203" s="52">
        <v>5</v>
      </c>
      <c r="U203" s="53"/>
      <c r="V203" s="52">
        <v>0.5</v>
      </c>
      <c r="W203" s="53">
        <v>0</v>
      </c>
      <c r="X203" s="52"/>
      <c r="Y203" s="53">
        <v>0</v>
      </c>
      <c r="Z203" s="53">
        <v>0</v>
      </c>
      <c r="AA203" s="52">
        <v>5</v>
      </c>
      <c r="AB203" s="53">
        <v>200000</v>
      </c>
      <c r="AC203" s="53">
        <v>0</v>
      </c>
      <c r="AD203" s="56" t="s">
        <v>287</v>
      </c>
      <c r="AE203" s="56"/>
      <c r="AF203" s="1">
        <v>200000</v>
      </c>
      <c r="AG203" s="168">
        <f t="shared" si="107"/>
        <v>0</v>
      </c>
      <c r="AH203" s="5"/>
      <c r="AI203" s="5"/>
    </row>
    <row r="204" spans="1:35" s="1" customFormat="1" ht="10.5" x14ac:dyDescent="0.25">
      <c r="A204" s="21">
        <v>33</v>
      </c>
      <c r="B204" s="22" t="s">
        <v>1661</v>
      </c>
      <c r="C204" s="22" t="s">
        <v>900</v>
      </c>
      <c r="D204" s="51" t="s">
        <v>897</v>
      </c>
      <c r="E204" s="24" t="s">
        <v>166</v>
      </c>
      <c r="F204" s="52"/>
      <c r="G204" s="52" t="s">
        <v>319</v>
      </c>
      <c r="H204" s="52" t="s">
        <v>62</v>
      </c>
      <c r="I204" s="52">
        <v>2005</v>
      </c>
      <c r="J204" s="52"/>
      <c r="K204" s="52" t="s">
        <v>63</v>
      </c>
      <c r="L204" s="52" t="s">
        <v>212</v>
      </c>
      <c r="M204" s="52">
        <v>1</v>
      </c>
      <c r="N204" s="53">
        <v>200000</v>
      </c>
      <c r="O204" s="53">
        <v>200000</v>
      </c>
      <c r="P204" s="52"/>
      <c r="Q204" s="52"/>
      <c r="R204" s="52"/>
      <c r="S204" s="53">
        <v>200000</v>
      </c>
      <c r="T204" s="52">
        <v>5</v>
      </c>
      <c r="U204" s="53"/>
      <c r="V204" s="52">
        <v>0.5</v>
      </c>
      <c r="W204" s="53">
        <v>0</v>
      </c>
      <c r="X204" s="52"/>
      <c r="Y204" s="53">
        <v>0</v>
      </c>
      <c r="Z204" s="53">
        <v>0</v>
      </c>
      <c r="AA204" s="52">
        <v>5</v>
      </c>
      <c r="AB204" s="53">
        <v>200000</v>
      </c>
      <c r="AC204" s="53">
        <v>0</v>
      </c>
      <c r="AD204" s="56" t="s">
        <v>303</v>
      </c>
      <c r="AE204" s="56"/>
      <c r="AF204" s="1">
        <v>200000</v>
      </c>
      <c r="AG204" s="168">
        <f t="shared" si="107"/>
        <v>0</v>
      </c>
      <c r="AH204" s="5"/>
      <c r="AI204" s="5"/>
    </row>
    <row r="205" spans="1:35" s="1" customFormat="1" ht="10.5" x14ac:dyDescent="0.25">
      <c r="A205" s="21">
        <v>34</v>
      </c>
      <c r="B205" s="22" t="s">
        <v>1661</v>
      </c>
      <c r="C205" s="22" t="s">
        <v>835</v>
      </c>
      <c r="D205" s="51" t="s">
        <v>897</v>
      </c>
      <c r="E205" s="24" t="s">
        <v>166</v>
      </c>
      <c r="F205" s="52"/>
      <c r="G205" s="52" t="s">
        <v>319</v>
      </c>
      <c r="H205" s="52" t="s">
        <v>62</v>
      </c>
      <c r="I205" s="52">
        <v>2005</v>
      </c>
      <c r="J205" s="52"/>
      <c r="K205" s="52" t="s">
        <v>63</v>
      </c>
      <c r="L205" s="52" t="s">
        <v>212</v>
      </c>
      <c r="M205" s="52">
        <v>1</v>
      </c>
      <c r="N205" s="53">
        <v>200000</v>
      </c>
      <c r="O205" s="53">
        <v>200000</v>
      </c>
      <c r="P205" s="52"/>
      <c r="Q205" s="52"/>
      <c r="R205" s="52"/>
      <c r="S205" s="53">
        <v>200000</v>
      </c>
      <c r="T205" s="52">
        <v>5</v>
      </c>
      <c r="U205" s="53"/>
      <c r="V205" s="52">
        <v>0.5</v>
      </c>
      <c r="W205" s="53">
        <v>0</v>
      </c>
      <c r="X205" s="52"/>
      <c r="Y205" s="53">
        <v>0</v>
      </c>
      <c r="Z205" s="53">
        <v>0</v>
      </c>
      <c r="AA205" s="52">
        <v>5</v>
      </c>
      <c r="AB205" s="53">
        <v>200000</v>
      </c>
      <c r="AC205" s="53">
        <v>0</v>
      </c>
      <c r="AD205" s="56" t="s">
        <v>305</v>
      </c>
      <c r="AE205" s="56"/>
      <c r="AF205" s="1">
        <v>200000</v>
      </c>
      <c r="AG205" s="168">
        <f t="shared" si="107"/>
        <v>0</v>
      </c>
      <c r="AH205" s="5"/>
      <c r="AI205" s="5"/>
    </row>
    <row r="206" spans="1:35" s="1" customFormat="1" ht="10.5" x14ac:dyDescent="0.25">
      <c r="A206" s="21">
        <v>35</v>
      </c>
      <c r="B206" s="22" t="s">
        <v>1661</v>
      </c>
      <c r="C206" s="22" t="s">
        <v>901</v>
      </c>
      <c r="D206" s="51" t="s">
        <v>897</v>
      </c>
      <c r="E206" s="24" t="s">
        <v>166</v>
      </c>
      <c r="F206" s="52"/>
      <c r="G206" s="52" t="s">
        <v>319</v>
      </c>
      <c r="H206" s="52" t="s">
        <v>62</v>
      </c>
      <c r="I206" s="52">
        <v>2005</v>
      </c>
      <c r="J206" s="52"/>
      <c r="K206" s="52" t="s">
        <v>63</v>
      </c>
      <c r="L206" s="52" t="s">
        <v>212</v>
      </c>
      <c r="M206" s="52">
        <v>1</v>
      </c>
      <c r="N206" s="53">
        <v>200000</v>
      </c>
      <c r="O206" s="53">
        <v>200000</v>
      </c>
      <c r="P206" s="52"/>
      <c r="Q206" s="52"/>
      <c r="R206" s="52"/>
      <c r="S206" s="53">
        <v>200000</v>
      </c>
      <c r="T206" s="52">
        <v>5</v>
      </c>
      <c r="U206" s="53"/>
      <c r="V206" s="52">
        <v>0.5</v>
      </c>
      <c r="W206" s="53">
        <v>0</v>
      </c>
      <c r="X206" s="52"/>
      <c r="Y206" s="53">
        <v>0</v>
      </c>
      <c r="Z206" s="53">
        <v>0</v>
      </c>
      <c r="AA206" s="52">
        <v>5</v>
      </c>
      <c r="AB206" s="53">
        <v>200000</v>
      </c>
      <c r="AC206" s="53">
        <v>0</v>
      </c>
      <c r="AD206" s="56" t="s">
        <v>473</v>
      </c>
      <c r="AE206" s="56"/>
      <c r="AF206" s="1">
        <v>200000</v>
      </c>
      <c r="AG206" s="168">
        <f t="shared" si="107"/>
        <v>0</v>
      </c>
      <c r="AH206" s="5"/>
      <c r="AI206" s="5"/>
    </row>
    <row r="207" spans="1:35" s="1" customFormat="1" ht="10.5" x14ac:dyDescent="0.25">
      <c r="A207" s="21">
        <v>36</v>
      </c>
      <c r="B207" s="22" t="s">
        <v>1661</v>
      </c>
      <c r="C207" s="22" t="s">
        <v>446</v>
      </c>
      <c r="D207" s="51" t="s">
        <v>897</v>
      </c>
      <c r="E207" s="24" t="s">
        <v>166</v>
      </c>
      <c r="F207" s="52"/>
      <c r="G207" s="52" t="s">
        <v>319</v>
      </c>
      <c r="H207" s="52" t="s">
        <v>62</v>
      </c>
      <c r="I207" s="52">
        <v>2005</v>
      </c>
      <c r="J207" s="52"/>
      <c r="K207" s="52" t="s">
        <v>63</v>
      </c>
      <c r="L207" s="52" t="s">
        <v>212</v>
      </c>
      <c r="M207" s="52">
        <v>2</v>
      </c>
      <c r="N207" s="53">
        <v>200000</v>
      </c>
      <c r="O207" s="53">
        <v>400000</v>
      </c>
      <c r="P207" s="52"/>
      <c r="Q207" s="52"/>
      <c r="R207" s="52"/>
      <c r="S207" s="53">
        <v>400000</v>
      </c>
      <c r="T207" s="52">
        <v>5</v>
      </c>
      <c r="U207" s="53"/>
      <c r="V207" s="52">
        <v>0.5</v>
      </c>
      <c r="W207" s="53">
        <v>0</v>
      </c>
      <c r="X207" s="52"/>
      <c r="Y207" s="53">
        <v>0</v>
      </c>
      <c r="Z207" s="53">
        <v>0</v>
      </c>
      <c r="AA207" s="57">
        <v>5</v>
      </c>
      <c r="AB207" s="53">
        <v>400000</v>
      </c>
      <c r="AC207" s="53">
        <v>0</v>
      </c>
      <c r="AD207" s="56" t="s">
        <v>477</v>
      </c>
      <c r="AE207" s="56"/>
      <c r="AF207" s="1">
        <v>400000</v>
      </c>
      <c r="AG207" s="168">
        <f t="shared" si="107"/>
        <v>0</v>
      </c>
      <c r="AH207" s="5"/>
      <c r="AI207" s="5"/>
    </row>
    <row r="208" spans="1:35" s="1" customFormat="1" ht="10.5" x14ac:dyDescent="0.25">
      <c r="A208" s="21">
        <v>37</v>
      </c>
      <c r="B208" s="22" t="s">
        <v>1661</v>
      </c>
      <c r="C208" s="22" t="s">
        <v>448</v>
      </c>
      <c r="D208" s="51" t="s">
        <v>897</v>
      </c>
      <c r="E208" s="24" t="s">
        <v>902</v>
      </c>
      <c r="F208" s="52"/>
      <c r="G208" s="52" t="s">
        <v>903</v>
      </c>
      <c r="H208" s="52" t="s">
        <v>62</v>
      </c>
      <c r="I208" s="52">
        <v>2014</v>
      </c>
      <c r="J208" s="52"/>
      <c r="K208" s="52" t="s">
        <v>63</v>
      </c>
      <c r="L208" s="52" t="s">
        <v>64</v>
      </c>
      <c r="M208" s="52">
        <v>1</v>
      </c>
      <c r="N208" s="53">
        <v>996600</v>
      </c>
      <c r="O208" s="53">
        <v>996600</v>
      </c>
      <c r="P208" s="52"/>
      <c r="Q208" s="52"/>
      <c r="R208" s="52"/>
      <c r="S208" s="53">
        <v>996600</v>
      </c>
      <c r="T208" s="52">
        <v>5</v>
      </c>
      <c r="U208" s="53"/>
      <c r="V208" s="52">
        <v>0.5</v>
      </c>
      <c r="W208" s="53">
        <v>0</v>
      </c>
      <c r="X208" s="52"/>
      <c r="Y208" s="53">
        <v>0</v>
      </c>
      <c r="Z208" s="53">
        <v>0</v>
      </c>
      <c r="AA208" s="57">
        <v>5</v>
      </c>
      <c r="AB208" s="53">
        <v>996600</v>
      </c>
      <c r="AC208" s="53">
        <v>0</v>
      </c>
      <c r="AD208" s="56" t="s">
        <v>297</v>
      </c>
      <c r="AE208" s="56"/>
      <c r="AF208" s="1">
        <v>996600</v>
      </c>
      <c r="AG208" s="168">
        <f t="shared" si="107"/>
        <v>0</v>
      </c>
      <c r="AH208" s="5"/>
      <c r="AI208" s="5"/>
    </row>
    <row r="209" spans="1:35" s="1" customFormat="1" ht="10.5" x14ac:dyDescent="0.25">
      <c r="A209" s="21">
        <v>38</v>
      </c>
      <c r="B209" s="22" t="s">
        <v>1661</v>
      </c>
      <c r="C209" s="22" t="s">
        <v>452</v>
      </c>
      <c r="D209" s="51" t="s">
        <v>897</v>
      </c>
      <c r="E209" s="24" t="s">
        <v>902</v>
      </c>
      <c r="F209" s="24"/>
      <c r="G209" s="24" t="s">
        <v>903</v>
      </c>
      <c r="H209" s="24" t="s">
        <v>62</v>
      </c>
      <c r="I209" s="24">
        <v>2014</v>
      </c>
      <c r="J209" s="24"/>
      <c r="K209" s="24" t="s">
        <v>63</v>
      </c>
      <c r="L209" s="24" t="s">
        <v>64</v>
      </c>
      <c r="M209" s="24">
        <v>1</v>
      </c>
      <c r="N209" s="41">
        <v>996600</v>
      </c>
      <c r="O209" s="41">
        <v>996600</v>
      </c>
      <c r="P209" s="24"/>
      <c r="Q209" s="24"/>
      <c r="R209" s="24"/>
      <c r="S209" s="41">
        <v>996600</v>
      </c>
      <c r="T209" s="24">
        <v>5</v>
      </c>
      <c r="U209" s="41"/>
      <c r="V209" s="24">
        <v>0.5</v>
      </c>
      <c r="W209" s="41">
        <v>0</v>
      </c>
      <c r="X209" s="52"/>
      <c r="Y209" s="41">
        <v>0</v>
      </c>
      <c r="Z209" s="41">
        <v>0</v>
      </c>
      <c r="AA209" s="72">
        <v>5</v>
      </c>
      <c r="AB209" s="41">
        <v>996600</v>
      </c>
      <c r="AC209" s="41">
        <v>0</v>
      </c>
      <c r="AD209" s="70" t="s">
        <v>287</v>
      </c>
      <c r="AE209" s="70"/>
      <c r="AF209" s="1">
        <v>996600</v>
      </c>
      <c r="AG209" s="168">
        <f t="shared" si="107"/>
        <v>0</v>
      </c>
      <c r="AH209" s="5"/>
      <c r="AI209" s="5"/>
    </row>
    <row r="210" spans="1:35" s="1" customFormat="1" ht="10.5" x14ac:dyDescent="0.25">
      <c r="A210" s="21">
        <v>39</v>
      </c>
      <c r="B210" s="22" t="s">
        <v>1661</v>
      </c>
      <c r="C210" s="22" t="s">
        <v>904</v>
      </c>
      <c r="D210" s="51" t="s">
        <v>897</v>
      </c>
      <c r="E210" s="24" t="s">
        <v>902</v>
      </c>
      <c r="F210" s="24"/>
      <c r="G210" s="24" t="s">
        <v>903</v>
      </c>
      <c r="H210" s="24" t="s">
        <v>62</v>
      </c>
      <c r="I210" s="24">
        <v>2014</v>
      </c>
      <c r="J210" s="24"/>
      <c r="K210" s="24" t="s">
        <v>63</v>
      </c>
      <c r="L210" s="24" t="s">
        <v>64</v>
      </c>
      <c r="M210" s="24">
        <v>1</v>
      </c>
      <c r="N210" s="41">
        <v>996600</v>
      </c>
      <c r="O210" s="41">
        <v>996600</v>
      </c>
      <c r="P210" s="24"/>
      <c r="Q210" s="24"/>
      <c r="R210" s="24"/>
      <c r="S210" s="41">
        <v>996600</v>
      </c>
      <c r="T210" s="24">
        <v>5</v>
      </c>
      <c r="U210" s="41"/>
      <c r="V210" s="24">
        <v>0.5</v>
      </c>
      <c r="W210" s="41">
        <v>0</v>
      </c>
      <c r="X210" s="24"/>
      <c r="Y210" s="41">
        <v>0</v>
      </c>
      <c r="Z210" s="41">
        <v>0</v>
      </c>
      <c r="AA210" s="72">
        <v>5</v>
      </c>
      <c r="AB210" s="41">
        <v>996600</v>
      </c>
      <c r="AC210" s="41">
        <v>0</v>
      </c>
      <c r="AD210" s="70" t="s">
        <v>303</v>
      </c>
      <c r="AE210" s="70"/>
      <c r="AF210" s="1">
        <v>996600</v>
      </c>
      <c r="AG210" s="168">
        <f t="shared" si="107"/>
        <v>0</v>
      </c>
      <c r="AH210" s="5"/>
      <c r="AI210" s="5"/>
    </row>
    <row r="211" spans="1:35" s="1" customFormat="1" ht="10.5" x14ac:dyDescent="0.25">
      <c r="A211" s="21">
        <v>40</v>
      </c>
      <c r="B211" s="22" t="s">
        <v>1661</v>
      </c>
      <c r="C211" s="22" t="s">
        <v>905</v>
      </c>
      <c r="D211" s="51" t="s">
        <v>897</v>
      </c>
      <c r="E211" s="24" t="s">
        <v>902</v>
      </c>
      <c r="F211" s="24"/>
      <c r="G211" s="24" t="s">
        <v>903</v>
      </c>
      <c r="H211" s="24" t="s">
        <v>62</v>
      </c>
      <c r="I211" s="24">
        <v>2014</v>
      </c>
      <c r="J211" s="24"/>
      <c r="K211" s="24" t="s">
        <v>63</v>
      </c>
      <c r="L211" s="24" t="s">
        <v>64</v>
      </c>
      <c r="M211" s="24">
        <v>1</v>
      </c>
      <c r="N211" s="41">
        <v>996600</v>
      </c>
      <c r="O211" s="41">
        <v>996600</v>
      </c>
      <c r="P211" s="24"/>
      <c r="Q211" s="24"/>
      <c r="R211" s="24"/>
      <c r="S211" s="41">
        <v>996600</v>
      </c>
      <c r="T211" s="24">
        <v>5</v>
      </c>
      <c r="U211" s="41"/>
      <c r="V211" s="24">
        <v>0.5</v>
      </c>
      <c r="W211" s="41">
        <v>0</v>
      </c>
      <c r="X211" s="24"/>
      <c r="Y211" s="41">
        <v>0</v>
      </c>
      <c r="Z211" s="41">
        <v>0</v>
      </c>
      <c r="AA211" s="24">
        <v>5</v>
      </c>
      <c r="AB211" s="41">
        <v>996600</v>
      </c>
      <c r="AC211" s="41">
        <v>0</v>
      </c>
      <c r="AD211" s="70" t="s">
        <v>305</v>
      </c>
      <c r="AE211" s="70"/>
      <c r="AF211" s="1">
        <v>996600</v>
      </c>
      <c r="AG211" s="168">
        <f t="shared" si="107"/>
        <v>0</v>
      </c>
      <c r="AH211" s="5"/>
      <c r="AI211" s="5"/>
    </row>
    <row r="212" spans="1:35" s="1" customFormat="1" ht="10.5" x14ac:dyDescent="0.25">
      <c r="A212" s="21">
        <v>41</v>
      </c>
      <c r="B212" s="22" t="s">
        <v>1661</v>
      </c>
      <c r="C212" s="22" t="s">
        <v>906</v>
      </c>
      <c r="D212" s="51" t="s">
        <v>897</v>
      </c>
      <c r="E212" s="24" t="s">
        <v>902</v>
      </c>
      <c r="F212" s="24"/>
      <c r="G212" s="24" t="s">
        <v>903</v>
      </c>
      <c r="H212" s="24" t="s">
        <v>62</v>
      </c>
      <c r="I212" s="24">
        <v>2014</v>
      </c>
      <c r="J212" s="24"/>
      <c r="K212" s="24" t="s">
        <v>63</v>
      </c>
      <c r="L212" s="24" t="s">
        <v>64</v>
      </c>
      <c r="M212" s="24">
        <v>1</v>
      </c>
      <c r="N212" s="41">
        <v>996600</v>
      </c>
      <c r="O212" s="41">
        <v>996600</v>
      </c>
      <c r="P212" s="24"/>
      <c r="Q212" s="24"/>
      <c r="R212" s="24"/>
      <c r="S212" s="41">
        <v>996600</v>
      </c>
      <c r="T212" s="24">
        <v>5</v>
      </c>
      <c r="U212" s="41"/>
      <c r="V212" s="24">
        <v>0.5</v>
      </c>
      <c r="W212" s="41">
        <v>0</v>
      </c>
      <c r="X212" s="24"/>
      <c r="Y212" s="41">
        <v>0</v>
      </c>
      <c r="Z212" s="41">
        <v>0</v>
      </c>
      <c r="AA212" s="24">
        <v>5</v>
      </c>
      <c r="AB212" s="41">
        <v>996600</v>
      </c>
      <c r="AC212" s="41">
        <v>0</v>
      </c>
      <c r="AD212" s="70" t="s">
        <v>907</v>
      </c>
      <c r="AE212" s="70"/>
      <c r="AF212" s="1">
        <v>996600</v>
      </c>
      <c r="AG212" s="168">
        <f t="shared" si="107"/>
        <v>0</v>
      </c>
      <c r="AH212" s="5"/>
      <c r="AI212" s="5"/>
    </row>
    <row r="213" spans="1:35" s="1" customFormat="1" ht="10.5" x14ac:dyDescent="0.25">
      <c r="A213" s="21">
        <v>42</v>
      </c>
      <c r="B213" s="22" t="s">
        <v>1661</v>
      </c>
      <c r="C213" s="22" t="s">
        <v>908</v>
      </c>
      <c r="D213" s="51" t="s">
        <v>897</v>
      </c>
      <c r="E213" s="24" t="s">
        <v>902</v>
      </c>
      <c r="F213" s="24"/>
      <c r="G213" s="24" t="s">
        <v>903</v>
      </c>
      <c r="H213" s="24" t="s">
        <v>62</v>
      </c>
      <c r="I213" s="24">
        <v>2014</v>
      </c>
      <c r="J213" s="24"/>
      <c r="K213" s="24" t="s">
        <v>63</v>
      </c>
      <c r="L213" s="24" t="s">
        <v>64</v>
      </c>
      <c r="M213" s="24">
        <v>1</v>
      </c>
      <c r="N213" s="41">
        <v>996600</v>
      </c>
      <c r="O213" s="41">
        <v>996600</v>
      </c>
      <c r="P213" s="24"/>
      <c r="Q213" s="24"/>
      <c r="R213" s="24"/>
      <c r="S213" s="41">
        <v>996600</v>
      </c>
      <c r="T213" s="24">
        <v>5</v>
      </c>
      <c r="U213" s="41"/>
      <c r="V213" s="24">
        <v>0.5</v>
      </c>
      <c r="W213" s="41">
        <v>0</v>
      </c>
      <c r="X213" s="24"/>
      <c r="Y213" s="41">
        <v>0</v>
      </c>
      <c r="Z213" s="41">
        <v>0</v>
      </c>
      <c r="AA213" s="24">
        <v>5</v>
      </c>
      <c r="AB213" s="41">
        <v>996600</v>
      </c>
      <c r="AC213" s="41">
        <v>0</v>
      </c>
      <c r="AD213" s="70" t="s">
        <v>909</v>
      </c>
      <c r="AE213" s="70"/>
      <c r="AF213" s="1">
        <v>996600</v>
      </c>
      <c r="AG213" s="168">
        <f t="shared" si="107"/>
        <v>0</v>
      </c>
      <c r="AH213" s="5"/>
      <c r="AI213" s="5"/>
    </row>
    <row r="214" spans="1:35" s="1" customFormat="1" ht="10.5" x14ac:dyDescent="0.25">
      <c r="A214" s="21">
        <v>43</v>
      </c>
      <c r="B214" s="22" t="s">
        <v>1662</v>
      </c>
      <c r="C214" s="50" t="s">
        <v>92</v>
      </c>
      <c r="D214" s="51" t="s">
        <v>281</v>
      </c>
      <c r="E214" s="52" t="s">
        <v>282</v>
      </c>
      <c r="F214" s="24"/>
      <c r="G214" s="24" t="s">
        <v>194</v>
      </c>
      <c r="H214" s="24" t="s">
        <v>62</v>
      </c>
      <c r="I214" s="24">
        <v>2011</v>
      </c>
      <c r="J214" s="24"/>
      <c r="K214" s="24" t="s">
        <v>63</v>
      </c>
      <c r="L214" s="24" t="s">
        <v>64</v>
      </c>
      <c r="M214" s="24">
        <v>1</v>
      </c>
      <c r="N214" s="41">
        <f t="shared" ref="N214:N217" si="140">SUM(O214/M214)</f>
        <v>5430000</v>
      </c>
      <c r="O214" s="41">
        <v>5430000</v>
      </c>
      <c r="P214" s="24"/>
      <c r="Q214" s="24"/>
      <c r="R214" s="24"/>
      <c r="S214" s="41">
        <f t="shared" ref="S214:S217" si="141">SUM(O214-R214)</f>
        <v>5430000</v>
      </c>
      <c r="T214" s="24">
        <v>5</v>
      </c>
      <c r="U214" s="41"/>
      <c r="V214" s="24">
        <v>0.5</v>
      </c>
      <c r="W214" s="41">
        <f t="shared" ref="W214:W217" si="142">SUM(U214*V214)</f>
        <v>0</v>
      </c>
      <c r="X214" s="24"/>
      <c r="Y214" s="41">
        <f t="shared" ref="Y214:Y217" si="143">SUM(U214*X214)</f>
        <v>0</v>
      </c>
      <c r="Z214" s="41">
        <f t="shared" ref="Z214:Z217" si="144">SUM(W214+Y214)</f>
        <v>0</v>
      </c>
      <c r="AA214" s="24">
        <v>5</v>
      </c>
      <c r="AB214" s="41">
        <v>5430000</v>
      </c>
      <c r="AC214" s="41">
        <f t="shared" ref="AC214:AC217" si="145">SUM(O214-AB214)</f>
        <v>0</v>
      </c>
      <c r="AD214" s="70" t="s">
        <v>213</v>
      </c>
      <c r="AE214" s="70"/>
      <c r="AF214" s="1">
        <v>5430000</v>
      </c>
      <c r="AG214" s="168">
        <f t="shared" si="107"/>
        <v>0</v>
      </c>
      <c r="AH214" s="5"/>
      <c r="AI214" s="5"/>
    </row>
    <row r="215" spans="1:35" s="1" customFormat="1" ht="10.5" x14ac:dyDescent="0.25">
      <c r="A215" s="21">
        <v>44</v>
      </c>
      <c r="B215" s="22" t="s">
        <v>1662</v>
      </c>
      <c r="C215" s="50" t="s">
        <v>283</v>
      </c>
      <c r="D215" s="51" t="s">
        <v>284</v>
      </c>
      <c r="E215" s="52" t="s">
        <v>282</v>
      </c>
      <c r="F215" s="24"/>
      <c r="G215" s="24" t="s">
        <v>194</v>
      </c>
      <c r="H215" s="24" t="s">
        <v>62</v>
      </c>
      <c r="I215" s="24">
        <v>2011</v>
      </c>
      <c r="J215" s="24"/>
      <c r="K215" s="24" t="s">
        <v>285</v>
      </c>
      <c r="L215" s="24" t="s">
        <v>64</v>
      </c>
      <c r="M215" s="24">
        <v>4</v>
      </c>
      <c r="N215" s="41">
        <f t="shared" si="140"/>
        <v>725000</v>
      </c>
      <c r="O215" s="41">
        <v>2900000</v>
      </c>
      <c r="P215" s="24"/>
      <c r="Q215" s="24"/>
      <c r="R215" s="24"/>
      <c r="S215" s="41">
        <f t="shared" si="141"/>
        <v>2900000</v>
      </c>
      <c r="T215" s="24">
        <v>5</v>
      </c>
      <c r="U215" s="41"/>
      <c r="V215" s="24">
        <v>0.5</v>
      </c>
      <c r="W215" s="41">
        <f t="shared" si="142"/>
        <v>0</v>
      </c>
      <c r="X215" s="24"/>
      <c r="Y215" s="41">
        <f t="shared" si="143"/>
        <v>0</v>
      </c>
      <c r="Z215" s="41">
        <f t="shared" si="144"/>
        <v>0</v>
      </c>
      <c r="AA215" s="24">
        <v>5</v>
      </c>
      <c r="AB215" s="41">
        <v>2900000</v>
      </c>
      <c r="AC215" s="41">
        <f t="shared" si="145"/>
        <v>0</v>
      </c>
      <c r="AD215" s="70" t="s">
        <v>250</v>
      </c>
      <c r="AE215" s="70"/>
      <c r="AF215" s="1">
        <v>2900000</v>
      </c>
      <c r="AG215" s="168">
        <f t="shared" si="107"/>
        <v>0</v>
      </c>
      <c r="AH215" s="5"/>
      <c r="AI215" s="5"/>
    </row>
    <row r="216" spans="1:35" s="1" customFormat="1" ht="10.5" x14ac:dyDescent="0.25">
      <c r="A216" s="21">
        <v>45</v>
      </c>
      <c r="B216" s="22" t="s">
        <v>1662</v>
      </c>
      <c r="C216" s="50" t="s">
        <v>135</v>
      </c>
      <c r="D216" s="51" t="s">
        <v>284</v>
      </c>
      <c r="E216" s="52" t="s">
        <v>286</v>
      </c>
      <c r="F216" s="24"/>
      <c r="G216" s="24" t="s">
        <v>194</v>
      </c>
      <c r="H216" s="24" t="s">
        <v>62</v>
      </c>
      <c r="I216" s="24">
        <v>2012</v>
      </c>
      <c r="J216" s="24"/>
      <c r="K216" s="24" t="s">
        <v>63</v>
      </c>
      <c r="L216" s="24" t="s">
        <v>64</v>
      </c>
      <c r="M216" s="24">
        <v>1</v>
      </c>
      <c r="N216" s="41">
        <f t="shared" si="140"/>
        <v>5390000</v>
      </c>
      <c r="O216" s="41">
        <v>5390000</v>
      </c>
      <c r="P216" s="24"/>
      <c r="Q216" s="24"/>
      <c r="R216" s="24"/>
      <c r="S216" s="41">
        <f t="shared" si="141"/>
        <v>5390000</v>
      </c>
      <c r="T216" s="24">
        <v>5</v>
      </c>
      <c r="U216" s="41"/>
      <c r="V216" s="24">
        <v>0.5</v>
      </c>
      <c r="W216" s="41">
        <f t="shared" si="142"/>
        <v>0</v>
      </c>
      <c r="X216" s="24"/>
      <c r="Y216" s="41">
        <f t="shared" si="143"/>
        <v>0</v>
      </c>
      <c r="Z216" s="41">
        <f t="shared" si="144"/>
        <v>0</v>
      </c>
      <c r="AA216" s="24">
        <v>5</v>
      </c>
      <c r="AB216" s="41">
        <v>5390000</v>
      </c>
      <c r="AC216" s="41">
        <f t="shared" si="145"/>
        <v>0</v>
      </c>
      <c r="AD216" s="70" t="s">
        <v>287</v>
      </c>
      <c r="AE216" s="70"/>
      <c r="AF216" s="1">
        <v>5390000</v>
      </c>
      <c r="AG216" s="168">
        <f t="shared" si="107"/>
        <v>0</v>
      </c>
      <c r="AH216" s="5"/>
      <c r="AI216" s="5"/>
    </row>
    <row r="217" spans="1:35" s="1" customFormat="1" ht="10.5" x14ac:dyDescent="0.25">
      <c r="A217" s="21">
        <v>46</v>
      </c>
      <c r="B217" s="22" t="s">
        <v>1662</v>
      </c>
      <c r="C217" s="50" t="s">
        <v>138</v>
      </c>
      <c r="D217" s="51" t="s">
        <v>284</v>
      </c>
      <c r="E217" s="52" t="s">
        <v>286</v>
      </c>
      <c r="F217" s="24"/>
      <c r="G217" s="24" t="s">
        <v>194</v>
      </c>
      <c r="H217" s="24" t="s">
        <v>62</v>
      </c>
      <c r="I217" s="24">
        <v>2012</v>
      </c>
      <c r="J217" s="24"/>
      <c r="K217" s="24" t="s">
        <v>63</v>
      </c>
      <c r="L217" s="24" t="s">
        <v>64</v>
      </c>
      <c r="M217" s="24">
        <v>1</v>
      </c>
      <c r="N217" s="41">
        <f t="shared" si="140"/>
        <v>5390000</v>
      </c>
      <c r="O217" s="41">
        <v>5390000</v>
      </c>
      <c r="P217" s="24"/>
      <c r="Q217" s="24"/>
      <c r="R217" s="24"/>
      <c r="S217" s="41">
        <f t="shared" si="141"/>
        <v>5390000</v>
      </c>
      <c r="T217" s="24">
        <v>5</v>
      </c>
      <c r="U217" s="41"/>
      <c r="V217" s="24">
        <v>0.5</v>
      </c>
      <c r="W217" s="41">
        <f t="shared" si="142"/>
        <v>0</v>
      </c>
      <c r="X217" s="24"/>
      <c r="Y217" s="41">
        <f t="shared" si="143"/>
        <v>0</v>
      </c>
      <c r="Z217" s="41">
        <f t="shared" si="144"/>
        <v>0</v>
      </c>
      <c r="AA217" s="24">
        <v>5</v>
      </c>
      <c r="AB217" s="41">
        <v>5390000</v>
      </c>
      <c r="AC217" s="41">
        <f t="shared" si="145"/>
        <v>0</v>
      </c>
      <c r="AD217" s="70" t="s">
        <v>288</v>
      </c>
      <c r="AE217" s="70"/>
      <c r="AF217" s="1">
        <v>5390000</v>
      </c>
      <c r="AG217" s="168">
        <f t="shared" si="107"/>
        <v>0</v>
      </c>
      <c r="AH217" s="5"/>
      <c r="AI217" s="5"/>
    </row>
    <row r="218" spans="1:35" s="1" customFormat="1" ht="10.5" x14ac:dyDescent="0.25">
      <c r="A218" s="21">
        <v>47</v>
      </c>
      <c r="B218" s="22" t="s">
        <v>1662</v>
      </c>
      <c r="C218" s="22" t="s">
        <v>58</v>
      </c>
      <c r="D218" s="51" t="s">
        <v>456</v>
      </c>
      <c r="E218" s="24" t="s">
        <v>457</v>
      </c>
      <c r="F218" s="24"/>
      <c r="G218" s="24" t="s">
        <v>194</v>
      </c>
      <c r="H218" s="24" t="s">
        <v>62</v>
      </c>
      <c r="I218" s="24">
        <v>2012</v>
      </c>
      <c r="J218" s="24"/>
      <c r="K218" s="24" t="s">
        <v>63</v>
      </c>
      <c r="L218" s="24" t="s">
        <v>64</v>
      </c>
      <c r="M218" s="24">
        <v>1</v>
      </c>
      <c r="N218" s="41">
        <f t="shared" ref="N218:N228" si="146">SUM(O218/M218)</f>
        <v>44880000</v>
      </c>
      <c r="O218" s="41">
        <v>44880000</v>
      </c>
      <c r="P218" s="24"/>
      <c r="Q218" s="24"/>
      <c r="R218" s="24"/>
      <c r="S218" s="41">
        <f t="shared" ref="S218:S228" si="147">SUM(O218-R218)</f>
        <v>44880000</v>
      </c>
      <c r="T218" s="24">
        <v>5</v>
      </c>
      <c r="U218" s="41"/>
      <c r="V218" s="24">
        <v>0.5</v>
      </c>
      <c r="W218" s="41">
        <f t="shared" ref="W218:W228" si="148">SUM(U218*V218)</f>
        <v>0</v>
      </c>
      <c r="X218" s="24"/>
      <c r="Y218" s="41">
        <f t="shared" ref="Y218:Y228" si="149">SUM(U218*X218)</f>
        <v>0</v>
      </c>
      <c r="Z218" s="41">
        <f t="shared" ref="Z218:Z228" si="150">SUM(W218+Y218)</f>
        <v>0</v>
      </c>
      <c r="AA218" s="24">
        <v>5</v>
      </c>
      <c r="AB218" s="41">
        <v>44880000</v>
      </c>
      <c r="AC218" s="41">
        <f t="shared" ref="AC218:AC219" si="151">SUM(O218-AB218)</f>
        <v>0</v>
      </c>
      <c r="AD218" s="70" t="s">
        <v>295</v>
      </c>
      <c r="AE218" s="70"/>
      <c r="AF218" s="1">
        <v>44880000</v>
      </c>
      <c r="AG218" s="168">
        <f t="shared" si="107"/>
        <v>0</v>
      </c>
      <c r="AH218" s="5"/>
      <c r="AI218" s="5"/>
    </row>
    <row r="219" spans="1:35" s="1" customFormat="1" ht="10.5" x14ac:dyDescent="0.25">
      <c r="A219" s="21">
        <v>48</v>
      </c>
      <c r="B219" s="22" t="s">
        <v>1663</v>
      </c>
      <c r="C219" s="22" t="s">
        <v>58</v>
      </c>
      <c r="D219" s="51" t="s">
        <v>459</v>
      </c>
      <c r="E219" s="24" t="s">
        <v>166</v>
      </c>
      <c r="F219" s="24"/>
      <c r="G219" s="24" t="s">
        <v>61</v>
      </c>
      <c r="H219" s="24" t="s">
        <v>62</v>
      </c>
      <c r="I219" s="24">
        <v>2018</v>
      </c>
      <c r="J219" s="24"/>
      <c r="K219" s="24" t="s">
        <v>63</v>
      </c>
      <c r="L219" s="24" t="s">
        <v>64</v>
      </c>
      <c r="M219" s="24">
        <v>1</v>
      </c>
      <c r="N219" s="41">
        <f t="shared" si="146"/>
        <v>14885400</v>
      </c>
      <c r="O219" s="41">
        <v>14885400</v>
      </c>
      <c r="P219" s="24"/>
      <c r="Q219" s="24"/>
      <c r="R219" s="24"/>
      <c r="S219" s="41">
        <f t="shared" si="147"/>
        <v>14885400</v>
      </c>
      <c r="T219" s="24">
        <v>5</v>
      </c>
      <c r="U219" s="41">
        <f t="shared" ref="U219" si="152">SUM(S219/T219)</f>
        <v>2977080</v>
      </c>
      <c r="V219" s="24">
        <v>0.5</v>
      </c>
      <c r="W219" s="41">
        <f t="shared" si="148"/>
        <v>1488540</v>
      </c>
      <c r="X219" s="24">
        <v>0.5</v>
      </c>
      <c r="Y219" s="41">
        <f t="shared" si="149"/>
        <v>1488540</v>
      </c>
      <c r="Z219" s="41">
        <f t="shared" si="150"/>
        <v>2977080</v>
      </c>
      <c r="AA219" s="24">
        <f>2022-I219+V219+X219-9/12</f>
        <v>4.25</v>
      </c>
      <c r="AB219" s="41">
        <f t="shared" ref="AB219" si="153">SUM(U219*AA219)</f>
        <v>12652590</v>
      </c>
      <c r="AC219" s="41">
        <f t="shared" si="151"/>
        <v>2232810</v>
      </c>
      <c r="AD219" s="70" t="s">
        <v>460</v>
      </c>
      <c r="AE219" s="70"/>
      <c r="AF219" s="1">
        <v>12652590</v>
      </c>
      <c r="AG219" s="168">
        <f>AF219+Z219-AB219</f>
        <v>2977080</v>
      </c>
      <c r="AH219" s="5"/>
      <c r="AI219" s="5"/>
    </row>
    <row r="220" spans="1:35" s="1" customFormat="1" ht="10.5" x14ac:dyDescent="0.25">
      <c r="A220" s="21">
        <v>49</v>
      </c>
      <c r="B220" s="22" t="s">
        <v>1664</v>
      </c>
      <c r="C220" s="22" t="s">
        <v>75</v>
      </c>
      <c r="D220" s="51" t="s">
        <v>910</v>
      </c>
      <c r="E220" s="24" t="s">
        <v>166</v>
      </c>
      <c r="F220" s="24"/>
      <c r="G220" s="24" t="s">
        <v>911</v>
      </c>
      <c r="H220" s="24" t="s">
        <v>62</v>
      </c>
      <c r="I220" s="24">
        <v>2005</v>
      </c>
      <c r="J220" s="24"/>
      <c r="K220" s="24" t="s">
        <v>63</v>
      </c>
      <c r="L220" s="24" t="s">
        <v>64</v>
      </c>
      <c r="M220" s="24">
        <v>1</v>
      </c>
      <c r="N220" s="41">
        <f t="shared" si="146"/>
        <v>875000</v>
      </c>
      <c r="O220" s="41">
        <v>875000</v>
      </c>
      <c r="P220" s="24"/>
      <c r="Q220" s="24"/>
      <c r="R220" s="24"/>
      <c r="S220" s="41">
        <f t="shared" si="147"/>
        <v>875000</v>
      </c>
      <c r="T220" s="24">
        <v>5</v>
      </c>
      <c r="U220" s="41"/>
      <c r="V220" s="24">
        <v>0.5</v>
      </c>
      <c r="W220" s="41">
        <f t="shared" si="148"/>
        <v>0</v>
      </c>
      <c r="X220" s="24"/>
      <c r="Y220" s="41">
        <f t="shared" si="149"/>
        <v>0</v>
      </c>
      <c r="Z220" s="41">
        <f t="shared" si="150"/>
        <v>0</v>
      </c>
      <c r="AA220" s="24">
        <v>5</v>
      </c>
      <c r="AB220" s="41">
        <v>875000</v>
      </c>
      <c r="AC220" s="41">
        <f t="shared" ref="AC220:AC234" si="154">SUM(O220-AB220)</f>
        <v>0</v>
      </c>
      <c r="AD220" s="70" t="s">
        <v>213</v>
      </c>
      <c r="AE220" s="70"/>
      <c r="AF220" s="1">
        <v>875000</v>
      </c>
      <c r="AG220" s="168">
        <f t="shared" si="107"/>
        <v>0</v>
      </c>
      <c r="AH220" s="5"/>
      <c r="AI220" s="5"/>
    </row>
    <row r="221" spans="1:35" s="1" customFormat="1" ht="10.5" x14ac:dyDescent="0.25">
      <c r="A221" s="21">
        <v>50</v>
      </c>
      <c r="B221" s="22" t="s">
        <v>1664</v>
      </c>
      <c r="C221" s="22" t="s">
        <v>79</v>
      </c>
      <c r="D221" s="51" t="s">
        <v>910</v>
      </c>
      <c r="E221" s="24" t="s">
        <v>166</v>
      </c>
      <c r="F221" s="24"/>
      <c r="G221" s="24" t="s">
        <v>911</v>
      </c>
      <c r="H221" s="24" t="s">
        <v>62</v>
      </c>
      <c r="I221" s="24">
        <v>2005</v>
      </c>
      <c r="J221" s="24"/>
      <c r="K221" s="24" t="s">
        <v>63</v>
      </c>
      <c r="L221" s="24" t="s">
        <v>64</v>
      </c>
      <c r="M221" s="24">
        <v>1</v>
      </c>
      <c r="N221" s="41">
        <f t="shared" si="146"/>
        <v>875000</v>
      </c>
      <c r="O221" s="41">
        <v>875000</v>
      </c>
      <c r="P221" s="24"/>
      <c r="Q221" s="24"/>
      <c r="R221" s="24"/>
      <c r="S221" s="41">
        <f t="shared" si="147"/>
        <v>875000</v>
      </c>
      <c r="T221" s="24">
        <v>5</v>
      </c>
      <c r="U221" s="41"/>
      <c r="V221" s="24">
        <v>0.5</v>
      </c>
      <c r="W221" s="41">
        <f t="shared" si="148"/>
        <v>0</v>
      </c>
      <c r="X221" s="24"/>
      <c r="Y221" s="41">
        <f t="shared" si="149"/>
        <v>0</v>
      </c>
      <c r="Z221" s="41">
        <f t="shared" si="150"/>
        <v>0</v>
      </c>
      <c r="AA221" s="24">
        <v>5</v>
      </c>
      <c r="AB221" s="41">
        <v>875000</v>
      </c>
      <c r="AC221" s="41">
        <f t="shared" si="154"/>
        <v>0</v>
      </c>
      <c r="AD221" s="70" t="s">
        <v>287</v>
      </c>
      <c r="AE221" s="70"/>
      <c r="AF221" s="1">
        <v>875000</v>
      </c>
      <c r="AG221" s="168">
        <f t="shared" si="107"/>
        <v>0</v>
      </c>
      <c r="AH221" s="5"/>
      <c r="AI221" s="5"/>
    </row>
    <row r="222" spans="1:35" s="1" customFormat="1" ht="10.5" x14ac:dyDescent="0.25">
      <c r="A222" s="21">
        <v>51</v>
      </c>
      <c r="B222" s="22" t="s">
        <v>1664</v>
      </c>
      <c r="C222" s="22" t="s">
        <v>84</v>
      </c>
      <c r="D222" s="51" t="s">
        <v>910</v>
      </c>
      <c r="E222" s="24" t="s">
        <v>166</v>
      </c>
      <c r="F222" s="24"/>
      <c r="G222" s="24" t="s">
        <v>911</v>
      </c>
      <c r="H222" s="24" t="s">
        <v>62</v>
      </c>
      <c r="I222" s="24">
        <v>2005</v>
      </c>
      <c r="J222" s="24"/>
      <c r="K222" s="24" t="s">
        <v>63</v>
      </c>
      <c r="L222" s="24" t="s">
        <v>64</v>
      </c>
      <c r="M222" s="24">
        <v>1</v>
      </c>
      <c r="N222" s="41">
        <f t="shared" si="146"/>
        <v>875000</v>
      </c>
      <c r="O222" s="41">
        <v>875000</v>
      </c>
      <c r="P222" s="24"/>
      <c r="Q222" s="24"/>
      <c r="R222" s="24"/>
      <c r="S222" s="41">
        <f t="shared" si="147"/>
        <v>875000</v>
      </c>
      <c r="T222" s="24">
        <v>5</v>
      </c>
      <c r="U222" s="41"/>
      <c r="V222" s="24">
        <v>0.5</v>
      </c>
      <c r="W222" s="41">
        <f t="shared" si="148"/>
        <v>0</v>
      </c>
      <c r="X222" s="24"/>
      <c r="Y222" s="41">
        <f t="shared" si="149"/>
        <v>0</v>
      </c>
      <c r="Z222" s="41">
        <f t="shared" si="150"/>
        <v>0</v>
      </c>
      <c r="AA222" s="24">
        <v>5</v>
      </c>
      <c r="AB222" s="41">
        <v>875000</v>
      </c>
      <c r="AC222" s="41">
        <f t="shared" si="154"/>
        <v>0</v>
      </c>
      <c r="AD222" s="70" t="s">
        <v>303</v>
      </c>
      <c r="AE222" s="70"/>
      <c r="AF222" s="1">
        <v>875000</v>
      </c>
      <c r="AG222" s="168">
        <f t="shared" si="107"/>
        <v>0</v>
      </c>
      <c r="AH222" s="5"/>
      <c r="AI222" s="5"/>
    </row>
    <row r="223" spans="1:35" s="1" customFormat="1" ht="10.5" x14ac:dyDescent="0.25">
      <c r="A223" s="21">
        <v>52</v>
      </c>
      <c r="B223" s="22" t="s">
        <v>1664</v>
      </c>
      <c r="C223" s="22" t="s">
        <v>88</v>
      </c>
      <c r="D223" s="51" t="s">
        <v>910</v>
      </c>
      <c r="E223" s="24" t="s">
        <v>166</v>
      </c>
      <c r="F223" s="24"/>
      <c r="G223" s="24" t="s">
        <v>911</v>
      </c>
      <c r="H223" s="24" t="s">
        <v>62</v>
      </c>
      <c r="I223" s="24">
        <v>2005</v>
      </c>
      <c r="J223" s="24"/>
      <c r="K223" s="24" t="s">
        <v>63</v>
      </c>
      <c r="L223" s="24" t="s">
        <v>64</v>
      </c>
      <c r="M223" s="24">
        <v>1</v>
      </c>
      <c r="N223" s="41">
        <f t="shared" si="146"/>
        <v>875000</v>
      </c>
      <c r="O223" s="41">
        <v>875000</v>
      </c>
      <c r="P223" s="24"/>
      <c r="Q223" s="24"/>
      <c r="R223" s="24"/>
      <c r="S223" s="41">
        <f t="shared" si="147"/>
        <v>875000</v>
      </c>
      <c r="T223" s="24">
        <v>5</v>
      </c>
      <c r="U223" s="41"/>
      <c r="V223" s="24">
        <v>0.5</v>
      </c>
      <c r="W223" s="41">
        <f t="shared" si="148"/>
        <v>0</v>
      </c>
      <c r="X223" s="24"/>
      <c r="Y223" s="41">
        <f t="shared" si="149"/>
        <v>0</v>
      </c>
      <c r="Z223" s="41">
        <f t="shared" si="150"/>
        <v>0</v>
      </c>
      <c r="AA223" s="24">
        <v>5</v>
      </c>
      <c r="AB223" s="41">
        <v>875000</v>
      </c>
      <c r="AC223" s="41">
        <f t="shared" si="154"/>
        <v>0</v>
      </c>
      <c r="AD223" s="70" t="s">
        <v>305</v>
      </c>
      <c r="AE223" s="70"/>
      <c r="AF223" s="1">
        <v>875000</v>
      </c>
      <c r="AG223" s="168">
        <f t="shared" si="107"/>
        <v>0</v>
      </c>
      <c r="AH223" s="5"/>
      <c r="AI223" s="5"/>
    </row>
    <row r="224" spans="1:35" s="1" customFormat="1" ht="10.5" x14ac:dyDescent="0.25">
      <c r="A224" s="21">
        <v>53</v>
      </c>
      <c r="B224" s="22" t="s">
        <v>1664</v>
      </c>
      <c r="C224" s="22" t="s">
        <v>92</v>
      </c>
      <c r="D224" s="51" t="s">
        <v>910</v>
      </c>
      <c r="E224" s="24" t="s">
        <v>166</v>
      </c>
      <c r="F224" s="24"/>
      <c r="G224" s="24" t="s">
        <v>911</v>
      </c>
      <c r="H224" s="24" t="s">
        <v>62</v>
      </c>
      <c r="I224" s="24">
        <v>2005</v>
      </c>
      <c r="J224" s="24"/>
      <c r="K224" s="24" t="s">
        <v>63</v>
      </c>
      <c r="L224" s="24" t="s">
        <v>64</v>
      </c>
      <c r="M224" s="24">
        <v>1</v>
      </c>
      <c r="N224" s="41">
        <f t="shared" si="146"/>
        <v>875000</v>
      </c>
      <c r="O224" s="41">
        <v>875000</v>
      </c>
      <c r="P224" s="24"/>
      <c r="Q224" s="24"/>
      <c r="R224" s="24"/>
      <c r="S224" s="41">
        <f t="shared" si="147"/>
        <v>875000</v>
      </c>
      <c r="T224" s="24">
        <v>5</v>
      </c>
      <c r="U224" s="41"/>
      <c r="V224" s="24">
        <v>0.5</v>
      </c>
      <c r="W224" s="41">
        <f t="shared" si="148"/>
        <v>0</v>
      </c>
      <c r="X224" s="24"/>
      <c r="Y224" s="41">
        <f t="shared" si="149"/>
        <v>0</v>
      </c>
      <c r="Z224" s="41">
        <f t="shared" si="150"/>
        <v>0</v>
      </c>
      <c r="AA224" s="24">
        <v>5</v>
      </c>
      <c r="AB224" s="41">
        <v>875000</v>
      </c>
      <c r="AC224" s="41">
        <f t="shared" si="154"/>
        <v>0</v>
      </c>
      <c r="AD224" s="70" t="s">
        <v>473</v>
      </c>
      <c r="AE224" s="70"/>
      <c r="AF224" s="1">
        <v>875000</v>
      </c>
      <c r="AG224" s="168">
        <f t="shared" si="107"/>
        <v>0</v>
      </c>
      <c r="AH224" s="5"/>
      <c r="AI224" s="5"/>
    </row>
    <row r="225" spans="1:35" s="1" customFormat="1" ht="10.5" x14ac:dyDescent="0.25">
      <c r="A225" s="21">
        <v>54</v>
      </c>
      <c r="B225" s="22" t="s">
        <v>1664</v>
      </c>
      <c r="C225" s="22" t="s">
        <v>96</v>
      </c>
      <c r="D225" s="51" t="s">
        <v>910</v>
      </c>
      <c r="E225" s="24" t="s">
        <v>166</v>
      </c>
      <c r="F225" s="24"/>
      <c r="G225" s="24" t="s">
        <v>911</v>
      </c>
      <c r="H225" s="24" t="s">
        <v>62</v>
      </c>
      <c r="I225" s="24">
        <v>2005</v>
      </c>
      <c r="J225" s="24"/>
      <c r="K225" s="24" t="s">
        <v>63</v>
      </c>
      <c r="L225" s="24" t="s">
        <v>64</v>
      </c>
      <c r="M225" s="24">
        <v>1</v>
      </c>
      <c r="N225" s="41">
        <f t="shared" si="146"/>
        <v>875000</v>
      </c>
      <c r="O225" s="41">
        <v>875000</v>
      </c>
      <c r="P225" s="24"/>
      <c r="Q225" s="24"/>
      <c r="R225" s="24"/>
      <c r="S225" s="41">
        <f t="shared" si="147"/>
        <v>875000</v>
      </c>
      <c r="T225" s="24">
        <v>5</v>
      </c>
      <c r="U225" s="41"/>
      <c r="V225" s="24">
        <v>0.5</v>
      </c>
      <c r="W225" s="41">
        <f t="shared" si="148"/>
        <v>0</v>
      </c>
      <c r="X225" s="24"/>
      <c r="Y225" s="41">
        <f t="shared" si="149"/>
        <v>0</v>
      </c>
      <c r="Z225" s="41">
        <f t="shared" si="150"/>
        <v>0</v>
      </c>
      <c r="AA225" s="24">
        <v>5</v>
      </c>
      <c r="AB225" s="41">
        <v>875000</v>
      </c>
      <c r="AC225" s="41">
        <f t="shared" si="154"/>
        <v>0</v>
      </c>
      <c r="AD225" s="70" t="s">
        <v>477</v>
      </c>
      <c r="AE225" s="70"/>
      <c r="AF225" s="1">
        <v>875000</v>
      </c>
      <c r="AG225" s="168">
        <f t="shared" si="107"/>
        <v>0</v>
      </c>
      <c r="AH225" s="5"/>
      <c r="AI225" s="5"/>
    </row>
    <row r="226" spans="1:35" s="1" customFormat="1" ht="10.5" x14ac:dyDescent="0.25">
      <c r="A226" s="21">
        <v>55</v>
      </c>
      <c r="B226" s="22" t="s">
        <v>1665</v>
      </c>
      <c r="C226" s="22" t="s">
        <v>209</v>
      </c>
      <c r="D226" s="51" t="s">
        <v>1802</v>
      </c>
      <c r="E226" s="24" t="s">
        <v>166</v>
      </c>
      <c r="F226" s="24"/>
      <c r="G226" s="24" t="s">
        <v>61</v>
      </c>
      <c r="H226" s="24" t="s">
        <v>62</v>
      </c>
      <c r="I226" s="24">
        <v>2007</v>
      </c>
      <c r="J226" s="24"/>
      <c r="K226" s="24" t="s">
        <v>63</v>
      </c>
      <c r="L226" s="24" t="s">
        <v>64</v>
      </c>
      <c r="M226" s="24">
        <v>2</v>
      </c>
      <c r="N226" s="41">
        <f t="shared" si="146"/>
        <v>475000</v>
      </c>
      <c r="O226" s="41">
        <v>950000</v>
      </c>
      <c r="P226" s="24"/>
      <c r="Q226" s="24"/>
      <c r="R226" s="24"/>
      <c r="S226" s="41">
        <f t="shared" si="147"/>
        <v>950000</v>
      </c>
      <c r="T226" s="24">
        <v>5</v>
      </c>
      <c r="U226" s="41"/>
      <c r="V226" s="24">
        <v>0.5</v>
      </c>
      <c r="W226" s="41">
        <f t="shared" si="148"/>
        <v>0</v>
      </c>
      <c r="X226" s="24"/>
      <c r="Y226" s="41">
        <f t="shared" si="149"/>
        <v>0</v>
      </c>
      <c r="Z226" s="41">
        <f t="shared" si="150"/>
        <v>0</v>
      </c>
      <c r="AA226" s="24">
        <v>5</v>
      </c>
      <c r="AB226" s="41">
        <v>950000</v>
      </c>
      <c r="AC226" s="41">
        <f t="shared" si="154"/>
        <v>0</v>
      </c>
      <c r="AD226" s="70" t="s">
        <v>324</v>
      </c>
      <c r="AE226" s="70"/>
      <c r="AF226" s="1">
        <v>950000</v>
      </c>
      <c r="AG226" s="168">
        <f t="shared" si="107"/>
        <v>0</v>
      </c>
      <c r="AH226" s="5"/>
      <c r="AI226" s="5"/>
    </row>
    <row r="227" spans="1:35" s="1" customFormat="1" ht="10.5" x14ac:dyDescent="0.25">
      <c r="A227" s="21">
        <v>56</v>
      </c>
      <c r="B227" s="22" t="s">
        <v>1665</v>
      </c>
      <c r="C227" s="22" t="s">
        <v>79</v>
      </c>
      <c r="D227" s="51" t="s">
        <v>1802</v>
      </c>
      <c r="E227" s="24" t="s">
        <v>166</v>
      </c>
      <c r="F227" s="24"/>
      <c r="G227" s="24" t="s">
        <v>61</v>
      </c>
      <c r="H227" s="24" t="s">
        <v>62</v>
      </c>
      <c r="I227" s="24">
        <v>2007</v>
      </c>
      <c r="J227" s="24"/>
      <c r="K227" s="24" t="s">
        <v>63</v>
      </c>
      <c r="L227" s="24" t="s">
        <v>64</v>
      </c>
      <c r="M227" s="24">
        <v>1</v>
      </c>
      <c r="N227" s="41">
        <f t="shared" si="146"/>
        <v>475000</v>
      </c>
      <c r="O227" s="41">
        <v>475000</v>
      </c>
      <c r="P227" s="24"/>
      <c r="Q227" s="24"/>
      <c r="R227" s="24"/>
      <c r="S227" s="41">
        <f t="shared" si="147"/>
        <v>475000</v>
      </c>
      <c r="T227" s="24">
        <v>5</v>
      </c>
      <c r="U227" s="41"/>
      <c r="V227" s="24">
        <v>0.5</v>
      </c>
      <c r="W227" s="41">
        <f t="shared" si="148"/>
        <v>0</v>
      </c>
      <c r="X227" s="24"/>
      <c r="Y227" s="41">
        <f t="shared" si="149"/>
        <v>0</v>
      </c>
      <c r="Z227" s="41">
        <f t="shared" si="150"/>
        <v>0</v>
      </c>
      <c r="AA227" s="24">
        <v>5</v>
      </c>
      <c r="AB227" s="41">
        <v>475000</v>
      </c>
      <c r="AC227" s="41">
        <f t="shared" si="154"/>
        <v>0</v>
      </c>
      <c r="AD227" s="70" t="s">
        <v>320</v>
      </c>
      <c r="AE227" s="70"/>
      <c r="AF227" s="1">
        <v>475000</v>
      </c>
      <c r="AG227" s="168">
        <f t="shared" si="107"/>
        <v>0</v>
      </c>
      <c r="AH227" s="5"/>
      <c r="AI227" s="5"/>
    </row>
    <row r="228" spans="1:35" s="1" customFormat="1" ht="10.5" x14ac:dyDescent="0.25">
      <c r="A228" s="21">
        <v>57</v>
      </c>
      <c r="B228" s="22" t="s">
        <v>1665</v>
      </c>
      <c r="C228" s="22" t="s">
        <v>336</v>
      </c>
      <c r="D228" s="51" t="s">
        <v>1802</v>
      </c>
      <c r="E228" s="24" t="s">
        <v>166</v>
      </c>
      <c r="F228" s="24"/>
      <c r="G228" s="24" t="s">
        <v>61</v>
      </c>
      <c r="H228" s="24" t="s">
        <v>62</v>
      </c>
      <c r="I228" s="24">
        <v>2007</v>
      </c>
      <c r="J228" s="24"/>
      <c r="K228" s="24" t="s">
        <v>63</v>
      </c>
      <c r="L228" s="24" t="s">
        <v>64</v>
      </c>
      <c r="M228" s="24">
        <v>2</v>
      </c>
      <c r="N228" s="41">
        <f t="shared" si="146"/>
        <v>475000</v>
      </c>
      <c r="O228" s="41">
        <v>950000</v>
      </c>
      <c r="P228" s="24"/>
      <c r="Q228" s="24"/>
      <c r="R228" s="24"/>
      <c r="S228" s="41">
        <f t="shared" si="147"/>
        <v>950000</v>
      </c>
      <c r="T228" s="24">
        <v>5</v>
      </c>
      <c r="U228" s="41"/>
      <c r="V228" s="24">
        <v>0.5</v>
      </c>
      <c r="W228" s="41">
        <f t="shared" si="148"/>
        <v>0</v>
      </c>
      <c r="X228" s="24"/>
      <c r="Y228" s="41">
        <f t="shared" si="149"/>
        <v>0</v>
      </c>
      <c r="Z228" s="41">
        <f t="shared" si="150"/>
        <v>0</v>
      </c>
      <c r="AA228" s="24">
        <v>5</v>
      </c>
      <c r="AB228" s="41">
        <v>950000</v>
      </c>
      <c r="AC228" s="41">
        <f t="shared" si="154"/>
        <v>0</v>
      </c>
      <c r="AD228" s="70" t="s">
        <v>326</v>
      </c>
      <c r="AE228" s="70"/>
      <c r="AF228" s="1">
        <v>950000</v>
      </c>
      <c r="AG228" s="168">
        <f t="shared" si="107"/>
        <v>0</v>
      </c>
      <c r="AH228" s="5"/>
      <c r="AI228" s="5"/>
    </row>
    <row r="229" spans="1:35" s="1" customFormat="1" ht="10.5" x14ac:dyDescent="0.25">
      <c r="A229" s="21">
        <v>58</v>
      </c>
      <c r="B229" s="22" t="s">
        <v>196</v>
      </c>
      <c r="C229" s="22" t="s">
        <v>75</v>
      </c>
      <c r="D229" s="51" t="s">
        <v>197</v>
      </c>
      <c r="E229" s="24" t="s">
        <v>198</v>
      </c>
      <c r="F229" s="24"/>
      <c r="G229" s="24" t="s">
        <v>61</v>
      </c>
      <c r="H229" s="24" t="s">
        <v>62</v>
      </c>
      <c r="I229" s="24">
        <v>2015</v>
      </c>
      <c r="J229" s="24"/>
      <c r="K229" s="24" t="s">
        <v>63</v>
      </c>
      <c r="L229" s="24" t="s">
        <v>64</v>
      </c>
      <c r="M229" s="24">
        <v>2</v>
      </c>
      <c r="N229" s="41">
        <f t="shared" ref="N229" si="155">SUM(O229/M229)</f>
        <v>500000</v>
      </c>
      <c r="O229" s="41">
        <v>1000000</v>
      </c>
      <c r="P229" s="24"/>
      <c r="Q229" s="24"/>
      <c r="R229" s="24"/>
      <c r="S229" s="41">
        <f t="shared" ref="S229" si="156">SUM(O229-R229)</f>
        <v>1000000</v>
      </c>
      <c r="T229" s="24">
        <v>5</v>
      </c>
      <c r="U229" s="41">
        <f>SUM(S229/T229)</f>
        <v>200000</v>
      </c>
      <c r="V229" s="24">
        <v>0.5</v>
      </c>
      <c r="W229" s="41"/>
      <c r="X229" s="24"/>
      <c r="Y229" s="41">
        <f t="shared" ref="Y229" si="157">SUM(U229*X229)</f>
        <v>0</v>
      </c>
      <c r="Z229" s="41"/>
      <c r="AA229" s="24">
        <v>5</v>
      </c>
      <c r="AB229" s="41">
        <v>1000000</v>
      </c>
      <c r="AC229" s="41">
        <f t="shared" si="154"/>
        <v>0</v>
      </c>
      <c r="AD229" s="70" t="s">
        <v>199</v>
      </c>
      <c r="AE229" s="70"/>
      <c r="AF229" s="1">
        <v>1000000</v>
      </c>
      <c r="AG229" s="168">
        <f t="shared" si="107"/>
        <v>0</v>
      </c>
      <c r="AH229" s="5"/>
      <c r="AI229" s="5"/>
    </row>
    <row r="230" spans="1:35" s="1" customFormat="1" ht="10.5" x14ac:dyDescent="0.25">
      <c r="A230" s="21">
        <v>59</v>
      </c>
      <c r="B230" s="22" t="s">
        <v>196</v>
      </c>
      <c r="C230" s="22" t="s">
        <v>868</v>
      </c>
      <c r="D230" s="51" t="s">
        <v>986</v>
      </c>
      <c r="E230" s="24" t="s">
        <v>987</v>
      </c>
      <c r="F230" s="24"/>
      <c r="G230" s="24" t="s">
        <v>61</v>
      </c>
      <c r="H230" s="24" t="s">
        <v>62</v>
      </c>
      <c r="I230" s="24">
        <v>2011</v>
      </c>
      <c r="J230" s="24"/>
      <c r="K230" s="24" t="s">
        <v>202</v>
      </c>
      <c r="L230" s="24" t="s">
        <v>64</v>
      </c>
      <c r="M230" s="24">
        <v>4</v>
      </c>
      <c r="N230" s="41">
        <f t="shared" ref="N230:N234" si="158">SUM(O230/M230)</f>
        <v>250000</v>
      </c>
      <c r="O230" s="41">
        <v>1000000</v>
      </c>
      <c r="P230" s="24"/>
      <c r="Q230" s="24"/>
      <c r="R230" s="24"/>
      <c r="S230" s="41">
        <f t="shared" ref="S230:S234" si="159">SUM(O230-R230)</f>
        <v>1000000</v>
      </c>
      <c r="T230" s="24">
        <v>5</v>
      </c>
      <c r="U230" s="41"/>
      <c r="V230" s="24">
        <v>0.5</v>
      </c>
      <c r="W230" s="41">
        <f t="shared" ref="W230:W234" si="160">SUM(U230*V230)</f>
        <v>0</v>
      </c>
      <c r="X230" s="24"/>
      <c r="Y230" s="41">
        <f t="shared" ref="Y230:Y234" si="161">SUM(U230*X230)</f>
        <v>0</v>
      </c>
      <c r="Z230" s="41">
        <f t="shared" ref="Z230:Z234" si="162">SUM(W230+Y230)</f>
        <v>0</v>
      </c>
      <c r="AA230" s="24">
        <v>5</v>
      </c>
      <c r="AB230" s="41">
        <v>1000000</v>
      </c>
      <c r="AC230" s="41">
        <f t="shared" si="154"/>
        <v>0</v>
      </c>
      <c r="AD230" s="70" t="s">
        <v>295</v>
      </c>
      <c r="AE230" s="70"/>
      <c r="AF230" s="1">
        <v>1000000</v>
      </c>
      <c r="AG230" s="168">
        <f t="shared" si="107"/>
        <v>0</v>
      </c>
      <c r="AH230" s="5"/>
      <c r="AI230" s="5"/>
    </row>
    <row r="231" spans="1:35" s="1" customFormat="1" ht="10.5" x14ac:dyDescent="0.25">
      <c r="A231" s="21">
        <v>60</v>
      </c>
      <c r="B231" s="22" t="s">
        <v>196</v>
      </c>
      <c r="C231" s="22" t="s">
        <v>952</v>
      </c>
      <c r="D231" s="51" t="s">
        <v>986</v>
      </c>
      <c r="E231" s="24" t="s">
        <v>987</v>
      </c>
      <c r="F231" s="24"/>
      <c r="G231" s="24" t="s">
        <v>61</v>
      </c>
      <c r="H231" s="24" t="s">
        <v>62</v>
      </c>
      <c r="I231" s="24">
        <v>2011</v>
      </c>
      <c r="J231" s="24"/>
      <c r="K231" s="24" t="s">
        <v>202</v>
      </c>
      <c r="L231" s="24" t="s">
        <v>64</v>
      </c>
      <c r="M231" s="24">
        <v>4</v>
      </c>
      <c r="N231" s="41">
        <f t="shared" si="158"/>
        <v>250000</v>
      </c>
      <c r="O231" s="41">
        <v>1000000</v>
      </c>
      <c r="P231" s="24"/>
      <c r="Q231" s="24"/>
      <c r="R231" s="24"/>
      <c r="S231" s="41">
        <f t="shared" si="159"/>
        <v>1000000</v>
      </c>
      <c r="T231" s="24">
        <v>5</v>
      </c>
      <c r="U231" s="41"/>
      <c r="V231" s="24">
        <v>0.5</v>
      </c>
      <c r="W231" s="41">
        <f t="shared" si="160"/>
        <v>0</v>
      </c>
      <c r="X231" s="24"/>
      <c r="Y231" s="41">
        <f t="shared" si="161"/>
        <v>0</v>
      </c>
      <c r="Z231" s="41">
        <f t="shared" si="162"/>
        <v>0</v>
      </c>
      <c r="AA231" s="24">
        <v>5</v>
      </c>
      <c r="AB231" s="41">
        <v>1000000</v>
      </c>
      <c r="AC231" s="41">
        <f t="shared" si="154"/>
        <v>0</v>
      </c>
      <c r="AD231" s="70" t="s">
        <v>297</v>
      </c>
      <c r="AE231" s="70"/>
      <c r="AF231" s="1">
        <v>1000000</v>
      </c>
      <c r="AG231" s="168">
        <f t="shared" si="107"/>
        <v>0</v>
      </c>
      <c r="AH231" s="5"/>
      <c r="AI231" s="5"/>
    </row>
    <row r="232" spans="1:35" s="1" customFormat="1" ht="10.5" x14ac:dyDescent="0.25">
      <c r="A232" s="21">
        <v>61</v>
      </c>
      <c r="B232" s="22" t="s">
        <v>196</v>
      </c>
      <c r="C232" s="22" t="s">
        <v>298</v>
      </c>
      <c r="D232" s="51" t="s">
        <v>986</v>
      </c>
      <c r="E232" s="24" t="s">
        <v>987</v>
      </c>
      <c r="F232" s="24"/>
      <c r="G232" s="24" t="s">
        <v>61</v>
      </c>
      <c r="H232" s="24" t="s">
        <v>62</v>
      </c>
      <c r="I232" s="24">
        <v>2011</v>
      </c>
      <c r="J232" s="24"/>
      <c r="K232" s="24" t="s">
        <v>202</v>
      </c>
      <c r="L232" s="24" t="s">
        <v>64</v>
      </c>
      <c r="M232" s="24">
        <v>2</v>
      </c>
      <c r="N232" s="41">
        <f t="shared" si="158"/>
        <v>250000</v>
      </c>
      <c r="O232" s="41">
        <v>500000</v>
      </c>
      <c r="P232" s="24"/>
      <c r="Q232" s="24"/>
      <c r="R232" s="24"/>
      <c r="S232" s="41">
        <f t="shared" si="159"/>
        <v>500000</v>
      </c>
      <c r="T232" s="24">
        <v>5</v>
      </c>
      <c r="U232" s="41"/>
      <c r="V232" s="24">
        <v>0.5</v>
      </c>
      <c r="W232" s="41">
        <f t="shared" si="160"/>
        <v>0</v>
      </c>
      <c r="X232" s="24"/>
      <c r="Y232" s="41">
        <f t="shared" si="161"/>
        <v>0</v>
      </c>
      <c r="Z232" s="41">
        <f t="shared" si="162"/>
        <v>0</v>
      </c>
      <c r="AA232" s="24">
        <v>5</v>
      </c>
      <c r="AB232" s="41">
        <v>500000</v>
      </c>
      <c r="AC232" s="41">
        <f t="shared" si="154"/>
        <v>0</v>
      </c>
      <c r="AD232" s="70" t="s">
        <v>287</v>
      </c>
      <c r="AE232" s="70"/>
      <c r="AF232" s="1">
        <v>500000</v>
      </c>
      <c r="AG232" s="168">
        <f t="shared" si="107"/>
        <v>0</v>
      </c>
      <c r="AH232" s="5"/>
      <c r="AI232" s="5"/>
    </row>
    <row r="233" spans="1:35" s="1" customFormat="1" ht="10.5" x14ac:dyDescent="0.25">
      <c r="A233" s="21">
        <v>62</v>
      </c>
      <c r="B233" s="22" t="s">
        <v>196</v>
      </c>
      <c r="C233" s="22" t="s">
        <v>988</v>
      </c>
      <c r="D233" s="51" t="s">
        <v>986</v>
      </c>
      <c r="E233" s="24" t="s">
        <v>987</v>
      </c>
      <c r="F233" s="24"/>
      <c r="G233" s="24" t="s">
        <v>61</v>
      </c>
      <c r="H233" s="24" t="s">
        <v>62</v>
      </c>
      <c r="I233" s="24">
        <v>2011</v>
      </c>
      <c r="J233" s="24"/>
      <c r="K233" s="24" t="s">
        <v>202</v>
      </c>
      <c r="L233" s="24" t="s">
        <v>64</v>
      </c>
      <c r="M233" s="24">
        <v>2</v>
      </c>
      <c r="N233" s="41">
        <f t="shared" si="158"/>
        <v>250000</v>
      </c>
      <c r="O233" s="41">
        <v>500000</v>
      </c>
      <c r="P233" s="24"/>
      <c r="Q233" s="24"/>
      <c r="R233" s="24"/>
      <c r="S233" s="41">
        <f t="shared" si="159"/>
        <v>500000</v>
      </c>
      <c r="T233" s="24">
        <v>5</v>
      </c>
      <c r="U233" s="41"/>
      <c r="V233" s="24">
        <v>0.5</v>
      </c>
      <c r="W233" s="41">
        <f t="shared" si="160"/>
        <v>0</v>
      </c>
      <c r="X233" s="24"/>
      <c r="Y233" s="41">
        <f t="shared" si="161"/>
        <v>0</v>
      </c>
      <c r="Z233" s="41">
        <f t="shared" si="162"/>
        <v>0</v>
      </c>
      <c r="AA233" s="24">
        <v>5</v>
      </c>
      <c r="AB233" s="41">
        <v>500000</v>
      </c>
      <c r="AC233" s="41">
        <f t="shared" si="154"/>
        <v>0</v>
      </c>
      <c r="AD233" s="70" t="s">
        <v>303</v>
      </c>
      <c r="AE233" s="70"/>
      <c r="AF233" s="1">
        <v>500000</v>
      </c>
      <c r="AG233" s="168">
        <f t="shared" si="107"/>
        <v>0</v>
      </c>
      <c r="AH233" s="5"/>
      <c r="AI233" s="5"/>
    </row>
    <row r="234" spans="1:35" s="1" customFormat="1" ht="10.5" x14ac:dyDescent="0.25">
      <c r="A234" s="21">
        <v>63</v>
      </c>
      <c r="B234" s="22" t="s">
        <v>196</v>
      </c>
      <c r="C234" s="22" t="s">
        <v>140</v>
      </c>
      <c r="D234" s="51" t="s">
        <v>989</v>
      </c>
      <c r="E234" s="24" t="s">
        <v>987</v>
      </c>
      <c r="F234" s="24"/>
      <c r="G234" s="24" t="s">
        <v>61</v>
      </c>
      <c r="H234" s="24" t="s">
        <v>62</v>
      </c>
      <c r="I234" s="24">
        <v>2012</v>
      </c>
      <c r="J234" s="24"/>
      <c r="K234" s="24" t="s">
        <v>63</v>
      </c>
      <c r="L234" s="24" t="s">
        <v>64</v>
      </c>
      <c r="M234" s="24">
        <v>1</v>
      </c>
      <c r="N234" s="41">
        <f t="shared" si="158"/>
        <v>390000</v>
      </c>
      <c r="O234" s="41">
        <v>390000</v>
      </c>
      <c r="P234" s="24"/>
      <c r="Q234" s="24"/>
      <c r="R234" s="24"/>
      <c r="S234" s="41">
        <f t="shared" si="159"/>
        <v>390000</v>
      </c>
      <c r="T234" s="24">
        <v>5</v>
      </c>
      <c r="U234" s="41"/>
      <c r="V234" s="24">
        <v>0.5</v>
      </c>
      <c r="W234" s="41">
        <f t="shared" si="160"/>
        <v>0</v>
      </c>
      <c r="X234" s="24"/>
      <c r="Y234" s="41">
        <f t="shared" si="161"/>
        <v>0</v>
      </c>
      <c r="Z234" s="41">
        <f t="shared" si="162"/>
        <v>0</v>
      </c>
      <c r="AA234" s="24">
        <v>5</v>
      </c>
      <c r="AB234" s="41">
        <v>390000</v>
      </c>
      <c r="AC234" s="41">
        <f t="shared" si="154"/>
        <v>0</v>
      </c>
      <c r="AD234" s="70" t="s">
        <v>985</v>
      </c>
      <c r="AE234" s="70"/>
      <c r="AF234" s="1">
        <v>390000</v>
      </c>
      <c r="AG234" s="168">
        <f t="shared" si="107"/>
        <v>0</v>
      </c>
      <c r="AH234" s="5"/>
      <c r="AI234" s="5"/>
    </row>
    <row r="235" spans="1:35" s="1" customFormat="1" ht="10.5" x14ac:dyDescent="0.25">
      <c r="A235" s="21"/>
      <c r="B235" s="22"/>
      <c r="C235" s="22"/>
      <c r="D235" s="23"/>
      <c r="E235" s="24"/>
      <c r="F235" s="24"/>
      <c r="G235" s="24"/>
      <c r="H235" s="24"/>
      <c r="I235" s="24"/>
      <c r="J235" s="24"/>
      <c r="K235" s="24"/>
      <c r="L235" s="24"/>
      <c r="M235" s="24"/>
      <c r="N235" s="41"/>
      <c r="O235" s="41"/>
      <c r="P235" s="24"/>
      <c r="Q235" s="24"/>
      <c r="R235" s="24"/>
      <c r="S235" s="41"/>
      <c r="T235" s="24"/>
      <c r="U235" s="41"/>
      <c r="V235" s="24"/>
      <c r="W235" s="41"/>
      <c r="X235" s="24"/>
      <c r="Y235" s="41"/>
      <c r="Z235" s="41"/>
      <c r="AA235" s="24"/>
      <c r="AB235" s="41"/>
      <c r="AC235" s="41"/>
      <c r="AD235" s="70"/>
      <c r="AE235" s="70"/>
      <c r="AG235" s="71"/>
      <c r="AI235" s="5"/>
    </row>
    <row r="236" spans="1:35" s="1" customFormat="1" ht="10.5" x14ac:dyDescent="0.25">
      <c r="A236" s="138"/>
      <c r="B236" s="139" t="s">
        <v>468</v>
      </c>
      <c r="C236" s="139"/>
      <c r="D236" s="140" t="s">
        <v>469</v>
      </c>
      <c r="E236" s="141"/>
      <c r="F236" s="141"/>
      <c r="G236" s="141"/>
      <c r="H236" s="141"/>
      <c r="I236" s="141"/>
      <c r="J236" s="141"/>
      <c r="K236" s="141"/>
      <c r="L236" s="141"/>
      <c r="M236" s="164">
        <f>SUM(M237+M370+M482+M497+M676)</f>
        <v>3766</v>
      </c>
      <c r="N236" s="164"/>
      <c r="O236" s="142">
        <f>SUM(O237+O370+O482+O497+O676)</f>
        <v>5557770433.014616</v>
      </c>
      <c r="P236" s="164">
        <f>SUM(P372:P674)</f>
        <v>0</v>
      </c>
      <c r="Q236" s="164">
        <f>SUM(Q372:Q674)</f>
        <v>0</v>
      </c>
      <c r="R236" s="164">
        <f>SUM(R372:R674)</f>
        <v>0</v>
      </c>
      <c r="S236" s="142">
        <f>SUM(S237+S370+S482+S497+S676)</f>
        <v>5557770433.014616</v>
      </c>
      <c r="T236" s="164"/>
      <c r="U236" s="142">
        <f>SUM(U237+U370+U482+U497+U676)</f>
        <v>386760996.60000002</v>
      </c>
      <c r="V236" s="164"/>
      <c r="W236" s="142">
        <f>SUM(W237+W370+W482+W497+W676)</f>
        <v>118066395.16666669</v>
      </c>
      <c r="X236" s="164"/>
      <c r="Y236" s="142">
        <f>SUM(Y237+Y370+Y482+Y497+Y676)</f>
        <v>114013427.50000001</v>
      </c>
      <c r="Z236" s="142">
        <f>SUM(Z237+Z370+Z482+Z497+Z676)</f>
        <v>232079822.66666669</v>
      </c>
      <c r="AA236" s="164"/>
      <c r="AB236" s="142">
        <f>SUM(AB237+AB370+AB482+AB497+AB676)</f>
        <v>5120615191.59795</v>
      </c>
      <c r="AC236" s="142">
        <f>SUM(AC237+AC370+AC482+AC497+AC676)</f>
        <v>437155241.41666663</v>
      </c>
      <c r="AD236" s="141"/>
      <c r="AE236" s="173"/>
      <c r="AF236" s="5">
        <v>5233384052.431283</v>
      </c>
      <c r="AG236" s="5">
        <f>AF236-AB236</f>
        <v>112768860.83333302</v>
      </c>
    </row>
    <row r="237" spans="1:35" s="1" customFormat="1" ht="10.5" x14ac:dyDescent="0.25">
      <c r="A237" s="25"/>
      <c r="B237" s="26" t="s">
        <v>1666</v>
      </c>
      <c r="C237" s="174"/>
      <c r="D237" s="27" t="s">
        <v>1667</v>
      </c>
      <c r="E237" s="28"/>
      <c r="F237" s="28"/>
      <c r="G237" s="28"/>
      <c r="H237" s="28"/>
      <c r="I237" s="28"/>
      <c r="J237" s="28"/>
      <c r="K237" s="28"/>
      <c r="L237" s="28"/>
      <c r="M237" s="67">
        <f>SUM(M238:M368)</f>
        <v>1746</v>
      </c>
      <c r="N237" s="40"/>
      <c r="O237" s="40">
        <f>SUM(O238:O368)</f>
        <v>2048789400</v>
      </c>
      <c r="P237" s="28"/>
      <c r="Q237" s="28"/>
      <c r="R237" s="28"/>
      <c r="S237" s="40">
        <f>SUM(S238:S368)</f>
        <v>2048789400</v>
      </c>
      <c r="T237" s="28"/>
      <c r="U237" s="40">
        <f>SUM(U238:U368)</f>
        <v>137951300</v>
      </c>
      <c r="V237" s="28"/>
      <c r="W237" s="40">
        <f>SUM(W238:W368)</f>
        <v>35037066.666666679</v>
      </c>
      <c r="X237" s="28"/>
      <c r="Y237" s="40">
        <f>SUM(Y238:Y368)</f>
        <v>30866750</v>
      </c>
      <c r="Z237" s="40">
        <f>SUM(Z238:Z368)</f>
        <v>65903816.666666679</v>
      </c>
      <c r="AA237" s="153"/>
      <c r="AB237" s="40">
        <f>SUM(AB238:AB368)</f>
        <v>1948417658.3333333</v>
      </c>
      <c r="AC237" s="40">
        <f>SUM(AC238:AC368)</f>
        <v>100371741.66666667</v>
      </c>
      <c r="AD237" s="167"/>
      <c r="AE237" s="167"/>
      <c r="AF237" s="5">
        <f>AF236-AB236</f>
        <v>112768860.83333302</v>
      </c>
      <c r="AG237" s="5"/>
    </row>
    <row r="238" spans="1:35" s="1" customFormat="1" ht="10.5" x14ac:dyDescent="0.25">
      <c r="A238" s="49">
        <v>1</v>
      </c>
      <c r="B238" s="22" t="s">
        <v>1668</v>
      </c>
      <c r="C238" s="22" t="s">
        <v>58</v>
      </c>
      <c r="D238" s="51" t="s">
        <v>801</v>
      </c>
      <c r="E238" s="24" t="s">
        <v>166</v>
      </c>
      <c r="F238" s="24"/>
      <c r="G238" s="24" t="s">
        <v>319</v>
      </c>
      <c r="H238" s="24" t="s">
        <v>62</v>
      </c>
      <c r="I238" s="24">
        <v>2004</v>
      </c>
      <c r="J238" s="24"/>
      <c r="K238" s="24" t="s">
        <v>63</v>
      </c>
      <c r="L238" s="24" t="s">
        <v>64</v>
      </c>
      <c r="M238" s="24">
        <v>1</v>
      </c>
      <c r="N238" s="41">
        <f t="shared" ref="N238:N250" si="163">SUM(O238/M238)</f>
        <v>800000</v>
      </c>
      <c r="O238" s="41">
        <v>800000</v>
      </c>
      <c r="P238" s="24"/>
      <c r="Q238" s="24"/>
      <c r="R238" s="24"/>
      <c r="S238" s="41">
        <f t="shared" ref="S238:S250" si="164">SUM(O238-R238)</f>
        <v>800000</v>
      </c>
      <c r="T238" s="24">
        <v>5</v>
      </c>
      <c r="U238" s="41"/>
      <c r="V238" s="24">
        <v>0.5</v>
      </c>
      <c r="W238" s="41">
        <f t="shared" ref="W238:W250" si="165">SUM(U238*V238)</f>
        <v>0</v>
      </c>
      <c r="X238" s="24"/>
      <c r="Y238" s="41">
        <f t="shared" ref="Y238:Y250" si="166">SUM(U238*X238)</f>
        <v>0</v>
      </c>
      <c r="Z238" s="41">
        <f t="shared" ref="Z238:Z250" si="167">SUM(W238+Y238)</f>
        <v>0</v>
      </c>
      <c r="AA238" s="24">
        <v>5</v>
      </c>
      <c r="AB238" s="41">
        <v>800000</v>
      </c>
      <c r="AC238" s="41">
        <f t="shared" ref="AC238:AC253" si="168">SUM(O238-AB238)</f>
        <v>0</v>
      </c>
      <c r="AD238" s="70" t="s">
        <v>295</v>
      </c>
      <c r="AE238" s="70"/>
      <c r="AF238" s="1">
        <v>800000</v>
      </c>
      <c r="AG238" s="5">
        <f>AF238-AB238</f>
        <v>0</v>
      </c>
    </row>
    <row r="239" spans="1:35" s="1" customFormat="1" ht="10.5" x14ac:dyDescent="0.25">
      <c r="A239" s="49">
        <v>2</v>
      </c>
      <c r="B239" s="22" t="s">
        <v>1668</v>
      </c>
      <c r="C239" s="22" t="s">
        <v>802</v>
      </c>
      <c r="D239" s="51" t="s">
        <v>801</v>
      </c>
      <c r="E239" s="24" t="s">
        <v>166</v>
      </c>
      <c r="F239" s="24"/>
      <c r="G239" s="24" t="s">
        <v>319</v>
      </c>
      <c r="H239" s="24" t="s">
        <v>62</v>
      </c>
      <c r="I239" s="24">
        <v>2004</v>
      </c>
      <c r="J239" s="24"/>
      <c r="K239" s="24" t="s">
        <v>63</v>
      </c>
      <c r="L239" s="24" t="s">
        <v>64</v>
      </c>
      <c r="M239" s="24">
        <v>2</v>
      </c>
      <c r="N239" s="41">
        <f t="shared" si="163"/>
        <v>250000</v>
      </c>
      <c r="O239" s="41">
        <v>500000</v>
      </c>
      <c r="P239" s="24"/>
      <c r="Q239" s="24"/>
      <c r="R239" s="24"/>
      <c r="S239" s="41">
        <f t="shared" si="164"/>
        <v>500000</v>
      </c>
      <c r="T239" s="24">
        <v>5</v>
      </c>
      <c r="U239" s="41"/>
      <c r="V239" s="24">
        <v>0.5</v>
      </c>
      <c r="W239" s="41">
        <f t="shared" si="165"/>
        <v>0</v>
      </c>
      <c r="X239" s="24"/>
      <c r="Y239" s="41">
        <f t="shared" si="166"/>
        <v>0</v>
      </c>
      <c r="Z239" s="41">
        <f t="shared" si="167"/>
        <v>0</v>
      </c>
      <c r="AA239" s="24">
        <v>5</v>
      </c>
      <c r="AB239" s="41">
        <v>500000</v>
      </c>
      <c r="AC239" s="41">
        <f t="shared" si="168"/>
        <v>0</v>
      </c>
      <c r="AD239" s="70" t="s">
        <v>616</v>
      </c>
      <c r="AE239" s="70"/>
      <c r="AF239" s="1">
        <v>500000</v>
      </c>
      <c r="AG239" s="5">
        <f t="shared" ref="AG239:AG250" si="169">AF239-AB239</f>
        <v>0</v>
      </c>
    </row>
    <row r="240" spans="1:35" s="1" customFormat="1" ht="10.5" x14ac:dyDescent="0.25">
      <c r="A240" s="49">
        <v>3</v>
      </c>
      <c r="B240" s="22" t="s">
        <v>1668</v>
      </c>
      <c r="C240" s="22" t="s">
        <v>803</v>
      </c>
      <c r="D240" s="51" t="s">
        <v>801</v>
      </c>
      <c r="E240" s="24" t="s">
        <v>166</v>
      </c>
      <c r="F240" s="24"/>
      <c r="G240" s="24" t="s">
        <v>319</v>
      </c>
      <c r="H240" s="24" t="s">
        <v>62</v>
      </c>
      <c r="I240" s="24">
        <v>2004</v>
      </c>
      <c r="J240" s="24"/>
      <c r="K240" s="24" t="s">
        <v>63</v>
      </c>
      <c r="L240" s="24" t="s">
        <v>64</v>
      </c>
      <c r="M240" s="24">
        <v>6</v>
      </c>
      <c r="N240" s="41">
        <f t="shared" si="163"/>
        <v>250000</v>
      </c>
      <c r="O240" s="41">
        <v>1500000</v>
      </c>
      <c r="P240" s="24"/>
      <c r="Q240" s="24"/>
      <c r="R240" s="24"/>
      <c r="S240" s="41">
        <f t="shared" si="164"/>
        <v>1500000</v>
      </c>
      <c r="T240" s="24">
        <v>5</v>
      </c>
      <c r="U240" s="41"/>
      <c r="V240" s="24">
        <v>0.5</v>
      </c>
      <c r="W240" s="41">
        <f t="shared" si="165"/>
        <v>0</v>
      </c>
      <c r="X240" s="24"/>
      <c r="Y240" s="41">
        <f t="shared" si="166"/>
        <v>0</v>
      </c>
      <c r="Z240" s="41">
        <f t="shared" si="167"/>
        <v>0</v>
      </c>
      <c r="AA240" s="24">
        <v>5</v>
      </c>
      <c r="AB240" s="41">
        <v>1500000</v>
      </c>
      <c r="AC240" s="41">
        <f t="shared" si="168"/>
        <v>0</v>
      </c>
      <c r="AD240" s="70" t="s">
        <v>804</v>
      </c>
      <c r="AE240" s="70"/>
      <c r="AF240" s="1">
        <v>1500000</v>
      </c>
      <c r="AG240" s="5">
        <f t="shared" si="169"/>
        <v>0</v>
      </c>
    </row>
    <row r="241" spans="1:33" s="1" customFormat="1" ht="10.5" x14ac:dyDescent="0.25">
      <c r="A241" s="49">
        <v>4</v>
      </c>
      <c r="B241" s="22" t="s">
        <v>1668</v>
      </c>
      <c r="C241" s="22" t="s">
        <v>805</v>
      </c>
      <c r="D241" s="51" t="s">
        <v>801</v>
      </c>
      <c r="E241" s="24" t="s">
        <v>166</v>
      </c>
      <c r="F241" s="24"/>
      <c r="G241" s="24" t="s">
        <v>319</v>
      </c>
      <c r="H241" s="24" t="s">
        <v>62</v>
      </c>
      <c r="I241" s="24">
        <v>2004</v>
      </c>
      <c r="J241" s="24"/>
      <c r="K241" s="24" t="s">
        <v>63</v>
      </c>
      <c r="L241" s="24" t="s">
        <v>64</v>
      </c>
      <c r="M241" s="24">
        <v>9</v>
      </c>
      <c r="N241" s="41">
        <f t="shared" si="163"/>
        <v>250000</v>
      </c>
      <c r="O241" s="41">
        <v>2250000</v>
      </c>
      <c r="P241" s="24"/>
      <c r="Q241" s="24"/>
      <c r="R241" s="24"/>
      <c r="S241" s="41">
        <f t="shared" si="164"/>
        <v>2250000</v>
      </c>
      <c r="T241" s="24">
        <v>5</v>
      </c>
      <c r="U241" s="41"/>
      <c r="V241" s="24">
        <v>0.5</v>
      </c>
      <c r="W241" s="41">
        <f t="shared" si="165"/>
        <v>0</v>
      </c>
      <c r="X241" s="24"/>
      <c r="Y241" s="41">
        <f t="shared" si="166"/>
        <v>0</v>
      </c>
      <c r="Z241" s="41">
        <f t="shared" si="167"/>
        <v>0</v>
      </c>
      <c r="AA241" s="24">
        <v>5</v>
      </c>
      <c r="AB241" s="41">
        <v>2250000</v>
      </c>
      <c r="AC241" s="41">
        <f t="shared" si="168"/>
        <v>0</v>
      </c>
      <c r="AD241" s="70" t="s">
        <v>387</v>
      </c>
      <c r="AE241" s="70"/>
      <c r="AF241" s="1">
        <v>2250000</v>
      </c>
      <c r="AG241" s="5">
        <f t="shared" si="169"/>
        <v>0</v>
      </c>
    </row>
    <row r="242" spans="1:33" s="1" customFormat="1" ht="10.5" x14ac:dyDescent="0.25">
      <c r="A242" s="49">
        <v>5</v>
      </c>
      <c r="B242" s="22" t="s">
        <v>1668</v>
      </c>
      <c r="C242" s="22" t="s">
        <v>806</v>
      </c>
      <c r="D242" s="51" t="s">
        <v>801</v>
      </c>
      <c r="E242" s="24" t="s">
        <v>166</v>
      </c>
      <c r="F242" s="24"/>
      <c r="G242" s="24" t="s">
        <v>319</v>
      </c>
      <c r="H242" s="24" t="s">
        <v>62</v>
      </c>
      <c r="I242" s="24">
        <v>2004</v>
      </c>
      <c r="J242" s="24"/>
      <c r="K242" s="24" t="s">
        <v>63</v>
      </c>
      <c r="L242" s="24" t="s">
        <v>64</v>
      </c>
      <c r="M242" s="24">
        <v>6</v>
      </c>
      <c r="N242" s="41">
        <f t="shared" si="163"/>
        <v>250000</v>
      </c>
      <c r="O242" s="41">
        <v>1500000</v>
      </c>
      <c r="P242" s="24"/>
      <c r="Q242" s="24"/>
      <c r="R242" s="24"/>
      <c r="S242" s="41">
        <f t="shared" si="164"/>
        <v>1500000</v>
      </c>
      <c r="T242" s="24">
        <v>5</v>
      </c>
      <c r="U242" s="41"/>
      <c r="V242" s="24">
        <v>0.5</v>
      </c>
      <c r="W242" s="41">
        <f t="shared" si="165"/>
        <v>0</v>
      </c>
      <c r="X242" s="24"/>
      <c r="Y242" s="41">
        <f t="shared" si="166"/>
        <v>0</v>
      </c>
      <c r="Z242" s="41">
        <f t="shared" si="167"/>
        <v>0</v>
      </c>
      <c r="AA242" s="24">
        <v>5</v>
      </c>
      <c r="AB242" s="41">
        <v>1500000</v>
      </c>
      <c r="AC242" s="41">
        <f t="shared" si="168"/>
        <v>0</v>
      </c>
      <c r="AD242" s="70" t="s">
        <v>388</v>
      </c>
      <c r="AE242" s="70"/>
      <c r="AF242" s="1">
        <v>1500000</v>
      </c>
      <c r="AG242" s="5">
        <f t="shared" si="169"/>
        <v>0</v>
      </c>
    </row>
    <row r="243" spans="1:33" s="1" customFormat="1" ht="10.5" x14ac:dyDescent="0.25">
      <c r="A243" s="49">
        <v>6</v>
      </c>
      <c r="B243" s="22" t="s">
        <v>1668</v>
      </c>
      <c r="C243" s="22" t="s">
        <v>807</v>
      </c>
      <c r="D243" s="51" t="s">
        <v>801</v>
      </c>
      <c r="E243" s="24" t="s">
        <v>166</v>
      </c>
      <c r="F243" s="24"/>
      <c r="G243" s="24" t="s">
        <v>319</v>
      </c>
      <c r="H243" s="24" t="s">
        <v>62</v>
      </c>
      <c r="I243" s="24">
        <v>2004</v>
      </c>
      <c r="J243" s="24"/>
      <c r="K243" s="24" t="s">
        <v>63</v>
      </c>
      <c r="L243" s="24" t="s">
        <v>64</v>
      </c>
      <c r="M243" s="24">
        <v>6</v>
      </c>
      <c r="N243" s="41">
        <f t="shared" si="163"/>
        <v>250000</v>
      </c>
      <c r="O243" s="41">
        <v>1500000</v>
      </c>
      <c r="P243" s="24"/>
      <c r="Q243" s="24"/>
      <c r="R243" s="24"/>
      <c r="S243" s="41">
        <f t="shared" si="164"/>
        <v>1500000</v>
      </c>
      <c r="T243" s="24">
        <v>5</v>
      </c>
      <c r="U243" s="41"/>
      <c r="V243" s="24">
        <v>0.5</v>
      </c>
      <c r="W243" s="41">
        <f t="shared" si="165"/>
        <v>0</v>
      </c>
      <c r="X243" s="24"/>
      <c r="Y243" s="41">
        <f t="shared" si="166"/>
        <v>0</v>
      </c>
      <c r="Z243" s="41">
        <f t="shared" si="167"/>
        <v>0</v>
      </c>
      <c r="AA243" s="24">
        <v>5</v>
      </c>
      <c r="AB243" s="41">
        <v>1500000</v>
      </c>
      <c r="AC243" s="41">
        <f t="shared" si="168"/>
        <v>0</v>
      </c>
      <c r="AD243" s="70" t="s">
        <v>259</v>
      </c>
      <c r="AE243" s="70"/>
      <c r="AF243" s="1">
        <v>1500000</v>
      </c>
      <c r="AG243" s="5">
        <f t="shared" si="169"/>
        <v>0</v>
      </c>
    </row>
    <row r="244" spans="1:33" s="1" customFormat="1" ht="10.5" x14ac:dyDescent="0.25">
      <c r="A244" s="49">
        <v>7</v>
      </c>
      <c r="B244" s="22" t="s">
        <v>1668</v>
      </c>
      <c r="C244" s="22" t="s">
        <v>808</v>
      </c>
      <c r="D244" s="51" t="s">
        <v>801</v>
      </c>
      <c r="E244" s="24" t="s">
        <v>166</v>
      </c>
      <c r="F244" s="24"/>
      <c r="G244" s="24" t="s">
        <v>319</v>
      </c>
      <c r="H244" s="24" t="s">
        <v>62</v>
      </c>
      <c r="I244" s="24">
        <v>2004</v>
      </c>
      <c r="J244" s="24"/>
      <c r="K244" s="24" t="s">
        <v>63</v>
      </c>
      <c r="L244" s="24" t="s">
        <v>64</v>
      </c>
      <c r="M244" s="24">
        <v>27</v>
      </c>
      <c r="N244" s="41">
        <f t="shared" si="163"/>
        <v>250000</v>
      </c>
      <c r="O244" s="41">
        <v>6750000</v>
      </c>
      <c r="P244" s="24"/>
      <c r="Q244" s="24"/>
      <c r="R244" s="24"/>
      <c r="S244" s="41">
        <f t="shared" si="164"/>
        <v>6750000</v>
      </c>
      <c r="T244" s="24">
        <v>5</v>
      </c>
      <c r="U244" s="41"/>
      <c r="V244" s="24">
        <v>0.5</v>
      </c>
      <c r="W244" s="41">
        <f t="shared" si="165"/>
        <v>0</v>
      </c>
      <c r="X244" s="24"/>
      <c r="Y244" s="41">
        <f t="shared" si="166"/>
        <v>0</v>
      </c>
      <c r="Z244" s="41">
        <f t="shared" si="167"/>
        <v>0</v>
      </c>
      <c r="AA244" s="24">
        <v>5</v>
      </c>
      <c r="AB244" s="41">
        <v>6750000</v>
      </c>
      <c r="AC244" s="41">
        <f t="shared" si="168"/>
        <v>0</v>
      </c>
      <c r="AD244" s="70" t="s">
        <v>481</v>
      </c>
      <c r="AE244" s="70"/>
      <c r="AF244" s="1">
        <v>6750000</v>
      </c>
      <c r="AG244" s="5">
        <f t="shared" si="169"/>
        <v>0</v>
      </c>
    </row>
    <row r="245" spans="1:33" s="1" customFormat="1" ht="10.5" x14ac:dyDescent="0.25">
      <c r="A245" s="49">
        <v>8</v>
      </c>
      <c r="B245" s="22" t="s">
        <v>1668</v>
      </c>
      <c r="C245" s="22" t="s">
        <v>809</v>
      </c>
      <c r="D245" s="51" t="s">
        <v>801</v>
      </c>
      <c r="E245" s="24" t="s">
        <v>166</v>
      </c>
      <c r="F245" s="24"/>
      <c r="G245" s="24" t="s">
        <v>319</v>
      </c>
      <c r="H245" s="24" t="s">
        <v>62</v>
      </c>
      <c r="I245" s="24">
        <v>2004</v>
      </c>
      <c r="J245" s="24"/>
      <c r="K245" s="24" t="s">
        <v>63</v>
      </c>
      <c r="L245" s="24" t="s">
        <v>64</v>
      </c>
      <c r="M245" s="24">
        <v>6</v>
      </c>
      <c r="N245" s="41">
        <f t="shared" si="163"/>
        <v>250000</v>
      </c>
      <c r="O245" s="41">
        <v>1500000</v>
      </c>
      <c r="P245" s="24"/>
      <c r="Q245" s="24"/>
      <c r="R245" s="24"/>
      <c r="S245" s="41">
        <f t="shared" si="164"/>
        <v>1500000</v>
      </c>
      <c r="T245" s="24">
        <v>5</v>
      </c>
      <c r="U245" s="41"/>
      <c r="V245" s="24">
        <v>0.5</v>
      </c>
      <c r="W245" s="41">
        <f t="shared" si="165"/>
        <v>0</v>
      </c>
      <c r="X245" s="24"/>
      <c r="Y245" s="41">
        <f t="shared" si="166"/>
        <v>0</v>
      </c>
      <c r="Z245" s="41">
        <f t="shared" si="167"/>
        <v>0</v>
      </c>
      <c r="AA245" s="24">
        <v>5</v>
      </c>
      <c r="AB245" s="41">
        <v>1500000</v>
      </c>
      <c r="AC245" s="41">
        <f t="shared" si="168"/>
        <v>0</v>
      </c>
      <c r="AD245" s="70" t="s">
        <v>208</v>
      </c>
      <c r="AE245" s="70"/>
      <c r="AF245" s="1">
        <v>1500000</v>
      </c>
      <c r="AG245" s="5">
        <f t="shared" si="169"/>
        <v>0</v>
      </c>
    </row>
    <row r="246" spans="1:33" s="1" customFormat="1" ht="10.5" x14ac:dyDescent="0.25">
      <c r="A246" s="49">
        <v>9</v>
      </c>
      <c r="B246" s="22" t="s">
        <v>1668</v>
      </c>
      <c r="C246" s="22" t="s">
        <v>810</v>
      </c>
      <c r="D246" s="51" t="s">
        <v>801</v>
      </c>
      <c r="E246" s="24" t="s">
        <v>811</v>
      </c>
      <c r="F246" s="24"/>
      <c r="G246" s="24" t="s">
        <v>319</v>
      </c>
      <c r="H246" s="24" t="s">
        <v>62</v>
      </c>
      <c r="I246" s="24">
        <v>2005</v>
      </c>
      <c r="J246" s="24"/>
      <c r="K246" s="24" t="s">
        <v>63</v>
      </c>
      <c r="L246" s="24" t="s">
        <v>64</v>
      </c>
      <c r="M246" s="24">
        <v>2</v>
      </c>
      <c r="N246" s="41">
        <f t="shared" si="163"/>
        <v>1200000</v>
      </c>
      <c r="O246" s="41">
        <v>2400000</v>
      </c>
      <c r="P246" s="24"/>
      <c r="Q246" s="24"/>
      <c r="R246" s="24"/>
      <c r="S246" s="41">
        <f t="shared" si="164"/>
        <v>2400000</v>
      </c>
      <c r="T246" s="24">
        <v>5</v>
      </c>
      <c r="U246" s="41"/>
      <c r="V246" s="24">
        <v>0.5</v>
      </c>
      <c r="W246" s="41">
        <f t="shared" si="165"/>
        <v>0</v>
      </c>
      <c r="X246" s="24"/>
      <c r="Y246" s="41">
        <f t="shared" si="166"/>
        <v>0</v>
      </c>
      <c r="Z246" s="41">
        <f t="shared" si="167"/>
        <v>0</v>
      </c>
      <c r="AA246" s="24">
        <v>5</v>
      </c>
      <c r="AB246" s="41">
        <v>2400000</v>
      </c>
      <c r="AC246" s="41">
        <f t="shared" si="168"/>
        <v>0</v>
      </c>
      <c r="AD246" s="70" t="s">
        <v>213</v>
      </c>
      <c r="AE246" s="70"/>
      <c r="AF246" s="1">
        <v>2400000</v>
      </c>
      <c r="AG246" s="5">
        <f t="shared" si="169"/>
        <v>0</v>
      </c>
    </row>
    <row r="247" spans="1:33" s="1" customFormat="1" ht="10.5" x14ac:dyDescent="0.25">
      <c r="A247" s="49">
        <v>10</v>
      </c>
      <c r="B247" s="22" t="s">
        <v>1668</v>
      </c>
      <c r="C247" s="22" t="s">
        <v>812</v>
      </c>
      <c r="D247" s="51" t="s">
        <v>801</v>
      </c>
      <c r="E247" s="24" t="s">
        <v>811</v>
      </c>
      <c r="F247" s="24"/>
      <c r="G247" s="24" t="s">
        <v>319</v>
      </c>
      <c r="H247" s="24" t="s">
        <v>62</v>
      </c>
      <c r="I247" s="24">
        <v>2005</v>
      </c>
      <c r="J247" s="24"/>
      <c r="K247" s="24" t="s">
        <v>63</v>
      </c>
      <c r="L247" s="24" t="s">
        <v>64</v>
      </c>
      <c r="M247" s="24">
        <v>25</v>
      </c>
      <c r="N247" s="41">
        <f t="shared" si="163"/>
        <v>800000</v>
      </c>
      <c r="O247" s="41">
        <v>20000000</v>
      </c>
      <c r="P247" s="24"/>
      <c r="Q247" s="24"/>
      <c r="R247" s="24"/>
      <c r="S247" s="41">
        <f t="shared" si="164"/>
        <v>20000000</v>
      </c>
      <c r="T247" s="24">
        <v>5</v>
      </c>
      <c r="U247" s="41"/>
      <c r="V247" s="24">
        <v>0.5</v>
      </c>
      <c r="W247" s="41">
        <f t="shared" si="165"/>
        <v>0</v>
      </c>
      <c r="X247" s="24"/>
      <c r="Y247" s="41">
        <f t="shared" si="166"/>
        <v>0</v>
      </c>
      <c r="Z247" s="41">
        <f t="shared" si="167"/>
        <v>0</v>
      </c>
      <c r="AA247" s="24">
        <v>5</v>
      </c>
      <c r="AB247" s="41">
        <v>20000000</v>
      </c>
      <c r="AC247" s="41">
        <f t="shared" si="168"/>
        <v>0</v>
      </c>
      <c r="AD247" s="70" t="s">
        <v>213</v>
      </c>
      <c r="AE247" s="70"/>
      <c r="AF247" s="1">
        <v>20000000</v>
      </c>
      <c r="AG247" s="5">
        <f t="shared" si="169"/>
        <v>0</v>
      </c>
    </row>
    <row r="248" spans="1:33" s="1" customFormat="1" ht="10.5" x14ac:dyDescent="0.25">
      <c r="A248" s="49">
        <v>11</v>
      </c>
      <c r="B248" s="22" t="s">
        <v>1668</v>
      </c>
      <c r="C248" s="22" t="s">
        <v>448</v>
      </c>
      <c r="D248" s="51" t="s">
        <v>801</v>
      </c>
      <c r="E248" s="24" t="s">
        <v>811</v>
      </c>
      <c r="F248" s="24"/>
      <c r="G248" s="24" t="s">
        <v>319</v>
      </c>
      <c r="H248" s="24" t="s">
        <v>62</v>
      </c>
      <c r="I248" s="24">
        <v>2005</v>
      </c>
      <c r="J248" s="24"/>
      <c r="K248" s="24" t="s">
        <v>63</v>
      </c>
      <c r="L248" s="24" t="s">
        <v>212</v>
      </c>
      <c r="M248" s="24">
        <v>1</v>
      </c>
      <c r="N248" s="41">
        <f t="shared" si="163"/>
        <v>450000</v>
      </c>
      <c r="O248" s="41">
        <v>450000</v>
      </c>
      <c r="P248" s="24"/>
      <c r="Q248" s="24"/>
      <c r="R248" s="24"/>
      <c r="S248" s="41">
        <f t="shared" si="164"/>
        <v>450000</v>
      </c>
      <c r="T248" s="24">
        <v>5</v>
      </c>
      <c r="U248" s="41"/>
      <c r="V248" s="24">
        <v>0.5</v>
      </c>
      <c r="W248" s="41">
        <f t="shared" si="165"/>
        <v>0</v>
      </c>
      <c r="X248" s="24"/>
      <c r="Y248" s="41">
        <f t="shared" si="166"/>
        <v>0</v>
      </c>
      <c r="Z248" s="41">
        <f t="shared" si="167"/>
        <v>0</v>
      </c>
      <c r="AA248" s="24">
        <v>5</v>
      </c>
      <c r="AB248" s="41">
        <v>450000</v>
      </c>
      <c r="AC248" s="41">
        <f t="shared" si="168"/>
        <v>0</v>
      </c>
      <c r="AD248" s="70" t="s">
        <v>295</v>
      </c>
      <c r="AE248" s="70"/>
      <c r="AF248" s="1">
        <v>450000</v>
      </c>
      <c r="AG248" s="5">
        <f t="shared" si="169"/>
        <v>0</v>
      </c>
    </row>
    <row r="249" spans="1:33" s="1" customFormat="1" ht="10.5" x14ac:dyDescent="0.25">
      <c r="A249" s="49">
        <v>12</v>
      </c>
      <c r="B249" s="22" t="s">
        <v>1668</v>
      </c>
      <c r="C249" s="22" t="s">
        <v>813</v>
      </c>
      <c r="D249" s="51" t="s">
        <v>801</v>
      </c>
      <c r="E249" s="24" t="s">
        <v>814</v>
      </c>
      <c r="F249" s="24"/>
      <c r="G249" s="24" t="s">
        <v>319</v>
      </c>
      <c r="H249" s="24" t="s">
        <v>62</v>
      </c>
      <c r="I249" s="24">
        <v>2005</v>
      </c>
      <c r="J249" s="24"/>
      <c r="K249" s="24" t="s">
        <v>63</v>
      </c>
      <c r="L249" s="24" t="s">
        <v>64</v>
      </c>
      <c r="M249" s="24">
        <v>15</v>
      </c>
      <c r="N249" s="41">
        <f t="shared" si="163"/>
        <v>762000</v>
      </c>
      <c r="O249" s="41">
        <v>11430000</v>
      </c>
      <c r="P249" s="24"/>
      <c r="Q249" s="24"/>
      <c r="R249" s="24"/>
      <c r="S249" s="41">
        <f t="shared" si="164"/>
        <v>11430000</v>
      </c>
      <c r="T249" s="24">
        <v>5</v>
      </c>
      <c r="U249" s="41"/>
      <c r="V249" s="24">
        <v>0.5</v>
      </c>
      <c r="W249" s="41">
        <f t="shared" si="165"/>
        <v>0</v>
      </c>
      <c r="X249" s="24"/>
      <c r="Y249" s="41">
        <f t="shared" si="166"/>
        <v>0</v>
      </c>
      <c r="Z249" s="41">
        <f t="shared" si="167"/>
        <v>0</v>
      </c>
      <c r="AA249" s="72">
        <v>5</v>
      </c>
      <c r="AB249" s="41">
        <v>11430000</v>
      </c>
      <c r="AC249" s="41">
        <f t="shared" si="168"/>
        <v>0</v>
      </c>
      <c r="AD249" s="70" t="s">
        <v>295</v>
      </c>
      <c r="AE249" s="70"/>
      <c r="AF249" s="1">
        <v>11430000</v>
      </c>
      <c r="AG249" s="5">
        <f t="shared" si="169"/>
        <v>0</v>
      </c>
    </row>
    <row r="250" spans="1:33" s="1" customFormat="1" ht="10.5" x14ac:dyDescent="0.25">
      <c r="A250" s="49">
        <v>13</v>
      </c>
      <c r="B250" s="22" t="s">
        <v>1668</v>
      </c>
      <c r="C250" s="22" t="s">
        <v>823</v>
      </c>
      <c r="D250" s="51" t="s">
        <v>824</v>
      </c>
      <c r="E250" s="24" t="s">
        <v>166</v>
      </c>
      <c r="F250" s="24"/>
      <c r="G250" s="24" t="s">
        <v>319</v>
      </c>
      <c r="H250" s="24" t="s">
        <v>62</v>
      </c>
      <c r="I250" s="24">
        <v>2012</v>
      </c>
      <c r="J250" s="24"/>
      <c r="K250" s="24" t="s">
        <v>63</v>
      </c>
      <c r="L250" s="24" t="s">
        <v>64</v>
      </c>
      <c r="M250" s="24">
        <v>36</v>
      </c>
      <c r="N250" s="41">
        <f t="shared" si="163"/>
        <v>1448775</v>
      </c>
      <c r="O250" s="41">
        <v>52155900</v>
      </c>
      <c r="P250" s="24"/>
      <c r="Q250" s="24"/>
      <c r="R250" s="24"/>
      <c r="S250" s="41">
        <f t="shared" si="164"/>
        <v>52155900</v>
      </c>
      <c r="T250" s="24">
        <v>5</v>
      </c>
      <c r="U250" s="41"/>
      <c r="V250" s="24">
        <v>0.5</v>
      </c>
      <c r="W250" s="41">
        <f t="shared" si="165"/>
        <v>0</v>
      </c>
      <c r="X250" s="24"/>
      <c r="Y250" s="41">
        <f t="shared" si="166"/>
        <v>0</v>
      </c>
      <c r="Z250" s="41">
        <f t="shared" si="167"/>
        <v>0</v>
      </c>
      <c r="AA250" s="72">
        <v>5</v>
      </c>
      <c r="AB250" s="41">
        <v>52155900</v>
      </c>
      <c r="AC250" s="41">
        <f t="shared" si="168"/>
        <v>0</v>
      </c>
      <c r="AD250" s="70" t="s">
        <v>301</v>
      </c>
      <c r="AE250" s="70"/>
      <c r="AF250" s="1">
        <v>52155900</v>
      </c>
      <c r="AG250" s="5">
        <f t="shared" si="169"/>
        <v>0</v>
      </c>
    </row>
    <row r="251" spans="1:33" s="1" customFormat="1" ht="10.5" x14ac:dyDescent="0.25">
      <c r="A251" s="49">
        <v>14</v>
      </c>
      <c r="B251" s="22" t="s">
        <v>1669</v>
      </c>
      <c r="C251" s="22" t="s">
        <v>657</v>
      </c>
      <c r="D251" s="51" t="s">
        <v>774</v>
      </c>
      <c r="E251" s="24" t="s">
        <v>775</v>
      </c>
      <c r="F251" s="24"/>
      <c r="G251" s="24" t="s">
        <v>61</v>
      </c>
      <c r="H251" s="24" t="s">
        <v>62</v>
      </c>
      <c r="I251" s="24">
        <v>2018</v>
      </c>
      <c r="J251" s="24"/>
      <c r="K251" s="24" t="s">
        <v>63</v>
      </c>
      <c r="L251" s="24" t="s">
        <v>64</v>
      </c>
      <c r="M251" s="24">
        <v>3</v>
      </c>
      <c r="N251" s="41">
        <f t="shared" ref="N251" si="170">SUM(O251/M251)</f>
        <v>2970000</v>
      </c>
      <c r="O251" s="41">
        <v>8910000</v>
      </c>
      <c r="P251" s="24"/>
      <c r="Q251" s="24"/>
      <c r="R251" s="24"/>
      <c r="S251" s="41">
        <f t="shared" ref="S251:S253" si="171">SUM(O251-R251)</f>
        <v>8910000</v>
      </c>
      <c r="T251" s="24">
        <v>5</v>
      </c>
      <c r="U251" s="41">
        <f t="shared" ref="U251:U255" si="172">SUM(S251/T251)</f>
        <v>1782000</v>
      </c>
      <c r="V251" s="24">
        <v>0.5</v>
      </c>
      <c r="W251" s="41">
        <f t="shared" ref="W251:W253" si="173">SUM(U251*V251)</f>
        <v>891000</v>
      </c>
      <c r="X251" s="24">
        <v>0.5</v>
      </c>
      <c r="Y251" s="41">
        <f t="shared" ref="Y251:Y253" si="174">SUM(U251*X251)</f>
        <v>891000</v>
      </c>
      <c r="Z251" s="41">
        <f t="shared" ref="Z251:Z253" si="175">SUM(W251+Y251)</f>
        <v>1782000</v>
      </c>
      <c r="AA251" s="24">
        <f>2022-I251+V251+X251-5/12</f>
        <v>4.583333333333333</v>
      </c>
      <c r="AB251" s="41">
        <f t="shared" ref="AB251:AB253" si="176">SUM(U251*AA251)</f>
        <v>8167499.9999999991</v>
      </c>
      <c r="AC251" s="41">
        <f t="shared" si="168"/>
        <v>742500.00000000093</v>
      </c>
      <c r="AD251" s="70" t="s">
        <v>308</v>
      </c>
      <c r="AE251" s="70"/>
      <c r="AF251" s="1">
        <v>8167499.9999999991</v>
      </c>
      <c r="AG251" s="5">
        <f>AF251+Z251-AB251</f>
        <v>1782000.0000000009</v>
      </c>
    </row>
    <row r="252" spans="1:33" s="1" customFormat="1" ht="10.5" x14ac:dyDescent="0.25">
      <c r="A252" s="49">
        <v>15</v>
      </c>
      <c r="B252" s="22" t="s">
        <v>1669</v>
      </c>
      <c r="C252" s="50" t="s">
        <v>776</v>
      </c>
      <c r="D252" s="51" t="s">
        <v>774</v>
      </c>
      <c r="E252" s="52" t="s">
        <v>777</v>
      </c>
      <c r="F252" s="52"/>
      <c r="G252" s="52" t="s">
        <v>61</v>
      </c>
      <c r="H252" s="52" t="s">
        <v>62</v>
      </c>
      <c r="I252" s="52">
        <v>2019</v>
      </c>
      <c r="J252" s="52"/>
      <c r="K252" s="52" t="s">
        <v>63</v>
      </c>
      <c r="L252" s="52" t="s">
        <v>64</v>
      </c>
      <c r="M252" s="52">
        <v>7</v>
      </c>
      <c r="N252" s="53">
        <v>22386000</v>
      </c>
      <c r="O252" s="53">
        <v>22386000</v>
      </c>
      <c r="P252" s="52"/>
      <c r="Q252" s="52"/>
      <c r="R252" s="52"/>
      <c r="S252" s="53">
        <f t="shared" si="171"/>
        <v>22386000</v>
      </c>
      <c r="T252" s="52">
        <v>5</v>
      </c>
      <c r="U252" s="53">
        <f t="shared" si="172"/>
        <v>4477200</v>
      </c>
      <c r="V252" s="52">
        <v>0.5</v>
      </c>
      <c r="W252" s="53">
        <f t="shared" si="173"/>
        <v>2238600</v>
      </c>
      <c r="X252" s="24">
        <v>0.5</v>
      </c>
      <c r="Y252" s="41">
        <f t="shared" si="174"/>
        <v>2238600</v>
      </c>
      <c r="Z252" s="41">
        <f t="shared" si="175"/>
        <v>4477200</v>
      </c>
      <c r="AA252" s="72">
        <f>2022-I252+V252+X252-11/12</f>
        <v>3.0833333333333335</v>
      </c>
      <c r="AB252" s="41">
        <f t="shared" si="176"/>
        <v>13804700</v>
      </c>
      <c r="AC252" s="41">
        <f t="shared" si="168"/>
        <v>8581300</v>
      </c>
      <c r="AD252" s="70" t="s">
        <v>778</v>
      </c>
      <c r="AE252" s="70"/>
      <c r="AF252" s="1">
        <v>13804700</v>
      </c>
      <c r="AG252" s="5">
        <f t="shared" ref="AG252:AG293" si="177">AF252+Z252-AB252</f>
        <v>4477200</v>
      </c>
    </row>
    <row r="253" spans="1:33" s="1" customFormat="1" ht="10.5" x14ac:dyDescent="0.25">
      <c r="A253" s="49">
        <v>16</v>
      </c>
      <c r="B253" s="22" t="s">
        <v>1669</v>
      </c>
      <c r="C253" s="73" t="s">
        <v>779</v>
      </c>
      <c r="D253" s="51" t="s">
        <v>774</v>
      </c>
      <c r="E253" s="52"/>
      <c r="F253" s="52"/>
      <c r="G253" s="52" t="s">
        <v>61</v>
      </c>
      <c r="H253" s="52" t="s">
        <v>62</v>
      </c>
      <c r="I253" s="52">
        <v>2020</v>
      </c>
      <c r="J253" s="52"/>
      <c r="K253" s="52" t="s">
        <v>63</v>
      </c>
      <c r="L253" s="52" t="s">
        <v>64</v>
      </c>
      <c r="M253" s="52">
        <v>3</v>
      </c>
      <c r="N253" s="53">
        <f>SUM(O253/M253)</f>
        <v>3300000</v>
      </c>
      <c r="O253" s="53">
        <v>9900000</v>
      </c>
      <c r="P253" s="52"/>
      <c r="Q253" s="52"/>
      <c r="R253" s="52"/>
      <c r="S253" s="53">
        <f t="shared" si="171"/>
        <v>9900000</v>
      </c>
      <c r="T253" s="52">
        <v>5</v>
      </c>
      <c r="U253" s="53">
        <f t="shared" si="172"/>
        <v>1980000</v>
      </c>
      <c r="V253" s="52">
        <v>0.5</v>
      </c>
      <c r="W253" s="53">
        <f t="shared" si="173"/>
        <v>990000</v>
      </c>
      <c r="X253" s="24">
        <v>0.5</v>
      </c>
      <c r="Y253" s="41">
        <f t="shared" si="174"/>
        <v>990000</v>
      </c>
      <c r="Z253" s="41">
        <f t="shared" si="175"/>
        <v>1980000</v>
      </c>
      <c r="AA253" s="72">
        <f>2022-I253+V253+X253-10/12-0.5</f>
        <v>1.6666666666666665</v>
      </c>
      <c r="AB253" s="41">
        <f t="shared" si="176"/>
        <v>3299999.9999999995</v>
      </c>
      <c r="AC253" s="41">
        <f t="shared" si="168"/>
        <v>6600000</v>
      </c>
      <c r="AD253" s="70" t="s">
        <v>778</v>
      </c>
      <c r="AE253" s="70"/>
      <c r="AF253" s="1">
        <v>3299999.9999999995</v>
      </c>
      <c r="AG253" s="5">
        <f t="shared" si="177"/>
        <v>1980000.0000000005</v>
      </c>
    </row>
    <row r="254" spans="1:33" s="1" customFormat="1" ht="10.5" x14ac:dyDescent="0.25">
      <c r="A254" s="49">
        <v>17</v>
      </c>
      <c r="B254" s="22" t="s">
        <v>1669</v>
      </c>
      <c r="C254" s="73"/>
      <c r="D254" s="51" t="s">
        <v>780</v>
      </c>
      <c r="E254" s="52"/>
      <c r="F254" s="52"/>
      <c r="G254" s="52" t="s">
        <v>61</v>
      </c>
      <c r="H254" s="52" t="s">
        <v>62</v>
      </c>
      <c r="I254" s="52">
        <v>2022</v>
      </c>
      <c r="J254" s="52"/>
      <c r="K254" s="52" t="s">
        <v>63</v>
      </c>
      <c r="L254" s="52" t="s">
        <v>64</v>
      </c>
      <c r="M254" s="52">
        <v>1</v>
      </c>
      <c r="N254" s="53">
        <f t="shared" ref="N254:N255" si="178">SUM(O254/M254)</f>
        <v>1252250</v>
      </c>
      <c r="O254" s="53">
        <v>1252250</v>
      </c>
      <c r="P254" s="52"/>
      <c r="Q254" s="52"/>
      <c r="R254" s="52"/>
      <c r="S254" s="53">
        <f t="shared" ref="S254:S255" si="179">SUM(O254-R254)</f>
        <v>1252250</v>
      </c>
      <c r="T254" s="52">
        <v>5</v>
      </c>
      <c r="U254" s="53">
        <f t="shared" si="172"/>
        <v>250450</v>
      </c>
      <c r="V254" s="52"/>
      <c r="W254" s="53"/>
      <c r="X254" s="24">
        <f>1/12</f>
        <v>8.3333333333333329E-2</v>
      </c>
      <c r="Y254" s="41">
        <f t="shared" ref="Y254:Y259" si="180">SUM(U254*X254)</f>
        <v>20870.833333333332</v>
      </c>
      <c r="Z254" s="41">
        <f t="shared" ref="Z254:Z255" si="181">SUM(W254+Y254)</f>
        <v>20870.833333333332</v>
      </c>
      <c r="AA254" s="72">
        <f t="shared" ref="AA254:AA255" si="182">1/12</f>
        <v>8.3333333333333329E-2</v>
      </c>
      <c r="AB254" s="41">
        <f t="shared" ref="AB254:AB255" si="183">SUM(U254*AA254)</f>
        <v>20870.833333333332</v>
      </c>
      <c r="AC254" s="41">
        <f t="shared" ref="AC254:AC255" si="184">SUM(O254-AB254)</f>
        <v>1231379.1666666667</v>
      </c>
      <c r="AD254" s="70" t="s">
        <v>647</v>
      </c>
      <c r="AE254" s="70"/>
      <c r="AF254" s="1">
        <v>20870.833333333332</v>
      </c>
      <c r="AG254" s="5">
        <f t="shared" si="177"/>
        <v>20870.833333333332</v>
      </c>
    </row>
    <row r="255" spans="1:33" s="1" customFormat="1" ht="10.5" x14ac:dyDescent="0.25">
      <c r="A255" s="49">
        <v>18</v>
      </c>
      <c r="B255" s="22" t="s">
        <v>1669</v>
      </c>
      <c r="C255" s="73"/>
      <c r="D255" s="51" t="s">
        <v>780</v>
      </c>
      <c r="E255" s="52"/>
      <c r="F255" s="52"/>
      <c r="G255" s="52" t="s">
        <v>61</v>
      </c>
      <c r="H255" s="52" t="s">
        <v>62</v>
      </c>
      <c r="I255" s="52">
        <v>2022</v>
      </c>
      <c r="J255" s="52"/>
      <c r="K255" s="52" t="s">
        <v>63</v>
      </c>
      <c r="L255" s="52" t="s">
        <v>64</v>
      </c>
      <c r="M255" s="52">
        <v>1</v>
      </c>
      <c r="N255" s="53">
        <f t="shared" si="178"/>
        <v>1252250</v>
      </c>
      <c r="O255" s="53">
        <v>1252250</v>
      </c>
      <c r="P255" s="52"/>
      <c r="Q255" s="52"/>
      <c r="R255" s="52"/>
      <c r="S255" s="53">
        <f t="shared" si="179"/>
        <v>1252250</v>
      </c>
      <c r="T255" s="52">
        <v>5</v>
      </c>
      <c r="U255" s="53">
        <f t="shared" si="172"/>
        <v>250450</v>
      </c>
      <c r="V255" s="52"/>
      <c r="W255" s="53"/>
      <c r="X255" s="24">
        <f>1/12</f>
        <v>8.3333333333333329E-2</v>
      </c>
      <c r="Y255" s="41">
        <f t="shared" si="180"/>
        <v>20870.833333333332</v>
      </c>
      <c r="Z255" s="41">
        <f t="shared" si="181"/>
        <v>20870.833333333332</v>
      </c>
      <c r="AA255" s="72">
        <f t="shared" si="182"/>
        <v>8.3333333333333329E-2</v>
      </c>
      <c r="AB255" s="41">
        <f t="shared" si="183"/>
        <v>20870.833333333332</v>
      </c>
      <c r="AC255" s="41">
        <f t="shared" si="184"/>
        <v>1231379.1666666667</v>
      </c>
      <c r="AD255" s="70" t="s">
        <v>647</v>
      </c>
      <c r="AE255" s="70"/>
      <c r="AF255" s="1">
        <v>20870.833333333332</v>
      </c>
      <c r="AG255" s="5">
        <f t="shared" si="177"/>
        <v>20870.833333333332</v>
      </c>
    </row>
    <row r="256" spans="1:33" s="1" customFormat="1" ht="10.5" x14ac:dyDescent="0.25">
      <c r="A256" s="49">
        <v>19</v>
      </c>
      <c r="B256" s="22" t="s">
        <v>1670</v>
      </c>
      <c r="C256" s="22" t="s">
        <v>327</v>
      </c>
      <c r="D256" s="51" t="s">
        <v>743</v>
      </c>
      <c r="E256" s="24" t="s">
        <v>166</v>
      </c>
      <c r="F256" s="24"/>
      <c r="G256" s="24" t="s">
        <v>319</v>
      </c>
      <c r="H256" s="24" t="s">
        <v>62</v>
      </c>
      <c r="I256" s="24">
        <v>2012</v>
      </c>
      <c r="J256" s="24"/>
      <c r="K256" s="24" t="s">
        <v>63</v>
      </c>
      <c r="L256" s="24" t="s">
        <v>64</v>
      </c>
      <c r="M256" s="24">
        <v>20</v>
      </c>
      <c r="N256" s="41">
        <f t="shared" ref="N256:N267" si="185">SUM(O256/M256)</f>
        <v>425000</v>
      </c>
      <c r="O256" s="41">
        <v>8500000</v>
      </c>
      <c r="P256" s="24"/>
      <c r="Q256" s="24"/>
      <c r="R256" s="24"/>
      <c r="S256" s="41">
        <f t="shared" ref="S256:S267" si="186">SUM(O256-R256)</f>
        <v>8500000</v>
      </c>
      <c r="T256" s="24">
        <v>5</v>
      </c>
      <c r="U256" s="41"/>
      <c r="V256" s="24">
        <v>0.5</v>
      </c>
      <c r="W256" s="41">
        <f t="shared" ref="W256:W259" si="187">SUM(U256*V256)</f>
        <v>0</v>
      </c>
      <c r="X256" s="24"/>
      <c r="Y256" s="41">
        <f t="shared" si="180"/>
        <v>0</v>
      </c>
      <c r="Z256" s="41">
        <f t="shared" ref="Z256:Z259" si="188">SUM(W256+Y256)</f>
        <v>0</v>
      </c>
      <c r="AA256" s="24">
        <v>5</v>
      </c>
      <c r="AB256" s="41">
        <v>8500000</v>
      </c>
      <c r="AC256" s="41">
        <f t="shared" ref="AC256:AC259" si="189">SUM(O256-AB256)</f>
        <v>0</v>
      </c>
      <c r="AD256" s="70" t="s">
        <v>744</v>
      </c>
      <c r="AE256" s="70"/>
      <c r="AF256" s="1">
        <v>8500000</v>
      </c>
      <c r="AG256" s="5">
        <f t="shared" si="177"/>
        <v>0</v>
      </c>
    </row>
    <row r="257" spans="1:33" s="1" customFormat="1" ht="10.5" x14ac:dyDescent="0.25">
      <c r="A257" s="49">
        <v>20</v>
      </c>
      <c r="B257" s="22" t="s">
        <v>1670</v>
      </c>
      <c r="C257" s="22" t="s">
        <v>745</v>
      </c>
      <c r="D257" s="51" t="s">
        <v>743</v>
      </c>
      <c r="E257" s="24" t="s">
        <v>166</v>
      </c>
      <c r="F257" s="24"/>
      <c r="G257" s="24" t="s">
        <v>319</v>
      </c>
      <c r="H257" s="24" t="s">
        <v>62</v>
      </c>
      <c r="I257" s="24">
        <v>2012</v>
      </c>
      <c r="J257" s="24"/>
      <c r="K257" s="24" t="s">
        <v>63</v>
      </c>
      <c r="L257" s="24" t="s">
        <v>64</v>
      </c>
      <c r="M257" s="24">
        <v>80</v>
      </c>
      <c r="N257" s="41">
        <f t="shared" si="185"/>
        <v>425000</v>
      </c>
      <c r="O257" s="41">
        <v>34000000</v>
      </c>
      <c r="P257" s="24"/>
      <c r="Q257" s="24"/>
      <c r="R257" s="24"/>
      <c r="S257" s="41">
        <f t="shared" si="186"/>
        <v>34000000</v>
      </c>
      <c r="T257" s="24">
        <v>5</v>
      </c>
      <c r="U257" s="41"/>
      <c r="V257" s="24">
        <v>0.5</v>
      </c>
      <c r="W257" s="41">
        <f t="shared" si="187"/>
        <v>0</v>
      </c>
      <c r="X257" s="24"/>
      <c r="Y257" s="41">
        <f t="shared" si="180"/>
        <v>0</v>
      </c>
      <c r="Z257" s="41">
        <f t="shared" si="188"/>
        <v>0</v>
      </c>
      <c r="AA257" s="24">
        <v>5</v>
      </c>
      <c r="AB257" s="41">
        <v>34000000</v>
      </c>
      <c r="AC257" s="41">
        <f t="shared" si="189"/>
        <v>0</v>
      </c>
      <c r="AD257" s="70" t="s">
        <v>746</v>
      </c>
      <c r="AE257" s="70"/>
      <c r="AF257" s="1">
        <v>34000000</v>
      </c>
      <c r="AG257" s="5">
        <f t="shared" si="177"/>
        <v>0</v>
      </c>
    </row>
    <row r="258" spans="1:33" s="1" customFormat="1" ht="10.5" x14ac:dyDescent="0.25">
      <c r="A258" s="49">
        <v>21</v>
      </c>
      <c r="B258" s="22" t="s">
        <v>1670</v>
      </c>
      <c r="C258" s="22" t="s">
        <v>747</v>
      </c>
      <c r="D258" s="51" t="s">
        <v>748</v>
      </c>
      <c r="E258" s="24" t="s">
        <v>749</v>
      </c>
      <c r="F258" s="24"/>
      <c r="G258" s="24" t="s">
        <v>319</v>
      </c>
      <c r="H258" s="24" t="s">
        <v>62</v>
      </c>
      <c r="I258" s="24">
        <v>2012</v>
      </c>
      <c r="J258" s="24"/>
      <c r="K258" s="24" t="s">
        <v>63</v>
      </c>
      <c r="L258" s="24" t="s">
        <v>64</v>
      </c>
      <c r="M258" s="24">
        <v>80</v>
      </c>
      <c r="N258" s="41">
        <f t="shared" si="185"/>
        <v>499400</v>
      </c>
      <c r="O258" s="41">
        <v>39952000</v>
      </c>
      <c r="P258" s="24"/>
      <c r="Q258" s="24"/>
      <c r="R258" s="24"/>
      <c r="S258" s="41">
        <f t="shared" si="186"/>
        <v>39952000</v>
      </c>
      <c r="T258" s="24">
        <v>5</v>
      </c>
      <c r="U258" s="41"/>
      <c r="V258" s="24">
        <v>0.5</v>
      </c>
      <c r="W258" s="41">
        <f t="shared" si="187"/>
        <v>0</v>
      </c>
      <c r="X258" s="24"/>
      <c r="Y258" s="41">
        <f t="shared" si="180"/>
        <v>0</v>
      </c>
      <c r="Z258" s="41">
        <f t="shared" si="188"/>
        <v>0</v>
      </c>
      <c r="AA258" s="24">
        <v>5</v>
      </c>
      <c r="AB258" s="41">
        <v>39952000</v>
      </c>
      <c r="AC258" s="41">
        <f t="shared" si="189"/>
        <v>0</v>
      </c>
      <c r="AD258" s="70" t="s">
        <v>750</v>
      </c>
      <c r="AE258" s="70"/>
      <c r="AF258" s="1">
        <v>39952000</v>
      </c>
      <c r="AG258" s="5">
        <f t="shared" si="177"/>
        <v>0</v>
      </c>
    </row>
    <row r="259" spans="1:33" s="1" customFormat="1" ht="10.5" x14ac:dyDescent="0.25">
      <c r="A259" s="49">
        <v>22</v>
      </c>
      <c r="B259" s="22" t="s">
        <v>1670</v>
      </c>
      <c r="C259" s="22" t="s">
        <v>751</v>
      </c>
      <c r="D259" s="51" t="s">
        <v>748</v>
      </c>
      <c r="E259" s="24" t="s">
        <v>749</v>
      </c>
      <c r="F259" s="24"/>
      <c r="G259" s="24" t="s">
        <v>319</v>
      </c>
      <c r="H259" s="24" t="s">
        <v>62</v>
      </c>
      <c r="I259" s="24">
        <v>2012</v>
      </c>
      <c r="J259" s="24"/>
      <c r="K259" s="24" t="s">
        <v>63</v>
      </c>
      <c r="L259" s="24" t="s">
        <v>64</v>
      </c>
      <c r="M259" s="24">
        <v>20</v>
      </c>
      <c r="N259" s="41">
        <f t="shared" si="185"/>
        <v>499400</v>
      </c>
      <c r="O259" s="41">
        <v>9988000</v>
      </c>
      <c r="P259" s="24"/>
      <c r="Q259" s="24"/>
      <c r="R259" s="24"/>
      <c r="S259" s="41">
        <f t="shared" si="186"/>
        <v>9988000</v>
      </c>
      <c r="T259" s="24">
        <v>5</v>
      </c>
      <c r="U259" s="41"/>
      <c r="V259" s="24">
        <v>0.5</v>
      </c>
      <c r="W259" s="41">
        <f t="shared" si="187"/>
        <v>0</v>
      </c>
      <c r="X259" s="24"/>
      <c r="Y259" s="41">
        <f t="shared" si="180"/>
        <v>0</v>
      </c>
      <c r="Z259" s="41">
        <f t="shared" si="188"/>
        <v>0</v>
      </c>
      <c r="AA259" s="24">
        <v>5</v>
      </c>
      <c r="AB259" s="41">
        <v>9988000</v>
      </c>
      <c r="AC259" s="41">
        <f t="shared" si="189"/>
        <v>0</v>
      </c>
      <c r="AD259" s="70" t="s">
        <v>744</v>
      </c>
      <c r="AE259" s="70"/>
      <c r="AF259" s="1">
        <v>9988000</v>
      </c>
      <c r="AG259" s="5">
        <f t="shared" si="177"/>
        <v>0</v>
      </c>
    </row>
    <row r="260" spans="1:33" s="1" customFormat="1" ht="10.5" x14ac:dyDescent="0.25">
      <c r="A260" s="49">
        <v>23</v>
      </c>
      <c r="B260" s="22" t="s">
        <v>1671</v>
      </c>
      <c r="C260" s="22" t="s">
        <v>726</v>
      </c>
      <c r="D260" s="51" t="s">
        <v>1038</v>
      </c>
      <c r="E260" s="24" t="s">
        <v>166</v>
      </c>
      <c r="F260" s="24"/>
      <c r="G260" s="24" t="s">
        <v>319</v>
      </c>
      <c r="H260" s="24" t="s">
        <v>62</v>
      </c>
      <c r="I260" s="24">
        <v>2003</v>
      </c>
      <c r="J260" s="24"/>
      <c r="K260" s="24" t="s">
        <v>63</v>
      </c>
      <c r="L260" s="24" t="s">
        <v>212</v>
      </c>
      <c r="M260" s="24">
        <v>40</v>
      </c>
      <c r="N260" s="41">
        <f t="shared" si="185"/>
        <v>300000</v>
      </c>
      <c r="O260" s="41">
        <v>12000000</v>
      </c>
      <c r="P260" s="24"/>
      <c r="Q260" s="24"/>
      <c r="R260" s="24"/>
      <c r="S260" s="41">
        <f t="shared" si="186"/>
        <v>12000000</v>
      </c>
      <c r="T260" s="24">
        <v>5</v>
      </c>
      <c r="U260" s="41"/>
      <c r="V260" s="24">
        <v>0.5</v>
      </c>
      <c r="W260" s="41">
        <f t="shared" ref="W260:W267" si="190">SUM(U260*V260)</f>
        <v>0</v>
      </c>
      <c r="X260" s="24"/>
      <c r="Y260" s="41">
        <f t="shared" ref="Y260:Y267" si="191">SUM(U260*X260)</f>
        <v>0</v>
      </c>
      <c r="Z260" s="41">
        <f t="shared" ref="Z260:Z267" si="192">SUM(W260+Y260)</f>
        <v>0</v>
      </c>
      <c r="AA260" s="72">
        <v>5</v>
      </c>
      <c r="AB260" s="41">
        <v>12000000</v>
      </c>
      <c r="AC260" s="41">
        <f t="shared" ref="AC260:AC281" si="193">SUM(O260-AB260)</f>
        <v>0</v>
      </c>
      <c r="AD260" s="70" t="s">
        <v>1039</v>
      </c>
      <c r="AE260" s="70"/>
      <c r="AF260" s="1">
        <v>12000000</v>
      </c>
      <c r="AG260" s="5">
        <f t="shared" si="177"/>
        <v>0</v>
      </c>
    </row>
    <row r="261" spans="1:33" s="1" customFormat="1" ht="10.5" x14ac:dyDescent="0.25">
      <c r="A261" s="49">
        <v>24</v>
      </c>
      <c r="B261" s="22" t="s">
        <v>1671</v>
      </c>
      <c r="C261" s="22" t="s">
        <v>718</v>
      </c>
      <c r="D261" s="51" t="s">
        <v>1038</v>
      </c>
      <c r="E261" s="24" t="s">
        <v>166</v>
      </c>
      <c r="F261" s="24"/>
      <c r="G261" s="24" t="s">
        <v>319</v>
      </c>
      <c r="H261" s="24" t="s">
        <v>62</v>
      </c>
      <c r="I261" s="24">
        <v>2003</v>
      </c>
      <c r="J261" s="24"/>
      <c r="K261" s="24" t="s">
        <v>63</v>
      </c>
      <c r="L261" s="24" t="s">
        <v>212</v>
      </c>
      <c r="M261" s="24">
        <v>40</v>
      </c>
      <c r="N261" s="41">
        <f t="shared" si="185"/>
        <v>300000</v>
      </c>
      <c r="O261" s="41">
        <v>12000000</v>
      </c>
      <c r="P261" s="24"/>
      <c r="Q261" s="24"/>
      <c r="R261" s="24"/>
      <c r="S261" s="41">
        <f t="shared" si="186"/>
        <v>12000000</v>
      </c>
      <c r="T261" s="24">
        <v>5</v>
      </c>
      <c r="U261" s="41"/>
      <c r="V261" s="24">
        <v>0.5</v>
      </c>
      <c r="W261" s="41">
        <f t="shared" si="190"/>
        <v>0</v>
      </c>
      <c r="X261" s="24"/>
      <c r="Y261" s="41">
        <f t="shared" si="191"/>
        <v>0</v>
      </c>
      <c r="Z261" s="41">
        <f t="shared" si="192"/>
        <v>0</v>
      </c>
      <c r="AA261" s="72">
        <v>5</v>
      </c>
      <c r="AB261" s="41">
        <v>12000000</v>
      </c>
      <c r="AC261" s="41">
        <f t="shared" si="193"/>
        <v>0</v>
      </c>
      <c r="AD261" s="70" t="s">
        <v>612</v>
      </c>
      <c r="AE261" s="70"/>
      <c r="AF261" s="1">
        <v>12000000</v>
      </c>
      <c r="AG261" s="5">
        <f t="shared" si="177"/>
        <v>0</v>
      </c>
    </row>
    <row r="262" spans="1:33" s="1" customFormat="1" ht="10.5" x14ac:dyDescent="0.25">
      <c r="A262" s="49">
        <v>25</v>
      </c>
      <c r="B262" s="22" t="s">
        <v>1671</v>
      </c>
      <c r="C262" s="22" t="s">
        <v>1040</v>
      </c>
      <c r="D262" s="51" t="s">
        <v>1038</v>
      </c>
      <c r="E262" s="24" t="s">
        <v>166</v>
      </c>
      <c r="F262" s="24"/>
      <c r="G262" s="24" t="s">
        <v>319</v>
      </c>
      <c r="H262" s="24" t="s">
        <v>62</v>
      </c>
      <c r="I262" s="24">
        <v>2008</v>
      </c>
      <c r="J262" s="24"/>
      <c r="K262" s="24" t="s">
        <v>63</v>
      </c>
      <c r="L262" s="24" t="s">
        <v>64</v>
      </c>
      <c r="M262" s="24">
        <v>4</v>
      </c>
      <c r="N262" s="41">
        <f t="shared" si="185"/>
        <v>1490000</v>
      </c>
      <c r="O262" s="41">
        <v>5960000</v>
      </c>
      <c r="P262" s="24"/>
      <c r="Q262" s="24"/>
      <c r="R262" s="24"/>
      <c r="S262" s="41">
        <f t="shared" si="186"/>
        <v>5960000</v>
      </c>
      <c r="T262" s="24">
        <v>5</v>
      </c>
      <c r="U262" s="41"/>
      <c r="V262" s="24">
        <v>0.5</v>
      </c>
      <c r="W262" s="41">
        <f t="shared" si="190"/>
        <v>0</v>
      </c>
      <c r="X262" s="24"/>
      <c r="Y262" s="41">
        <f t="shared" si="191"/>
        <v>0</v>
      </c>
      <c r="Z262" s="41">
        <f t="shared" si="192"/>
        <v>0</v>
      </c>
      <c r="AA262" s="72">
        <v>5</v>
      </c>
      <c r="AB262" s="41">
        <v>5960000</v>
      </c>
      <c r="AC262" s="41">
        <f t="shared" si="193"/>
        <v>0</v>
      </c>
      <c r="AD262" s="70" t="s">
        <v>772</v>
      </c>
      <c r="AE262" s="70"/>
      <c r="AF262" s="1">
        <v>5960000</v>
      </c>
      <c r="AG262" s="5">
        <f t="shared" si="177"/>
        <v>0</v>
      </c>
    </row>
    <row r="263" spans="1:33" s="1" customFormat="1" ht="10.5" x14ac:dyDescent="0.25">
      <c r="A263" s="49">
        <v>26</v>
      </c>
      <c r="B263" s="22" t="s">
        <v>1671</v>
      </c>
      <c r="C263" s="22" t="s">
        <v>1041</v>
      </c>
      <c r="D263" s="51" t="s">
        <v>1038</v>
      </c>
      <c r="E263" s="24" t="s">
        <v>166</v>
      </c>
      <c r="F263" s="24"/>
      <c r="G263" s="24" t="s">
        <v>319</v>
      </c>
      <c r="H263" s="24" t="s">
        <v>62</v>
      </c>
      <c r="I263" s="24">
        <v>2008</v>
      </c>
      <c r="J263" s="24"/>
      <c r="K263" s="24" t="s">
        <v>63</v>
      </c>
      <c r="L263" s="24" t="s">
        <v>64</v>
      </c>
      <c r="M263" s="24">
        <v>4</v>
      </c>
      <c r="N263" s="41">
        <f t="shared" si="185"/>
        <v>1490000</v>
      </c>
      <c r="O263" s="41">
        <v>5960000</v>
      </c>
      <c r="P263" s="24"/>
      <c r="Q263" s="24"/>
      <c r="R263" s="24"/>
      <c r="S263" s="41">
        <f t="shared" si="186"/>
        <v>5960000</v>
      </c>
      <c r="T263" s="24">
        <v>5</v>
      </c>
      <c r="U263" s="41"/>
      <c r="V263" s="24">
        <v>0.5</v>
      </c>
      <c r="W263" s="41">
        <f t="shared" si="190"/>
        <v>0</v>
      </c>
      <c r="X263" s="24"/>
      <c r="Y263" s="41">
        <f t="shared" si="191"/>
        <v>0</v>
      </c>
      <c r="Z263" s="41">
        <f t="shared" si="192"/>
        <v>0</v>
      </c>
      <c r="AA263" s="24">
        <v>5</v>
      </c>
      <c r="AB263" s="41">
        <v>5960000</v>
      </c>
      <c r="AC263" s="41">
        <f t="shared" si="193"/>
        <v>0</v>
      </c>
      <c r="AD263" s="70" t="s">
        <v>597</v>
      </c>
      <c r="AE263" s="70"/>
      <c r="AF263" s="1">
        <v>5960000</v>
      </c>
      <c r="AG263" s="5">
        <f t="shared" si="177"/>
        <v>0</v>
      </c>
    </row>
    <row r="264" spans="1:33" s="1" customFormat="1" ht="10.5" x14ac:dyDescent="0.25">
      <c r="A264" s="49">
        <v>27</v>
      </c>
      <c r="B264" s="22" t="s">
        <v>1671</v>
      </c>
      <c r="C264" s="22" t="s">
        <v>1042</v>
      </c>
      <c r="D264" s="51" t="s">
        <v>1038</v>
      </c>
      <c r="E264" s="24" t="s">
        <v>166</v>
      </c>
      <c r="F264" s="24"/>
      <c r="G264" s="24" t="s">
        <v>319</v>
      </c>
      <c r="H264" s="24" t="s">
        <v>62</v>
      </c>
      <c r="I264" s="24">
        <v>2008</v>
      </c>
      <c r="J264" s="24"/>
      <c r="K264" s="24" t="s">
        <v>63</v>
      </c>
      <c r="L264" s="24" t="s">
        <v>64</v>
      </c>
      <c r="M264" s="24">
        <v>4</v>
      </c>
      <c r="N264" s="41">
        <f t="shared" si="185"/>
        <v>1490000</v>
      </c>
      <c r="O264" s="41">
        <v>5960000</v>
      </c>
      <c r="P264" s="24"/>
      <c r="Q264" s="24"/>
      <c r="R264" s="24"/>
      <c r="S264" s="41">
        <f t="shared" si="186"/>
        <v>5960000</v>
      </c>
      <c r="T264" s="24">
        <v>5</v>
      </c>
      <c r="U264" s="41"/>
      <c r="V264" s="24">
        <v>0.5</v>
      </c>
      <c r="W264" s="41">
        <f t="shared" si="190"/>
        <v>0</v>
      </c>
      <c r="X264" s="24"/>
      <c r="Y264" s="41">
        <f t="shared" si="191"/>
        <v>0</v>
      </c>
      <c r="Z264" s="41">
        <f t="shared" si="192"/>
        <v>0</v>
      </c>
      <c r="AA264" s="24">
        <v>5</v>
      </c>
      <c r="AB264" s="41">
        <v>5960000</v>
      </c>
      <c r="AC264" s="41">
        <f t="shared" si="193"/>
        <v>0</v>
      </c>
      <c r="AD264" s="70" t="s">
        <v>351</v>
      </c>
      <c r="AE264" s="70"/>
      <c r="AF264" s="1">
        <v>5960000</v>
      </c>
      <c r="AG264" s="5">
        <f t="shared" si="177"/>
        <v>0</v>
      </c>
    </row>
    <row r="265" spans="1:33" s="1" customFormat="1" ht="10.5" x14ac:dyDescent="0.25">
      <c r="A265" s="49">
        <v>28</v>
      </c>
      <c r="B265" s="22" t="s">
        <v>1671</v>
      </c>
      <c r="C265" s="22" t="s">
        <v>1043</v>
      </c>
      <c r="D265" s="51" t="s">
        <v>1038</v>
      </c>
      <c r="E265" s="24" t="s">
        <v>166</v>
      </c>
      <c r="F265" s="24"/>
      <c r="G265" s="24" t="s">
        <v>319</v>
      </c>
      <c r="H265" s="24" t="s">
        <v>62</v>
      </c>
      <c r="I265" s="24">
        <v>2008</v>
      </c>
      <c r="J265" s="24"/>
      <c r="K265" s="24" t="s">
        <v>63</v>
      </c>
      <c r="L265" s="24" t="s">
        <v>64</v>
      </c>
      <c r="M265" s="24">
        <v>4</v>
      </c>
      <c r="N265" s="41">
        <f t="shared" si="185"/>
        <v>1490000</v>
      </c>
      <c r="O265" s="41">
        <v>5960000</v>
      </c>
      <c r="P265" s="24"/>
      <c r="Q265" s="24"/>
      <c r="R265" s="24"/>
      <c r="S265" s="41">
        <f t="shared" si="186"/>
        <v>5960000</v>
      </c>
      <c r="T265" s="24">
        <v>5</v>
      </c>
      <c r="U265" s="41"/>
      <c r="V265" s="24">
        <v>0.5</v>
      </c>
      <c r="W265" s="41">
        <f t="shared" si="190"/>
        <v>0</v>
      </c>
      <c r="X265" s="52"/>
      <c r="Y265" s="53">
        <f t="shared" si="191"/>
        <v>0</v>
      </c>
      <c r="Z265" s="53">
        <f t="shared" si="192"/>
        <v>0</v>
      </c>
      <c r="AA265" s="57">
        <v>5</v>
      </c>
      <c r="AB265" s="53">
        <v>5960000</v>
      </c>
      <c r="AC265" s="53">
        <f t="shared" si="193"/>
        <v>0</v>
      </c>
      <c r="AD265" s="56" t="s">
        <v>601</v>
      </c>
      <c r="AE265" s="70"/>
      <c r="AF265" s="1">
        <v>5960000</v>
      </c>
      <c r="AG265" s="5">
        <f t="shared" si="177"/>
        <v>0</v>
      </c>
    </row>
    <row r="266" spans="1:33" s="1" customFormat="1" ht="10.5" x14ac:dyDescent="0.25">
      <c r="A266" s="49">
        <v>29</v>
      </c>
      <c r="B266" s="22" t="s">
        <v>1671</v>
      </c>
      <c r="C266" s="22" t="s">
        <v>1044</v>
      </c>
      <c r="D266" s="51" t="s">
        <v>1038</v>
      </c>
      <c r="E266" s="24" t="s">
        <v>166</v>
      </c>
      <c r="F266" s="24"/>
      <c r="G266" s="24" t="s">
        <v>319</v>
      </c>
      <c r="H266" s="24" t="s">
        <v>62</v>
      </c>
      <c r="I266" s="24">
        <v>2008</v>
      </c>
      <c r="J266" s="24"/>
      <c r="K266" s="24" t="s">
        <v>63</v>
      </c>
      <c r="L266" s="24" t="s">
        <v>64</v>
      </c>
      <c r="M266" s="24">
        <v>4</v>
      </c>
      <c r="N266" s="41">
        <f t="shared" si="185"/>
        <v>1490000</v>
      </c>
      <c r="O266" s="41">
        <v>5960000</v>
      </c>
      <c r="P266" s="24"/>
      <c r="Q266" s="24"/>
      <c r="R266" s="24"/>
      <c r="S266" s="41">
        <f t="shared" si="186"/>
        <v>5960000</v>
      </c>
      <c r="T266" s="24">
        <v>5</v>
      </c>
      <c r="U266" s="41"/>
      <c r="V266" s="24">
        <v>0.5</v>
      </c>
      <c r="W266" s="41">
        <f t="shared" si="190"/>
        <v>0</v>
      </c>
      <c r="X266" s="24"/>
      <c r="Y266" s="41">
        <f t="shared" si="191"/>
        <v>0</v>
      </c>
      <c r="Z266" s="41">
        <f t="shared" si="192"/>
        <v>0</v>
      </c>
      <c r="AA266" s="72">
        <v>5</v>
      </c>
      <c r="AB266" s="41">
        <v>5960000</v>
      </c>
      <c r="AC266" s="41">
        <f t="shared" si="193"/>
        <v>0</v>
      </c>
      <c r="AD266" s="70" t="s">
        <v>605</v>
      </c>
      <c r="AE266" s="70"/>
      <c r="AF266" s="1">
        <v>5960000</v>
      </c>
      <c r="AG266" s="5">
        <f t="shared" si="177"/>
        <v>0</v>
      </c>
    </row>
    <row r="267" spans="1:33" s="1" customFormat="1" ht="10.5" x14ac:dyDescent="0.25">
      <c r="A267" s="49">
        <v>30</v>
      </c>
      <c r="B267" s="22" t="s">
        <v>1671</v>
      </c>
      <c r="C267" s="22" t="s">
        <v>1045</v>
      </c>
      <c r="D267" s="51" t="s">
        <v>1046</v>
      </c>
      <c r="E267" s="24" t="s">
        <v>166</v>
      </c>
      <c r="F267" s="24"/>
      <c r="G267" s="24" t="s">
        <v>319</v>
      </c>
      <c r="H267" s="24" t="s">
        <v>62</v>
      </c>
      <c r="I267" s="24">
        <v>2012</v>
      </c>
      <c r="J267" s="24"/>
      <c r="K267" s="24" t="s">
        <v>63</v>
      </c>
      <c r="L267" s="24" t="s">
        <v>64</v>
      </c>
      <c r="M267" s="24">
        <v>40</v>
      </c>
      <c r="N267" s="41">
        <f t="shared" si="185"/>
        <v>2630775</v>
      </c>
      <c r="O267" s="41">
        <v>105231000</v>
      </c>
      <c r="P267" s="24"/>
      <c r="Q267" s="24"/>
      <c r="R267" s="24"/>
      <c r="S267" s="41">
        <f t="shared" si="186"/>
        <v>105231000</v>
      </c>
      <c r="T267" s="24">
        <v>5</v>
      </c>
      <c r="U267" s="41"/>
      <c r="V267" s="24">
        <v>0.5</v>
      </c>
      <c r="W267" s="41">
        <f t="shared" si="190"/>
        <v>0</v>
      </c>
      <c r="X267" s="24"/>
      <c r="Y267" s="53">
        <f t="shared" si="191"/>
        <v>0</v>
      </c>
      <c r="Z267" s="53">
        <f t="shared" si="192"/>
        <v>0</v>
      </c>
      <c r="AA267" s="57">
        <v>5</v>
      </c>
      <c r="AB267" s="53">
        <v>105231000</v>
      </c>
      <c r="AC267" s="53">
        <f t="shared" si="193"/>
        <v>0</v>
      </c>
      <c r="AD267" s="56" t="s">
        <v>1047</v>
      </c>
      <c r="AE267" s="70"/>
      <c r="AF267" s="1">
        <v>105231000</v>
      </c>
      <c r="AG267" s="5">
        <f t="shared" si="177"/>
        <v>0</v>
      </c>
    </row>
    <row r="268" spans="1:33" s="1" customFormat="1" ht="10.5" x14ac:dyDescent="0.25">
      <c r="A268" s="49">
        <v>31</v>
      </c>
      <c r="B268" s="22" t="s">
        <v>1672</v>
      </c>
      <c r="C268" s="22" t="s">
        <v>58</v>
      </c>
      <c r="D268" s="51" t="s">
        <v>799</v>
      </c>
      <c r="E268" s="24" t="s">
        <v>166</v>
      </c>
      <c r="F268" s="24"/>
      <c r="G268" s="24" t="s">
        <v>319</v>
      </c>
      <c r="H268" s="24" t="s">
        <v>62</v>
      </c>
      <c r="I268" s="24">
        <v>2012</v>
      </c>
      <c r="J268" s="24"/>
      <c r="K268" s="24" t="s">
        <v>63</v>
      </c>
      <c r="L268" s="24" t="s">
        <v>64</v>
      </c>
      <c r="M268" s="24">
        <v>1</v>
      </c>
      <c r="N268" s="41">
        <f t="shared" ref="N268:N282" si="194">SUM(O268/M268)</f>
        <v>7953400</v>
      </c>
      <c r="O268" s="41">
        <v>7953400</v>
      </c>
      <c r="P268" s="24"/>
      <c r="Q268" s="24"/>
      <c r="R268" s="24"/>
      <c r="S268" s="41">
        <f t="shared" ref="S268:S282" si="195">SUM(O268-R268)</f>
        <v>7953400</v>
      </c>
      <c r="T268" s="24">
        <v>5</v>
      </c>
      <c r="U268" s="41"/>
      <c r="V268" s="24">
        <v>0.5</v>
      </c>
      <c r="W268" s="41">
        <f t="shared" ref="W268:W276" si="196">SUM(U268*V268)</f>
        <v>0</v>
      </c>
      <c r="X268" s="57"/>
      <c r="Y268" s="53">
        <f t="shared" ref="Y268:Y280" si="197">SUM(U268*X268)</f>
        <v>0</v>
      </c>
      <c r="Z268" s="53">
        <f t="shared" ref="Z268:Z280" si="198">SUM(W268+Y268)</f>
        <v>0</v>
      </c>
      <c r="AA268" s="57">
        <v>5</v>
      </c>
      <c r="AB268" s="53">
        <v>7953400</v>
      </c>
      <c r="AC268" s="53">
        <f t="shared" si="193"/>
        <v>0</v>
      </c>
      <c r="AD268" s="56" t="s">
        <v>800</v>
      </c>
      <c r="AE268" s="70"/>
      <c r="AF268" s="1">
        <v>7953400</v>
      </c>
      <c r="AG268" s="5">
        <f t="shared" si="177"/>
        <v>0</v>
      </c>
    </row>
    <row r="269" spans="1:33" s="1" customFormat="1" ht="10.5" x14ac:dyDescent="0.25">
      <c r="A269" s="49">
        <v>32</v>
      </c>
      <c r="B269" s="22" t="s">
        <v>1673</v>
      </c>
      <c r="C269" s="22" t="s">
        <v>657</v>
      </c>
      <c r="D269" s="51" t="s">
        <v>830</v>
      </c>
      <c r="E269" s="24" t="s">
        <v>166</v>
      </c>
      <c r="F269" s="24"/>
      <c r="G269" s="24" t="s">
        <v>319</v>
      </c>
      <c r="H269" s="24" t="s">
        <v>62</v>
      </c>
      <c r="I269" s="24">
        <v>2014</v>
      </c>
      <c r="J269" s="24"/>
      <c r="K269" s="24" t="s">
        <v>63</v>
      </c>
      <c r="L269" s="24" t="s">
        <v>64</v>
      </c>
      <c r="M269" s="24">
        <v>3</v>
      </c>
      <c r="N269" s="41">
        <f t="shared" si="194"/>
        <v>2464000</v>
      </c>
      <c r="O269" s="41">
        <v>7392000</v>
      </c>
      <c r="P269" s="24"/>
      <c r="Q269" s="24"/>
      <c r="R269" s="24"/>
      <c r="S269" s="41">
        <f t="shared" si="195"/>
        <v>7392000</v>
      </c>
      <c r="T269" s="24">
        <v>5</v>
      </c>
      <c r="U269" s="41"/>
      <c r="V269" s="24">
        <v>0.5</v>
      </c>
      <c r="W269" s="41">
        <f t="shared" si="196"/>
        <v>0</v>
      </c>
      <c r="X269" s="57"/>
      <c r="Y269" s="53">
        <f t="shared" si="197"/>
        <v>0</v>
      </c>
      <c r="Z269" s="53">
        <f t="shared" si="198"/>
        <v>0</v>
      </c>
      <c r="AA269" s="54">
        <v>5</v>
      </c>
      <c r="AB269" s="53">
        <v>7392000</v>
      </c>
      <c r="AC269" s="53">
        <f t="shared" si="193"/>
        <v>0</v>
      </c>
      <c r="AD269" s="56" t="s">
        <v>320</v>
      </c>
      <c r="AE269" s="56"/>
      <c r="AF269" s="1">
        <v>7392000</v>
      </c>
      <c r="AG269" s="5">
        <f t="shared" si="177"/>
        <v>0</v>
      </c>
    </row>
    <row r="270" spans="1:33" s="1" customFormat="1" ht="10.5" x14ac:dyDescent="0.25">
      <c r="A270" s="49">
        <v>33</v>
      </c>
      <c r="B270" s="22" t="s">
        <v>1673</v>
      </c>
      <c r="C270" s="22" t="s">
        <v>831</v>
      </c>
      <c r="D270" s="51" t="s">
        <v>830</v>
      </c>
      <c r="E270" s="24" t="s">
        <v>166</v>
      </c>
      <c r="F270" s="24"/>
      <c r="G270" s="24" t="s">
        <v>319</v>
      </c>
      <c r="H270" s="24" t="s">
        <v>62</v>
      </c>
      <c r="I270" s="24">
        <v>2014</v>
      </c>
      <c r="J270" s="24"/>
      <c r="K270" s="24" t="s">
        <v>63</v>
      </c>
      <c r="L270" s="24" t="s">
        <v>64</v>
      </c>
      <c r="M270" s="24">
        <v>3</v>
      </c>
      <c r="N270" s="41">
        <f t="shared" si="194"/>
        <v>2464000</v>
      </c>
      <c r="O270" s="41">
        <v>7392000</v>
      </c>
      <c r="P270" s="24"/>
      <c r="Q270" s="24"/>
      <c r="R270" s="24"/>
      <c r="S270" s="41">
        <f t="shared" si="195"/>
        <v>7392000</v>
      </c>
      <c r="T270" s="24">
        <v>5</v>
      </c>
      <c r="U270" s="41"/>
      <c r="V270" s="24">
        <v>0.5</v>
      </c>
      <c r="W270" s="41">
        <f t="shared" si="196"/>
        <v>0</v>
      </c>
      <c r="X270" s="57"/>
      <c r="Y270" s="53">
        <f t="shared" si="197"/>
        <v>0</v>
      </c>
      <c r="Z270" s="53">
        <f t="shared" si="198"/>
        <v>0</v>
      </c>
      <c r="AA270" s="54">
        <v>5</v>
      </c>
      <c r="AB270" s="53">
        <v>7392000</v>
      </c>
      <c r="AC270" s="53">
        <f t="shared" si="193"/>
        <v>0</v>
      </c>
      <c r="AD270" s="56" t="s">
        <v>322</v>
      </c>
      <c r="AE270" s="56"/>
      <c r="AF270" s="1">
        <v>7392000</v>
      </c>
      <c r="AG270" s="5">
        <f t="shared" si="177"/>
        <v>0</v>
      </c>
    </row>
    <row r="271" spans="1:33" s="1" customFormat="1" ht="10.5" x14ac:dyDescent="0.25">
      <c r="A271" s="49">
        <v>34</v>
      </c>
      <c r="B271" s="22" t="s">
        <v>1673</v>
      </c>
      <c r="C271" s="22" t="s">
        <v>693</v>
      </c>
      <c r="D271" s="51" t="s">
        <v>830</v>
      </c>
      <c r="E271" s="24" t="s">
        <v>166</v>
      </c>
      <c r="F271" s="24"/>
      <c r="G271" s="24" t="s">
        <v>319</v>
      </c>
      <c r="H271" s="24" t="s">
        <v>62</v>
      </c>
      <c r="I271" s="24">
        <v>2014</v>
      </c>
      <c r="J271" s="24"/>
      <c r="K271" s="24" t="s">
        <v>63</v>
      </c>
      <c r="L271" s="24" t="s">
        <v>64</v>
      </c>
      <c r="M271" s="24">
        <v>3</v>
      </c>
      <c r="N271" s="41">
        <f t="shared" si="194"/>
        <v>2464000</v>
      </c>
      <c r="O271" s="41">
        <v>7392000</v>
      </c>
      <c r="P271" s="24"/>
      <c r="Q271" s="24"/>
      <c r="R271" s="24"/>
      <c r="S271" s="41">
        <f t="shared" si="195"/>
        <v>7392000</v>
      </c>
      <c r="T271" s="24">
        <v>5</v>
      </c>
      <c r="U271" s="41"/>
      <c r="V271" s="24">
        <v>0.5</v>
      </c>
      <c r="W271" s="41">
        <f t="shared" si="196"/>
        <v>0</v>
      </c>
      <c r="X271" s="57"/>
      <c r="Y271" s="53">
        <f t="shared" si="197"/>
        <v>0</v>
      </c>
      <c r="Z271" s="53">
        <f t="shared" si="198"/>
        <v>0</v>
      </c>
      <c r="AA271" s="54">
        <v>5</v>
      </c>
      <c r="AB271" s="53">
        <v>7392000</v>
      </c>
      <c r="AC271" s="53">
        <f t="shared" si="193"/>
        <v>0</v>
      </c>
      <c r="AD271" s="56" t="s">
        <v>324</v>
      </c>
      <c r="AE271" s="56"/>
      <c r="AF271" s="1">
        <v>7392000</v>
      </c>
      <c r="AG271" s="5">
        <f t="shared" si="177"/>
        <v>0</v>
      </c>
    </row>
    <row r="272" spans="1:33" s="1" customFormat="1" ht="10.5" x14ac:dyDescent="0.25">
      <c r="A272" s="49">
        <v>35</v>
      </c>
      <c r="B272" s="22" t="s">
        <v>1673</v>
      </c>
      <c r="C272" s="22" t="s">
        <v>832</v>
      </c>
      <c r="D272" s="51" t="s">
        <v>830</v>
      </c>
      <c r="E272" s="24" t="s">
        <v>166</v>
      </c>
      <c r="F272" s="24"/>
      <c r="G272" s="24" t="s">
        <v>319</v>
      </c>
      <c r="H272" s="24" t="s">
        <v>62</v>
      </c>
      <c r="I272" s="24">
        <v>2014</v>
      </c>
      <c r="J272" s="24"/>
      <c r="K272" s="24" t="s">
        <v>63</v>
      </c>
      <c r="L272" s="24" t="s">
        <v>64</v>
      </c>
      <c r="M272" s="24">
        <v>3</v>
      </c>
      <c r="N272" s="41">
        <f t="shared" si="194"/>
        <v>2464000</v>
      </c>
      <c r="O272" s="41">
        <v>7392000</v>
      </c>
      <c r="P272" s="24"/>
      <c r="Q272" s="24"/>
      <c r="R272" s="24"/>
      <c r="S272" s="41">
        <f t="shared" si="195"/>
        <v>7392000</v>
      </c>
      <c r="T272" s="24">
        <v>5</v>
      </c>
      <c r="U272" s="41"/>
      <c r="V272" s="24">
        <v>0.5</v>
      </c>
      <c r="W272" s="41">
        <f t="shared" si="196"/>
        <v>0</v>
      </c>
      <c r="X272" s="57"/>
      <c r="Y272" s="53">
        <f t="shared" si="197"/>
        <v>0</v>
      </c>
      <c r="Z272" s="53">
        <f t="shared" si="198"/>
        <v>0</v>
      </c>
      <c r="AA272" s="54">
        <v>5</v>
      </c>
      <c r="AB272" s="53">
        <v>7392000</v>
      </c>
      <c r="AC272" s="53">
        <f t="shared" si="193"/>
        <v>0</v>
      </c>
      <c r="AD272" s="56" t="s">
        <v>326</v>
      </c>
      <c r="AE272" s="56"/>
      <c r="AF272" s="1">
        <v>7392000</v>
      </c>
      <c r="AG272" s="5">
        <f t="shared" si="177"/>
        <v>0</v>
      </c>
    </row>
    <row r="273" spans="1:33" s="1" customFormat="1" ht="10.5" x14ac:dyDescent="0.25">
      <c r="A273" s="49">
        <v>36</v>
      </c>
      <c r="B273" s="22" t="s">
        <v>1673</v>
      </c>
      <c r="C273" s="22" t="s">
        <v>140</v>
      </c>
      <c r="D273" s="51" t="s">
        <v>830</v>
      </c>
      <c r="E273" s="24" t="s">
        <v>166</v>
      </c>
      <c r="F273" s="24"/>
      <c r="G273" s="24" t="s">
        <v>319</v>
      </c>
      <c r="H273" s="24" t="s">
        <v>62</v>
      </c>
      <c r="I273" s="24">
        <v>2014</v>
      </c>
      <c r="J273" s="24"/>
      <c r="K273" s="24" t="s">
        <v>63</v>
      </c>
      <c r="L273" s="24" t="s">
        <v>64</v>
      </c>
      <c r="M273" s="24">
        <v>1</v>
      </c>
      <c r="N273" s="41">
        <f t="shared" si="194"/>
        <v>2464000</v>
      </c>
      <c r="O273" s="41">
        <v>2464000</v>
      </c>
      <c r="P273" s="24"/>
      <c r="Q273" s="24"/>
      <c r="R273" s="24"/>
      <c r="S273" s="41">
        <f t="shared" si="195"/>
        <v>2464000</v>
      </c>
      <c r="T273" s="24">
        <v>5</v>
      </c>
      <c r="U273" s="41"/>
      <c r="V273" s="24">
        <v>0.5</v>
      </c>
      <c r="W273" s="41">
        <f t="shared" si="196"/>
        <v>0</v>
      </c>
      <c r="X273" s="57"/>
      <c r="Y273" s="53">
        <f t="shared" si="197"/>
        <v>0</v>
      </c>
      <c r="Z273" s="53">
        <f t="shared" si="198"/>
        <v>0</v>
      </c>
      <c r="AA273" s="54">
        <v>5</v>
      </c>
      <c r="AB273" s="53">
        <v>2464000</v>
      </c>
      <c r="AC273" s="53">
        <f t="shared" si="193"/>
        <v>0</v>
      </c>
      <c r="AD273" s="56" t="s">
        <v>328</v>
      </c>
      <c r="AE273" s="56"/>
      <c r="AF273" s="1">
        <v>2464000</v>
      </c>
      <c r="AG273" s="5">
        <f t="shared" si="177"/>
        <v>0</v>
      </c>
    </row>
    <row r="274" spans="1:33" s="1" customFormat="1" ht="10.5" x14ac:dyDescent="0.25">
      <c r="A274" s="49">
        <v>37</v>
      </c>
      <c r="B274" s="22" t="s">
        <v>1673</v>
      </c>
      <c r="C274" s="22" t="s">
        <v>143</v>
      </c>
      <c r="D274" s="51" t="s">
        <v>830</v>
      </c>
      <c r="E274" s="24" t="s">
        <v>166</v>
      </c>
      <c r="F274" s="24"/>
      <c r="G274" s="24" t="s">
        <v>319</v>
      </c>
      <c r="H274" s="24" t="s">
        <v>62</v>
      </c>
      <c r="I274" s="24">
        <v>2014</v>
      </c>
      <c r="J274" s="24"/>
      <c r="K274" s="24" t="s">
        <v>63</v>
      </c>
      <c r="L274" s="24" t="s">
        <v>64</v>
      </c>
      <c r="M274" s="24">
        <v>1</v>
      </c>
      <c r="N274" s="41">
        <f t="shared" si="194"/>
        <v>2464000</v>
      </c>
      <c r="O274" s="41">
        <v>2464000</v>
      </c>
      <c r="P274" s="24"/>
      <c r="Q274" s="24"/>
      <c r="R274" s="24"/>
      <c r="S274" s="41">
        <f t="shared" si="195"/>
        <v>2464000</v>
      </c>
      <c r="T274" s="24">
        <v>5</v>
      </c>
      <c r="U274" s="41"/>
      <c r="V274" s="24">
        <v>0.5</v>
      </c>
      <c r="W274" s="41">
        <f t="shared" si="196"/>
        <v>0</v>
      </c>
      <c r="X274" s="57"/>
      <c r="Y274" s="53">
        <f t="shared" si="197"/>
        <v>0</v>
      </c>
      <c r="Z274" s="53">
        <f t="shared" si="198"/>
        <v>0</v>
      </c>
      <c r="AA274" s="54">
        <v>5</v>
      </c>
      <c r="AB274" s="53">
        <v>2464000</v>
      </c>
      <c r="AC274" s="53">
        <f t="shared" si="193"/>
        <v>0</v>
      </c>
      <c r="AD274" s="56" t="s">
        <v>276</v>
      </c>
      <c r="AE274" s="56"/>
      <c r="AF274" s="1">
        <v>2464000</v>
      </c>
      <c r="AG274" s="5">
        <f t="shared" si="177"/>
        <v>0</v>
      </c>
    </row>
    <row r="275" spans="1:33" s="1" customFormat="1" ht="10.5" x14ac:dyDescent="0.25">
      <c r="A275" s="49">
        <v>38</v>
      </c>
      <c r="B275" s="22" t="s">
        <v>1673</v>
      </c>
      <c r="C275" s="22" t="s">
        <v>146</v>
      </c>
      <c r="D275" s="51" t="s">
        <v>830</v>
      </c>
      <c r="E275" s="24" t="s">
        <v>166</v>
      </c>
      <c r="F275" s="24"/>
      <c r="G275" s="24" t="s">
        <v>319</v>
      </c>
      <c r="H275" s="24" t="s">
        <v>62</v>
      </c>
      <c r="I275" s="24">
        <v>2014</v>
      </c>
      <c r="J275" s="24"/>
      <c r="K275" s="24" t="s">
        <v>63</v>
      </c>
      <c r="L275" s="24" t="s">
        <v>64</v>
      </c>
      <c r="M275" s="24">
        <v>1</v>
      </c>
      <c r="N275" s="41">
        <f t="shared" si="194"/>
        <v>2464000</v>
      </c>
      <c r="O275" s="41">
        <v>2464000</v>
      </c>
      <c r="P275" s="24"/>
      <c r="Q275" s="24"/>
      <c r="R275" s="24"/>
      <c r="S275" s="41">
        <f t="shared" si="195"/>
        <v>2464000</v>
      </c>
      <c r="T275" s="24">
        <v>5</v>
      </c>
      <c r="U275" s="41"/>
      <c r="V275" s="24">
        <v>0.5</v>
      </c>
      <c r="W275" s="41">
        <f t="shared" si="196"/>
        <v>0</v>
      </c>
      <c r="X275" s="57"/>
      <c r="Y275" s="53">
        <f t="shared" si="197"/>
        <v>0</v>
      </c>
      <c r="Z275" s="53">
        <f t="shared" si="198"/>
        <v>0</v>
      </c>
      <c r="AA275" s="54">
        <v>5</v>
      </c>
      <c r="AB275" s="53">
        <v>2464000</v>
      </c>
      <c r="AC275" s="53">
        <f t="shared" si="193"/>
        <v>0</v>
      </c>
      <c r="AD275" s="56" t="s">
        <v>331</v>
      </c>
      <c r="AE275" s="56"/>
      <c r="AF275" s="1">
        <v>2464000</v>
      </c>
      <c r="AG275" s="5">
        <f t="shared" si="177"/>
        <v>0</v>
      </c>
    </row>
    <row r="276" spans="1:33" s="1" customFormat="1" ht="10.5" x14ac:dyDescent="0.25">
      <c r="A276" s="49">
        <v>39</v>
      </c>
      <c r="B276" s="22" t="s">
        <v>1673</v>
      </c>
      <c r="C276" s="22" t="s">
        <v>150</v>
      </c>
      <c r="D276" s="51" t="s">
        <v>830</v>
      </c>
      <c r="E276" s="24" t="s">
        <v>166</v>
      </c>
      <c r="F276" s="24"/>
      <c r="G276" s="24" t="s">
        <v>319</v>
      </c>
      <c r="H276" s="24" t="s">
        <v>62</v>
      </c>
      <c r="I276" s="24">
        <v>2014</v>
      </c>
      <c r="J276" s="24"/>
      <c r="K276" s="24" t="s">
        <v>63</v>
      </c>
      <c r="L276" s="24" t="s">
        <v>64</v>
      </c>
      <c r="M276" s="24">
        <v>1</v>
      </c>
      <c r="N276" s="41">
        <f t="shared" si="194"/>
        <v>2464000</v>
      </c>
      <c r="O276" s="41">
        <v>2464000</v>
      </c>
      <c r="P276" s="24"/>
      <c r="Q276" s="24"/>
      <c r="R276" s="24"/>
      <c r="S276" s="41">
        <f t="shared" si="195"/>
        <v>2464000</v>
      </c>
      <c r="T276" s="24">
        <v>5</v>
      </c>
      <c r="U276" s="41"/>
      <c r="V276" s="24">
        <v>0.5</v>
      </c>
      <c r="W276" s="41">
        <f t="shared" si="196"/>
        <v>0</v>
      </c>
      <c r="X276" s="57"/>
      <c r="Y276" s="53">
        <f t="shared" si="197"/>
        <v>0</v>
      </c>
      <c r="Z276" s="53">
        <f t="shared" si="198"/>
        <v>0</v>
      </c>
      <c r="AA276" s="54">
        <v>5</v>
      </c>
      <c r="AB276" s="53">
        <v>2464000</v>
      </c>
      <c r="AC276" s="53">
        <f t="shared" si="193"/>
        <v>0</v>
      </c>
      <c r="AD276" s="56" t="s">
        <v>333</v>
      </c>
      <c r="AE276" s="56"/>
      <c r="AF276" s="1">
        <v>2464000</v>
      </c>
      <c r="AG276" s="5">
        <f t="shared" si="177"/>
        <v>0</v>
      </c>
    </row>
    <row r="277" spans="1:33" s="1" customFormat="1" ht="10.5" x14ac:dyDescent="0.25">
      <c r="A277" s="49">
        <v>40</v>
      </c>
      <c r="B277" s="22" t="s">
        <v>1673</v>
      </c>
      <c r="C277" s="22" t="s">
        <v>58</v>
      </c>
      <c r="D277" s="51" t="s">
        <v>838</v>
      </c>
      <c r="E277" s="24" t="s">
        <v>166</v>
      </c>
      <c r="F277" s="24"/>
      <c r="G277" s="24" t="s">
        <v>319</v>
      </c>
      <c r="H277" s="24" t="s">
        <v>62</v>
      </c>
      <c r="I277" s="24">
        <v>2017</v>
      </c>
      <c r="J277" s="24"/>
      <c r="K277" s="24" t="s">
        <v>63</v>
      </c>
      <c r="L277" s="24" t="s">
        <v>64</v>
      </c>
      <c r="M277" s="24">
        <v>8</v>
      </c>
      <c r="N277" s="41">
        <f t="shared" si="194"/>
        <v>2497000</v>
      </c>
      <c r="O277" s="41">
        <v>19976000</v>
      </c>
      <c r="P277" s="24"/>
      <c r="Q277" s="24"/>
      <c r="R277" s="24"/>
      <c r="S277" s="41">
        <f t="shared" si="195"/>
        <v>19976000</v>
      </c>
      <c r="T277" s="24">
        <v>5</v>
      </c>
      <c r="U277" s="41">
        <f>SUM(S277/T277)</f>
        <v>3995200</v>
      </c>
      <c r="V277" s="24">
        <v>0.5</v>
      </c>
      <c r="W277" s="41">
        <f>SUM(U277*V277)-1664666.66666666</f>
        <v>332933.33333334001</v>
      </c>
      <c r="X277" s="57"/>
      <c r="Y277" s="53">
        <f t="shared" si="197"/>
        <v>0</v>
      </c>
      <c r="Z277" s="53">
        <f t="shared" si="198"/>
        <v>332933.33333334001</v>
      </c>
      <c r="AA277" s="54">
        <f>2022-I277+V277+X277-1/12-5/12</f>
        <v>5</v>
      </c>
      <c r="AB277" s="53">
        <f>SUM(U277*AA277)</f>
        <v>19976000</v>
      </c>
      <c r="AC277" s="53">
        <f t="shared" si="193"/>
        <v>0</v>
      </c>
      <c r="AD277" s="56" t="s">
        <v>226</v>
      </c>
      <c r="AE277" s="56"/>
      <c r="AF277" s="1">
        <v>19976000</v>
      </c>
      <c r="AG277" s="5">
        <f t="shared" si="177"/>
        <v>332933.33333333954</v>
      </c>
    </row>
    <row r="278" spans="1:33" s="1" customFormat="1" ht="10.5" x14ac:dyDescent="0.25">
      <c r="A278" s="49">
        <v>41</v>
      </c>
      <c r="B278" s="22" t="s">
        <v>1674</v>
      </c>
      <c r="C278" s="22" t="s">
        <v>58</v>
      </c>
      <c r="D278" s="51" t="s">
        <v>826</v>
      </c>
      <c r="E278" s="24" t="s">
        <v>166</v>
      </c>
      <c r="F278" s="24"/>
      <c r="G278" s="24" t="s">
        <v>319</v>
      </c>
      <c r="H278" s="24" t="s">
        <v>62</v>
      </c>
      <c r="I278" s="24">
        <v>2012</v>
      </c>
      <c r="J278" s="24"/>
      <c r="K278" s="24" t="s">
        <v>63</v>
      </c>
      <c r="L278" s="24" t="s">
        <v>64</v>
      </c>
      <c r="M278" s="24">
        <v>1</v>
      </c>
      <c r="N278" s="41">
        <f t="shared" si="194"/>
        <v>6050000</v>
      </c>
      <c r="O278" s="41">
        <v>6050000</v>
      </c>
      <c r="P278" s="24"/>
      <c r="Q278" s="24"/>
      <c r="R278" s="24"/>
      <c r="S278" s="41">
        <f t="shared" si="195"/>
        <v>6050000</v>
      </c>
      <c r="T278" s="24">
        <v>5</v>
      </c>
      <c r="U278" s="41"/>
      <c r="V278" s="24">
        <v>0.5</v>
      </c>
      <c r="W278" s="41">
        <f t="shared" ref="W278:W280" si="199">SUM(U278*V278)</f>
        <v>0</v>
      </c>
      <c r="X278" s="57"/>
      <c r="Y278" s="53">
        <f t="shared" si="197"/>
        <v>0</v>
      </c>
      <c r="Z278" s="53">
        <f t="shared" si="198"/>
        <v>0</v>
      </c>
      <c r="AA278" s="54">
        <v>5</v>
      </c>
      <c r="AB278" s="53">
        <v>6050000</v>
      </c>
      <c r="AC278" s="53">
        <f t="shared" si="193"/>
        <v>0</v>
      </c>
      <c r="AD278" s="56" t="s">
        <v>750</v>
      </c>
      <c r="AE278" s="56"/>
      <c r="AF278" s="1">
        <v>6050000</v>
      </c>
      <c r="AG278" s="5">
        <f t="shared" si="177"/>
        <v>0</v>
      </c>
    </row>
    <row r="279" spans="1:33" s="1" customFormat="1" ht="10.5" x14ac:dyDescent="0.25">
      <c r="A279" s="49">
        <v>42</v>
      </c>
      <c r="B279" s="22" t="s">
        <v>1674</v>
      </c>
      <c r="C279" s="22" t="s">
        <v>75</v>
      </c>
      <c r="D279" s="51" t="s">
        <v>826</v>
      </c>
      <c r="E279" s="24" t="s">
        <v>166</v>
      </c>
      <c r="F279" s="24"/>
      <c r="G279" s="24" t="s">
        <v>319</v>
      </c>
      <c r="H279" s="24" t="s">
        <v>62</v>
      </c>
      <c r="I279" s="24">
        <v>2012</v>
      </c>
      <c r="J279" s="24"/>
      <c r="K279" s="24" t="s">
        <v>63</v>
      </c>
      <c r="L279" s="24" t="s">
        <v>64</v>
      </c>
      <c r="M279" s="24">
        <v>1</v>
      </c>
      <c r="N279" s="41">
        <f t="shared" si="194"/>
        <v>6490000</v>
      </c>
      <c r="O279" s="41">
        <v>6490000</v>
      </c>
      <c r="P279" s="24"/>
      <c r="Q279" s="24"/>
      <c r="R279" s="24"/>
      <c r="S279" s="41">
        <f t="shared" si="195"/>
        <v>6490000</v>
      </c>
      <c r="T279" s="24">
        <v>5</v>
      </c>
      <c r="U279" s="41"/>
      <c r="V279" s="24">
        <v>0.5</v>
      </c>
      <c r="W279" s="41">
        <f t="shared" si="199"/>
        <v>0</v>
      </c>
      <c r="X279" s="57"/>
      <c r="Y279" s="53">
        <f t="shared" si="197"/>
        <v>0</v>
      </c>
      <c r="Z279" s="53">
        <f t="shared" si="198"/>
        <v>0</v>
      </c>
      <c r="AA279" s="54">
        <v>5</v>
      </c>
      <c r="AB279" s="53">
        <v>6490000</v>
      </c>
      <c r="AC279" s="53">
        <f t="shared" si="193"/>
        <v>0</v>
      </c>
      <c r="AD279" s="56" t="s">
        <v>750</v>
      </c>
      <c r="AE279" s="56"/>
      <c r="AF279" s="1">
        <v>6490000</v>
      </c>
      <c r="AG279" s="5">
        <f t="shared" si="177"/>
        <v>0</v>
      </c>
    </row>
    <row r="280" spans="1:33" s="1" customFormat="1" ht="10.5" x14ac:dyDescent="0.25">
      <c r="A280" s="49">
        <v>43</v>
      </c>
      <c r="B280" s="22" t="s">
        <v>1674</v>
      </c>
      <c r="C280" s="22" t="s">
        <v>633</v>
      </c>
      <c r="D280" s="51" t="s">
        <v>827</v>
      </c>
      <c r="E280" s="24" t="s">
        <v>166</v>
      </c>
      <c r="F280" s="24"/>
      <c r="G280" s="24" t="s">
        <v>319</v>
      </c>
      <c r="H280" s="24" t="s">
        <v>62</v>
      </c>
      <c r="I280" s="24">
        <v>2012</v>
      </c>
      <c r="J280" s="24"/>
      <c r="K280" s="24" t="s">
        <v>63</v>
      </c>
      <c r="L280" s="24" t="s">
        <v>64</v>
      </c>
      <c r="M280" s="24">
        <v>2</v>
      </c>
      <c r="N280" s="41">
        <f t="shared" si="194"/>
        <v>5026500</v>
      </c>
      <c r="O280" s="41">
        <v>10053000</v>
      </c>
      <c r="P280" s="24"/>
      <c r="Q280" s="24"/>
      <c r="R280" s="24"/>
      <c r="S280" s="41">
        <f t="shared" si="195"/>
        <v>10053000</v>
      </c>
      <c r="T280" s="24">
        <v>5</v>
      </c>
      <c r="U280" s="41"/>
      <c r="V280" s="24">
        <v>0.5</v>
      </c>
      <c r="W280" s="41">
        <f t="shared" si="199"/>
        <v>0</v>
      </c>
      <c r="X280" s="57"/>
      <c r="Y280" s="53">
        <f t="shared" si="197"/>
        <v>0</v>
      </c>
      <c r="Z280" s="53">
        <f t="shared" si="198"/>
        <v>0</v>
      </c>
      <c r="AA280" s="54">
        <v>5</v>
      </c>
      <c r="AB280" s="53">
        <v>10053000</v>
      </c>
      <c r="AC280" s="53">
        <f t="shared" si="193"/>
        <v>0</v>
      </c>
      <c r="AD280" s="56" t="s">
        <v>746</v>
      </c>
      <c r="AE280" s="56"/>
      <c r="AF280" s="1">
        <v>10053000</v>
      </c>
      <c r="AG280" s="5">
        <f t="shared" si="177"/>
        <v>0</v>
      </c>
    </row>
    <row r="281" spans="1:33" s="1" customFormat="1" ht="10.5" x14ac:dyDescent="0.25">
      <c r="A281" s="49">
        <v>44</v>
      </c>
      <c r="B281" s="22" t="s">
        <v>1674</v>
      </c>
      <c r="C281" s="22" t="s">
        <v>828</v>
      </c>
      <c r="D281" s="51" t="s">
        <v>826</v>
      </c>
      <c r="E281" s="24" t="s">
        <v>166</v>
      </c>
      <c r="F281" s="24"/>
      <c r="G281" s="24" t="s">
        <v>319</v>
      </c>
      <c r="H281" s="24" t="s">
        <v>62</v>
      </c>
      <c r="I281" s="24">
        <v>2015</v>
      </c>
      <c r="J281" s="24"/>
      <c r="K281" s="24" t="s">
        <v>63</v>
      </c>
      <c r="L281" s="24" t="s">
        <v>64</v>
      </c>
      <c r="M281" s="24">
        <v>10</v>
      </c>
      <c r="N281" s="41">
        <f t="shared" si="194"/>
        <v>995500</v>
      </c>
      <c r="O281" s="41">
        <v>9955000</v>
      </c>
      <c r="P281" s="24"/>
      <c r="Q281" s="24"/>
      <c r="R281" s="24"/>
      <c r="S281" s="41">
        <f t="shared" si="195"/>
        <v>9955000</v>
      </c>
      <c r="T281" s="24">
        <v>5</v>
      </c>
      <c r="U281" s="41">
        <f>SUM(S281/T281)</f>
        <v>1991000</v>
      </c>
      <c r="V281" s="24">
        <v>0.5</v>
      </c>
      <c r="W281" s="41"/>
      <c r="X281" s="57"/>
      <c r="Y281" s="53">
        <f>SUM(U281*X281)</f>
        <v>0</v>
      </c>
      <c r="Z281" s="53"/>
      <c r="AA281" s="54">
        <v>5</v>
      </c>
      <c r="AB281" s="53">
        <f>SUM(U281*AA281)</f>
        <v>9955000</v>
      </c>
      <c r="AC281" s="53">
        <f t="shared" si="193"/>
        <v>0</v>
      </c>
      <c r="AD281" s="56" t="s">
        <v>829</v>
      </c>
      <c r="AE281" s="56"/>
      <c r="AF281" s="1">
        <v>9955000</v>
      </c>
      <c r="AG281" s="5">
        <f t="shared" si="177"/>
        <v>0</v>
      </c>
    </row>
    <row r="282" spans="1:33" s="1" customFormat="1" ht="10.5" x14ac:dyDescent="0.25">
      <c r="A282" s="49">
        <v>45</v>
      </c>
      <c r="B282" s="22" t="s">
        <v>1675</v>
      </c>
      <c r="C282" s="50"/>
      <c r="D282" s="51" t="s">
        <v>840</v>
      </c>
      <c r="E282" s="52" t="s">
        <v>166</v>
      </c>
      <c r="F282" s="52"/>
      <c r="G282" s="52" t="s">
        <v>319</v>
      </c>
      <c r="H282" s="52" t="s">
        <v>62</v>
      </c>
      <c r="I282" s="52">
        <v>2022</v>
      </c>
      <c r="J282" s="52"/>
      <c r="K282" s="52" t="s">
        <v>63</v>
      </c>
      <c r="L282" s="52" t="s">
        <v>64</v>
      </c>
      <c r="M282" s="52">
        <v>1</v>
      </c>
      <c r="N282" s="53">
        <f t="shared" si="194"/>
        <v>2025500</v>
      </c>
      <c r="O282" s="53">
        <v>2025500</v>
      </c>
      <c r="P282" s="52"/>
      <c r="Q282" s="52"/>
      <c r="R282" s="52"/>
      <c r="S282" s="53">
        <f t="shared" si="195"/>
        <v>2025500</v>
      </c>
      <c r="T282" s="52">
        <v>5</v>
      </c>
      <c r="U282" s="53">
        <f>SUM(S282/T282)</f>
        <v>405100</v>
      </c>
      <c r="V282" s="87"/>
      <c r="W282" s="53"/>
      <c r="X282" s="57">
        <f>1/12</f>
        <v>8.3333333333333329E-2</v>
      </c>
      <c r="Y282" s="53">
        <f t="shared" ref="Y282:Y293" si="200">SUM(U282*X282)</f>
        <v>33758.333333333328</v>
      </c>
      <c r="Z282" s="53">
        <f t="shared" ref="Z282" si="201">SUM(W282+Y282)</f>
        <v>33758.333333333328</v>
      </c>
      <c r="AA282" s="54">
        <f>1/12</f>
        <v>8.3333333333333329E-2</v>
      </c>
      <c r="AB282" s="53">
        <f>SUM(U282*AA282)</f>
        <v>33758.333333333328</v>
      </c>
      <c r="AC282" s="53">
        <f t="shared" ref="AC282" si="202">SUM(O282-AB282)</f>
        <v>1991741.6666666667</v>
      </c>
      <c r="AD282" s="56" t="s">
        <v>647</v>
      </c>
      <c r="AE282" s="56"/>
      <c r="AF282" s="1">
        <v>33758.333333333328</v>
      </c>
      <c r="AG282" s="5">
        <f t="shared" si="177"/>
        <v>33758.333333333328</v>
      </c>
    </row>
    <row r="283" spans="1:33" s="1" customFormat="1" ht="10.5" x14ac:dyDescent="0.25">
      <c r="A283" s="49">
        <v>46</v>
      </c>
      <c r="B283" s="22" t="s">
        <v>1676</v>
      </c>
      <c r="C283" s="22" t="s">
        <v>707</v>
      </c>
      <c r="D283" s="51" t="s">
        <v>708</v>
      </c>
      <c r="E283" s="24" t="s">
        <v>166</v>
      </c>
      <c r="F283" s="24"/>
      <c r="G283" s="24" t="s">
        <v>201</v>
      </c>
      <c r="H283" s="24" t="s">
        <v>62</v>
      </c>
      <c r="I283" s="24">
        <v>2011</v>
      </c>
      <c r="J283" s="24"/>
      <c r="K283" s="24" t="s">
        <v>63</v>
      </c>
      <c r="L283" s="24" t="s">
        <v>64</v>
      </c>
      <c r="M283" s="24">
        <v>5</v>
      </c>
      <c r="N283" s="41">
        <f t="shared" ref="N283:N295" si="203">SUM(O283/M283)</f>
        <v>348000</v>
      </c>
      <c r="O283" s="41">
        <v>1740000</v>
      </c>
      <c r="P283" s="24"/>
      <c r="Q283" s="24"/>
      <c r="R283" s="24"/>
      <c r="S283" s="41">
        <f t="shared" ref="S283:S295" si="204">SUM(O283-R283)</f>
        <v>1740000</v>
      </c>
      <c r="T283" s="24">
        <v>5</v>
      </c>
      <c r="U283" s="41"/>
      <c r="V283" s="24">
        <v>0.5</v>
      </c>
      <c r="W283" s="41">
        <f t="shared" ref="W283:W293" si="205">SUM(U283*V283)</f>
        <v>0</v>
      </c>
      <c r="X283" s="57"/>
      <c r="Y283" s="53">
        <f t="shared" si="200"/>
        <v>0</v>
      </c>
      <c r="Z283" s="53">
        <f t="shared" ref="Z283:Z295" si="206">SUM(W283+Y283)</f>
        <v>0</v>
      </c>
      <c r="AA283" s="54">
        <v>5</v>
      </c>
      <c r="AB283" s="53">
        <v>1740000</v>
      </c>
      <c r="AC283" s="53">
        <f t="shared" ref="AC283:AC295" si="207">SUM(O283-AB283)</f>
        <v>0</v>
      </c>
      <c r="AD283" s="56" t="s">
        <v>597</v>
      </c>
      <c r="AE283" s="56"/>
      <c r="AF283" s="1">
        <v>1740000</v>
      </c>
      <c r="AG283" s="5">
        <f t="shared" si="177"/>
        <v>0</v>
      </c>
    </row>
    <row r="284" spans="1:33" s="1" customFormat="1" ht="10.5" x14ac:dyDescent="0.25">
      <c r="A284" s="49">
        <v>47</v>
      </c>
      <c r="B284" s="22" t="s">
        <v>1676</v>
      </c>
      <c r="C284" s="22" t="s">
        <v>707</v>
      </c>
      <c r="D284" s="51" t="s">
        <v>708</v>
      </c>
      <c r="E284" s="24" t="s">
        <v>166</v>
      </c>
      <c r="F284" s="24"/>
      <c r="G284" s="24" t="s">
        <v>201</v>
      </c>
      <c r="H284" s="24" t="s">
        <v>62</v>
      </c>
      <c r="I284" s="24">
        <v>2011</v>
      </c>
      <c r="J284" s="24"/>
      <c r="K284" s="24" t="s">
        <v>63</v>
      </c>
      <c r="L284" s="24" t="s">
        <v>64</v>
      </c>
      <c r="M284" s="24">
        <v>40</v>
      </c>
      <c r="N284" s="41">
        <f t="shared" si="203"/>
        <v>348000</v>
      </c>
      <c r="O284" s="41">
        <v>13920000</v>
      </c>
      <c r="P284" s="24"/>
      <c r="Q284" s="24"/>
      <c r="R284" s="24"/>
      <c r="S284" s="41">
        <f t="shared" si="204"/>
        <v>13920000</v>
      </c>
      <c r="T284" s="24">
        <v>5</v>
      </c>
      <c r="U284" s="41"/>
      <c r="V284" s="24">
        <v>0.5</v>
      </c>
      <c r="W284" s="41">
        <f t="shared" si="205"/>
        <v>0</v>
      </c>
      <c r="X284" s="57"/>
      <c r="Y284" s="53">
        <f t="shared" si="200"/>
        <v>0</v>
      </c>
      <c r="Z284" s="53">
        <f t="shared" si="206"/>
        <v>0</v>
      </c>
      <c r="AA284" s="54">
        <v>5</v>
      </c>
      <c r="AB284" s="53">
        <v>13920000</v>
      </c>
      <c r="AC284" s="53">
        <f t="shared" si="207"/>
        <v>0</v>
      </c>
      <c r="AD284" s="56" t="s">
        <v>610</v>
      </c>
      <c r="AE284" s="56"/>
      <c r="AF284" s="1">
        <v>13920000</v>
      </c>
      <c r="AG284" s="5">
        <f t="shared" si="177"/>
        <v>0</v>
      </c>
    </row>
    <row r="285" spans="1:33" s="1" customFormat="1" ht="10.5" x14ac:dyDescent="0.25">
      <c r="A285" s="49">
        <v>48</v>
      </c>
      <c r="B285" s="22" t="s">
        <v>1676</v>
      </c>
      <c r="C285" s="22" t="s">
        <v>707</v>
      </c>
      <c r="D285" s="51" t="s">
        <v>708</v>
      </c>
      <c r="E285" s="24" t="s">
        <v>166</v>
      </c>
      <c r="F285" s="24"/>
      <c r="G285" s="24" t="s">
        <v>201</v>
      </c>
      <c r="H285" s="24" t="s">
        <v>62</v>
      </c>
      <c r="I285" s="24">
        <v>2011</v>
      </c>
      <c r="J285" s="24"/>
      <c r="K285" s="24" t="s">
        <v>63</v>
      </c>
      <c r="L285" s="24" t="s">
        <v>64</v>
      </c>
      <c r="M285" s="24">
        <v>40</v>
      </c>
      <c r="N285" s="41">
        <f t="shared" si="203"/>
        <v>348000</v>
      </c>
      <c r="O285" s="41">
        <v>13920000</v>
      </c>
      <c r="P285" s="24"/>
      <c r="Q285" s="24"/>
      <c r="R285" s="24"/>
      <c r="S285" s="41">
        <f t="shared" si="204"/>
        <v>13920000</v>
      </c>
      <c r="T285" s="24">
        <v>5</v>
      </c>
      <c r="U285" s="41"/>
      <c r="V285" s="24">
        <v>0.5</v>
      </c>
      <c r="W285" s="41">
        <f t="shared" si="205"/>
        <v>0</v>
      </c>
      <c r="X285" s="57"/>
      <c r="Y285" s="53">
        <f t="shared" si="200"/>
        <v>0</v>
      </c>
      <c r="Z285" s="53">
        <f t="shared" si="206"/>
        <v>0</v>
      </c>
      <c r="AA285" s="54">
        <v>5</v>
      </c>
      <c r="AB285" s="53">
        <v>13920000</v>
      </c>
      <c r="AC285" s="53">
        <f t="shared" si="207"/>
        <v>0</v>
      </c>
      <c r="AD285" s="56" t="s">
        <v>612</v>
      </c>
      <c r="AE285" s="56"/>
      <c r="AF285" s="1">
        <v>13920000</v>
      </c>
      <c r="AG285" s="5">
        <f t="shared" si="177"/>
        <v>0</v>
      </c>
    </row>
    <row r="286" spans="1:33" s="1" customFormat="1" ht="10.5" x14ac:dyDescent="0.25">
      <c r="A286" s="49">
        <v>49</v>
      </c>
      <c r="B286" s="22" t="s">
        <v>1676</v>
      </c>
      <c r="C286" s="22" t="s">
        <v>709</v>
      </c>
      <c r="D286" s="51" t="s">
        <v>710</v>
      </c>
      <c r="E286" s="24" t="s">
        <v>711</v>
      </c>
      <c r="F286" s="24"/>
      <c r="G286" s="24" t="s">
        <v>712</v>
      </c>
      <c r="H286" s="24" t="s">
        <v>62</v>
      </c>
      <c r="I286" s="24">
        <v>2012</v>
      </c>
      <c r="J286" s="24"/>
      <c r="K286" s="24" t="s">
        <v>63</v>
      </c>
      <c r="L286" s="24" t="s">
        <v>64</v>
      </c>
      <c r="M286" s="24">
        <v>7</v>
      </c>
      <c r="N286" s="41">
        <f t="shared" si="203"/>
        <v>1540000</v>
      </c>
      <c r="O286" s="41">
        <v>10780000</v>
      </c>
      <c r="P286" s="24"/>
      <c r="Q286" s="24"/>
      <c r="R286" s="24"/>
      <c r="S286" s="41">
        <f t="shared" si="204"/>
        <v>10780000</v>
      </c>
      <c r="T286" s="24">
        <v>5</v>
      </c>
      <c r="U286" s="41"/>
      <c r="V286" s="24">
        <v>0.5</v>
      </c>
      <c r="W286" s="41">
        <f t="shared" si="205"/>
        <v>0</v>
      </c>
      <c r="X286" s="57"/>
      <c r="Y286" s="53">
        <f t="shared" si="200"/>
        <v>0</v>
      </c>
      <c r="Z286" s="53">
        <f t="shared" si="206"/>
        <v>0</v>
      </c>
      <c r="AA286" s="54">
        <v>5</v>
      </c>
      <c r="AB286" s="53">
        <v>10780000</v>
      </c>
      <c r="AC286" s="53">
        <f t="shared" si="207"/>
        <v>0</v>
      </c>
      <c r="AD286" s="56" t="s">
        <v>597</v>
      </c>
      <c r="AE286" s="56"/>
      <c r="AF286" s="1">
        <v>10780000</v>
      </c>
      <c r="AG286" s="5">
        <f t="shared" si="177"/>
        <v>0</v>
      </c>
    </row>
    <row r="287" spans="1:33" s="1" customFormat="1" ht="10.5" x14ac:dyDescent="0.25">
      <c r="A287" s="49">
        <v>50</v>
      </c>
      <c r="B287" s="22" t="s">
        <v>1676</v>
      </c>
      <c r="C287" s="22" t="s">
        <v>713</v>
      </c>
      <c r="D287" s="51" t="s">
        <v>710</v>
      </c>
      <c r="E287" s="24" t="s">
        <v>711</v>
      </c>
      <c r="F287" s="24"/>
      <c r="G287" s="24" t="s">
        <v>712</v>
      </c>
      <c r="H287" s="24" t="s">
        <v>62</v>
      </c>
      <c r="I287" s="24">
        <v>2012</v>
      </c>
      <c r="J287" s="24"/>
      <c r="K287" s="24" t="s">
        <v>63</v>
      </c>
      <c r="L287" s="24" t="s">
        <v>64</v>
      </c>
      <c r="M287" s="24">
        <v>7</v>
      </c>
      <c r="N287" s="41">
        <f t="shared" si="203"/>
        <v>1540000</v>
      </c>
      <c r="O287" s="41">
        <v>10780000</v>
      </c>
      <c r="P287" s="24"/>
      <c r="Q287" s="24"/>
      <c r="R287" s="24"/>
      <c r="S287" s="41">
        <f t="shared" si="204"/>
        <v>10780000</v>
      </c>
      <c r="T287" s="24">
        <v>5</v>
      </c>
      <c r="U287" s="41"/>
      <c r="V287" s="24">
        <v>0.5</v>
      </c>
      <c r="W287" s="41">
        <f t="shared" si="205"/>
        <v>0</v>
      </c>
      <c r="X287" s="57"/>
      <c r="Y287" s="53">
        <f t="shared" si="200"/>
        <v>0</v>
      </c>
      <c r="Z287" s="53">
        <f t="shared" si="206"/>
        <v>0</v>
      </c>
      <c r="AA287" s="54">
        <v>5</v>
      </c>
      <c r="AB287" s="53">
        <v>10780000</v>
      </c>
      <c r="AC287" s="53">
        <f t="shared" si="207"/>
        <v>0</v>
      </c>
      <c r="AD287" s="56" t="s">
        <v>540</v>
      </c>
      <c r="AE287" s="56"/>
      <c r="AF287" s="1">
        <v>10780000</v>
      </c>
      <c r="AG287" s="5">
        <f t="shared" si="177"/>
        <v>0</v>
      </c>
    </row>
    <row r="288" spans="1:33" s="1" customFormat="1" ht="10.5" x14ac:dyDescent="0.25">
      <c r="A288" s="49">
        <v>51</v>
      </c>
      <c r="B288" s="22" t="s">
        <v>1676</v>
      </c>
      <c r="C288" s="22" t="s">
        <v>714</v>
      </c>
      <c r="D288" s="51" t="s">
        <v>710</v>
      </c>
      <c r="E288" s="24" t="s">
        <v>711</v>
      </c>
      <c r="F288" s="24"/>
      <c r="G288" s="24" t="s">
        <v>712</v>
      </c>
      <c r="H288" s="24" t="s">
        <v>62</v>
      </c>
      <c r="I288" s="24">
        <v>2012</v>
      </c>
      <c r="J288" s="24"/>
      <c r="K288" s="24" t="s">
        <v>63</v>
      </c>
      <c r="L288" s="24" t="s">
        <v>64</v>
      </c>
      <c r="M288" s="24">
        <v>5</v>
      </c>
      <c r="N288" s="41">
        <f t="shared" si="203"/>
        <v>1540000</v>
      </c>
      <c r="O288" s="41">
        <v>7700000</v>
      </c>
      <c r="P288" s="24"/>
      <c r="Q288" s="24"/>
      <c r="R288" s="24"/>
      <c r="S288" s="41">
        <f t="shared" si="204"/>
        <v>7700000</v>
      </c>
      <c r="T288" s="24">
        <v>5</v>
      </c>
      <c r="U288" s="41"/>
      <c r="V288" s="24">
        <v>0.5</v>
      </c>
      <c r="W288" s="41">
        <f t="shared" si="205"/>
        <v>0</v>
      </c>
      <c r="X288" s="57"/>
      <c r="Y288" s="53">
        <f t="shared" si="200"/>
        <v>0</v>
      </c>
      <c r="Z288" s="53">
        <f t="shared" si="206"/>
        <v>0</v>
      </c>
      <c r="AA288" s="54">
        <v>5</v>
      </c>
      <c r="AB288" s="53">
        <v>7700000</v>
      </c>
      <c r="AC288" s="53">
        <f t="shared" si="207"/>
        <v>0</v>
      </c>
      <c r="AD288" s="56" t="s">
        <v>351</v>
      </c>
      <c r="AE288" s="56"/>
      <c r="AF288" s="1">
        <v>7700000</v>
      </c>
      <c r="AG288" s="5">
        <f t="shared" si="177"/>
        <v>0</v>
      </c>
    </row>
    <row r="289" spans="1:33" s="1" customFormat="1" ht="10.5" x14ac:dyDescent="0.25">
      <c r="A289" s="49">
        <v>52</v>
      </c>
      <c r="B289" s="22" t="s">
        <v>1676</v>
      </c>
      <c r="C289" s="22" t="s">
        <v>715</v>
      </c>
      <c r="D289" s="51" t="s">
        <v>710</v>
      </c>
      <c r="E289" s="24" t="s">
        <v>711</v>
      </c>
      <c r="F289" s="24"/>
      <c r="G289" s="24" t="s">
        <v>712</v>
      </c>
      <c r="H289" s="24" t="s">
        <v>62</v>
      </c>
      <c r="I289" s="24">
        <v>2012</v>
      </c>
      <c r="J289" s="24"/>
      <c r="K289" s="24" t="s">
        <v>63</v>
      </c>
      <c r="L289" s="24" t="s">
        <v>64</v>
      </c>
      <c r="M289" s="24">
        <v>7</v>
      </c>
      <c r="N289" s="41">
        <f t="shared" si="203"/>
        <v>1540000</v>
      </c>
      <c r="O289" s="41">
        <v>10780000</v>
      </c>
      <c r="P289" s="24"/>
      <c r="Q289" s="24"/>
      <c r="R289" s="24"/>
      <c r="S289" s="41">
        <f t="shared" si="204"/>
        <v>10780000</v>
      </c>
      <c r="T289" s="24">
        <v>5</v>
      </c>
      <c r="U289" s="41"/>
      <c r="V289" s="24">
        <v>0.5</v>
      </c>
      <c r="W289" s="41">
        <f t="shared" si="205"/>
        <v>0</v>
      </c>
      <c r="X289" s="57"/>
      <c r="Y289" s="53">
        <f t="shared" si="200"/>
        <v>0</v>
      </c>
      <c r="Z289" s="53">
        <f t="shared" si="206"/>
        <v>0</v>
      </c>
      <c r="AA289" s="54">
        <v>5</v>
      </c>
      <c r="AB289" s="53">
        <v>10780000</v>
      </c>
      <c r="AC289" s="53">
        <f t="shared" si="207"/>
        <v>0</v>
      </c>
      <c r="AD289" s="56" t="s">
        <v>601</v>
      </c>
      <c r="AE289" s="56"/>
      <c r="AF289" s="1">
        <v>10780000</v>
      </c>
      <c r="AG289" s="5">
        <f t="shared" si="177"/>
        <v>0</v>
      </c>
    </row>
    <row r="290" spans="1:33" s="1" customFormat="1" ht="10.5" x14ac:dyDescent="0.25">
      <c r="A290" s="49">
        <v>53</v>
      </c>
      <c r="B290" s="22" t="s">
        <v>1676</v>
      </c>
      <c r="C290" s="22" t="s">
        <v>716</v>
      </c>
      <c r="D290" s="51" t="s">
        <v>710</v>
      </c>
      <c r="E290" s="24" t="s">
        <v>711</v>
      </c>
      <c r="F290" s="24"/>
      <c r="G290" s="24" t="s">
        <v>712</v>
      </c>
      <c r="H290" s="24" t="s">
        <v>62</v>
      </c>
      <c r="I290" s="24">
        <v>2012</v>
      </c>
      <c r="J290" s="24"/>
      <c r="K290" s="24" t="s">
        <v>63</v>
      </c>
      <c r="L290" s="24" t="s">
        <v>64</v>
      </c>
      <c r="M290" s="24">
        <v>7</v>
      </c>
      <c r="N290" s="41">
        <f t="shared" si="203"/>
        <v>1540000</v>
      </c>
      <c r="O290" s="41">
        <v>10780000</v>
      </c>
      <c r="P290" s="24"/>
      <c r="Q290" s="24"/>
      <c r="R290" s="24"/>
      <c r="S290" s="41">
        <f t="shared" si="204"/>
        <v>10780000</v>
      </c>
      <c r="T290" s="24">
        <v>5</v>
      </c>
      <c r="U290" s="41"/>
      <c r="V290" s="24">
        <v>0.5</v>
      </c>
      <c r="W290" s="41">
        <f t="shared" si="205"/>
        <v>0</v>
      </c>
      <c r="X290" s="57"/>
      <c r="Y290" s="53">
        <f t="shared" si="200"/>
        <v>0</v>
      </c>
      <c r="Z290" s="53">
        <f t="shared" si="206"/>
        <v>0</v>
      </c>
      <c r="AA290" s="54">
        <v>5</v>
      </c>
      <c r="AB290" s="53">
        <v>10780000</v>
      </c>
      <c r="AC290" s="53">
        <f t="shared" si="207"/>
        <v>0</v>
      </c>
      <c r="AD290" s="56" t="s">
        <v>603</v>
      </c>
      <c r="AE290" s="56"/>
      <c r="AF290" s="1">
        <v>10780000</v>
      </c>
      <c r="AG290" s="5">
        <f t="shared" si="177"/>
        <v>0</v>
      </c>
    </row>
    <row r="291" spans="1:33" s="1" customFormat="1" ht="10.5" x14ac:dyDescent="0.25">
      <c r="A291" s="49">
        <v>54</v>
      </c>
      <c r="B291" s="22" t="s">
        <v>1676</v>
      </c>
      <c r="C291" s="22" t="s">
        <v>717</v>
      </c>
      <c r="D291" s="51" t="s">
        <v>710</v>
      </c>
      <c r="E291" s="24" t="s">
        <v>711</v>
      </c>
      <c r="F291" s="24"/>
      <c r="G291" s="24" t="s">
        <v>712</v>
      </c>
      <c r="H291" s="24" t="s">
        <v>62</v>
      </c>
      <c r="I291" s="24">
        <v>2012</v>
      </c>
      <c r="J291" s="24"/>
      <c r="K291" s="24" t="s">
        <v>63</v>
      </c>
      <c r="L291" s="24" t="s">
        <v>64</v>
      </c>
      <c r="M291" s="24">
        <v>7</v>
      </c>
      <c r="N291" s="41">
        <f t="shared" si="203"/>
        <v>1540000</v>
      </c>
      <c r="O291" s="41">
        <v>10780000</v>
      </c>
      <c r="P291" s="24"/>
      <c r="Q291" s="24"/>
      <c r="R291" s="24"/>
      <c r="S291" s="41">
        <f t="shared" si="204"/>
        <v>10780000</v>
      </c>
      <c r="T291" s="24">
        <v>5</v>
      </c>
      <c r="U291" s="41"/>
      <c r="V291" s="24">
        <v>0.5</v>
      </c>
      <c r="W291" s="41">
        <f t="shared" si="205"/>
        <v>0</v>
      </c>
      <c r="X291" s="57"/>
      <c r="Y291" s="53">
        <f t="shared" si="200"/>
        <v>0</v>
      </c>
      <c r="Z291" s="53">
        <f t="shared" si="206"/>
        <v>0</v>
      </c>
      <c r="AA291" s="57">
        <v>5</v>
      </c>
      <c r="AB291" s="53">
        <v>10780000</v>
      </c>
      <c r="AC291" s="53">
        <f t="shared" si="207"/>
        <v>0</v>
      </c>
      <c r="AD291" s="56" t="s">
        <v>605</v>
      </c>
      <c r="AE291" s="70"/>
      <c r="AF291" s="1">
        <v>10780000</v>
      </c>
      <c r="AG291" s="5">
        <f t="shared" si="177"/>
        <v>0</v>
      </c>
    </row>
    <row r="292" spans="1:33" s="1" customFormat="1" ht="10.5" x14ac:dyDescent="0.25">
      <c r="A292" s="49">
        <v>55</v>
      </c>
      <c r="B292" s="22" t="s">
        <v>1676</v>
      </c>
      <c r="C292" s="22" t="s">
        <v>718</v>
      </c>
      <c r="D292" s="51" t="s">
        <v>710</v>
      </c>
      <c r="E292" s="24" t="s">
        <v>711</v>
      </c>
      <c r="F292" s="24"/>
      <c r="G292" s="24" t="s">
        <v>712</v>
      </c>
      <c r="H292" s="24" t="s">
        <v>62</v>
      </c>
      <c r="I292" s="24">
        <v>2012</v>
      </c>
      <c r="J292" s="24"/>
      <c r="K292" s="24" t="s">
        <v>63</v>
      </c>
      <c r="L292" s="24" t="s">
        <v>64</v>
      </c>
      <c r="M292" s="24">
        <v>40</v>
      </c>
      <c r="N292" s="41">
        <f t="shared" si="203"/>
        <v>1540000</v>
      </c>
      <c r="O292" s="41">
        <v>61600000</v>
      </c>
      <c r="P292" s="24"/>
      <c r="Q292" s="24"/>
      <c r="R292" s="24"/>
      <c r="S292" s="41">
        <f t="shared" si="204"/>
        <v>61600000</v>
      </c>
      <c r="T292" s="24">
        <v>5</v>
      </c>
      <c r="U292" s="41"/>
      <c r="V292" s="24">
        <v>0.5</v>
      </c>
      <c r="W292" s="41">
        <f t="shared" si="205"/>
        <v>0</v>
      </c>
      <c r="X292" s="57"/>
      <c r="Y292" s="53">
        <f t="shared" si="200"/>
        <v>0</v>
      </c>
      <c r="Z292" s="53">
        <f t="shared" si="206"/>
        <v>0</v>
      </c>
      <c r="AA292" s="57">
        <v>5</v>
      </c>
      <c r="AB292" s="53">
        <v>61600000</v>
      </c>
      <c r="AC292" s="53">
        <f t="shared" si="207"/>
        <v>0</v>
      </c>
      <c r="AD292" s="56" t="s">
        <v>610</v>
      </c>
      <c r="AE292" s="70"/>
      <c r="AF292" s="1">
        <v>61600000</v>
      </c>
      <c r="AG292" s="5">
        <f t="shared" si="177"/>
        <v>0</v>
      </c>
    </row>
    <row r="293" spans="1:33" s="1" customFormat="1" ht="10.5" x14ac:dyDescent="0.25">
      <c r="A293" s="49">
        <v>56</v>
      </c>
      <c r="B293" s="22" t="s">
        <v>1676</v>
      </c>
      <c r="C293" s="22" t="s">
        <v>719</v>
      </c>
      <c r="D293" s="51" t="s">
        <v>710</v>
      </c>
      <c r="E293" s="24" t="s">
        <v>711</v>
      </c>
      <c r="F293" s="24"/>
      <c r="G293" s="24" t="s">
        <v>712</v>
      </c>
      <c r="H293" s="24" t="s">
        <v>62</v>
      </c>
      <c r="I293" s="24">
        <v>2012</v>
      </c>
      <c r="J293" s="24"/>
      <c r="K293" s="24" t="s">
        <v>63</v>
      </c>
      <c r="L293" s="24" t="s">
        <v>64</v>
      </c>
      <c r="M293" s="24">
        <v>40</v>
      </c>
      <c r="N293" s="41">
        <f t="shared" si="203"/>
        <v>1540000</v>
      </c>
      <c r="O293" s="41">
        <v>61600000</v>
      </c>
      <c r="P293" s="24"/>
      <c r="Q293" s="24"/>
      <c r="R293" s="24"/>
      <c r="S293" s="41">
        <f t="shared" si="204"/>
        <v>61600000</v>
      </c>
      <c r="T293" s="24">
        <v>5</v>
      </c>
      <c r="U293" s="41"/>
      <c r="V293" s="24">
        <v>0.5</v>
      </c>
      <c r="W293" s="41">
        <f t="shared" si="205"/>
        <v>0</v>
      </c>
      <c r="X293" s="52"/>
      <c r="Y293" s="53">
        <f t="shared" si="200"/>
        <v>0</v>
      </c>
      <c r="Z293" s="53">
        <f t="shared" si="206"/>
        <v>0</v>
      </c>
      <c r="AA293" s="52">
        <v>5</v>
      </c>
      <c r="AB293" s="53">
        <v>61600000</v>
      </c>
      <c r="AC293" s="53">
        <f t="shared" si="207"/>
        <v>0</v>
      </c>
      <c r="AD293" s="56" t="s">
        <v>612</v>
      </c>
      <c r="AE293" s="70"/>
      <c r="AF293" s="1">
        <v>61600000</v>
      </c>
      <c r="AG293" s="5">
        <f t="shared" si="177"/>
        <v>0</v>
      </c>
    </row>
    <row r="294" spans="1:33" s="1" customFormat="1" ht="10.5" x14ac:dyDescent="0.25">
      <c r="A294" s="49">
        <v>57</v>
      </c>
      <c r="B294" s="22" t="s">
        <v>1676</v>
      </c>
      <c r="C294" s="22" t="s">
        <v>720</v>
      </c>
      <c r="D294" s="51" t="s">
        <v>721</v>
      </c>
      <c r="E294" s="24" t="s">
        <v>722</v>
      </c>
      <c r="F294" s="24"/>
      <c r="G294" s="24" t="s">
        <v>712</v>
      </c>
      <c r="H294" s="24" t="s">
        <v>62</v>
      </c>
      <c r="I294" s="24">
        <v>2017</v>
      </c>
      <c r="J294" s="24"/>
      <c r="K294" s="24" t="s">
        <v>63</v>
      </c>
      <c r="L294" s="24" t="s">
        <v>64</v>
      </c>
      <c r="M294" s="24">
        <v>36</v>
      </c>
      <c r="N294" s="41">
        <f t="shared" si="203"/>
        <v>2497000</v>
      </c>
      <c r="O294" s="41">
        <v>89892000</v>
      </c>
      <c r="P294" s="24"/>
      <c r="Q294" s="24"/>
      <c r="R294" s="24"/>
      <c r="S294" s="41">
        <f t="shared" si="204"/>
        <v>89892000</v>
      </c>
      <c r="T294" s="24">
        <v>5</v>
      </c>
      <c r="U294" s="41">
        <f>SUM(S294/T294)</f>
        <v>17978400</v>
      </c>
      <c r="V294" s="24">
        <v>0.5</v>
      </c>
      <c r="W294" s="41">
        <f>SUM(U294*V294)-7491000</f>
        <v>1498200</v>
      </c>
      <c r="X294" s="52"/>
      <c r="Y294" s="53">
        <f t="shared" ref="Y294:Y295" si="208">SUM(U294*X294)</f>
        <v>0</v>
      </c>
      <c r="Z294" s="53">
        <f t="shared" si="206"/>
        <v>1498200</v>
      </c>
      <c r="AA294" s="52">
        <f>2022-I294+V294+X294-1/12-5/12</f>
        <v>5</v>
      </c>
      <c r="AB294" s="53">
        <f>SUM(U294*AA294)</f>
        <v>89892000</v>
      </c>
      <c r="AC294" s="53">
        <f t="shared" si="207"/>
        <v>0</v>
      </c>
      <c r="AD294" s="56" t="s">
        <v>354</v>
      </c>
      <c r="AE294" s="70"/>
      <c r="AF294" s="1">
        <v>89892000</v>
      </c>
      <c r="AG294" s="5">
        <f t="shared" ref="AG294:AG357" si="209">AF294+Z294-AB294</f>
        <v>1498200</v>
      </c>
    </row>
    <row r="295" spans="1:33" s="1" customFormat="1" ht="10.5" x14ac:dyDescent="0.25">
      <c r="A295" s="49">
        <v>58</v>
      </c>
      <c r="B295" s="22" t="s">
        <v>1676</v>
      </c>
      <c r="C295" s="22" t="s">
        <v>723</v>
      </c>
      <c r="D295" s="51" t="s">
        <v>721</v>
      </c>
      <c r="E295" s="24" t="s">
        <v>722</v>
      </c>
      <c r="F295" s="24"/>
      <c r="G295" s="24" t="s">
        <v>712</v>
      </c>
      <c r="H295" s="24" t="s">
        <v>62</v>
      </c>
      <c r="I295" s="24">
        <v>2017</v>
      </c>
      <c r="J295" s="24"/>
      <c r="K295" s="24" t="s">
        <v>63</v>
      </c>
      <c r="L295" s="24" t="s">
        <v>64</v>
      </c>
      <c r="M295" s="24">
        <v>28</v>
      </c>
      <c r="N295" s="41">
        <f t="shared" si="203"/>
        <v>2497000</v>
      </c>
      <c r="O295" s="41">
        <v>69916000</v>
      </c>
      <c r="P295" s="24"/>
      <c r="Q295" s="24"/>
      <c r="R295" s="24"/>
      <c r="S295" s="41">
        <f t="shared" si="204"/>
        <v>69916000</v>
      </c>
      <c r="T295" s="24">
        <v>5</v>
      </c>
      <c r="U295" s="41">
        <f>SUM(S295/T295)</f>
        <v>13983200</v>
      </c>
      <c r="V295" s="24">
        <v>0.5</v>
      </c>
      <c r="W295" s="41">
        <f>SUM(U295*V295)-5826333.33333333</f>
        <v>1165266.6666666698</v>
      </c>
      <c r="X295" s="52"/>
      <c r="Y295" s="53">
        <f t="shared" si="208"/>
        <v>0</v>
      </c>
      <c r="Z295" s="53">
        <f t="shared" si="206"/>
        <v>1165266.6666666698</v>
      </c>
      <c r="AA295" s="57">
        <f>2022-I295+V295+X295-1/12-5/12</f>
        <v>5</v>
      </c>
      <c r="AB295" s="53">
        <f>SUM(U295*AA295)</f>
        <v>69916000</v>
      </c>
      <c r="AC295" s="53">
        <f t="shared" si="207"/>
        <v>0</v>
      </c>
      <c r="AD295" s="56" t="s">
        <v>350</v>
      </c>
      <c r="AE295" s="70"/>
      <c r="AF295" s="1">
        <v>69916000</v>
      </c>
      <c r="AG295" s="5">
        <f t="shared" si="209"/>
        <v>1165266.6666666716</v>
      </c>
    </row>
    <row r="296" spans="1:33" s="1" customFormat="1" ht="10.5" x14ac:dyDescent="0.25">
      <c r="A296" s="49">
        <v>59</v>
      </c>
      <c r="B296" s="22" t="s">
        <v>1677</v>
      </c>
      <c r="C296" s="22" t="s">
        <v>274</v>
      </c>
      <c r="D296" s="51" t="s">
        <v>815</v>
      </c>
      <c r="E296" s="24" t="s">
        <v>166</v>
      </c>
      <c r="F296" s="24"/>
      <c r="G296" s="24" t="s">
        <v>319</v>
      </c>
      <c r="H296" s="24" t="s">
        <v>62</v>
      </c>
      <c r="I296" s="24">
        <v>2012</v>
      </c>
      <c r="J296" s="24"/>
      <c r="K296" s="24" t="s">
        <v>63</v>
      </c>
      <c r="L296" s="24" t="s">
        <v>64</v>
      </c>
      <c r="M296" s="24">
        <v>5</v>
      </c>
      <c r="N296" s="41">
        <f t="shared" ref="N296:N301" si="210">SUM(O296/M296)</f>
        <v>1309770</v>
      </c>
      <c r="O296" s="41">
        <v>6548850</v>
      </c>
      <c r="P296" s="24"/>
      <c r="Q296" s="24"/>
      <c r="R296" s="24"/>
      <c r="S296" s="41">
        <f t="shared" ref="S296:S301" si="211">SUM(O296-R296)</f>
        <v>6548850</v>
      </c>
      <c r="T296" s="24">
        <v>5</v>
      </c>
      <c r="U296" s="41"/>
      <c r="V296" s="24">
        <v>0.5</v>
      </c>
      <c r="W296" s="41">
        <f t="shared" ref="W296:W301" si="212">SUM(U296*V296)</f>
        <v>0</v>
      </c>
      <c r="X296" s="52"/>
      <c r="Y296" s="53">
        <f t="shared" ref="Y296:Y301" si="213">SUM(U296*X296)</f>
        <v>0</v>
      </c>
      <c r="Z296" s="53">
        <f t="shared" ref="Z296:Z301" si="214">SUM(W296+Y296)</f>
        <v>0</v>
      </c>
      <c r="AA296" s="52">
        <v>5</v>
      </c>
      <c r="AB296" s="53">
        <v>6548850</v>
      </c>
      <c r="AC296" s="53">
        <f t="shared" ref="AC296:AC313" si="215">SUM(O296-AB296)</f>
        <v>0</v>
      </c>
      <c r="AD296" s="56" t="s">
        <v>744</v>
      </c>
      <c r="AE296" s="70"/>
      <c r="AF296" s="1">
        <v>6548850</v>
      </c>
      <c r="AG296" s="5">
        <f t="shared" si="209"/>
        <v>0</v>
      </c>
    </row>
    <row r="297" spans="1:33" s="1" customFormat="1" ht="10.5" x14ac:dyDescent="0.25">
      <c r="A297" s="49">
        <v>60</v>
      </c>
      <c r="B297" s="22" t="s">
        <v>1677</v>
      </c>
      <c r="C297" s="22" t="s">
        <v>816</v>
      </c>
      <c r="D297" s="51" t="s">
        <v>815</v>
      </c>
      <c r="E297" s="24" t="s">
        <v>166</v>
      </c>
      <c r="F297" s="24"/>
      <c r="G297" s="24" t="s">
        <v>319</v>
      </c>
      <c r="H297" s="24" t="s">
        <v>62</v>
      </c>
      <c r="I297" s="24">
        <v>2012</v>
      </c>
      <c r="J297" s="24"/>
      <c r="K297" s="24" t="s">
        <v>63</v>
      </c>
      <c r="L297" s="24" t="s">
        <v>64</v>
      </c>
      <c r="M297" s="24">
        <v>20</v>
      </c>
      <c r="N297" s="41">
        <f t="shared" si="210"/>
        <v>1309770</v>
      </c>
      <c r="O297" s="41">
        <v>26195400</v>
      </c>
      <c r="P297" s="24"/>
      <c r="Q297" s="24"/>
      <c r="R297" s="24"/>
      <c r="S297" s="41">
        <f t="shared" si="211"/>
        <v>26195400</v>
      </c>
      <c r="T297" s="24">
        <v>5</v>
      </c>
      <c r="U297" s="41"/>
      <c r="V297" s="24">
        <v>0.5</v>
      </c>
      <c r="W297" s="41">
        <f t="shared" si="212"/>
        <v>0</v>
      </c>
      <c r="X297" s="52"/>
      <c r="Y297" s="53">
        <f t="shared" si="213"/>
        <v>0</v>
      </c>
      <c r="Z297" s="53">
        <f t="shared" si="214"/>
        <v>0</v>
      </c>
      <c r="AA297" s="52">
        <v>5</v>
      </c>
      <c r="AB297" s="53">
        <v>26195400</v>
      </c>
      <c r="AC297" s="53">
        <f t="shared" si="215"/>
        <v>0</v>
      </c>
      <c r="AD297" s="56" t="s">
        <v>817</v>
      </c>
      <c r="AE297" s="70"/>
      <c r="AF297" s="1">
        <v>26195400</v>
      </c>
      <c r="AG297" s="5">
        <f t="shared" si="209"/>
        <v>0</v>
      </c>
    </row>
    <row r="298" spans="1:33" s="1" customFormat="1" ht="10.5" x14ac:dyDescent="0.25">
      <c r="A298" s="49">
        <v>61</v>
      </c>
      <c r="B298" s="22" t="s">
        <v>1677</v>
      </c>
      <c r="C298" s="22" t="s">
        <v>818</v>
      </c>
      <c r="D298" s="51" t="s">
        <v>819</v>
      </c>
      <c r="E298" s="24" t="s">
        <v>166</v>
      </c>
      <c r="F298" s="24"/>
      <c r="G298" s="24" t="s">
        <v>319</v>
      </c>
      <c r="H298" s="24" t="s">
        <v>62</v>
      </c>
      <c r="I298" s="24">
        <v>2012</v>
      </c>
      <c r="J298" s="24"/>
      <c r="K298" s="24" t="s">
        <v>63</v>
      </c>
      <c r="L298" s="24" t="s">
        <v>64</v>
      </c>
      <c r="M298" s="24">
        <v>2</v>
      </c>
      <c r="N298" s="41">
        <f t="shared" si="210"/>
        <v>2722500</v>
      </c>
      <c r="O298" s="41">
        <v>5445000</v>
      </c>
      <c r="P298" s="24"/>
      <c r="Q298" s="24"/>
      <c r="R298" s="24"/>
      <c r="S298" s="41">
        <f t="shared" si="211"/>
        <v>5445000</v>
      </c>
      <c r="T298" s="24">
        <v>5</v>
      </c>
      <c r="U298" s="41"/>
      <c r="V298" s="24">
        <v>0.5</v>
      </c>
      <c r="W298" s="41">
        <f t="shared" si="212"/>
        <v>0</v>
      </c>
      <c r="X298" s="52"/>
      <c r="Y298" s="53">
        <f t="shared" si="213"/>
        <v>0</v>
      </c>
      <c r="Z298" s="53">
        <f t="shared" si="214"/>
        <v>0</v>
      </c>
      <c r="AA298" s="52">
        <v>5</v>
      </c>
      <c r="AB298" s="53">
        <v>5445000</v>
      </c>
      <c r="AC298" s="53">
        <f t="shared" si="215"/>
        <v>0</v>
      </c>
      <c r="AD298" s="56" t="s">
        <v>750</v>
      </c>
      <c r="AE298" s="70"/>
      <c r="AF298" s="1">
        <v>5445000</v>
      </c>
      <c r="AG298" s="5">
        <f t="shared" si="209"/>
        <v>0</v>
      </c>
    </row>
    <row r="299" spans="1:33" s="1" customFormat="1" ht="10.5" x14ac:dyDescent="0.25">
      <c r="A299" s="49">
        <v>62</v>
      </c>
      <c r="B299" s="22" t="s">
        <v>1677</v>
      </c>
      <c r="C299" s="22" t="s">
        <v>820</v>
      </c>
      <c r="D299" s="51" t="s">
        <v>821</v>
      </c>
      <c r="E299" s="24" t="s">
        <v>166</v>
      </c>
      <c r="F299" s="24"/>
      <c r="G299" s="24" t="s">
        <v>319</v>
      </c>
      <c r="H299" s="24" t="s">
        <v>62</v>
      </c>
      <c r="I299" s="24">
        <v>2012</v>
      </c>
      <c r="J299" s="24"/>
      <c r="K299" s="24" t="s">
        <v>63</v>
      </c>
      <c r="L299" s="24" t="s">
        <v>64</v>
      </c>
      <c r="M299" s="24">
        <v>5</v>
      </c>
      <c r="N299" s="41">
        <f t="shared" si="210"/>
        <v>1430000</v>
      </c>
      <c r="O299" s="41">
        <v>7150000</v>
      </c>
      <c r="P299" s="24"/>
      <c r="Q299" s="24"/>
      <c r="R299" s="24"/>
      <c r="S299" s="41">
        <f t="shared" si="211"/>
        <v>7150000</v>
      </c>
      <c r="T299" s="24">
        <v>5</v>
      </c>
      <c r="U299" s="41"/>
      <c r="V299" s="24">
        <v>0.5</v>
      </c>
      <c r="W299" s="41">
        <f t="shared" si="212"/>
        <v>0</v>
      </c>
      <c r="X299" s="52"/>
      <c r="Y299" s="53">
        <f t="shared" si="213"/>
        <v>0</v>
      </c>
      <c r="Z299" s="53">
        <f t="shared" si="214"/>
        <v>0</v>
      </c>
      <c r="AA299" s="57">
        <v>5</v>
      </c>
      <c r="AB299" s="53">
        <v>7150000</v>
      </c>
      <c r="AC299" s="53">
        <f t="shared" si="215"/>
        <v>0</v>
      </c>
      <c r="AD299" s="56" t="s">
        <v>744</v>
      </c>
      <c r="AE299" s="70"/>
      <c r="AF299" s="1">
        <v>7150000</v>
      </c>
      <c r="AG299" s="5">
        <f t="shared" si="209"/>
        <v>0</v>
      </c>
    </row>
    <row r="300" spans="1:33" s="1" customFormat="1" ht="10.5" x14ac:dyDescent="0.25">
      <c r="A300" s="49">
        <v>63</v>
      </c>
      <c r="B300" s="22" t="s">
        <v>1677</v>
      </c>
      <c r="C300" s="22" t="s">
        <v>822</v>
      </c>
      <c r="D300" s="51" t="s">
        <v>821</v>
      </c>
      <c r="E300" s="24" t="s">
        <v>166</v>
      </c>
      <c r="F300" s="24"/>
      <c r="G300" s="24" t="s">
        <v>319</v>
      </c>
      <c r="H300" s="24" t="s">
        <v>62</v>
      </c>
      <c r="I300" s="24">
        <v>2012</v>
      </c>
      <c r="J300" s="24"/>
      <c r="K300" s="24" t="s">
        <v>63</v>
      </c>
      <c r="L300" s="24" t="s">
        <v>64</v>
      </c>
      <c r="M300" s="24">
        <v>20</v>
      </c>
      <c r="N300" s="41">
        <f t="shared" si="210"/>
        <v>1430000</v>
      </c>
      <c r="O300" s="41">
        <v>28600000</v>
      </c>
      <c r="P300" s="24"/>
      <c r="Q300" s="24"/>
      <c r="R300" s="24"/>
      <c r="S300" s="41">
        <f t="shared" si="211"/>
        <v>28600000</v>
      </c>
      <c r="T300" s="24">
        <v>5</v>
      </c>
      <c r="U300" s="41"/>
      <c r="V300" s="24">
        <v>0.5</v>
      </c>
      <c r="W300" s="41">
        <f t="shared" si="212"/>
        <v>0</v>
      </c>
      <c r="X300" s="52"/>
      <c r="Y300" s="53">
        <f t="shared" si="213"/>
        <v>0</v>
      </c>
      <c r="Z300" s="53">
        <f t="shared" si="214"/>
        <v>0</v>
      </c>
      <c r="AA300" s="52">
        <v>5</v>
      </c>
      <c r="AB300" s="53">
        <v>28600000</v>
      </c>
      <c r="AC300" s="53">
        <f t="shared" si="215"/>
        <v>0</v>
      </c>
      <c r="AD300" s="56" t="s">
        <v>750</v>
      </c>
      <c r="AE300" s="70"/>
      <c r="AF300" s="1">
        <v>28600000</v>
      </c>
      <c r="AG300" s="5">
        <f t="shared" si="209"/>
        <v>0</v>
      </c>
    </row>
    <row r="301" spans="1:33" s="1" customFormat="1" ht="10.5" x14ac:dyDescent="0.25">
      <c r="A301" s="49">
        <v>64</v>
      </c>
      <c r="B301" s="22" t="s">
        <v>1677</v>
      </c>
      <c r="C301" s="22" t="s">
        <v>726</v>
      </c>
      <c r="D301" s="51" t="s">
        <v>825</v>
      </c>
      <c r="E301" s="24" t="s">
        <v>166</v>
      </c>
      <c r="F301" s="24"/>
      <c r="G301" s="24" t="s">
        <v>319</v>
      </c>
      <c r="H301" s="24" t="s">
        <v>62</v>
      </c>
      <c r="I301" s="24">
        <v>2012</v>
      </c>
      <c r="J301" s="24"/>
      <c r="K301" s="24" t="s">
        <v>63</v>
      </c>
      <c r="L301" s="24" t="s">
        <v>64</v>
      </c>
      <c r="M301" s="24">
        <v>40</v>
      </c>
      <c r="N301" s="41">
        <f t="shared" si="210"/>
        <v>782025</v>
      </c>
      <c r="O301" s="41">
        <v>31281000</v>
      </c>
      <c r="P301" s="24"/>
      <c r="Q301" s="24"/>
      <c r="R301" s="24"/>
      <c r="S301" s="41">
        <f t="shared" si="211"/>
        <v>31281000</v>
      </c>
      <c r="T301" s="24">
        <v>5</v>
      </c>
      <c r="U301" s="41"/>
      <c r="V301" s="24">
        <v>0.5</v>
      </c>
      <c r="W301" s="41">
        <f t="shared" si="212"/>
        <v>0</v>
      </c>
      <c r="X301" s="52"/>
      <c r="Y301" s="53">
        <f t="shared" si="213"/>
        <v>0</v>
      </c>
      <c r="Z301" s="53">
        <f t="shared" si="214"/>
        <v>0</v>
      </c>
      <c r="AA301" s="52">
        <v>5</v>
      </c>
      <c r="AB301" s="53">
        <v>31281000</v>
      </c>
      <c r="AC301" s="53">
        <f t="shared" si="215"/>
        <v>0</v>
      </c>
      <c r="AD301" s="56" t="s">
        <v>357</v>
      </c>
      <c r="AE301" s="70"/>
      <c r="AF301" s="1">
        <v>31281000</v>
      </c>
      <c r="AG301" s="5">
        <f t="shared" si="209"/>
        <v>0</v>
      </c>
    </row>
    <row r="302" spans="1:33" s="1" customFormat="1" ht="10.5" x14ac:dyDescent="0.25">
      <c r="A302" s="49">
        <v>65</v>
      </c>
      <c r="B302" s="22" t="s">
        <v>1678</v>
      </c>
      <c r="C302" s="22" t="s">
        <v>58</v>
      </c>
      <c r="D302" s="51" t="s">
        <v>770</v>
      </c>
      <c r="E302" s="24" t="s">
        <v>771</v>
      </c>
      <c r="F302" s="24"/>
      <c r="G302" s="24" t="s">
        <v>319</v>
      </c>
      <c r="H302" s="24" t="s">
        <v>62</v>
      </c>
      <c r="I302" s="24">
        <v>2008</v>
      </c>
      <c r="J302" s="24"/>
      <c r="K302" s="24" t="s">
        <v>63</v>
      </c>
      <c r="L302" s="24" t="s">
        <v>64</v>
      </c>
      <c r="M302" s="24">
        <v>1</v>
      </c>
      <c r="N302" s="41">
        <f t="shared" ref="N302:N333" si="216">SUM(O302/M302)</f>
        <v>3985000</v>
      </c>
      <c r="O302" s="41">
        <v>3985000</v>
      </c>
      <c r="P302" s="24"/>
      <c r="Q302" s="24"/>
      <c r="R302" s="24"/>
      <c r="S302" s="41">
        <f t="shared" ref="S302:S333" si="217">SUM(O302-R302)</f>
        <v>3985000</v>
      </c>
      <c r="T302" s="24">
        <v>5</v>
      </c>
      <c r="U302" s="41"/>
      <c r="V302" s="24">
        <v>0.5</v>
      </c>
      <c r="W302" s="41">
        <f t="shared" ref="W302:W313" si="218">SUM(U302*V302)</f>
        <v>0</v>
      </c>
      <c r="X302" s="52"/>
      <c r="Y302" s="53">
        <f t="shared" ref="Y302:Y313" si="219">SUM(U302*X302)</f>
        <v>0</v>
      </c>
      <c r="Z302" s="53">
        <f t="shared" ref="Z302:Z313" si="220">SUM(W302+Y302)</f>
        <v>0</v>
      </c>
      <c r="AA302" s="52">
        <v>5</v>
      </c>
      <c r="AB302" s="53">
        <v>3985000</v>
      </c>
      <c r="AC302" s="53">
        <f t="shared" si="215"/>
        <v>0</v>
      </c>
      <c r="AD302" s="56" t="s">
        <v>772</v>
      </c>
      <c r="AE302" s="70"/>
      <c r="AF302" s="1">
        <v>3985000</v>
      </c>
      <c r="AG302" s="5">
        <f t="shared" si="209"/>
        <v>0</v>
      </c>
    </row>
    <row r="303" spans="1:33" s="1" customFormat="1" ht="10.5" x14ac:dyDescent="0.25">
      <c r="A303" s="49">
        <v>66</v>
      </c>
      <c r="B303" s="22" t="s">
        <v>1678</v>
      </c>
      <c r="C303" s="22" t="s">
        <v>75</v>
      </c>
      <c r="D303" s="51" t="s">
        <v>770</v>
      </c>
      <c r="E303" s="24" t="s">
        <v>771</v>
      </c>
      <c r="F303" s="24"/>
      <c r="G303" s="24" t="s">
        <v>319</v>
      </c>
      <c r="H303" s="24" t="s">
        <v>62</v>
      </c>
      <c r="I303" s="24">
        <v>2008</v>
      </c>
      <c r="J303" s="24"/>
      <c r="K303" s="24" t="s">
        <v>63</v>
      </c>
      <c r="L303" s="24" t="s">
        <v>64</v>
      </c>
      <c r="M303" s="24">
        <v>1</v>
      </c>
      <c r="N303" s="41">
        <f t="shared" si="216"/>
        <v>3985000</v>
      </c>
      <c r="O303" s="41">
        <v>3985000</v>
      </c>
      <c r="P303" s="24"/>
      <c r="Q303" s="24"/>
      <c r="R303" s="24"/>
      <c r="S303" s="41">
        <f t="shared" si="217"/>
        <v>3985000</v>
      </c>
      <c r="T303" s="24">
        <v>5</v>
      </c>
      <c r="U303" s="41"/>
      <c r="V303" s="24">
        <v>0.5</v>
      </c>
      <c r="W303" s="41">
        <f t="shared" si="218"/>
        <v>0</v>
      </c>
      <c r="X303" s="52"/>
      <c r="Y303" s="53">
        <f t="shared" si="219"/>
        <v>0</v>
      </c>
      <c r="Z303" s="53">
        <f t="shared" si="220"/>
        <v>0</v>
      </c>
      <c r="AA303" s="57">
        <v>5</v>
      </c>
      <c r="AB303" s="53">
        <v>3985000</v>
      </c>
      <c r="AC303" s="53">
        <f t="shared" si="215"/>
        <v>0</v>
      </c>
      <c r="AD303" s="56" t="s">
        <v>578</v>
      </c>
      <c r="AE303" s="70"/>
      <c r="AF303" s="1">
        <v>3985000</v>
      </c>
      <c r="AG303" s="5">
        <f t="shared" si="209"/>
        <v>0</v>
      </c>
    </row>
    <row r="304" spans="1:33" s="1" customFormat="1" ht="10.5" x14ac:dyDescent="0.25">
      <c r="A304" s="49">
        <v>67</v>
      </c>
      <c r="B304" s="22" t="s">
        <v>1678</v>
      </c>
      <c r="C304" s="22" t="s">
        <v>79</v>
      </c>
      <c r="D304" s="51" t="s">
        <v>770</v>
      </c>
      <c r="E304" s="24" t="s">
        <v>771</v>
      </c>
      <c r="F304" s="24"/>
      <c r="G304" s="24" t="s">
        <v>319</v>
      </c>
      <c r="H304" s="24" t="s">
        <v>62</v>
      </c>
      <c r="I304" s="24">
        <v>2008</v>
      </c>
      <c r="J304" s="24"/>
      <c r="K304" s="24" t="s">
        <v>63</v>
      </c>
      <c r="L304" s="24" t="s">
        <v>64</v>
      </c>
      <c r="M304" s="24">
        <v>1</v>
      </c>
      <c r="N304" s="41">
        <f t="shared" si="216"/>
        <v>3985000</v>
      </c>
      <c r="O304" s="41">
        <v>3985000</v>
      </c>
      <c r="P304" s="24"/>
      <c r="Q304" s="24"/>
      <c r="R304" s="24"/>
      <c r="S304" s="41">
        <f t="shared" si="217"/>
        <v>3985000</v>
      </c>
      <c r="T304" s="24">
        <v>5</v>
      </c>
      <c r="U304" s="41"/>
      <c r="V304" s="24">
        <v>0.5</v>
      </c>
      <c r="W304" s="41">
        <f t="shared" si="218"/>
        <v>0</v>
      </c>
      <c r="X304" s="52"/>
      <c r="Y304" s="53">
        <f t="shared" si="219"/>
        <v>0</v>
      </c>
      <c r="Z304" s="53">
        <f t="shared" si="220"/>
        <v>0</v>
      </c>
      <c r="AA304" s="57">
        <v>5</v>
      </c>
      <c r="AB304" s="53">
        <v>3985000</v>
      </c>
      <c r="AC304" s="53">
        <f t="shared" si="215"/>
        <v>0</v>
      </c>
      <c r="AD304" s="56" t="s">
        <v>540</v>
      </c>
      <c r="AE304" s="70"/>
      <c r="AF304" s="1">
        <v>3985000</v>
      </c>
      <c r="AG304" s="5">
        <f t="shared" si="209"/>
        <v>0</v>
      </c>
    </row>
    <row r="305" spans="1:33" s="1" customFormat="1" ht="10.5" x14ac:dyDescent="0.25">
      <c r="A305" s="49">
        <v>68</v>
      </c>
      <c r="B305" s="22" t="s">
        <v>1678</v>
      </c>
      <c r="C305" s="22" t="s">
        <v>84</v>
      </c>
      <c r="D305" s="51" t="s">
        <v>770</v>
      </c>
      <c r="E305" s="24" t="s">
        <v>771</v>
      </c>
      <c r="F305" s="24"/>
      <c r="G305" s="24" t="s">
        <v>319</v>
      </c>
      <c r="H305" s="24" t="s">
        <v>62</v>
      </c>
      <c r="I305" s="24">
        <v>2008</v>
      </c>
      <c r="J305" s="24"/>
      <c r="K305" s="24" t="s">
        <v>63</v>
      </c>
      <c r="L305" s="24" t="s">
        <v>64</v>
      </c>
      <c r="M305" s="24">
        <v>1</v>
      </c>
      <c r="N305" s="41">
        <f t="shared" si="216"/>
        <v>3985000</v>
      </c>
      <c r="O305" s="41">
        <v>3985000</v>
      </c>
      <c r="P305" s="24"/>
      <c r="Q305" s="24"/>
      <c r="R305" s="24"/>
      <c r="S305" s="41">
        <f t="shared" si="217"/>
        <v>3985000</v>
      </c>
      <c r="T305" s="24">
        <v>5</v>
      </c>
      <c r="U305" s="41"/>
      <c r="V305" s="24">
        <v>0.5</v>
      </c>
      <c r="W305" s="41">
        <f t="shared" si="218"/>
        <v>0</v>
      </c>
      <c r="X305" s="52"/>
      <c r="Y305" s="53">
        <f t="shared" si="219"/>
        <v>0</v>
      </c>
      <c r="Z305" s="53">
        <f t="shared" si="220"/>
        <v>0</v>
      </c>
      <c r="AA305" s="57">
        <v>5</v>
      </c>
      <c r="AB305" s="53">
        <v>3985000</v>
      </c>
      <c r="AC305" s="53">
        <f t="shared" si="215"/>
        <v>0</v>
      </c>
      <c r="AD305" s="56" t="s">
        <v>351</v>
      </c>
      <c r="AE305" s="70"/>
      <c r="AF305" s="1">
        <v>3985000</v>
      </c>
      <c r="AG305" s="5">
        <f t="shared" si="209"/>
        <v>0</v>
      </c>
    </row>
    <row r="306" spans="1:33" s="1" customFormat="1" ht="10.5" x14ac:dyDescent="0.25">
      <c r="A306" s="49">
        <v>69</v>
      </c>
      <c r="B306" s="22" t="s">
        <v>1678</v>
      </c>
      <c r="C306" s="22" t="s">
        <v>88</v>
      </c>
      <c r="D306" s="51" t="s">
        <v>770</v>
      </c>
      <c r="E306" s="24" t="s">
        <v>771</v>
      </c>
      <c r="F306" s="24"/>
      <c r="G306" s="24" t="s">
        <v>319</v>
      </c>
      <c r="H306" s="24" t="s">
        <v>62</v>
      </c>
      <c r="I306" s="24">
        <v>2008</v>
      </c>
      <c r="J306" s="24"/>
      <c r="K306" s="24" t="s">
        <v>63</v>
      </c>
      <c r="L306" s="24" t="s">
        <v>64</v>
      </c>
      <c r="M306" s="24">
        <v>1</v>
      </c>
      <c r="N306" s="41">
        <f t="shared" si="216"/>
        <v>3985000</v>
      </c>
      <c r="O306" s="41">
        <v>3985000</v>
      </c>
      <c r="P306" s="24"/>
      <c r="Q306" s="24"/>
      <c r="R306" s="24"/>
      <c r="S306" s="41">
        <f t="shared" si="217"/>
        <v>3985000</v>
      </c>
      <c r="T306" s="24">
        <v>5</v>
      </c>
      <c r="U306" s="41"/>
      <c r="V306" s="24">
        <v>0.5</v>
      </c>
      <c r="W306" s="41">
        <f t="shared" si="218"/>
        <v>0</v>
      </c>
      <c r="X306" s="52"/>
      <c r="Y306" s="53">
        <f t="shared" si="219"/>
        <v>0</v>
      </c>
      <c r="Z306" s="53">
        <f t="shared" si="220"/>
        <v>0</v>
      </c>
      <c r="AA306" s="57">
        <v>5</v>
      </c>
      <c r="AB306" s="53">
        <v>3985000</v>
      </c>
      <c r="AC306" s="53">
        <f t="shared" si="215"/>
        <v>0</v>
      </c>
      <c r="AD306" s="56" t="s">
        <v>601</v>
      </c>
      <c r="AE306" s="70"/>
      <c r="AF306" s="1">
        <v>3985000</v>
      </c>
      <c r="AG306" s="5">
        <f t="shared" si="209"/>
        <v>0</v>
      </c>
    </row>
    <row r="307" spans="1:33" s="1" customFormat="1" ht="10.5" x14ac:dyDescent="0.25">
      <c r="A307" s="49">
        <v>70</v>
      </c>
      <c r="B307" s="22" t="s">
        <v>1678</v>
      </c>
      <c r="C307" s="22" t="s">
        <v>92</v>
      </c>
      <c r="D307" s="51" t="s">
        <v>770</v>
      </c>
      <c r="E307" s="24" t="s">
        <v>771</v>
      </c>
      <c r="F307" s="24"/>
      <c r="G307" s="24" t="s">
        <v>319</v>
      </c>
      <c r="H307" s="24" t="s">
        <v>62</v>
      </c>
      <c r="I307" s="24">
        <v>2008</v>
      </c>
      <c r="J307" s="24"/>
      <c r="K307" s="24" t="s">
        <v>63</v>
      </c>
      <c r="L307" s="24" t="s">
        <v>64</v>
      </c>
      <c r="M307" s="24">
        <v>1</v>
      </c>
      <c r="N307" s="41">
        <f t="shared" si="216"/>
        <v>3985000</v>
      </c>
      <c r="O307" s="41">
        <v>3985000</v>
      </c>
      <c r="P307" s="24"/>
      <c r="Q307" s="24"/>
      <c r="R307" s="24"/>
      <c r="S307" s="41">
        <f t="shared" si="217"/>
        <v>3985000</v>
      </c>
      <c r="T307" s="24">
        <v>5</v>
      </c>
      <c r="U307" s="41"/>
      <c r="V307" s="24">
        <v>0.5</v>
      </c>
      <c r="W307" s="41">
        <f t="shared" si="218"/>
        <v>0</v>
      </c>
      <c r="X307" s="52"/>
      <c r="Y307" s="53">
        <f t="shared" si="219"/>
        <v>0</v>
      </c>
      <c r="Z307" s="53">
        <f t="shared" si="220"/>
        <v>0</v>
      </c>
      <c r="AA307" s="57">
        <v>5</v>
      </c>
      <c r="AB307" s="53">
        <v>3985000</v>
      </c>
      <c r="AC307" s="53">
        <f t="shared" si="215"/>
        <v>0</v>
      </c>
      <c r="AD307" s="56" t="s">
        <v>605</v>
      </c>
      <c r="AE307" s="70"/>
      <c r="AF307" s="1">
        <v>3985000</v>
      </c>
      <c r="AG307" s="5">
        <f t="shared" si="209"/>
        <v>0</v>
      </c>
    </row>
    <row r="308" spans="1:33" s="1" customFormat="1" ht="10.5" x14ac:dyDescent="0.25">
      <c r="A308" s="49">
        <v>71</v>
      </c>
      <c r="B308" s="22" t="s">
        <v>1678</v>
      </c>
      <c r="C308" s="22" t="s">
        <v>96</v>
      </c>
      <c r="D308" s="51" t="s">
        <v>770</v>
      </c>
      <c r="E308" s="24" t="s">
        <v>771</v>
      </c>
      <c r="F308" s="24"/>
      <c r="G308" s="24" t="s">
        <v>319</v>
      </c>
      <c r="H308" s="24" t="s">
        <v>62</v>
      </c>
      <c r="I308" s="24">
        <v>2008</v>
      </c>
      <c r="J308" s="24"/>
      <c r="K308" s="24" t="s">
        <v>63</v>
      </c>
      <c r="L308" s="24" t="s">
        <v>64</v>
      </c>
      <c r="M308" s="24">
        <v>1</v>
      </c>
      <c r="N308" s="41">
        <f t="shared" si="216"/>
        <v>3985000</v>
      </c>
      <c r="O308" s="41">
        <v>3985000</v>
      </c>
      <c r="P308" s="24"/>
      <c r="Q308" s="24"/>
      <c r="R308" s="24"/>
      <c r="S308" s="41">
        <f t="shared" si="217"/>
        <v>3985000</v>
      </c>
      <c r="T308" s="24">
        <v>5</v>
      </c>
      <c r="U308" s="41"/>
      <c r="V308" s="24">
        <v>0.5</v>
      </c>
      <c r="W308" s="41">
        <f t="shared" si="218"/>
        <v>0</v>
      </c>
      <c r="X308" s="52"/>
      <c r="Y308" s="53">
        <f t="shared" si="219"/>
        <v>0</v>
      </c>
      <c r="Z308" s="53">
        <f t="shared" si="220"/>
        <v>0</v>
      </c>
      <c r="AA308" s="57">
        <v>5</v>
      </c>
      <c r="AB308" s="53">
        <v>3985000</v>
      </c>
      <c r="AC308" s="53">
        <f t="shared" si="215"/>
        <v>0</v>
      </c>
      <c r="AD308" s="56" t="s">
        <v>759</v>
      </c>
      <c r="AE308" s="70"/>
      <c r="AF308" s="1">
        <v>3985000</v>
      </c>
      <c r="AG308" s="5">
        <f t="shared" si="209"/>
        <v>0</v>
      </c>
    </row>
    <row r="309" spans="1:33" s="1" customFormat="1" ht="10.5" x14ac:dyDescent="0.25">
      <c r="A309" s="49">
        <v>72</v>
      </c>
      <c r="B309" s="22" t="s">
        <v>1678</v>
      </c>
      <c r="C309" s="22" t="s">
        <v>100</v>
      </c>
      <c r="D309" s="51" t="s">
        <v>770</v>
      </c>
      <c r="E309" s="24" t="s">
        <v>771</v>
      </c>
      <c r="F309" s="24"/>
      <c r="G309" s="24" t="s">
        <v>319</v>
      </c>
      <c r="H309" s="24" t="s">
        <v>62</v>
      </c>
      <c r="I309" s="24">
        <v>2008</v>
      </c>
      <c r="J309" s="24"/>
      <c r="K309" s="24" t="s">
        <v>63</v>
      </c>
      <c r="L309" s="24" t="s">
        <v>64</v>
      </c>
      <c r="M309" s="24">
        <v>1</v>
      </c>
      <c r="N309" s="41">
        <f t="shared" si="216"/>
        <v>3985000</v>
      </c>
      <c r="O309" s="41">
        <v>3985000</v>
      </c>
      <c r="P309" s="24"/>
      <c r="Q309" s="24"/>
      <c r="R309" s="24"/>
      <c r="S309" s="41">
        <f t="shared" si="217"/>
        <v>3985000</v>
      </c>
      <c r="T309" s="24">
        <v>5</v>
      </c>
      <c r="U309" s="41"/>
      <c r="V309" s="24">
        <v>0.5</v>
      </c>
      <c r="W309" s="41">
        <f t="shared" si="218"/>
        <v>0</v>
      </c>
      <c r="X309" s="52"/>
      <c r="Y309" s="53">
        <f t="shared" si="219"/>
        <v>0</v>
      </c>
      <c r="Z309" s="53">
        <f t="shared" si="220"/>
        <v>0</v>
      </c>
      <c r="AA309" s="57">
        <v>5</v>
      </c>
      <c r="AB309" s="53">
        <v>3985000</v>
      </c>
      <c r="AC309" s="53">
        <f t="shared" si="215"/>
        <v>0</v>
      </c>
      <c r="AD309" s="56" t="s">
        <v>387</v>
      </c>
      <c r="AE309" s="70"/>
      <c r="AF309" s="1">
        <v>3985000</v>
      </c>
      <c r="AG309" s="5">
        <f t="shared" si="209"/>
        <v>0</v>
      </c>
    </row>
    <row r="310" spans="1:33" s="1" customFormat="1" ht="10.5" x14ac:dyDescent="0.25">
      <c r="A310" s="49">
        <v>73</v>
      </c>
      <c r="B310" s="22" t="s">
        <v>1678</v>
      </c>
      <c r="C310" s="22" t="s">
        <v>105</v>
      </c>
      <c r="D310" s="51" t="s">
        <v>770</v>
      </c>
      <c r="E310" s="24" t="s">
        <v>771</v>
      </c>
      <c r="F310" s="24"/>
      <c r="G310" s="24" t="s">
        <v>319</v>
      </c>
      <c r="H310" s="24" t="s">
        <v>62</v>
      </c>
      <c r="I310" s="24">
        <v>2008</v>
      </c>
      <c r="J310" s="24"/>
      <c r="K310" s="24" t="s">
        <v>63</v>
      </c>
      <c r="L310" s="24" t="s">
        <v>64</v>
      </c>
      <c r="M310" s="24">
        <v>1</v>
      </c>
      <c r="N310" s="41">
        <f t="shared" si="216"/>
        <v>3985000</v>
      </c>
      <c r="O310" s="41">
        <v>3985000</v>
      </c>
      <c r="P310" s="24"/>
      <c r="Q310" s="24"/>
      <c r="R310" s="24"/>
      <c r="S310" s="41">
        <f t="shared" si="217"/>
        <v>3985000</v>
      </c>
      <c r="T310" s="24">
        <v>5</v>
      </c>
      <c r="U310" s="41"/>
      <c r="V310" s="24">
        <v>0.5</v>
      </c>
      <c r="W310" s="41">
        <f t="shared" si="218"/>
        <v>0</v>
      </c>
      <c r="X310" s="57"/>
      <c r="Y310" s="53">
        <f t="shared" si="219"/>
        <v>0</v>
      </c>
      <c r="Z310" s="53">
        <f t="shared" si="220"/>
        <v>0</v>
      </c>
      <c r="AA310" s="57">
        <v>5</v>
      </c>
      <c r="AB310" s="53">
        <v>3985000</v>
      </c>
      <c r="AC310" s="53">
        <f t="shared" si="215"/>
        <v>0</v>
      </c>
      <c r="AD310" s="56" t="s">
        <v>388</v>
      </c>
      <c r="AE310" s="70"/>
      <c r="AF310" s="1">
        <v>3985000</v>
      </c>
      <c r="AG310" s="5">
        <f t="shared" si="209"/>
        <v>0</v>
      </c>
    </row>
    <row r="311" spans="1:33" s="1" customFormat="1" ht="10.5" x14ac:dyDescent="0.25">
      <c r="A311" s="49">
        <v>74</v>
      </c>
      <c r="B311" s="22" t="s">
        <v>1678</v>
      </c>
      <c r="C311" s="22" t="s">
        <v>108</v>
      </c>
      <c r="D311" s="51" t="s">
        <v>770</v>
      </c>
      <c r="E311" s="24" t="s">
        <v>771</v>
      </c>
      <c r="F311" s="24"/>
      <c r="G311" s="24" t="s">
        <v>319</v>
      </c>
      <c r="H311" s="24" t="s">
        <v>62</v>
      </c>
      <c r="I311" s="24">
        <v>2008</v>
      </c>
      <c r="J311" s="24"/>
      <c r="K311" s="24" t="s">
        <v>63</v>
      </c>
      <c r="L311" s="24" t="s">
        <v>64</v>
      </c>
      <c r="M311" s="24">
        <v>1</v>
      </c>
      <c r="N311" s="41">
        <f t="shared" si="216"/>
        <v>3985000</v>
      </c>
      <c r="O311" s="41">
        <v>3985000</v>
      </c>
      <c r="P311" s="24"/>
      <c r="Q311" s="24"/>
      <c r="R311" s="24"/>
      <c r="S311" s="41">
        <f t="shared" si="217"/>
        <v>3985000</v>
      </c>
      <c r="T311" s="24">
        <v>5</v>
      </c>
      <c r="U311" s="41"/>
      <c r="V311" s="24">
        <v>0.5</v>
      </c>
      <c r="W311" s="41">
        <f t="shared" si="218"/>
        <v>0</v>
      </c>
      <c r="X311" s="24"/>
      <c r="Y311" s="41">
        <f t="shared" si="219"/>
        <v>0</v>
      </c>
      <c r="Z311" s="41">
        <f t="shared" si="220"/>
        <v>0</v>
      </c>
      <c r="AA311" s="24">
        <v>5</v>
      </c>
      <c r="AB311" s="41">
        <v>3985000</v>
      </c>
      <c r="AC311" s="41">
        <f t="shared" si="215"/>
        <v>0</v>
      </c>
      <c r="AD311" s="70" t="s">
        <v>385</v>
      </c>
      <c r="AE311" s="70"/>
      <c r="AF311" s="1">
        <v>3985000</v>
      </c>
      <c r="AG311" s="5">
        <f t="shared" si="209"/>
        <v>0</v>
      </c>
    </row>
    <row r="312" spans="1:33" s="1" customFormat="1" ht="10.5" x14ac:dyDescent="0.25">
      <c r="A312" s="49">
        <v>75</v>
      </c>
      <c r="B312" s="22" t="s">
        <v>1678</v>
      </c>
      <c r="C312" s="22" t="s">
        <v>135</v>
      </c>
      <c r="D312" s="51" t="s">
        <v>770</v>
      </c>
      <c r="E312" s="24" t="s">
        <v>771</v>
      </c>
      <c r="F312" s="24"/>
      <c r="G312" s="24" t="s">
        <v>319</v>
      </c>
      <c r="H312" s="24" t="s">
        <v>62</v>
      </c>
      <c r="I312" s="24">
        <v>2011</v>
      </c>
      <c r="J312" s="24"/>
      <c r="K312" s="24" t="s">
        <v>202</v>
      </c>
      <c r="L312" s="24" t="s">
        <v>64</v>
      </c>
      <c r="M312" s="24">
        <v>1</v>
      </c>
      <c r="N312" s="41">
        <f t="shared" si="216"/>
        <v>8000000</v>
      </c>
      <c r="O312" s="41">
        <v>8000000</v>
      </c>
      <c r="P312" s="24"/>
      <c r="Q312" s="24"/>
      <c r="R312" s="24"/>
      <c r="S312" s="41">
        <f t="shared" si="217"/>
        <v>8000000</v>
      </c>
      <c r="T312" s="24">
        <v>5</v>
      </c>
      <c r="U312" s="41"/>
      <c r="V312" s="24">
        <v>0.5</v>
      </c>
      <c r="W312" s="41">
        <f t="shared" si="218"/>
        <v>0</v>
      </c>
      <c r="X312" s="24"/>
      <c r="Y312" s="41">
        <f t="shared" si="219"/>
        <v>0</v>
      </c>
      <c r="Z312" s="41">
        <f t="shared" si="220"/>
        <v>0</v>
      </c>
      <c r="AA312" s="24">
        <v>5</v>
      </c>
      <c r="AB312" s="41">
        <v>8000000</v>
      </c>
      <c r="AC312" s="41">
        <f t="shared" si="215"/>
        <v>0</v>
      </c>
      <c r="AD312" s="70" t="s">
        <v>335</v>
      </c>
      <c r="AE312" s="70"/>
      <c r="AF312" s="1">
        <v>8000000</v>
      </c>
      <c r="AG312" s="5">
        <f t="shared" si="209"/>
        <v>0</v>
      </c>
    </row>
    <row r="313" spans="1:33" s="1" customFormat="1" ht="10.5" x14ac:dyDescent="0.25">
      <c r="A313" s="49">
        <v>76</v>
      </c>
      <c r="B313" s="22" t="s">
        <v>1678</v>
      </c>
      <c r="C313" s="50" t="s">
        <v>138</v>
      </c>
      <c r="D313" s="51" t="s">
        <v>770</v>
      </c>
      <c r="E313" s="52" t="s">
        <v>771</v>
      </c>
      <c r="F313" s="52"/>
      <c r="G313" s="52" t="s">
        <v>319</v>
      </c>
      <c r="H313" s="52" t="s">
        <v>62</v>
      </c>
      <c r="I313" s="52">
        <v>2021</v>
      </c>
      <c r="J313" s="52"/>
      <c r="K313" s="52" t="s">
        <v>202</v>
      </c>
      <c r="L313" s="52" t="s">
        <v>64</v>
      </c>
      <c r="M313" s="52">
        <v>1</v>
      </c>
      <c r="N313" s="53">
        <f t="shared" si="216"/>
        <v>6000000</v>
      </c>
      <c r="O313" s="53">
        <v>6000000</v>
      </c>
      <c r="P313" s="52"/>
      <c r="Q313" s="52"/>
      <c r="R313" s="52"/>
      <c r="S313" s="53">
        <f t="shared" si="217"/>
        <v>6000000</v>
      </c>
      <c r="T313" s="52">
        <v>5</v>
      </c>
      <c r="U313" s="53">
        <f t="shared" ref="U313" si="221">SUM(S313/T313)</f>
        <v>1200000</v>
      </c>
      <c r="V313" s="52">
        <v>0.5</v>
      </c>
      <c r="W313" s="53">
        <f t="shared" si="218"/>
        <v>600000</v>
      </c>
      <c r="X313" s="24">
        <v>0.5</v>
      </c>
      <c r="Y313" s="41">
        <f t="shared" si="219"/>
        <v>600000</v>
      </c>
      <c r="Z313" s="41">
        <f t="shared" si="220"/>
        <v>1200000</v>
      </c>
      <c r="AA313" s="24">
        <f>1/12+0.5+0.5</f>
        <v>1.0833333333333335</v>
      </c>
      <c r="AB313" s="41">
        <f t="shared" ref="AB313" si="222">SUM(U313*AA313)</f>
        <v>1300000.0000000002</v>
      </c>
      <c r="AC313" s="41">
        <f t="shared" si="215"/>
        <v>4700000</v>
      </c>
      <c r="AD313" s="70" t="s">
        <v>773</v>
      </c>
      <c r="AE313" s="70"/>
      <c r="AF313" s="1">
        <v>1300000.0000000002</v>
      </c>
      <c r="AG313" s="5">
        <f t="shared" si="209"/>
        <v>1199999.9999999998</v>
      </c>
    </row>
    <row r="314" spans="1:33" s="1" customFormat="1" ht="10.5" x14ac:dyDescent="0.25">
      <c r="A314" s="49">
        <v>77</v>
      </c>
      <c r="B314" s="22" t="s">
        <v>1679</v>
      </c>
      <c r="C314" s="22" t="s">
        <v>734</v>
      </c>
      <c r="D314" s="51" t="s">
        <v>735</v>
      </c>
      <c r="E314" s="24" t="s">
        <v>736</v>
      </c>
      <c r="F314" s="24"/>
      <c r="G314" s="24" t="s">
        <v>737</v>
      </c>
      <c r="H314" s="24" t="s">
        <v>62</v>
      </c>
      <c r="I314" s="24">
        <v>2012</v>
      </c>
      <c r="J314" s="24"/>
      <c r="K314" s="24" t="s">
        <v>63</v>
      </c>
      <c r="L314" s="24" t="s">
        <v>64</v>
      </c>
      <c r="M314" s="24">
        <v>42</v>
      </c>
      <c r="N314" s="41">
        <f t="shared" si="216"/>
        <v>666600</v>
      </c>
      <c r="O314" s="41">
        <v>27997200</v>
      </c>
      <c r="P314" s="24"/>
      <c r="Q314" s="24"/>
      <c r="R314" s="24"/>
      <c r="S314" s="41">
        <f t="shared" si="217"/>
        <v>27997200</v>
      </c>
      <c r="T314" s="24">
        <v>5</v>
      </c>
      <c r="U314" s="41"/>
      <c r="V314" s="24">
        <v>0.5</v>
      </c>
      <c r="W314" s="41">
        <f t="shared" ref="W314:W316" si="223">SUM(U314*V314)</f>
        <v>0</v>
      </c>
      <c r="X314" s="24"/>
      <c r="Y314" s="41">
        <f t="shared" ref="Y314:Y316" si="224">SUM(U314*X314)</f>
        <v>0</v>
      </c>
      <c r="Z314" s="41">
        <f t="shared" ref="Z314:Z315" si="225">SUM(W314+Y314)</f>
        <v>0</v>
      </c>
      <c r="AA314" s="24">
        <v>5</v>
      </c>
      <c r="AB314" s="41">
        <v>27997200</v>
      </c>
      <c r="AC314" s="41">
        <f t="shared" ref="AC314:AC315" si="226">SUM(O314-AB314)</f>
        <v>0</v>
      </c>
      <c r="AD314" s="70" t="s">
        <v>288</v>
      </c>
      <c r="AE314" s="70"/>
      <c r="AF314" s="1">
        <v>27997200</v>
      </c>
      <c r="AG314" s="5">
        <f t="shared" si="209"/>
        <v>0</v>
      </c>
    </row>
    <row r="315" spans="1:33" s="1" customFormat="1" ht="10.5" x14ac:dyDescent="0.25">
      <c r="A315" s="49">
        <v>78</v>
      </c>
      <c r="B315" s="22" t="s">
        <v>1679</v>
      </c>
      <c r="C315" s="22" t="s">
        <v>738</v>
      </c>
      <c r="D315" s="51" t="s">
        <v>735</v>
      </c>
      <c r="E315" s="24" t="s">
        <v>739</v>
      </c>
      <c r="F315" s="24"/>
      <c r="G315" s="24" t="s">
        <v>737</v>
      </c>
      <c r="H315" s="24" t="s">
        <v>62</v>
      </c>
      <c r="I315" s="24">
        <v>2012</v>
      </c>
      <c r="J315" s="24">
        <v>0</v>
      </c>
      <c r="K315" s="24" t="s">
        <v>63</v>
      </c>
      <c r="L315" s="24" t="s">
        <v>64</v>
      </c>
      <c r="M315" s="24">
        <v>40</v>
      </c>
      <c r="N315" s="41">
        <f t="shared" si="216"/>
        <v>500500</v>
      </c>
      <c r="O315" s="41">
        <v>20020000</v>
      </c>
      <c r="P315" s="24"/>
      <c r="Q315" s="24"/>
      <c r="R315" s="24"/>
      <c r="S315" s="41">
        <f t="shared" si="217"/>
        <v>20020000</v>
      </c>
      <c r="T315" s="24">
        <v>5</v>
      </c>
      <c r="U315" s="41"/>
      <c r="V315" s="24">
        <v>0.5</v>
      </c>
      <c r="W315" s="41">
        <f t="shared" si="223"/>
        <v>0</v>
      </c>
      <c r="X315" s="24"/>
      <c r="Y315" s="41">
        <f t="shared" si="224"/>
        <v>0</v>
      </c>
      <c r="Z315" s="41">
        <f t="shared" si="225"/>
        <v>0</v>
      </c>
      <c r="AA315" s="24">
        <v>5</v>
      </c>
      <c r="AB315" s="41">
        <v>20020000</v>
      </c>
      <c r="AC315" s="41">
        <f t="shared" si="226"/>
        <v>0</v>
      </c>
      <c r="AD315" s="70" t="s">
        <v>301</v>
      </c>
      <c r="AE315" s="70"/>
      <c r="AF315" s="1">
        <v>20020000</v>
      </c>
      <c r="AG315" s="5">
        <f t="shared" si="209"/>
        <v>0</v>
      </c>
    </row>
    <row r="316" spans="1:33" s="1" customFormat="1" ht="10.5" x14ac:dyDescent="0.25">
      <c r="A316" s="49">
        <v>79</v>
      </c>
      <c r="B316" s="22" t="s">
        <v>1679</v>
      </c>
      <c r="C316" s="22" t="s">
        <v>752</v>
      </c>
      <c r="D316" s="51" t="s">
        <v>753</v>
      </c>
      <c r="E316" s="24" t="s">
        <v>754</v>
      </c>
      <c r="F316" s="24"/>
      <c r="G316" s="24" t="s">
        <v>737</v>
      </c>
      <c r="H316" s="24" t="s">
        <v>62</v>
      </c>
      <c r="I316" s="24">
        <v>2005</v>
      </c>
      <c r="J316" s="24"/>
      <c r="K316" s="24" t="s">
        <v>63</v>
      </c>
      <c r="L316" s="24" t="s">
        <v>64</v>
      </c>
      <c r="M316" s="24">
        <v>25</v>
      </c>
      <c r="N316" s="41">
        <f t="shared" si="216"/>
        <v>225000</v>
      </c>
      <c r="O316" s="41">
        <v>5625000</v>
      </c>
      <c r="P316" s="24"/>
      <c r="Q316" s="24"/>
      <c r="R316" s="24"/>
      <c r="S316" s="41">
        <f t="shared" si="217"/>
        <v>5625000</v>
      </c>
      <c r="T316" s="24">
        <v>5</v>
      </c>
      <c r="U316" s="41"/>
      <c r="V316" s="24">
        <v>0.5</v>
      </c>
      <c r="W316" s="41">
        <f t="shared" si="223"/>
        <v>0</v>
      </c>
      <c r="X316" s="24"/>
      <c r="Y316" s="41">
        <f t="shared" si="224"/>
        <v>0</v>
      </c>
      <c r="Z316" s="41">
        <f t="shared" ref="Z316:Z326" si="227">SUM(W316+Y316)</f>
        <v>0</v>
      </c>
      <c r="AA316" s="24">
        <v>5</v>
      </c>
      <c r="AB316" s="41">
        <v>5625000</v>
      </c>
      <c r="AC316" s="41">
        <f t="shared" ref="AC316:AC326" si="228">SUM(O316-AB316)</f>
        <v>0</v>
      </c>
      <c r="AD316" s="70" t="s">
        <v>213</v>
      </c>
      <c r="AE316" s="70"/>
      <c r="AF316" s="1">
        <v>5625000</v>
      </c>
      <c r="AG316" s="5">
        <f t="shared" si="209"/>
        <v>0</v>
      </c>
    </row>
    <row r="317" spans="1:33" s="1" customFormat="1" ht="10.5" x14ac:dyDescent="0.25">
      <c r="A317" s="49">
        <v>80</v>
      </c>
      <c r="B317" s="22" t="s">
        <v>1679</v>
      </c>
      <c r="C317" s="22" t="s">
        <v>755</v>
      </c>
      <c r="D317" s="51" t="s">
        <v>753</v>
      </c>
      <c r="E317" s="24" t="s">
        <v>756</v>
      </c>
      <c r="F317" s="24"/>
      <c r="G317" s="24" t="s">
        <v>737</v>
      </c>
      <c r="H317" s="24" t="s">
        <v>62</v>
      </c>
      <c r="I317" s="24">
        <v>2005</v>
      </c>
      <c r="J317" s="24"/>
      <c r="K317" s="24" t="s">
        <v>63</v>
      </c>
      <c r="L317" s="24" t="s">
        <v>64</v>
      </c>
      <c r="M317" s="24">
        <v>10</v>
      </c>
      <c r="N317" s="41">
        <f t="shared" si="216"/>
        <v>220000</v>
      </c>
      <c r="O317" s="41">
        <v>2200000</v>
      </c>
      <c r="P317" s="24"/>
      <c r="Q317" s="24"/>
      <c r="R317" s="24"/>
      <c r="S317" s="41">
        <f t="shared" si="217"/>
        <v>2200000</v>
      </c>
      <c r="T317" s="24">
        <v>5</v>
      </c>
      <c r="U317" s="41"/>
      <c r="V317" s="24">
        <v>0.5</v>
      </c>
      <c r="W317" s="41">
        <f t="shared" ref="W317:W326" si="229">SUM(U317*V317)</f>
        <v>0</v>
      </c>
      <c r="X317" s="24"/>
      <c r="Y317" s="41">
        <f t="shared" ref="Y317:Y326" si="230">SUM(U317*X317)</f>
        <v>0</v>
      </c>
      <c r="Z317" s="41">
        <f t="shared" si="227"/>
        <v>0</v>
      </c>
      <c r="AA317" s="24">
        <v>5</v>
      </c>
      <c r="AB317" s="41">
        <v>2200000</v>
      </c>
      <c r="AC317" s="41">
        <f t="shared" si="228"/>
        <v>0</v>
      </c>
      <c r="AD317" s="70" t="s">
        <v>295</v>
      </c>
      <c r="AE317" s="70"/>
      <c r="AF317" s="1">
        <v>2200000</v>
      </c>
      <c r="AG317" s="5">
        <f t="shared" si="209"/>
        <v>0</v>
      </c>
    </row>
    <row r="318" spans="1:33" s="1" customFormat="1" ht="10.5" x14ac:dyDescent="0.25">
      <c r="A318" s="49">
        <v>81</v>
      </c>
      <c r="B318" s="22" t="s">
        <v>1679</v>
      </c>
      <c r="C318" s="22" t="s">
        <v>757</v>
      </c>
      <c r="D318" s="51" t="s">
        <v>753</v>
      </c>
      <c r="E318" s="24" t="s">
        <v>756</v>
      </c>
      <c r="F318" s="24"/>
      <c r="G318" s="24" t="s">
        <v>737</v>
      </c>
      <c r="H318" s="24" t="s">
        <v>62</v>
      </c>
      <c r="I318" s="24">
        <v>2005</v>
      </c>
      <c r="J318" s="24"/>
      <c r="K318" s="24" t="s">
        <v>63</v>
      </c>
      <c r="L318" s="24" t="s">
        <v>64</v>
      </c>
      <c r="M318" s="24">
        <v>6</v>
      </c>
      <c r="N318" s="41">
        <f t="shared" si="216"/>
        <v>220000</v>
      </c>
      <c r="O318" s="41">
        <v>1320000</v>
      </c>
      <c r="P318" s="24"/>
      <c r="Q318" s="24"/>
      <c r="R318" s="24"/>
      <c r="S318" s="41">
        <f t="shared" si="217"/>
        <v>1320000</v>
      </c>
      <c r="T318" s="24">
        <v>5</v>
      </c>
      <c r="U318" s="41"/>
      <c r="V318" s="24">
        <v>0.5</v>
      </c>
      <c r="W318" s="41">
        <f t="shared" si="229"/>
        <v>0</v>
      </c>
      <c r="X318" s="24"/>
      <c r="Y318" s="41">
        <f t="shared" si="230"/>
        <v>0</v>
      </c>
      <c r="Z318" s="41">
        <f t="shared" si="227"/>
        <v>0</v>
      </c>
      <c r="AA318" s="24">
        <v>5</v>
      </c>
      <c r="AB318" s="41">
        <v>1320000</v>
      </c>
      <c r="AC318" s="41">
        <f t="shared" si="228"/>
        <v>0</v>
      </c>
      <c r="AD318" s="70" t="s">
        <v>333</v>
      </c>
      <c r="AE318" s="70"/>
      <c r="AF318" s="1">
        <v>1320000</v>
      </c>
      <c r="AG318" s="5">
        <f t="shared" si="209"/>
        <v>0</v>
      </c>
    </row>
    <row r="319" spans="1:33" s="1" customFormat="1" ht="10.5" x14ac:dyDescent="0.25">
      <c r="A319" s="49">
        <v>82</v>
      </c>
      <c r="B319" s="22" t="s">
        <v>1679</v>
      </c>
      <c r="C319" s="22" t="s">
        <v>758</v>
      </c>
      <c r="D319" s="51" t="s">
        <v>753</v>
      </c>
      <c r="E319" s="24" t="s">
        <v>166</v>
      </c>
      <c r="F319" s="24"/>
      <c r="G319" s="24" t="s">
        <v>737</v>
      </c>
      <c r="H319" s="24" t="s">
        <v>62</v>
      </c>
      <c r="I319" s="24">
        <v>2009</v>
      </c>
      <c r="J319" s="24"/>
      <c r="K319" s="24" t="s">
        <v>63</v>
      </c>
      <c r="L319" s="24" t="s">
        <v>64</v>
      </c>
      <c r="M319" s="24">
        <v>1</v>
      </c>
      <c r="N319" s="41">
        <f t="shared" si="216"/>
        <v>1885000</v>
      </c>
      <c r="O319" s="41">
        <v>1885000</v>
      </c>
      <c r="P319" s="24"/>
      <c r="Q319" s="24"/>
      <c r="R319" s="24"/>
      <c r="S319" s="41">
        <f t="shared" si="217"/>
        <v>1885000</v>
      </c>
      <c r="T319" s="24">
        <v>5</v>
      </c>
      <c r="U319" s="41"/>
      <c r="V319" s="24">
        <v>0.5</v>
      </c>
      <c r="W319" s="41">
        <f t="shared" si="229"/>
        <v>0</v>
      </c>
      <c r="X319" s="24"/>
      <c r="Y319" s="41">
        <f t="shared" si="230"/>
        <v>0</v>
      </c>
      <c r="Z319" s="41">
        <f t="shared" si="227"/>
        <v>0</v>
      </c>
      <c r="AA319" s="24">
        <v>5</v>
      </c>
      <c r="AB319" s="41">
        <v>1885000</v>
      </c>
      <c r="AC319" s="41">
        <f t="shared" si="228"/>
        <v>0</v>
      </c>
      <c r="AD319" s="70" t="s">
        <v>759</v>
      </c>
      <c r="AE319" s="70"/>
      <c r="AF319" s="1">
        <v>1885000</v>
      </c>
      <c r="AG319" s="5">
        <f t="shared" si="209"/>
        <v>0</v>
      </c>
    </row>
    <row r="320" spans="1:33" s="1" customFormat="1" ht="10.5" x14ac:dyDescent="0.25">
      <c r="A320" s="49">
        <v>83</v>
      </c>
      <c r="B320" s="22" t="s">
        <v>1679</v>
      </c>
      <c r="C320" s="22" t="s">
        <v>760</v>
      </c>
      <c r="D320" s="51" t="s">
        <v>753</v>
      </c>
      <c r="E320" s="24" t="s">
        <v>166</v>
      </c>
      <c r="F320" s="24"/>
      <c r="G320" s="24" t="s">
        <v>737</v>
      </c>
      <c r="H320" s="24" t="s">
        <v>62</v>
      </c>
      <c r="I320" s="24">
        <v>2009</v>
      </c>
      <c r="J320" s="24"/>
      <c r="K320" s="24" t="s">
        <v>63</v>
      </c>
      <c r="L320" s="24" t="s">
        <v>64</v>
      </c>
      <c r="M320" s="24">
        <v>1</v>
      </c>
      <c r="N320" s="41">
        <f t="shared" si="216"/>
        <v>1885000</v>
      </c>
      <c r="O320" s="41">
        <v>1885000</v>
      </c>
      <c r="P320" s="24"/>
      <c r="Q320" s="24"/>
      <c r="R320" s="24"/>
      <c r="S320" s="41">
        <f t="shared" si="217"/>
        <v>1885000</v>
      </c>
      <c r="T320" s="24">
        <v>5</v>
      </c>
      <c r="U320" s="41"/>
      <c r="V320" s="24">
        <v>0.5</v>
      </c>
      <c r="W320" s="41">
        <f t="shared" si="229"/>
        <v>0</v>
      </c>
      <c r="X320" s="24"/>
      <c r="Y320" s="41">
        <f t="shared" si="230"/>
        <v>0</v>
      </c>
      <c r="Z320" s="41">
        <f t="shared" si="227"/>
        <v>0</v>
      </c>
      <c r="AA320" s="24">
        <v>5</v>
      </c>
      <c r="AB320" s="41">
        <v>1885000</v>
      </c>
      <c r="AC320" s="41">
        <f t="shared" si="228"/>
        <v>0</v>
      </c>
      <c r="AD320" s="70" t="s">
        <v>387</v>
      </c>
      <c r="AE320" s="70"/>
      <c r="AF320" s="1">
        <v>1885000</v>
      </c>
      <c r="AG320" s="5">
        <f t="shared" si="209"/>
        <v>0</v>
      </c>
    </row>
    <row r="321" spans="1:33" s="1" customFormat="1" ht="10.5" x14ac:dyDescent="0.25">
      <c r="A321" s="49">
        <v>84</v>
      </c>
      <c r="B321" s="22" t="s">
        <v>1679</v>
      </c>
      <c r="C321" s="22" t="s">
        <v>761</v>
      </c>
      <c r="D321" s="51" t="s">
        <v>753</v>
      </c>
      <c r="E321" s="24" t="s">
        <v>166</v>
      </c>
      <c r="F321" s="24"/>
      <c r="G321" s="24" t="s">
        <v>737</v>
      </c>
      <c r="H321" s="24" t="s">
        <v>62</v>
      </c>
      <c r="I321" s="24">
        <v>2009</v>
      </c>
      <c r="J321" s="24"/>
      <c r="K321" s="24" t="s">
        <v>63</v>
      </c>
      <c r="L321" s="24" t="s">
        <v>64</v>
      </c>
      <c r="M321" s="24">
        <v>1</v>
      </c>
      <c r="N321" s="41">
        <f t="shared" si="216"/>
        <v>1885000</v>
      </c>
      <c r="O321" s="41">
        <v>1885000</v>
      </c>
      <c r="P321" s="24"/>
      <c r="Q321" s="24"/>
      <c r="R321" s="24"/>
      <c r="S321" s="41">
        <f t="shared" si="217"/>
        <v>1885000</v>
      </c>
      <c r="T321" s="24">
        <v>5</v>
      </c>
      <c r="U321" s="41"/>
      <c r="V321" s="24">
        <v>0.5</v>
      </c>
      <c r="W321" s="41">
        <f t="shared" si="229"/>
        <v>0</v>
      </c>
      <c r="X321" s="24"/>
      <c r="Y321" s="41">
        <f t="shared" si="230"/>
        <v>0</v>
      </c>
      <c r="Z321" s="41">
        <f t="shared" si="227"/>
        <v>0</v>
      </c>
      <c r="AA321" s="24">
        <v>5</v>
      </c>
      <c r="AB321" s="41">
        <v>1885000</v>
      </c>
      <c r="AC321" s="41">
        <f t="shared" si="228"/>
        <v>0</v>
      </c>
      <c r="AD321" s="70" t="s">
        <v>388</v>
      </c>
      <c r="AE321" s="70"/>
      <c r="AF321" s="1">
        <v>1885000</v>
      </c>
      <c r="AG321" s="5">
        <f t="shared" si="209"/>
        <v>0</v>
      </c>
    </row>
    <row r="322" spans="1:33" s="1" customFormat="1" ht="10.5" x14ac:dyDescent="0.25">
      <c r="A322" s="49">
        <v>85</v>
      </c>
      <c r="B322" s="22" t="s">
        <v>1679</v>
      </c>
      <c r="C322" s="22" t="s">
        <v>762</v>
      </c>
      <c r="D322" s="51" t="s">
        <v>753</v>
      </c>
      <c r="E322" s="24" t="s">
        <v>166</v>
      </c>
      <c r="F322" s="24"/>
      <c r="G322" s="24" t="s">
        <v>737</v>
      </c>
      <c r="H322" s="24" t="s">
        <v>62</v>
      </c>
      <c r="I322" s="24">
        <v>2009</v>
      </c>
      <c r="J322" s="24"/>
      <c r="K322" s="24" t="s">
        <v>63</v>
      </c>
      <c r="L322" s="24" t="s">
        <v>64</v>
      </c>
      <c r="M322" s="24">
        <v>2</v>
      </c>
      <c r="N322" s="41">
        <f t="shared" si="216"/>
        <v>1885000</v>
      </c>
      <c r="O322" s="41">
        <v>3770000</v>
      </c>
      <c r="P322" s="24"/>
      <c r="Q322" s="24"/>
      <c r="R322" s="24"/>
      <c r="S322" s="41">
        <f t="shared" si="217"/>
        <v>3770000</v>
      </c>
      <c r="T322" s="24">
        <v>5</v>
      </c>
      <c r="U322" s="41"/>
      <c r="V322" s="24">
        <v>0.5</v>
      </c>
      <c r="W322" s="41">
        <f t="shared" si="229"/>
        <v>0</v>
      </c>
      <c r="X322" s="24"/>
      <c r="Y322" s="41">
        <f t="shared" si="230"/>
        <v>0</v>
      </c>
      <c r="Z322" s="41">
        <f t="shared" si="227"/>
        <v>0</v>
      </c>
      <c r="AA322" s="24">
        <v>5</v>
      </c>
      <c r="AB322" s="41">
        <v>3770000</v>
      </c>
      <c r="AC322" s="41">
        <f t="shared" si="228"/>
        <v>0</v>
      </c>
      <c r="AD322" s="70" t="s">
        <v>385</v>
      </c>
      <c r="AE322" s="70"/>
      <c r="AF322" s="1">
        <v>3770000</v>
      </c>
      <c r="AG322" s="5">
        <f t="shared" si="209"/>
        <v>0</v>
      </c>
    </row>
    <row r="323" spans="1:33" s="1" customFormat="1" ht="10.5" x14ac:dyDescent="0.25">
      <c r="A323" s="49">
        <v>86</v>
      </c>
      <c r="B323" s="22" t="s">
        <v>1679</v>
      </c>
      <c r="C323" s="22" t="s">
        <v>763</v>
      </c>
      <c r="D323" s="51" t="s">
        <v>753</v>
      </c>
      <c r="E323" s="24" t="s">
        <v>166</v>
      </c>
      <c r="F323" s="24"/>
      <c r="G323" s="24" t="s">
        <v>737</v>
      </c>
      <c r="H323" s="24" t="s">
        <v>62</v>
      </c>
      <c r="I323" s="24">
        <v>2009</v>
      </c>
      <c r="J323" s="24"/>
      <c r="K323" s="24" t="s">
        <v>63</v>
      </c>
      <c r="L323" s="24" t="s">
        <v>64</v>
      </c>
      <c r="M323" s="24">
        <v>1</v>
      </c>
      <c r="N323" s="41">
        <f t="shared" si="216"/>
        <v>1885000</v>
      </c>
      <c r="O323" s="41">
        <v>1885000</v>
      </c>
      <c r="P323" s="24"/>
      <c r="Q323" s="24"/>
      <c r="R323" s="24"/>
      <c r="S323" s="41">
        <f t="shared" si="217"/>
        <v>1885000</v>
      </c>
      <c r="T323" s="24">
        <v>5</v>
      </c>
      <c r="U323" s="41"/>
      <c r="V323" s="24">
        <v>0.5</v>
      </c>
      <c r="W323" s="41">
        <f t="shared" si="229"/>
        <v>0</v>
      </c>
      <c r="X323" s="24"/>
      <c r="Y323" s="41">
        <f t="shared" si="230"/>
        <v>0</v>
      </c>
      <c r="Z323" s="41">
        <f t="shared" si="227"/>
        <v>0</v>
      </c>
      <c r="AA323" s="24">
        <v>5</v>
      </c>
      <c r="AB323" s="41">
        <v>1885000</v>
      </c>
      <c r="AC323" s="41">
        <f t="shared" si="228"/>
        <v>0</v>
      </c>
      <c r="AD323" s="70" t="s">
        <v>217</v>
      </c>
      <c r="AE323" s="70"/>
      <c r="AF323" s="1">
        <v>1885000</v>
      </c>
      <c r="AG323" s="5">
        <f t="shared" si="209"/>
        <v>0</v>
      </c>
    </row>
    <row r="324" spans="1:33" s="1" customFormat="1" ht="10.5" x14ac:dyDescent="0.25">
      <c r="A324" s="49">
        <v>87</v>
      </c>
      <c r="B324" s="22" t="s">
        <v>1679</v>
      </c>
      <c r="C324" s="22" t="s">
        <v>764</v>
      </c>
      <c r="D324" s="51" t="s">
        <v>753</v>
      </c>
      <c r="E324" s="24" t="s">
        <v>166</v>
      </c>
      <c r="F324" s="24"/>
      <c r="G324" s="24" t="s">
        <v>737</v>
      </c>
      <c r="H324" s="24" t="s">
        <v>62</v>
      </c>
      <c r="I324" s="24">
        <v>2013</v>
      </c>
      <c r="J324" s="24"/>
      <c r="K324" s="24" t="s">
        <v>63</v>
      </c>
      <c r="L324" s="24" t="s">
        <v>64</v>
      </c>
      <c r="M324" s="24">
        <v>44</v>
      </c>
      <c r="N324" s="41">
        <f t="shared" si="216"/>
        <v>999900</v>
      </c>
      <c r="O324" s="41">
        <v>43995600</v>
      </c>
      <c r="P324" s="24"/>
      <c r="Q324" s="24"/>
      <c r="R324" s="24"/>
      <c r="S324" s="41">
        <f t="shared" si="217"/>
        <v>43995600</v>
      </c>
      <c r="T324" s="24">
        <v>5</v>
      </c>
      <c r="U324" s="41"/>
      <c r="V324" s="24">
        <v>0.5</v>
      </c>
      <c r="W324" s="41">
        <f t="shared" si="229"/>
        <v>0</v>
      </c>
      <c r="X324" s="24"/>
      <c r="Y324" s="41">
        <f t="shared" si="230"/>
        <v>0</v>
      </c>
      <c r="Z324" s="41">
        <f t="shared" si="227"/>
        <v>0</v>
      </c>
      <c r="AA324" s="24">
        <v>5</v>
      </c>
      <c r="AB324" s="41">
        <v>43995600</v>
      </c>
      <c r="AC324" s="41">
        <f t="shared" si="228"/>
        <v>0</v>
      </c>
      <c r="AD324" s="70" t="s">
        <v>315</v>
      </c>
      <c r="AE324" s="70"/>
      <c r="AF324" s="1">
        <v>43995600</v>
      </c>
      <c r="AG324" s="5">
        <f t="shared" si="209"/>
        <v>0</v>
      </c>
    </row>
    <row r="325" spans="1:33" s="1" customFormat="1" ht="10.5" x14ac:dyDescent="0.25">
      <c r="A325" s="49">
        <v>88</v>
      </c>
      <c r="B325" s="22" t="s">
        <v>1679</v>
      </c>
      <c r="C325" s="22" t="s">
        <v>765</v>
      </c>
      <c r="D325" s="51" t="s">
        <v>766</v>
      </c>
      <c r="E325" s="24" t="s">
        <v>166</v>
      </c>
      <c r="F325" s="24"/>
      <c r="G325" s="24" t="s">
        <v>767</v>
      </c>
      <c r="H325" s="24" t="s">
        <v>62</v>
      </c>
      <c r="I325" s="24">
        <v>2018</v>
      </c>
      <c r="J325" s="24"/>
      <c r="K325" s="24" t="s">
        <v>63</v>
      </c>
      <c r="L325" s="24" t="s">
        <v>64</v>
      </c>
      <c r="M325" s="24">
        <v>8</v>
      </c>
      <c r="N325" s="41">
        <f t="shared" si="216"/>
        <v>1485000</v>
      </c>
      <c r="O325" s="41">
        <v>11880000</v>
      </c>
      <c r="P325" s="24"/>
      <c r="Q325" s="24"/>
      <c r="R325" s="24"/>
      <c r="S325" s="41">
        <f t="shared" si="217"/>
        <v>11880000</v>
      </c>
      <c r="T325" s="24">
        <v>5</v>
      </c>
      <c r="U325" s="41">
        <f>SUM(S325/T325)</f>
        <v>2376000</v>
      </c>
      <c r="V325" s="24">
        <v>0.5</v>
      </c>
      <c r="W325" s="41">
        <f t="shared" si="229"/>
        <v>1188000</v>
      </c>
      <c r="X325" s="24">
        <v>0.5</v>
      </c>
      <c r="Y325" s="41">
        <f t="shared" si="230"/>
        <v>1188000</v>
      </c>
      <c r="Z325" s="41">
        <f t="shared" si="227"/>
        <v>2376000</v>
      </c>
      <c r="AA325" s="72">
        <f>2022-I325+V325+X325-5/12</f>
        <v>4.583333333333333</v>
      </c>
      <c r="AB325" s="41">
        <f>SUM(U325*AA325)</f>
        <v>10890000</v>
      </c>
      <c r="AC325" s="41">
        <f t="shared" si="228"/>
        <v>990000</v>
      </c>
      <c r="AD325" s="70" t="s">
        <v>768</v>
      </c>
      <c r="AE325" s="70"/>
      <c r="AF325" s="1">
        <v>10890000</v>
      </c>
      <c r="AG325" s="5">
        <f t="shared" si="209"/>
        <v>2376000</v>
      </c>
    </row>
    <row r="326" spans="1:33" s="1" customFormat="1" ht="10.5" x14ac:dyDescent="0.25">
      <c r="A326" s="49">
        <v>89</v>
      </c>
      <c r="B326" s="22" t="s">
        <v>1679</v>
      </c>
      <c r="C326" s="22" t="s">
        <v>769</v>
      </c>
      <c r="D326" s="51" t="s">
        <v>766</v>
      </c>
      <c r="E326" s="24" t="s">
        <v>166</v>
      </c>
      <c r="F326" s="24"/>
      <c r="G326" s="24" t="s">
        <v>767</v>
      </c>
      <c r="H326" s="24" t="s">
        <v>62</v>
      </c>
      <c r="I326" s="24">
        <v>2018</v>
      </c>
      <c r="J326" s="24"/>
      <c r="K326" s="24" t="s">
        <v>63</v>
      </c>
      <c r="L326" s="24" t="s">
        <v>64</v>
      </c>
      <c r="M326" s="24">
        <v>8</v>
      </c>
      <c r="N326" s="41">
        <f t="shared" si="216"/>
        <v>1485000</v>
      </c>
      <c r="O326" s="41">
        <v>11880000</v>
      </c>
      <c r="P326" s="24"/>
      <c r="Q326" s="24"/>
      <c r="R326" s="24"/>
      <c r="S326" s="41">
        <f t="shared" si="217"/>
        <v>11880000</v>
      </c>
      <c r="T326" s="24">
        <v>5</v>
      </c>
      <c r="U326" s="41">
        <f>SUM(S326/T326)</f>
        <v>2376000</v>
      </c>
      <c r="V326" s="24">
        <v>0.5</v>
      </c>
      <c r="W326" s="41">
        <f t="shared" si="229"/>
        <v>1188000</v>
      </c>
      <c r="X326" s="24">
        <v>0.5</v>
      </c>
      <c r="Y326" s="41">
        <f t="shared" si="230"/>
        <v>1188000</v>
      </c>
      <c r="Z326" s="41">
        <f t="shared" si="227"/>
        <v>2376000</v>
      </c>
      <c r="AA326" s="24">
        <f>2022-I326+V326+X326-5/12</f>
        <v>4.583333333333333</v>
      </c>
      <c r="AB326" s="41">
        <f>SUM(U326*AA326)</f>
        <v>10890000</v>
      </c>
      <c r="AC326" s="41">
        <f t="shared" si="228"/>
        <v>990000</v>
      </c>
      <c r="AD326" s="70" t="s">
        <v>370</v>
      </c>
      <c r="AE326" s="70"/>
      <c r="AF326" s="1">
        <v>10890000</v>
      </c>
      <c r="AG326" s="5">
        <f t="shared" si="209"/>
        <v>2376000</v>
      </c>
    </row>
    <row r="327" spans="1:33" s="1" customFormat="1" ht="10.5" x14ac:dyDescent="0.25">
      <c r="A327" s="49">
        <v>90</v>
      </c>
      <c r="B327" s="22" t="s">
        <v>1680</v>
      </c>
      <c r="C327" s="22" t="s">
        <v>740</v>
      </c>
      <c r="D327" s="51" t="s">
        <v>741</v>
      </c>
      <c r="E327" s="24" t="s">
        <v>166</v>
      </c>
      <c r="F327" s="24"/>
      <c r="G327" s="24" t="s">
        <v>319</v>
      </c>
      <c r="H327" s="24" t="s">
        <v>62</v>
      </c>
      <c r="I327" s="24">
        <v>2005</v>
      </c>
      <c r="J327" s="24"/>
      <c r="K327" s="24" t="s">
        <v>63</v>
      </c>
      <c r="L327" s="24" t="s">
        <v>64</v>
      </c>
      <c r="M327" s="24">
        <v>63</v>
      </c>
      <c r="N327" s="41">
        <f t="shared" si="216"/>
        <v>200000</v>
      </c>
      <c r="O327" s="41">
        <v>12600000</v>
      </c>
      <c r="P327" s="24"/>
      <c r="Q327" s="24"/>
      <c r="R327" s="24"/>
      <c r="S327" s="41">
        <f t="shared" si="217"/>
        <v>12600000</v>
      </c>
      <c r="T327" s="24">
        <v>5</v>
      </c>
      <c r="U327" s="41"/>
      <c r="V327" s="24">
        <v>0.5</v>
      </c>
      <c r="W327" s="41">
        <f t="shared" ref="W327:W346" si="231">SUM(U327*V327)</f>
        <v>0</v>
      </c>
      <c r="X327" s="24"/>
      <c r="Y327" s="41">
        <f t="shared" ref="Y327:Y333" si="232">SUM(U327*X327)</f>
        <v>0</v>
      </c>
      <c r="Z327" s="41">
        <f t="shared" ref="Z327:Z333" si="233">SUM(W327+Y327)</f>
        <v>0</v>
      </c>
      <c r="AA327" s="72">
        <v>5</v>
      </c>
      <c r="AB327" s="41">
        <v>12600000</v>
      </c>
      <c r="AC327" s="41">
        <f t="shared" ref="AC327:AC333" si="234">SUM(O327-AB327)</f>
        <v>0</v>
      </c>
      <c r="AD327" s="70" t="s">
        <v>742</v>
      </c>
      <c r="AE327" s="70"/>
      <c r="AF327" s="1">
        <v>12600000</v>
      </c>
      <c r="AG327" s="5">
        <f t="shared" si="209"/>
        <v>0</v>
      </c>
    </row>
    <row r="328" spans="1:33" s="1" customFormat="1" ht="10.5" x14ac:dyDescent="0.25">
      <c r="A328" s="49">
        <v>91</v>
      </c>
      <c r="B328" s="22" t="s">
        <v>1681</v>
      </c>
      <c r="C328" s="22" t="s">
        <v>726</v>
      </c>
      <c r="D328" s="51" t="s">
        <v>727</v>
      </c>
      <c r="E328" s="24" t="s">
        <v>728</v>
      </c>
      <c r="F328" s="24"/>
      <c r="G328" s="24" t="s">
        <v>319</v>
      </c>
      <c r="H328" s="24" t="s">
        <v>62</v>
      </c>
      <c r="I328" s="24">
        <v>2006</v>
      </c>
      <c r="J328" s="24"/>
      <c r="K328" s="24" t="s">
        <v>63</v>
      </c>
      <c r="L328" s="24" t="s">
        <v>212</v>
      </c>
      <c r="M328" s="24">
        <v>40</v>
      </c>
      <c r="N328" s="41">
        <f t="shared" si="216"/>
        <v>267750</v>
      </c>
      <c r="O328" s="41">
        <v>10710000</v>
      </c>
      <c r="P328" s="24"/>
      <c r="Q328" s="24"/>
      <c r="R328" s="24"/>
      <c r="S328" s="41">
        <f t="shared" si="217"/>
        <v>10710000</v>
      </c>
      <c r="T328" s="24">
        <v>5</v>
      </c>
      <c r="U328" s="41"/>
      <c r="V328" s="24">
        <v>0.5</v>
      </c>
      <c r="W328" s="41">
        <f t="shared" si="231"/>
        <v>0</v>
      </c>
      <c r="X328" s="24"/>
      <c r="Y328" s="41">
        <f t="shared" si="232"/>
        <v>0</v>
      </c>
      <c r="Z328" s="41">
        <f t="shared" si="233"/>
        <v>0</v>
      </c>
      <c r="AA328" s="72">
        <v>5</v>
      </c>
      <c r="AB328" s="41">
        <v>10710000</v>
      </c>
      <c r="AC328" s="41">
        <f t="shared" si="234"/>
        <v>0</v>
      </c>
      <c r="AD328" s="70" t="s">
        <v>297</v>
      </c>
      <c r="AE328" s="70"/>
      <c r="AF328" s="1">
        <v>10710000</v>
      </c>
      <c r="AG328" s="5">
        <f t="shared" si="209"/>
        <v>0</v>
      </c>
    </row>
    <row r="329" spans="1:33" s="1" customFormat="1" ht="10.5" x14ac:dyDescent="0.25">
      <c r="A329" s="49">
        <v>92</v>
      </c>
      <c r="B329" s="22" t="s">
        <v>1681</v>
      </c>
      <c r="C329" s="22" t="s">
        <v>729</v>
      </c>
      <c r="D329" s="51" t="s">
        <v>727</v>
      </c>
      <c r="E329" s="24" t="s">
        <v>728</v>
      </c>
      <c r="F329" s="24"/>
      <c r="G329" s="24" t="s">
        <v>319</v>
      </c>
      <c r="H329" s="24" t="s">
        <v>62</v>
      </c>
      <c r="I329" s="24">
        <v>2006</v>
      </c>
      <c r="J329" s="24"/>
      <c r="K329" s="24" t="s">
        <v>63</v>
      </c>
      <c r="L329" s="24" t="s">
        <v>212</v>
      </c>
      <c r="M329" s="24">
        <v>30</v>
      </c>
      <c r="N329" s="41">
        <f t="shared" si="216"/>
        <v>267750</v>
      </c>
      <c r="O329" s="41">
        <v>8032500</v>
      </c>
      <c r="P329" s="24"/>
      <c r="Q329" s="24"/>
      <c r="R329" s="24"/>
      <c r="S329" s="41">
        <f t="shared" si="217"/>
        <v>8032500</v>
      </c>
      <c r="T329" s="24">
        <v>5</v>
      </c>
      <c r="U329" s="41"/>
      <c r="V329" s="24">
        <v>0.5</v>
      </c>
      <c r="W329" s="41">
        <f t="shared" si="231"/>
        <v>0</v>
      </c>
      <c r="X329" s="24"/>
      <c r="Y329" s="41">
        <f t="shared" si="232"/>
        <v>0</v>
      </c>
      <c r="Z329" s="41">
        <f t="shared" si="233"/>
        <v>0</v>
      </c>
      <c r="AA329" s="72">
        <v>5</v>
      </c>
      <c r="AB329" s="41">
        <v>8032500</v>
      </c>
      <c r="AC329" s="41">
        <f t="shared" si="234"/>
        <v>0</v>
      </c>
      <c r="AD329" s="70" t="s">
        <v>287</v>
      </c>
      <c r="AE329" s="70"/>
      <c r="AF329" s="1">
        <v>8032500</v>
      </c>
      <c r="AG329" s="5">
        <f t="shared" si="209"/>
        <v>0</v>
      </c>
    </row>
    <row r="330" spans="1:33" s="1" customFormat="1" ht="10.5" x14ac:dyDescent="0.25">
      <c r="A330" s="49">
        <v>93</v>
      </c>
      <c r="B330" s="22" t="s">
        <v>1681</v>
      </c>
      <c r="C330" s="22" t="s">
        <v>730</v>
      </c>
      <c r="D330" s="51" t="s">
        <v>727</v>
      </c>
      <c r="E330" s="24" t="s">
        <v>728</v>
      </c>
      <c r="F330" s="24"/>
      <c r="G330" s="24" t="s">
        <v>319</v>
      </c>
      <c r="H330" s="24" t="s">
        <v>62</v>
      </c>
      <c r="I330" s="24">
        <v>2006</v>
      </c>
      <c r="J330" s="24"/>
      <c r="K330" s="24" t="s">
        <v>63</v>
      </c>
      <c r="L330" s="24" t="s">
        <v>212</v>
      </c>
      <c r="M330" s="24">
        <v>30</v>
      </c>
      <c r="N330" s="41">
        <f t="shared" si="216"/>
        <v>267750</v>
      </c>
      <c r="O330" s="41">
        <v>8032500</v>
      </c>
      <c r="P330" s="24"/>
      <c r="Q330" s="24"/>
      <c r="R330" s="24"/>
      <c r="S330" s="41">
        <f t="shared" si="217"/>
        <v>8032500</v>
      </c>
      <c r="T330" s="24">
        <v>5</v>
      </c>
      <c r="U330" s="41"/>
      <c r="V330" s="24">
        <v>0.5</v>
      </c>
      <c r="W330" s="41">
        <f t="shared" si="231"/>
        <v>0</v>
      </c>
      <c r="X330" s="24"/>
      <c r="Y330" s="41">
        <f t="shared" si="232"/>
        <v>0</v>
      </c>
      <c r="Z330" s="41">
        <f t="shared" si="233"/>
        <v>0</v>
      </c>
      <c r="AA330" s="72">
        <v>5</v>
      </c>
      <c r="AB330" s="41">
        <v>8032500</v>
      </c>
      <c r="AC330" s="41">
        <f t="shared" si="234"/>
        <v>0</v>
      </c>
      <c r="AD330" s="70" t="s">
        <v>303</v>
      </c>
      <c r="AE330" s="70"/>
      <c r="AF330" s="1">
        <v>8032500</v>
      </c>
      <c r="AG330" s="5">
        <f t="shared" si="209"/>
        <v>0</v>
      </c>
    </row>
    <row r="331" spans="1:33" s="1" customFormat="1" ht="10.5" x14ac:dyDescent="0.25">
      <c r="A331" s="49">
        <v>94</v>
      </c>
      <c r="B331" s="22" t="s">
        <v>1681</v>
      </c>
      <c r="C331" s="22" t="s">
        <v>731</v>
      </c>
      <c r="D331" s="51" t="s">
        <v>727</v>
      </c>
      <c r="E331" s="24" t="s">
        <v>728</v>
      </c>
      <c r="F331" s="24"/>
      <c r="G331" s="24" t="s">
        <v>319</v>
      </c>
      <c r="H331" s="24" t="s">
        <v>62</v>
      </c>
      <c r="I331" s="24">
        <v>2006</v>
      </c>
      <c r="J331" s="24"/>
      <c r="K331" s="24" t="s">
        <v>63</v>
      </c>
      <c r="L331" s="24" t="s">
        <v>212</v>
      </c>
      <c r="M331" s="24">
        <v>30</v>
      </c>
      <c r="N331" s="41">
        <f t="shared" si="216"/>
        <v>267750</v>
      </c>
      <c r="O331" s="41">
        <v>8032500</v>
      </c>
      <c r="P331" s="24"/>
      <c r="Q331" s="24"/>
      <c r="R331" s="24"/>
      <c r="S331" s="41">
        <f t="shared" si="217"/>
        <v>8032500</v>
      </c>
      <c r="T331" s="24">
        <v>5</v>
      </c>
      <c r="U331" s="41"/>
      <c r="V331" s="24">
        <v>0.5</v>
      </c>
      <c r="W331" s="41">
        <f t="shared" si="231"/>
        <v>0</v>
      </c>
      <c r="X331" s="24"/>
      <c r="Y331" s="41">
        <f t="shared" si="232"/>
        <v>0</v>
      </c>
      <c r="Z331" s="41">
        <f t="shared" si="233"/>
        <v>0</v>
      </c>
      <c r="AA331" s="24">
        <v>5</v>
      </c>
      <c r="AB331" s="41">
        <v>8032500</v>
      </c>
      <c r="AC331" s="41">
        <f t="shared" si="234"/>
        <v>0</v>
      </c>
      <c r="AD331" s="70" t="s">
        <v>305</v>
      </c>
      <c r="AE331" s="70"/>
      <c r="AF331" s="1">
        <v>8032500</v>
      </c>
      <c r="AG331" s="5">
        <f t="shared" si="209"/>
        <v>0</v>
      </c>
    </row>
    <row r="332" spans="1:33" s="1" customFormat="1" ht="10.5" x14ac:dyDescent="0.25">
      <c r="A332" s="49">
        <v>95</v>
      </c>
      <c r="B332" s="22" t="s">
        <v>1681</v>
      </c>
      <c r="C332" s="22" t="s">
        <v>732</v>
      </c>
      <c r="D332" s="51" t="s">
        <v>727</v>
      </c>
      <c r="E332" s="24" t="s">
        <v>728</v>
      </c>
      <c r="F332" s="24"/>
      <c r="G332" s="24" t="s">
        <v>319</v>
      </c>
      <c r="H332" s="24" t="s">
        <v>62</v>
      </c>
      <c r="I332" s="24">
        <v>2006</v>
      </c>
      <c r="J332" s="24"/>
      <c r="K332" s="24" t="s">
        <v>63</v>
      </c>
      <c r="L332" s="24" t="s">
        <v>212</v>
      </c>
      <c r="M332" s="24">
        <v>30</v>
      </c>
      <c r="N332" s="41">
        <f t="shared" si="216"/>
        <v>267750</v>
      </c>
      <c r="O332" s="41">
        <v>8032500</v>
      </c>
      <c r="P332" s="24"/>
      <c r="Q332" s="24"/>
      <c r="R332" s="24"/>
      <c r="S332" s="41">
        <f t="shared" si="217"/>
        <v>8032500</v>
      </c>
      <c r="T332" s="24">
        <v>5</v>
      </c>
      <c r="U332" s="41"/>
      <c r="V332" s="24">
        <v>0.5</v>
      </c>
      <c r="W332" s="41">
        <f t="shared" si="231"/>
        <v>0</v>
      </c>
      <c r="X332" s="24"/>
      <c r="Y332" s="41">
        <f t="shared" si="232"/>
        <v>0</v>
      </c>
      <c r="Z332" s="41">
        <f t="shared" si="233"/>
        <v>0</v>
      </c>
      <c r="AA332" s="24">
        <v>5</v>
      </c>
      <c r="AB332" s="41">
        <v>8032500</v>
      </c>
      <c r="AC332" s="41">
        <f t="shared" si="234"/>
        <v>0</v>
      </c>
      <c r="AD332" s="70" t="s">
        <v>473</v>
      </c>
      <c r="AE332" s="70"/>
      <c r="AF332" s="1">
        <v>8032500</v>
      </c>
      <c r="AG332" s="5">
        <f t="shared" si="209"/>
        <v>0</v>
      </c>
    </row>
    <row r="333" spans="1:33" s="1" customFormat="1" ht="10.5" x14ac:dyDescent="0.25">
      <c r="A333" s="49">
        <v>96</v>
      </c>
      <c r="B333" s="22" t="s">
        <v>1681</v>
      </c>
      <c r="C333" s="22" t="s">
        <v>733</v>
      </c>
      <c r="D333" s="51" t="s">
        <v>727</v>
      </c>
      <c r="E333" s="24" t="s">
        <v>728</v>
      </c>
      <c r="F333" s="24"/>
      <c r="G333" s="24" t="s">
        <v>319</v>
      </c>
      <c r="H333" s="24" t="s">
        <v>62</v>
      </c>
      <c r="I333" s="24">
        <v>2006</v>
      </c>
      <c r="J333" s="24"/>
      <c r="K333" s="24" t="s">
        <v>63</v>
      </c>
      <c r="L333" s="24" t="s">
        <v>212</v>
      </c>
      <c r="M333" s="24">
        <v>40</v>
      </c>
      <c r="N333" s="41">
        <f t="shared" si="216"/>
        <v>267750</v>
      </c>
      <c r="O333" s="41">
        <v>10710000</v>
      </c>
      <c r="P333" s="24"/>
      <c r="Q333" s="24"/>
      <c r="R333" s="24"/>
      <c r="S333" s="41">
        <f t="shared" si="217"/>
        <v>10710000</v>
      </c>
      <c r="T333" s="24">
        <v>5</v>
      </c>
      <c r="U333" s="41"/>
      <c r="V333" s="24">
        <v>0.5</v>
      </c>
      <c r="W333" s="41">
        <f t="shared" si="231"/>
        <v>0</v>
      </c>
      <c r="X333" s="24"/>
      <c r="Y333" s="41">
        <f t="shared" si="232"/>
        <v>0</v>
      </c>
      <c r="Z333" s="41">
        <f t="shared" si="233"/>
        <v>0</v>
      </c>
      <c r="AA333" s="24">
        <v>5</v>
      </c>
      <c r="AB333" s="41">
        <v>10710000</v>
      </c>
      <c r="AC333" s="41">
        <f t="shared" si="234"/>
        <v>0</v>
      </c>
      <c r="AD333" s="70" t="s">
        <v>477</v>
      </c>
      <c r="AE333" s="70"/>
      <c r="AF333" s="1">
        <v>10710000</v>
      </c>
      <c r="AG333" s="5">
        <f t="shared" si="209"/>
        <v>0</v>
      </c>
    </row>
    <row r="334" spans="1:33" s="1" customFormat="1" ht="10.5" x14ac:dyDescent="0.25">
      <c r="A334" s="49">
        <v>97</v>
      </c>
      <c r="B334" s="22" t="s">
        <v>1682</v>
      </c>
      <c r="C334" s="73" t="s">
        <v>327</v>
      </c>
      <c r="D334" s="51" t="s">
        <v>374</v>
      </c>
      <c r="E334" s="52" t="s">
        <v>166</v>
      </c>
      <c r="F334" s="52"/>
      <c r="G334" s="52" t="s">
        <v>319</v>
      </c>
      <c r="H334" s="52" t="s">
        <v>62</v>
      </c>
      <c r="I334" s="52">
        <v>2020</v>
      </c>
      <c r="J334" s="52"/>
      <c r="K334" s="52" t="s">
        <v>63</v>
      </c>
      <c r="L334" s="52" t="s">
        <v>64</v>
      </c>
      <c r="M334" s="52">
        <v>20</v>
      </c>
      <c r="N334" s="53">
        <f>SUM(O334/M334)</f>
        <v>1496000</v>
      </c>
      <c r="O334" s="53">
        <v>29920000</v>
      </c>
      <c r="P334" s="52"/>
      <c r="Q334" s="52"/>
      <c r="R334" s="52"/>
      <c r="S334" s="53">
        <f t="shared" ref="S334:S339" si="235">SUM(O334-R334)</f>
        <v>29920000</v>
      </c>
      <c r="T334" s="52">
        <v>5</v>
      </c>
      <c r="U334" s="53">
        <f t="shared" ref="U334" si="236">SUM(S334/T334)</f>
        <v>5984000</v>
      </c>
      <c r="V334" s="52">
        <v>0.5</v>
      </c>
      <c r="W334" s="53">
        <f t="shared" si="231"/>
        <v>2992000</v>
      </c>
      <c r="X334" s="24">
        <v>0.5</v>
      </c>
      <c r="Y334" s="41">
        <f t="shared" ref="Y334" si="237">SUM(U334*X334)</f>
        <v>2992000</v>
      </c>
      <c r="Z334" s="41">
        <f t="shared" ref="Z334" si="238">SUM(W334+Y334)</f>
        <v>5984000</v>
      </c>
      <c r="AA334" s="72">
        <f>2022-I334+V334+X334-10/12</f>
        <v>2.1666666666666665</v>
      </c>
      <c r="AB334" s="41">
        <f t="shared" ref="AB334" si="239">SUM(U334*AA334)</f>
        <v>12965333.333333332</v>
      </c>
      <c r="AC334" s="41">
        <f t="shared" ref="AC334" si="240">SUM(O334-AB334)</f>
        <v>16954666.666666668</v>
      </c>
      <c r="AD334" s="70" t="s">
        <v>213</v>
      </c>
      <c r="AE334" s="70"/>
      <c r="AF334" s="1">
        <v>12965333.333333332</v>
      </c>
      <c r="AG334" s="5">
        <f t="shared" si="209"/>
        <v>5984000</v>
      </c>
    </row>
    <row r="335" spans="1:33" s="1" customFormat="1" ht="10.5" x14ac:dyDescent="0.25">
      <c r="A335" s="49">
        <v>98</v>
      </c>
      <c r="B335" s="22" t="s">
        <v>1683</v>
      </c>
      <c r="C335" s="22" t="s">
        <v>657</v>
      </c>
      <c r="D335" s="51" t="s">
        <v>912</v>
      </c>
      <c r="E335" s="24" t="s">
        <v>166</v>
      </c>
      <c r="F335" s="24"/>
      <c r="G335" s="24" t="s">
        <v>319</v>
      </c>
      <c r="H335" s="24" t="s">
        <v>62</v>
      </c>
      <c r="I335" s="24">
        <v>2004</v>
      </c>
      <c r="J335" s="24"/>
      <c r="K335" s="24" t="s">
        <v>63</v>
      </c>
      <c r="L335" s="24" t="s">
        <v>64</v>
      </c>
      <c r="M335" s="24">
        <v>3</v>
      </c>
      <c r="N335" s="41">
        <f t="shared" ref="N335:N346" si="241">SUM(O335/M335)</f>
        <v>500000</v>
      </c>
      <c r="O335" s="41">
        <v>1500000</v>
      </c>
      <c r="P335" s="24"/>
      <c r="Q335" s="24"/>
      <c r="R335" s="24"/>
      <c r="S335" s="41">
        <f t="shared" si="235"/>
        <v>1500000</v>
      </c>
      <c r="T335" s="24">
        <v>5</v>
      </c>
      <c r="U335" s="41"/>
      <c r="V335" s="24">
        <v>0.5</v>
      </c>
      <c r="W335" s="41">
        <f t="shared" si="231"/>
        <v>0</v>
      </c>
      <c r="X335" s="24"/>
      <c r="Y335" s="41">
        <f t="shared" ref="Y335:Y346" si="242">SUM(U335*X335)</f>
        <v>0</v>
      </c>
      <c r="Z335" s="41">
        <f t="shared" ref="Z335:Z346" si="243">SUM(W335+Y335)</f>
        <v>0</v>
      </c>
      <c r="AA335" s="72">
        <v>5</v>
      </c>
      <c r="AB335" s="41">
        <v>1500000</v>
      </c>
      <c r="AC335" s="41">
        <f t="shared" ref="AC335:AC359" si="244">SUM(O335-AB335)</f>
        <v>0</v>
      </c>
      <c r="AD335" s="70" t="s">
        <v>913</v>
      </c>
      <c r="AE335" s="70"/>
      <c r="AG335" s="5">
        <f t="shared" si="209"/>
        <v>-1500000</v>
      </c>
    </row>
    <row r="336" spans="1:33" s="1" customFormat="1" ht="10.5" x14ac:dyDescent="0.25">
      <c r="A336" s="49">
        <v>99</v>
      </c>
      <c r="B336" s="22" t="s">
        <v>1684</v>
      </c>
      <c r="C336" s="22" t="s">
        <v>58</v>
      </c>
      <c r="D336" s="51" t="s">
        <v>935</v>
      </c>
      <c r="E336" s="24" t="s">
        <v>166</v>
      </c>
      <c r="F336" s="24"/>
      <c r="G336" s="24" t="s">
        <v>936</v>
      </c>
      <c r="H336" s="24" t="s">
        <v>62</v>
      </c>
      <c r="I336" s="24">
        <v>2008</v>
      </c>
      <c r="J336" s="24"/>
      <c r="K336" s="24" t="s">
        <v>63</v>
      </c>
      <c r="L336" s="24" t="s">
        <v>64</v>
      </c>
      <c r="M336" s="24">
        <v>1</v>
      </c>
      <c r="N336" s="41">
        <f t="shared" si="241"/>
        <v>8950000</v>
      </c>
      <c r="O336" s="41">
        <v>8950000</v>
      </c>
      <c r="P336" s="24"/>
      <c r="Q336" s="24"/>
      <c r="R336" s="24"/>
      <c r="S336" s="41">
        <f t="shared" si="235"/>
        <v>8950000</v>
      </c>
      <c r="T336" s="24">
        <v>5</v>
      </c>
      <c r="U336" s="41"/>
      <c r="V336" s="24">
        <v>0.5</v>
      </c>
      <c r="W336" s="41">
        <f t="shared" si="231"/>
        <v>0</v>
      </c>
      <c r="X336" s="24"/>
      <c r="Y336" s="41">
        <f t="shared" si="242"/>
        <v>0</v>
      </c>
      <c r="Z336" s="41">
        <f t="shared" si="243"/>
        <v>0</v>
      </c>
      <c r="AA336" s="24">
        <v>5</v>
      </c>
      <c r="AB336" s="41">
        <v>8950000</v>
      </c>
      <c r="AC336" s="41">
        <f t="shared" si="244"/>
        <v>0</v>
      </c>
      <c r="AD336" s="70" t="s">
        <v>333</v>
      </c>
      <c r="AE336" s="70"/>
      <c r="AF336" s="1">
        <v>8950000</v>
      </c>
      <c r="AG336" s="5">
        <f t="shared" si="209"/>
        <v>0</v>
      </c>
    </row>
    <row r="337" spans="1:33" s="1" customFormat="1" ht="10.5" x14ac:dyDescent="0.25">
      <c r="A337" s="49">
        <v>100</v>
      </c>
      <c r="B337" s="22" t="s">
        <v>1684</v>
      </c>
      <c r="C337" s="22" t="s">
        <v>277</v>
      </c>
      <c r="D337" s="51" t="s">
        <v>937</v>
      </c>
      <c r="E337" s="24" t="s">
        <v>938</v>
      </c>
      <c r="F337" s="24"/>
      <c r="G337" s="24" t="s">
        <v>936</v>
      </c>
      <c r="H337" s="24" t="s">
        <v>62</v>
      </c>
      <c r="I337" s="24">
        <v>2012</v>
      </c>
      <c r="J337" s="24"/>
      <c r="K337" s="24" t="s">
        <v>63</v>
      </c>
      <c r="L337" s="24" t="s">
        <v>64</v>
      </c>
      <c r="M337" s="24">
        <v>6</v>
      </c>
      <c r="N337" s="41">
        <f t="shared" si="241"/>
        <v>6325000</v>
      </c>
      <c r="O337" s="41">
        <v>37950000</v>
      </c>
      <c r="P337" s="24"/>
      <c r="Q337" s="24"/>
      <c r="R337" s="24"/>
      <c r="S337" s="41">
        <f t="shared" si="235"/>
        <v>37950000</v>
      </c>
      <c r="T337" s="24">
        <v>5</v>
      </c>
      <c r="U337" s="41"/>
      <c r="V337" s="24">
        <v>0.5</v>
      </c>
      <c r="W337" s="41">
        <f t="shared" si="231"/>
        <v>0</v>
      </c>
      <c r="X337" s="24"/>
      <c r="Y337" s="41">
        <f t="shared" si="242"/>
        <v>0</v>
      </c>
      <c r="Z337" s="41">
        <f t="shared" si="243"/>
        <v>0</v>
      </c>
      <c r="AA337" s="24">
        <v>5</v>
      </c>
      <c r="AB337" s="41">
        <v>37950000</v>
      </c>
      <c r="AC337" s="41">
        <f t="shared" si="244"/>
        <v>0</v>
      </c>
      <c r="AD337" s="70" t="s">
        <v>939</v>
      </c>
      <c r="AE337" s="70"/>
      <c r="AF337" s="1">
        <v>37950000</v>
      </c>
      <c r="AG337" s="5">
        <f t="shared" si="209"/>
        <v>0</v>
      </c>
    </row>
    <row r="338" spans="1:33" s="1" customFormat="1" ht="10.5" x14ac:dyDescent="0.25">
      <c r="A338" s="49">
        <v>101</v>
      </c>
      <c r="B338" s="22" t="s">
        <v>1684</v>
      </c>
      <c r="C338" s="22" t="s">
        <v>338</v>
      </c>
      <c r="D338" s="51" t="s">
        <v>937</v>
      </c>
      <c r="E338" s="24" t="s">
        <v>166</v>
      </c>
      <c r="F338" s="24"/>
      <c r="G338" s="24" t="s">
        <v>936</v>
      </c>
      <c r="H338" s="24" t="s">
        <v>62</v>
      </c>
      <c r="I338" s="24">
        <v>2013</v>
      </c>
      <c r="J338" s="24"/>
      <c r="K338" s="24" t="s">
        <v>63</v>
      </c>
      <c r="L338" s="24" t="s">
        <v>64</v>
      </c>
      <c r="M338" s="24">
        <v>2</v>
      </c>
      <c r="N338" s="41">
        <f t="shared" si="241"/>
        <v>5995000</v>
      </c>
      <c r="O338" s="41">
        <v>11990000</v>
      </c>
      <c r="P338" s="24"/>
      <c r="Q338" s="24"/>
      <c r="R338" s="24"/>
      <c r="S338" s="41">
        <f t="shared" si="235"/>
        <v>11990000</v>
      </c>
      <c r="T338" s="24">
        <v>5</v>
      </c>
      <c r="U338" s="41"/>
      <c r="V338" s="24">
        <v>0.5</v>
      </c>
      <c r="W338" s="41">
        <f t="shared" si="231"/>
        <v>0</v>
      </c>
      <c r="X338" s="24"/>
      <c r="Y338" s="41">
        <f t="shared" si="242"/>
        <v>0</v>
      </c>
      <c r="Z338" s="41">
        <f t="shared" si="243"/>
        <v>0</v>
      </c>
      <c r="AA338" s="24">
        <v>5</v>
      </c>
      <c r="AB338" s="41">
        <v>11990000</v>
      </c>
      <c r="AC338" s="41">
        <f t="shared" si="244"/>
        <v>0</v>
      </c>
      <c r="AD338" s="70" t="s">
        <v>335</v>
      </c>
      <c r="AE338" s="70"/>
      <c r="AF338" s="1">
        <v>11990000</v>
      </c>
      <c r="AG338" s="5">
        <f t="shared" si="209"/>
        <v>0</v>
      </c>
    </row>
    <row r="339" spans="1:33" s="1" customFormat="1" ht="10.5" x14ac:dyDescent="0.25">
      <c r="A339" s="49">
        <v>102</v>
      </c>
      <c r="B339" s="22" t="s">
        <v>1684</v>
      </c>
      <c r="C339" s="22" t="s">
        <v>108</v>
      </c>
      <c r="D339" s="51" t="s">
        <v>937</v>
      </c>
      <c r="E339" s="24" t="s">
        <v>166</v>
      </c>
      <c r="F339" s="24"/>
      <c r="G339" s="24" t="s">
        <v>936</v>
      </c>
      <c r="H339" s="24" t="s">
        <v>62</v>
      </c>
      <c r="I339" s="24">
        <v>2013</v>
      </c>
      <c r="J339" s="24"/>
      <c r="K339" s="24" t="s">
        <v>63</v>
      </c>
      <c r="L339" s="24" t="s">
        <v>64</v>
      </c>
      <c r="M339" s="24">
        <v>1</v>
      </c>
      <c r="N339" s="41">
        <f t="shared" si="241"/>
        <v>5995000</v>
      </c>
      <c r="O339" s="41">
        <v>5995000</v>
      </c>
      <c r="P339" s="24"/>
      <c r="Q339" s="24"/>
      <c r="R339" s="24"/>
      <c r="S339" s="41">
        <f t="shared" si="235"/>
        <v>5995000</v>
      </c>
      <c r="T339" s="24">
        <v>5</v>
      </c>
      <c r="U339" s="41"/>
      <c r="V339" s="24">
        <v>0.5</v>
      </c>
      <c r="W339" s="41">
        <f t="shared" si="231"/>
        <v>0</v>
      </c>
      <c r="X339" s="24"/>
      <c r="Y339" s="41">
        <f t="shared" si="242"/>
        <v>0</v>
      </c>
      <c r="Z339" s="41">
        <f t="shared" si="243"/>
        <v>0</v>
      </c>
      <c r="AA339" s="24">
        <v>5</v>
      </c>
      <c r="AB339" s="41">
        <v>5995000</v>
      </c>
      <c r="AC339" s="41">
        <f t="shared" si="244"/>
        <v>0</v>
      </c>
      <c r="AD339" s="70" t="s">
        <v>352</v>
      </c>
      <c r="AE339" s="70"/>
      <c r="AF339" s="1">
        <v>5995000</v>
      </c>
      <c r="AG339" s="5">
        <f t="shared" si="209"/>
        <v>0</v>
      </c>
    </row>
    <row r="340" spans="1:33" s="1" customFormat="1" ht="10.5" x14ac:dyDescent="0.25">
      <c r="A340" s="49">
        <v>103</v>
      </c>
      <c r="B340" s="22" t="s">
        <v>1684</v>
      </c>
      <c r="C340" s="22" t="s">
        <v>135</v>
      </c>
      <c r="D340" s="51" t="s">
        <v>937</v>
      </c>
      <c r="E340" s="24" t="s">
        <v>166</v>
      </c>
      <c r="F340" s="24"/>
      <c r="G340" s="24" t="s">
        <v>936</v>
      </c>
      <c r="H340" s="24" t="s">
        <v>62</v>
      </c>
      <c r="I340" s="24">
        <v>2013</v>
      </c>
      <c r="J340" s="24"/>
      <c r="K340" s="24" t="s">
        <v>63</v>
      </c>
      <c r="L340" s="24" t="s">
        <v>64</v>
      </c>
      <c r="M340" s="24">
        <v>1</v>
      </c>
      <c r="N340" s="41">
        <f t="shared" si="241"/>
        <v>5995000</v>
      </c>
      <c r="O340" s="41">
        <v>5995000</v>
      </c>
      <c r="P340" s="24"/>
      <c r="Q340" s="24"/>
      <c r="R340" s="24"/>
      <c r="S340" s="41">
        <f t="shared" ref="S340:S346" si="245">SUM(O340-R340)</f>
        <v>5995000</v>
      </c>
      <c r="T340" s="24">
        <v>5</v>
      </c>
      <c r="U340" s="41"/>
      <c r="V340" s="24">
        <v>0.5</v>
      </c>
      <c r="W340" s="41">
        <f t="shared" si="231"/>
        <v>0</v>
      </c>
      <c r="X340" s="24"/>
      <c r="Y340" s="41">
        <f t="shared" si="242"/>
        <v>0</v>
      </c>
      <c r="Z340" s="41">
        <f t="shared" si="243"/>
        <v>0</v>
      </c>
      <c r="AA340" s="24">
        <v>5</v>
      </c>
      <c r="AB340" s="41">
        <v>5995000</v>
      </c>
      <c r="AC340" s="41">
        <f t="shared" si="244"/>
        <v>0</v>
      </c>
      <c r="AD340" s="70" t="s">
        <v>328</v>
      </c>
      <c r="AE340" s="70"/>
      <c r="AF340" s="1">
        <v>5995000</v>
      </c>
      <c r="AG340" s="5">
        <f t="shared" si="209"/>
        <v>0</v>
      </c>
    </row>
    <row r="341" spans="1:33" s="1" customFormat="1" ht="10.5" x14ac:dyDescent="0.25">
      <c r="A341" s="49">
        <v>104</v>
      </c>
      <c r="B341" s="22" t="s">
        <v>1684</v>
      </c>
      <c r="C341" s="22" t="s">
        <v>138</v>
      </c>
      <c r="D341" s="51" t="s">
        <v>937</v>
      </c>
      <c r="E341" s="24" t="s">
        <v>166</v>
      </c>
      <c r="F341" s="24"/>
      <c r="G341" s="24" t="s">
        <v>936</v>
      </c>
      <c r="H341" s="24" t="s">
        <v>62</v>
      </c>
      <c r="I341" s="24">
        <v>2013</v>
      </c>
      <c r="J341" s="24"/>
      <c r="K341" s="24" t="s">
        <v>63</v>
      </c>
      <c r="L341" s="24" t="s">
        <v>64</v>
      </c>
      <c r="M341" s="24">
        <v>1</v>
      </c>
      <c r="N341" s="41">
        <f t="shared" si="241"/>
        <v>5995000</v>
      </c>
      <c r="O341" s="41">
        <v>5995000</v>
      </c>
      <c r="P341" s="24"/>
      <c r="Q341" s="24"/>
      <c r="R341" s="24"/>
      <c r="S341" s="41">
        <f t="shared" si="245"/>
        <v>5995000</v>
      </c>
      <c r="T341" s="24">
        <v>5</v>
      </c>
      <c r="U341" s="41"/>
      <c r="V341" s="24">
        <v>0.5</v>
      </c>
      <c r="W341" s="41">
        <f t="shared" si="231"/>
        <v>0</v>
      </c>
      <c r="X341" s="24"/>
      <c r="Y341" s="41">
        <f t="shared" si="242"/>
        <v>0</v>
      </c>
      <c r="Z341" s="41">
        <f t="shared" si="243"/>
        <v>0</v>
      </c>
      <c r="AA341" s="24">
        <v>5</v>
      </c>
      <c r="AB341" s="41">
        <v>5995000</v>
      </c>
      <c r="AC341" s="41">
        <f t="shared" si="244"/>
        <v>0</v>
      </c>
      <c r="AD341" s="70" t="s">
        <v>276</v>
      </c>
      <c r="AE341" s="70"/>
      <c r="AF341" s="1">
        <v>5995000</v>
      </c>
      <c r="AG341" s="5">
        <f t="shared" si="209"/>
        <v>0</v>
      </c>
    </row>
    <row r="342" spans="1:33" s="1" customFormat="1" ht="10.5" x14ac:dyDescent="0.25">
      <c r="A342" s="49">
        <v>105</v>
      </c>
      <c r="B342" s="22" t="s">
        <v>1684</v>
      </c>
      <c r="C342" s="22" t="s">
        <v>143</v>
      </c>
      <c r="D342" s="51" t="s">
        <v>937</v>
      </c>
      <c r="E342" s="24" t="s">
        <v>166</v>
      </c>
      <c r="F342" s="24"/>
      <c r="G342" s="24" t="s">
        <v>936</v>
      </c>
      <c r="H342" s="24" t="s">
        <v>62</v>
      </c>
      <c r="I342" s="24">
        <v>2013</v>
      </c>
      <c r="J342" s="24"/>
      <c r="K342" s="24" t="s">
        <v>63</v>
      </c>
      <c r="L342" s="24" t="s">
        <v>64</v>
      </c>
      <c r="M342" s="24">
        <v>1</v>
      </c>
      <c r="N342" s="41">
        <f t="shared" si="241"/>
        <v>5995000</v>
      </c>
      <c r="O342" s="41">
        <v>5995000</v>
      </c>
      <c r="P342" s="24"/>
      <c r="Q342" s="24"/>
      <c r="R342" s="24"/>
      <c r="S342" s="41">
        <f t="shared" si="245"/>
        <v>5995000</v>
      </c>
      <c r="T342" s="24">
        <v>5</v>
      </c>
      <c r="U342" s="41"/>
      <c r="V342" s="24">
        <v>0.5</v>
      </c>
      <c r="W342" s="41">
        <f t="shared" si="231"/>
        <v>0</v>
      </c>
      <c r="X342" s="24"/>
      <c r="Y342" s="41">
        <f t="shared" si="242"/>
        <v>0</v>
      </c>
      <c r="Z342" s="41">
        <f t="shared" si="243"/>
        <v>0</v>
      </c>
      <c r="AA342" s="24">
        <v>5</v>
      </c>
      <c r="AB342" s="41">
        <v>5995000</v>
      </c>
      <c r="AC342" s="41">
        <f t="shared" si="244"/>
        <v>0</v>
      </c>
      <c r="AD342" s="70" t="s">
        <v>940</v>
      </c>
      <c r="AE342" s="70"/>
      <c r="AF342" s="1">
        <v>5995000</v>
      </c>
      <c r="AG342" s="5">
        <f t="shared" si="209"/>
        <v>0</v>
      </c>
    </row>
    <row r="343" spans="1:33" s="1" customFormat="1" ht="10.5" x14ac:dyDescent="0.25">
      <c r="A343" s="49">
        <v>106</v>
      </c>
      <c r="B343" s="22" t="s">
        <v>1684</v>
      </c>
      <c r="C343" s="22" t="s">
        <v>341</v>
      </c>
      <c r="D343" s="51" t="s">
        <v>937</v>
      </c>
      <c r="E343" s="24" t="s">
        <v>166</v>
      </c>
      <c r="F343" s="24"/>
      <c r="G343" s="24" t="s">
        <v>936</v>
      </c>
      <c r="H343" s="24" t="s">
        <v>62</v>
      </c>
      <c r="I343" s="24">
        <v>2014</v>
      </c>
      <c r="J343" s="24"/>
      <c r="K343" s="24" t="s">
        <v>63</v>
      </c>
      <c r="L343" s="24" t="s">
        <v>64</v>
      </c>
      <c r="M343" s="24">
        <v>2</v>
      </c>
      <c r="N343" s="41">
        <f t="shared" si="241"/>
        <v>26840000</v>
      </c>
      <c r="O343" s="41">
        <v>53680000</v>
      </c>
      <c r="P343" s="24"/>
      <c r="Q343" s="24"/>
      <c r="R343" s="24"/>
      <c r="S343" s="41">
        <f t="shared" si="245"/>
        <v>53680000</v>
      </c>
      <c r="T343" s="24">
        <v>5</v>
      </c>
      <c r="U343" s="41"/>
      <c r="V343" s="24">
        <v>0.5</v>
      </c>
      <c r="W343" s="41">
        <f t="shared" si="231"/>
        <v>0</v>
      </c>
      <c r="X343" s="24"/>
      <c r="Y343" s="41">
        <f t="shared" si="242"/>
        <v>0</v>
      </c>
      <c r="Z343" s="41">
        <f t="shared" si="243"/>
        <v>0</v>
      </c>
      <c r="AA343" s="24">
        <v>5</v>
      </c>
      <c r="AB343" s="41">
        <v>53680000</v>
      </c>
      <c r="AC343" s="41">
        <f t="shared" si="244"/>
        <v>0</v>
      </c>
      <c r="AD343" s="70" t="s">
        <v>941</v>
      </c>
      <c r="AE343" s="70"/>
      <c r="AF343" s="1">
        <v>53680000</v>
      </c>
      <c r="AG343" s="5">
        <f t="shared" si="209"/>
        <v>0</v>
      </c>
    </row>
    <row r="344" spans="1:33" s="1" customFormat="1" ht="10.5" x14ac:dyDescent="0.25">
      <c r="A344" s="49">
        <v>107</v>
      </c>
      <c r="B344" s="22" t="s">
        <v>1684</v>
      </c>
      <c r="C344" s="22" t="s">
        <v>153</v>
      </c>
      <c r="D344" s="51" t="s">
        <v>937</v>
      </c>
      <c r="E344" s="24" t="s">
        <v>166</v>
      </c>
      <c r="F344" s="24"/>
      <c r="G344" s="24" t="s">
        <v>936</v>
      </c>
      <c r="H344" s="24" t="s">
        <v>62</v>
      </c>
      <c r="I344" s="24">
        <v>2014</v>
      </c>
      <c r="J344" s="24"/>
      <c r="K344" s="24" t="s">
        <v>63</v>
      </c>
      <c r="L344" s="24" t="s">
        <v>64</v>
      </c>
      <c r="M344" s="24">
        <v>1</v>
      </c>
      <c r="N344" s="41">
        <f t="shared" si="241"/>
        <v>26840000</v>
      </c>
      <c r="O344" s="41">
        <v>26840000</v>
      </c>
      <c r="P344" s="24"/>
      <c r="Q344" s="24"/>
      <c r="R344" s="24"/>
      <c r="S344" s="41">
        <f t="shared" si="245"/>
        <v>26840000</v>
      </c>
      <c r="T344" s="24">
        <v>5</v>
      </c>
      <c r="U344" s="41"/>
      <c r="V344" s="24">
        <v>0.5</v>
      </c>
      <c r="W344" s="41">
        <f t="shared" si="231"/>
        <v>0</v>
      </c>
      <c r="X344" s="24"/>
      <c r="Y344" s="41">
        <f t="shared" si="242"/>
        <v>0</v>
      </c>
      <c r="Z344" s="41">
        <f t="shared" si="243"/>
        <v>0</v>
      </c>
      <c r="AA344" s="24">
        <v>5</v>
      </c>
      <c r="AB344" s="41">
        <v>26840000</v>
      </c>
      <c r="AC344" s="41">
        <f t="shared" si="244"/>
        <v>0</v>
      </c>
      <c r="AD344" s="70" t="s">
        <v>942</v>
      </c>
      <c r="AE344" s="70"/>
      <c r="AF344" s="1">
        <v>26840000</v>
      </c>
      <c r="AG344" s="5">
        <f t="shared" si="209"/>
        <v>0</v>
      </c>
    </row>
    <row r="345" spans="1:33" s="1" customFormat="1" ht="10.5" x14ac:dyDescent="0.25">
      <c r="A345" s="49">
        <v>108</v>
      </c>
      <c r="B345" s="22" t="s">
        <v>1684</v>
      </c>
      <c r="C345" s="22" t="s">
        <v>156</v>
      </c>
      <c r="D345" s="51" t="s">
        <v>937</v>
      </c>
      <c r="E345" s="24" t="s">
        <v>166</v>
      </c>
      <c r="F345" s="24"/>
      <c r="G345" s="24" t="s">
        <v>936</v>
      </c>
      <c r="H345" s="24" t="s">
        <v>62</v>
      </c>
      <c r="I345" s="24">
        <v>2014</v>
      </c>
      <c r="J345" s="24"/>
      <c r="K345" s="24" t="s">
        <v>63</v>
      </c>
      <c r="L345" s="24" t="s">
        <v>64</v>
      </c>
      <c r="M345" s="24">
        <v>1</v>
      </c>
      <c r="N345" s="41">
        <f t="shared" si="241"/>
        <v>26840000</v>
      </c>
      <c r="O345" s="41">
        <v>26840000</v>
      </c>
      <c r="P345" s="24"/>
      <c r="Q345" s="24"/>
      <c r="R345" s="24"/>
      <c r="S345" s="41">
        <f t="shared" si="245"/>
        <v>26840000</v>
      </c>
      <c r="T345" s="24">
        <v>5</v>
      </c>
      <c r="U345" s="41"/>
      <c r="V345" s="24">
        <v>0.5</v>
      </c>
      <c r="W345" s="41">
        <f t="shared" si="231"/>
        <v>0</v>
      </c>
      <c r="X345" s="24"/>
      <c r="Y345" s="41">
        <f t="shared" si="242"/>
        <v>0</v>
      </c>
      <c r="Z345" s="41">
        <f t="shared" si="243"/>
        <v>0</v>
      </c>
      <c r="AA345" s="24">
        <v>5</v>
      </c>
      <c r="AB345" s="41">
        <v>26840000</v>
      </c>
      <c r="AC345" s="41">
        <f t="shared" si="244"/>
        <v>0</v>
      </c>
      <c r="AD345" s="70" t="s">
        <v>354</v>
      </c>
      <c r="AE345" s="70"/>
      <c r="AF345" s="1">
        <v>26840000</v>
      </c>
      <c r="AG345" s="5">
        <f t="shared" si="209"/>
        <v>0</v>
      </c>
    </row>
    <row r="346" spans="1:33" s="1" customFormat="1" ht="10.5" x14ac:dyDescent="0.25">
      <c r="A346" s="49">
        <v>109</v>
      </c>
      <c r="B346" s="22" t="s">
        <v>1684</v>
      </c>
      <c r="C346" s="22" t="s">
        <v>554</v>
      </c>
      <c r="D346" s="51" t="s">
        <v>937</v>
      </c>
      <c r="E346" s="24" t="s">
        <v>166</v>
      </c>
      <c r="F346" s="24"/>
      <c r="G346" s="24" t="s">
        <v>936</v>
      </c>
      <c r="H346" s="24" t="s">
        <v>62</v>
      </c>
      <c r="I346" s="24">
        <v>2014</v>
      </c>
      <c r="J346" s="24"/>
      <c r="K346" s="24" t="s">
        <v>63</v>
      </c>
      <c r="L346" s="24" t="s">
        <v>64</v>
      </c>
      <c r="M346" s="24">
        <v>2</v>
      </c>
      <c r="N346" s="41">
        <f t="shared" si="241"/>
        <v>26840000</v>
      </c>
      <c r="O346" s="41">
        <v>53680000</v>
      </c>
      <c r="P346" s="24"/>
      <c r="Q346" s="24"/>
      <c r="R346" s="24"/>
      <c r="S346" s="41">
        <f t="shared" si="245"/>
        <v>53680000</v>
      </c>
      <c r="T346" s="24">
        <v>5</v>
      </c>
      <c r="U346" s="41"/>
      <c r="V346" s="24">
        <v>0.5</v>
      </c>
      <c r="W346" s="41">
        <f t="shared" si="231"/>
        <v>0</v>
      </c>
      <c r="X346" s="24"/>
      <c r="Y346" s="41">
        <f t="shared" si="242"/>
        <v>0</v>
      </c>
      <c r="Z346" s="41">
        <f t="shared" si="243"/>
        <v>0</v>
      </c>
      <c r="AA346" s="72">
        <v>5</v>
      </c>
      <c r="AB346" s="41">
        <v>53680000</v>
      </c>
      <c r="AC346" s="41">
        <f t="shared" si="244"/>
        <v>0</v>
      </c>
      <c r="AD346" s="70" t="s">
        <v>943</v>
      </c>
      <c r="AE346" s="70"/>
      <c r="AF346" s="1">
        <v>53680000</v>
      </c>
      <c r="AG346" s="5">
        <f t="shared" si="209"/>
        <v>0</v>
      </c>
    </row>
    <row r="347" spans="1:33" s="1" customFormat="1" ht="10.5" x14ac:dyDescent="0.25">
      <c r="A347" s="49">
        <v>110</v>
      </c>
      <c r="B347" s="50" t="s">
        <v>1685</v>
      </c>
      <c r="C347" s="50" t="s">
        <v>343</v>
      </c>
      <c r="D347" s="51" t="s">
        <v>344</v>
      </c>
      <c r="E347" s="52" t="s">
        <v>166</v>
      </c>
      <c r="F347" s="52"/>
      <c r="G347" s="52" t="s">
        <v>319</v>
      </c>
      <c r="H347" s="52" t="s">
        <v>62</v>
      </c>
      <c r="I347" s="52">
        <v>2016</v>
      </c>
      <c r="J347" s="52"/>
      <c r="K347" s="52" t="s">
        <v>63</v>
      </c>
      <c r="L347" s="52" t="s">
        <v>64</v>
      </c>
      <c r="M347" s="52">
        <v>6</v>
      </c>
      <c r="N347" s="53">
        <f t="shared" ref="N347:N359" si="246">SUM(O347/M347)</f>
        <v>3280000</v>
      </c>
      <c r="O347" s="53">
        <v>19680000</v>
      </c>
      <c r="P347" s="52"/>
      <c r="Q347" s="52"/>
      <c r="R347" s="52"/>
      <c r="S347" s="53">
        <f t="shared" ref="S347:S368" si="247">SUM(O347-R347)</f>
        <v>19680000</v>
      </c>
      <c r="T347" s="52">
        <v>5</v>
      </c>
      <c r="U347" s="53">
        <f>SUM(S347/T347)</f>
        <v>3936000</v>
      </c>
      <c r="V347" s="52">
        <v>0.5</v>
      </c>
      <c r="W347" s="53"/>
      <c r="X347" s="24"/>
      <c r="Y347" s="41"/>
      <c r="Z347" s="41"/>
      <c r="AA347" s="72">
        <f>2021-I347+V347+X347-6/12</f>
        <v>5</v>
      </c>
      <c r="AB347" s="41">
        <f>SUM(U347*AA347)</f>
        <v>19680000</v>
      </c>
      <c r="AC347" s="41">
        <f t="shared" si="244"/>
        <v>0</v>
      </c>
      <c r="AD347" s="70" t="s">
        <v>345</v>
      </c>
      <c r="AE347" s="70"/>
      <c r="AG347" s="5">
        <f t="shared" si="209"/>
        <v>-19680000</v>
      </c>
    </row>
    <row r="348" spans="1:33" s="1" customFormat="1" ht="10.5" x14ac:dyDescent="0.25">
      <c r="A348" s="49">
        <v>111</v>
      </c>
      <c r="B348" s="50" t="s">
        <v>1685</v>
      </c>
      <c r="C348" s="50" t="s">
        <v>96</v>
      </c>
      <c r="D348" s="51" t="s">
        <v>344</v>
      </c>
      <c r="E348" s="52" t="s">
        <v>166</v>
      </c>
      <c r="F348" s="52"/>
      <c r="G348" s="52" t="s">
        <v>319</v>
      </c>
      <c r="H348" s="52" t="s">
        <v>62</v>
      </c>
      <c r="I348" s="52">
        <v>2016</v>
      </c>
      <c r="J348" s="52"/>
      <c r="K348" s="52" t="s">
        <v>63</v>
      </c>
      <c r="L348" s="52" t="s">
        <v>64</v>
      </c>
      <c r="M348" s="52">
        <v>1</v>
      </c>
      <c r="N348" s="53">
        <f t="shared" si="246"/>
        <v>3280000</v>
      </c>
      <c r="O348" s="53">
        <v>3280000</v>
      </c>
      <c r="P348" s="52"/>
      <c r="Q348" s="52"/>
      <c r="R348" s="52"/>
      <c r="S348" s="53">
        <f t="shared" si="247"/>
        <v>3280000</v>
      </c>
      <c r="T348" s="52">
        <v>5</v>
      </c>
      <c r="U348" s="53">
        <f>SUM(S348/T348)</f>
        <v>656000</v>
      </c>
      <c r="V348" s="52">
        <v>0.5</v>
      </c>
      <c r="W348" s="53"/>
      <c r="X348" s="24"/>
      <c r="Y348" s="41">
        <f t="shared" ref="Y348" si="248">SUM(U348*X348)</f>
        <v>0</v>
      </c>
      <c r="Z348" s="41"/>
      <c r="AA348" s="72">
        <f>2021-I348+V348+X348-6/12</f>
        <v>5</v>
      </c>
      <c r="AB348" s="41">
        <f>SUM(U348*AA348)</f>
        <v>3280000</v>
      </c>
      <c r="AC348" s="41">
        <f t="shared" si="244"/>
        <v>0</v>
      </c>
      <c r="AD348" s="70" t="s">
        <v>213</v>
      </c>
      <c r="AE348" s="70"/>
      <c r="AG348" s="5">
        <f t="shared" si="209"/>
        <v>-3280000</v>
      </c>
    </row>
    <row r="349" spans="1:33" s="1" customFormat="1" ht="10.5" x14ac:dyDescent="0.25">
      <c r="A349" s="49">
        <v>112</v>
      </c>
      <c r="B349" s="50" t="s">
        <v>1685</v>
      </c>
      <c r="C349" s="50" t="s">
        <v>100</v>
      </c>
      <c r="D349" s="51" t="s">
        <v>346</v>
      </c>
      <c r="E349" s="52" t="s">
        <v>166</v>
      </c>
      <c r="F349" s="52"/>
      <c r="G349" s="52" t="s">
        <v>319</v>
      </c>
      <c r="H349" s="52" t="s">
        <v>62</v>
      </c>
      <c r="I349" s="52">
        <v>2017</v>
      </c>
      <c r="J349" s="52"/>
      <c r="K349" s="52" t="s">
        <v>63</v>
      </c>
      <c r="L349" s="52" t="s">
        <v>64</v>
      </c>
      <c r="M349" s="52">
        <v>1</v>
      </c>
      <c r="N349" s="53">
        <f t="shared" si="246"/>
        <v>49995000</v>
      </c>
      <c r="O349" s="53">
        <v>49995000</v>
      </c>
      <c r="P349" s="52"/>
      <c r="Q349" s="52"/>
      <c r="R349" s="52"/>
      <c r="S349" s="53">
        <f t="shared" si="247"/>
        <v>49995000</v>
      </c>
      <c r="T349" s="52">
        <v>5</v>
      </c>
      <c r="U349" s="53">
        <f>SUM(S349/T349)</f>
        <v>9999000</v>
      </c>
      <c r="V349" s="52">
        <v>0.5</v>
      </c>
      <c r="W349" s="53">
        <f>SUM(U349*V349)-4166250</f>
        <v>833250</v>
      </c>
      <c r="X349" s="57"/>
      <c r="Y349" s="53">
        <f t="shared" ref="Y349" si="249">SUM(U349*X349)</f>
        <v>0</v>
      </c>
      <c r="Z349" s="53">
        <f t="shared" ref="Z349:Z356" si="250">SUM(W349+Y349)</f>
        <v>833250</v>
      </c>
      <c r="AA349" s="57">
        <f>2022-I349+V349+X349-1/12-5/12</f>
        <v>5</v>
      </c>
      <c r="AB349" s="53">
        <f>SUM(U349*AA349)</f>
        <v>49995000</v>
      </c>
      <c r="AC349" s="53">
        <f t="shared" si="244"/>
        <v>0</v>
      </c>
      <c r="AD349" s="56" t="s">
        <v>276</v>
      </c>
      <c r="AE349" s="70"/>
      <c r="AG349" s="5">
        <f t="shared" si="209"/>
        <v>-49161750</v>
      </c>
    </row>
    <row r="350" spans="1:33" s="1" customFormat="1" ht="10.5" x14ac:dyDescent="0.25">
      <c r="A350" s="49">
        <v>113</v>
      </c>
      <c r="B350" s="22" t="s">
        <v>1686</v>
      </c>
      <c r="C350" s="50" t="s">
        <v>58</v>
      </c>
      <c r="D350" s="51" t="s">
        <v>347</v>
      </c>
      <c r="E350" s="52" t="s">
        <v>166</v>
      </c>
      <c r="F350" s="52"/>
      <c r="G350" s="52" t="s">
        <v>319</v>
      </c>
      <c r="H350" s="52" t="s">
        <v>62</v>
      </c>
      <c r="I350" s="52">
        <v>2012</v>
      </c>
      <c r="J350" s="52"/>
      <c r="K350" s="52" t="s">
        <v>63</v>
      </c>
      <c r="L350" s="52" t="s">
        <v>64</v>
      </c>
      <c r="M350" s="52">
        <v>1</v>
      </c>
      <c r="N350" s="53">
        <f t="shared" si="246"/>
        <v>940500</v>
      </c>
      <c r="O350" s="53">
        <v>940500</v>
      </c>
      <c r="P350" s="52"/>
      <c r="Q350" s="52"/>
      <c r="R350" s="52"/>
      <c r="S350" s="53">
        <f t="shared" si="247"/>
        <v>940500</v>
      </c>
      <c r="T350" s="52">
        <v>5</v>
      </c>
      <c r="U350" s="53"/>
      <c r="V350" s="52">
        <v>0.5</v>
      </c>
      <c r="W350" s="53">
        <f t="shared" ref="W350:W368" si="251">SUM(U350*V350)</f>
        <v>0</v>
      </c>
      <c r="X350" s="52"/>
      <c r="Y350" s="53">
        <f t="shared" ref="Y350:Y363" si="252">SUM(U350*X350)</f>
        <v>0</v>
      </c>
      <c r="Z350" s="53">
        <f t="shared" si="250"/>
        <v>0</v>
      </c>
      <c r="AA350" s="52">
        <v>5</v>
      </c>
      <c r="AB350" s="53">
        <v>940500</v>
      </c>
      <c r="AC350" s="53">
        <f t="shared" si="244"/>
        <v>0</v>
      </c>
      <c r="AD350" s="56" t="s">
        <v>348</v>
      </c>
      <c r="AE350" s="70"/>
      <c r="AF350" s="1">
        <v>940500</v>
      </c>
      <c r="AG350" s="5">
        <f t="shared" si="209"/>
        <v>0</v>
      </c>
    </row>
    <row r="351" spans="1:33" s="1" customFormat="1" ht="10.5" x14ac:dyDescent="0.25">
      <c r="A351" s="49">
        <v>114</v>
      </c>
      <c r="B351" s="22" t="s">
        <v>1686</v>
      </c>
      <c r="C351" s="50" t="s">
        <v>349</v>
      </c>
      <c r="D351" s="51" t="s">
        <v>347</v>
      </c>
      <c r="E351" s="52" t="s">
        <v>166</v>
      </c>
      <c r="F351" s="52"/>
      <c r="G351" s="52" t="s">
        <v>319</v>
      </c>
      <c r="H351" s="52" t="s">
        <v>62</v>
      </c>
      <c r="I351" s="52">
        <v>2012</v>
      </c>
      <c r="J351" s="52"/>
      <c r="K351" s="52" t="s">
        <v>63</v>
      </c>
      <c r="L351" s="52" t="s">
        <v>64</v>
      </c>
      <c r="M351" s="52">
        <v>14</v>
      </c>
      <c r="N351" s="53">
        <f t="shared" si="246"/>
        <v>940500</v>
      </c>
      <c r="O351" s="53">
        <v>13167000</v>
      </c>
      <c r="P351" s="52"/>
      <c r="Q351" s="52"/>
      <c r="R351" s="52"/>
      <c r="S351" s="53">
        <f t="shared" si="247"/>
        <v>13167000</v>
      </c>
      <c r="T351" s="52">
        <v>5</v>
      </c>
      <c r="U351" s="53"/>
      <c r="V351" s="52">
        <v>0.5</v>
      </c>
      <c r="W351" s="53">
        <f t="shared" si="251"/>
        <v>0</v>
      </c>
      <c r="X351" s="24"/>
      <c r="Y351" s="41">
        <f t="shared" si="252"/>
        <v>0</v>
      </c>
      <c r="Z351" s="41">
        <f t="shared" si="250"/>
        <v>0</v>
      </c>
      <c r="AA351" s="72">
        <v>5</v>
      </c>
      <c r="AB351" s="41">
        <v>13167000</v>
      </c>
      <c r="AC351" s="41">
        <f t="shared" si="244"/>
        <v>0</v>
      </c>
      <c r="AD351" s="70" t="s">
        <v>350</v>
      </c>
      <c r="AE351" s="70"/>
      <c r="AF351" s="1">
        <v>13167000</v>
      </c>
      <c r="AG351" s="5">
        <f t="shared" si="209"/>
        <v>0</v>
      </c>
    </row>
    <row r="352" spans="1:33" s="1" customFormat="1" ht="10.5" x14ac:dyDescent="0.25">
      <c r="A352" s="49">
        <v>115</v>
      </c>
      <c r="B352" s="22" t="s">
        <v>1686</v>
      </c>
      <c r="C352" s="50" t="s">
        <v>150</v>
      </c>
      <c r="D352" s="51" t="s">
        <v>347</v>
      </c>
      <c r="E352" s="52" t="s">
        <v>166</v>
      </c>
      <c r="F352" s="52"/>
      <c r="G352" s="52" t="s">
        <v>319</v>
      </c>
      <c r="H352" s="52" t="s">
        <v>62</v>
      </c>
      <c r="I352" s="52">
        <v>2012</v>
      </c>
      <c r="J352" s="52"/>
      <c r="K352" s="52" t="s">
        <v>63</v>
      </c>
      <c r="L352" s="52" t="s">
        <v>64</v>
      </c>
      <c r="M352" s="52">
        <v>1</v>
      </c>
      <c r="N352" s="53">
        <f t="shared" si="246"/>
        <v>940500</v>
      </c>
      <c r="O352" s="53">
        <v>940500</v>
      </c>
      <c r="P352" s="52"/>
      <c r="Q352" s="52"/>
      <c r="R352" s="52"/>
      <c r="S352" s="53">
        <f t="shared" si="247"/>
        <v>940500</v>
      </c>
      <c r="T352" s="52">
        <v>5</v>
      </c>
      <c r="U352" s="53"/>
      <c r="V352" s="52">
        <v>0.5</v>
      </c>
      <c r="W352" s="53">
        <f t="shared" si="251"/>
        <v>0</v>
      </c>
      <c r="X352" s="24"/>
      <c r="Y352" s="41">
        <f t="shared" si="252"/>
        <v>0</v>
      </c>
      <c r="Z352" s="41">
        <f t="shared" si="250"/>
        <v>0</v>
      </c>
      <c r="AA352" s="72">
        <v>5</v>
      </c>
      <c r="AB352" s="41">
        <v>940500</v>
      </c>
      <c r="AC352" s="41">
        <f t="shared" si="244"/>
        <v>0</v>
      </c>
      <c r="AD352" s="70" t="s">
        <v>351</v>
      </c>
      <c r="AE352" s="70"/>
      <c r="AF352" s="1">
        <v>940500</v>
      </c>
      <c r="AG352" s="5">
        <f t="shared" si="209"/>
        <v>0</v>
      </c>
    </row>
    <row r="353" spans="1:33" s="1" customFormat="1" ht="10.5" x14ac:dyDescent="0.25">
      <c r="A353" s="49">
        <v>116</v>
      </c>
      <c r="B353" s="22" t="s">
        <v>1686</v>
      </c>
      <c r="C353" s="50" t="s">
        <v>342</v>
      </c>
      <c r="D353" s="51" t="s">
        <v>347</v>
      </c>
      <c r="E353" s="52" t="s">
        <v>166</v>
      </c>
      <c r="F353" s="52"/>
      <c r="G353" s="52" t="s">
        <v>319</v>
      </c>
      <c r="H353" s="52" t="s">
        <v>62</v>
      </c>
      <c r="I353" s="52">
        <v>2012</v>
      </c>
      <c r="J353" s="52"/>
      <c r="K353" s="52" t="s">
        <v>63</v>
      </c>
      <c r="L353" s="52" t="s">
        <v>64</v>
      </c>
      <c r="M353" s="52">
        <v>2</v>
      </c>
      <c r="N353" s="53">
        <f t="shared" si="246"/>
        <v>940500</v>
      </c>
      <c r="O353" s="53">
        <v>1881000</v>
      </c>
      <c r="P353" s="52"/>
      <c r="Q353" s="52"/>
      <c r="R353" s="52"/>
      <c r="S353" s="53">
        <f t="shared" si="247"/>
        <v>1881000</v>
      </c>
      <c r="T353" s="52">
        <v>5</v>
      </c>
      <c r="U353" s="53"/>
      <c r="V353" s="52">
        <v>0.5</v>
      </c>
      <c r="W353" s="53">
        <f t="shared" si="251"/>
        <v>0</v>
      </c>
      <c r="X353" s="24"/>
      <c r="Y353" s="41">
        <f t="shared" si="252"/>
        <v>0</v>
      </c>
      <c r="Z353" s="41">
        <f t="shared" si="250"/>
        <v>0</v>
      </c>
      <c r="AA353" s="24">
        <v>5</v>
      </c>
      <c r="AB353" s="41">
        <v>1881000</v>
      </c>
      <c r="AC353" s="41">
        <f t="shared" si="244"/>
        <v>0</v>
      </c>
      <c r="AD353" s="70" t="s">
        <v>352</v>
      </c>
      <c r="AE353" s="70"/>
      <c r="AF353" s="1">
        <v>1881000</v>
      </c>
      <c r="AG353" s="5">
        <f t="shared" si="209"/>
        <v>0</v>
      </c>
    </row>
    <row r="354" spans="1:33" s="1" customFormat="1" ht="10.5" x14ac:dyDescent="0.25">
      <c r="A354" s="49">
        <v>117</v>
      </c>
      <c r="B354" s="22" t="s">
        <v>1686</v>
      </c>
      <c r="C354" s="50" t="s">
        <v>353</v>
      </c>
      <c r="D354" s="51" t="s">
        <v>347</v>
      </c>
      <c r="E354" s="52" t="s">
        <v>166</v>
      </c>
      <c r="F354" s="52"/>
      <c r="G354" s="52" t="s">
        <v>319</v>
      </c>
      <c r="H354" s="52" t="s">
        <v>62</v>
      </c>
      <c r="I354" s="52">
        <v>2012</v>
      </c>
      <c r="J354" s="52"/>
      <c r="K354" s="52" t="s">
        <v>63</v>
      </c>
      <c r="L354" s="52" t="s">
        <v>64</v>
      </c>
      <c r="M354" s="52">
        <v>16</v>
      </c>
      <c r="N354" s="53">
        <f t="shared" si="246"/>
        <v>940500</v>
      </c>
      <c r="O354" s="53">
        <v>15048000</v>
      </c>
      <c r="P354" s="52"/>
      <c r="Q354" s="52"/>
      <c r="R354" s="52"/>
      <c r="S354" s="53">
        <f t="shared" si="247"/>
        <v>15048000</v>
      </c>
      <c r="T354" s="52">
        <v>5</v>
      </c>
      <c r="U354" s="53"/>
      <c r="V354" s="52">
        <v>0.5</v>
      </c>
      <c r="W354" s="53">
        <f t="shared" si="251"/>
        <v>0</v>
      </c>
      <c r="X354" s="24"/>
      <c r="Y354" s="41">
        <f t="shared" si="252"/>
        <v>0</v>
      </c>
      <c r="Z354" s="41">
        <f t="shared" si="250"/>
        <v>0</v>
      </c>
      <c r="AA354" s="24">
        <v>5</v>
      </c>
      <c r="AB354" s="41">
        <v>15048000</v>
      </c>
      <c r="AC354" s="41">
        <f t="shared" si="244"/>
        <v>0</v>
      </c>
      <c r="AD354" s="70" t="s">
        <v>354</v>
      </c>
      <c r="AE354" s="70"/>
      <c r="AF354" s="1">
        <v>15048000</v>
      </c>
      <c r="AG354" s="5">
        <f t="shared" si="209"/>
        <v>0</v>
      </c>
    </row>
    <row r="355" spans="1:33" s="1" customFormat="1" ht="10.5" x14ac:dyDescent="0.25">
      <c r="A355" s="49">
        <v>118</v>
      </c>
      <c r="B355" s="22" t="s">
        <v>1686</v>
      </c>
      <c r="C355" s="50" t="s">
        <v>355</v>
      </c>
      <c r="D355" s="51" t="s">
        <v>356</v>
      </c>
      <c r="E355" s="52" t="s">
        <v>166</v>
      </c>
      <c r="F355" s="52"/>
      <c r="G355" s="52" t="s">
        <v>319</v>
      </c>
      <c r="H355" s="52" t="s">
        <v>62</v>
      </c>
      <c r="I355" s="52">
        <v>2012</v>
      </c>
      <c r="J355" s="52"/>
      <c r="K355" s="52" t="s">
        <v>63</v>
      </c>
      <c r="L355" s="52" t="s">
        <v>64</v>
      </c>
      <c r="M355" s="52">
        <v>40</v>
      </c>
      <c r="N355" s="53">
        <f t="shared" si="246"/>
        <v>1448775</v>
      </c>
      <c r="O355" s="53">
        <v>57951000</v>
      </c>
      <c r="P355" s="52"/>
      <c r="Q355" s="52"/>
      <c r="R355" s="52"/>
      <c r="S355" s="53">
        <f t="shared" si="247"/>
        <v>57951000</v>
      </c>
      <c r="T355" s="52">
        <v>5</v>
      </c>
      <c r="U355" s="53"/>
      <c r="V355" s="52">
        <v>0.5</v>
      </c>
      <c r="W355" s="53">
        <f t="shared" si="251"/>
        <v>0</v>
      </c>
      <c r="X355" s="24"/>
      <c r="Y355" s="41">
        <f t="shared" si="252"/>
        <v>0</v>
      </c>
      <c r="Z355" s="41">
        <f t="shared" si="250"/>
        <v>0</v>
      </c>
      <c r="AA355" s="24">
        <v>5</v>
      </c>
      <c r="AB355" s="41">
        <v>57951000</v>
      </c>
      <c r="AC355" s="41">
        <f t="shared" si="244"/>
        <v>0</v>
      </c>
      <c r="AD355" s="70" t="s">
        <v>357</v>
      </c>
      <c r="AE355" s="70"/>
      <c r="AF355" s="1">
        <v>57951000</v>
      </c>
      <c r="AG355" s="5">
        <f t="shared" si="209"/>
        <v>0</v>
      </c>
    </row>
    <row r="356" spans="1:33" s="1" customFormat="1" ht="10.5" x14ac:dyDescent="0.25">
      <c r="A356" s="49">
        <v>119</v>
      </c>
      <c r="B356" s="22" t="s">
        <v>1686</v>
      </c>
      <c r="C356" s="50" t="s">
        <v>358</v>
      </c>
      <c r="D356" s="51" t="s">
        <v>356</v>
      </c>
      <c r="E356" s="52" t="s">
        <v>166</v>
      </c>
      <c r="F356" s="52"/>
      <c r="G356" s="52" t="s">
        <v>319</v>
      </c>
      <c r="H356" s="52" t="s">
        <v>62</v>
      </c>
      <c r="I356" s="52">
        <v>2012</v>
      </c>
      <c r="J356" s="52"/>
      <c r="K356" s="52" t="s">
        <v>63</v>
      </c>
      <c r="L356" s="52" t="s">
        <v>64</v>
      </c>
      <c r="M356" s="52">
        <v>42</v>
      </c>
      <c r="N356" s="53">
        <f t="shared" si="246"/>
        <v>1206775</v>
      </c>
      <c r="O356" s="53">
        <v>50684550</v>
      </c>
      <c r="P356" s="52"/>
      <c r="Q356" s="52"/>
      <c r="R356" s="52"/>
      <c r="S356" s="53">
        <f t="shared" si="247"/>
        <v>50684550</v>
      </c>
      <c r="T356" s="52">
        <v>5</v>
      </c>
      <c r="U356" s="53"/>
      <c r="V356" s="52">
        <v>0.5</v>
      </c>
      <c r="W356" s="53">
        <f t="shared" si="251"/>
        <v>0</v>
      </c>
      <c r="X356" s="24"/>
      <c r="Y356" s="41">
        <f t="shared" si="252"/>
        <v>0</v>
      </c>
      <c r="Z356" s="41">
        <f t="shared" si="250"/>
        <v>0</v>
      </c>
      <c r="AA356" s="24">
        <v>5</v>
      </c>
      <c r="AB356" s="41">
        <v>50684550</v>
      </c>
      <c r="AC356" s="41">
        <f t="shared" si="244"/>
        <v>0</v>
      </c>
      <c r="AD356" s="70" t="s">
        <v>288</v>
      </c>
      <c r="AE356" s="70"/>
      <c r="AF356" s="1">
        <v>50684550</v>
      </c>
      <c r="AG356" s="5">
        <f t="shared" si="209"/>
        <v>0</v>
      </c>
    </row>
    <row r="357" spans="1:33" s="1" customFormat="1" ht="10.5" x14ac:dyDescent="0.25">
      <c r="A357" s="49">
        <v>120</v>
      </c>
      <c r="B357" s="22" t="s">
        <v>1686</v>
      </c>
      <c r="C357" s="50" t="s">
        <v>359</v>
      </c>
      <c r="D357" s="51" t="s">
        <v>347</v>
      </c>
      <c r="E357" s="52" t="s">
        <v>166</v>
      </c>
      <c r="F357" s="52"/>
      <c r="G357" s="52" t="s">
        <v>319</v>
      </c>
      <c r="H357" s="52" t="s">
        <v>62</v>
      </c>
      <c r="I357" s="52">
        <v>2015</v>
      </c>
      <c r="J357" s="52"/>
      <c r="K357" s="52" t="s">
        <v>63</v>
      </c>
      <c r="L357" s="52" t="s">
        <v>64</v>
      </c>
      <c r="M357" s="52">
        <v>40</v>
      </c>
      <c r="N357" s="53">
        <f t="shared" si="246"/>
        <v>1127500</v>
      </c>
      <c r="O357" s="53">
        <v>45100000</v>
      </c>
      <c r="P357" s="52"/>
      <c r="Q357" s="52"/>
      <c r="R357" s="52"/>
      <c r="S357" s="53">
        <f t="shared" si="247"/>
        <v>45100000</v>
      </c>
      <c r="T357" s="52">
        <v>5</v>
      </c>
      <c r="U357" s="53">
        <f t="shared" ref="U357:U363" si="253">SUM(S357/T357)</f>
        <v>9020000</v>
      </c>
      <c r="V357" s="52">
        <v>0.5</v>
      </c>
      <c r="W357" s="53"/>
      <c r="X357" s="24"/>
      <c r="Y357" s="41">
        <f t="shared" si="252"/>
        <v>0</v>
      </c>
      <c r="Z357" s="41"/>
      <c r="AA357" s="24">
        <v>5</v>
      </c>
      <c r="AB357" s="41">
        <f t="shared" ref="AB357:AB363" si="254">SUM(U357*AA357)</f>
        <v>45100000</v>
      </c>
      <c r="AC357" s="41">
        <f t="shared" si="244"/>
        <v>0</v>
      </c>
      <c r="AD357" s="70" t="s">
        <v>199</v>
      </c>
      <c r="AE357" s="70"/>
      <c r="AF357" s="1">
        <v>45100000</v>
      </c>
      <c r="AG357" s="5">
        <f t="shared" si="209"/>
        <v>0</v>
      </c>
    </row>
    <row r="358" spans="1:33" s="1" customFormat="1" ht="10.5" x14ac:dyDescent="0.25">
      <c r="A358" s="49">
        <v>121</v>
      </c>
      <c r="B358" s="22" t="s">
        <v>1686</v>
      </c>
      <c r="C358" s="50" t="s">
        <v>360</v>
      </c>
      <c r="D358" s="51" t="s">
        <v>347</v>
      </c>
      <c r="E358" s="52" t="s">
        <v>166</v>
      </c>
      <c r="F358" s="52"/>
      <c r="G358" s="52" t="s">
        <v>319</v>
      </c>
      <c r="H358" s="52" t="s">
        <v>62</v>
      </c>
      <c r="I358" s="52">
        <v>2015</v>
      </c>
      <c r="J358" s="52"/>
      <c r="K358" s="52" t="s">
        <v>63</v>
      </c>
      <c r="L358" s="52" t="s">
        <v>64</v>
      </c>
      <c r="M358" s="52">
        <v>40</v>
      </c>
      <c r="N358" s="53">
        <f t="shared" si="246"/>
        <v>742500</v>
      </c>
      <c r="O358" s="53">
        <v>29700000</v>
      </c>
      <c r="P358" s="52"/>
      <c r="Q358" s="52"/>
      <c r="R358" s="52"/>
      <c r="S358" s="53">
        <f t="shared" si="247"/>
        <v>29700000</v>
      </c>
      <c r="T358" s="52">
        <v>5</v>
      </c>
      <c r="U358" s="53">
        <f t="shared" si="253"/>
        <v>5940000</v>
      </c>
      <c r="V358" s="52">
        <v>0.5</v>
      </c>
      <c r="W358" s="53"/>
      <c r="X358" s="24"/>
      <c r="Y358" s="41">
        <f t="shared" si="252"/>
        <v>0</v>
      </c>
      <c r="Z358" s="41"/>
      <c r="AA358" s="24">
        <v>5</v>
      </c>
      <c r="AB358" s="41">
        <f t="shared" si="254"/>
        <v>29700000</v>
      </c>
      <c r="AC358" s="41">
        <f t="shared" si="244"/>
        <v>0</v>
      </c>
      <c r="AD358" s="70" t="s">
        <v>361</v>
      </c>
      <c r="AE358" s="70"/>
      <c r="AF358" s="1">
        <v>29700000</v>
      </c>
      <c r="AG358" s="5">
        <f t="shared" ref="AG358:AG421" si="255">AF358+Z358-AB358</f>
        <v>0</v>
      </c>
    </row>
    <row r="359" spans="1:33" s="1" customFormat="1" ht="10.5" x14ac:dyDescent="0.25">
      <c r="A359" s="49">
        <v>122</v>
      </c>
      <c r="B359" s="22" t="s">
        <v>1686</v>
      </c>
      <c r="C359" s="50" t="s">
        <v>362</v>
      </c>
      <c r="D359" s="51" t="s">
        <v>347</v>
      </c>
      <c r="E359" s="52" t="s">
        <v>166</v>
      </c>
      <c r="F359" s="52"/>
      <c r="G359" s="52" t="s">
        <v>319</v>
      </c>
      <c r="H359" s="52" t="s">
        <v>62</v>
      </c>
      <c r="I359" s="52">
        <v>2015</v>
      </c>
      <c r="J359" s="52"/>
      <c r="K359" s="52" t="s">
        <v>63</v>
      </c>
      <c r="L359" s="52" t="s">
        <v>64</v>
      </c>
      <c r="M359" s="52">
        <v>20</v>
      </c>
      <c r="N359" s="53">
        <f t="shared" si="246"/>
        <v>742500</v>
      </c>
      <c r="O359" s="53">
        <v>14850000</v>
      </c>
      <c r="P359" s="52"/>
      <c r="Q359" s="52"/>
      <c r="R359" s="52"/>
      <c r="S359" s="53">
        <f t="shared" si="247"/>
        <v>14850000</v>
      </c>
      <c r="T359" s="52">
        <v>5</v>
      </c>
      <c r="U359" s="53">
        <f t="shared" si="253"/>
        <v>2970000</v>
      </c>
      <c r="V359" s="52">
        <v>0.5</v>
      </c>
      <c r="W359" s="53"/>
      <c r="X359" s="24"/>
      <c r="Y359" s="41">
        <f t="shared" si="252"/>
        <v>0</v>
      </c>
      <c r="Z359" s="41"/>
      <c r="AA359" s="24">
        <v>5</v>
      </c>
      <c r="AB359" s="41">
        <f t="shared" si="254"/>
        <v>14850000</v>
      </c>
      <c r="AC359" s="41">
        <f t="shared" si="244"/>
        <v>0</v>
      </c>
      <c r="AD359" s="70" t="s">
        <v>363</v>
      </c>
      <c r="AE359" s="70"/>
      <c r="AF359" s="1">
        <v>14850000</v>
      </c>
      <c r="AG359" s="5">
        <f t="shared" si="255"/>
        <v>0</v>
      </c>
    </row>
    <row r="360" spans="1:33" s="1" customFormat="1" ht="10.5" x14ac:dyDescent="0.25">
      <c r="A360" s="49">
        <v>123</v>
      </c>
      <c r="B360" s="22" t="s">
        <v>1686</v>
      </c>
      <c r="C360" s="50" t="s">
        <v>364</v>
      </c>
      <c r="D360" s="51" t="s">
        <v>347</v>
      </c>
      <c r="E360" s="52" t="s">
        <v>166</v>
      </c>
      <c r="F360" s="52"/>
      <c r="G360" s="52" t="s">
        <v>319</v>
      </c>
      <c r="H360" s="52" t="s">
        <v>62</v>
      </c>
      <c r="I360" s="52">
        <v>2017</v>
      </c>
      <c r="J360" s="52"/>
      <c r="K360" s="52" t="s">
        <v>63</v>
      </c>
      <c r="L360" s="52" t="s">
        <v>64</v>
      </c>
      <c r="M360" s="52">
        <v>20</v>
      </c>
      <c r="N360" s="53">
        <f t="shared" ref="N360:N367" si="256">SUM(O360/M360)</f>
        <v>1248500</v>
      </c>
      <c r="O360" s="53">
        <v>24970000</v>
      </c>
      <c r="P360" s="52"/>
      <c r="Q360" s="52"/>
      <c r="R360" s="52"/>
      <c r="S360" s="53">
        <f t="shared" si="247"/>
        <v>24970000</v>
      </c>
      <c r="T360" s="52">
        <v>5</v>
      </c>
      <c r="U360" s="53">
        <f t="shared" si="253"/>
        <v>4994000</v>
      </c>
      <c r="V360" s="52">
        <v>0.5</v>
      </c>
      <c r="W360" s="53">
        <f>SUM(U360*V360)-2080833.33333333</f>
        <v>416166.66666667</v>
      </c>
      <c r="X360" s="24"/>
      <c r="Y360" s="41">
        <f t="shared" si="252"/>
        <v>0</v>
      </c>
      <c r="Z360" s="41">
        <f t="shared" ref="Z360:Z363" si="257">SUM(W360+Y360)</f>
        <v>416166.66666667</v>
      </c>
      <c r="AA360" s="24">
        <f>2022-I360+V360+X360-1/12-5/12</f>
        <v>5</v>
      </c>
      <c r="AB360" s="41">
        <f t="shared" si="254"/>
        <v>24970000</v>
      </c>
      <c r="AC360" s="41">
        <f t="shared" ref="AC360:AC363" si="258">SUM(O360-AB360)</f>
        <v>0</v>
      </c>
      <c r="AD360" s="70" t="s">
        <v>365</v>
      </c>
      <c r="AE360" s="70"/>
      <c r="AF360" s="1">
        <v>24970000</v>
      </c>
      <c r="AG360" s="5">
        <f t="shared" si="255"/>
        <v>416166.66666667163</v>
      </c>
    </row>
    <row r="361" spans="1:33" s="1" customFormat="1" ht="10.5" x14ac:dyDescent="0.25">
      <c r="A361" s="49">
        <v>124</v>
      </c>
      <c r="B361" s="22" t="s">
        <v>1686</v>
      </c>
      <c r="C361" s="50" t="s">
        <v>366</v>
      </c>
      <c r="D361" s="51" t="s">
        <v>347</v>
      </c>
      <c r="E361" s="52" t="s">
        <v>166</v>
      </c>
      <c r="F361" s="52"/>
      <c r="G361" s="52" t="s">
        <v>319</v>
      </c>
      <c r="H361" s="52" t="s">
        <v>62</v>
      </c>
      <c r="I361" s="52">
        <v>2018</v>
      </c>
      <c r="J361" s="52"/>
      <c r="K361" s="52" t="s">
        <v>63</v>
      </c>
      <c r="L361" s="52" t="s">
        <v>64</v>
      </c>
      <c r="M361" s="52">
        <v>8</v>
      </c>
      <c r="N361" s="53">
        <f t="shared" si="256"/>
        <v>1485000</v>
      </c>
      <c r="O361" s="53">
        <v>11880000</v>
      </c>
      <c r="P361" s="52"/>
      <c r="Q361" s="52"/>
      <c r="R361" s="52"/>
      <c r="S361" s="53">
        <f t="shared" si="247"/>
        <v>11880000</v>
      </c>
      <c r="T361" s="52">
        <v>5</v>
      </c>
      <c r="U361" s="53">
        <f t="shared" si="253"/>
        <v>2376000</v>
      </c>
      <c r="V361" s="52">
        <v>0.5</v>
      </c>
      <c r="W361" s="53">
        <f t="shared" si="251"/>
        <v>1188000</v>
      </c>
      <c r="X361" s="24">
        <v>0.5</v>
      </c>
      <c r="Y361" s="41">
        <f t="shared" si="252"/>
        <v>1188000</v>
      </c>
      <c r="Z361" s="41">
        <f t="shared" si="257"/>
        <v>2376000</v>
      </c>
      <c r="AA361" s="24">
        <f>2022-I361+V361+X361-5/12</f>
        <v>4.583333333333333</v>
      </c>
      <c r="AB361" s="41">
        <f t="shared" si="254"/>
        <v>10890000</v>
      </c>
      <c r="AC361" s="41">
        <f t="shared" si="258"/>
        <v>990000</v>
      </c>
      <c r="AD361" s="70" t="s">
        <v>367</v>
      </c>
      <c r="AE361" s="70"/>
      <c r="AF361" s="1">
        <v>10890000</v>
      </c>
      <c r="AG361" s="5">
        <f t="shared" si="255"/>
        <v>2376000</v>
      </c>
    </row>
    <row r="362" spans="1:33" s="1" customFormat="1" ht="10.5" x14ac:dyDescent="0.25">
      <c r="A362" s="49">
        <v>125</v>
      </c>
      <c r="B362" s="22" t="s">
        <v>1686</v>
      </c>
      <c r="C362" s="50" t="s">
        <v>368</v>
      </c>
      <c r="D362" s="51" t="s">
        <v>369</v>
      </c>
      <c r="E362" s="52" t="s">
        <v>166</v>
      </c>
      <c r="F362" s="52"/>
      <c r="G362" s="52" t="s">
        <v>319</v>
      </c>
      <c r="H362" s="52" t="s">
        <v>62</v>
      </c>
      <c r="I362" s="52">
        <v>2018</v>
      </c>
      <c r="J362" s="52"/>
      <c r="K362" s="52" t="s">
        <v>63</v>
      </c>
      <c r="L362" s="52" t="s">
        <v>64</v>
      </c>
      <c r="M362" s="52">
        <v>8</v>
      </c>
      <c r="N362" s="53">
        <f t="shared" si="256"/>
        <v>1485000</v>
      </c>
      <c r="O362" s="53">
        <v>11880000</v>
      </c>
      <c r="P362" s="52"/>
      <c r="Q362" s="52"/>
      <c r="R362" s="52"/>
      <c r="S362" s="53">
        <f t="shared" si="247"/>
        <v>11880000</v>
      </c>
      <c r="T362" s="52">
        <v>5</v>
      </c>
      <c r="U362" s="53">
        <f t="shared" si="253"/>
        <v>2376000</v>
      </c>
      <c r="V362" s="52">
        <v>0.5</v>
      </c>
      <c r="W362" s="53">
        <f t="shared" si="251"/>
        <v>1188000</v>
      </c>
      <c r="X362" s="24">
        <v>0.5</v>
      </c>
      <c r="Y362" s="41">
        <f t="shared" si="252"/>
        <v>1188000</v>
      </c>
      <c r="Z362" s="41">
        <f t="shared" si="257"/>
        <v>2376000</v>
      </c>
      <c r="AA362" s="24">
        <f>2022-I362+V362+X362-5/12</f>
        <v>4.583333333333333</v>
      </c>
      <c r="AB362" s="41">
        <f t="shared" si="254"/>
        <v>10890000</v>
      </c>
      <c r="AC362" s="41">
        <f t="shared" si="258"/>
        <v>990000</v>
      </c>
      <c r="AD362" s="70" t="s">
        <v>370</v>
      </c>
      <c r="AE362" s="70"/>
      <c r="AF362" s="1">
        <v>10890000</v>
      </c>
      <c r="AG362" s="5">
        <f t="shared" si="255"/>
        <v>2376000</v>
      </c>
    </row>
    <row r="363" spans="1:33" s="1" customFormat="1" ht="10.5" x14ac:dyDescent="0.25">
      <c r="A363" s="49">
        <v>126</v>
      </c>
      <c r="B363" s="22" t="s">
        <v>1686</v>
      </c>
      <c r="C363" s="50" t="s">
        <v>371</v>
      </c>
      <c r="D363" s="51" t="s">
        <v>372</v>
      </c>
      <c r="E363" s="52" t="s">
        <v>166</v>
      </c>
      <c r="F363" s="52"/>
      <c r="G363" s="52" t="s">
        <v>319</v>
      </c>
      <c r="H363" s="52" t="s">
        <v>62</v>
      </c>
      <c r="I363" s="52">
        <v>2018</v>
      </c>
      <c r="J363" s="52"/>
      <c r="K363" s="52" t="s">
        <v>63</v>
      </c>
      <c r="L363" s="52" t="s">
        <v>64</v>
      </c>
      <c r="M363" s="52">
        <v>8</v>
      </c>
      <c r="N363" s="53">
        <f t="shared" si="256"/>
        <v>3960000</v>
      </c>
      <c r="O363" s="53">
        <v>31680000</v>
      </c>
      <c r="P363" s="52"/>
      <c r="Q363" s="52"/>
      <c r="R363" s="52"/>
      <c r="S363" s="53">
        <f t="shared" si="247"/>
        <v>31680000</v>
      </c>
      <c r="T363" s="52">
        <v>5</v>
      </c>
      <c r="U363" s="53">
        <f t="shared" si="253"/>
        <v>6336000</v>
      </c>
      <c r="V363" s="52">
        <v>0.5</v>
      </c>
      <c r="W363" s="53">
        <f t="shared" si="251"/>
        <v>3168000</v>
      </c>
      <c r="X363" s="24">
        <v>0.5</v>
      </c>
      <c r="Y363" s="41">
        <f t="shared" si="252"/>
        <v>3168000</v>
      </c>
      <c r="Z363" s="41">
        <f t="shared" si="257"/>
        <v>6336000</v>
      </c>
      <c r="AA363" s="24">
        <f>2022-I363+V363+X363-5/12</f>
        <v>4.583333333333333</v>
      </c>
      <c r="AB363" s="41">
        <f t="shared" si="254"/>
        <v>29039999.999999996</v>
      </c>
      <c r="AC363" s="41">
        <f t="shared" si="258"/>
        <v>2640000.0000000037</v>
      </c>
      <c r="AD363" s="70" t="s">
        <v>373</v>
      </c>
      <c r="AE363" s="70"/>
      <c r="AF363" s="1">
        <v>29039999.999999996</v>
      </c>
      <c r="AG363" s="5">
        <f t="shared" si="255"/>
        <v>6336000.0000000037</v>
      </c>
    </row>
    <row r="364" spans="1:33" s="1" customFormat="1" ht="10.5" x14ac:dyDescent="0.25">
      <c r="A364" s="49">
        <v>127</v>
      </c>
      <c r="B364" s="22" t="s">
        <v>1686</v>
      </c>
      <c r="C364" s="22" t="s">
        <v>833</v>
      </c>
      <c r="D364" s="51" t="s">
        <v>834</v>
      </c>
      <c r="E364" s="24" t="s">
        <v>166</v>
      </c>
      <c r="F364" s="24"/>
      <c r="G364" s="24" t="s">
        <v>319</v>
      </c>
      <c r="H364" s="24" t="s">
        <v>62</v>
      </c>
      <c r="I364" s="24">
        <v>2004</v>
      </c>
      <c r="J364" s="24"/>
      <c r="K364" s="24" t="s">
        <v>63</v>
      </c>
      <c r="L364" s="24" t="s">
        <v>64</v>
      </c>
      <c r="M364" s="24">
        <v>6</v>
      </c>
      <c r="N364" s="41">
        <f t="shared" si="256"/>
        <v>400000</v>
      </c>
      <c r="O364" s="41">
        <v>2400000</v>
      </c>
      <c r="P364" s="24"/>
      <c r="Q364" s="24"/>
      <c r="R364" s="24"/>
      <c r="S364" s="41">
        <f t="shared" si="247"/>
        <v>2400000</v>
      </c>
      <c r="T364" s="24">
        <v>5</v>
      </c>
      <c r="U364" s="41"/>
      <c r="V364" s="24">
        <v>0.5</v>
      </c>
      <c r="W364" s="41">
        <f t="shared" si="251"/>
        <v>0</v>
      </c>
      <c r="X364" s="24"/>
      <c r="Y364" s="41">
        <f t="shared" ref="Y364:Y368" si="259">SUM(U364*X364)</f>
        <v>0</v>
      </c>
      <c r="Z364" s="41">
        <f t="shared" ref="Z364:Z368" si="260">SUM(W364+Y364)</f>
        <v>0</v>
      </c>
      <c r="AA364" s="24">
        <v>5</v>
      </c>
      <c r="AB364" s="41">
        <v>2400000</v>
      </c>
      <c r="AC364" s="41">
        <f t="shared" ref="AC364:AC368" si="261">SUM(O364-AB364)</f>
        <v>0</v>
      </c>
      <c r="AD364" s="70" t="s">
        <v>287</v>
      </c>
      <c r="AE364" s="70"/>
      <c r="AF364" s="1">
        <v>2400000</v>
      </c>
      <c r="AG364" s="5">
        <f t="shared" si="255"/>
        <v>0</v>
      </c>
    </row>
    <row r="365" spans="1:33" s="1" customFormat="1" ht="10.5" x14ac:dyDescent="0.25">
      <c r="A365" s="49">
        <v>128</v>
      </c>
      <c r="B365" s="22" t="s">
        <v>1686</v>
      </c>
      <c r="C365" s="22" t="s">
        <v>835</v>
      </c>
      <c r="D365" s="51" t="s">
        <v>834</v>
      </c>
      <c r="E365" s="24" t="s">
        <v>166</v>
      </c>
      <c r="F365" s="24"/>
      <c r="G365" s="24" t="s">
        <v>319</v>
      </c>
      <c r="H365" s="24" t="s">
        <v>62</v>
      </c>
      <c r="I365" s="24">
        <v>2004</v>
      </c>
      <c r="J365" s="24"/>
      <c r="K365" s="24" t="s">
        <v>63</v>
      </c>
      <c r="L365" s="24" t="s">
        <v>64</v>
      </c>
      <c r="M365" s="24">
        <v>1</v>
      </c>
      <c r="N365" s="41">
        <f t="shared" si="256"/>
        <v>365000</v>
      </c>
      <c r="O365" s="41">
        <v>365000</v>
      </c>
      <c r="P365" s="24"/>
      <c r="Q365" s="24"/>
      <c r="R365" s="24"/>
      <c r="S365" s="41">
        <f t="shared" si="247"/>
        <v>365000</v>
      </c>
      <c r="T365" s="24">
        <v>5</v>
      </c>
      <c r="U365" s="41"/>
      <c r="V365" s="24">
        <v>0.5</v>
      </c>
      <c r="W365" s="41">
        <f t="shared" si="251"/>
        <v>0</v>
      </c>
      <c r="X365" s="24"/>
      <c r="Y365" s="41">
        <f t="shared" si="259"/>
        <v>0</v>
      </c>
      <c r="Z365" s="41">
        <f t="shared" si="260"/>
        <v>0</v>
      </c>
      <c r="AA365" s="24">
        <v>5</v>
      </c>
      <c r="AB365" s="41">
        <v>365000</v>
      </c>
      <c r="AC365" s="41">
        <f t="shared" si="261"/>
        <v>0</v>
      </c>
      <c r="AD365" s="70" t="s">
        <v>287</v>
      </c>
      <c r="AE365" s="70"/>
      <c r="AF365" s="1">
        <v>365000</v>
      </c>
      <c r="AG365" s="5">
        <f t="shared" si="255"/>
        <v>0</v>
      </c>
    </row>
    <row r="366" spans="1:33" s="1" customFormat="1" ht="10.5" x14ac:dyDescent="0.25">
      <c r="A366" s="49">
        <v>129</v>
      </c>
      <c r="B366" s="22" t="s">
        <v>1686</v>
      </c>
      <c r="C366" s="22" t="s">
        <v>58</v>
      </c>
      <c r="D366" s="51" t="s">
        <v>839</v>
      </c>
      <c r="E366" s="24" t="s">
        <v>166</v>
      </c>
      <c r="F366" s="24"/>
      <c r="G366" s="24" t="s">
        <v>319</v>
      </c>
      <c r="H366" s="24" t="s">
        <v>62</v>
      </c>
      <c r="I366" s="24">
        <v>2018</v>
      </c>
      <c r="J366" s="24"/>
      <c r="K366" s="24" t="s">
        <v>63</v>
      </c>
      <c r="L366" s="24" t="s">
        <v>64</v>
      </c>
      <c r="M366" s="24">
        <v>1</v>
      </c>
      <c r="N366" s="41">
        <f t="shared" si="256"/>
        <v>2475000</v>
      </c>
      <c r="O366" s="41">
        <v>2475000</v>
      </c>
      <c r="P366" s="24"/>
      <c r="Q366" s="24"/>
      <c r="R366" s="24"/>
      <c r="S366" s="41">
        <f t="shared" si="247"/>
        <v>2475000</v>
      </c>
      <c r="T366" s="24">
        <v>5</v>
      </c>
      <c r="U366" s="41">
        <f>SUM(S366/T366)</f>
        <v>495000</v>
      </c>
      <c r="V366" s="79">
        <v>0.5</v>
      </c>
      <c r="W366" s="41">
        <f t="shared" si="251"/>
        <v>247500</v>
      </c>
      <c r="X366" s="24">
        <v>0.5</v>
      </c>
      <c r="Y366" s="41">
        <f t="shared" si="259"/>
        <v>247500</v>
      </c>
      <c r="Z366" s="41">
        <f t="shared" si="260"/>
        <v>495000</v>
      </c>
      <c r="AA366" s="24">
        <f>2022-I366+V366+X366-5/12</f>
        <v>4.583333333333333</v>
      </c>
      <c r="AB366" s="41">
        <f>SUM(U366*AA366)</f>
        <v>2268750</v>
      </c>
      <c r="AC366" s="41">
        <f t="shared" si="261"/>
        <v>206250</v>
      </c>
      <c r="AD366" s="70" t="s">
        <v>365</v>
      </c>
      <c r="AE366" s="70"/>
      <c r="AF366" s="1">
        <v>2268750</v>
      </c>
      <c r="AG366" s="5">
        <f t="shared" si="255"/>
        <v>495000</v>
      </c>
    </row>
    <row r="367" spans="1:33" s="1" customFormat="1" ht="10.5" x14ac:dyDescent="0.25">
      <c r="A367" s="49">
        <v>130</v>
      </c>
      <c r="B367" s="22" t="s">
        <v>1686</v>
      </c>
      <c r="C367" s="22" t="s">
        <v>75</v>
      </c>
      <c r="D367" s="51" t="s">
        <v>839</v>
      </c>
      <c r="E367" s="24" t="s">
        <v>166</v>
      </c>
      <c r="F367" s="24"/>
      <c r="G367" s="24" t="s">
        <v>319</v>
      </c>
      <c r="H367" s="24" t="s">
        <v>62</v>
      </c>
      <c r="I367" s="24">
        <v>2018</v>
      </c>
      <c r="J367" s="24"/>
      <c r="K367" s="24" t="s">
        <v>63</v>
      </c>
      <c r="L367" s="24" t="s">
        <v>64</v>
      </c>
      <c r="M367" s="24">
        <v>1</v>
      </c>
      <c r="N367" s="41">
        <f t="shared" si="256"/>
        <v>2475000</v>
      </c>
      <c r="O367" s="41">
        <v>2475000</v>
      </c>
      <c r="P367" s="24"/>
      <c r="Q367" s="24"/>
      <c r="R367" s="24"/>
      <c r="S367" s="41">
        <f t="shared" si="247"/>
        <v>2475000</v>
      </c>
      <c r="T367" s="24">
        <v>5</v>
      </c>
      <c r="U367" s="41">
        <f>SUM(S367/T367)</f>
        <v>495000</v>
      </c>
      <c r="V367" s="79">
        <v>0.5</v>
      </c>
      <c r="W367" s="41">
        <f t="shared" si="251"/>
        <v>247500</v>
      </c>
      <c r="X367" s="24">
        <v>0.5</v>
      </c>
      <c r="Y367" s="41">
        <f t="shared" si="259"/>
        <v>247500</v>
      </c>
      <c r="Z367" s="41">
        <f t="shared" si="260"/>
        <v>495000</v>
      </c>
      <c r="AA367" s="24">
        <f>2022-I367+V367+X367-5/12</f>
        <v>4.583333333333333</v>
      </c>
      <c r="AB367" s="41">
        <f>SUM(U367*AA367)</f>
        <v>2268750</v>
      </c>
      <c r="AC367" s="41">
        <f t="shared" si="261"/>
        <v>206250</v>
      </c>
      <c r="AD367" s="70" t="s">
        <v>562</v>
      </c>
      <c r="AE367" s="70"/>
      <c r="AF367" s="1">
        <v>2268750</v>
      </c>
      <c r="AG367" s="5">
        <f t="shared" si="255"/>
        <v>495000</v>
      </c>
    </row>
    <row r="368" spans="1:33" s="1" customFormat="1" ht="10.5" x14ac:dyDescent="0.25">
      <c r="A368" s="49">
        <v>131</v>
      </c>
      <c r="B368" s="22" t="s">
        <v>1686</v>
      </c>
      <c r="C368" s="73" t="s">
        <v>58</v>
      </c>
      <c r="D368" s="51" t="s">
        <v>890</v>
      </c>
      <c r="E368" s="52" t="s">
        <v>166</v>
      </c>
      <c r="F368" s="52"/>
      <c r="G368" s="52" t="s">
        <v>319</v>
      </c>
      <c r="H368" s="52" t="s">
        <v>62</v>
      </c>
      <c r="I368" s="52">
        <v>2019</v>
      </c>
      <c r="J368" s="52"/>
      <c r="K368" s="52" t="s">
        <v>63</v>
      </c>
      <c r="L368" s="52" t="s">
        <v>64</v>
      </c>
      <c r="M368" s="52">
        <v>65</v>
      </c>
      <c r="N368" s="53">
        <v>146646500</v>
      </c>
      <c r="O368" s="53">
        <v>146646500</v>
      </c>
      <c r="P368" s="52"/>
      <c r="Q368" s="52"/>
      <c r="R368" s="52"/>
      <c r="S368" s="53">
        <f t="shared" si="247"/>
        <v>146646500</v>
      </c>
      <c r="T368" s="52">
        <v>5</v>
      </c>
      <c r="U368" s="53">
        <f>SUM(S368/T368)</f>
        <v>29329300</v>
      </c>
      <c r="V368" s="52">
        <v>0.5</v>
      </c>
      <c r="W368" s="53">
        <f t="shared" si="251"/>
        <v>14664650</v>
      </c>
      <c r="X368" s="24">
        <v>0.5</v>
      </c>
      <c r="Y368" s="41">
        <f t="shared" si="259"/>
        <v>14664650</v>
      </c>
      <c r="Z368" s="41">
        <f t="shared" si="260"/>
        <v>29329300</v>
      </c>
      <c r="AA368" s="24">
        <f>2022-I368+V368+X368-9/12</f>
        <v>3.25</v>
      </c>
      <c r="AB368" s="41">
        <f>SUM(U368*AA368)</f>
        <v>95320225</v>
      </c>
      <c r="AC368" s="41">
        <f t="shared" si="261"/>
        <v>51326275</v>
      </c>
      <c r="AD368" s="70"/>
      <c r="AE368" s="70"/>
      <c r="AF368" s="1">
        <v>95320225</v>
      </c>
      <c r="AG368" s="5">
        <f t="shared" si="255"/>
        <v>29329300</v>
      </c>
    </row>
    <row r="369" spans="1:34" s="1" customFormat="1" ht="10.5" x14ac:dyDescent="0.25">
      <c r="A369" s="49"/>
      <c r="B369" s="22"/>
      <c r="C369" s="73"/>
      <c r="D369" s="51"/>
      <c r="E369" s="52"/>
      <c r="F369" s="52"/>
      <c r="G369" s="52"/>
      <c r="H369" s="52"/>
      <c r="I369" s="52"/>
      <c r="J369" s="52"/>
      <c r="K369" s="52"/>
      <c r="L369" s="52"/>
      <c r="M369" s="52"/>
      <c r="N369" s="53"/>
      <c r="O369" s="53"/>
      <c r="P369" s="52"/>
      <c r="Q369" s="52"/>
      <c r="R369" s="52"/>
      <c r="S369" s="53"/>
      <c r="T369" s="52"/>
      <c r="U369" s="53"/>
      <c r="V369" s="52"/>
      <c r="W369" s="53"/>
      <c r="X369" s="24"/>
      <c r="Y369" s="41"/>
      <c r="Z369" s="41"/>
      <c r="AA369" s="24"/>
      <c r="AB369" s="41"/>
      <c r="AC369" s="41"/>
      <c r="AD369" s="70"/>
      <c r="AE369" s="70"/>
      <c r="AG369" s="5">
        <f t="shared" si="255"/>
        <v>0</v>
      </c>
    </row>
    <row r="370" spans="1:34" s="1" customFormat="1" ht="10.5" x14ac:dyDescent="0.25">
      <c r="A370" s="25"/>
      <c r="B370" s="26" t="s">
        <v>1687</v>
      </c>
      <c r="C370" s="26"/>
      <c r="D370" s="27" t="s">
        <v>1688</v>
      </c>
      <c r="E370" s="28"/>
      <c r="F370" s="28"/>
      <c r="G370" s="28"/>
      <c r="H370" s="28"/>
      <c r="I370" s="28"/>
      <c r="J370" s="28"/>
      <c r="K370" s="28"/>
      <c r="L370" s="28"/>
      <c r="M370" s="67">
        <f>SUM(M371:M480)</f>
        <v>313</v>
      </c>
      <c r="N370" s="67"/>
      <c r="O370" s="40">
        <f>SUM(O371:O480)</f>
        <v>1406287870.0146158</v>
      </c>
      <c r="P370" s="67"/>
      <c r="Q370" s="67"/>
      <c r="R370" s="67"/>
      <c r="S370" s="40">
        <f>SUM(S371:S480)</f>
        <v>1406287870.0146158</v>
      </c>
      <c r="T370" s="67"/>
      <c r="U370" s="40">
        <f>SUM(U371:U480)</f>
        <v>118427773.99999999</v>
      </c>
      <c r="V370" s="67"/>
      <c r="W370" s="40">
        <f>SUM(W371:W480)</f>
        <v>49926798</v>
      </c>
      <c r="X370" s="28"/>
      <c r="Y370" s="40">
        <f>SUM(Y371:Y480)</f>
        <v>52062797.000000015</v>
      </c>
      <c r="Z370" s="40">
        <f>SUM(Z371:Z480)</f>
        <v>101989595</v>
      </c>
      <c r="AA370" s="28">
        <v>5</v>
      </c>
      <c r="AB370" s="40">
        <f>SUM(AB371:AB480)</f>
        <v>1187101395.0146155</v>
      </c>
      <c r="AC370" s="40">
        <f>SUM(AC371:AC480)</f>
        <v>219186475</v>
      </c>
      <c r="AD370" s="167"/>
      <c r="AE370" s="167"/>
      <c r="AG370" s="5">
        <f t="shared" si="255"/>
        <v>-1085111800.0146155</v>
      </c>
    </row>
    <row r="371" spans="1:34" s="1" customFormat="1" ht="10.5" x14ac:dyDescent="0.25">
      <c r="A371" s="49">
        <v>1</v>
      </c>
      <c r="B371" s="22" t="s">
        <v>1689</v>
      </c>
      <c r="C371" s="22" t="s">
        <v>58</v>
      </c>
      <c r="D371" s="51" t="s">
        <v>724</v>
      </c>
      <c r="E371" s="24" t="s">
        <v>725</v>
      </c>
      <c r="F371" s="24"/>
      <c r="G371" s="24"/>
      <c r="H371" s="24" t="s">
        <v>62</v>
      </c>
      <c r="I371" s="24">
        <v>2012</v>
      </c>
      <c r="J371" s="24"/>
      <c r="K371" s="24"/>
      <c r="L371" s="24" t="s">
        <v>64</v>
      </c>
      <c r="M371" s="24">
        <v>1</v>
      </c>
      <c r="N371" s="41">
        <f t="shared" ref="N371" si="262">SUM(O371/M371)</f>
        <v>2500000</v>
      </c>
      <c r="O371" s="41">
        <v>2500000</v>
      </c>
      <c r="P371" s="24"/>
      <c r="Q371" s="24"/>
      <c r="R371" s="24"/>
      <c r="S371" s="41">
        <f t="shared" ref="S371:S434" si="263">SUM(O371-R371)</f>
        <v>2500000</v>
      </c>
      <c r="T371" s="24">
        <v>5</v>
      </c>
      <c r="U371" s="41"/>
      <c r="V371" s="24">
        <v>0.5</v>
      </c>
      <c r="W371" s="41">
        <f t="shared" ref="W371" si="264">SUM(U371*V371)</f>
        <v>0</v>
      </c>
      <c r="X371" s="166"/>
      <c r="Y371" s="53">
        <f t="shared" ref="Y371" si="265">SUM(U371*X371)</f>
        <v>0</v>
      </c>
      <c r="Z371" s="53">
        <f t="shared" ref="Z371" si="266">SUM(W371+Y371)</f>
        <v>0</v>
      </c>
      <c r="AA371" s="166">
        <v>5</v>
      </c>
      <c r="AB371" s="53">
        <v>2500000</v>
      </c>
      <c r="AC371" s="53">
        <f t="shared" ref="AC371" si="267">SUM(O371-AB371)</f>
        <v>0</v>
      </c>
      <c r="AD371" s="52" t="s">
        <v>608</v>
      </c>
      <c r="AE371" s="70"/>
      <c r="AF371" s="1">
        <v>2500000</v>
      </c>
      <c r="AG371" s="5">
        <f t="shared" si="255"/>
        <v>0</v>
      </c>
    </row>
    <row r="372" spans="1:34" s="1" customFormat="1" ht="10.5" x14ac:dyDescent="0.25">
      <c r="A372" s="21">
        <v>2</v>
      </c>
      <c r="B372" s="22" t="s">
        <v>1690</v>
      </c>
      <c r="C372" s="73" t="s">
        <v>58</v>
      </c>
      <c r="D372" s="51" t="s">
        <v>583</v>
      </c>
      <c r="E372" s="52" t="s">
        <v>584</v>
      </c>
      <c r="F372" s="52"/>
      <c r="G372" s="52" t="s">
        <v>194</v>
      </c>
      <c r="H372" s="52" t="s">
        <v>62</v>
      </c>
      <c r="I372" s="52">
        <v>2019</v>
      </c>
      <c r="J372" s="52"/>
      <c r="K372" s="52" t="s">
        <v>63</v>
      </c>
      <c r="L372" s="52" t="s">
        <v>64</v>
      </c>
      <c r="M372" s="52">
        <v>1</v>
      </c>
      <c r="N372" s="53">
        <v>14999600</v>
      </c>
      <c r="O372" s="53">
        <v>14999600</v>
      </c>
      <c r="P372" s="52"/>
      <c r="Q372" s="52"/>
      <c r="R372" s="52"/>
      <c r="S372" s="53">
        <f t="shared" si="263"/>
        <v>14999600</v>
      </c>
      <c r="T372" s="52">
        <v>5</v>
      </c>
      <c r="U372" s="53">
        <f t="shared" ref="U372:U373" si="268">SUM(S372/T372)</f>
        <v>2999920</v>
      </c>
      <c r="V372" s="52">
        <v>0.5</v>
      </c>
      <c r="W372" s="53">
        <f t="shared" ref="W372:W373" si="269">SUM(U372*V372)</f>
        <v>1499960</v>
      </c>
      <c r="X372" s="24">
        <v>0.5</v>
      </c>
      <c r="Y372" s="41">
        <f t="shared" ref="Y372:Y373" si="270">SUM(U372*X372)</f>
        <v>1499960</v>
      </c>
      <c r="Z372" s="41">
        <f t="shared" ref="Z372:Z435" si="271">SUM(W372+Y372)</f>
        <v>2999920</v>
      </c>
      <c r="AA372" s="24">
        <f>2022-I372+V372+X372-11/12</f>
        <v>3.0833333333333335</v>
      </c>
      <c r="AB372" s="41">
        <f t="shared" ref="AB372:AB373" si="272">SUM(U372*AA372)</f>
        <v>9249753.333333334</v>
      </c>
      <c r="AC372" s="41">
        <f t="shared" ref="AC372:AC435" si="273">SUM(O372-AB372)</f>
        <v>5749846.666666666</v>
      </c>
      <c r="AD372" s="70"/>
      <c r="AE372" s="70"/>
      <c r="AF372" s="1">
        <v>9249753.333333334</v>
      </c>
      <c r="AG372" s="5">
        <f t="shared" si="255"/>
        <v>2999920</v>
      </c>
      <c r="AH372" s="5"/>
    </row>
    <row r="373" spans="1:34" s="1" customFormat="1" ht="10.5" x14ac:dyDescent="0.25">
      <c r="A373" s="49">
        <v>3</v>
      </c>
      <c r="B373" s="50" t="s">
        <v>1690</v>
      </c>
      <c r="C373" s="73" t="s">
        <v>75</v>
      </c>
      <c r="D373" s="51" t="s">
        <v>583</v>
      </c>
      <c r="E373" s="52" t="s">
        <v>585</v>
      </c>
      <c r="F373" s="52"/>
      <c r="G373" s="52" t="s">
        <v>194</v>
      </c>
      <c r="H373" s="52" t="s">
        <v>62</v>
      </c>
      <c r="I373" s="52">
        <v>2021</v>
      </c>
      <c r="J373" s="52"/>
      <c r="K373" s="52" t="s">
        <v>63</v>
      </c>
      <c r="L373" s="52" t="s">
        <v>64</v>
      </c>
      <c r="M373" s="52">
        <v>1</v>
      </c>
      <c r="N373" s="53">
        <v>29700000</v>
      </c>
      <c r="O373" s="53">
        <v>29700000</v>
      </c>
      <c r="P373" s="52"/>
      <c r="Q373" s="52"/>
      <c r="R373" s="52"/>
      <c r="S373" s="53">
        <f t="shared" si="263"/>
        <v>29700000</v>
      </c>
      <c r="T373" s="52">
        <v>5</v>
      </c>
      <c r="U373" s="53">
        <f t="shared" si="268"/>
        <v>5940000</v>
      </c>
      <c r="V373" s="52">
        <v>0.5</v>
      </c>
      <c r="W373" s="53">
        <f t="shared" si="269"/>
        <v>2970000</v>
      </c>
      <c r="X373" s="24">
        <v>0.5</v>
      </c>
      <c r="Y373" s="41">
        <f t="shared" si="270"/>
        <v>2970000</v>
      </c>
      <c r="Z373" s="41">
        <f t="shared" si="271"/>
        <v>5940000</v>
      </c>
      <c r="AA373" s="24">
        <f>4/12+0.5+0.5+0.5</f>
        <v>1.8333333333333333</v>
      </c>
      <c r="AB373" s="41">
        <f t="shared" si="272"/>
        <v>10890000</v>
      </c>
      <c r="AC373" s="41">
        <f t="shared" si="273"/>
        <v>18810000</v>
      </c>
      <c r="AD373" s="70" t="s">
        <v>586</v>
      </c>
      <c r="AE373" s="70"/>
      <c r="AF373" s="1">
        <v>10890000</v>
      </c>
      <c r="AG373" s="5">
        <f t="shared" si="255"/>
        <v>5940000</v>
      </c>
      <c r="AH373" s="5"/>
    </row>
    <row r="374" spans="1:34" s="1" customFormat="1" ht="10.5" x14ac:dyDescent="0.25">
      <c r="A374" s="21">
        <v>4</v>
      </c>
      <c r="B374" s="22" t="s">
        <v>1691</v>
      </c>
      <c r="C374" s="22" t="s">
        <v>96</v>
      </c>
      <c r="D374" s="51" t="s">
        <v>470</v>
      </c>
      <c r="E374" s="24" t="s">
        <v>471</v>
      </c>
      <c r="F374" s="24"/>
      <c r="G374" s="24" t="s">
        <v>194</v>
      </c>
      <c r="H374" s="24" t="s">
        <v>62</v>
      </c>
      <c r="I374" s="24">
        <v>2005</v>
      </c>
      <c r="J374" s="24"/>
      <c r="K374" s="24" t="s">
        <v>63</v>
      </c>
      <c r="L374" s="24" t="s">
        <v>64</v>
      </c>
      <c r="M374" s="24">
        <v>1</v>
      </c>
      <c r="N374" s="41">
        <f>SUM(O374/M374)</f>
        <v>6000000</v>
      </c>
      <c r="O374" s="41">
        <v>6000000</v>
      </c>
      <c r="P374" s="24"/>
      <c r="Q374" s="24"/>
      <c r="R374" s="24"/>
      <c r="S374" s="41">
        <f t="shared" si="263"/>
        <v>6000000</v>
      </c>
      <c r="T374" s="24">
        <v>5</v>
      </c>
      <c r="U374" s="41"/>
      <c r="V374" s="24">
        <v>0.5</v>
      </c>
      <c r="W374" s="41">
        <f>SUM(U374*V374)</f>
        <v>0</v>
      </c>
      <c r="X374" s="24"/>
      <c r="Y374" s="41">
        <f>SUM(U374*X374)</f>
        <v>0</v>
      </c>
      <c r="Z374" s="41">
        <f t="shared" si="271"/>
        <v>0</v>
      </c>
      <c r="AA374" s="24">
        <v>5</v>
      </c>
      <c r="AB374" s="41">
        <v>6000000</v>
      </c>
      <c r="AC374" s="41">
        <f t="shared" si="273"/>
        <v>0</v>
      </c>
      <c r="AD374" s="70" t="s">
        <v>213</v>
      </c>
      <c r="AE374" s="70"/>
      <c r="AF374" s="1">
        <v>6000000</v>
      </c>
      <c r="AG374" s="5">
        <f t="shared" si="255"/>
        <v>0</v>
      </c>
      <c r="AH374" s="5"/>
    </row>
    <row r="375" spans="1:34" s="1" customFormat="1" ht="10.5" x14ac:dyDescent="0.25">
      <c r="A375" s="49">
        <v>5</v>
      </c>
      <c r="B375" s="22" t="s">
        <v>1691</v>
      </c>
      <c r="C375" s="22" t="s">
        <v>472</v>
      </c>
      <c r="D375" s="51" t="s">
        <v>470</v>
      </c>
      <c r="E375" s="24" t="s">
        <v>471</v>
      </c>
      <c r="F375" s="24"/>
      <c r="G375" s="24" t="s">
        <v>194</v>
      </c>
      <c r="H375" s="24" t="s">
        <v>62</v>
      </c>
      <c r="I375" s="24">
        <v>2005</v>
      </c>
      <c r="J375" s="24"/>
      <c r="K375" s="24" t="s">
        <v>63</v>
      </c>
      <c r="L375" s="24" t="s">
        <v>64</v>
      </c>
      <c r="M375" s="24">
        <v>3</v>
      </c>
      <c r="N375" s="41">
        <f t="shared" ref="N375:N440" si="274">SUM(O375/M375)</f>
        <v>6450000</v>
      </c>
      <c r="O375" s="41">
        <v>19350000</v>
      </c>
      <c r="P375" s="24"/>
      <c r="Q375" s="24"/>
      <c r="R375" s="24"/>
      <c r="S375" s="41">
        <f t="shared" si="263"/>
        <v>19350000</v>
      </c>
      <c r="T375" s="24">
        <v>5</v>
      </c>
      <c r="U375" s="41"/>
      <c r="V375" s="24">
        <v>0.5</v>
      </c>
      <c r="W375" s="41">
        <f t="shared" ref="W375:W440" si="275">SUM(U375*V375)</f>
        <v>0</v>
      </c>
      <c r="X375" s="24"/>
      <c r="Y375" s="41">
        <f t="shared" ref="Y375:Y444" si="276">SUM(U375*X375)</f>
        <v>0</v>
      </c>
      <c r="Z375" s="41">
        <f t="shared" si="271"/>
        <v>0</v>
      </c>
      <c r="AA375" s="24">
        <v>5</v>
      </c>
      <c r="AB375" s="41">
        <v>19350000</v>
      </c>
      <c r="AC375" s="41">
        <f t="shared" si="273"/>
        <v>0</v>
      </c>
      <c r="AD375" s="70" t="s">
        <v>250</v>
      </c>
      <c r="AE375" s="70"/>
      <c r="AF375" s="1">
        <v>19350000</v>
      </c>
      <c r="AG375" s="5">
        <f t="shared" si="255"/>
        <v>0</v>
      </c>
      <c r="AH375" s="5"/>
    </row>
    <row r="376" spans="1:34" s="1" customFormat="1" ht="10.5" x14ac:dyDescent="0.25">
      <c r="A376" s="21">
        <v>6</v>
      </c>
      <c r="B376" s="22" t="s">
        <v>1691</v>
      </c>
      <c r="C376" s="22" t="s">
        <v>135</v>
      </c>
      <c r="D376" s="51" t="s">
        <v>470</v>
      </c>
      <c r="E376" s="24" t="s">
        <v>471</v>
      </c>
      <c r="F376" s="24"/>
      <c r="G376" s="24" t="s">
        <v>194</v>
      </c>
      <c r="H376" s="24" t="s">
        <v>62</v>
      </c>
      <c r="I376" s="24">
        <v>2005</v>
      </c>
      <c r="J376" s="24"/>
      <c r="K376" s="24" t="s">
        <v>63</v>
      </c>
      <c r="L376" s="24" t="s">
        <v>64</v>
      </c>
      <c r="M376" s="24">
        <v>1</v>
      </c>
      <c r="N376" s="41">
        <f t="shared" si="274"/>
        <v>6450000</v>
      </c>
      <c r="O376" s="41">
        <v>6450000</v>
      </c>
      <c r="P376" s="24"/>
      <c r="Q376" s="24"/>
      <c r="R376" s="24"/>
      <c r="S376" s="41">
        <f t="shared" si="263"/>
        <v>6450000</v>
      </c>
      <c r="T376" s="24">
        <v>5</v>
      </c>
      <c r="U376" s="41"/>
      <c r="V376" s="24">
        <v>0.5</v>
      </c>
      <c r="W376" s="41">
        <f t="shared" si="275"/>
        <v>0</v>
      </c>
      <c r="X376" s="24"/>
      <c r="Y376" s="41">
        <f t="shared" si="276"/>
        <v>0</v>
      </c>
      <c r="Z376" s="41">
        <f t="shared" si="271"/>
        <v>0</v>
      </c>
      <c r="AA376" s="24">
        <v>5</v>
      </c>
      <c r="AB376" s="41">
        <v>6450000</v>
      </c>
      <c r="AC376" s="41">
        <f t="shared" si="273"/>
        <v>0</v>
      </c>
      <c r="AD376" s="70" t="s">
        <v>473</v>
      </c>
      <c r="AE376" s="70"/>
      <c r="AF376" s="1">
        <v>6450000</v>
      </c>
      <c r="AG376" s="5">
        <f t="shared" si="255"/>
        <v>0</v>
      </c>
      <c r="AH376" s="5"/>
    </row>
    <row r="377" spans="1:34" s="1" customFormat="1" ht="10.5" x14ac:dyDescent="0.25">
      <c r="A377" s="49">
        <v>7</v>
      </c>
      <c r="B377" s="22" t="s">
        <v>1691</v>
      </c>
      <c r="C377" s="22" t="s">
        <v>340</v>
      </c>
      <c r="D377" s="51" t="s">
        <v>470</v>
      </c>
      <c r="E377" s="24" t="s">
        <v>474</v>
      </c>
      <c r="F377" s="24"/>
      <c r="G377" s="24" t="s">
        <v>194</v>
      </c>
      <c r="H377" s="24" t="s">
        <v>62</v>
      </c>
      <c r="I377" s="24">
        <v>2005</v>
      </c>
      <c r="J377" s="24"/>
      <c r="K377" s="24" t="s">
        <v>63</v>
      </c>
      <c r="L377" s="24" t="s">
        <v>64</v>
      </c>
      <c r="M377" s="24">
        <v>2</v>
      </c>
      <c r="N377" s="41">
        <f t="shared" si="274"/>
        <v>3575000</v>
      </c>
      <c r="O377" s="41">
        <v>7150000</v>
      </c>
      <c r="P377" s="24"/>
      <c r="Q377" s="24"/>
      <c r="R377" s="24"/>
      <c r="S377" s="41">
        <f t="shared" si="263"/>
        <v>7150000</v>
      </c>
      <c r="T377" s="24">
        <v>5</v>
      </c>
      <c r="U377" s="41"/>
      <c r="V377" s="24">
        <v>0.5</v>
      </c>
      <c r="W377" s="41">
        <f t="shared" si="275"/>
        <v>0</v>
      </c>
      <c r="X377" s="24"/>
      <c r="Y377" s="41">
        <f t="shared" si="276"/>
        <v>0</v>
      </c>
      <c r="Z377" s="41">
        <f t="shared" si="271"/>
        <v>0</v>
      </c>
      <c r="AA377" s="24">
        <v>5</v>
      </c>
      <c r="AB377" s="41">
        <v>7150000</v>
      </c>
      <c r="AC377" s="41">
        <f t="shared" si="273"/>
        <v>0</v>
      </c>
      <c r="AD377" s="70" t="s">
        <v>295</v>
      </c>
      <c r="AE377" s="70"/>
      <c r="AF377" s="1">
        <v>7150000</v>
      </c>
      <c r="AG377" s="5">
        <f t="shared" si="255"/>
        <v>0</v>
      </c>
      <c r="AH377" s="5"/>
    </row>
    <row r="378" spans="1:34" s="1" customFormat="1" ht="10.5" x14ac:dyDescent="0.25">
      <c r="A378" s="21">
        <v>8</v>
      </c>
      <c r="B378" s="22" t="s">
        <v>1691</v>
      </c>
      <c r="C378" s="22" t="s">
        <v>475</v>
      </c>
      <c r="D378" s="51" t="s">
        <v>470</v>
      </c>
      <c r="E378" s="24" t="s">
        <v>474</v>
      </c>
      <c r="F378" s="24"/>
      <c r="G378" s="24" t="s">
        <v>194</v>
      </c>
      <c r="H378" s="24" t="s">
        <v>62</v>
      </c>
      <c r="I378" s="24">
        <v>2005</v>
      </c>
      <c r="J378" s="24"/>
      <c r="K378" s="24" t="s">
        <v>63</v>
      </c>
      <c r="L378" s="24" t="s">
        <v>64</v>
      </c>
      <c r="M378" s="24">
        <v>4</v>
      </c>
      <c r="N378" s="41">
        <f t="shared" si="274"/>
        <v>3575000</v>
      </c>
      <c r="O378" s="41">
        <v>14300000</v>
      </c>
      <c r="P378" s="24"/>
      <c r="Q378" s="24"/>
      <c r="R378" s="24"/>
      <c r="S378" s="41">
        <f t="shared" si="263"/>
        <v>14300000</v>
      </c>
      <c r="T378" s="24">
        <v>5</v>
      </c>
      <c r="U378" s="41"/>
      <c r="V378" s="24">
        <v>0.5</v>
      </c>
      <c r="W378" s="41">
        <f t="shared" si="275"/>
        <v>0</v>
      </c>
      <c r="X378" s="24"/>
      <c r="Y378" s="41">
        <f t="shared" si="276"/>
        <v>0</v>
      </c>
      <c r="Z378" s="41">
        <f t="shared" si="271"/>
        <v>0</v>
      </c>
      <c r="AA378" s="24">
        <v>5</v>
      </c>
      <c r="AB378" s="41">
        <v>14300000</v>
      </c>
      <c r="AC378" s="41">
        <f t="shared" si="273"/>
        <v>0</v>
      </c>
      <c r="AD378" s="70" t="s">
        <v>250</v>
      </c>
      <c r="AE378" s="70"/>
      <c r="AF378" s="1">
        <v>14300000</v>
      </c>
      <c r="AG378" s="5">
        <f t="shared" si="255"/>
        <v>0</v>
      </c>
      <c r="AH378" s="5"/>
    </row>
    <row r="379" spans="1:34" s="1" customFormat="1" ht="10.5" x14ac:dyDescent="0.25">
      <c r="A379" s="49">
        <v>9</v>
      </c>
      <c r="B379" s="22" t="s">
        <v>1691</v>
      </c>
      <c r="C379" s="22" t="s">
        <v>476</v>
      </c>
      <c r="D379" s="51" t="s">
        <v>470</v>
      </c>
      <c r="E379" s="24" t="s">
        <v>474</v>
      </c>
      <c r="F379" s="24"/>
      <c r="G379" s="24" t="s">
        <v>194</v>
      </c>
      <c r="H379" s="24" t="s">
        <v>62</v>
      </c>
      <c r="I379" s="24">
        <v>2005</v>
      </c>
      <c r="J379" s="24"/>
      <c r="K379" s="24" t="s">
        <v>63</v>
      </c>
      <c r="L379" s="24" t="s">
        <v>64</v>
      </c>
      <c r="M379" s="24">
        <v>5</v>
      </c>
      <c r="N379" s="41">
        <f t="shared" si="274"/>
        <v>3575000</v>
      </c>
      <c r="O379" s="41">
        <v>17875000</v>
      </c>
      <c r="P379" s="24"/>
      <c r="Q379" s="24"/>
      <c r="R379" s="24"/>
      <c r="S379" s="41">
        <f t="shared" si="263"/>
        <v>17875000</v>
      </c>
      <c r="T379" s="24">
        <v>5</v>
      </c>
      <c r="U379" s="41"/>
      <c r="V379" s="24">
        <v>0.5</v>
      </c>
      <c r="W379" s="41">
        <f t="shared" si="275"/>
        <v>0</v>
      </c>
      <c r="X379" s="24"/>
      <c r="Y379" s="41">
        <f t="shared" si="276"/>
        <v>0</v>
      </c>
      <c r="Z379" s="41">
        <f t="shared" si="271"/>
        <v>0</v>
      </c>
      <c r="AA379" s="24">
        <v>5</v>
      </c>
      <c r="AB379" s="41">
        <v>17875000</v>
      </c>
      <c r="AC379" s="41">
        <f t="shared" si="273"/>
        <v>0</v>
      </c>
      <c r="AD379" s="70" t="s">
        <v>297</v>
      </c>
      <c r="AE379" s="70"/>
      <c r="AF379" s="1">
        <v>17875000</v>
      </c>
      <c r="AG379" s="5">
        <f t="shared" si="255"/>
        <v>0</v>
      </c>
      <c r="AH379" s="5"/>
    </row>
    <row r="380" spans="1:34" s="1" customFormat="1" ht="10.5" x14ac:dyDescent="0.25">
      <c r="A380" s="21">
        <v>10</v>
      </c>
      <c r="B380" s="22" t="s">
        <v>1691</v>
      </c>
      <c r="C380" s="22" t="s">
        <v>314</v>
      </c>
      <c r="D380" s="51" t="s">
        <v>470</v>
      </c>
      <c r="E380" s="24" t="s">
        <v>474</v>
      </c>
      <c r="F380" s="24"/>
      <c r="G380" s="24" t="s">
        <v>194</v>
      </c>
      <c r="H380" s="24" t="s">
        <v>62</v>
      </c>
      <c r="I380" s="24">
        <v>2005</v>
      </c>
      <c r="J380" s="24"/>
      <c r="K380" s="24" t="s">
        <v>63</v>
      </c>
      <c r="L380" s="24" t="s">
        <v>64</v>
      </c>
      <c r="M380" s="24">
        <v>2</v>
      </c>
      <c r="N380" s="41">
        <f t="shared" si="274"/>
        <v>3575000</v>
      </c>
      <c r="O380" s="41">
        <v>7150000</v>
      </c>
      <c r="P380" s="24"/>
      <c r="Q380" s="24"/>
      <c r="R380" s="24"/>
      <c r="S380" s="41">
        <f t="shared" si="263"/>
        <v>7150000</v>
      </c>
      <c r="T380" s="24">
        <v>5</v>
      </c>
      <c r="U380" s="41"/>
      <c r="V380" s="24">
        <v>0.5</v>
      </c>
      <c r="W380" s="41">
        <f t="shared" si="275"/>
        <v>0</v>
      </c>
      <c r="X380" s="24"/>
      <c r="Y380" s="41">
        <f t="shared" si="276"/>
        <v>0</v>
      </c>
      <c r="Z380" s="41">
        <f t="shared" si="271"/>
        <v>0</v>
      </c>
      <c r="AA380" s="24">
        <v>5</v>
      </c>
      <c r="AB380" s="41">
        <v>7150000</v>
      </c>
      <c r="AC380" s="41">
        <f t="shared" si="273"/>
        <v>0</v>
      </c>
      <c r="AD380" s="70" t="s">
        <v>303</v>
      </c>
      <c r="AE380" s="70"/>
      <c r="AF380" s="1">
        <v>7150000</v>
      </c>
      <c r="AG380" s="5">
        <f t="shared" si="255"/>
        <v>0</v>
      </c>
      <c r="AH380" s="5"/>
    </row>
    <row r="381" spans="1:34" s="1" customFormat="1" ht="10.5" x14ac:dyDescent="0.25">
      <c r="A381" s="49">
        <v>11</v>
      </c>
      <c r="B381" s="22" t="s">
        <v>1691</v>
      </c>
      <c r="C381" s="22" t="s">
        <v>316</v>
      </c>
      <c r="D381" s="51" t="s">
        <v>470</v>
      </c>
      <c r="E381" s="24" t="s">
        <v>474</v>
      </c>
      <c r="F381" s="24"/>
      <c r="G381" s="24" t="s">
        <v>194</v>
      </c>
      <c r="H381" s="24" t="s">
        <v>62</v>
      </c>
      <c r="I381" s="24">
        <v>2005</v>
      </c>
      <c r="J381" s="24"/>
      <c r="K381" s="24" t="s">
        <v>63</v>
      </c>
      <c r="L381" s="24" t="s">
        <v>64</v>
      </c>
      <c r="M381" s="24">
        <v>2</v>
      </c>
      <c r="N381" s="41">
        <f t="shared" si="274"/>
        <v>3575000</v>
      </c>
      <c r="O381" s="41">
        <v>7150000</v>
      </c>
      <c r="P381" s="24"/>
      <c r="Q381" s="24"/>
      <c r="R381" s="24"/>
      <c r="S381" s="41">
        <f t="shared" si="263"/>
        <v>7150000</v>
      </c>
      <c r="T381" s="24">
        <v>5</v>
      </c>
      <c r="U381" s="41"/>
      <c r="V381" s="24">
        <v>0.5</v>
      </c>
      <c r="W381" s="41">
        <f t="shared" si="275"/>
        <v>0</v>
      </c>
      <c r="X381" s="24"/>
      <c r="Y381" s="41">
        <f t="shared" si="276"/>
        <v>0</v>
      </c>
      <c r="Z381" s="41">
        <f t="shared" si="271"/>
        <v>0</v>
      </c>
      <c r="AA381" s="24">
        <v>5</v>
      </c>
      <c r="AB381" s="41">
        <v>7150000</v>
      </c>
      <c r="AC381" s="41">
        <f t="shared" si="273"/>
        <v>0</v>
      </c>
      <c r="AD381" s="70" t="s">
        <v>305</v>
      </c>
      <c r="AE381" s="70"/>
      <c r="AF381" s="1">
        <v>7150000</v>
      </c>
      <c r="AG381" s="5">
        <f t="shared" si="255"/>
        <v>0</v>
      </c>
      <c r="AH381" s="5"/>
    </row>
    <row r="382" spans="1:34" s="1" customFormat="1" ht="10.5" x14ac:dyDescent="0.25">
      <c r="A382" s="21">
        <v>12</v>
      </c>
      <c r="B382" s="22" t="s">
        <v>1691</v>
      </c>
      <c r="C382" s="22" t="s">
        <v>230</v>
      </c>
      <c r="D382" s="51" t="s">
        <v>470</v>
      </c>
      <c r="E382" s="24" t="s">
        <v>474</v>
      </c>
      <c r="F382" s="24"/>
      <c r="G382" s="24" t="s">
        <v>194</v>
      </c>
      <c r="H382" s="24" t="s">
        <v>62</v>
      </c>
      <c r="I382" s="24">
        <v>2005</v>
      </c>
      <c r="J382" s="24"/>
      <c r="K382" s="24" t="s">
        <v>63</v>
      </c>
      <c r="L382" s="24" t="s">
        <v>64</v>
      </c>
      <c r="M382" s="24">
        <v>1</v>
      </c>
      <c r="N382" s="41">
        <f t="shared" si="274"/>
        <v>3575000</v>
      </c>
      <c r="O382" s="41">
        <v>3575000</v>
      </c>
      <c r="P382" s="24"/>
      <c r="Q382" s="24"/>
      <c r="R382" s="24"/>
      <c r="S382" s="41">
        <f t="shared" si="263"/>
        <v>3575000</v>
      </c>
      <c r="T382" s="24">
        <v>5</v>
      </c>
      <c r="U382" s="41"/>
      <c r="V382" s="24">
        <v>0.5</v>
      </c>
      <c r="W382" s="41">
        <f t="shared" si="275"/>
        <v>0</v>
      </c>
      <c r="X382" s="24"/>
      <c r="Y382" s="41">
        <f t="shared" si="276"/>
        <v>0</v>
      </c>
      <c r="Z382" s="41">
        <f t="shared" si="271"/>
        <v>0</v>
      </c>
      <c r="AA382" s="24">
        <v>5</v>
      </c>
      <c r="AB382" s="41">
        <v>3575000</v>
      </c>
      <c r="AC382" s="41">
        <f t="shared" si="273"/>
        <v>0</v>
      </c>
      <c r="AD382" s="70" t="s">
        <v>473</v>
      </c>
      <c r="AE382" s="70"/>
      <c r="AF382" s="1">
        <v>3575000</v>
      </c>
      <c r="AG382" s="5">
        <f t="shared" si="255"/>
        <v>0</v>
      </c>
      <c r="AH382" s="5"/>
    </row>
    <row r="383" spans="1:34" s="1" customFormat="1" ht="10.5" x14ac:dyDescent="0.25">
      <c r="A383" s="49">
        <v>13</v>
      </c>
      <c r="B383" s="22" t="s">
        <v>1691</v>
      </c>
      <c r="C383" s="22" t="s">
        <v>232</v>
      </c>
      <c r="D383" s="51" t="s">
        <v>470</v>
      </c>
      <c r="E383" s="24" t="s">
        <v>474</v>
      </c>
      <c r="F383" s="24"/>
      <c r="G383" s="24" t="s">
        <v>194</v>
      </c>
      <c r="H383" s="24" t="s">
        <v>62</v>
      </c>
      <c r="I383" s="24">
        <v>2005</v>
      </c>
      <c r="J383" s="24"/>
      <c r="K383" s="24" t="s">
        <v>63</v>
      </c>
      <c r="L383" s="24" t="s">
        <v>64</v>
      </c>
      <c r="M383" s="24">
        <v>1</v>
      </c>
      <c r="N383" s="41">
        <f t="shared" si="274"/>
        <v>3575000</v>
      </c>
      <c r="O383" s="41">
        <v>3575000</v>
      </c>
      <c r="P383" s="24"/>
      <c r="Q383" s="24"/>
      <c r="R383" s="24"/>
      <c r="S383" s="41">
        <f t="shared" si="263"/>
        <v>3575000</v>
      </c>
      <c r="T383" s="24">
        <v>5</v>
      </c>
      <c r="U383" s="41"/>
      <c r="V383" s="24">
        <v>0.5</v>
      </c>
      <c r="W383" s="41">
        <f t="shared" si="275"/>
        <v>0</v>
      </c>
      <c r="X383" s="24"/>
      <c r="Y383" s="41">
        <f t="shared" si="276"/>
        <v>0</v>
      </c>
      <c r="Z383" s="41">
        <f t="shared" si="271"/>
        <v>0</v>
      </c>
      <c r="AA383" s="24">
        <v>5</v>
      </c>
      <c r="AB383" s="41">
        <v>3575000</v>
      </c>
      <c r="AC383" s="41">
        <f t="shared" si="273"/>
        <v>0</v>
      </c>
      <c r="AD383" s="70" t="s">
        <v>477</v>
      </c>
      <c r="AE383" s="70"/>
      <c r="AF383" s="1">
        <v>3575000</v>
      </c>
      <c r="AG383" s="5">
        <f t="shared" si="255"/>
        <v>0</v>
      </c>
      <c r="AH383" s="5"/>
    </row>
    <row r="384" spans="1:34" s="1" customFormat="1" ht="10.5" x14ac:dyDescent="0.25">
      <c r="A384" s="21">
        <v>14</v>
      </c>
      <c r="B384" s="22" t="s">
        <v>1691</v>
      </c>
      <c r="C384" s="22" t="s">
        <v>478</v>
      </c>
      <c r="D384" s="51" t="s">
        <v>470</v>
      </c>
      <c r="E384" s="24" t="s">
        <v>474</v>
      </c>
      <c r="F384" s="24"/>
      <c r="G384" s="24" t="s">
        <v>194</v>
      </c>
      <c r="H384" s="24" t="s">
        <v>62</v>
      </c>
      <c r="I384" s="24">
        <v>2005</v>
      </c>
      <c r="J384" s="24"/>
      <c r="K384" s="24" t="s">
        <v>63</v>
      </c>
      <c r="L384" s="24" t="s">
        <v>64</v>
      </c>
      <c r="M384" s="24">
        <v>3</v>
      </c>
      <c r="N384" s="41">
        <f t="shared" si="274"/>
        <v>3575000</v>
      </c>
      <c r="O384" s="41">
        <v>10725000</v>
      </c>
      <c r="P384" s="24"/>
      <c r="Q384" s="24"/>
      <c r="R384" s="24"/>
      <c r="S384" s="41">
        <f t="shared" si="263"/>
        <v>10725000</v>
      </c>
      <c r="T384" s="24">
        <v>5</v>
      </c>
      <c r="U384" s="41"/>
      <c r="V384" s="24">
        <v>0.5</v>
      </c>
      <c r="W384" s="41">
        <f t="shared" si="275"/>
        <v>0</v>
      </c>
      <c r="X384" s="24"/>
      <c r="Y384" s="41">
        <f t="shared" si="276"/>
        <v>0</v>
      </c>
      <c r="Z384" s="41">
        <f t="shared" si="271"/>
        <v>0</v>
      </c>
      <c r="AA384" s="24">
        <v>5</v>
      </c>
      <c r="AB384" s="41">
        <v>10725000</v>
      </c>
      <c r="AC384" s="41">
        <f t="shared" si="273"/>
        <v>0</v>
      </c>
      <c r="AD384" s="70" t="s">
        <v>387</v>
      </c>
      <c r="AE384" s="70"/>
      <c r="AF384" s="1">
        <v>10725000</v>
      </c>
      <c r="AG384" s="5">
        <f t="shared" si="255"/>
        <v>0</v>
      </c>
      <c r="AH384" s="5"/>
    </row>
    <row r="385" spans="1:34" s="1" customFormat="1" ht="10.5" x14ac:dyDescent="0.25">
      <c r="A385" s="49">
        <v>15</v>
      </c>
      <c r="B385" s="22" t="s">
        <v>1691</v>
      </c>
      <c r="C385" s="22" t="s">
        <v>240</v>
      </c>
      <c r="D385" s="51" t="s">
        <v>470</v>
      </c>
      <c r="E385" s="24" t="s">
        <v>474</v>
      </c>
      <c r="F385" s="24"/>
      <c r="G385" s="24" t="s">
        <v>194</v>
      </c>
      <c r="H385" s="24" t="s">
        <v>62</v>
      </c>
      <c r="I385" s="24">
        <v>2005</v>
      </c>
      <c r="J385" s="24"/>
      <c r="K385" s="24" t="s">
        <v>63</v>
      </c>
      <c r="L385" s="24" t="s">
        <v>64</v>
      </c>
      <c r="M385" s="24">
        <v>1</v>
      </c>
      <c r="N385" s="41">
        <f t="shared" si="274"/>
        <v>3575000</v>
      </c>
      <c r="O385" s="41">
        <v>3575000</v>
      </c>
      <c r="P385" s="24"/>
      <c r="Q385" s="24"/>
      <c r="R385" s="24"/>
      <c r="S385" s="41">
        <f t="shared" si="263"/>
        <v>3575000</v>
      </c>
      <c r="T385" s="24">
        <v>5</v>
      </c>
      <c r="U385" s="41"/>
      <c r="V385" s="24">
        <v>0.5</v>
      </c>
      <c r="W385" s="41">
        <f t="shared" si="275"/>
        <v>0</v>
      </c>
      <c r="X385" s="24"/>
      <c r="Y385" s="41">
        <f t="shared" si="276"/>
        <v>0</v>
      </c>
      <c r="Z385" s="41">
        <f t="shared" si="271"/>
        <v>0</v>
      </c>
      <c r="AA385" s="24">
        <v>5</v>
      </c>
      <c r="AB385" s="41">
        <v>3575000</v>
      </c>
      <c r="AC385" s="41">
        <f t="shared" si="273"/>
        <v>0</v>
      </c>
      <c r="AD385" s="70" t="s">
        <v>259</v>
      </c>
      <c r="AE385" s="70"/>
      <c r="AF385" s="1">
        <v>3575000</v>
      </c>
      <c r="AG385" s="5">
        <f t="shared" si="255"/>
        <v>0</v>
      </c>
      <c r="AH385" s="5"/>
    </row>
    <row r="386" spans="1:34" s="1" customFormat="1" ht="10.5" x14ac:dyDescent="0.25">
      <c r="A386" s="21">
        <v>16</v>
      </c>
      <c r="B386" s="22" t="s">
        <v>1691</v>
      </c>
      <c r="C386" s="22" t="s">
        <v>242</v>
      </c>
      <c r="D386" s="51" t="s">
        <v>470</v>
      </c>
      <c r="E386" s="24" t="s">
        <v>474</v>
      </c>
      <c r="F386" s="24"/>
      <c r="G386" s="24" t="s">
        <v>194</v>
      </c>
      <c r="H386" s="24" t="s">
        <v>62</v>
      </c>
      <c r="I386" s="24">
        <v>2005</v>
      </c>
      <c r="J386" s="24"/>
      <c r="K386" s="24" t="s">
        <v>63</v>
      </c>
      <c r="L386" s="24" t="s">
        <v>64</v>
      </c>
      <c r="M386" s="24">
        <v>1</v>
      </c>
      <c r="N386" s="41">
        <f t="shared" si="274"/>
        <v>3575000</v>
      </c>
      <c r="O386" s="41">
        <v>3575000</v>
      </c>
      <c r="P386" s="24"/>
      <c r="Q386" s="24"/>
      <c r="R386" s="24"/>
      <c r="S386" s="41">
        <f t="shared" si="263"/>
        <v>3575000</v>
      </c>
      <c r="T386" s="24">
        <v>5</v>
      </c>
      <c r="U386" s="41"/>
      <c r="V386" s="24">
        <v>0.5</v>
      </c>
      <c r="W386" s="41">
        <f t="shared" si="275"/>
        <v>0</v>
      </c>
      <c r="X386" s="24"/>
      <c r="Y386" s="41">
        <f t="shared" si="276"/>
        <v>0</v>
      </c>
      <c r="Z386" s="41">
        <f t="shared" si="271"/>
        <v>0</v>
      </c>
      <c r="AA386" s="24">
        <v>5</v>
      </c>
      <c r="AB386" s="41">
        <v>3575000</v>
      </c>
      <c r="AC386" s="41">
        <f t="shared" si="273"/>
        <v>0</v>
      </c>
      <c r="AD386" s="70" t="s">
        <v>87</v>
      </c>
      <c r="AE386" s="70"/>
      <c r="AF386" s="1">
        <v>3575000</v>
      </c>
      <c r="AG386" s="5">
        <f t="shared" si="255"/>
        <v>0</v>
      </c>
      <c r="AH386" s="5"/>
    </row>
    <row r="387" spans="1:34" s="1" customFormat="1" ht="10.5" x14ac:dyDescent="0.25">
      <c r="A387" s="49">
        <v>17</v>
      </c>
      <c r="B387" s="22" t="s">
        <v>1691</v>
      </c>
      <c r="C387" s="22" t="s">
        <v>244</v>
      </c>
      <c r="D387" s="51" t="s">
        <v>470</v>
      </c>
      <c r="E387" s="24" t="s">
        <v>474</v>
      </c>
      <c r="F387" s="24"/>
      <c r="G387" s="24" t="s">
        <v>194</v>
      </c>
      <c r="H387" s="24" t="s">
        <v>62</v>
      </c>
      <c r="I387" s="24">
        <v>2005</v>
      </c>
      <c r="J387" s="24"/>
      <c r="K387" s="24" t="s">
        <v>63</v>
      </c>
      <c r="L387" s="24" t="s">
        <v>64</v>
      </c>
      <c r="M387" s="24">
        <v>1</v>
      </c>
      <c r="N387" s="41">
        <f t="shared" si="274"/>
        <v>3575000</v>
      </c>
      <c r="O387" s="41">
        <v>3575000</v>
      </c>
      <c r="P387" s="24"/>
      <c r="Q387" s="24"/>
      <c r="R387" s="24"/>
      <c r="S387" s="41">
        <f t="shared" si="263"/>
        <v>3575000</v>
      </c>
      <c r="T387" s="24">
        <v>5</v>
      </c>
      <c r="U387" s="41"/>
      <c r="V387" s="24">
        <v>0.5</v>
      </c>
      <c r="W387" s="41">
        <f t="shared" si="275"/>
        <v>0</v>
      </c>
      <c r="X387" s="24"/>
      <c r="Y387" s="41">
        <f t="shared" si="276"/>
        <v>0</v>
      </c>
      <c r="Z387" s="41">
        <f t="shared" si="271"/>
        <v>0</v>
      </c>
      <c r="AA387" s="24">
        <v>5</v>
      </c>
      <c r="AB387" s="41">
        <v>3575000</v>
      </c>
      <c r="AC387" s="41">
        <f t="shared" si="273"/>
        <v>0</v>
      </c>
      <c r="AD387" s="70" t="s">
        <v>479</v>
      </c>
      <c r="AE387" s="70"/>
      <c r="AF387" s="1">
        <v>3575000</v>
      </c>
      <c r="AG387" s="5">
        <f t="shared" si="255"/>
        <v>0</v>
      </c>
      <c r="AH387" s="5"/>
    </row>
    <row r="388" spans="1:34" s="1" customFormat="1" ht="10.5" x14ac:dyDescent="0.25">
      <c r="A388" s="21">
        <v>18</v>
      </c>
      <c r="B388" s="22" t="s">
        <v>1691</v>
      </c>
      <c r="C388" s="22" t="s">
        <v>246</v>
      </c>
      <c r="D388" s="51" t="s">
        <v>470</v>
      </c>
      <c r="E388" s="24" t="s">
        <v>474</v>
      </c>
      <c r="F388" s="24"/>
      <c r="G388" s="24" t="s">
        <v>194</v>
      </c>
      <c r="H388" s="24" t="s">
        <v>62</v>
      </c>
      <c r="I388" s="24">
        <v>2005</v>
      </c>
      <c r="J388" s="24"/>
      <c r="K388" s="24" t="s">
        <v>63</v>
      </c>
      <c r="L388" s="24" t="s">
        <v>64</v>
      </c>
      <c r="M388" s="24">
        <v>1</v>
      </c>
      <c r="N388" s="41">
        <f t="shared" si="274"/>
        <v>3575000</v>
      </c>
      <c r="O388" s="41">
        <v>3575000</v>
      </c>
      <c r="P388" s="24"/>
      <c r="Q388" s="24"/>
      <c r="R388" s="24"/>
      <c r="S388" s="41">
        <f t="shared" si="263"/>
        <v>3575000</v>
      </c>
      <c r="T388" s="24">
        <v>5</v>
      </c>
      <c r="U388" s="41"/>
      <c r="V388" s="24">
        <v>0.5</v>
      </c>
      <c r="W388" s="41">
        <f t="shared" si="275"/>
        <v>0</v>
      </c>
      <c r="X388" s="24"/>
      <c r="Y388" s="41">
        <f t="shared" si="276"/>
        <v>0</v>
      </c>
      <c r="Z388" s="41">
        <f t="shared" si="271"/>
        <v>0</v>
      </c>
      <c r="AA388" s="24">
        <v>5</v>
      </c>
      <c r="AB388" s="41">
        <v>3575000</v>
      </c>
      <c r="AC388" s="41">
        <f t="shared" si="273"/>
        <v>0</v>
      </c>
      <c r="AD388" s="70" t="s">
        <v>480</v>
      </c>
      <c r="AE388" s="70"/>
      <c r="AF388" s="1">
        <v>3575000</v>
      </c>
      <c r="AG388" s="5">
        <f t="shared" si="255"/>
        <v>0</v>
      </c>
      <c r="AH388" s="5"/>
    </row>
    <row r="389" spans="1:34" s="1" customFormat="1" ht="10.5" x14ac:dyDescent="0.25">
      <c r="A389" s="49">
        <v>19</v>
      </c>
      <c r="B389" s="22" t="s">
        <v>1691</v>
      </c>
      <c r="C389" s="22" t="s">
        <v>407</v>
      </c>
      <c r="D389" s="51" t="s">
        <v>470</v>
      </c>
      <c r="E389" s="24" t="s">
        <v>474</v>
      </c>
      <c r="F389" s="24"/>
      <c r="G389" s="24" t="s">
        <v>194</v>
      </c>
      <c r="H389" s="24" t="s">
        <v>62</v>
      </c>
      <c r="I389" s="24">
        <v>2005</v>
      </c>
      <c r="J389" s="24"/>
      <c r="K389" s="24" t="s">
        <v>63</v>
      </c>
      <c r="L389" s="24" t="s">
        <v>64</v>
      </c>
      <c r="M389" s="24">
        <v>1</v>
      </c>
      <c r="N389" s="41">
        <f t="shared" si="274"/>
        <v>3575000</v>
      </c>
      <c r="O389" s="41">
        <v>3575000</v>
      </c>
      <c r="P389" s="24"/>
      <c r="Q389" s="24"/>
      <c r="R389" s="24"/>
      <c r="S389" s="41">
        <f t="shared" si="263"/>
        <v>3575000</v>
      </c>
      <c r="T389" s="24">
        <v>5</v>
      </c>
      <c r="U389" s="41"/>
      <c r="V389" s="24">
        <v>0.5</v>
      </c>
      <c r="W389" s="41">
        <f t="shared" si="275"/>
        <v>0</v>
      </c>
      <c r="X389" s="24"/>
      <c r="Y389" s="41">
        <f t="shared" si="276"/>
        <v>0</v>
      </c>
      <c r="Z389" s="41">
        <f t="shared" si="271"/>
        <v>0</v>
      </c>
      <c r="AA389" s="24">
        <v>5</v>
      </c>
      <c r="AB389" s="41">
        <v>3575000</v>
      </c>
      <c r="AC389" s="41">
        <f t="shared" si="273"/>
        <v>0</v>
      </c>
      <c r="AD389" s="70" t="s">
        <v>481</v>
      </c>
      <c r="AE389" s="70"/>
      <c r="AF389" s="1">
        <v>3575000</v>
      </c>
      <c r="AG389" s="5">
        <f t="shared" si="255"/>
        <v>0</v>
      </c>
      <c r="AH389" s="5"/>
    </row>
    <row r="390" spans="1:34" s="1" customFormat="1" ht="10.5" x14ac:dyDescent="0.25">
      <c r="A390" s="21">
        <v>20</v>
      </c>
      <c r="B390" s="22" t="s">
        <v>1691</v>
      </c>
      <c r="C390" s="22" t="s">
        <v>408</v>
      </c>
      <c r="D390" s="51" t="s">
        <v>470</v>
      </c>
      <c r="E390" s="24" t="s">
        <v>474</v>
      </c>
      <c r="F390" s="24"/>
      <c r="G390" s="24" t="s">
        <v>194</v>
      </c>
      <c r="H390" s="24" t="s">
        <v>62</v>
      </c>
      <c r="I390" s="24">
        <v>2005</v>
      </c>
      <c r="J390" s="24"/>
      <c r="K390" s="24" t="s">
        <v>63</v>
      </c>
      <c r="L390" s="24" t="s">
        <v>64</v>
      </c>
      <c r="M390" s="24">
        <v>1</v>
      </c>
      <c r="N390" s="41">
        <f t="shared" si="274"/>
        <v>3575000</v>
      </c>
      <c r="O390" s="41">
        <v>3575000</v>
      </c>
      <c r="P390" s="24"/>
      <c r="Q390" s="24"/>
      <c r="R390" s="24"/>
      <c r="S390" s="41">
        <f t="shared" si="263"/>
        <v>3575000</v>
      </c>
      <c r="T390" s="24">
        <v>5</v>
      </c>
      <c r="U390" s="41"/>
      <c r="V390" s="24">
        <v>0.5</v>
      </c>
      <c r="W390" s="41">
        <f t="shared" si="275"/>
        <v>0</v>
      </c>
      <c r="X390" s="24"/>
      <c r="Y390" s="41">
        <f t="shared" si="276"/>
        <v>0</v>
      </c>
      <c r="Z390" s="41">
        <f t="shared" si="271"/>
        <v>0</v>
      </c>
      <c r="AA390" s="24">
        <v>5</v>
      </c>
      <c r="AB390" s="41">
        <v>3575000</v>
      </c>
      <c r="AC390" s="41">
        <f t="shared" si="273"/>
        <v>0</v>
      </c>
      <c r="AD390" s="70" t="s">
        <v>224</v>
      </c>
      <c r="AE390" s="70"/>
      <c r="AF390" s="1">
        <v>3575000</v>
      </c>
      <c r="AG390" s="5">
        <f t="shared" si="255"/>
        <v>0</v>
      </c>
      <c r="AH390" s="5"/>
    </row>
    <row r="391" spans="1:34" s="1" customFormat="1" ht="10.5" x14ac:dyDescent="0.25">
      <c r="A391" s="49">
        <v>21</v>
      </c>
      <c r="B391" s="22" t="s">
        <v>1691</v>
      </c>
      <c r="C391" s="22" t="s">
        <v>482</v>
      </c>
      <c r="D391" s="51" t="s">
        <v>483</v>
      </c>
      <c r="E391" s="24" t="s">
        <v>484</v>
      </c>
      <c r="F391" s="24"/>
      <c r="G391" s="24" t="s">
        <v>194</v>
      </c>
      <c r="H391" s="24" t="s">
        <v>62</v>
      </c>
      <c r="I391" s="24">
        <v>2012</v>
      </c>
      <c r="J391" s="24"/>
      <c r="K391" s="24" t="s">
        <v>63</v>
      </c>
      <c r="L391" s="24" t="s">
        <v>64</v>
      </c>
      <c r="M391" s="24">
        <v>6</v>
      </c>
      <c r="N391" s="41">
        <f t="shared" si="274"/>
        <v>5967500</v>
      </c>
      <c r="O391" s="41">
        <v>35805000</v>
      </c>
      <c r="P391" s="24"/>
      <c r="Q391" s="24"/>
      <c r="R391" s="24"/>
      <c r="S391" s="41">
        <f t="shared" si="263"/>
        <v>35805000</v>
      </c>
      <c r="T391" s="24">
        <v>5</v>
      </c>
      <c r="U391" s="41"/>
      <c r="V391" s="24">
        <v>0.5</v>
      </c>
      <c r="W391" s="41">
        <f t="shared" si="275"/>
        <v>0</v>
      </c>
      <c r="X391" s="24"/>
      <c r="Y391" s="41">
        <f t="shared" si="276"/>
        <v>0</v>
      </c>
      <c r="Z391" s="41">
        <f t="shared" si="271"/>
        <v>0</v>
      </c>
      <c r="AA391" s="24">
        <v>5</v>
      </c>
      <c r="AB391" s="41">
        <v>35805000</v>
      </c>
      <c r="AC391" s="41">
        <f t="shared" si="273"/>
        <v>0</v>
      </c>
      <c r="AD391" s="70" t="s">
        <v>485</v>
      </c>
      <c r="AE391" s="70"/>
      <c r="AF391" s="1">
        <v>35805000</v>
      </c>
      <c r="AG391" s="5">
        <f t="shared" si="255"/>
        <v>0</v>
      </c>
      <c r="AH391" s="5"/>
    </row>
    <row r="392" spans="1:34" s="1" customFormat="1" ht="10.5" x14ac:dyDescent="0.25">
      <c r="A392" s="21">
        <v>22</v>
      </c>
      <c r="B392" s="22" t="s">
        <v>1691</v>
      </c>
      <c r="C392" s="22" t="s">
        <v>486</v>
      </c>
      <c r="D392" s="51" t="s">
        <v>483</v>
      </c>
      <c r="E392" s="24" t="s">
        <v>484</v>
      </c>
      <c r="F392" s="24"/>
      <c r="G392" s="24" t="s">
        <v>194</v>
      </c>
      <c r="H392" s="24" t="s">
        <v>62</v>
      </c>
      <c r="I392" s="24">
        <v>2012</v>
      </c>
      <c r="J392" s="24"/>
      <c r="K392" s="24" t="s">
        <v>63</v>
      </c>
      <c r="L392" s="24" t="s">
        <v>64</v>
      </c>
      <c r="M392" s="24">
        <v>4</v>
      </c>
      <c r="N392" s="41">
        <f t="shared" si="274"/>
        <v>5967500</v>
      </c>
      <c r="O392" s="41">
        <v>23870000</v>
      </c>
      <c r="P392" s="24"/>
      <c r="Q392" s="24"/>
      <c r="R392" s="24"/>
      <c r="S392" s="41">
        <f t="shared" si="263"/>
        <v>23870000</v>
      </c>
      <c r="T392" s="24">
        <v>5</v>
      </c>
      <c r="U392" s="41"/>
      <c r="V392" s="24">
        <v>0.5</v>
      </c>
      <c r="W392" s="41">
        <f t="shared" si="275"/>
        <v>0</v>
      </c>
      <c r="X392" s="24"/>
      <c r="Y392" s="41">
        <f t="shared" si="276"/>
        <v>0</v>
      </c>
      <c r="Z392" s="41">
        <f t="shared" si="271"/>
        <v>0</v>
      </c>
      <c r="AA392" s="24">
        <v>5</v>
      </c>
      <c r="AB392" s="41">
        <v>23870000</v>
      </c>
      <c r="AC392" s="41">
        <f t="shared" si="273"/>
        <v>0</v>
      </c>
      <c r="AD392" s="70" t="s">
        <v>487</v>
      </c>
      <c r="AE392" s="70"/>
      <c r="AF392" s="1">
        <v>23870000</v>
      </c>
      <c r="AG392" s="5">
        <f t="shared" si="255"/>
        <v>0</v>
      </c>
      <c r="AH392" s="5"/>
    </row>
    <row r="393" spans="1:34" s="1" customFormat="1" ht="10.5" x14ac:dyDescent="0.25">
      <c r="A393" s="49">
        <v>23</v>
      </c>
      <c r="B393" s="22" t="s">
        <v>1691</v>
      </c>
      <c r="C393" s="22" t="s">
        <v>488</v>
      </c>
      <c r="D393" s="51" t="s">
        <v>483</v>
      </c>
      <c r="E393" s="24" t="s">
        <v>484</v>
      </c>
      <c r="F393" s="24"/>
      <c r="G393" s="24" t="s">
        <v>194</v>
      </c>
      <c r="H393" s="24" t="s">
        <v>62</v>
      </c>
      <c r="I393" s="24">
        <v>2012</v>
      </c>
      <c r="J393" s="24"/>
      <c r="K393" s="24" t="s">
        <v>63</v>
      </c>
      <c r="L393" s="24" t="s">
        <v>64</v>
      </c>
      <c r="M393" s="24">
        <v>6</v>
      </c>
      <c r="N393" s="41">
        <f t="shared" si="274"/>
        <v>5967500</v>
      </c>
      <c r="O393" s="41">
        <v>35805000</v>
      </c>
      <c r="P393" s="24"/>
      <c r="Q393" s="24"/>
      <c r="R393" s="24"/>
      <c r="S393" s="41">
        <f t="shared" si="263"/>
        <v>35805000</v>
      </c>
      <c r="T393" s="24">
        <v>5</v>
      </c>
      <c r="U393" s="41"/>
      <c r="V393" s="24">
        <v>0.5</v>
      </c>
      <c r="W393" s="41">
        <f t="shared" si="275"/>
        <v>0</v>
      </c>
      <c r="X393" s="24"/>
      <c r="Y393" s="41">
        <f t="shared" si="276"/>
        <v>0</v>
      </c>
      <c r="Z393" s="41">
        <f t="shared" si="271"/>
        <v>0</v>
      </c>
      <c r="AA393" s="24">
        <v>5</v>
      </c>
      <c r="AB393" s="41">
        <v>35805000</v>
      </c>
      <c r="AC393" s="41">
        <f t="shared" si="273"/>
        <v>0</v>
      </c>
      <c r="AD393" s="70" t="s">
        <v>489</v>
      </c>
      <c r="AE393" s="70"/>
      <c r="AF393" s="1">
        <v>35805000</v>
      </c>
      <c r="AG393" s="5">
        <f t="shared" si="255"/>
        <v>0</v>
      </c>
      <c r="AH393" s="5"/>
    </row>
    <row r="394" spans="1:34" s="1" customFormat="1" ht="10.5" x14ac:dyDescent="0.25">
      <c r="A394" s="21">
        <v>24</v>
      </c>
      <c r="B394" s="22" t="s">
        <v>1691</v>
      </c>
      <c r="C394" s="22" t="s">
        <v>490</v>
      </c>
      <c r="D394" s="51" t="s">
        <v>483</v>
      </c>
      <c r="E394" s="24" t="s">
        <v>491</v>
      </c>
      <c r="F394" s="24"/>
      <c r="G394" s="24" t="s">
        <v>194</v>
      </c>
      <c r="H394" s="24" t="s">
        <v>62</v>
      </c>
      <c r="I394" s="24">
        <v>2012</v>
      </c>
      <c r="J394" s="24"/>
      <c r="K394" s="24" t="s">
        <v>63</v>
      </c>
      <c r="L394" s="24" t="s">
        <v>64</v>
      </c>
      <c r="M394" s="24">
        <v>20</v>
      </c>
      <c r="N394" s="41">
        <f t="shared" si="274"/>
        <v>3135000</v>
      </c>
      <c r="O394" s="41">
        <v>62700000</v>
      </c>
      <c r="P394" s="24"/>
      <c r="Q394" s="24"/>
      <c r="R394" s="24"/>
      <c r="S394" s="41">
        <f t="shared" si="263"/>
        <v>62700000</v>
      </c>
      <c r="T394" s="24">
        <v>5</v>
      </c>
      <c r="U394" s="41"/>
      <c r="V394" s="24">
        <v>0.5</v>
      </c>
      <c r="W394" s="41">
        <f t="shared" si="275"/>
        <v>0</v>
      </c>
      <c r="X394" s="24"/>
      <c r="Y394" s="41">
        <f t="shared" si="276"/>
        <v>0</v>
      </c>
      <c r="Z394" s="41">
        <f t="shared" si="271"/>
        <v>0</v>
      </c>
      <c r="AA394" s="24">
        <v>5</v>
      </c>
      <c r="AB394" s="41">
        <v>62700000</v>
      </c>
      <c r="AC394" s="41">
        <f t="shared" si="273"/>
        <v>0</v>
      </c>
      <c r="AD394" s="70" t="s">
        <v>492</v>
      </c>
      <c r="AE394" s="70"/>
      <c r="AF394" s="1">
        <v>62700000</v>
      </c>
      <c r="AG394" s="5">
        <f t="shared" si="255"/>
        <v>0</v>
      </c>
      <c r="AH394" s="5"/>
    </row>
    <row r="395" spans="1:34" s="1" customFormat="1" ht="10.5" x14ac:dyDescent="0.25">
      <c r="A395" s="49">
        <v>25</v>
      </c>
      <c r="B395" s="22" t="s">
        <v>1691</v>
      </c>
      <c r="C395" s="22" t="s">
        <v>437</v>
      </c>
      <c r="D395" s="51" t="s">
        <v>483</v>
      </c>
      <c r="E395" s="24" t="s">
        <v>493</v>
      </c>
      <c r="F395" s="24"/>
      <c r="G395" s="24" t="s">
        <v>194</v>
      </c>
      <c r="H395" s="24" t="s">
        <v>62</v>
      </c>
      <c r="I395" s="24">
        <v>2012</v>
      </c>
      <c r="J395" s="24"/>
      <c r="K395" s="24" t="s">
        <v>63</v>
      </c>
      <c r="L395" s="24" t="s">
        <v>64</v>
      </c>
      <c r="M395" s="24">
        <v>1</v>
      </c>
      <c r="N395" s="41">
        <f t="shared" si="274"/>
        <v>3430000</v>
      </c>
      <c r="O395" s="41">
        <v>3430000</v>
      </c>
      <c r="P395" s="24"/>
      <c r="Q395" s="24"/>
      <c r="R395" s="24"/>
      <c r="S395" s="41">
        <f t="shared" si="263"/>
        <v>3430000</v>
      </c>
      <c r="T395" s="24">
        <v>5</v>
      </c>
      <c r="U395" s="41"/>
      <c r="V395" s="24">
        <v>0.5</v>
      </c>
      <c r="W395" s="41">
        <f t="shared" si="275"/>
        <v>0</v>
      </c>
      <c r="X395" s="24"/>
      <c r="Y395" s="41">
        <f t="shared" si="276"/>
        <v>0</v>
      </c>
      <c r="Z395" s="41">
        <f t="shared" si="271"/>
        <v>0</v>
      </c>
      <c r="AA395" s="24">
        <v>5</v>
      </c>
      <c r="AB395" s="41">
        <v>3430000</v>
      </c>
      <c r="AC395" s="41">
        <f t="shared" si="273"/>
        <v>0</v>
      </c>
      <c r="AD395" s="70" t="s">
        <v>224</v>
      </c>
      <c r="AE395" s="70"/>
      <c r="AF395" s="1">
        <v>3430000</v>
      </c>
      <c r="AG395" s="5">
        <f t="shared" si="255"/>
        <v>0</v>
      </c>
      <c r="AH395" s="5"/>
    </row>
    <row r="396" spans="1:34" s="1" customFormat="1" ht="10.5" x14ac:dyDescent="0.25">
      <c r="A396" s="21">
        <v>26</v>
      </c>
      <c r="B396" s="22" t="s">
        <v>1691</v>
      </c>
      <c r="C396" s="22" t="s">
        <v>494</v>
      </c>
      <c r="D396" s="51" t="s">
        <v>483</v>
      </c>
      <c r="E396" s="24" t="s">
        <v>493</v>
      </c>
      <c r="F396" s="24"/>
      <c r="G396" s="24" t="s">
        <v>194</v>
      </c>
      <c r="H396" s="24" t="s">
        <v>62</v>
      </c>
      <c r="I396" s="24">
        <v>2012</v>
      </c>
      <c r="J396" s="24"/>
      <c r="K396" s="24" t="s">
        <v>63</v>
      </c>
      <c r="L396" s="24" t="s">
        <v>64</v>
      </c>
      <c r="M396" s="24">
        <v>14</v>
      </c>
      <c r="N396" s="41">
        <f t="shared" si="274"/>
        <v>3430000</v>
      </c>
      <c r="O396" s="41">
        <v>48020000</v>
      </c>
      <c r="P396" s="24"/>
      <c r="Q396" s="24"/>
      <c r="R396" s="24"/>
      <c r="S396" s="41">
        <f t="shared" si="263"/>
        <v>48020000</v>
      </c>
      <c r="T396" s="24">
        <v>5</v>
      </c>
      <c r="U396" s="41"/>
      <c r="V396" s="24">
        <v>0.5</v>
      </c>
      <c r="W396" s="41">
        <f t="shared" si="275"/>
        <v>0</v>
      </c>
      <c r="X396" s="24"/>
      <c r="Y396" s="41">
        <f t="shared" si="276"/>
        <v>0</v>
      </c>
      <c r="Z396" s="41">
        <f t="shared" si="271"/>
        <v>0</v>
      </c>
      <c r="AA396" s="24">
        <v>5</v>
      </c>
      <c r="AB396" s="41">
        <v>48020000</v>
      </c>
      <c r="AC396" s="41">
        <f t="shared" si="273"/>
        <v>0</v>
      </c>
      <c r="AD396" s="70" t="s">
        <v>350</v>
      </c>
      <c r="AE396" s="70"/>
      <c r="AF396" s="1">
        <v>48020000</v>
      </c>
      <c r="AG396" s="5">
        <f t="shared" si="255"/>
        <v>0</v>
      </c>
      <c r="AH396" s="5"/>
    </row>
    <row r="397" spans="1:34" s="1" customFormat="1" ht="10.5" x14ac:dyDescent="0.25">
      <c r="A397" s="49">
        <v>27</v>
      </c>
      <c r="B397" s="22" t="s">
        <v>1691</v>
      </c>
      <c r="C397" s="22" t="s">
        <v>495</v>
      </c>
      <c r="D397" s="51" t="s">
        <v>483</v>
      </c>
      <c r="E397" s="24" t="s">
        <v>493</v>
      </c>
      <c r="F397" s="24"/>
      <c r="G397" s="24" t="s">
        <v>194</v>
      </c>
      <c r="H397" s="24" t="s">
        <v>62</v>
      </c>
      <c r="I397" s="24">
        <v>2012</v>
      </c>
      <c r="J397" s="24"/>
      <c r="K397" s="24" t="s">
        <v>63</v>
      </c>
      <c r="L397" s="24" t="s">
        <v>64</v>
      </c>
      <c r="M397" s="24">
        <v>18</v>
      </c>
      <c r="N397" s="41">
        <f t="shared" si="274"/>
        <v>3430000</v>
      </c>
      <c r="O397" s="41">
        <v>61740000</v>
      </c>
      <c r="P397" s="24"/>
      <c r="Q397" s="24"/>
      <c r="R397" s="24"/>
      <c r="S397" s="41">
        <f t="shared" si="263"/>
        <v>61740000</v>
      </c>
      <c r="T397" s="24">
        <v>5</v>
      </c>
      <c r="U397" s="41"/>
      <c r="V397" s="24">
        <v>0.5</v>
      </c>
      <c r="W397" s="41">
        <f t="shared" si="275"/>
        <v>0</v>
      </c>
      <c r="X397" s="24"/>
      <c r="Y397" s="41">
        <f t="shared" si="276"/>
        <v>0</v>
      </c>
      <c r="Z397" s="41">
        <f t="shared" si="271"/>
        <v>0</v>
      </c>
      <c r="AA397" s="24">
        <v>5</v>
      </c>
      <c r="AB397" s="41">
        <v>61740000</v>
      </c>
      <c r="AC397" s="41">
        <f t="shared" si="273"/>
        <v>0</v>
      </c>
      <c r="AD397" s="70" t="s">
        <v>354</v>
      </c>
      <c r="AE397" s="70"/>
      <c r="AF397" s="1">
        <v>61740000</v>
      </c>
      <c r="AG397" s="5">
        <f t="shared" si="255"/>
        <v>0</v>
      </c>
      <c r="AH397" s="5"/>
    </row>
    <row r="398" spans="1:34" s="1" customFormat="1" ht="10.5" x14ac:dyDescent="0.25">
      <c r="A398" s="21">
        <v>28</v>
      </c>
      <c r="B398" s="22" t="s">
        <v>1691</v>
      </c>
      <c r="C398" s="22" t="s">
        <v>496</v>
      </c>
      <c r="D398" s="51" t="s">
        <v>483</v>
      </c>
      <c r="E398" s="24" t="s">
        <v>493</v>
      </c>
      <c r="F398" s="24"/>
      <c r="G398" s="24" t="s">
        <v>194</v>
      </c>
      <c r="H398" s="24" t="s">
        <v>62</v>
      </c>
      <c r="I398" s="24">
        <v>2012</v>
      </c>
      <c r="J398" s="24"/>
      <c r="K398" s="24" t="s">
        <v>63</v>
      </c>
      <c r="L398" s="24" t="s">
        <v>64</v>
      </c>
      <c r="M398" s="24">
        <v>6</v>
      </c>
      <c r="N398" s="41">
        <f t="shared" si="274"/>
        <v>3430000</v>
      </c>
      <c r="O398" s="41">
        <v>20580000</v>
      </c>
      <c r="P398" s="24"/>
      <c r="Q398" s="24"/>
      <c r="R398" s="24"/>
      <c r="S398" s="41">
        <f t="shared" si="263"/>
        <v>20580000</v>
      </c>
      <c r="T398" s="24">
        <v>5</v>
      </c>
      <c r="U398" s="41"/>
      <c r="V398" s="24">
        <v>0.5</v>
      </c>
      <c r="W398" s="41">
        <f t="shared" si="275"/>
        <v>0</v>
      </c>
      <c r="X398" s="24"/>
      <c r="Y398" s="41">
        <f t="shared" si="276"/>
        <v>0</v>
      </c>
      <c r="Z398" s="41">
        <f t="shared" si="271"/>
        <v>0</v>
      </c>
      <c r="AA398" s="24">
        <v>5</v>
      </c>
      <c r="AB398" s="41">
        <v>20580000</v>
      </c>
      <c r="AC398" s="41">
        <f t="shared" si="273"/>
        <v>0</v>
      </c>
      <c r="AD398" s="70" t="s">
        <v>287</v>
      </c>
      <c r="AE398" s="70"/>
      <c r="AF398" s="1">
        <v>20580000</v>
      </c>
      <c r="AG398" s="5">
        <f t="shared" si="255"/>
        <v>0</v>
      </c>
      <c r="AH398" s="5"/>
    </row>
    <row r="399" spans="1:34" s="1" customFormat="1" ht="10.5" x14ac:dyDescent="0.25">
      <c r="A399" s="49">
        <v>29</v>
      </c>
      <c r="B399" s="22" t="s">
        <v>1691</v>
      </c>
      <c r="C399" s="22" t="s">
        <v>497</v>
      </c>
      <c r="D399" s="51" t="s">
        <v>483</v>
      </c>
      <c r="E399" s="24" t="s">
        <v>493</v>
      </c>
      <c r="F399" s="24"/>
      <c r="G399" s="24" t="s">
        <v>194</v>
      </c>
      <c r="H399" s="24" t="s">
        <v>62</v>
      </c>
      <c r="I399" s="24">
        <v>2012</v>
      </c>
      <c r="J399" s="24"/>
      <c r="K399" s="24" t="s">
        <v>63</v>
      </c>
      <c r="L399" s="24" t="s">
        <v>64</v>
      </c>
      <c r="M399" s="24">
        <v>2</v>
      </c>
      <c r="N399" s="41">
        <f t="shared" si="274"/>
        <v>3430000</v>
      </c>
      <c r="O399" s="41">
        <v>6860000</v>
      </c>
      <c r="P399" s="24"/>
      <c r="Q399" s="24"/>
      <c r="R399" s="24"/>
      <c r="S399" s="41">
        <f t="shared" si="263"/>
        <v>6860000</v>
      </c>
      <c r="T399" s="24">
        <v>5</v>
      </c>
      <c r="U399" s="41"/>
      <c r="V399" s="24">
        <v>0.5</v>
      </c>
      <c r="W399" s="41">
        <f t="shared" si="275"/>
        <v>0</v>
      </c>
      <c r="X399" s="24"/>
      <c r="Y399" s="41">
        <f t="shared" si="276"/>
        <v>0</v>
      </c>
      <c r="Z399" s="41">
        <f t="shared" si="271"/>
        <v>0</v>
      </c>
      <c r="AA399" s="24">
        <v>5</v>
      </c>
      <c r="AB399" s="41">
        <v>6860000</v>
      </c>
      <c r="AC399" s="41">
        <f t="shared" si="273"/>
        <v>0</v>
      </c>
      <c r="AD399" s="70" t="s">
        <v>303</v>
      </c>
      <c r="AE399" s="70"/>
      <c r="AF399" s="1">
        <v>6860000</v>
      </c>
      <c r="AG399" s="5">
        <f t="shared" si="255"/>
        <v>0</v>
      </c>
      <c r="AH399" s="5"/>
    </row>
    <row r="400" spans="1:34" s="1" customFormat="1" ht="10.5" x14ac:dyDescent="0.25">
      <c r="A400" s="21">
        <v>30</v>
      </c>
      <c r="B400" s="22" t="s">
        <v>1691</v>
      </c>
      <c r="C400" s="22" t="s">
        <v>498</v>
      </c>
      <c r="D400" s="51" t="s">
        <v>483</v>
      </c>
      <c r="E400" s="24" t="s">
        <v>493</v>
      </c>
      <c r="F400" s="24"/>
      <c r="G400" s="24" t="s">
        <v>194</v>
      </c>
      <c r="H400" s="24" t="s">
        <v>62</v>
      </c>
      <c r="I400" s="24">
        <v>2012</v>
      </c>
      <c r="J400" s="24"/>
      <c r="K400" s="24" t="s">
        <v>63</v>
      </c>
      <c r="L400" s="24" t="s">
        <v>64</v>
      </c>
      <c r="M400" s="24">
        <v>2</v>
      </c>
      <c r="N400" s="41">
        <f t="shared" si="274"/>
        <v>3430000</v>
      </c>
      <c r="O400" s="41">
        <v>6860000</v>
      </c>
      <c r="P400" s="24"/>
      <c r="Q400" s="24"/>
      <c r="R400" s="24"/>
      <c r="S400" s="41">
        <f t="shared" si="263"/>
        <v>6860000</v>
      </c>
      <c r="T400" s="24">
        <v>5</v>
      </c>
      <c r="U400" s="41"/>
      <c r="V400" s="24">
        <v>0.5</v>
      </c>
      <c r="W400" s="41">
        <f t="shared" si="275"/>
        <v>0</v>
      </c>
      <c r="X400" s="24"/>
      <c r="Y400" s="41">
        <f t="shared" si="276"/>
        <v>0</v>
      </c>
      <c r="Z400" s="41">
        <f t="shared" si="271"/>
        <v>0</v>
      </c>
      <c r="AA400" s="24">
        <v>5</v>
      </c>
      <c r="AB400" s="41">
        <v>6860000</v>
      </c>
      <c r="AC400" s="41">
        <f t="shared" si="273"/>
        <v>0</v>
      </c>
      <c r="AD400" s="70" t="s">
        <v>305</v>
      </c>
      <c r="AE400" s="70"/>
      <c r="AF400" s="1">
        <v>6860000</v>
      </c>
      <c r="AG400" s="5">
        <f t="shared" si="255"/>
        <v>0</v>
      </c>
      <c r="AH400" s="5"/>
    </row>
    <row r="401" spans="1:34" s="1" customFormat="1" ht="10.5" x14ac:dyDescent="0.25">
      <c r="A401" s="49">
        <v>31</v>
      </c>
      <c r="B401" s="22" t="s">
        <v>1691</v>
      </c>
      <c r="C401" s="22" t="s">
        <v>499</v>
      </c>
      <c r="D401" s="51" t="s">
        <v>483</v>
      </c>
      <c r="E401" s="24" t="s">
        <v>493</v>
      </c>
      <c r="F401" s="24"/>
      <c r="G401" s="24" t="s">
        <v>194</v>
      </c>
      <c r="H401" s="24" t="s">
        <v>62</v>
      </c>
      <c r="I401" s="24">
        <v>2012</v>
      </c>
      <c r="J401" s="24"/>
      <c r="K401" s="24" t="s">
        <v>63</v>
      </c>
      <c r="L401" s="24" t="s">
        <v>64</v>
      </c>
      <c r="M401" s="24">
        <v>2</v>
      </c>
      <c r="N401" s="41">
        <f t="shared" si="274"/>
        <v>3430000</v>
      </c>
      <c r="O401" s="41">
        <v>6860000</v>
      </c>
      <c r="P401" s="24"/>
      <c r="Q401" s="24"/>
      <c r="R401" s="24"/>
      <c r="S401" s="41">
        <f t="shared" si="263"/>
        <v>6860000</v>
      </c>
      <c r="T401" s="24">
        <v>5</v>
      </c>
      <c r="U401" s="41"/>
      <c r="V401" s="24">
        <v>0.5</v>
      </c>
      <c r="W401" s="41">
        <f t="shared" si="275"/>
        <v>0</v>
      </c>
      <c r="X401" s="24"/>
      <c r="Y401" s="41">
        <f t="shared" si="276"/>
        <v>0</v>
      </c>
      <c r="Z401" s="41">
        <f t="shared" si="271"/>
        <v>0</v>
      </c>
      <c r="AA401" s="24">
        <v>5</v>
      </c>
      <c r="AB401" s="41">
        <v>6860000</v>
      </c>
      <c r="AC401" s="41">
        <f t="shared" si="273"/>
        <v>0</v>
      </c>
      <c r="AD401" s="70" t="s">
        <v>363</v>
      </c>
      <c r="AE401" s="70"/>
      <c r="AF401" s="1">
        <v>6860000</v>
      </c>
      <c r="AG401" s="5">
        <f t="shared" si="255"/>
        <v>0</v>
      </c>
      <c r="AH401" s="5"/>
    </row>
    <row r="402" spans="1:34" s="1" customFormat="1" ht="10.5" x14ac:dyDescent="0.25">
      <c r="A402" s="21">
        <v>32</v>
      </c>
      <c r="B402" s="22" t="s">
        <v>1691</v>
      </c>
      <c r="C402" s="22" t="s">
        <v>500</v>
      </c>
      <c r="D402" s="51" t="s">
        <v>483</v>
      </c>
      <c r="E402" s="24" t="s">
        <v>493</v>
      </c>
      <c r="F402" s="24"/>
      <c r="G402" s="24" t="s">
        <v>194</v>
      </c>
      <c r="H402" s="24" t="s">
        <v>62</v>
      </c>
      <c r="I402" s="24">
        <v>2012</v>
      </c>
      <c r="J402" s="24"/>
      <c r="K402" s="24" t="s">
        <v>63</v>
      </c>
      <c r="L402" s="24" t="s">
        <v>64</v>
      </c>
      <c r="M402" s="24">
        <v>2</v>
      </c>
      <c r="N402" s="41">
        <f t="shared" si="274"/>
        <v>3430000</v>
      </c>
      <c r="O402" s="41">
        <v>6860000</v>
      </c>
      <c r="P402" s="24"/>
      <c r="Q402" s="24"/>
      <c r="R402" s="24"/>
      <c r="S402" s="41">
        <f t="shared" si="263"/>
        <v>6860000</v>
      </c>
      <c r="T402" s="24">
        <v>5</v>
      </c>
      <c r="U402" s="41"/>
      <c r="V402" s="24">
        <v>0.5</v>
      </c>
      <c r="W402" s="41">
        <f t="shared" si="275"/>
        <v>0</v>
      </c>
      <c r="X402" s="24"/>
      <c r="Y402" s="41">
        <f t="shared" si="276"/>
        <v>0</v>
      </c>
      <c r="Z402" s="41">
        <f t="shared" si="271"/>
        <v>0</v>
      </c>
      <c r="AA402" s="24">
        <v>5</v>
      </c>
      <c r="AB402" s="41">
        <v>6860000</v>
      </c>
      <c r="AC402" s="41">
        <f t="shared" si="273"/>
        <v>0</v>
      </c>
      <c r="AD402" s="70" t="s">
        <v>473</v>
      </c>
      <c r="AE402" s="70"/>
      <c r="AF402" s="1">
        <v>6860000</v>
      </c>
      <c r="AG402" s="5">
        <f t="shared" si="255"/>
        <v>0</v>
      </c>
      <c r="AH402" s="5"/>
    </row>
    <row r="403" spans="1:34" s="1" customFormat="1" ht="10.5" x14ac:dyDescent="0.25">
      <c r="A403" s="49">
        <v>33</v>
      </c>
      <c r="B403" s="22" t="s">
        <v>1691</v>
      </c>
      <c r="C403" s="22" t="s">
        <v>501</v>
      </c>
      <c r="D403" s="51" t="s">
        <v>483</v>
      </c>
      <c r="E403" s="24" t="s">
        <v>493</v>
      </c>
      <c r="F403" s="24"/>
      <c r="G403" s="24" t="s">
        <v>194</v>
      </c>
      <c r="H403" s="24" t="s">
        <v>62</v>
      </c>
      <c r="I403" s="24">
        <v>2012</v>
      </c>
      <c r="J403" s="24"/>
      <c r="K403" s="24" t="s">
        <v>63</v>
      </c>
      <c r="L403" s="24" t="s">
        <v>64</v>
      </c>
      <c r="M403" s="24">
        <v>1</v>
      </c>
      <c r="N403" s="41">
        <f t="shared" si="274"/>
        <v>3430000</v>
      </c>
      <c r="O403" s="41">
        <v>3430000</v>
      </c>
      <c r="P403" s="24"/>
      <c r="Q403" s="24"/>
      <c r="R403" s="24"/>
      <c r="S403" s="41">
        <f t="shared" si="263"/>
        <v>3430000</v>
      </c>
      <c r="T403" s="24">
        <v>5</v>
      </c>
      <c r="U403" s="41"/>
      <c r="V403" s="24">
        <v>0.5</v>
      </c>
      <c r="W403" s="41">
        <f t="shared" si="275"/>
        <v>0</v>
      </c>
      <c r="X403" s="24"/>
      <c r="Y403" s="41">
        <f t="shared" si="276"/>
        <v>0</v>
      </c>
      <c r="Z403" s="41">
        <f t="shared" si="271"/>
        <v>0</v>
      </c>
      <c r="AA403" s="24">
        <v>5</v>
      </c>
      <c r="AB403" s="41">
        <v>3430000</v>
      </c>
      <c r="AC403" s="41">
        <f t="shared" si="273"/>
        <v>0</v>
      </c>
      <c r="AD403" s="70" t="s">
        <v>477</v>
      </c>
      <c r="AE403" s="70"/>
      <c r="AF403" s="1">
        <v>3430000</v>
      </c>
      <c r="AG403" s="5">
        <f t="shared" si="255"/>
        <v>0</v>
      </c>
      <c r="AH403" s="5"/>
    </row>
    <row r="404" spans="1:34" s="1" customFormat="1" ht="10.5" x14ac:dyDescent="0.25">
      <c r="A404" s="21">
        <v>34</v>
      </c>
      <c r="B404" s="22" t="s">
        <v>1691</v>
      </c>
      <c r="C404" s="22" t="s">
        <v>502</v>
      </c>
      <c r="D404" s="51" t="s">
        <v>483</v>
      </c>
      <c r="E404" s="24" t="s">
        <v>493</v>
      </c>
      <c r="F404" s="24"/>
      <c r="G404" s="24" t="s">
        <v>194</v>
      </c>
      <c r="H404" s="24" t="s">
        <v>62</v>
      </c>
      <c r="I404" s="24">
        <v>2012</v>
      </c>
      <c r="J404" s="24"/>
      <c r="K404" s="24" t="s">
        <v>63</v>
      </c>
      <c r="L404" s="24" t="s">
        <v>64</v>
      </c>
      <c r="M404" s="24">
        <v>2</v>
      </c>
      <c r="N404" s="41">
        <f t="shared" si="274"/>
        <v>3430000</v>
      </c>
      <c r="O404" s="41">
        <v>6860000</v>
      </c>
      <c r="P404" s="24"/>
      <c r="Q404" s="24"/>
      <c r="R404" s="24"/>
      <c r="S404" s="41">
        <f t="shared" si="263"/>
        <v>6860000</v>
      </c>
      <c r="T404" s="24">
        <v>5</v>
      </c>
      <c r="U404" s="41"/>
      <c r="V404" s="24">
        <v>0.5</v>
      </c>
      <c r="W404" s="41">
        <f t="shared" si="275"/>
        <v>0</v>
      </c>
      <c r="X404" s="24"/>
      <c r="Y404" s="41">
        <f t="shared" si="276"/>
        <v>0</v>
      </c>
      <c r="Z404" s="41">
        <f t="shared" si="271"/>
        <v>0</v>
      </c>
      <c r="AA404" s="24">
        <v>5</v>
      </c>
      <c r="AB404" s="41">
        <v>6860000</v>
      </c>
      <c r="AC404" s="41">
        <f t="shared" si="273"/>
        <v>0</v>
      </c>
      <c r="AD404" s="70" t="s">
        <v>226</v>
      </c>
      <c r="AE404" s="70"/>
      <c r="AF404" s="1">
        <v>6860000</v>
      </c>
      <c r="AG404" s="5">
        <f t="shared" si="255"/>
        <v>0</v>
      </c>
      <c r="AH404" s="5"/>
    </row>
    <row r="405" spans="1:34" s="1" customFormat="1" ht="10.5" x14ac:dyDescent="0.25">
      <c r="A405" s="49">
        <v>35</v>
      </c>
      <c r="B405" s="22" t="s">
        <v>1691</v>
      </c>
      <c r="C405" s="22" t="s">
        <v>503</v>
      </c>
      <c r="D405" s="51" t="s">
        <v>483</v>
      </c>
      <c r="E405" s="24" t="s">
        <v>493</v>
      </c>
      <c r="F405" s="24"/>
      <c r="G405" s="24" t="s">
        <v>194</v>
      </c>
      <c r="H405" s="24" t="s">
        <v>62</v>
      </c>
      <c r="I405" s="24">
        <v>2012</v>
      </c>
      <c r="J405" s="24"/>
      <c r="K405" s="24" t="s">
        <v>63</v>
      </c>
      <c r="L405" s="24" t="s">
        <v>64</v>
      </c>
      <c r="M405" s="24">
        <v>2</v>
      </c>
      <c r="N405" s="41">
        <f t="shared" si="274"/>
        <v>3430000</v>
      </c>
      <c r="O405" s="41">
        <v>6860000</v>
      </c>
      <c r="P405" s="24"/>
      <c r="Q405" s="24"/>
      <c r="R405" s="24"/>
      <c r="S405" s="41">
        <f t="shared" si="263"/>
        <v>6860000</v>
      </c>
      <c r="T405" s="24">
        <v>5</v>
      </c>
      <c r="U405" s="41"/>
      <c r="V405" s="24">
        <v>0.5</v>
      </c>
      <c r="W405" s="41">
        <f t="shared" si="275"/>
        <v>0</v>
      </c>
      <c r="X405" s="24"/>
      <c r="Y405" s="41">
        <f t="shared" si="276"/>
        <v>0</v>
      </c>
      <c r="Z405" s="41">
        <f t="shared" si="271"/>
        <v>0</v>
      </c>
      <c r="AA405" s="24">
        <v>5</v>
      </c>
      <c r="AB405" s="41">
        <v>6860000</v>
      </c>
      <c r="AC405" s="41">
        <f t="shared" si="273"/>
        <v>0</v>
      </c>
      <c r="AD405" s="70" t="s">
        <v>504</v>
      </c>
      <c r="AE405" s="70"/>
      <c r="AF405" s="1">
        <v>6860000</v>
      </c>
      <c r="AG405" s="5">
        <f t="shared" si="255"/>
        <v>0</v>
      </c>
      <c r="AH405" s="5"/>
    </row>
    <row r="406" spans="1:34" s="1" customFormat="1" ht="10.5" x14ac:dyDescent="0.25">
      <c r="A406" s="21">
        <v>36</v>
      </c>
      <c r="B406" s="22" t="s">
        <v>1691</v>
      </c>
      <c r="C406" s="22" t="s">
        <v>505</v>
      </c>
      <c r="D406" s="51" t="s">
        <v>483</v>
      </c>
      <c r="E406" s="24" t="s">
        <v>493</v>
      </c>
      <c r="F406" s="24"/>
      <c r="G406" s="24" t="s">
        <v>194</v>
      </c>
      <c r="H406" s="24" t="s">
        <v>62</v>
      </c>
      <c r="I406" s="24">
        <v>2012</v>
      </c>
      <c r="J406" s="24"/>
      <c r="K406" s="24" t="s">
        <v>63</v>
      </c>
      <c r="L406" s="24" t="s">
        <v>64</v>
      </c>
      <c r="M406" s="24">
        <v>2</v>
      </c>
      <c r="N406" s="41">
        <f t="shared" si="274"/>
        <v>3430000</v>
      </c>
      <c r="O406" s="41">
        <v>6860000</v>
      </c>
      <c r="P406" s="24"/>
      <c r="Q406" s="24"/>
      <c r="R406" s="24"/>
      <c r="S406" s="41">
        <f t="shared" si="263"/>
        <v>6860000</v>
      </c>
      <c r="T406" s="24">
        <v>5</v>
      </c>
      <c r="U406" s="41"/>
      <c r="V406" s="24">
        <v>0.5</v>
      </c>
      <c r="W406" s="41">
        <f t="shared" si="275"/>
        <v>0</v>
      </c>
      <c r="X406" s="24"/>
      <c r="Y406" s="41">
        <f t="shared" si="276"/>
        <v>0</v>
      </c>
      <c r="Z406" s="41">
        <f t="shared" si="271"/>
        <v>0</v>
      </c>
      <c r="AA406" s="24">
        <v>5</v>
      </c>
      <c r="AB406" s="41">
        <v>6860000</v>
      </c>
      <c r="AC406" s="41">
        <f t="shared" si="273"/>
        <v>0</v>
      </c>
      <c r="AD406" s="70" t="s">
        <v>388</v>
      </c>
      <c r="AE406" s="70"/>
      <c r="AF406" s="1">
        <v>6860000</v>
      </c>
      <c r="AG406" s="5">
        <f t="shared" si="255"/>
        <v>0</v>
      </c>
      <c r="AH406" s="5"/>
    </row>
    <row r="407" spans="1:34" s="1" customFormat="1" ht="10.5" x14ac:dyDescent="0.25">
      <c r="A407" s="49">
        <v>37</v>
      </c>
      <c r="B407" s="22" t="s">
        <v>1691</v>
      </c>
      <c r="C407" s="22" t="s">
        <v>506</v>
      </c>
      <c r="D407" s="51" t="s">
        <v>483</v>
      </c>
      <c r="E407" s="24" t="s">
        <v>493</v>
      </c>
      <c r="F407" s="24"/>
      <c r="G407" s="24" t="s">
        <v>194</v>
      </c>
      <c r="H407" s="24" t="s">
        <v>62</v>
      </c>
      <c r="I407" s="24">
        <v>2012</v>
      </c>
      <c r="J407" s="24"/>
      <c r="K407" s="24" t="s">
        <v>63</v>
      </c>
      <c r="L407" s="24" t="s">
        <v>64</v>
      </c>
      <c r="M407" s="24">
        <v>1</v>
      </c>
      <c r="N407" s="41">
        <f t="shared" si="274"/>
        <v>3430000</v>
      </c>
      <c r="O407" s="41">
        <v>3430000</v>
      </c>
      <c r="P407" s="24"/>
      <c r="Q407" s="24"/>
      <c r="R407" s="24"/>
      <c r="S407" s="41">
        <f t="shared" si="263"/>
        <v>3430000</v>
      </c>
      <c r="T407" s="24">
        <v>5</v>
      </c>
      <c r="U407" s="41"/>
      <c r="V407" s="24">
        <v>0.5</v>
      </c>
      <c r="W407" s="41">
        <f t="shared" si="275"/>
        <v>0</v>
      </c>
      <c r="X407" s="24"/>
      <c r="Y407" s="41">
        <f t="shared" si="276"/>
        <v>0</v>
      </c>
      <c r="Z407" s="41">
        <f t="shared" si="271"/>
        <v>0</v>
      </c>
      <c r="AA407" s="24">
        <v>5</v>
      </c>
      <c r="AB407" s="41">
        <v>3430000</v>
      </c>
      <c r="AC407" s="41">
        <f t="shared" si="273"/>
        <v>0</v>
      </c>
      <c r="AD407" s="70" t="s">
        <v>385</v>
      </c>
      <c r="AE407" s="70"/>
      <c r="AF407" s="1">
        <v>3430000</v>
      </c>
      <c r="AG407" s="5">
        <f t="shared" si="255"/>
        <v>0</v>
      </c>
      <c r="AH407" s="5"/>
    </row>
    <row r="408" spans="1:34" s="1" customFormat="1" ht="10.5" x14ac:dyDescent="0.25">
      <c r="A408" s="21">
        <v>38</v>
      </c>
      <c r="B408" s="22" t="s">
        <v>1691</v>
      </c>
      <c r="C408" s="22" t="s">
        <v>507</v>
      </c>
      <c r="D408" s="51" t="s">
        <v>483</v>
      </c>
      <c r="E408" s="24" t="s">
        <v>493</v>
      </c>
      <c r="F408" s="24"/>
      <c r="G408" s="24" t="s">
        <v>194</v>
      </c>
      <c r="H408" s="24" t="s">
        <v>62</v>
      </c>
      <c r="I408" s="24">
        <v>2012</v>
      </c>
      <c r="J408" s="24"/>
      <c r="K408" s="24" t="s">
        <v>63</v>
      </c>
      <c r="L408" s="24" t="s">
        <v>64</v>
      </c>
      <c r="M408" s="24">
        <v>1</v>
      </c>
      <c r="N408" s="41">
        <f t="shared" si="274"/>
        <v>3430000</v>
      </c>
      <c r="O408" s="41">
        <v>3430000</v>
      </c>
      <c r="P408" s="24"/>
      <c r="Q408" s="24"/>
      <c r="R408" s="24"/>
      <c r="S408" s="41">
        <f t="shared" si="263"/>
        <v>3430000</v>
      </c>
      <c r="T408" s="24">
        <v>5</v>
      </c>
      <c r="U408" s="41"/>
      <c r="V408" s="24">
        <v>0.5</v>
      </c>
      <c r="W408" s="41">
        <f t="shared" si="275"/>
        <v>0</v>
      </c>
      <c r="X408" s="24"/>
      <c r="Y408" s="41">
        <f t="shared" si="276"/>
        <v>0</v>
      </c>
      <c r="Z408" s="41">
        <f t="shared" si="271"/>
        <v>0</v>
      </c>
      <c r="AA408" s="24">
        <v>5</v>
      </c>
      <c r="AB408" s="41">
        <v>3430000</v>
      </c>
      <c r="AC408" s="41">
        <f t="shared" si="273"/>
        <v>0</v>
      </c>
      <c r="AD408" s="70" t="s">
        <v>311</v>
      </c>
      <c r="AE408" s="70"/>
      <c r="AF408" s="1">
        <v>3430000</v>
      </c>
      <c r="AG408" s="5">
        <f t="shared" si="255"/>
        <v>0</v>
      </c>
      <c r="AH408" s="5"/>
    </row>
    <row r="409" spans="1:34" s="1" customFormat="1" ht="10.5" x14ac:dyDescent="0.25">
      <c r="A409" s="49">
        <v>39</v>
      </c>
      <c r="B409" s="22" t="s">
        <v>1691</v>
      </c>
      <c r="C409" s="22" t="s">
        <v>508</v>
      </c>
      <c r="D409" s="51" t="s">
        <v>483</v>
      </c>
      <c r="E409" s="24" t="s">
        <v>493</v>
      </c>
      <c r="F409" s="24"/>
      <c r="G409" s="24" t="s">
        <v>194</v>
      </c>
      <c r="H409" s="24" t="s">
        <v>62</v>
      </c>
      <c r="I409" s="24">
        <v>2012</v>
      </c>
      <c r="J409" s="24"/>
      <c r="K409" s="24" t="s">
        <v>63</v>
      </c>
      <c r="L409" s="24" t="s">
        <v>64</v>
      </c>
      <c r="M409" s="24">
        <v>1</v>
      </c>
      <c r="N409" s="41">
        <f t="shared" si="274"/>
        <v>3430000</v>
      </c>
      <c r="O409" s="41">
        <v>3430000</v>
      </c>
      <c r="P409" s="24"/>
      <c r="Q409" s="24"/>
      <c r="R409" s="24"/>
      <c r="S409" s="41">
        <f t="shared" si="263"/>
        <v>3430000</v>
      </c>
      <c r="T409" s="24">
        <v>5</v>
      </c>
      <c r="U409" s="41"/>
      <c r="V409" s="24">
        <v>0.5</v>
      </c>
      <c r="W409" s="41">
        <f t="shared" si="275"/>
        <v>0</v>
      </c>
      <c r="X409" s="24"/>
      <c r="Y409" s="41">
        <f t="shared" si="276"/>
        <v>0</v>
      </c>
      <c r="Z409" s="41">
        <f t="shared" si="271"/>
        <v>0</v>
      </c>
      <c r="AA409" s="24">
        <v>5</v>
      </c>
      <c r="AB409" s="41">
        <v>3430000</v>
      </c>
      <c r="AC409" s="41">
        <f t="shared" si="273"/>
        <v>0</v>
      </c>
      <c r="AD409" s="70" t="s">
        <v>217</v>
      </c>
      <c r="AE409" s="70"/>
      <c r="AF409" s="1">
        <v>3430000</v>
      </c>
      <c r="AG409" s="5">
        <f t="shared" si="255"/>
        <v>0</v>
      </c>
      <c r="AH409" s="5"/>
    </row>
    <row r="410" spans="1:34" s="1" customFormat="1" ht="10.5" x14ac:dyDescent="0.25">
      <c r="A410" s="21">
        <v>40</v>
      </c>
      <c r="B410" s="22" t="s">
        <v>1691</v>
      </c>
      <c r="C410" s="22" t="s">
        <v>509</v>
      </c>
      <c r="D410" s="51" t="s">
        <v>483</v>
      </c>
      <c r="E410" s="24" t="s">
        <v>493</v>
      </c>
      <c r="F410" s="24"/>
      <c r="G410" s="24" t="s">
        <v>194</v>
      </c>
      <c r="H410" s="24" t="s">
        <v>62</v>
      </c>
      <c r="I410" s="24">
        <v>2012</v>
      </c>
      <c r="J410" s="24"/>
      <c r="K410" s="24" t="s">
        <v>63</v>
      </c>
      <c r="L410" s="24" t="s">
        <v>64</v>
      </c>
      <c r="M410" s="24">
        <v>4</v>
      </c>
      <c r="N410" s="41">
        <f t="shared" si="274"/>
        <v>3430000</v>
      </c>
      <c r="O410" s="41">
        <v>13720000</v>
      </c>
      <c r="P410" s="24"/>
      <c r="Q410" s="24"/>
      <c r="R410" s="24"/>
      <c r="S410" s="41">
        <f t="shared" si="263"/>
        <v>13720000</v>
      </c>
      <c r="T410" s="24">
        <v>5</v>
      </c>
      <c r="U410" s="41"/>
      <c r="V410" s="24">
        <v>0.5</v>
      </c>
      <c r="W410" s="41">
        <f t="shared" si="275"/>
        <v>0</v>
      </c>
      <c r="X410" s="24"/>
      <c r="Y410" s="41">
        <f t="shared" si="276"/>
        <v>0</v>
      </c>
      <c r="Z410" s="41">
        <f t="shared" si="271"/>
        <v>0</v>
      </c>
      <c r="AA410" s="24">
        <v>5</v>
      </c>
      <c r="AB410" s="41">
        <v>13720000</v>
      </c>
      <c r="AC410" s="41">
        <f t="shared" si="273"/>
        <v>0</v>
      </c>
      <c r="AD410" s="70" t="s">
        <v>301</v>
      </c>
      <c r="AE410" s="70"/>
      <c r="AF410" s="1">
        <v>13720000</v>
      </c>
      <c r="AG410" s="5">
        <f t="shared" si="255"/>
        <v>0</v>
      </c>
      <c r="AH410" s="5"/>
    </row>
    <row r="411" spans="1:34" s="1" customFormat="1" ht="10.5" x14ac:dyDescent="0.25">
      <c r="A411" s="49">
        <v>41</v>
      </c>
      <c r="B411" s="22" t="s">
        <v>1691</v>
      </c>
      <c r="C411" s="22" t="s">
        <v>510</v>
      </c>
      <c r="D411" s="51" t="s">
        <v>511</v>
      </c>
      <c r="E411" s="24" t="s">
        <v>512</v>
      </c>
      <c r="F411" s="24"/>
      <c r="G411" s="24" t="s">
        <v>194</v>
      </c>
      <c r="H411" s="24" t="s">
        <v>62</v>
      </c>
      <c r="I411" s="24">
        <v>2013</v>
      </c>
      <c r="J411" s="24"/>
      <c r="K411" s="24" t="s">
        <v>63</v>
      </c>
      <c r="L411" s="24" t="s">
        <v>64</v>
      </c>
      <c r="M411" s="24">
        <v>1</v>
      </c>
      <c r="N411" s="41">
        <f t="shared" si="274"/>
        <v>5571200</v>
      </c>
      <c r="O411" s="41">
        <v>5571200</v>
      </c>
      <c r="P411" s="24"/>
      <c r="Q411" s="24"/>
      <c r="R411" s="24"/>
      <c r="S411" s="41">
        <f t="shared" si="263"/>
        <v>5571200</v>
      </c>
      <c r="T411" s="24">
        <v>5</v>
      </c>
      <c r="U411" s="41"/>
      <c r="V411" s="24">
        <v>0.5</v>
      </c>
      <c r="W411" s="41">
        <f t="shared" si="275"/>
        <v>0</v>
      </c>
      <c r="X411" s="24"/>
      <c r="Y411" s="41">
        <f t="shared" si="276"/>
        <v>0</v>
      </c>
      <c r="Z411" s="41">
        <f t="shared" si="271"/>
        <v>0</v>
      </c>
      <c r="AA411" s="24">
        <v>5</v>
      </c>
      <c r="AB411" s="41">
        <v>5571200</v>
      </c>
      <c r="AC411" s="41">
        <f t="shared" si="273"/>
        <v>0</v>
      </c>
      <c r="AD411" s="70" t="s">
        <v>218</v>
      </c>
      <c r="AE411" s="70"/>
      <c r="AF411" s="1">
        <v>5571200</v>
      </c>
      <c r="AG411" s="5">
        <f t="shared" si="255"/>
        <v>0</v>
      </c>
      <c r="AH411" s="5"/>
    </row>
    <row r="412" spans="1:34" s="1" customFormat="1" ht="10.5" x14ac:dyDescent="0.25">
      <c r="A412" s="21">
        <v>42</v>
      </c>
      <c r="B412" s="22" t="s">
        <v>1691</v>
      </c>
      <c r="C412" s="22" t="s">
        <v>513</v>
      </c>
      <c r="D412" s="51" t="s">
        <v>511</v>
      </c>
      <c r="E412" s="24" t="s">
        <v>512</v>
      </c>
      <c r="F412" s="24"/>
      <c r="G412" s="24" t="s">
        <v>194</v>
      </c>
      <c r="H412" s="24" t="s">
        <v>62</v>
      </c>
      <c r="I412" s="24">
        <v>2013</v>
      </c>
      <c r="J412" s="24"/>
      <c r="K412" s="24" t="s">
        <v>63</v>
      </c>
      <c r="L412" s="24" t="s">
        <v>64</v>
      </c>
      <c r="M412" s="24">
        <v>1</v>
      </c>
      <c r="N412" s="41">
        <f t="shared" si="274"/>
        <v>5571200</v>
      </c>
      <c r="O412" s="41">
        <v>5571200</v>
      </c>
      <c r="P412" s="24"/>
      <c r="Q412" s="24"/>
      <c r="R412" s="24"/>
      <c r="S412" s="41">
        <f t="shared" si="263"/>
        <v>5571200</v>
      </c>
      <c r="T412" s="24">
        <v>5</v>
      </c>
      <c r="U412" s="41"/>
      <c r="V412" s="24">
        <v>0.5</v>
      </c>
      <c r="W412" s="41">
        <f t="shared" si="275"/>
        <v>0</v>
      </c>
      <c r="X412" s="24"/>
      <c r="Y412" s="41">
        <f t="shared" si="276"/>
        <v>0</v>
      </c>
      <c r="Z412" s="41">
        <f t="shared" si="271"/>
        <v>0</v>
      </c>
      <c r="AA412" s="24">
        <v>5</v>
      </c>
      <c r="AB412" s="41">
        <v>5571200</v>
      </c>
      <c r="AC412" s="41">
        <f t="shared" si="273"/>
        <v>0</v>
      </c>
      <c r="AD412" s="70" t="s">
        <v>219</v>
      </c>
      <c r="AE412" s="70"/>
      <c r="AF412" s="1">
        <v>5571200</v>
      </c>
      <c r="AG412" s="5">
        <f t="shared" si="255"/>
        <v>0</v>
      </c>
      <c r="AH412" s="5"/>
    </row>
    <row r="413" spans="1:34" s="1" customFormat="1" ht="10.5" x14ac:dyDescent="0.25">
      <c r="A413" s="49">
        <v>43</v>
      </c>
      <c r="B413" s="22" t="s">
        <v>1691</v>
      </c>
      <c r="C413" s="22" t="s">
        <v>514</v>
      </c>
      <c r="D413" s="51" t="s">
        <v>511</v>
      </c>
      <c r="E413" s="24" t="s">
        <v>512</v>
      </c>
      <c r="F413" s="24"/>
      <c r="G413" s="24" t="s">
        <v>194</v>
      </c>
      <c r="H413" s="24" t="s">
        <v>62</v>
      </c>
      <c r="I413" s="24">
        <v>2013</v>
      </c>
      <c r="J413" s="24"/>
      <c r="K413" s="24" t="s">
        <v>63</v>
      </c>
      <c r="L413" s="24" t="s">
        <v>64</v>
      </c>
      <c r="M413" s="24">
        <v>1</v>
      </c>
      <c r="N413" s="41">
        <f t="shared" si="274"/>
        <v>5571200</v>
      </c>
      <c r="O413" s="41">
        <v>5571200</v>
      </c>
      <c r="P413" s="24"/>
      <c r="Q413" s="24"/>
      <c r="R413" s="24"/>
      <c r="S413" s="41">
        <f t="shared" si="263"/>
        <v>5571200</v>
      </c>
      <c r="T413" s="24">
        <v>5</v>
      </c>
      <c r="U413" s="41"/>
      <c r="V413" s="24">
        <v>0.5</v>
      </c>
      <c r="W413" s="41">
        <f t="shared" si="275"/>
        <v>0</v>
      </c>
      <c r="X413" s="24"/>
      <c r="Y413" s="41">
        <f t="shared" si="276"/>
        <v>0</v>
      </c>
      <c r="Z413" s="41">
        <f t="shared" si="271"/>
        <v>0</v>
      </c>
      <c r="AA413" s="24">
        <v>5</v>
      </c>
      <c r="AB413" s="41">
        <v>5571200</v>
      </c>
      <c r="AC413" s="41">
        <f t="shared" si="273"/>
        <v>0</v>
      </c>
      <c r="AD413" s="70" t="s">
        <v>220</v>
      </c>
      <c r="AE413" s="70"/>
      <c r="AF413" s="1">
        <v>5571200</v>
      </c>
      <c r="AG413" s="5">
        <f t="shared" si="255"/>
        <v>0</v>
      </c>
      <c r="AH413" s="5"/>
    </row>
    <row r="414" spans="1:34" s="1" customFormat="1" ht="10.5" x14ac:dyDescent="0.25">
      <c r="A414" s="21">
        <v>44</v>
      </c>
      <c r="B414" s="22" t="s">
        <v>1691</v>
      </c>
      <c r="C414" s="22" t="s">
        <v>515</v>
      </c>
      <c r="D414" s="51" t="s">
        <v>511</v>
      </c>
      <c r="E414" s="24" t="s">
        <v>512</v>
      </c>
      <c r="F414" s="24"/>
      <c r="G414" s="24" t="s">
        <v>194</v>
      </c>
      <c r="H414" s="24" t="s">
        <v>62</v>
      </c>
      <c r="I414" s="24">
        <v>2013</v>
      </c>
      <c r="J414" s="24"/>
      <c r="K414" s="24" t="s">
        <v>63</v>
      </c>
      <c r="L414" s="24" t="s">
        <v>64</v>
      </c>
      <c r="M414" s="24">
        <v>1</v>
      </c>
      <c r="N414" s="41">
        <f t="shared" si="274"/>
        <v>5571200</v>
      </c>
      <c r="O414" s="41">
        <v>5571200</v>
      </c>
      <c r="P414" s="24"/>
      <c r="Q414" s="24"/>
      <c r="R414" s="24"/>
      <c r="S414" s="41">
        <f t="shared" si="263"/>
        <v>5571200</v>
      </c>
      <c r="T414" s="24">
        <v>5</v>
      </c>
      <c r="U414" s="41"/>
      <c r="V414" s="24">
        <v>0.5</v>
      </c>
      <c r="W414" s="41">
        <f t="shared" si="275"/>
        <v>0</v>
      </c>
      <c r="X414" s="24"/>
      <c r="Y414" s="41">
        <f t="shared" si="276"/>
        <v>0</v>
      </c>
      <c r="Z414" s="41">
        <f t="shared" si="271"/>
        <v>0</v>
      </c>
      <c r="AA414" s="24">
        <v>5</v>
      </c>
      <c r="AB414" s="41">
        <v>5571200</v>
      </c>
      <c r="AC414" s="41">
        <f t="shared" si="273"/>
        <v>0</v>
      </c>
      <c r="AD414" s="70" t="s">
        <v>221</v>
      </c>
      <c r="AE414" s="70"/>
      <c r="AF414" s="1">
        <v>5571200</v>
      </c>
      <c r="AG414" s="5">
        <f t="shared" si="255"/>
        <v>0</v>
      </c>
      <c r="AH414" s="5"/>
    </row>
    <row r="415" spans="1:34" s="1" customFormat="1" ht="10.5" x14ac:dyDescent="0.25">
      <c r="A415" s="49">
        <v>45</v>
      </c>
      <c r="B415" s="22" t="s">
        <v>1691</v>
      </c>
      <c r="C415" s="22" t="s">
        <v>516</v>
      </c>
      <c r="D415" s="51" t="s">
        <v>517</v>
      </c>
      <c r="E415" s="24" t="s">
        <v>512</v>
      </c>
      <c r="F415" s="24"/>
      <c r="G415" s="24" t="s">
        <v>194</v>
      </c>
      <c r="H415" s="24" t="s">
        <v>62</v>
      </c>
      <c r="I415" s="24">
        <v>2013</v>
      </c>
      <c r="J415" s="24"/>
      <c r="K415" s="24" t="s">
        <v>63</v>
      </c>
      <c r="L415" s="24" t="s">
        <v>64</v>
      </c>
      <c r="M415" s="24">
        <v>1</v>
      </c>
      <c r="N415" s="41">
        <f t="shared" si="274"/>
        <v>4911100</v>
      </c>
      <c r="O415" s="41">
        <v>4911100</v>
      </c>
      <c r="P415" s="24"/>
      <c r="Q415" s="24"/>
      <c r="R415" s="24"/>
      <c r="S415" s="41">
        <f t="shared" si="263"/>
        <v>4911100</v>
      </c>
      <c r="T415" s="24">
        <v>5</v>
      </c>
      <c r="U415" s="41"/>
      <c r="V415" s="24">
        <v>0.5</v>
      </c>
      <c r="W415" s="41">
        <f t="shared" si="275"/>
        <v>0</v>
      </c>
      <c r="X415" s="24"/>
      <c r="Y415" s="41">
        <f t="shared" si="276"/>
        <v>0</v>
      </c>
      <c r="Z415" s="41">
        <f t="shared" si="271"/>
        <v>0</v>
      </c>
      <c r="AA415" s="24">
        <v>5</v>
      </c>
      <c r="AB415" s="41">
        <v>4911100</v>
      </c>
      <c r="AC415" s="41">
        <f t="shared" si="273"/>
        <v>0</v>
      </c>
      <c r="AD415" s="70" t="s">
        <v>218</v>
      </c>
      <c r="AE415" s="70"/>
      <c r="AF415" s="1">
        <v>4911100</v>
      </c>
      <c r="AG415" s="5">
        <f t="shared" si="255"/>
        <v>0</v>
      </c>
      <c r="AH415" s="5"/>
    </row>
    <row r="416" spans="1:34" s="1" customFormat="1" ht="10.5" x14ac:dyDescent="0.25">
      <c r="A416" s="21">
        <v>46</v>
      </c>
      <c r="B416" s="22" t="s">
        <v>1691</v>
      </c>
      <c r="C416" s="22" t="s">
        <v>518</v>
      </c>
      <c r="D416" s="51" t="s">
        <v>517</v>
      </c>
      <c r="E416" s="24" t="s">
        <v>512</v>
      </c>
      <c r="F416" s="24"/>
      <c r="G416" s="24" t="s">
        <v>194</v>
      </c>
      <c r="H416" s="24" t="s">
        <v>62</v>
      </c>
      <c r="I416" s="24">
        <v>2013</v>
      </c>
      <c r="J416" s="24"/>
      <c r="K416" s="24" t="s">
        <v>63</v>
      </c>
      <c r="L416" s="24" t="s">
        <v>64</v>
      </c>
      <c r="M416" s="24">
        <v>1</v>
      </c>
      <c r="N416" s="41">
        <f t="shared" si="274"/>
        <v>4911100</v>
      </c>
      <c r="O416" s="41">
        <v>4911100</v>
      </c>
      <c r="P416" s="24"/>
      <c r="Q416" s="24"/>
      <c r="R416" s="24"/>
      <c r="S416" s="41">
        <f t="shared" si="263"/>
        <v>4911100</v>
      </c>
      <c r="T416" s="24">
        <v>5</v>
      </c>
      <c r="U416" s="41"/>
      <c r="V416" s="24">
        <v>0.5</v>
      </c>
      <c r="W416" s="41">
        <f t="shared" si="275"/>
        <v>0</v>
      </c>
      <c r="X416" s="24"/>
      <c r="Y416" s="41">
        <f t="shared" si="276"/>
        <v>0</v>
      </c>
      <c r="Z416" s="41">
        <f t="shared" si="271"/>
        <v>0</v>
      </c>
      <c r="AA416" s="24">
        <v>5</v>
      </c>
      <c r="AB416" s="41">
        <v>4911100</v>
      </c>
      <c r="AC416" s="41">
        <f t="shared" si="273"/>
        <v>0</v>
      </c>
      <c r="AD416" s="70" t="s">
        <v>219</v>
      </c>
      <c r="AE416" s="70"/>
      <c r="AF416" s="1">
        <v>4911100</v>
      </c>
      <c r="AG416" s="5">
        <f t="shared" si="255"/>
        <v>0</v>
      </c>
      <c r="AH416" s="5"/>
    </row>
    <row r="417" spans="1:34" s="1" customFormat="1" ht="10.5" x14ac:dyDescent="0.25">
      <c r="A417" s="49">
        <v>47</v>
      </c>
      <c r="B417" s="22" t="s">
        <v>1691</v>
      </c>
      <c r="C417" s="22" t="s">
        <v>519</v>
      </c>
      <c r="D417" s="51" t="s">
        <v>517</v>
      </c>
      <c r="E417" s="24" t="s">
        <v>512</v>
      </c>
      <c r="F417" s="24"/>
      <c r="G417" s="24" t="s">
        <v>194</v>
      </c>
      <c r="H417" s="24" t="s">
        <v>62</v>
      </c>
      <c r="I417" s="24">
        <v>2013</v>
      </c>
      <c r="J417" s="24"/>
      <c r="K417" s="24" t="s">
        <v>63</v>
      </c>
      <c r="L417" s="24" t="s">
        <v>64</v>
      </c>
      <c r="M417" s="24">
        <v>1</v>
      </c>
      <c r="N417" s="41">
        <f t="shared" si="274"/>
        <v>4911100</v>
      </c>
      <c r="O417" s="41">
        <v>4911100</v>
      </c>
      <c r="P417" s="24"/>
      <c r="Q417" s="24"/>
      <c r="R417" s="24"/>
      <c r="S417" s="41">
        <f t="shared" si="263"/>
        <v>4911100</v>
      </c>
      <c r="T417" s="24">
        <v>5</v>
      </c>
      <c r="U417" s="41"/>
      <c r="V417" s="24">
        <v>0.5</v>
      </c>
      <c r="W417" s="41">
        <f t="shared" si="275"/>
        <v>0</v>
      </c>
      <c r="X417" s="24"/>
      <c r="Y417" s="41">
        <f t="shared" si="276"/>
        <v>0</v>
      </c>
      <c r="Z417" s="41">
        <f t="shared" si="271"/>
        <v>0</v>
      </c>
      <c r="AA417" s="24">
        <v>5</v>
      </c>
      <c r="AB417" s="41">
        <v>4911100</v>
      </c>
      <c r="AC417" s="41">
        <f t="shared" si="273"/>
        <v>0</v>
      </c>
      <c r="AD417" s="70" t="s">
        <v>220</v>
      </c>
      <c r="AE417" s="70"/>
      <c r="AF417" s="1">
        <v>4911100</v>
      </c>
      <c r="AG417" s="5">
        <f t="shared" si="255"/>
        <v>0</v>
      </c>
      <c r="AH417" s="5"/>
    </row>
    <row r="418" spans="1:34" s="1" customFormat="1" ht="10.5" x14ac:dyDescent="0.25">
      <c r="A418" s="21">
        <v>48</v>
      </c>
      <c r="B418" s="22" t="s">
        <v>1691</v>
      </c>
      <c r="C418" s="22" t="s">
        <v>520</v>
      </c>
      <c r="D418" s="51" t="s">
        <v>517</v>
      </c>
      <c r="E418" s="24" t="s">
        <v>512</v>
      </c>
      <c r="F418" s="24"/>
      <c r="G418" s="24" t="s">
        <v>194</v>
      </c>
      <c r="H418" s="24" t="s">
        <v>62</v>
      </c>
      <c r="I418" s="24">
        <v>2013</v>
      </c>
      <c r="J418" s="24"/>
      <c r="K418" s="24" t="s">
        <v>63</v>
      </c>
      <c r="L418" s="24" t="s">
        <v>64</v>
      </c>
      <c r="M418" s="24">
        <v>1</v>
      </c>
      <c r="N418" s="41">
        <f t="shared" si="274"/>
        <v>4911100</v>
      </c>
      <c r="O418" s="41">
        <v>4911100</v>
      </c>
      <c r="P418" s="24"/>
      <c r="Q418" s="24"/>
      <c r="R418" s="24"/>
      <c r="S418" s="41">
        <f t="shared" si="263"/>
        <v>4911100</v>
      </c>
      <c r="T418" s="24">
        <v>5</v>
      </c>
      <c r="U418" s="41"/>
      <c r="V418" s="24">
        <v>0.5</v>
      </c>
      <c r="W418" s="41">
        <f t="shared" si="275"/>
        <v>0</v>
      </c>
      <c r="X418" s="24"/>
      <c r="Y418" s="41">
        <f t="shared" si="276"/>
        <v>0</v>
      </c>
      <c r="Z418" s="41">
        <f t="shared" si="271"/>
        <v>0</v>
      </c>
      <c r="AA418" s="24">
        <v>5</v>
      </c>
      <c r="AB418" s="41">
        <v>4911100</v>
      </c>
      <c r="AC418" s="41">
        <f t="shared" si="273"/>
        <v>0</v>
      </c>
      <c r="AD418" s="70" t="s">
        <v>221</v>
      </c>
      <c r="AE418" s="70"/>
      <c r="AF418" s="1">
        <v>4911100</v>
      </c>
      <c r="AG418" s="5">
        <f t="shared" si="255"/>
        <v>0</v>
      </c>
      <c r="AH418" s="5"/>
    </row>
    <row r="419" spans="1:34" s="1" customFormat="1" ht="10.5" x14ac:dyDescent="0.25">
      <c r="A419" s="49">
        <v>49</v>
      </c>
      <c r="B419" s="22" t="s">
        <v>1691</v>
      </c>
      <c r="C419" s="22" t="s">
        <v>521</v>
      </c>
      <c r="D419" s="51" t="s">
        <v>522</v>
      </c>
      <c r="E419" s="24" t="s">
        <v>512</v>
      </c>
      <c r="F419" s="24"/>
      <c r="G419" s="24" t="s">
        <v>194</v>
      </c>
      <c r="H419" s="24" t="s">
        <v>62</v>
      </c>
      <c r="I419" s="24">
        <v>2013</v>
      </c>
      <c r="J419" s="24"/>
      <c r="K419" s="24" t="s">
        <v>63</v>
      </c>
      <c r="L419" s="24" t="s">
        <v>64</v>
      </c>
      <c r="M419" s="24">
        <v>2</v>
      </c>
      <c r="N419" s="41">
        <f t="shared" si="274"/>
        <v>4691200</v>
      </c>
      <c r="O419" s="41">
        <v>9382400</v>
      </c>
      <c r="P419" s="24"/>
      <c r="Q419" s="24"/>
      <c r="R419" s="24"/>
      <c r="S419" s="41">
        <f t="shared" si="263"/>
        <v>9382400</v>
      </c>
      <c r="T419" s="24">
        <v>5</v>
      </c>
      <c r="U419" s="41"/>
      <c r="V419" s="24">
        <v>0.5</v>
      </c>
      <c r="W419" s="41">
        <f t="shared" si="275"/>
        <v>0</v>
      </c>
      <c r="X419" s="24"/>
      <c r="Y419" s="41">
        <f t="shared" si="276"/>
        <v>0</v>
      </c>
      <c r="Z419" s="41">
        <f t="shared" si="271"/>
        <v>0</v>
      </c>
      <c r="AA419" s="24">
        <v>5</v>
      </c>
      <c r="AB419" s="41">
        <v>9382400</v>
      </c>
      <c r="AC419" s="41">
        <f t="shared" si="273"/>
        <v>0</v>
      </c>
      <c r="AD419" s="70" t="s">
        <v>218</v>
      </c>
      <c r="AE419" s="70"/>
      <c r="AF419" s="1">
        <v>9382400</v>
      </c>
      <c r="AG419" s="5">
        <f t="shared" si="255"/>
        <v>0</v>
      </c>
      <c r="AH419" s="5"/>
    </row>
    <row r="420" spans="1:34" s="1" customFormat="1" ht="10.5" x14ac:dyDescent="0.25">
      <c r="A420" s="21">
        <v>50</v>
      </c>
      <c r="B420" s="22" t="s">
        <v>1691</v>
      </c>
      <c r="C420" s="22" t="s">
        <v>523</v>
      </c>
      <c r="D420" s="51" t="s">
        <v>522</v>
      </c>
      <c r="E420" s="24" t="s">
        <v>512</v>
      </c>
      <c r="F420" s="24"/>
      <c r="G420" s="24" t="s">
        <v>194</v>
      </c>
      <c r="H420" s="24" t="s">
        <v>62</v>
      </c>
      <c r="I420" s="24">
        <v>2013</v>
      </c>
      <c r="J420" s="24"/>
      <c r="K420" s="24" t="s">
        <v>63</v>
      </c>
      <c r="L420" s="24" t="s">
        <v>64</v>
      </c>
      <c r="M420" s="24">
        <v>2</v>
      </c>
      <c r="N420" s="41">
        <f t="shared" si="274"/>
        <v>4691200</v>
      </c>
      <c r="O420" s="41">
        <v>9382400</v>
      </c>
      <c r="P420" s="24"/>
      <c r="Q420" s="24"/>
      <c r="R420" s="24"/>
      <c r="S420" s="41">
        <f t="shared" si="263"/>
        <v>9382400</v>
      </c>
      <c r="T420" s="24">
        <v>5</v>
      </c>
      <c r="U420" s="41"/>
      <c r="V420" s="24">
        <v>0.5</v>
      </c>
      <c r="W420" s="41">
        <f t="shared" si="275"/>
        <v>0</v>
      </c>
      <c r="X420" s="24"/>
      <c r="Y420" s="41">
        <f t="shared" si="276"/>
        <v>0</v>
      </c>
      <c r="Z420" s="41">
        <f t="shared" si="271"/>
        <v>0</v>
      </c>
      <c r="AA420" s="24">
        <v>5</v>
      </c>
      <c r="AB420" s="41">
        <v>9382400</v>
      </c>
      <c r="AC420" s="41">
        <f t="shared" si="273"/>
        <v>0</v>
      </c>
      <c r="AD420" s="70" t="s">
        <v>219</v>
      </c>
      <c r="AE420" s="70"/>
      <c r="AF420" s="1">
        <v>9382400</v>
      </c>
      <c r="AG420" s="5">
        <f t="shared" si="255"/>
        <v>0</v>
      </c>
      <c r="AH420" s="5"/>
    </row>
    <row r="421" spans="1:34" s="1" customFormat="1" ht="10.5" x14ac:dyDescent="0.25">
      <c r="A421" s="49">
        <v>51</v>
      </c>
      <c r="B421" s="22" t="s">
        <v>1691</v>
      </c>
      <c r="C421" s="22" t="s">
        <v>524</v>
      </c>
      <c r="D421" s="51" t="s">
        <v>522</v>
      </c>
      <c r="E421" s="24" t="s">
        <v>512</v>
      </c>
      <c r="F421" s="24"/>
      <c r="G421" s="24" t="s">
        <v>194</v>
      </c>
      <c r="H421" s="24" t="s">
        <v>62</v>
      </c>
      <c r="I421" s="24">
        <v>2013</v>
      </c>
      <c r="J421" s="24"/>
      <c r="K421" s="24" t="s">
        <v>63</v>
      </c>
      <c r="L421" s="24" t="s">
        <v>64</v>
      </c>
      <c r="M421" s="24">
        <v>2</v>
      </c>
      <c r="N421" s="41">
        <f t="shared" si="274"/>
        <v>4691200</v>
      </c>
      <c r="O421" s="41">
        <v>9382400</v>
      </c>
      <c r="P421" s="24"/>
      <c r="Q421" s="24"/>
      <c r="R421" s="24"/>
      <c r="S421" s="41">
        <f t="shared" si="263"/>
        <v>9382400</v>
      </c>
      <c r="T421" s="24">
        <v>5</v>
      </c>
      <c r="U421" s="41"/>
      <c r="V421" s="24">
        <v>0.5</v>
      </c>
      <c r="W421" s="41">
        <f t="shared" si="275"/>
        <v>0</v>
      </c>
      <c r="X421" s="24"/>
      <c r="Y421" s="41">
        <f t="shared" si="276"/>
        <v>0</v>
      </c>
      <c r="Z421" s="41">
        <f t="shared" si="271"/>
        <v>0</v>
      </c>
      <c r="AA421" s="24">
        <v>5</v>
      </c>
      <c r="AB421" s="41">
        <v>9382400</v>
      </c>
      <c r="AC421" s="41">
        <f t="shared" si="273"/>
        <v>0</v>
      </c>
      <c r="AD421" s="70" t="s">
        <v>220</v>
      </c>
      <c r="AE421" s="70"/>
      <c r="AF421" s="1">
        <v>9382400</v>
      </c>
      <c r="AG421" s="5">
        <f t="shared" si="255"/>
        <v>0</v>
      </c>
      <c r="AH421" s="5"/>
    </row>
    <row r="422" spans="1:34" s="1" customFormat="1" ht="10.5" x14ac:dyDescent="0.25">
      <c r="A422" s="21">
        <v>52</v>
      </c>
      <c r="B422" s="22" t="s">
        <v>1691</v>
      </c>
      <c r="C422" s="22" t="s">
        <v>525</v>
      </c>
      <c r="D422" s="51" t="s">
        <v>522</v>
      </c>
      <c r="E422" s="24" t="s">
        <v>512</v>
      </c>
      <c r="F422" s="24"/>
      <c r="G422" s="24" t="s">
        <v>194</v>
      </c>
      <c r="H422" s="24" t="s">
        <v>62</v>
      </c>
      <c r="I422" s="24">
        <v>2013</v>
      </c>
      <c r="J422" s="24"/>
      <c r="K422" s="24" t="s">
        <v>63</v>
      </c>
      <c r="L422" s="24" t="s">
        <v>64</v>
      </c>
      <c r="M422" s="24">
        <v>2</v>
      </c>
      <c r="N422" s="41">
        <f t="shared" si="274"/>
        <v>4691200</v>
      </c>
      <c r="O422" s="41">
        <v>9382400</v>
      </c>
      <c r="P422" s="24"/>
      <c r="Q422" s="24"/>
      <c r="R422" s="24"/>
      <c r="S422" s="41">
        <f t="shared" si="263"/>
        <v>9382400</v>
      </c>
      <c r="T422" s="24">
        <v>5</v>
      </c>
      <c r="U422" s="41"/>
      <c r="V422" s="24">
        <v>0.5</v>
      </c>
      <c r="W422" s="41">
        <f t="shared" si="275"/>
        <v>0</v>
      </c>
      <c r="X422" s="24"/>
      <c r="Y422" s="41">
        <f t="shared" si="276"/>
        <v>0</v>
      </c>
      <c r="Z422" s="41">
        <f t="shared" si="271"/>
        <v>0</v>
      </c>
      <c r="AA422" s="24">
        <v>5</v>
      </c>
      <c r="AB422" s="41">
        <v>9382400</v>
      </c>
      <c r="AC422" s="78">
        <f t="shared" si="273"/>
        <v>0</v>
      </c>
      <c r="AD422" s="70" t="s">
        <v>221</v>
      </c>
      <c r="AE422" s="70"/>
      <c r="AF422" s="1">
        <v>9382400</v>
      </c>
      <c r="AG422" s="5">
        <f t="shared" ref="AG422:AG480" si="277">AF422+Z422-AB422</f>
        <v>0</v>
      </c>
      <c r="AH422" s="5"/>
    </row>
    <row r="423" spans="1:34" s="1" customFormat="1" ht="10.5" x14ac:dyDescent="0.25">
      <c r="A423" s="49">
        <v>53</v>
      </c>
      <c r="B423" s="22" t="s">
        <v>1691</v>
      </c>
      <c r="C423" s="22" t="s">
        <v>526</v>
      </c>
      <c r="D423" s="51" t="s">
        <v>522</v>
      </c>
      <c r="E423" s="24" t="s">
        <v>512</v>
      </c>
      <c r="F423" s="24"/>
      <c r="G423" s="24" t="s">
        <v>194</v>
      </c>
      <c r="H423" s="24" t="s">
        <v>62</v>
      </c>
      <c r="I423" s="24">
        <v>2013</v>
      </c>
      <c r="J423" s="24"/>
      <c r="K423" s="24" t="s">
        <v>63</v>
      </c>
      <c r="L423" s="24" t="s">
        <v>64</v>
      </c>
      <c r="M423" s="24">
        <v>1</v>
      </c>
      <c r="N423" s="41">
        <f t="shared" si="274"/>
        <v>4691200</v>
      </c>
      <c r="O423" s="41">
        <v>4691200</v>
      </c>
      <c r="P423" s="24"/>
      <c r="Q423" s="24"/>
      <c r="R423" s="24"/>
      <c r="S423" s="41">
        <f t="shared" si="263"/>
        <v>4691200</v>
      </c>
      <c r="T423" s="24">
        <v>5</v>
      </c>
      <c r="U423" s="41"/>
      <c r="V423" s="24">
        <v>0.5</v>
      </c>
      <c r="W423" s="41">
        <f t="shared" si="275"/>
        <v>0</v>
      </c>
      <c r="X423" s="24"/>
      <c r="Y423" s="41">
        <f t="shared" si="276"/>
        <v>0</v>
      </c>
      <c r="Z423" s="41">
        <f t="shared" si="271"/>
        <v>0</v>
      </c>
      <c r="AA423" s="24">
        <v>5</v>
      </c>
      <c r="AB423" s="41">
        <v>4691200</v>
      </c>
      <c r="AC423" s="78">
        <f t="shared" si="273"/>
        <v>0</v>
      </c>
      <c r="AD423" s="70" t="s">
        <v>527</v>
      </c>
      <c r="AE423" s="70"/>
      <c r="AF423" s="1">
        <v>4691200</v>
      </c>
      <c r="AG423" s="5">
        <f t="shared" si="277"/>
        <v>0</v>
      </c>
      <c r="AH423" s="5"/>
    </row>
    <row r="424" spans="1:34" s="1" customFormat="1" ht="10.5" x14ac:dyDescent="0.25">
      <c r="A424" s="21">
        <v>54</v>
      </c>
      <c r="B424" s="22" t="s">
        <v>1691</v>
      </c>
      <c r="C424" s="22" t="s">
        <v>528</v>
      </c>
      <c r="D424" s="51" t="s">
        <v>511</v>
      </c>
      <c r="E424" s="24" t="s">
        <v>512</v>
      </c>
      <c r="F424" s="24"/>
      <c r="G424" s="24" t="s">
        <v>194</v>
      </c>
      <c r="H424" s="24" t="s">
        <v>62</v>
      </c>
      <c r="I424" s="24">
        <v>2013</v>
      </c>
      <c r="J424" s="24"/>
      <c r="K424" s="24" t="s">
        <v>63</v>
      </c>
      <c r="L424" s="24" t="s">
        <v>64</v>
      </c>
      <c r="M424" s="24">
        <v>2</v>
      </c>
      <c r="N424" s="41">
        <f t="shared" si="274"/>
        <v>6016153.8449999997</v>
      </c>
      <c r="O424" s="41">
        <v>12032307.689999999</v>
      </c>
      <c r="P424" s="24"/>
      <c r="Q424" s="24"/>
      <c r="R424" s="24"/>
      <c r="S424" s="41">
        <f t="shared" si="263"/>
        <v>12032307.689999999</v>
      </c>
      <c r="T424" s="24">
        <v>5</v>
      </c>
      <c r="U424" s="41"/>
      <c r="V424" s="24">
        <v>0.5</v>
      </c>
      <c r="W424" s="41">
        <f t="shared" si="275"/>
        <v>0</v>
      </c>
      <c r="X424" s="24"/>
      <c r="Y424" s="41">
        <f t="shared" si="276"/>
        <v>0</v>
      </c>
      <c r="Z424" s="41">
        <f t="shared" si="271"/>
        <v>0</v>
      </c>
      <c r="AA424" s="24">
        <v>5</v>
      </c>
      <c r="AB424" s="41">
        <v>12032307.689999998</v>
      </c>
      <c r="AC424" s="41">
        <f t="shared" si="273"/>
        <v>1.862645149230957E-9</v>
      </c>
      <c r="AD424" s="70" t="s">
        <v>335</v>
      </c>
      <c r="AE424" s="70"/>
      <c r="AF424" s="1">
        <v>12032307.689999998</v>
      </c>
      <c r="AG424" s="5">
        <f t="shared" si="277"/>
        <v>0</v>
      </c>
      <c r="AH424" s="5"/>
    </row>
    <row r="425" spans="1:34" s="1" customFormat="1" ht="10.5" x14ac:dyDescent="0.25">
      <c r="A425" s="49">
        <v>55</v>
      </c>
      <c r="B425" s="22" t="s">
        <v>1691</v>
      </c>
      <c r="C425" s="22" t="s">
        <v>529</v>
      </c>
      <c r="D425" s="51" t="s">
        <v>511</v>
      </c>
      <c r="E425" s="24" t="s">
        <v>512</v>
      </c>
      <c r="F425" s="24"/>
      <c r="G425" s="24" t="s">
        <v>194</v>
      </c>
      <c r="H425" s="24" t="s">
        <v>62</v>
      </c>
      <c r="I425" s="24">
        <v>2013</v>
      </c>
      <c r="J425" s="24"/>
      <c r="K425" s="24" t="s">
        <v>63</v>
      </c>
      <c r="L425" s="24" t="s">
        <v>64</v>
      </c>
      <c r="M425" s="24">
        <v>2</v>
      </c>
      <c r="N425" s="41">
        <f t="shared" si="274"/>
        <v>6016153.8449999997</v>
      </c>
      <c r="O425" s="41">
        <v>12032307.689999999</v>
      </c>
      <c r="P425" s="24"/>
      <c r="Q425" s="24"/>
      <c r="R425" s="24"/>
      <c r="S425" s="41">
        <f t="shared" si="263"/>
        <v>12032307.689999999</v>
      </c>
      <c r="T425" s="24">
        <v>5</v>
      </c>
      <c r="U425" s="41"/>
      <c r="V425" s="24">
        <v>0.5</v>
      </c>
      <c r="W425" s="41">
        <f t="shared" si="275"/>
        <v>0</v>
      </c>
      <c r="X425" s="24"/>
      <c r="Y425" s="41">
        <f t="shared" si="276"/>
        <v>0</v>
      </c>
      <c r="Z425" s="41">
        <f t="shared" si="271"/>
        <v>0</v>
      </c>
      <c r="AA425" s="24">
        <v>5</v>
      </c>
      <c r="AB425" s="41">
        <v>12032307.689999998</v>
      </c>
      <c r="AC425" s="41">
        <f t="shared" si="273"/>
        <v>1.862645149230957E-9</v>
      </c>
      <c r="AD425" s="70" t="s">
        <v>311</v>
      </c>
      <c r="AE425" s="70"/>
      <c r="AF425" s="1">
        <v>12032307.689999998</v>
      </c>
      <c r="AG425" s="5">
        <f t="shared" si="277"/>
        <v>0</v>
      </c>
      <c r="AH425" s="5"/>
    </row>
    <row r="426" spans="1:34" s="1" customFormat="1" ht="10.5" x14ac:dyDescent="0.25">
      <c r="A426" s="21">
        <v>56</v>
      </c>
      <c r="B426" s="22" t="s">
        <v>1691</v>
      </c>
      <c r="C426" s="22" t="s">
        <v>530</v>
      </c>
      <c r="D426" s="51" t="s">
        <v>511</v>
      </c>
      <c r="E426" s="24" t="s">
        <v>512</v>
      </c>
      <c r="F426" s="24"/>
      <c r="G426" s="24" t="s">
        <v>194</v>
      </c>
      <c r="H426" s="24" t="s">
        <v>62</v>
      </c>
      <c r="I426" s="24">
        <v>2013</v>
      </c>
      <c r="J426" s="24"/>
      <c r="K426" s="24" t="s">
        <v>63</v>
      </c>
      <c r="L426" s="24" t="s">
        <v>64</v>
      </c>
      <c r="M426" s="24">
        <v>1</v>
      </c>
      <c r="N426" s="41">
        <f t="shared" si="274"/>
        <v>6016153.8499999996</v>
      </c>
      <c r="O426" s="41">
        <v>6016153.8499999996</v>
      </c>
      <c r="P426" s="24"/>
      <c r="Q426" s="24"/>
      <c r="R426" s="24"/>
      <c r="S426" s="41">
        <f t="shared" si="263"/>
        <v>6016153.8499999996</v>
      </c>
      <c r="T426" s="24">
        <v>5</v>
      </c>
      <c r="U426" s="41"/>
      <c r="V426" s="24">
        <v>0.5</v>
      </c>
      <c r="W426" s="41">
        <f t="shared" si="275"/>
        <v>0</v>
      </c>
      <c r="X426" s="24"/>
      <c r="Y426" s="41">
        <f t="shared" si="276"/>
        <v>0</v>
      </c>
      <c r="Z426" s="41">
        <f t="shared" si="271"/>
        <v>0</v>
      </c>
      <c r="AA426" s="24">
        <v>5</v>
      </c>
      <c r="AB426" s="41">
        <v>6016153.8499999996</v>
      </c>
      <c r="AC426" s="41">
        <f t="shared" si="273"/>
        <v>0</v>
      </c>
      <c r="AD426" s="70" t="s">
        <v>352</v>
      </c>
      <c r="AE426" s="70"/>
      <c r="AF426" s="1">
        <v>6016153.8499999996</v>
      </c>
      <c r="AG426" s="5">
        <f t="shared" si="277"/>
        <v>0</v>
      </c>
      <c r="AH426" s="5"/>
    </row>
    <row r="427" spans="1:34" s="1" customFormat="1" ht="10.5" x14ac:dyDescent="0.25">
      <c r="A427" s="49">
        <v>57</v>
      </c>
      <c r="B427" s="22" t="s">
        <v>1691</v>
      </c>
      <c r="C427" s="22" t="s">
        <v>531</v>
      </c>
      <c r="D427" s="51" t="s">
        <v>511</v>
      </c>
      <c r="E427" s="24" t="s">
        <v>512</v>
      </c>
      <c r="F427" s="24"/>
      <c r="G427" s="24" t="s">
        <v>194</v>
      </c>
      <c r="H427" s="24" t="s">
        <v>62</v>
      </c>
      <c r="I427" s="24">
        <v>2013</v>
      </c>
      <c r="J427" s="24"/>
      <c r="K427" s="24" t="s">
        <v>63</v>
      </c>
      <c r="L427" s="24" t="s">
        <v>64</v>
      </c>
      <c r="M427" s="24">
        <v>1</v>
      </c>
      <c r="N427" s="41">
        <f t="shared" si="274"/>
        <v>6016153.8499999996</v>
      </c>
      <c r="O427" s="41">
        <v>6016153.8499999996</v>
      </c>
      <c r="P427" s="24"/>
      <c r="Q427" s="24"/>
      <c r="R427" s="24"/>
      <c r="S427" s="41">
        <f t="shared" si="263"/>
        <v>6016153.8499999996</v>
      </c>
      <c r="T427" s="24">
        <v>5</v>
      </c>
      <c r="U427" s="41"/>
      <c r="V427" s="24">
        <v>0.5</v>
      </c>
      <c r="W427" s="41">
        <f t="shared" si="275"/>
        <v>0</v>
      </c>
      <c r="X427" s="24"/>
      <c r="Y427" s="41">
        <f t="shared" si="276"/>
        <v>0</v>
      </c>
      <c r="Z427" s="41">
        <f t="shared" si="271"/>
        <v>0</v>
      </c>
      <c r="AA427" s="24">
        <v>5</v>
      </c>
      <c r="AB427" s="41">
        <v>6016153.8499999996</v>
      </c>
      <c r="AC427" s="41">
        <f t="shared" si="273"/>
        <v>0</v>
      </c>
      <c r="AD427" s="70" t="s">
        <v>328</v>
      </c>
      <c r="AE427" s="70"/>
      <c r="AF427" s="1">
        <v>6016153.8499999996</v>
      </c>
      <c r="AG427" s="5">
        <f t="shared" si="277"/>
        <v>0</v>
      </c>
      <c r="AH427" s="5"/>
    </row>
    <row r="428" spans="1:34" s="1" customFormat="1" ht="10.5" x14ac:dyDescent="0.25">
      <c r="A428" s="21">
        <v>58</v>
      </c>
      <c r="B428" s="22" t="s">
        <v>1691</v>
      </c>
      <c r="C428" s="22" t="s">
        <v>532</v>
      </c>
      <c r="D428" s="51" t="s">
        <v>511</v>
      </c>
      <c r="E428" s="24" t="s">
        <v>512</v>
      </c>
      <c r="F428" s="24"/>
      <c r="G428" s="24" t="s">
        <v>194</v>
      </c>
      <c r="H428" s="24" t="s">
        <v>62</v>
      </c>
      <c r="I428" s="24">
        <v>2013</v>
      </c>
      <c r="J428" s="24"/>
      <c r="K428" s="24" t="s">
        <v>63</v>
      </c>
      <c r="L428" s="24" t="s">
        <v>64</v>
      </c>
      <c r="M428" s="24">
        <v>1</v>
      </c>
      <c r="N428" s="41">
        <f t="shared" si="274"/>
        <v>6016153.8499999996</v>
      </c>
      <c r="O428" s="41">
        <v>6016153.8499999996</v>
      </c>
      <c r="P428" s="24"/>
      <c r="Q428" s="24"/>
      <c r="R428" s="24"/>
      <c r="S428" s="41">
        <f t="shared" si="263"/>
        <v>6016153.8499999996</v>
      </c>
      <c r="T428" s="24">
        <v>5</v>
      </c>
      <c r="U428" s="41"/>
      <c r="V428" s="24">
        <v>0.5</v>
      </c>
      <c r="W428" s="41">
        <f t="shared" si="275"/>
        <v>0</v>
      </c>
      <c r="X428" s="24"/>
      <c r="Y428" s="41">
        <f t="shared" si="276"/>
        <v>0</v>
      </c>
      <c r="Z428" s="41">
        <f t="shared" si="271"/>
        <v>0</v>
      </c>
      <c r="AA428" s="24">
        <v>5</v>
      </c>
      <c r="AB428" s="41">
        <v>6016153.8499999996</v>
      </c>
      <c r="AC428" s="41">
        <f t="shared" si="273"/>
        <v>0</v>
      </c>
      <c r="AD428" s="70" t="s">
        <v>276</v>
      </c>
      <c r="AE428" s="70"/>
      <c r="AF428" s="1">
        <v>6016153.8499999996</v>
      </c>
      <c r="AG428" s="5">
        <f t="shared" si="277"/>
        <v>0</v>
      </c>
      <c r="AH428" s="5"/>
    </row>
    <row r="429" spans="1:34" s="1" customFormat="1" ht="10.5" x14ac:dyDescent="0.25">
      <c r="A429" s="49">
        <v>59</v>
      </c>
      <c r="B429" s="22" t="s">
        <v>1691</v>
      </c>
      <c r="C429" s="22" t="s">
        <v>533</v>
      </c>
      <c r="D429" s="51" t="s">
        <v>511</v>
      </c>
      <c r="E429" s="24" t="s">
        <v>512</v>
      </c>
      <c r="F429" s="24"/>
      <c r="G429" s="24" t="s">
        <v>194</v>
      </c>
      <c r="H429" s="24" t="s">
        <v>62</v>
      </c>
      <c r="I429" s="24">
        <v>2013</v>
      </c>
      <c r="J429" s="24"/>
      <c r="K429" s="24" t="s">
        <v>63</v>
      </c>
      <c r="L429" s="24" t="s">
        <v>64</v>
      </c>
      <c r="M429" s="24">
        <v>1</v>
      </c>
      <c r="N429" s="41">
        <f t="shared" si="274"/>
        <v>6016153.8499999996</v>
      </c>
      <c r="O429" s="41">
        <v>6016153.8499999996</v>
      </c>
      <c r="P429" s="24"/>
      <c r="Q429" s="24"/>
      <c r="R429" s="24"/>
      <c r="S429" s="41">
        <f t="shared" si="263"/>
        <v>6016153.8499999996</v>
      </c>
      <c r="T429" s="24">
        <v>5</v>
      </c>
      <c r="U429" s="41"/>
      <c r="V429" s="24">
        <v>0.5</v>
      </c>
      <c r="W429" s="41">
        <f t="shared" si="275"/>
        <v>0</v>
      </c>
      <c r="X429" s="24"/>
      <c r="Y429" s="41">
        <f t="shared" si="276"/>
        <v>0</v>
      </c>
      <c r="Z429" s="41">
        <f t="shared" si="271"/>
        <v>0</v>
      </c>
      <c r="AA429" s="24">
        <v>5</v>
      </c>
      <c r="AB429" s="41">
        <v>6016153.8499999996</v>
      </c>
      <c r="AC429" s="41">
        <f t="shared" si="273"/>
        <v>0</v>
      </c>
      <c r="AD429" s="70" t="s">
        <v>333</v>
      </c>
      <c r="AE429" s="70"/>
      <c r="AF429" s="1">
        <v>6016153.8499999996</v>
      </c>
      <c r="AG429" s="5">
        <f t="shared" si="277"/>
        <v>0</v>
      </c>
      <c r="AH429" s="5"/>
    </row>
    <row r="430" spans="1:34" s="1" customFormat="1" ht="10.5" x14ac:dyDescent="0.25">
      <c r="A430" s="21">
        <v>60</v>
      </c>
      <c r="B430" s="22" t="s">
        <v>1691</v>
      </c>
      <c r="C430" s="22" t="s">
        <v>534</v>
      </c>
      <c r="D430" s="51" t="s">
        <v>511</v>
      </c>
      <c r="E430" s="24" t="s">
        <v>512</v>
      </c>
      <c r="F430" s="24"/>
      <c r="G430" s="24" t="s">
        <v>194</v>
      </c>
      <c r="H430" s="24" t="s">
        <v>62</v>
      </c>
      <c r="I430" s="24">
        <v>2013</v>
      </c>
      <c r="J430" s="24"/>
      <c r="K430" s="24" t="s">
        <v>63</v>
      </c>
      <c r="L430" s="24" t="s">
        <v>64</v>
      </c>
      <c r="M430" s="24">
        <v>1</v>
      </c>
      <c r="N430" s="41">
        <f t="shared" si="274"/>
        <v>6016153.8499999996</v>
      </c>
      <c r="O430" s="41">
        <v>6016153.8499999996</v>
      </c>
      <c r="P430" s="24"/>
      <c r="Q430" s="24"/>
      <c r="R430" s="24"/>
      <c r="S430" s="41">
        <f t="shared" si="263"/>
        <v>6016153.8499999996</v>
      </c>
      <c r="T430" s="24">
        <v>5</v>
      </c>
      <c r="U430" s="41"/>
      <c r="V430" s="24">
        <v>0.5</v>
      </c>
      <c r="W430" s="41">
        <f t="shared" si="275"/>
        <v>0</v>
      </c>
      <c r="X430" s="24"/>
      <c r="Y430" s="41">
        <f t="shared" si="276"/>
        <v>0</v>
      </c>
      <c r="Z430" s="41">
        <f t="shared" si="271"/>
        <v>0</v>
      </c>
      <c r="AA430" s="24">
        <v>5</v>
      </c>
      <c r="AB430" s="41">
        <v>6016153.8499999996</v>
      </c>
      <c r="AC430" s="41">
        <f t="shared" si="273"/>
        <v>0</v>
      </c>
      <c r="AD430" s="70" t="s">
        <v>331</v>
      </c>
      <c r="AE430" s="70"/>
      <c r="AF430" s="1">
        <v>6016153.8499999996</v>
      </c>
      <c r="AG430" s="5">
        <f t="shared" si="277"/>
        <v>0</v>
      </c>
      <c r="AH430" s="5"/>
    </row>
    <row r="431" spans="1:34" s="1" customFormat="1" ht="10.5" x14ac:dyDescent="0.25">
      <c r="A431" s="49">
        <v>61</v>
      </c>
      <c r="B431" s="22" t="s">
        <v>1691</v>
      </c>
      <c r="C431" s="22" t="s">
        <v>535</v>
      </c>
      <c r="D431" s="51" t="s">
        <v>522</v>
      </c>
      <c r="E431" s="24" t="s">
        <v>512</v>
      </c>
      <c r="F431" s="24"/>
      <c r="G431" s="24" t="s">
        <v>194</v>
      </c>
      <c r="H431" s="24" t="s">
        <v>62</v>
      </c>
      <c r="I431" s="24">
        <v>2013</v>
      </c>
      <c r="J431" s="24"/>
      <c r="K431" s="24" t="s">
        <v>63</v>
      </c>
      <c r="L431" s="24" t="s">
        <v>64</v>
      </c>
      <c r="M431" s="24">
        <v>1</v>
      </c>
      <c r="N431" s="41">
        <f t="shared" si="274"/>
        <v>5136153.846153846</v>
      </c>
      <c r="O431" s="41">
        <v>5136153.846153846</v>
      </c>
      <c r="P431" s="24"/>
      <c r="Q431" s="24"/>
      <c r="R431" s="24"/>
      <c r="S431" s="41">
        <f t="shared" si="263"/>
        <v>5136153.846153846</v>
      </c>
      <c r="T431" s="24">
        <v>5</v>
      </c>
      <c r="U431" s="41"/>
      <c r="V431" s="24">
        <v>0.5</v>
      </c>
      <c r="W431" s="41">
        <f t="shared" si="275"/>
        <v>0</v>
      </c>
      <c r="X431" s="24"/>
      <c r="Y431" s="41">
        <f t="shared" si="276"/>
        <v>0</v>
      </c>
      <c r="Z431" s="41">
        <f t="shared" si="271"/>
        <v>0</v>
      </c>
      <c r="AA431" s="24">
        <v>5</v>
      </c>
      <c r="AB431" s="41">
        <v>5136153.846153846</v>
      </c>
      <c r="AC431" s="41">
        <f t="shared" si="273"/>
        <v>0</v>
      </c>
      <c r="AD431" s="70" t="s">
        <v>335</v>
      </c>
      <c r="AE431" s="70"/>
      <c r="AF431" s="1">
        <v>5136153.846153846</v>
      </c>
      <c r="AG431" s="5">
        <f t="shared" si="277"/>
        <v>0</v>
      </c>
      <c r="AH431" s="5"/>
    </row>
    <row r="432" spans="1:34" s="1" customFormat="1" ht="10.5" x14ac:dyDescent="0.25">
      <c r="A432" s="21">
        <v>62</v>
      </c>
      <c r="B432" s="22" t="s">
        <v>1691</v>
      </c>
      <c r="C432" s="22" t="s">
        <v>536</v>
      </c>
      <c r="D432" s="51" t="s">
        <v>522</v>
      </c>
      <c r="E432" s="24" t="s">
        <v>512</v>
      </c>
      <c r="F432" s="24"/>
      <c r="G432" s="24" t="s">
        <v>194</v>
      </c>
      <c r="H432" s="24" t="s">
        <v>62</v>
      </c>
      <c r="I432" s="24">
        <v>2013</v>
      </c>
      <c r="J432" s="24"/>
      <c r="K432" s="24" t="s">
        <v>63</v>
      </c>
      <c r="L432" s="24" t="s">
        <v>64</v>
      </c>
      <c r="M432" s="24">
        <v>1</v>
      </c>
      <c r="N432" s="41">
        <f t="shared" si="274"/>
        <v>5136153.846153846</v>
      </c>
      <c r="O432" s="41">
        <v>5136153.846153846</v>
      </c>
      <c r="P432" s="24"/>
      <c r="Q432" s="24"/>
      <c r="R432" s="24"/>
      <c r="S432" s="41">
        <f t="shared" si="263"/>
        <v>5136153.846153846</v>
      </c>
      <c r="T432" s="24">
        <v>5</v>
      </c>
      <c r="U432" s="41"/>
      <c r="V432" s="24">
        <v>0.5</v>
      </c>
      <c r="W432" s="41">
        <f t="shared" si="275"/>
        <v>0</v>
      </c>
      <c r="X432" s="24"/>
      <c r="Y432" s="41">
        <f t="shared" si="276"/>
        <v>0</v>
      </c>
      <c r="Z432" s="41">
        <f t="shared" si="271"/>
        <v>0</v>
      </c>
      <c r="AA432" s="24">
        <v>5</v>
      </c>
      <c r="AB432" s="41">
        <v>5136153.846153846</v>
      </c>
      <c r="AC432" s="41">
        <f t="shared" si="273"/>
        <v>0</v>
      </c>
      <c r="AD432" s="70" t="s">
        <v>328</v>
      </c>
      <c r="AE432" s="70"/>
      <c r="AF432" s="1">
        <v>5136153.846153846</v>
      </c>
      <c r="AG432" s="5">
        <f t="shared" si="277"/>
        <v>0</v>
      </c>
      <c r="AH432" s="5"/>
    </row>
    <row r="433" spans="1:34" s="1" customFormat="1" ht="10.5" x14ac:dyDescent="0.25">
      <c r="A433" s="49">
        <v>63</v>
      </c>
      <c r="B433" s="22" t="s">
        <v>1691</v>
      </c>
      <c r="C433" s="22" t="s">
        <v>537</v>
      </c>
      <c r="D433" s="51" t="s">
        <v>522</v>
      </c>
      <c r="E433" s="24" t="s">
        <v>512</v>
      </c>
      <c r="F433" s="24"/>
      <c r="G433" s="24" t="s">
        <v>194</v>
      </c>
      <c r="H433" s="24" t="s">
        <v>62</v>
      </c>
      <c r="I433" s="24">
        <v>2013</v>
      </c>
      <c r="J433" s="24"/>
      <c r="K433" s="24" t="s">
        <v>63</v>
      </c>
      <c r="L433" s="24" t="s">
        <v>64</v>
      </c>
      <c r="M433" s="24">
        <v>1</v>
      </c>
      <c r="N433" s="41">
        <f t="shared" si="274"/>
        <v>5136153.846153846</v>
      </c>
      <c r="O433" s="41">
        <v>5136153.846153846</v>
      </c>
      <c r="P433" s="24"/>
      <c r="Q433" s="24"/>
      <c r="R433" s="24"/>
      <c r="S433" s="41">
        <f t="shared" si="263"/>
        <v>5136153.846153846</v>
      </c>
      <c r="T433" s="24">
        <v>5</v>
      </c>
      <c r="U433" s="41"/>
      <c r="V433" s="24">
        <v>0.5</v>
      </c>
      <c r="W433" s="41">
        <f t="shared" si="275"/>
        <v>0</v>
      </c>
      <c r="X433" s="24"/>
      <c r="Y433" s="41">
        <f t="shared" si="276"/>
        <v>0</v>
      </c>
      <c r="Z433" s="41">
        <f t="shared" si="271"/>
        <v>0</v>
      </c>
      <c r="AA433" s="24">
        <v>5</v>
      </c>
      <c r="AB433" s="41">
        <v>5136153.846153846</v>
      </c>
      <c r="AC433" s="41">
        <f t="shared" si="273"/>
        <v>0</v>
      </c>
      <c r="AD433" s="70" t="s">
        <v>276</v>
      </c>
      <c r="AE433" s="70"/>
      <c r="AF433" s="1">
        <v>5136153.846153846</v>
      </c>
      <c r="AG433" s="5">
        <f t="shared" si="277"/>
        <v>0</v>
      </c>
      <c r="AH433" s="5"/>
    </row>
    <row r="434" spans="1:34" s="1" customFormat="1" ht="10.5" x14ac:dyDescent="0.25">
      <c r="A434" s="21">
        <v>64</v>
      </c>
      <c r="B434" s="22" t="s">
        <v>1691</v>
      </c>
      <c r="C434" s="22" t="s">
        <v>538</v>
      </c>
      <c r="D434" s="51" t="s">
        <v>522</v>
      </c>
      <c r="E434" s="24" t="s">
        <v>512</v>
      </c>
      <c r="F434" s="24"/>
      <c r="G434" s="24" t="s">
        <v>194</v>
      </c>
      <c r="H434" s="24" t="s">
        <v>62</v>
      </c>
      <c r="I434" s="24">
        <v>2013</v>
      </c>
      <c r="J434" s="24"/>
      <c r="K434" s="24" t="s">
        <v>63</v>
      </c>
      <c r="L434" s="24" t="s">
        <v>64</v>
      </c>
      <c r="M434" s="24">
        <v>1</v>
      </c>
      <c r="N434" s="41">
        <f t="shared" si="274"/>
        <v>5136153.846153846</v>
      </c>
      <c r="O434" s="41">
        <v>5136153.846153846</v>
      </c>
      <c r="P434" s="24"/>
      <c r="Q434" s="24"/>
      <c r="R434" s="24"/>
      <c r="S434" s="41">
        <f t="shared" si="263"/>
        <v>5136153.846153846</v>
      </c>
      <c r="T434" s="24">
        <v>5</v>
      </c>
      <c r="U434" s="41"/>
      <c r="V434" s="24">
        <v>0.5</v>
      </c>
      <c r="W434" s="41">
        <f t="shared" si="275"/>
        <v>0</v>
      </c>
      <c r="X434" s="57"/>
      <c r="Y434" s="53">
        <f t="shared" si="276"/>
        <v>0</v>
      </c>
      <c r="Z434" s="53">
        <f t="shared" si="271"/>
        <v>0</v>
      </c>
      <c r="AA434" s="57">
        <v>5</v>
      </c>
      <c r="AB434" s="53">
        <v>5136153.846153846</v>
      </c>
      <c r="AC434" s="53">
        <f t="shared" si="273"/>
        <v>0</v>
      </c>
      <c r="AD434" s="56" t="s">
        <v>331</v>
      </c>
      <c r="AE434" s="70"/>
      <c r="AF434" s="1">
        <v>5136153.846153846</v>
      </c>
      <c r="AG434" s="5">
        <f t="shared" si="277"/>
        <v>0</v>
      </c>
      <c r="AH434" s="5"/>
    </row>
    <row r="435" spans="1:34" s="1" customFormat="1" ht="10.5" x14ac:dyDescent="0.25">
      <c r="A435" s="49">
        <v>65</v>
      </c>
      <c r="B435" s="22" t="s">
        <v>1691</v>
      </c>
      <c r="C435" s="22" t="s">
        <v>539</v>
      </c>
      <c r="D435" s="51" t="s">
        <v>511</v>
      </c>
      <c r="E435" s="24" t="s">
        <v>512</v>
      </c>
      <c r="F435" s="24"/>
      <c r="G435" s="24" t="s">
        <v>194</v>
      </c>
      <c r="H435" s="24" t="s">
        <v>62</v>
      </c>
      <c r="I435" s="24">
        <v>2013</v>
      </c>
      <c r="J435" s="24"/>
      <c r="K435" s="24" t="s">
        <v>63</v>
      </c>
      <c r="L435" s="24" t="s">
        <v>64</v>
      </c>
      <c r="M435" s="24">
        <v>2</v>
      </c>
      <c r="N435" s="41">
        <f t="shared" si="274"/>
        <v>4730000</v>
      </c>
      <c r="O435" s="41">
        <v>9460000</v>
      </c>
      <c r="P435" s="24"/>
      <c r="Q435" s="24"/>
      <c r="R435" s="24"/>
      <c r="S435" s="41">
        <f t="shared" ref="S435:S475" si="278">SUM(O435-R435)</f>
        <v>9460000</v>
      </c>
      <c r="T435" s="24">
        <v>5</v>
      </c>
      <c r="U435" s="41"/>
      <c r="V435" s="24">
        <v>0.5</v>
      </c>
      <c r="W435" s="41">
        <f t="shared" si="275"/>
        <v>0</v>
      </c>
      <c r="X435" s="57"/>
      <c r="Y435" s="53">
        <f t="shared" si="276"/>
        <v>0</v>
      </c>
      <c r="Z435" s="53">
        <f t="shared" si="271"/>
        <v>0</v>
      </c>
      <c r="AA435" s="57">
        <v>5</v>
      </c>
      <c r="AB435" s="53">
        <v>9460000</v>
      </c>
      <c r="AC435" s="53">
        <f t="shared" si="273"/>
        <v>0</v>
      </c>
      <c r="AD435" s="56" t="s">
        <v>540</v>
      </c>
      <c r="AE435" s="70"/>
      <c r="AF435" s="1">
        <v>9460000</v>
      </c>
      <c r="AG435" s="5">
        <f t="shared" si="277"/>
        <v>0</v>
      </c>
      <c r="AH435" s="5"/>
    </row>
    <row r="436" spans="1:34" s="1" customFormat="1" ht="10.5" x14ac:dyDescent="0.25">
      <c r="A436" s="21">
        <v>66</v>
      </c>
      <c r="B436" s="22" t="s">
        <v>1691</v>
      </c>
      <c r="C436" s="73" t="s">
        <v>541</v>
      </c>
      <c r="D436" s="51" t="s">
        <v>517</v>
      </c>
      <c r="E436" s="52"/>
      <c r="F436" s="52"/>
      <c r="G436" s="52" t="s">
        <v>194</v>
      </c>
      <c r="H436" s="52" t="s">
        <v>62</v>
      </c>
      <c r="I436" s="52">
        <v>2020</v>
      </c>
      <c r="J436" s="52"/>
      <c r="K436" s="52" t="s">
        <v>63</v>
      </c>
      <c r="L436" s="52" t="s">
        <v>64</v>
      </c>
      <c r="M436" s="52">
        <v>1</v>
      </c>
      <c r="N436" s="53">
        <f t="shared" si="274"/>
        <v>3500000</v>
      </c>
      <c r="O436" s="53">
        <v>3500000</v>
      </c>
      <c r="P436" s="52"/>
      <c r="Q436" s="52"/>
      <c r="R436" s="52"/>
      <c r="S436" s="53">
        <f t="shared" si="278"/>
        <v>3500000</v>
      </c>
      <c r="T436" s="52">
        <v>5</v>
      </c>
      <c r="U436" s="53">
        <f t="shared" ref="U436:U437" si="279">SUM(S436/T436)</f>
        <v>700000</v>
      </c>
      <c r="V436" s="52">
        <v>0.5</v>
      </c>
      <c r="W436" s="53">
        <f t="shared" si="275"/>
        <v>350000</v>
      </c>
      <c r="X436" s="52">
        <v>0.5</v>
      </c>
      <c r="Y436" s="53">
        <f t="shared" si="276"/>
        <v>350000</v>
      </c>
      <c r="Z436" s="53">
        <f t="shared" ref="Z436:Z475" si="280">SUM(W436+Y436)</f>
        <v>700000</v>
      </c>
      <c r="AA436" s="52">
        <f>2022-I436+V436+X436-11/12</f>
        <v>2.0833333333333335</v>
      </c>
      <c r="AB436" s="53">
        <f t="shared" ref="AB436:AB437" si="281">SUM(U436*AA436)</f>
        <v>1458333.3333333335</v>
      </c>
      <c r="AC436" s="53">
        <f t="shared" ref="AC436:AC476" si="282">SUM(O436-AB436)</f>
        <v>2041666.6666666665</v>
      </c>
      <c r="AD436" s="56"/>
      <c r="AE436" s="70"/>
      <c r="AF436" s="1">
        <v>1458333.3333333335</v>
      </c>
      <c r="AG436" s="5">
        <f t="shared" si="277"/>
        <v>700000</v>
      </c>
      <c r="AH436" s="5"/>
    </row>
    <row r="437" spans="1:34" s="1" customFormat="1" ht="10.5" x14ac:dyDescent="0.25">
      <c r="A437" s="49">
        <v>67</v>
      </c>
      <c r="B437" s="22" t="s">
        <v>1691</v>
      </c>
      <c r="C437" s="73" t="s">
        <v>542</v>
      </c>
      <c r="D437" s="51" t="s">
        <v>522</v>
      </c>
      <c r="E437" s="52"/>
      <c r="F437" s="52"/>
      <c r="G437" s="52" t="s">
        <v>194</v>
      </c>
      <c r="H437" s="52" t="s">
        <v>62</v>
      </c>
      <c r="I437" s="52">
        <v>2020</v>
      </c>
      <c r="J437" s="52"/>
      <c r="K437" s="52" t="s">
        <v>63</v>
      </c>
      <c r="L437" s="52" t="s">
        <v>64</v>
      </c>
      <c r="M437" s="52">
        <v>2</v>
      </c>
      <c r="N437" s="53">
        <f t="shared" si="274"/>
        <v>3250000</v>
      </c>
      <c r="O437" s="53">
        <v>6500000</v>
      </c>
      <c r="P437" s="52"/>
      <c r="Q437" s="52"/>
      <c r="R437" s="52"/>
      <c r="S437" s="53">
        <f t="shared" si="278"/>
        <v>6500000</v>
      </c>
      <c r="T437" s="52">
        <v>5</v>
      </c>
      <c r="U437" s="53">
        <f t="shared" si="279"/>
        <v>1300000</v>
      </c>
      <c r="V437" s="52">
        <v>0.5</v>
      </c>
      <c r="W437" s="53">
        <f t="shared" si="275"/>
        <v>650000</v>
      </c>
      <c r="X437" s="52">
        <v>0.5</v>
      </c>
      <c r="Y437" s="53">
        <f t="shared" si="276"/>
        <v>650000</v>
      </c>
      <c r="Z437" s="53">
        <f t="shared" si="280"/>
        <v>1300000</v>
      </c>
      <c r="AA437" s="52">
        <f>2022-I437+V437+X437-11/12</f>
        <v>2.0833333333333335</v>
      </c>
      <c r="AB437" s="53">
        <f t="shared" si="281"/>
        <v>2708333.3333333335</v>
      </c>
      <c r="AC437" s="53">
        <f t="shared" si="282"/>
        <v>3791666.6666666665</v>
      </c>
      <c r="AD437" s="56"/>
      <c r="AE437" s="70"/>
      <c r="AF437" s="1">
        <v>2708333.3333333335</v>
      </c>
      <c r="AG437" s="5">
        <f t="shared" si="277"/>
        <v>1300000</v>
      </c>
      <c r="AH437" s="5"/>
    </row>
    <row r="438" spans="1:34" s="1" customFormat="1" ht="10.5" x14ac:dyDescent="0.25">
      <c r="A438" s="21">
        <v>68</v>
      </c>
      <c r="B438" s="22" t="s">
        <v>1691</v>
      </c>
      <c r="C438" s="50" t="s">
        <v>298</v>
      </c>
      <c r="D438" s="51" t="s">
        <v>543</v>
      </c>
      <c r="E438" s="52" t="s">
        <v>544</v>
      </c>
      <c r="F438" s="52"/>
      <c r="G438" s="52" t="s">
        <v>194</v>
      </c>
      <c r="H438" s="52" t="s">
        <v>62</v>
      </c>
      <c r="I438" s="52">
        <v>2014</v>
      </c>
      <c r="J438" s="52"/>
      <c r="K438" s="52" t="s">
        <v>63</v>
      </c>
      <c r="L438" s="52" t="s">
        <v>64</v>
      </c>
      <c r="M438" s="52">
        <v>2</v>
      </c>
      <c r="N438" s="53">
        <f t="shared" si="274"/>
        <v>20185000</v>
      </c>
      <c r="O438" s="53">
        <v>40370000</v>
      </c>
      <c r="P438" s="52"/>
      <c r="Q438" s="52"/>
      <c r="R438" s="52"/>
      <c r="S438" s="53">
        <f t="shared" si="278"/>
        <v>40370000</v>
      </c>
      <c r="T438" s="52">
        <v>5</v>
      </c>
      <c r="U438" s="53"/>
      <c r="V438" s="52">
        <v>0.5</v>
      </c>
      <c r="W438" s="53">
        <f t="shared" si="275"/>
        <v>0</v>
      </c>
      <c r="X438" s="52"/>
      <c r="Y438" s="53">
        <f t="shared" si="276"/>
        <v>0</v>
      </c>
      <c r="Z438" s="53">
        <f t="shared" si="280"/>
        <v>0</v>
      </c>
      <c r="AA438" s="52">
        <v>5</v>
      </c>
      <c r="AB438" s="53">
        <v>40370000</v>
      </c>
      <c r="AC438" s="53">
        <f t="shared" si="282"/>
        <v>0</v>
      </c>
      <c r="AD438" s="56" t="s">
        <v>295</v>
      </c>
      <c r="AE438" s="70"/>
      <c r="AF438" s="1">
        <v>40370000</v>
      </c>
      <c r="AG438" s="5">
        <f t="shared" si="277"/>
        <v>0</v>
      </c>
      <c r="AH438" s="5"/>
    </row>
    <row r="439" spans="1:34" s="1" customFormat="1" ht="10.5" x14ac:dyDescent="0.25">
      <c r="A439" s="49">
        <v>69</v>
      </c>
      <c r="B439" s="22" t="s">
        <v>1691</v>
      </c>
      <c r="C439" s="50" t="s">
        <v>135</v>
      </c>
      <c r="D439" s="51" t="s">
        <v>543</v>
      </c>
      <c r="E439" s="52" t="s">
        <v>544</v>
      </c>
      <c r="F439" s="52"/>
      <c r="G439" s="52" t="s">
        <v>194</v>
      </c>
      <c r="H439" s="52" t="s">
        <v>62</v>
      </c>
      <c r="I439" s="52">
        <v>2014</v>
      </c>
      <c r="J439" s="52"/>
      <c r="K439" s="52" t="s">
        <v>63</v>
      </c>
      <c r="L439" s="52" t="s">
        <v>64</v>
      </c>
      <c r="M439" s="52">
        <v>1</v>
      </c>
      <c r="N439" s="53">
        <f t="shared" si="274"/>
        <v>20185000</v>
      </c>
      <c r="O439" s="53">
        <v>20185000</v>
      </c>
      <c r="P439" s="52"/>
      <c r="Q439" s="52"/>
      <c r="R439" s="52"/>
      <c r="S439" s="53">
        <f t="shared" si="278"/>
        <v>20185000</v>
      </c>
      <c r="T439" s="52">
        <v>5</v>
      </c>
      <c r="U439" s="53"/>
      <c r="V439" s="52">
        <v>0.5</v>
      </c>
      <c r="W439" s="53">
        <f t="shared" si="275"/>
        <v>0</v>
      </c>
      <c r="X439" s="52"/>
      <c r="Y439" s="53">
        <f t="shared" si="276"/>
        <v>0</v>
      </c>
      <c r="Z439" s="53">
        <f t="shared" si="280"/>
        <v>0</v>
      </c>
      <c r="AA439" s="52">
        <v>5</v>
      </c>
      <c r="AB439" s="53">
        <v>20185000</v>
      </c>
      <c r="AC439" s="53">
        <f t="shared" si="282"/>
        <v>0</v>
      </c>
      <c r="AD439" s="56" t="s">
        <v>303</v>
      </c>
      <c r="AE439" s="70"/>
      <c r="AF439" s="1">
        <v>20185000</v>
      </c>
      <c r="AG439" s="5">
        <f t="shared" si="277"/>
        <v>0</v>
      </c>
      <c r="AH439" s="5"/>
    </row>
    <row r="440" spans="1:34" s="1" customFormat="1" ht="10.5" x14ac:dyDescent="0.25">
      <c r="A440" s="21">
        <v>70</v>
      </c>
      <c r="B440" s="22" t="s">
        <v>1691</v>
      </c>
      <c r="C440" s="50" t="s">
        <v>340</v>
      </c>
      <c r="D440" s="51" t="s">
        <v>543</v>
      </c>
      <c r="E440" s="52" t="s">
        <v>544</v>
      </c>
      <c r="F440" s="52"/>
      <c r="G440" s="52" t="s">
        <v>194</v>
      </c>
      <c r="H440" s="52" t="s">
        <v>62</v>
      </c>
      <c r="I440" s="52">
        <v>2014</v>
      </c>
      <c r="J440" s="52"/>
      <c r="K440" s="52" t="s">
        <v>63</v>
      </c>
      <c r="L440" s="52" t="s">
        <v>64</v>
      </c>
      <c r="M440" s="52">
        <v>2</v>
      </c>
      <c r="N440" s="53">
        <f t="shared" si="274"/>
        <v>20185000</v>
      </c>
      <c r="O440" s="53">
        <v>40370000</v>
      </c>
      <c r="P440" s="52"/>
      <c r="Q440" s="52"/>
      <c r="R440" s="52"/>
      <c r="S440" s="53">
        <f t="shared" si="278"/>
        <v>40370000</v>
      </c>
      <c r="T440" s="52">
        <v>5</v>
      </c>
      <c r="U440" s="53"/>
      <c r="V440" s="52">
        <v>0.5</v>
      </c>
      <c r="W440" s="53">
        <f t="shared" si="275"/>
        <v>0</v>
      </c>
      <c r="X440" s="52"/>
      <c r="Y440" s="53">
        <f t="shared" si="276"/>
        <v>0</v>
      </c>
      <c r="Z440" s="53">
        <f t="shared" si="280"/>
        <v>0</v>
      </c>
      <c r="AA440" s="57">
        <v>5</v>
      </c>
      <c r="AB440" s="53">
        <v>40370000</v>
      </c>
      <c r="AC440" s="53">
        <f t="shared" si="282"/>
        <v>0</v>
      </c>
      <c r="AD440" s="56" t="s">
        <v>297</v>
      </c>
      <c r="AE440" s="70"/>
      <c r="AF440" s="1">
        <v>40370000</v>
      </c>
      <c r="AG440" s="5">
        <f t="shared" si="277"/>
        <v>0</v>
      </c>
      <c r="AH440" s="5"/>
    </row>
    <row r="441" spans="1:34" s="1" customFormat="1" ht="10.5" x14ac:dyDescent="0.25">
      <c r="A441" s="49">
        <v>71</v>
      </c>
      <c r="B441" s="22" t="s">
        <v>1691</v>
      </c>
      <c r="C441" s="50" t="s">
        <v>545</v>
      </c>
      <c r="D441" s="51" t="s">
        <v>543</v>
      </c>
      <c r="E441" s="52" t="s">
        <v>544</v>
      </c>
      <c r="F441" s="52"/>
      <c r="G441" s="52" t="s">
        <v>194</v>
      </c>
      <c r="H441" s="52" t="s">
        <v>62</v>
      </c>
      <c r="I441" s="52">
        <v>2014</v>
      </c>
      <c r="J441" s="52"/>
      <c r="K441" s="52" t="s">
        <v>63</v>
      </c>
      <c r="L441" s="52" t="s">
        <v>64</v>
      </c>
      <c r="M441" s="52">
        <v>2</v>
      </c>
      <c r="N441" s="53">
        <f t="shared" ref="N441:N476" si="283">SUM(O441/M441)</f>
        <v>20185000</v>
      </c>
      <c r="O441" s="53">
        <v>40370000</v>
      </c>
      <c r="P441" s="52"/>
      <c r="Q441" s="52"/>
      <c r="R441" s="52"/>
      <c r="S441" s="53">
        <f t="shared" si="278"/>
        <v>40370000</v>
      </c>
      <c r="T441" s="52">
        <v>5</v>
      </c>
      <c r="U441" s="53"/>
      <c r="V441" s="52">
        <v>0.5</v>
      </c>
      <c r="W441" s="53">
        <f t="shared" ref="W441:W472" si="284">SUM(U441*V441)</f>
        <v>0</v>
      </c>
      <c r="X441" s="54"/>
      <c r="Y441" s="53">
        <f t="shared" si="276"/>
        <v>0</v>
      </c>
      <c r="Z441" s="53">
        <f t="shared" si="280"/>
        <v>0</v>
      </c>
      <c r="AA441" s="57">
        <v>5</v>
      </c>
      <c r="AB441" s="53">
        <v>40370000</v>
      </c>
      <c r="AC441" s="53">
        <f t="shared" si="282"/>
        <v>0</v>
      </c>
      <c r="AD441" s="56" t="s">
        <v>287</v>
      </c>
      <c r="AE441" s="70"/>
      <c r="AF441" s="1">
        <v>40370000</v>
      </c>
      <c r="AG441" s="5">
        <f t="shared" si="277"/>
        <v>0</v>
      </c>
      <c r="AH441" s="5"/>
    </row>
    <row r="442" spans="1:34" s="1" customFormat="1" ht="10.5" x14ac:dyDescent="0.25">
      <c r="A442" s="21">
        <v>72</v>
      </c>
      <c r="B442" s="22" t="s">
        <v>1691</v>
      </c>
      <c r="C442" s="50" t="s">
        <v>546</v>
      </c>
      <c r="D442" s="51" t="s">
        <v>543</v>
      </c>
      <c r="E442" s="52" t="s">
        <v>544</v>
      </c>
      <c r="F442" s="52"/>
      <c r="G442" s="52" t="s">
        <v>194</v>
      </c>
      <c r="H442" s="52" t="s">
        <v>62</v>
      </c>
      <c r="I442" s="52">
        <v>2018</v>
      </c>
      <c r="J442" s="52"/>
      <c r="K442" s="52" t="s">
        <v>63</v>
      </c>
      <c r="L442" s="52" t="s">
        <v>64</v>
      </c>
      <c r="M442" s="52">
        <v>4</v>
      </c>
      <c r="N442" s="53">
        <f t="shared" si="283"/>
        <v>21692000</v>
      </c>
      <c r="O442" s="53">
        <v>86768000</v>
      </c>
      <c r="P442" s="52"/>
      <c r="Q442" s="52"/>
      <c r="R442" s="52"/>
      <c r="S442" s="53">
        <f t="shared" si="278"/>
        <v>86768000</v>
      </c>
      <c r="T442" s="52">
        <v>5</v>
      </c>
      <c r="U442" s="53">
        <f t="shared" ref="U442:U475" si="285">SUM(S442/T442)</f>
        <v>17353600</v>
      </c>
      <c r="V442" s="52">
        <v>0.5</v>
      </c>
      <c r="W442" s="53">
        <f t="shared" si="284"/>
        <v>8676800</v>
      </c>
      <c r="X442" s="54">
        <v>0.5</v>
      </c>
      <c r="Y442" s="53">
        <f t="shared" si="276"/>
        <v>8676800</v>
      </c>
      <c r="Z442" s="53">
        <f t="shared" si="280"/>
        <v>17353600</v>
      </c>
      <c r="AA442" s="57">
        <f>2022-I442+V442+X442-4/12</f>
        <v>4.666666666666667</v>
      </c>
      <c r="AB442" s="53">
        <f t="shared" ref="AB442:AB472" si="286">SUM(U442*AA442)</f>
        <v>80983466.666666672</v>
      </c>
      <c r="AC442" s="53">
        <f t="shared" si="282"/>
        <v>5784533.3333333284</v>
      </c>
      <c r="AD442" s="56" t="s">
        <v>547</v>
      </c>
      <c r="AE442" s="56"/>
      <c r="AF442" s="1">
        <v>80983466.666666672</v>
      </c>
      <c r="AG442" s="5">
        <f t="shared" si="277"/>
        <v>17353600</v>
      </c>
      <c r="AH442" s="5"/>
    </row>
    <row r="443" spans="1:34" s="1" customFormat="1" ht="10.5" x14ac:dyDescent="0.25">
      <c r="A443" s="49">
        <v>73</v>
      </c>
      <c r="B443" s="22" t="s">
        <v>1691</v>
      </c>
      <c r="C443" s="73" t="s">
        <v>162</v>
      </c>
      <c r="D443" s="51" t="s">
        <v>543</v>
      </c>
      <c r="E443" s="52"/>
      <c r="F443" s="52"/>
      <c r="G443" s="52" t="s">
        <v>194</v>
      </c>
      <c r="H443" s="52" t="s">
        <v>62</v>
      </c>
      <c r="I443" s="52">
        <v>2020</v>
      </c>
      <c r="J443" s="52"/>
      <c r="K443" s="52" t="s">
        <v>63</v>
      </c>
      <c r="L443" s="52" t="s">
        <v>64</v>
      </c>
      <c r="M443" s="52">
        <v>1</v>
      </c>
      <c r="N443" s="53">
        <f t="shared" si="283"/>
        <v>25000000</v>
      </c>
      <c r="O443" s="53">
        <v>25000000</v>
      </c>
      <c r="P443" s="52"/>
      <c r="Q443" s="52"/>
      <c r="R443" s="52"/>
      <c r="S443" s="53">
        <f t="shared" si="278"/>
        <v>25000000</v>
      </c>
      <c r="T443" s="52">
        <v>5</v>
      </c>
      <c r="U443" s="53">
        <f t="shared" si="285"/>
        <v>5000000</v>
      </c>
      <c r="V443" s="52">
        <v>0.5</v>
      </c>
      <c r="W443" s="53">
        <f t="shared" si="284"/>
        <v>2500000</v>
      </c>
      <c r="X443" s="24">
        <v>0.5</v>
      </c>
      <c r="Y443" s="41">
        <f t="shared" si="276"/>
        <v>2500000</v>
      </c>
      <c r="Z443" s="41">
        <f t="shared" si="280"/>
        <v>5000000</v>
      </c>
      <c r="AA443" s="24">
        <f>2022-I443+V443+X443-11/12</f>
        <v>2.0833333333333335</v>
      </c>
      <c r="AB443" s="41">
        <f t="shared" si="286"/>
        <v>10416666.666666668</v>
      </c>
      <c r="AC443" s="41">
        <f t="shared" si="282"/>
        <v>14583333.333333332</v>
      </c>
      <c r="AD443" s="70" t="s">
        <v>199</v>
      </c>
      <c r="AE443" s="70"/>
      <c r="AF443" s="1">
        <v>10416666.666666668</v>
      </c>
      <c r="AG443" s="5">
        <f t="shared" si="277"/>
        <v>5000000</v>
      </c>
      <c r="AH443" s="5"/>
    </row>
    <row r="444" spans="1:34" s="1" customFormat="1" ht="10.5" x14ac:dyDescent="0.25">
      <c r="A444" s="21">
        <v>74</v>
      </c>
      <c r="B444" s="50" t="s">
        <v>1691</v>
      </c>
      <c r="C444" s="73" t="s">
        <v>312</v>
      </c>
      <c r="D444" s="51" t="s">
        <v>548</v>
      </c>
      <c r="E444" s="52" t="s">
        <v>549</v>
      </c>
      <c r="F444" s="52"/>
      <c r="G444" s="52" t="s">
        <v>194</v>
      </c>
      <c r="H444" s="52" t="s">
        <v>62</v>
      </c>
      <c r="I444" s="52">
        <v>2022</v>
      </c>
      <c r="J444" s="52"/>
      <c r="K444" s="52" t="s">
        <v>63</v>
      </c>
      <c r="L444" s="52" t="s">
        <v>64</v>
      </c>
      <c r="M444" s="52">
        <v>1</v>
      </c>
      <c r="N444" s="53">
        <f t="shared" si="283"/>
        <v>28349400</v>
      </c>
      <c r="O444" s="53">
        <v>28349400</v>
      </c>
      <c r="P444" s="52"/>
      <c r="Q444" s="52"/>
      <c r="R444" s="52"/>
      <c r="S444" s="53">
        <f t="shared" si="278"/>
        <v>28349400</v>
      </c>
      <c r="T444" s="52">
        <v>5</v>
      </c>
      <c r="U444" s="53">
        <f t="shared" si="285"/>
        <v>5669880</v>
      </c>
      <c r="V444" s="54">
        <f>4/12</f>
        <v>0.33333333333333331</v>
      </c>
      <c r="W444" s="53">
        <f t="shared" si="284"/>
        <v>1889960</v>
      </c>
      <c r="X444" s="24">
        <v>0.5</v>
      </c>
      <c r="Y444" s="41">
        <f t="shared" si="276"/>
        <v>2834940</v>
      </c>
      <c r="Z444" s="41">
        <f t="shared" si="280"/>
        <v>4724900</v>
      </c>
      <c r="AA444" s="24">
        <f>4/12+0.5</f>
        <v>0.83333333333333326</v>
      </c>
      <c r="AB444" s="41">
        <f t="shared" si="286"/>
        <v>4724900</v>
      </c>
      <c r="AC444" s="41">
        <f t="shared" si="282"/>
        <v>23624500</v>
      </c>
      <c r="AD444" s="70" t="s">
        <v>199</v>
      </c>
      <c r="AE444" s="70"/>
      <c r="AF444" s="1">
        <v>4724900</v>
      </c>
      <c r="AG444" s="5">
        <f t="shared" si="277"/>
        <v>4724900</v>
      </c>
      <c r="AH444" s="5"/>
    </row>
    <row r="445" spans="1:34" s="1" customFormat="1" ht="10.5" x14ac:dyDescent="0.25">
      <c r="A445" s="49">
        <v>75</v>
      </c>
      <c r="B445" s="22" t="s">
        <v>1691</v>
      </c>
      <c r="C445" s="22" t="s">
        <v>550</v>
      </c>
      <c r="D445" s="51" t="s">
        <v>551</v>
      </c>
      <c r="E445" s="24" t="s">
        <v>471</v>
      </c>
      <c r="F445" s="24"/>
      <c r="G445" s="24" t="s">
        <v>194</v>
      </c>
      <c r="H445" s="24" t="s">
        <v>62</v>
      </c>
      <c r="I445" s="24">
        <v>2015</v>
      </c>
      <c r="J445" s="24"/>
      <c r="K445" s="24" t="s">
        <v>63</v>
      </c>
      <c r="L445" s="24" t="s">
        <v>64</v>
      </c>
      <c r="M445" s="24">
        <v>2</v>
      </c>
      <c r="N445" s="41">
        <f t="shared" si="283"/>
        <v>7975000</v>
      </c>
      <c r="O445" s="41">
        <v>15950000</v>
      </c>
      <c r="P445" s="24"/>
      <c r="Q445" s="24"/>
      <c r="R445" s="24"/>
      <c r="S445" s="41">
        <f t="shared" si="278"/>
        <v>15950000</v>
      </c>
      <c r="T445" s="24">
        <v>5</v>
      </c>
      <c r="U445" s="41">
        <f t="shared" si="285"/>
        <v>3190000</v>
      </c>
      <c r="V445" s="24">
        <v>0.5</v>
      </c>
      <c r="W445" s="41"/>
      <c r="X445" s="24"/>
      <c r="Y445" s="41">
        <f>SUM(U445*X445)</f>
        <v>0</v>
      </c>
      <c r="Z445" s="41"/>
      <c r="AA445" s="72">
        <v>5</v>
      </c>
      <c r="AB445" s="41">
        <f t="shared" si="286"/>
        <v>15950000</v>
      </c>
      <c r="AC445" s="41">
        <f t="shared" si="282"/>
        <v>0</v>
      </c>
      <c r="AD445" s="70" t="s">
        <v>308</v>
      </c>
      <c r="AE445" s="70"/>
      <c r="AF445" s="1">
        <v>15950000</v>
      </c>
      <c r="AG445" s="5">
        <f t="shared" si="277"/>
        <v>0</v>
      </c>
      <c r="AH445" s="5"/>
    </row>
    <row r="446" spans="1:34" s="1" customFormat="1" ht="10.5" x14ac:dyDescent="0.25">
      <c r="A446" s="21">
        <v>76</v>
      </c>
      <c r="B446" s="22" t="s">
        <v>1691</v>
      </c>
      <c r="C446" s="22" t="s">
        <v>156</v>
      </c>
      <c r="D446" s="51" t="s">
        <v>551</v>
      </c>
      <c r="E446" s="24" t="s">
        <v>471</v>
      </c>
      <c r="F446" s="24"/>
      <c r="G446" s="24" t="s">
        <v>194</v>
      </c>
      <c r="H446" s="24" t="s">
        <v>62</v>
      </c>
      <c r="I446" s="24">
        <v>2015</v>
      </c>
      <c r="J446" s="24"/>
      <c r="K446" s="24" t="s">
        <v>63</v>
      </c>
      <c r="L446" s="24" t="s">
        <v>64</v>
      </c>
      <c r="M446" s="24">
        <v>1</v>
      </c>
      <c r="N446" s="41">
        <f t="shared" si="283"/>
        <v>7975000</v>
      </c>
      <c r="O446" s="41">
        <v>7975000</v>
      </c>
      <c r="P446" s="24"/>
      <c r="Q446" s="24"/>
      <c r="R446" s="24"/>
      <c r="S446" s="41">
        <f t="shared" si="278"/>
        <v>7975000</v>
      </c>
      <c r="T446" s="24">
        <v>5</v>
      </c>
      <c r="U446" s="41">
        <f t="shared" si="285"/>
        <v>1595000</v>
      </c>
      <c r="V446" s="24">
        <v>0.5</v>
      </c>
      <c r="W446" s="41"/>
      <c r="X446" s="24"/>
      <c r="Y446" s="41">
        <f t="shared" ref="Y446:Y475" si="287">SUM(U446*X446)</f>
        <v>0</v>
      </c>
      <c r="Z446" s="41"/>
      <c r="AA446" s="72">
        <v>5</v>
      </c>
      <c r="AB446" s="41">
        <f t="shared" si="286"/>
        <v>7975000</v>
      </c>
      <c r="AC446" s="41">
        <f t="shared" si="282"/>
        <v>0</v>
      </c>
      <c r="AD446" s="70" t="s">
        <v>365</v>
      </c>
      <c r="AE446" s="70"/>
      <c r="AF446" s="1">
        <v>7975000</v>
      </c>
      <c r="AG446" s="5">
        <f t="shared" si="277"/>
        <v>0</v>
      </c>
      <c r="AH446" s="5"/>
    </row>
    <row r="447" spans="1:34" s="1" customFormat="1" ht="10.5" x14ac:dyDescent="0.25">
      <c r="A447" s="49">
        <v>77</v>
      </c>
      <c r="B447" s="22" t="s">
        <v>1691</v>
      </c>
      <c r="C447" s="22" t="s">
        <v>159</v>
      </c>
      <c r="D447" s="51" t="s">
        <v>552</v>
      </c>
      <c r="E447" s="24" t="s">
        <v>471</v>
      </c>
      <c r="F447" s="24"/>
      <c r="G447" s="24" t="s">
        <v>194</v>
      </c>
      <c r="H447" s="24" t="s">
        <v>62</v>
      </c>
      <c r="I447" s="24">
        <v>2015</v>
      </c>
      <c r="J447" s="24"/>
      <c r="K447" s="24" t="s">
        <v>63</v>
      </c>
      <c r="L447" s="24" t="s">
        <v>64</v>
      </c>
      <c r="M447" s="24">
        <v>1</v>
      </c>
      <c r="N447" s="41">
        <f t="shared" si="283"/>
        <v>4499000</v>
      </c>
      <c r="O447" s="41">
        <v>4499000</v>
      </c>
      <c r="P447" s="24"/>
      <c r="Q447" s="24"/>
      <c r="R447" s="24"/>
      <c r="S447" s="41">
        <f t="shared" si="278"/>
        <v>4499000</v>
      </c>
      <c r="T447" s="24">
        <v>5</v>
      </c>
      <c r="U447" s="41">
        <f t="shared" si="285"/>
        <v>899800</v>
      </c>
      <c r="V447" s="24">
        <v>0.5</v>
      </c>
      <c r="W447" s="41"/>
      <c r="X447" s="24"/>
      <c r="Y447" s="41">
        <f t="shared" si="287"/>
        <v>0</v>
      </c>
      <c r="Z447" s="41"/>
      <c r="AA447" s="72">
        <v>5</v>
      </c>
      <c r="AB447" s="41">
        <f t="shared" si="286"/>
        <v>4499000</v>
      </c>
      <c r="AC447" s="41">
        <f t="shared" si="282"/>
        <v>0</v>
      </c>
      <c r="AD447" s="70" t="s">
        <v>553</v>
      </c>
      <c r="AE447" s="70"/>
      <c r="AF447" s="1">
        <v>4499000</v>
      </c>
      <c r="AG447" s="5">
        <f t="shared" si="277"/>
        <v>0</v>
      </c>
      <c r="AH447" s="5"/>
    </row>
    <row r="448" spans="1:34" s="1" customFormat="1" ht="10.5" x14ac:dyDescent="0.25">
      <c r="A448" s="21">
        <v>78</v>
      </c>
      <c r="B448" s="22" t="s">
        <v>1691</v>
      </c>
      <c r="C448" s="22" t="s">
        <v>554</v>
      </c>
      <c r="D448" s="51" t="s">
        <v>555</v>
      </c>
      <c r="E448" s="24" t="s">
        <v>556</v>
      </c>
      <c r="F448" s="24"/>
      <c r="G448" s="24" t="s">
        <v>194</v>
      </c>
      <c r="H448" s="24" t="s">
        <v>62</v>
      </c>
      <c r="I448" s="24">
        <v>2017</v>
      </c>
      <c r="J448" s="24"/>
      <c r="K448" s="24" t="s">
        <v>63</v>
      </c>
      <c r="L448" s="24" t="s">
        <v>64</v>
      </c>
      <c r="M448" s="24">
        <v>2</v>
      </c>
      <c r="N448" s="41">
        <f t="shared" si="283"/>
        <v>7469000</v>
      </c>
      <c r="O448" s="41">
        <v>14938000</v>
      </c>
      <c r="P448" s="24"/>
      <c r="Q448" s="24"/>
      <c r="R448" s="24"/>
      <c r="S448" s="41">
        <f t="shared" si="278"/>
        <v>14938000</v>
      </c>
      <c r="T448" s="24">
        <v>5</v>
      </c>
      <c r="U448" s="41">
        <f t="shared" si="285"/>
        <v>2987600</v>
      </c>
      <c r="V448" s="24">
        <v>0.5</v>
      </c>
      <c r="W448" s="41">
        <f t="shared" si="284"/>
        <v>1493800</v>
      </c>
      <c r="X448" s="24">
        <v>0.5</v>
      </c>
      <c r="Y448" s="41">
        <f>SUM(U448*X448)-248966.66666666</f>
        <v>1244833.33333334</v>
      </c>
      <c r="Z448" s="41">
        <f>SUM(W448+Y448)</f>
        <v>2738633.33333334</v>
      </c>
      <c r="AA448" s="72">
        <f>2022-I448+V448+X448-11/12-1/12</f>
        <v>5</v>
      </c>
      <c r="AB448" s="41">
        <f t="shared" si="286"/>
        <v>14938000</v>
      </c>
      <c r="AC448" s="41">
        <f t="shared" si="282"/>
        <v>0</v>
      </c>
      <c r="AD448" s="70" t="s">
        <v>226</v>
      </c>
      <c r="AE448" s="70"/>
      <c r="AF448" s="1">
        <v>14938000</v>
      </c>
      <c r="AG448" s="5">
        <f t="shared" si="277"/>
        <v>2738633.3333333395</v>
      </c>
      <c r="AH448" s="5"/>
    </row>
    <row r="449" spans="1:34" s="1" customFormat="1" ht="10.5" x14ac:dyDescent="0.25">
      <c r="A449" s="49">
        <v>79</v>
      </c>
      <c r="B449" s="22" t="s">
        <v>1691</v>
      </c>
      <c r="C449" s="22" t="s">
        <v>312</v>
      </c>
      <c r="D449" s="51" t="s">
        <v>555</v>
      </c>
      <c r="E449" s="24" t="s">
        <v>556</v>
      </c>
      <c r="F449" s="24"/>
      <c r="G449" s="24" t="s">
        <v>194</v>
      </c>
      <c r="H449" s="24" t="s">
        <v>62</v>
      </c>
      <c r="I449" s="24">
        <v>2017</v>
      </c>
      <c r="J449" s="24"/>
      <c r="K449" s="24" t="s">
        <v>63</v>
      </c>
      <c r="L449" s="24" t="s">
        <v>64</v>
      </c>
      <c r="M449" s="24">
        <v>1</v>
      </c>
      <c r="N449" s="41">
        <f t="shared" si="283"/>
        <v>7469000</v>
      </c>
      <c r="O449" s="41">
        <v>7469000</v>
      </c>
      <c r="P449" s="24"/>
      <c r="Q449" s="24"/>
      <c r="R449" s="24"/>
      <c r="S449" s="41">
        <f t="shared" si="278"/>
        <v>7469000</v>
      </c>
      <c r="T449" s="24">
        <v>5</v>
      </c>
      <c r="U449" s="41">
        <f t="shared" si="285"/>
        <v>1493800</v>
      </c>
      <c r="V449" s="24">
        <v>0.5</v>
      </c>
      <c r="W449" s="41">
        <f t="shared" si="284"/>
        <v>746900</v>
      </c>
      <c r="X449" s="24">
        <v>0.5</v>
      </c>
      <c r="Y449" s="41">
        <f>SUM(U449*X449)-124483.333333333</f>
        <v>622416.66666666698</v>
      </c>
      <c r="Z449" s="41">
        <f>SUM(W449+Y449)</f>
        <v>1369316.666666667</v>
      </c>
      <c r="AA449" s="72">
        <f>2022-I449+V449+X449-11/12-1/12</f>
        <v>5</v>
      </c>
      <c r="AB449" s="41">
        <f t="shared" si="286"/>
        <v>7469000</v>
      </c>
      <c r="AC449" s="41">
        <f t="shared" si="282"/>
        <v>0</v>
      </c>
      <c r="AD449" s="70" t="s">
        <v>557</v>
      </c>
      <c r="AE449" s="70"/>
      <c r="AF449" s="1">
        <v>7469000</v>
      </c>
      <c r="AG449" s="5">
        <f t="shared" si="277"/>
        <v>1369316.6666666679</v>
      </c>
      <c r="AH449" s="5"/>
    </row>
    <row r="450" spans="1:34" s="1" customFormat="1" ht="10.5" x14ac:dyDescent="0.25">
      <c r="A450" s="21">
        <v>80</v>
      </c>
      <c r="B450" s="22" t="s">
        <v>1691</v>
      </c>
      <c r="C450" s="22" t="s">
        <v>313</v>
      </c>
      <c r="D450" s="51" t="s">
        <v>555</v>
      </c>
      <c r="E450" s="24" t="s">
        <v>556</v>
      </c>
      <c r="F450" s="24"/>
      <c r="G450" s="24" t="s">
        <v>194</v>
      </c>
      <c r="H450" s="24" t="s">
        <v>62</v>
      </c>
      <c r="I450" s="24">
        <v>2017</v>
      </c>
      <c r="J450" s="24"/>
      <c r="K450" s="24" t="s">
        <v>63</v>
      </c>
      <c r="L450" s="24" t="s">
        <v>64</v>
      </c>
      <c r="M450" s="24">
        <v>1</v>
      </c>
      <c r="N450" s="41">
        <f t="shared" si="283"/>
        <v>7469000</v>
      </c>
      <c r="O450" s="41">
        <v>7469000</v>
      </c>
      <c r="P450" s="24"/>
      <c r="Q450" s="24"/>
      <c r="R450" s="24"/>
      <c r="S450" s="41">
        <f t="shared" si="278"/>
        <v>7469000</v>
      </c>
      <c r="T450" s="24">
        <v>5</v>
      </c>
      <c r="U450" s="41">
        <f t="shared" si="285"/>
        <v>1493800</v>
      </c>
      <c r="V450" s="24">
        <v>0.5</v>
      </c>
      <c r="W450" s="41">
        <f t="shared" si="284"/>
        <v>746900</v>
      </c>
      <c r="X450" s="24">
        <v>0.5</v>
      </c>
      <c r="Y450" s="41">
        <f>SUM(U450*X450)-124483.33333333</f>
        <v>622416.66666667</v>
      </c>
      <c r="Z450" s="41">
        <f>SUM(W450+Y450)</f>
        <v>1369316.66666667</v>
      </c>
      <c r="AA450" s="72">
        <f>2022-I450+V450+X450-11/12-1/12</f>
        <v>5</v>
      </c>
      <c r="AB450" s="41">
        <f t="shared" si="286"/>
        <v>7469000</v>
      </c>
      <c r="AC450" s="41">
        <f t="shared" si="282"/>
        <v>0</v>
      </c>
      <c r="AD450" s="70" t="s">
        <v>558</v>
      </c>
      <c r="AE450" s="70"/>
      <c r="AF450" s="1">
        <v>7469000</v>
      </c>
      <c r="AG450" s="5">
        <f t="shared" si="277"/>
        <v>1369316.6666666698</v>
      </c>
      <c r="AH450" s="5"/>
    </row>
    <row r="451" spans="1:34" s="1" customFormat="1" ht="10.5" x14ac:dyDescent="0.25">
      <c r="A451" s="49">
        <v>81</v>
      </c>
      <c r="B451" s="22" t="s">
        <v>1691</v>
      </c>
      <c r="C451" s="22" t="s">
        <v>559</v>
      </c>
      <c r="D451" s="51" t="s">
        <v>555</v>
      </c>
      <c r="E451" s="24" t="s">
        <v>560</v>
      </c>
      <c r="F451" s="24"/>
      <c r="G451" s="24" t="s">
        <v>194</v>
      </c>
      <c r="H451" s="24" t="s">
        <v>62</v>
      </c>
      <c r="I451" s="24">
        <v>2018</v>
      </c>
      <c r="J451" s="24"/>
      <c r="K451" s="24" t="s">
        <v>63</v>
      </c>
      <c r="L451" s="24" t="s">
        <v>64</v>
      </c>
      <c r="M451" s="24">
        <v>1</v>
      </c>
      <c r="N451" s="41">
        <f t="shared" si="283"/>
        <v>5940000</v>
      </c>
      <c r="O451" s="41">
        <v>5940000</v>
      </c>
      <c r="P451" s="24"/>
      <c r="Q451" s="24"/>
      <c r="R451" s="24"/>
      <c r="S451" s="41">
        <f t="shared" si="278"/>
        <v>5940000</v>
      </c>
      <c r="T451" s="24">
        <v>5</v>
      </c>
      <c r="U451" s="41">
        <f t="shared" si="285"/>
        <v>1188000</v>
      </c>
      <c r="V451" s="24">
        <v>0.5</v>
      </c>
      <c r="W451" s="41">
        <f t="shared" si="284"/>
        <v>594000</v>
      </c>
      <c r="X451" s="24">
        <v>0.5</v>
      </c>
      <c r="Y451" s="41">
        <f t="shared" si="287"/>
        <v>594000</v>
      </c>
      <c r="Z451" s="41">
        <f t="shared" si="280"/>
        <v>1188000</v>
      </c>
      <c r="AA451" s="72">
        <f>2022-I451+V451+X451-4/12</f>
        <v>4.666666666666667</v>
      </c>
      <c r="AB451" s="41">
        <f t="shared" si="286"/>
        <v>5544000</v>
      </c>
      <c r="AC451" s="41">
        <f t="shared" si="282"/>
        <v>396000</v>
      </c>
      <c r="AD451" s="70" t="s">
        <v>365</v>
      </c>
      <c r="AE451" s="70"/>
      <c r="AF451" s="1">
        <v>5544000</v>
      </c>
      <c r="AG451" s="5">
        <f t="shared" si="277"/>
        <v>1188000</v>
      </c>
      <c r="AH451" s="5"/>
    </row>
    <row r="452" spans="1:34" s="1" customFormat="1" ht="10.5" x14ac:dyDescent="0.25">
      <c r="A452" s="21">
        <v>82</v>
      </c>
      <c r="B452" s="22" t="s">
        <v>1691</v>
      </c>
      <c r="C452" s="22" t="s">
        <v>561</v>
      </c>
      <c r="D452" s="51" t="s">
        <v>555</v>
      </c>
      <c r="E452" s="24" t="s">
        <v>560</v>
      </c>
      <c r="F452" s="24"/>
      <c r="G452" s="24" t="s">
        <v>194</v>
      </c>
      <c r="H452" s="24" t="s">
        <v>62</v>
      </c>
      <c r="I452" s="24">
        <v>2018</v>
      </c>
      <c r="J452" s="24"/>
      <c r="K452" s="24" t="s">
        <v>63</v>
      </c>
      <c r="L452" s="24" t="s">
        <v>64</v>
      </c>
      <c r="M452" s="24">
        <v>1</v>
      </c>
      <c r="N452" s="41">
        <f t="shared" si="283"/>
        <v>5940000</v>
      </c>
      <c r="O452" s="41">
        <v>5940000</v>
      </c>
      <c r="P452" s="24"/>
      <c r="Q452" s="24"/>
      <c r="R452" s="24"/>
      <c r="S452" s="41">
        <f t="shared" si="278"/>
        <v>5940000</v>
      </c>
      <c r="T452" s="24">
        <v>5</v>
      </c>
      <c r="U452" s="41">
        <f t="shared" si="285"/>
        <v>1188000</v>
      </c>
      <c r="V452" s="24">
        <v>0.5</v>
      </c>
      <c r="W452" s="41">
        <f t="shared" si="284"/>
        <v>594000</v>
      </c>
      <c r="X452" s="24">
        <v>0.5</v>
      </c>
      <c r="Y452" s="41">
        <f t="shared" si="287"/>
        <v>594000</v>
      </c>
      <c r="Z452" s="41">
        <f t="shared" si="280"/>
        <v>1188000</v>
      </c>
      <c r="AA452" s="72">
        <f t="shared" ref="AA452:AA459" si="288">2022-I452+V452+X452-4/12</f>
        <v>4.666666666666667</v>
      </c>
      <c r="AB452" s="41">
        <f t="shared" si="286"/>
        <v>5544000</v>
      </c>
      <c r="AC452" s="41">
        <f t="shared" si="282"/>
        <v>396000</v>
      </c>
      <c r="AD452" s="70" t="s">
        <v>562</v>
      </c>
      <c r="AE452" s="70"/>
      <c r="AF452" s="1">
        <v>5544000</v>
      </c>
      <c r="AG452" s="5">
        <f t="shared" si="277"/>
        <v>1188000</v>
      </c>
      <c r="AH452" s="5"/>
    </row>
    <row r="453" spans="1:34" s="1" customFormat="1" ht="10.5" x14ac:dyDescent="0.25">
      <c r="A453" s="49">
        <v>83</v>
      </c>
      <c r="B453" s="22" t="s">
        <v>1691</v>
      </c>
      <c r="C453" s="22" t="s">
        <v>563</v>
      </c>
      <c r="D453" s="51" t="s">
        <v>555</v>
      </c>
      <c r="E453" s="24" t="s">
        <v>560</v>
      </c>
      <c r="F453" s="24"/>
      <c r="G453" s="24" t="s">
        <v>194</v>
      </c>
      <c r="H453" s="24" t="s">
        <v>62</v>
      </c>
      <c r="I453" s="24">
        <v>2018</v>
      </c>
      <c r="J453" s="24"/>
      <c r="K453" s="24" t="s">
        <v>63</v>
      </c>
      <c r="L453" s="24" t="s">
        <v>64</v>
      </c>
      <c r="M453" s="24">
        <v>2</v>
      </c>
      <c r="N453" s="41">
        <f t="shared" si="283"/>
        <v>5940000</v>
      </c>
      <c r="O453" s="41">
        <v>11880000</v>
      </c>
      <c r="P453" s="24"/>
      <c r="Q453" s="24"/>
      <c r="R453" s="24"/>
      <c r="S453" s="41">
        <f t="shared" si="278"/>
        <v>11880000</v>
      </c>
      <c r="T453" s="24">
        <v>5</v>
      </c>
      <c r="U453" s="41">
        <f t="shared" si="285"/>
        <v>2376000</v>
      </c>
      <c r="V453" s="24">
        <v>0.5</v>
      </c>
      <c r="W453" s="41">
        <f t="shared" si="284"/>
        <v>1188000</v>
      </c>
      <c r="X453" s="24">
        <v>0.5</v>
      </c>
      <c r="Y453" s="41">
        <f t="shared" si="287"/>
        <v>1188000</v>
      </c>
      <c r="Z453" s="41">
        <f t="shared" si="280"/>
        <v>2376000</v>
      </c>
      <c r="AA453" s="72">
        <f t="shared" si="288"/>
        <v>4.666666666666667</v>
      </c>
      <c r="AB453" s="41">
        <f t="shared" si="286"/>
        <v>11088000</v>
      </c>
      <c r="AC453" s="41">
        <f t="shared" si="282"/>
        <v>792000</v>
      </c>
      <c r="AD453" s="70" t="s">
        <v>213</v>
      </c>
      <c r="AE453" s="70"/>
      <c r="AF453" s="1">
        <v>11088000</v>
      </c>
      <c r="AG453" s="5">
        <f t="shared" si="277"/>
        <v>2376000</v>
      </c>
      <c r="AH453" s="5"/>
    </row>
    <row r="454" spans="1:34" s="1" customFormat="1" ht="10.5" x14ac:dyDescent="0.25">
      <c r="A454" s="21">
        <v>84</v>
      </c>
      <c r="B454" s="22" t="s">
        <v>1691</v>
      </c>
      <c r="C454" s="22" t="s">
        <v>227</v>
      </c>
      <c r="D454" s="51" t="s">
        <v>555</v>
      </c>
      <c r="E454" s="24" t="s">
        <v>560</v>
      </c>
      <c r="F454" s="24"/>
      <c r="G454" s="24" t="s">
        <v>194</v>
      </c>
      <c r="H454" s="24" t="s">
        <v>62</v>
      </c>
      <c r="I454" s="24">
        <v>2018</v>
      </c>
      <c r="J454" s="24"/>
      <c r="K454" s="24" t="s">
        <v>63</v>
      </c>
      <c r="L454" s="24" t="s">
        <v>64</v>
      </c>
      <c r="M454" s="24">
        <v>1</v>
      </c>
      <c r="N454" s="41">
        <f t="shared" si="283"/>
        <v>5940000</v>
      </c>
      <c r="O454" s="41">
        <v>5940000</v>
      </c>
      <c r="P454" s="24"/>
      <c r="Q454" s="24"/>
      <c r="R454" s="24"/>
      <c r="S454" s="41">
        <f t="shared" si="278"/>
        <v>5940000</v>
      </c>
      <c r="T454" s="24">
        <v>5</v>
      </c>
      <c r="U454" s="41">
        <f t="shared" si="285"/>
        <v>1188000</v>
      </c>
      <c r="V454" s="24">
        <v>0.5</v>
      </c>
      <c r="W454" s="41">
        <f t="shared" si="284"/>
        <v>594000</v>
      </c>
      <c r="X454" s="24">
        <v>0.5</v>
      </c>
      <c r="Y454" s="41">
        <f t="shared" si="287"/>
        <v>594000</v>
      </c>
      <c r="Z454" s="41">
        <f t="shared" si="280"/>
        <v>1188000</v>
      </c>
      <c r="AA454" s="72">
        <f t="shared" si="288"/>
        <v>4.666666666666667</v>
      </c>
      <c r="AB454" s="41">
        <f t="shared" si="286"/>
        <v>5544000</v>
      </c>
      <c r="AC454" s="41">
        <f t="shared" si="282"/>
        <v>396000</v>
      </c>
      <c r="AD454" s="70" t="s">
        <v>557</v>
      </c>
      <c r="AE454" s="70"/>
      <c r="AF454" s="1">
        <v>5544000</v>
      </c>
      <c r="AG454" s="5">
        <f t="shared" si="277"/>
        <v>1188000</v>
      </c>
      <c r="AH454" s="5"/>
    </row>
    <row r="455" spans="1:34" s="1" customFormat="1" ht="10.5" x14ac:dyDescent="0.25">
      <c r="A455" s="49">
        <v>85</v>
      </c>
      <c r="B455" s="22" t="s">
        <v>1691</v>
      </c>
      <c r="C455" s="22" t="s">
        <v>230</v>
      </c>
      <c r="D455" s="51" t="s">
        <v>555</v>
      </c>
      <c r="E455" s="24" t="s">
        <v>560</v>
      </c>
      <c r="F455" s="24"/>
      <c r="G455" s="24" t="s">
        <v>194</v>
      </c>
      <c r="H455" s="24" t="s">
        <v>62</v>
      </c>
      <c r="I455" s="24">
        <v>2018</v>
      </c>
      <c r="J455" s="24"/>
      <c r="K455" s="24" t="s">
        <v>63</v>
      </c>
      <c r="L455" s="24" t="s">
        <v>64</v>
      </c>
      <c r="M455" s="24">
        <v>1</v>
      </c>
      <c r="N455" s="41">
        <f t="shared" si="283"/>
        <v>5940000</v>
      </c>
      <c r="O455" s="41">
        <v>5940000</v>
      </c>
      <c r="P455" s="24"/>
      <c r="Q455" s="24"/>
      <c r="R455" s="24"/>
      <c r="S455" s="41">
        <f t="shared" si="278"/>
        <v>5940000</v>
      </c>
      <c r="T455" s="24">
        <v>5</v>
      </c>
      <c r="U455" s="41">
        <f t="shared" si="285"/>
        <v>1188000</v>
      </c>
      <c r="V455" s="24">
        <v>0.5</v>
      </c>
      <c r="W455" s="41">
        <f t="shared" si="284"/>
        <v>594000</v>
      </c>
      <c r="X455" s="24">
        <v>0.5</v>
      </c>
      <c r="Y455" s="41">
        <f t="shared" si="287"/>
        <v>594000</v>
      </c>
      <c r="Z455" s="41">
        <f t="shared" si="280"/>
        <v>1188000</v>
      </c>
      <c r="AA455" s="72">
        <f t="shared" si="288"/>
        <v>4.666666666666667</v>
      </c>
      <c r="AB455" s="41">
        <f t="shared" si="286"/>
        <v>5544000</v>
      </c>
      <c r="AC455" s="41">
        <f t="shared" si="282"/>
        <v>396000</v>
      </c>
      <c r="AD455" s="70" t="s">
        <v>373</v>
      </c>
      <c r="AE455" s="70"/>
      <c r="AF455" s="1">
        <v>5544000</v>
      </c>
      <c r="AG455" s="5">
        <f t="shared" si="277"/>
        <v>1188000</v>
      </c>
      <c r="AH455" s="5"/>
    </row>
    <row r="456" spans="1:34" s="1" customFormat="1" ht="10.5" x14ac:dyDescent="0.25">
      <c r="A456" s="21">
        <v>86</v>
      </c>
      <c r="B456" s="22" t="s">
        <v>1691</v>
      </c>
      <c r="C456" s="22" t="s">
        <v>232</v>
      </c>
      <c r="D456" s="51" t="s">
        <v>555</v>
      </c>
      <c r="E456" s="24" t="s">
        <v>560</v>
      </c>
      <c r="F456" s="24"/>
      <c r="G456" s="24" t="s">
        <v>194</v>
      </c>
      <c r="H456" s="24" t="s">
        <v>62</v>
      </c>
      <c r="I456" s="24">
        <v>2018</v>
      </c>
      <c r="J456" s="24"/>
      <c r="K456" s="24" t="s">
        <v>63</v>
      </c>
      <c r="L456" s="24" t="s">
        <v>64</v>
      </c>
      <c r="M456" s="24">
        <v>1</v>
      </c>
      <c r="N456" s="41">
        <f t="shared" si="283"/>
        <v>5940000</v>
      </c>
      <c r="O456" s="41">
        <v>5940000</v>
      </c>
      <c r="P456" s="24"/>
      <c r="Q456" s="24"/>
      <c r="R456" s="24"/>
      <c r="S456" s="41">
        <f t="shared" si="278"/>
        <v>5940000</v>
      </c>
      <c r="T456" s="24">
        <v>5</v>
      </c>
      <c r="U456" s="41">
        <f t="shared" si="285"/>
        <v>1188000</v>
      </c>
      <c r="V456" s="24">
        <v>0.5</v>
      </c>
      <c r="W456" s="41">
        <f t="shared" si="284"/>
        <v>594000</v>
      </c>
      <c r="X456" s="24">
        <v>0.5</v>
      </c>
      <c r="Y456" s="41">
        <f t="shared" si="287"/>
        <v>594000</v>
      </c>
      <c r="Z456" s="41">
        <f t="shared" si="280"/>
        <v>1188000</v>
      </c>
      <c r="AA456" s="72">
        <f t="shared" si="288"/>
        <v>4.666666666666667</v>
      </c>
      <c r="AB456" s="41">
        <f t="shared" si="286"/>
        <v>5544000</v>
      </c>
      <c r="AC456" s="41">
        <f t="shared" si="282"/>
        <v>396000</v>
      </c>
      <c r="AD456" s="70" t="s">
        <v>363</v>
      </c>
      <c r="AE456" s="70"/>
      <c r="AF456" s="1">
        <v>5544000</v>
      </c>
      <c r="AG456" s="5">
        <f t="shared" si="277"/>
        <v>1188000</v>
      </c>
      <c r="AH456" s="5"/>
    </row>
    <row r="457" spans="1:34" s="1" customFormat="1" ht="10.5" x14ac:dyDescent="0.25">
      <c r="A457" s="49">
        <v>87</v>
      </c>
      <c r="B457" s="22" t="s">
        <v>1691</v>
      </c>
      <c r="C457" s="22" t="s">
        <v>234</v>
      </c>
      <c r="D457" s="51" t="s">
        <v>555</v>
      </c>
      <c r="E457" s="24" t="s">
        <v>560</v>
      </c>
      <c r="F457" s="24"/>
      <c r="G457" s="24" t="s">
        <v>194</v>
      </c>
      <c r="H457" s="24" t="s">
        <v>62</v>
      </c>
      <c r="I457" s="24">
        <v>2018</v>
      </c>
      <c r="J457" s="24"/>
      <c r="K457" s="24" t="s">
        <v>63</v>
      </c>
      <c r="L457" s="24" t="s">
        <v>64</v>
      </c>
      <c r="M457" s="24">
        <v>1</v>
      </c>
      <c r="N457" s="41">
        <f t="shared" si="283"/>
        <v>5940000</v>
      </c>
      <c r="O457" s="41">
        <v>5940000</v>
      </c>
      <c r="P457" s="24"/>
      <c r="Q457" s="24"/>
      <c r="R457" s="24"/>
      <c r="S457" s="41">
        <f t="shared" si="278"/>
        <v>5940000</v>
      </c>
      <c r="T457" s="24">
        <v>5</v>
      </c>
      <c r="U457" s="41">
        <f t="shared" si="285"/>
        <v>1188000</v>
      </c>
      <c r="V457" s="24">
        <v>0.5</v>
      </c>
      <c r="W457" s="41">
        <f t="shared" si="284"/>
        <v>594000</v>
      </c>
      <c r="X457" s="24">
        <v>0.5</v>
      </c>
      <c r="Y457" s="41">
        <f t="shared" si="287"/>
        <v>594000</v>
      </c>
      <c r="Z457" s="41">
        <f t="shared" si="280"/>
        <v>1188000</v>
      </c>
      <c r="AA457" s="72">
        <f t="shared" si="288"/>
        <v>4.666666666666667</v>
      </c>
      <c r="AB457" s="41">
        <f t="shared" si="286"/>
        <v>5544000</v>
      </c>
      <c r="AC457" s="41">
        <f t="shared" si="282"/>
        <v>396000</v>
      </c>
      <c r="AD457" s="70" t="s">
        <v>564</v>
      </c>
      <c r="AE457" s="70"/>
      <c r="AF457" s="1">
        <v>5544000</v>
      </c>
      <c r="AG457" s="5">
        <f t="shared" si="277"/>
        <v>1188000</v>
      </c>
      <c r="AH457" s="5"/>
    </row>
    <row r="458" spans="1:34" s="1" customFormat="1" ht="10.5" x14ac:dyDescent="0.25">
      <c r="A458" s="21">
        <v>88</v>
      </c>
      <c r="B458" s="22" t="s">
        <v>1691</v>
      </c>
      <c r="C458" s="22" t="s">
        <v>236</v>
      </c>
      <c r="D458" s="51" t="s">
        <v>555</v>
      </c>
      <c r="E458" s="24" t="s">
        <v>560</v>
      </c>
      <c r="F458" s="24"/>
      <c r="G458" s="24" t="s">
        <v>194</v>
      </c>
      <c r="H458" s="24" t="s">
        <v>62</v>
      </c>
      <c r="I458" s="24">
        <v>2018</v>
      </c>
      <c r="J458" s="24"/>
      <c r="K458" s="24" t="s">
        <v>63</v>
      </c>
      <c r="L458" s="24" t="s">
        <v>64</v>
      </c>
      <c r="M458" s="24">
        <v>1</v>
      </c>
      <c r="N458" s="41">
        <f t="shared" si="283"/>
        <v>5940000</v>
      </c>
      <c r="O458" s="41">
        <v>5940000</v>
      </c>
      <c r="P458" s="24"/>
      <c r="Q458" s="24"/>
      <c r="R458" s="24"/>
      <c r="S458" s="41">
        <f t="shared" si="278"/>
        <v>5940000</v>
      </c>
      <c r="T458" s="24">
        <v>5</v>
      </c>
      <c r="U458" s="41">
        <f t="shared" si="285"/>
        <v>1188000</v>
      </c>
      <c r="V458" s="24">
        <v>0.5</v>
      </c>
      <c r="W458" s="41">
        <f t="shared" si="284"/>
        <v>594000</v>
      </c>
      <c r="X458" s="24">
        <v>0.5</v>
      </c>
      <c r="Y458" s="53">
        <f t="shared" si="287"/>
        <v>594000</v>
      </c>
      <c r="Z458" s="53">
        <f t="shared" si="280"/>
        <v>1188000</v>
      </c>
      <c r="AA458" s="72">
        <f t="shared" si="288"/>
        <v>4.666666666666667</v>
      </c>
      <c r="AB458" s="53">
        <f t="shared" si="286"/>
        <v>5544000</v>
      </c>
      <c r="AC458" s="53">
        <f t="shared" si="282"/>
        <v>396000</v>
      </c>
      <c r="AD458" s="70" t="s">
        <v>245</v>
      </c>
      <c r="AE458" s="70"/>
      <c r="AF458" s="1">
        <v>5544000</v>
      </c>
      <c r="AG458" s="5">
        <f t="shared" si="277"/>
        <v>1188000</v>
      </c>
      <c r="AH458" s="5"/>
    </row>
    <row r="459" spans="1:34" s="1" customFormat="1" ht="10.5" x14ac:dyDescent="0.25">
      <c r="A459" s="49">
        <v>89</v>
      </c>
      <c r="B459" s="22" t="s">
        <v>1691</v>
      </c>
      <c r="C459" s="22" t="s">
        <v>238</v>
      </c>
      <c r="D459" s="51" t="s">
        <v>555</v>
      </c>
      <c r="E459" s="24" t="s">
        <v>560</v>
      </c>
      <c r="F459" s="24"/>
      <c r="G459" s="24" t="s">
        <v>194</v>
      </c>
      <c r="H459" s="24" t="s">
        <v>62</v>
      </c>
      <c r="I459" s="24">
        <v>2018</v>
      </c>
      <c r="J459" s="24"/>
      <c r="K459" s="24" t="s">
        <v>63</v>
      </c>
      <c r="L459" s="24" t="s">
        <v>64</v>
      </c>
      <c r="M459" s="24">
        <v>1</v>
      </c>
      <c r="N459" s="41">
        <f t="shared" si="283"/>
        <v>5940000</v>
      </c>
      <c r="O459" s="41">
        <v>5940000</v>
      </c>
      <c r="P459" s="24"/>
      <c r="Q459" s="24"/>
      <c r="R459" s="24"/>
      <c r="S459" s="41">
        <f t="shared" si="278"/>
        <v>5940000</v>
      </c>
      <c r="T459" s="24">
        <v>5</v>
      </c>
      <c r="U459" s="41">
        <f t="shared" si="285"/>
        <v>1188000</v>
      </c>
      <c r="V459" s="24">
        <v>0.5</v>
      </c>
      <c r="W459" s="41">
        <f t="shared" si="284"/>
        <v>594000</v>
      </c>
      <c r="X459" s="24">
        <v>0.5</v>
      </c>
      <c r="Y459" s="53">
        <f t="shared" si="287"/>
        <v>594000</v>
      </c>
      <c r="Z459" s="53">
        <f t="shared" si="280"/>
        <v>1188000</v>
      </c>
      <c r="AA459" s="72">
        <f t="shared" si="288"/>
        <v>4.666666666666667</v>
      </c>
      <c r="AB459" s="53">
        <f t="shared" si="286"/>
        <v>5544000</v>
      </c>
      <c r="AC459" s="53">
        <f t="shared" si="282"/>
        <v>396000</v>
      </c>
      <c r="AD459" s="70" t="s">
        <v>565</v>
      </c>
      <c r="AE459" s="70"/>
      <c r="AF459" s="1">
        <v>5544000</v>
      </c>
      <c r="AG459" s="5">
        <f t="shared" si="277"/>
        <v>1188000</v>
      </c>
      <c r="AH459" s="5"/>
    </row>
    <row r="460" spans="1:34" s="1" customFormat="1" ht="10.5" x14ac:dyDescent="0.25">
      <c r="A460" s="21">
        <v>90</v>
      </c>
      <c r="B460" s="22" t="s">
        <v>1691</v>
      </c>
      <c r="C460" s="50" t="s">
        <v>251</v>
      </c>
      <c r="D460" s="51" t="s">
        <v>555</v>
      </c>
      <c r="E460" s="52" t="s">
        <v>566</v>
      </c>
      <c r="F460" s="52"/>
      <c r="G460" s="52" t="s">
        <v>194</v>
      </c>
      <c r="H460" s="52" t="s">
        <v>62</v>
      </c>
      <c r="I460" s="52">
        <v>2019</v>
      </c>
      <c r="J460" s="52"/>
      <c r="K460" s="52" t="s">
        <v>63</v>
      </c>
      <c r="L460" s="52" t="s">
        <v>64</v>
      </c>
      <c r="M460" s="52">
        <v>5</v>
      </c>
      <c r="N460" s="53">
        <f t="shared" si="283"/>
        <v>4996200</v>
      </c>
      <c r="O460" s="53">
        <v>24981000</v>
      </c>
      <c r="P460" s="52"/>
      <c r="Q460" s="52"/>
      <c r="R460" s="52"/>
      <c r="S460" s="53">
        <f t="shared" si="278"/>
        <v>24981000</v>
      </c>
      <c r="T460" s="52">
        <v>5</v>
      </c>
      <c r="U460" s="53">
        <f t="shared" si="285"/>
        <v>4996200</v>
      </c>
      <c r="V460" s="52">
        <v>0.5</v>
      </c>
      <c r="W460" s="53">
        <f t="shared" si="284"/>
        <v>2498100</v>
      </c>
      <c r="X460" s="24">
        <v>0.5</v>
      </c>
      <c r="Y460" s="53">
        <f t="shared" si="287"/>
        <v>2498100</v>
      </c>
      <c r="Z460" s="53">
        <f t="shared" si="280"/>
        <v>4996200</v>
      </c>
      <c r="AA460" s="72">
        <f>2022-I460+V460+X460-4/12</f>
        <v>3.6666666666666665</v>
      </c>
      <c r="AB460" s="53">
        <f t="shared" si="286"/>
        <v>18319400</v>
      </c>
      <c r="AC460" s="53">
        <f t="shared" si="282"/>
        <v>6661600</v>
      </c>
      <c r="AD460" s="70" t="s">
        <v>367</v>
      </c>
      <c r="AE460" s="70"/>
      <c r="AF460" s="1">
        <v>18319400</v>
      </c>
      <c r="AG460" s="5">
        <f t="shared" si="277"/>
        <v>4996200</v>
      </c>
      <c r="AH460" s="5"/>
    </row>
    <row r="461" spans="1:34" s="1" customFormat="1" ht="10.5" x14ac:dyDescent="0.25">
      <c r="A461" s="49">
        <v>91</v>
      </c>
      <c r="B461" s="22" t="s">
        <v>1691</v>
      </c>
      <c r="C461" s="50" t="s">
        <v>567</v>
      </c>
      <c r="D461" s="51" t="s">
        <v>555</v>
      </c>
      <c r="E461" s="52" t="s">
        <v>566</v>
      </c>
      <c r="F461" s="52"/>
      <c r="G461" s="52" t="s">
        <v>194</v>
      </c>
      <c r="H461" s="52" t="s">
        <v>62</v>
      </c>
      <c r="I461" s="52">
        <v>2019</v>
      </c>
      <c r="J461" s="52"/>
      <c r="K461" s="52" t="s">
        <v>63</v>
      </c>
      <c r="L461" s="52" t="s">
        <v>64</v>
      </c>
      <c r="M461" s="52">
        <v>2</v>
      </c>
      <c r="N461" s="53">
        <f t="shared" si="283"/>
        <v>4996200</v>
      </c>
      <c r="O461" s="53">
        <v>9992400</v>
      </c>
      <c r="P461" s="52"/>
      <c r="Q461" s="52"/>
      <c r="R461" s="52"/>
      <c r="S461" s="53">
        <f t="shared" si="278"/>
        <v>9992400</v>
      </c>
      <c r="T461" s="52">
        <v>5</v>
      </c>
      <c r="U461" s="53">
        <f t="shared" si="285"/>
        <v>1998480</v>
      </c>
      <c r="V461" s="52">
        <v>0.5</v>
      </c>
      <c r="W461" s="53">
        <f t="shared" si="284"/>
        <v>999240</v>
      </c>
      <c r="X461" s="24">
        <v>0.5</v>
      </c>
      <c r="Y461" s="53">
        <f t="shared" si="287"/>
        <v>999240</v>
      </c>
      <c r="Z461" s="53">
        <f t="shared" si="280"/>
        <v>1998480</v>
      </c>
      <c r="AA461" s="72">
        <f t="shared" ref="AA461:AA462" si="289">2022-I461+V461+X461-4/12</f>
        <v>3.6666666666666665</v>
      </c>
      <c r="AB461" s="53">
        <f t="shared" si="286"/>
        <v>7327760</v>
      </c>
      <c r="AC461" s="53">
        <f t="shared" si="282"/>
        <v>2664640</v>
      </c>
      <c r="AD461" s="70" t="s">
        <v>370</v>
      </c>
      <c r="AE461" s="70"/>
      <c r="AF461" s="1">
        <v>7327760</v>
      </c>
      <c r="AG461" s="5">
        <f t="shared" si="277"/>
        <v>1998480</v>
      </c>
      <c r="AH461" s="5"/>
    </row>
    <row r="462" spans="1:34" s="1" customFormat="1" ht="10.5" x14ac:dyDescent="0.25">
      <c r="A462" s="21">
        <v>92</v>
      </c>
      <c r="B462" s="22" t="s">
        <v>1691</v>
      </c>
      <c r="C462" s="50" t="s">
        <v>568</v>
      </c>
      <c r="D462" s="51" t="s">
        <v>555</v>
      </c>
      <c r="E462" s="52" t="s">
        <v>566</v>
      </c>
      <c r="F462" s="52"/>
      <c r="G462" s="52" t="s">
        <v>194</v>
      </c>
      <c r="H462" s="52" t="s">
        <v>62</v>
      </c>
      <c r="I462" s="52">
        <v>2019</v>
      </c>
      <c r="J462" s="52"/>
      <c r="K462" s="52" t="s">
        <v>63</v>
      </c>
      <c r="L462" s="52" t="s">
        <v>64</v>
      </c>
      <c r="M462" s="52">
        <v>13</v>
      </c>
      <c r="N462" s="53">
        <f t="shared" si="283"/>
        <v>4996200</v>
      </c>
      <c r="O462" s="53">
        <v>64950600</v>
      </c>
      <c r="P462" s="52"/>
      <c r="Q462" s="52"/>
      <c r="R462" s="52"/>
      <c r="S462" s="53">
        <f t="shared" si="278"/>
        <v>64950600</v>
      </c>
      <c r="T462" s="52">
        <v>5</v>
      </c>
      <c r="U462" s="53">
        <f t="shared" si="285"/>
        <v>12990120</v>
      </c>
      <c r="V462" s="52">
        <v>0.5</v>
      </c>
      <c r="W462" s="53">
        <f t="shared" si="284"/>
        <v>6495060</v>
      </c>
      <c r="X462" s="24">
        <v>0.5</v>
      </c>
      <c r="Y462" s="53">
        <f t="shared" si="287"/>
        <v>6495060</v>
      </c>
      <c r="Z462" s="53">
        <f t="shared" si="280"/>
        <v>12990120</v>
      </c>
      <c r="AA462" s="72">
        <f t="shared" si="289"/>
        <v>3.6666666666666665</v>
      </c>
      <c r="AB462" s="53">
        <f t="shared" si="286"/>
        <v>47630440</v>
      </c>
      <c r="AC462" s="53">
        <f t="shared" si="282"/>
        <v>17320160</v>
      </c>
      <c r="AD462" s="70" t="s">
        <v>569</v>
      </c>
      <c r="AE462" s="70"/>
      <c r="AF462" s="1">
        <v>47630440</v>
      </c>
      <c r="AG462" s="5">
        <f t="shared" si="277"/>
        <v>12990120</v>
      </c>
      <c r="AH462" s="5"/>
    </row>
    <row r="463" spans="1:34" s="1" customFormat="1" ht="10.5" x14ac:dyDescent="0.25">
      <c r="A463" s="49">
        <v>93</v>
      </c>
      <c r="B463" s="22" t="s">
        <v>1691</v>
      </c>
      <c r="C463" s="50" t="s">
        <v>570</v>
      </c>
      <c r="D463" s="51" t="s">
        <v>555</v>
      </c>
      <c r="E463" s="52" t="s">
        <v>571</v>
      </c>
      <c r="F463" s="52"/>
      <c r="G463" s="52" t="s">
        <v>194</v>
      </c>
      <c r="H463" s="52" t="s">
        <v>62</v>
      </c>
      <c r="I463" s="52">
        <v>2019</v>
      </c>
      <c r="J463" s="52"/>
      <c r="K463" s="52" t="s">
        <v>63</v>
      </c>
      <c r="L463" s="52" t="s">
        <v>64</v>
      </c>
      <c r="M463" s="52">
        <v>3</v>
      </c>
      <c r="N463" s="53">
        <v>4996200</v>
      </c>
      <c r="O463" s="53">
        <f>N463*M463</f>
        <v>14988600</v>
      </c>
      <c r="P463" s="52"/>
      <c r="Q463" s="52"/>
      <c r="R463" s="52"/>
      <c r="S463" s="53">
        <f t="shared" si="278"/>
        <v>14988600</v>
      </c>
      <c r="T463" s="52">
        <v>5</v>
      </c>
      <c r="U463" s="53">
        <f t="shared" si="285"/>
        <v>2997720</v>
      </c>
      <c r="V463" s="52">
        <v>0.5</v>
      </c>
      <c r="W463" s="53">
        <f t="shared" si="284"/>
        <v>1498860</v>
      </c>
      <c r="X463" s="24">
        <v>0.5</v>
      </c>
      <c r="Y463" s="53">
        <f t="shared" si="287"/>
        <v>1498860</v>
      </c>
      <c r="Z463" s="53">
        <f t="shared" si="280"/>
        <v>2997720</v>
      </c>
      <c r="AA463" s="72">
        <f>2022-I463+V463+X463-11/12</f>
        <v>3.0833333333333335</v>
      </c>
      <c r="AB463" s="53">
        <f t="shared" si="286"/>
        <v>9242970</v>
      </c>
      <c r="AC463" s="53">
        <f t="shared" si="282"/>
        <v>5745630</v>
      </c>
      <c r="AD463" s="70"/>
      <c r="AE463" s="70"/>
      <c r="AF463" s="1">
        <v>9242970</v>
      </c>
      <c r="AG463" s="5">
        <f t="shared" si="277"/>
        <v>2997720</v>
      </c>
      <c r="AH463" s="5"/>
    </row>
    <row r="464" spans="1:34" s="1" customFormat="1" ht="10.5" x14ac:dyDescent="0.25">
      <c r="A464" s="21">
        <v>94</v>
      </c>
      <c r="B464" s="22" t="s">
        <v>1691</v>
      </c>
      <c r="C464" s="50" t="s">
        <v>572</v>
      </c>
      <c r="D464" s="51" t="s">
        <v>555</v>
      </c>
      <c r="E464" s="52" t="s">
        <v>571</v>
      </c>
      <c r="F464" s="52"/>
      <c r="G464" s="52" t="s">
        <v>194</v>
      </c>
      <c r="H464" s="52" t="s">
        <v>62</v>
      </c>
      <c r="I464" s="52">
        <v>2019</v>
      </c>
      <c r="J464" s="52"/>
      <c r="K464" s="52" t="s">
        <v>63</v>
      </c>
      <c r="L464" s="52" t="s">
        <v>64</v>
      </c>
      <c r="M464" s="52">
        <v>2</v>
      </c>
      <c r="N464" s="53">
        <v>4996200</v>
      </c>
      <c r="O464" s="53">
        <f>N464*M464</f>
        <v>9992400</v>
      </c>
      <c r="P464" s="52"/>
      <c r="Q464" s="52"/>
      <c r="R464" s="52"/>
      <c r="S464" s="53">
        <f t="shared" si="278"/>
        <v>9992400</v>
      </c>
      <c r="T464" s="52">
        <v>5</v>
      </c>
      <c r="U464" s="53">
        <f t="shared" si="285"/>
        <v>1998480</v>
      </c>
      <c r="V464" s="52">
        <v>0.5</v>
      </c>
      <c r="W464" s="53">
        <f t="shared" si="284"/>
        <v>999240</v>
      </c>
      <c r="X464" s="52">
        <v>0.5</v>
      </c>
      <c r="Y464" s="53">
        <f t="shared" si="287"/>
        <v>999240</v>
      </c>
      <c r="Z464" s="53">
        <f t="shared" si="280"/>
        <v>1998480</v>
      </c>
      <c r="AA464" s="57">
        <f t="shared" ref="AA464:AA465" si="290">2022-I464+V464+X464-11/12</f>
        <v>3.0833333333333335</v>
      </c>
      <c r="AB464" s="53">
        <f t="shared" si="286"/>
        <v>6161980</v>
      </c>
      <c r="AC464" s="53">
        <f t="shared" si="282"/>
        <v>3830420</v>
      </c>
      <c r="AD464" s="56"/>
      <c r="AE464" s="70"/>
      <c r="AF464" s="1">
        <v>6161980</v>
      </c>
      <c r="AG464" s="5">
        <f t="shared" si="277"/>
        <v>1998480</v>
      </c>
      <c r="AH464" s="5"/>
    </row>
    <row r="465" spans="1:34" s="1" customFormat="1" ht="10.5" x14ac:dyDescent="0.25">
      <c r="A465" s="49">
        <v>95</v>
      </c>
      <c r="B465" s="22" t="s">
        <v>1691</v>
      </c>
      <c r="C465" s="50" t="s">
        <v>573</v>
      </c>
      <c r="D465" s="51" t="s">
        <v>555</v>
      </c>
      <c r="E465" s="52" t="s">
        <v>571</v>
      </c>
      <c r="F465" s="52"/>
      <c r="G465" s="52" t="s">
        <v>194</v>
      </c>
      <c r="H465" s="52" t="s">
        <v>62</v>
      </c>
      <c r="I465" s="52">
        <v>2019</v>
      </c>
      <c r="J465" s="52"/>
      <c r="K465" s="52" t="s">
        <v>63</v>
      </c>
      <c r="L465" s="52" t="s">
        <v>64</v>
      </c>
      <c r="M465" s="52">
        <v>2</v>
      </c>
      <c r="N465" s="53">
        <v>4996200</v>
      </c>
      <c r="O465" s="53">
        <f>N465*M465</f>
        <v>9992400</v>
      </c>
      <c r="P465" s="52"/>
      <c r="Q465" s="52"/>
      <c r="R465" s="52"/>
      <c r="S465" s="53">
        <f t="shared" si="278"/>
        <v>9992400</v>
      </c>
      <c r="T465" s="52">
        <v>5</v>
      </c>
      <c r="U465" s="53">
        <f t="shared" si="285"/>
        <v>1998480</v>
      </c>
      <c r="V465" s="52">
        <v>0.5</v>
      </c>
      <c r="W465" s="53">
        <f t="shared" si="284"/>
        <v>999240</v>
      </c>
      <c r="X465" s="52">
        <v>0.5</v>
      </c>
      <c r="Y465" s="53">
        <f t="shared" si="287"/>
        <v>999240</v>
      </c>
      <c r="Z465" s="53">
        <f t="shared" si="280"/>
        <v>1998480</v>
      </c>
      <c r="AA465" s="57">
        <f t="shared" si="290"/>
        <v>3.0833333333333335</v>
      </c>
      <c r="AB465" s="53">
        <f t="shared" si="286"/>
        <v>6161980</v>
      </c>
      <c r="AC465" s="53">
        <f t="shared" si="282"/>
        <v>3830420</v>
      </c>
      <c r="AD465" s="56"/>
      <c r="AE465" s="70"/>
      <c r="AF465" s="1">
        <v>6161980</v>
      </c>
      <c r="AG465" s="5">
        <f t="shared" si="277"/>
        <v>1998480</v>
      </c>
      <c r="AH465" s="5"/>
    </row>
    <row r="466" spans="1:34" s="1" customFormat="1" ht="10.5" x14ac:dyDescent="0.25">
      <c r="A466" s="21">
        <v>96</v>
      </c>
      <c r="B466" s="50" t="s">
        <v>1691</v>
      </c>
      <c r="C466" s="73" t="s">
        <v>422</v>
      </c>
      <c r="D466" s="51" t="s">
        <v>555</v>
      </c>
      <c r="E466" s="52" t="s">
        <v>574</v>
      </c>
      <c r="F466" s="52"/>
      <c r="G466" s="52" t="s">
        <v>194</v>
      </c>
      <c r="H466" s="52" t="s">
        <v>62</v>
      </c>
      <c r="I466" s="52">
        <v>2021</v>
      </c>
      <c r="J466" s="52"/>
      <c r="K466" s="52" t="s">
        <v>63</v>
      </c>
      <c r="L466" s="52" t="s">
        <v>64</v>
      </c>
      <c r="M466" s="52">
        <v>1</v>
      </c>
      <c r="N466" s="53">
        <v>6347000</v>
      </c>
      <c r="O466" s="53">
        <v>6347000</v>
      </c>
      <c r="P466" s="52"/>
      <c r="Q466" s="52"/>
      <c r="R466" s="52"/>
      <c r="S466" s="53">
        <f t="shared" si="278"/>
        <v>6347000</v>
      </c>
      <c r="T466" s="52">
        <v>5</v>
      </c>
      <c r="U466" s="53">
        <f t="shared" si="285"/>
        <v>1269400</v>
      </c>
      <c r="V466" s="52">
        <v>0.5</v>
      </c>
      <c r="W466" s="53">
        <f t="shared" si="284"/>
        <v>634700</v>
      </c>
      <c r="X466" s="52">
        <v>0.5</v>
      </c>
      <c r="Y466" s="53">
        <f t="shared" si="287"/>
        <v>634700</v>
      </c>
      <c r="Z466" s="53">
        <f t="shared" si="280"/>
        <v>1269400</v>
      </c>
      <c r="AA466" s="57">
        <f>4/12+0.5+0.5+0.5</f>
        <v>1.8333333333333333</v>
      </c>
      <c r="AB466" s="53">
        <f t="shared" si="286"/>
        <v>2327233.333333333</v>
      </c>
      <c r="AC466" s="53">
        <f t="shared" si="282"/>
        <v>4019766.666666667</v>
      </c>
      <c r="AD466" s="56" t="s">
        <v>208</v>
      </c>
      <c r="AE466" s="70"/>
      <c r="AF466" s="1">
        <v>2327233.333333333</v>
      </c>
      <c r="AG466" s="5">
        <f t="shared" si="277"/>
        <v>1269400</v>
      </c>
      <c r="AH466" s="5"/>
    </row>
    <row r="467" spans="1:34" s="1" customFormat="1" ht="10.5" x14ac:dyDescent="0.25">
      <c r="A467" s="49">
        <v>97</v>
      </c>
      <c r="B467" s="50" t="s">
        <v>1691</v>
      </c>
      <c r="C467" s="73" t="s">
        <v>423</v>
      </c>
      <c r="D467" s="51" t="s">
        <v>555</v>
      </c>
      <c r="E467" s="52" t="s">
        <v>574</v>
      </c>
      <c r="F467" s="52"/>
      <c r="G467" s="52" t="s">
        <v>194</v>
      </c>
      <c r="H467" s="52" t="s">
        <v>62</v>
      </c>
      <c r="I467" s="52">
        <v>2021</v>
      </c>
      <c r="J467" s="52"/>
      <c r="K467" s="52" t="s">
        <v>63</v>
      </c>
      <c r="L467" s="52" t="s">
        <v>64</v>
      </c>
      <c r="M467" s="52">
        <v>1</v>
      </c>
      <c r="N467" s="53">
        <v>6347000</v>
      </c>
      <c r="O467" s="53">
        <v>6347000</v>
      </c>
      <c r="P467" s="52"/>
      <c r="Q467" s="52"/>
      <c r="R467" s="52"/>
      <c r="S467" s="53">
        <f t="shared" si="278"/>
        <v>6347000</v>
      </c>
      <c r="T467" s="52">
        <v>5</v>
      </c>
      <c r="U467" s="53">
        <f t="shared" si="285"/>
        <v>1269400</v>
      </c>
      <c r="V467" s="52">
        <v>0.5</v>
      </c>
      <c r="W467" s="53">
        <f t="shared" si="284"/>
        <v>634700</v>
      </c>
      <c r="X467" s="52">
        <v>0.5</v>
      </c>
      <c r="Y467" s="53">
        <f t="shared" si="287"/>
        <v>634700</v>
      </c>
      <c r="Z467" s="53">
        <f t="shared" si="280"/>
        <v>1269400</v>
      </c>
      <c r="AA467" s="57">
        <f>4/12+0.5+0.5+0.5</f>
        <v>1.8333333333333333</v>
      </c>
      <c r="AB467" s="53">
        <f t="shared" si="286"/>
        <v>2327233.333333333</v>
      </c>
      <c r="AC467" s="53">
        <f t="shared" si="282"/>
        <v>4019766.666666667</v>
      </c>
      <c r="AD467" s="56" t="s">
        <v>331</v>
      </c>
      <c r="AE467" s="70"/>
      <c r="AF467" s="1">
        <v>2327233.333333333</v>
      </c>
      <c r="AG467" s="5">
        <f t="shared" si="277"/>
        <v>1269400</v>
      </c>
      <c r="AH467" s="5"/>
    </row>
    <row r="468" spans="1:34" s="1" customFormat="1" ht="10.5" x14ac:dyDescent="0.25">
      <c r="A468" s="21">
        <v>98</v>
      </c>
      <c r="B468" s="50" t="s">
        <v>1691</v>
      </c>
      <c r="C468" s="73" t="s">
        <v>575</v>
      </c>
      <c r="D468" s="51" t="s">
        <v>555</v>
      </c>
      <c r="E468" s="52" t="s">
        <v>574</v>
      </c>
      <c r="F468" s="52"/>
      <c r="G468" s="52" t="s">
        <v>194</v>
      </c>
      <c r="H468" s="52" t="s">
        <v>62</v>
      </c>
      <c r="I468" s="52">
        <v>2021</v>
      </c>
      <c r="J468" s="52"/>
      <c r="K468" s="52" t="s">
        <v>63</v>
      </c>
      <c r="L468" s="52" t="s">
        <v>64</v>
      </c>
      <c r="M468" s="52">
        <v>1</v>
      </c>
      <c r="N468" s="53">
        <v>6347000</v>
      </c>
      <c r="O468" s="53">
        <v>6347000</v>
      </c>
      <c r="P468" s="52"/>
      <c r="Q468" s="52"/>
      <c r="R468" s="52"/>
      <c r="S468" s="53">
        <f t="shared" si="278"/>
        <v>6347000</v>
      </c>
      <c r="T468" s="52">
        <v>5</v>
      </c>
      <c r="U468" s="53">
        <f t="shared" si="285"/>
        <v>1269400</v>
      </c>
      <c r="V468" s="52">
        <v>0.5</v>
      </c>
      <c r="W468" s="53">
        <f t="shared" si="284"/>
        <v>634700</v>
      </c>
      <c r="X468" s="52">
        <v>0.5</v>
      </c>
      <c r="Y468" s="53">
        <f t="shared" si="287"/>
        <v>634700</v>
      </c>
      <c r="Z468" s="53">
        <f t="shared" si="280"/>
        <v>1269400</v>
      </c>
      <c r="AA468" s="57">
        <f>4/12+0.5+0.5+0.5</f>
        <v>1.8333333333333333</v>
      </c>
      <c r="AB468" s="53">
        <f t="shared" si="286"/>
        <v>2327233.333333333</v>
      </c>
      <c r="AC468" s="53">
        <f t="shared" si="282"/>
        <v>4019766.666666667</v>
      </c>
      <c r="AD468" s="56" t="s">
        <v>276</v>
      </c>
      <c r="AE468" s="70"/>
      <c r="AF468" s="1">
        <v>2327233.333333333</v>
      </c>
      <c r="AG468" s="5">
        <f t="shared" si="277"/>
        <v>1269400</v>
      </c>
      <c r="AH468" s="5"/>
    </row>
    <row r="469" spans="1:34" s="1" customFormat="1" ht="10.5" x14ac:dyDescent="0.25">
      <c r="A469" s="49">
        <v>99</v>
      </c>
      <c r="B469" s="50" t="s">
        <v>1691</v>
      </c>
      <c r="C469" s="73" t="s">
        <v>576</v>
      </c>
      <c r="D469" s="51" t="s">
        <v>555</v>
      </c>
      <c r="E469" s="52" t="s">
        <v>574</v>
      </c>
      <c r="F469" s="52"/>
      <c r="G469" s="52" t="s">
        <v>194</v>
      </c>
      <c r="H469" s="52" t="s">
        <v>62</v>
      </c>
      <c r="I469" s="52">
        <v>2021</v>
      </c>
      <c r="J469" s="52"/>
      <c r="K469" s="52" t="s">
        <v>63</v>
      </c>
      <c r="L469" s="52" t="s">
        <v>64</v>
      </c>
      <c r="M469" s="52">
        <v>1</v>
      </c>
      <c r="N469" s="53">
        <v>6347000</v>
      </c>
      <c r="O469" s="53">
        <v>6347000</v>
      </c>
      <c r="P469" s="52"/>
      <c r="Q469" s="52"/>
      <c r="R469" s="52"/>
      <c r="S469" s="53">
        <f t="shared" si="278"/>
        <v>6347000</v>
      </c>
      <c r="T469" s="52">
        <v>5</v>
      </c>
      <c r="U469" s="53">
        <f t="shared" si="285"/>
        <v>1269400</v>
      </c>
      <c r="V469" s="52">
        <v>0.5</v>
      </c>
      <c r="W469" s="53">
        <f t="shared" si="284"/>
        <v>634700</v>
      </c>
      <c r="X469" s="52">
        <v>0.5</v>
      </c>
      <c r="Y469" s="53">
        <f t="shared" si="287"/>
        <v>634700</v>
      </c>
      <c r="Z469" s="53">
        <f t="shared" si="280"/>
        <v>1269400</v>
      </c>
      <c r="AA469" s="57">
        <f>4/12+0.5+0.5+0.5</f>
        <v>1.8333333333333333</v>
      </c>
      <c r="AB469" s="53">
        <f t="shared" si="286"/>
        <v>2327233.333333333</v>
      </c>
      <c r="AC469" s="53">
        <f t="shared" si="282"/>
        <v>4019766.666666667</v>
      </c>
      <c r="AD469" s="56" t="s">
        <v>311</v>
      </c>
      <c r="AE469" s="70"/>
      <c r="AF469" s="1">
        <v>2327233.333333333</v>
      </c>
      <c r="AG469" s="5">
        <f t="shared" si="277"/>
        <v>1269400</v>
      </c>
      <c r="AH469" s="5"/>
    </row>
    <row r="470" spans="1:34" s="1" customFormat="1" ht="10.5" x14ac:dyDescent="0.25">
      <c r="A470" s="21">
        <v>100</v>
      </c>
      <c r="B470" s="50" t="s">
        <v>1691</v>
      </c>
      <c r="C470" s="73" t="s">
        <v>577</v>
      </c>
      <c r="D470" s="51" t="s">
        <v>555</v>
      </c>
      <c r="E470" s="52" t="s">
        <v>574</v>
      </c>
      <c r="F470" s="52"/>
      <c r="G470" s="52" t="s">
        <v>194</v>
      </c>
      <c r="H470" s="52" t="s">
        <v>62</v>
      </c>
      <c r="I470" s="52">
        <v>2021</v>
      </c>
      <c r="J470" s="52"/>
      <c r="K470" s="52" t="s">
        <v>63</v>
      </c>
      <c r="L470" s="52" t="s">
        <v>64</v>
      </c>
      <c r="M470" s="52">
        <v>1</v>
      </c>
      <c r="N470" s="53">
        <v>6347000</v>
      </c>
      <c r="O470" s="53">
        <v>6347000</v>
      </c>
      <c r="P470" s="52"/>
      <c r="Q470" s="52"/>
      <c r="R470" s="52"/>
      <c r="S470" s="53">
        <f t="shared" si="278"/>
        <v>6347000</v>
      </c>
      <c r="T470" s="52">
        <v>5</v>
      </c>
      <c r="U470" s="53">
        <f t="shared" si="285"/>
        <v>1269400</v>
      </c>
      <c r="V470" s="52">
        <v>0.5</v>
      </c>
      <c r="W470" s="53">
        <f t="shared" si="284"/>
        <v>634700</v>
      </c>
      <c r="X470" s="52">
        <v>0.5</v>
      </c>
      <c r="Y470" s="53">
        <f t="shared" si="287"/>
        <v>634700</v>
      </c>
      <c r="Z470" s="53">
        <f t="shared" si="280"/>
        <v>1269400</v>
      </c>
      <c r="AA470" s="57">
        <f>4/12+0.5+0.5+0.5</f>
        <v>1.8333333333333333</v>
      </c>
      <c r="AB470" s="53">
        <f t="shared" si="286"/>
        <v>2327233.333333333</v>
      </c>
      <c r="AC470" s="53">
        <f t="shared" si="282"/>
        <v>4019766.666666667</v>
      </c>
      <c r="AD470" s="56" t="s">
        <v>578</v>
      </c>
      <c r="AE470" s="70"/>
      <c r="AF470" s="1">
        <v>2327233.333333333</v>
      </c>
      <c r="AG470" s="5">
        <f t="shared" si="277"/>
        <v>1269400</v>
      </c>
      <c r="AH470" s="5"/>
    </row>
    <row r="471" spans="1:34" s="1" customFormat="1" ht="10.5" x14ac:dyDescent="0.25">
      <c r="A471" s="49">
        <v>101</v>
      </c>
      <c r="B471" s="50" t="s">
        <v>1691</v>
      </c>
      <c r="C471" s="73" t="s">
        <v>579</v>
      </c>
      <c r="D471" s="51" t="s">
        <v>555</v>
      </c>
      <c r="E471" s="52" t="s">
        <v>574</v>
      </c>
      <c r="F471" s="52"/>
      <c r="G471" s="52" t="s">
        <v>194</v>
      </c>
      <c r="H471" s="52" t="s">
        <v>62</v>
      </c>
      <c r="I471" s="52">
        <v>2021</v>
      </c>
      <c r="J471" s="52"/>
      <c r="K471" s="52" t="s">
        <v>63</v>
      </c>
      <c r="L471" s="52" t="s">
        <v>64</v>
      </c>
      <c r="M471" s="52">
        <v>5</v>
      </c>
      <c r="N471" s="53">
        <f t="shared" si="283"/>
        <v>6413000</v>
      </c>
      <c r="O471" s="53">
        <v>32065000</v>
      </c>
      <c r="P471" s="52"/>
      <c r="Q471" s="52"/>
      <c r="R471" s="52"/>
      <c r="S471" s="53">
        <f t="shared" si="278"/>
        <v>32065000</v>
      </c>
      <c r="T471" s="52">
        <v>5</v>
      </c>
      <c r="U471" s="53">
        <f t="shared" si="285"/>
        <v>6413000</v>
      </c>
      <c r="V471" s="52">
        <v>0.5</v>
      </c>
      <c r="W471" s="53">
        <f t="shared" si="284"/>
        <v>3206500</v>
      </c>
      <c r="X471" s="57">
        <v>0.5</v>
      </c>
      <c r="Y471" s="53">
        <f t="shared" si="287"/>
        <v>3206500</v>
      </c>
      <c r="Z471" s="53">
        <f t="shared" si="280"/>
        <v>6413000</v>
      </c>
      <c r="AA471" s="57">
        <f>1/12+0.5+0.5</f>
        <v>1.0833333333333335</v>
      </c>
      <c r="AB471" s="53">
        <f t="shared" si="286"/>
        <v>6947416.6666666679</v>
      </c>
      <c r="AC471" s="53">
        <f t="shared" si="282"/>
        <v>25117583.333333332</v>
      </c>
      <c r="AD471" s="56" t="s">
        <v>580</v>
      </c>
      <c r="AE471" s="70"/>
      <c r="AF471" s="1">
        <v>6947416.6666666679</v>
      </c>
      <c r="AG471" s="5">
        <f t="shared" si="277"/>
        <v>6413000</v>
      </c>
      <c r="AH471" s="5"/>
    </row>
    <row r="472" spans="1:34" s="1" customFormat="1" ht="10.5" x14ac:dyDescent="0.25">
      <c r="A472" s="21">
        <v>102</v>
      </c>
      <c r="B472" s="50" t="s">
        <v>1691</v>
      </c>
      <c r="C472" s="73" t="s">
        <v>581</v>
      </c>
      <c r="D472" s="51" t="s">
        <v>555</v>
      </c>
      <c r="E472" s="52" t="s">
        <v>582</v>
      </c>
      <c r="F472" s="52"/>
      <c r="G472" s="52" t="s">
        <v>194</v>
      </c>
      <c r="H472" s="52" t="s">
        <v>62</v>
      </c>
      <c r="I472" s="52">
        <v>2022</v>
      </c>
      <c r="J472" s="52"/>
      <c r="K472" s="52" t="s">
        <v>63</v>
      </c>
      <c r="L472" s="52" t="s">
        <v>64</v>
      </c>
      <c r="M472" s="52">
        <v>5</v>
      </c>
      <c r="N472" s="53">
        <f t="shared" si="283"/>
        <v>7778214</v>
      </c>
      <c r="O472" s="53">
        <v>38891070</v>
      </c>
      <c r="P472" s="52"/>
      <c r="Q472" s="52"/>
      <c r="R472" s="52"/>
      <c r="S472" s="53">
        <f t="shared" si="278"/>
        <v>38891070</v>
      </c>
      <c r="T472" s="52">
        <v>5</v>
      </c>
      <c r="U472" s="53">
        <f t="shared" si="285"/>
        <v>7778214</v>
      </c>
      <c r="V472" s="175">
        <f>4/12</f>
        <v>0.33333333333333331</v>
      </c>
      <c r="W472" s="53">
        <f t="shared" si="284"/>
        <v>2592738</v>
      </c>
      <c r="X472" s="57">
        <v>0.5</v>
      </c>
      <c r="Y472" s="53">
        <f t="shared" si="287"/>
        <v>3889107</v>
      </c>
      <c r="Z472" s="311">
        <f t="shared" si="280"/>
        <v>6481845</v>
      </c>
      <c r="AA472" s="57">
        <f>4/12+0.5</f>
        <v>0.83333333333333326</v>
      </c>
      <c r="AB472" s="53">
        <f t="shared" si="286"/>
        <v>6481844.9999999991</v>
      </c>
      <c r="AC472" s="53">
        <f t="shared" si="282"/>
        <v>32409225</v>
      </c>
      <c r="AD472" s="56"/>
      <c r="AE472" s="70"/>
      <c r="AF472" s="1">
        <v>6481844.9999999991</v>
      </c>
      <c r="AG472" s="5">
        <f t="shared" si="277"/>
        <v>6481845.0000000009</v>
      </c>
      <c r="AH472" s="5"/>
    </row>
    <row r="473" spans="1:34" s="1" customFormat="1" ht="10.5" x14ac:dyDescent="0.25">
      <c r="A473" s="49">
        <v>103</v>
      </c>
      <c r="B473" s="50" t="s">
        <v>1691</v>
      </c>
      <c r="C473" s="73" t="s">
        <v>438</v>
      </c>
      <c r="D473" s="51" t="s">
        <v>555</v>
      </c>
      <c r="E473" s="52" t="s">
        <v>471</v>
      </c>
      <c r="F473" s="52"/>
      <c r="G473" s="52" t="s">
        <v>194</v>
      </c>
      <c r="H473" s="52" t="s">
        <v>62</v>
      </c>
      <c r="I473" s="52">
        <v>2022</v>
      </c>
      <c r="J473" s="52"/>
      <c r="K473" s="52" t="s">
        <v>63</v>
      </c>
      <c r="L473" s="52" t="s">
        <v>64</v>
      </c>
      <c r="M473" s="52">
        <v>1</v>
      </c>
      <c r="N473" s="53">
        <f t="shared" si="283"/>
        <v>7851666.6666666698</v>
      </c>
      <c r="O473" s="53">
        <v>7851666.6666666698</v>
      </c>
      <c r="P473" s="52"/>
      <c r="Q473" s="52"/>
      <c r="R473" s="52"/>
      <c r="S473" s="53">
        <f t="shared" si="278"/>
        <v>7851666.6666666698</v>
      </c>
      <c r="T473" s="52">
        <v>5</v>
      </c>
      <c r="U473" s="53">
        <f t="shared" si="285"/>
        <v>1570333.333333334</v>
      </c>
      <c r="V473" s="175"/>
      <c r="W473" s="53"/>
      <c r="X473" s="57">
        <f>1/12</f>
        <v>8.3333333333333329E-2</v>
      </c>
      <c r="Y473" s="53">
        <f t="shared" si="287"/>
        <v>130861.11111111115</v>
      </c>
      <c r="Z473" s="53">
        <f t="shared" si="280"/>
        <v>130861.11111111115</v>
      </c>
      <c r="AA473" s="57">
        <f>1/12</f>
        <v>8.3333333333333329E-2</v>
      </c>
      <c r="AB473" s="53">
        <f t="shared" ref="AB473:AB475" si="291">SUM(U473*AA473)</f>
        <v>130861.11111111115</v>
      </c>
      <c r="AC473" s="53">
        <f t="shared" si="282"/>
        <v>7720805.5555555588</v>
      </c>
      <c r="AD473" s="56" t="s">
        <v>245</v>
      </c>
      <c r="AE473" s="70"/>
      <c r="AF473" s="1">
        <v>130861.11111111115</v>
      </c>
      <c r="AG473" s="5">
        <f t="shared" si="277"/>
        <v>130861.11111111115</v>
      </c>
      <c r="AH473" s="5"/>
    </row>
    <row r="474" spans="1:34" s="170" customFormat="1" ht="10.5" x14ac:dyDescent="0.25">
      <c r="A474" s="21">
        <v>104</v>
      </c>
      <c r="B474" s="50" t="s">
        <v>1691</v>
      </c>
      <c r="C474" s="73" t="s">
        <v>440</v>
      </c>
      <c r="D474" s="51" t="s">
        <v>555</v>
      </c>
      <c r="E474" s="52" t="s">
        <v>471</v>
      </c>
      <c r="F474" s="52"/>
      <c r="G474" s="52" t="s">
        <v>194</v>
      </c>
      <c r="H474" s="52" t="s">
        <v>62</v>
      </c>
      <c r="I474" s="52">
        <v>2022</v>
      </c>
      <c r="J474" s="52"/>
      <c r="K474" s="52" t="s">
        <v>63</v>
      </c>
      <c r="L474" s="52" t="s">
        <v>64</v>
      </c>
      <c r="M474" s="52">
        <v>1</v>
      </c>
      <c r="N474" s="53">
        <f t="shared" si="283"/>
        <v>7851666.6666666698</v>
      </c>
      <c r="O474" s="53">
        <v>7851666.6666666698</v>
      </c>
      <c r="P474" s="52"/>
      <c r="Q474" s="52"/>
      <c r="R474" s="52"/>
      <c r="S474" s="53">
        <f t="shared" si="278"/>
        <v>7851666.6666666698</v>
      </c>
      <c r="T474" s="52">
        <v>5</v>
      </c>
      <c r="U474" s="53">
        <f t="shared" si="285"/>
        <v>1570333.333333334</v>
      </c>
      <c r="V474" s="175"/>
      <c r="W474" s="53"/>
      <c r="X474" s="57">
        <f t="shared" ref="X474:X475" si="292">1/12</f>
        <v>8.3333333333333329E-2</v>
      </c>
      <c r="Y474" s="53">
        <f t="shared" si="287"/>
        <v>130861.11111111115</v>
      </c>
      <c r="Z474" s="53">
        <f t="shared" si="280"/>
        <v>130861.11111111115</v>
      </c>
      <c r="AA474" s="57">
        <f t="shared" ref="AA474:AA475" si="293">1/12</f>
        <v>8.3333333333333329E-2</v>
      </c>
      <c r="AB474" s="53">
        <f t="shared" si="291"/>
        <v>130861.11111111115</v>
      </c>
      <c r="AC474" s="53">
        <f t="shared" si="282"/>
        <v>7720805.5555555588</v>
      </c>
      <c r="AD474" s="56" t="s">
        <v>367</v>
      </c>
      <c r="AE474" s="56"/>
      <c r="AF474" s="170">
        <v>130861.11111111115</v>
      </c>
      <c r="AG474" s="5">
        <f t="shared" si="277"/>
        <v>130861.11111111115</v>
      </c>
      <c r="AH474" s="172"/>
    </row>
    <row r="475" spans="1:34" s="170" customFormat="1" ht="10.5" x14ac:dyDescent="0.25">
      <c r="A475" s="49">
        <v>105</v>
      </c>
      <c r="B475" s="50" t="s">
        <v>1691</v>
      </c>
      <c r="C475" s="73" t="s">
        <v>441</v>
      </c>
      <c r="D475" s="51" t="s">
        <v>555</v>
      </c>
      <c r="E475" s="52" t="s">
        <v>471</v>
      </c>
      <c r="F475" s="52"/>
      <c r="G475" s="52" t="s">
        <v>194</v>
      </c>
      <c r="H475" s="52" t="s">
        <v>62</v>
      </c>
      <c r="I475" s="52">
        <v>2022</v>
      </c>
      <c r="J475" s="52"/>
      <c r="K475" s="52" t="s">
        <v>63</v>
      </c>
      <c r="L475" s="52" t="s">
        <v>64</v>
      </c>
      <c r="M475" s="52">
        <v>1</v>
      </c>
      <c r="N475" s="53">
        <f t="shared" si="283"/>
        <v>7851666.6666666698</v>
      </c>
      <c r="O475" s="53">
        <v>7851666.6666666698</v>
      </c>
      <c r="P475" s="52"/>
      <c r="Q475" s="52"/>
      <c r="R475" s="52"/>
      <c r="S475" s="53">
        <f t="shared" si="278"/>
        <v>7851666.6666666698</v>
      </c>
      <c r="T475" s="52">
        <v>5</v>
      </c>
      <c r="U475" s="53">
        <f t="shared" si="285"/>
        <v>1570333.333333334</v>
      </c>
      <c r="V475" s="175"/>
      <c r="W475" s="53"/>
      <c r="X475" s="57">
        <f t="shared" si="292"/>
        <v>8.3333333333333329E-2</v>
      </c>
      <c r="Y475" s="53">
        <f t="shared" si="287"/>
        <v>130861.11111111115</v>
      </c>
      <c r="Z475" s="53">
        <f t="shared" si="280"/>
        <v>130861.11111111115</v>
      </c>
      <c r="AA475" s="57">
        <f t="shared" si="293"/>
        <v>8.3333333333333329E-2</v>
      </c>
      <c r="AB475" s="53">
        <f t="shared" si="291"/>
        <v>130861.11111111115</v>
      </c>
      <c r="AC475" s="53">
        <f t="shared" si="282"/>
        <v>7720805.5555555588</v>
      </c>
      <c r="AD475" s="56" t="s">
        <v>308</v>
      </c>
      <c r="AE475" s="56"/>
      <c r="AF475" s="170">
        <v>130861.11111111115</v>
      </c>
      <c r="AG475" s="5">
        <f t="shared" si="277"/>
        <v>130861.11111111115</v>
      </c>
      <c r="AH475" s="172"/>
    </row>
    <row r="476" spans="1:34" s="1" customFormat="1" ht="10.5" x14ac:dyDescent="0.25">
      <c r="A476" s="21">
        <v>106</v>
      </c>
      <c r="B476" s="50" t="s">
        <v>1692</v>
      </c>
      <c r="C476" s="73" t="s">
        <v>784</v>
      </c>
      <c r="D476" s="51" t="s">
        <v>785</v>
      </c>
      <c r="E476" s="52" t="s">
        <v>786</v>
      </c>
      <c r="F476" s="52"/>
      <c r="G476" s="52" t="s">
        <v>194</v>
      </c>
      <c r="H476" s="52" t="s">
        <v>62</v>
      </c>
      <c r="I476" s="52">
        <v>2015</v>
      </c>
      <c r="J476" s="52"/>
      <c r="K476" s="52" t="s">
        <v>63</v>
      </c>
      <c r="L476" s="52" t="s">
        <v>64</v>
      </c>
      <c r="M476" s="52">
        <v>36</v>
      </c>
      <c r="N476" s="53">
        <f t="shared" si="283"/>
        <v>499400</v>
      </c>
      <c r="O476" s="53">
        <v>17978400</v>
      </c>
      <c r="P476" s="52"/>
      <c r="Q476" s="52"/>
      <c r="R476" s="52"/>
      <c r="S476" s="53">
        <f t="shared" ref="S476" si="294">SUM(O476-R476)</f>
        <v>17978400</v>
      </c>
      <c r="T476" s="52">
        <v>5</v>
      </c>
      <c r="U476" s="53">
        <f t="shared" ref="U476" si="295">SUM(S476/T476)</f>
        <v>3595680</v>
      </c>
      <c r="V476" s="175">
        <v>0.5</v>
      </c>
      <c r="W476" s="53"/>
      <c r="X476" s="52"/>
      <c r="Y476" s="53">
        <f>SUM(U476*X476)</f>
        <v>0</v>
      </c>
      <c r="Z476" s="53"/>
      <c r="AA476" s="57">
        <v>5</v>
      </c>
      <c r="AB476" s="53">
        <f t="shared" ref="AB476" si="296">SUM(U476*AA476)</f>
        <v>17978400</v>
      </c>
      <c r="AC476" s="53">
        <f t="shared" si="282"/>
        <v>0</v>
      </c>
      <c r="AD476" s="56" t="s">
        <v>787</v>
      </c>
      <c r="AE476" s="56"/>
      <c r="AF476" s="1">
        <v>17978400</v>
      </c>
      <c r="AG476" s="5">
        <f t="shared" si="277"/>
        <v>0</v>
      </c>
      <c r="AH476" s="5"/>
    </row>
    <row r="477" spans="1:34" s="1" customFormat="1" ht="10.5" x14ac:dyDescent="0.25">
      <c r="A477" s="49">
        <v>107</v>
      </c>
      <c r="B477" s="22" t="s">
        <v>1693</v>
      </c>
      <c r="C477" s="22" t="s">
        <v>652</v>
      </c>
      <c r="D477" s="51" t="s">
        <v>653</v>
      </c>
      <c r="E477" s="24" t="s">
        <v>654</v>
      </c>
      <c r="F477" s="24"/>
      <c r="G477" s="24" t="s">
        <v>194</v>
      </c>
      <c r="H477" s="24" t="s">
        <v>62</v>
      </c>
      <c r="I477" s="24">
        <v>2012</v>
      </c>
      <c r="J477" s="24"/>
      <c r="K477" s="24" t="s">
        <v>63</v>
      </c>
      <c r="L477" s="24" t="s">
        <v>64</v>
      </c>
      <c r="M477" s="24">
        <v>14</v>
      </c>
      <c r="N477" s="41">
        <f t="shared" ref="N477:N480" si="297">SUM(O477/M477)</f>
        <v>291000</v>
      </c>
      <c r="O477" s="41">
        <v>4074000</v>
      </c>
      <c r="P477" s="24"/>
      <c r="Q477" s="24"/>
      <c r="R477" s="24"/>
      <c r="S477" s="41">
        <f t="shared" ref="S477:S480" si="298">SUM(O477-R477)</f>
        <v>4074000</v>
      </c>
      <c r="T477" s="24">
        <v>5</v>
      </c>
      <c r="U477" s="41"/>
      <c r="V477" s="24">
        <v>0.5</v>
      </c>
      <c r="W477" s="41">
        <f t="shared" ref="W477:W479" si="299">SUM(U477*V477)</f>
        <v>0</v>
      </c>
      <c r="X477" s="52"/>
      <c r="Y477" s="53">
        <f t="shared" ref="Y477:Y480" si="300">SUM(U477*X477)</f>
        <v>0</v>
      </c>
      <c r="Z477" s="53">
        <f t="shared" ref="Z477:Z479" si="301">SUM(W477+Y477)</f>
        <v>0</v>
      </c>
      <c r="AA477" s="57">
        <v>5</v>
      </c>
      <c r="AB477" s="53">
        <v>4074000</v>
      </c>
      <c r="AC477" s="53">
        <f t="shared" ref="AC477:AC480" si="302">SUM(O477-AB477)</f>
        <v>0</v>
      </c>
      <c r="AD477" s="56" t="s">
        <v>350</v>
      </c>
      <c r="AE477" s="56"/>
      <c r="AF477" s="1">
        <v>4074000</v>
      </c>
      <c r="AG477" s="5">
        <f t="shared" si="277"/>
        <v>0</v>
      </c>
      <c r="AH477" s="5"/>
    </row>
    <row r="478" spans="1:34" s="1" customFormat="1" ht="10.5" x14ac:dyDescent="0.25">
      <c r="A478" s="21">
        <v>108</v>
      </c>
      <c r="B478" s="22" t="s">
        <v>1693</v>
      </c>
      <c r="C478" s="22" t="s">
        <v>655</v>
      </c>
      <c r="D478" s="51" t="s">
        <v>653</v>
      </c>
      <c r="E478" s="24" t="s">
        <v>654</v>
      </c>
      <c r="F478" s="24"/>
      <c r="G478" s="24" t="s">
        <v>194</v>
      </c>
      <c r="H478" s="24" t="s">
        <v>62</v>
      </c>
      <c r="I478" s="24">
        <v>2012</v>
      </c>
      <c r="J478" s="24"/>
      <c r="K478" s="24" t="s">
        <v>63</v>
      </c>
      <c r="L478" s="24" t="s">
        <v>64</v>
      </c>
      <c r="M478" s="24">
        <v>18</v>
      </c>
      <c r="N478" s="41">
        <f t="shared" si="297"/>
        <v>291000</v>
      </c>
      <c r="O478" s="41">
        <v>5238000</v>
      </c>
      <c r="P478" s="24"/>
      <c r="Q478" s="24"/>
      <c r="R478" s="24"/>
      <c r="S478" s="41">
        <f t="shared" si="298"/>
        <v>5238000</v>
      </c>
      <c r="T478" s="24">
        <v>5</v>
      </c>
      <c r="U478" s="41"/>
      <c r="V478" s="24">
        <v>0.5</v>
      </c>
      <c r="W478" s="41">
        <f t="shared" si="299"/>
        <v>0</v>
      </c>
      <c r="X478" s="24"/>
      <c r="Y478" s="41">
        <f t="shared" si="300"/>
        <v>0</v>
      </c>
      <c r="Z478" s="41">
        <f t="shared" si="301"/>
        <v>0</v>
      </c>
      <c r="AA478" s="69">
        <v>5</v>
      </c>
      <c r="AB478" s="41">
        <v>5238000</v>
      </c>
      <c r="AC478" s="41">
        <f t="shared" si="302"/>
        <v>0</v>
      </c>
      <c r="AD478" s="70" t="s">
        <v>354</v>
      </c>
      <c r="AE478" s="70"/>
      <c r="AF478" s="1">
        <v>5238000</v>
      </c>
      <c r="AG478" s="5">
        <f t="shared" si="277"/>
        <v>0</v>
      </c>
      <c r="AH478" s="5"/>
    </row>
    <row r="479" spans="1:34" s="1" customFormat="1" ht="10.5" x14ac:dyDescent="0.25">
      <c r="A479" s="49">
        <v>109</v>
      </c>
      <c r="B479" s="22" t="s">
        <v>1693</v>
      </c>
      <c r="C479" s="22" t="s">
        <v>656</v>
      </c>
      <c r="D479" s="51" t="s">
        <v>653</v>
      </c>
      <c r="E479" s="24" t="s">
        <v>654</v>
      </c>
      <c r="F479" s="24"/>
      <c r="G479" s="24" t="s">
        <v>194</v>
      </c>
      <c r="H479" s="24" t="s">
        <v>62</v>
      </c>
      <c r="I479" s="24">
        <v>2012</v>
      </c>
      <c r="J479" s="24"/>
      <c r="K479" s="24" t="s">
        <v>63</v>
      </c>
      <c r="L479" s="24" t="s">
        <v>64</v>
      </c>
      <c r="M479" s="24">
        <v>2</v>
      </c>
      <c r="N479" s="41">
        <f t="shared" si="297"/>
        <v>291000</v>
      </c>
      <c r="O479" s="41">
        <v>582000</v>
      </c>
      <c r="P479" s="24"/>
      <c r="Q479" s="24"/>
      <c r="R479" s="24"/>
      <c r="S479" s="41">
        <f t="shared" si="298"/>
        <v>582000</v>
      </c>
      <c r="T479" s="24">
        <v>5</v>
      </c>
      <c r="U479" s="41"/>
      <c r="V479" s="24">
        <v>0.5</v>
      </c>
      <c r="W479" s="41">
        <f t="shared" si="299"/>
        <v>0</v>
      </c>
      <c r="X479" s="24"/>
      <c r="Y479" s="41">
        <f t="shared" si="300"/>
        <v>0</v>
      </c>
      <c r="Z479" s="41">
        <f t="shared" si="301"/>
        <v>0</v>
      </c>
      <c r="AA479" s="69">
        <v>5</v>
      </c>
      <c r="AB479" s="41">
        <v>582000</v>
      </c>
      <c r="AC479" s="41">
        <f t="shared" si="302"/>
        <v>0</v>
      </c>
      <c r="AD479" s="70" t="s">
        <v>243</v>
      </c>
      <c r="AE479" s="70"/>
      <c r="AF479" s="1">
        <v>582000</v>
      </c>
      <c r="AG479" s="5">
        <f t="shared" si="277"/>
        <v>0</v>
      </c>
      <c r="AH479" s="5"/>
    </row>
    <row r="480" spans="1:34" s="1" customFormat="1" ht="10.5" x14ac:dyDescent="0.25">
      <c r="A480" s="21">
        <v>110</v>
      </c>
      <c r="B480" s="22" t="s">
        <v>1693</v>
      </c>
      <c r="C480" s="22" t="s">
        <v>429</v>
      </c>
      <c r="D480" s="51" t="s">
        <v>653</v>
      </c>
      <c r="E480" s="24" t="s">
        <v>471</v>
      </c>
      <c r="F480" s="24"/>
      <c r="G480" s="24" t="s">
        <v>194</v>
      </c>
      <c r="H480" s="24" t="s">
        <v>62</v>
      </c>
      <c r="I480" s="24">
        <v>2015</v>
      </c>
      <c r="J480" s="24"/>
      <c r="K480" s="24" t="s">
        <v>63</v>
      </c>
      <c r="L480" s="24" t="s">
        <v>64</v>
      </c>
      <c r="M480" s="24">
        <v>1</v>
      </c>
      <c r="N480" s="41">
        <f t="shared" si="297"/>
        <v>500000</v>
      </c>
      <c r="O480" s="41">
        <v>500000</v>
      </c>
      <c r="P480" s="24"/>
      <c r="Q480" s="24"/>
      <c r="R480" s="24"/>
      <c r="S480" s="41">
        <f t="shared" si="298"/>
        <v>500000</v>
      </c>
      <c r="T480" s="24">
        <v>5</v>
      </c>
      <c r="U480" s="41">
        <f>SUM(S480/T480)</f>
        <v>100000</v>
      </c>
      <c r="V480" s="24">
        <v>0.5</v>
      </c>
      <c r="W480" s="41"/>
      <c r="X480" s="24"/>
      <c r="Y480" s="41">
        <f t="shared" si="300"/>
        <v>0</v>
      </c>
      <c r="Z480" s="41"/>
      <c r="AA480" s="69">
        <v>5</v>
      </c>
      <c r="AB480" s="41">
        <f>SUM(U480*AA480)</f>
        <v>500000</v>
      </c>
      <c r="AC480" s="41">
        <f t="shared" si="302"/>
        <v>0</v>
      </c>
      <c r="AD480" s="70" t="s">
        <v>243</v>
      </c>
      <c r="AE480" s="70"/>
      <c r="AF480" s="1">
        <v>500000</v>
      </c>
      <c r="AG480" s="5">
        <f t="shared" si="277"/>
        <v>0</v>
      </c>
      <c r="AH480" s="5"/>
    </row>
    <row r="481" spans="1:34" s="1" customFormat="1" ht="10.5" x14ac:dyDescent="0.25">
      <c r="A481" s="21"/>
      <c r="B481" s="22"/>
      <c r="C481" s="22"/>
      <c r="D481" s="51"/>
      <c r="E481" s="24"/>
      <c r="F481" s="24"/>
      <c r="G481" s="24"/>
      <c r="H481" s="24"/>
      <c r="I481" s="24"/>
      <c r="J481" s="24"/>
      <c r="K481" s="24"/>
      <c r="L481" s="24"/>
      <c r="M481" s="24"/>
      <c r="N481" s="41"/>
      <c r="O481" s="41"/>
      <c r="P481" s="24"/>
      <c r="Q481" s="24"/>
      <c r="R481" s="24"/>
      <c r="S481" s="41"/>
      <c r="T481" s="24"/>
      <c r="U481" s="41"/>
      <c r="V481" s="24"/>
      <c r="W481" s="41"/>
      <c r="X481" s="24"/>
      <c r="Y481" s="41"/>
      <c r="Z481" s="41"/>
      <c r="AA481" s="69"/>
      <c r="AB481" s="41"/>
      <c r="AC481" s="41"/>
      <c r="AD481" s="70"/>
      <c r="AE481" s="70"/>
      <c r="AG481" s="5">
        <f t="shared" ref="AG481:AG544" si="303">AF481+Z481-AB481</f>
        <v>0</v>
      </c>
      <c r="AH481" s="5"/>
    </row>
    <row r="482" spans="1:34" s="154" customFormat="1" ht="10.5" x14ac:dyDescent="0.25">
      <c r="A482" s="25"/>
      <c r="B482" s="26" t="s">
        <v>1694</v>
      </c>
      <c r="C482" s="26"/>
      <c r="D482" s="194" t="s">
        <v>1695</v>
      </c>
      <c r="E482" s="28"/>
      <c r="F482" s="28"/>
      <c r="G482" s="28"/>
      <c r="H482" s="28"/>
      <c r="I482" s="28"/>
      <c r="J482" s="28"/>
      <c r="K482" s="28"/>
      <c r="L482" s="28"/>
      <c r="M482" s="28">
        <f>SUM(M483:M495)</f>
        <v>21</v>
      </c>
      <c r="N482" s="40"/>
      <c r="O482" s="40">
        <f>SUM(O483:O495)</f>
        <v>88055900</v>
      </c>
      <c r="P482" s="28"/>
      <c r="Q482" s="28"/>
      <c r="R482" s="28"/>
      <c r="S482" s="40">
        <f>SUM(S483:S495)</f>
        <v>88055900</v>
      </c>
      <c r="T482" s="28"/>
      <c r="U482" s="40">
        <f>SUM(U483:U495)</f>
        <v>15509680</v>
      </c>
      <c r="V482" s="28"/>
      <c r="W482" s="40">
        <f>SUM(W483:W495)</f>
        <v>5361840</v>
      </c>
      <c r="X482" s="28"/>
      <c r="Y482" s="40">
        <f>SUM(Y483:Y495)</f>
        <v>5361840</v>
      </c>
      <c r="Z482" s="40">
        <f>SUM(Z483:Z495)</f>
        <v>10723680</v>
      </c>
      <c r="AA482" s="176"/>
      <c r="AB482" s="40">
        <f>SUM(AB483:AB495)</f>
        <v>68911280</v>
      </c>
      <c r="AC482" s="40">
        <f>SUM(AC483:AC495)</f>
        <v>19144620</v>
      </c>
      <c r="AD482" s="167"/>
      <c r="AE482" s="167"/>
      <c r="AG482" s="5">
        <f t="shared" si="303"/>
        <v>-58187600</v>
      </c>
      <c r="AH482" s="155"/>
    </row>
    <row r="483" spans="1:34" s="154" customFormat="1" ht="10.5" x14ac:dyDescent="0.25">
      <c r="A483" s="49">
        <v>1</v>
      </c>
      <c r="B483" s="50" t="s">
        <v>1696</v>
      </c>
      <c r="C483" s="50" t="s">
        <v>209</v>
      </c>
      <c r="D483" s="51" t="s">
        <v>1058</v>
      </c>
      <c r="E483" s="52" t="s">
        <v>166</v>
      </c>
      <c r="F483" s="52"/>
      <c r="G483" s="52" t="s">
        <v>903</v>
      </c>
      <c r="H483" s="52" t="s">
        <v>62</v>
      </c>
      <c r="I483" s="52">
        <v>2020</v>
      </c>
      <c r="J483" s="52"/>
      <c r="K483" s="52" t="s">
        <v>63</v>
      </c>
      <c r="L483" s="52" t="s">
        <v>64</v>
      </c>
      <c r="M483" s="52">
        <v>2</v>
      </c>
      <c r="N483" s="53">
        <f t="shared" ref="N483:N484" si="304">SUM(O483/M483)</f>
        <v>2300000</v>
      </c>
      <c r="O483" s="53">
        <v>4600000</v>
      </c>
      <c r="P483" s="52"/>
      <c r="Q483" s="52"/>
      <c r="R483" s="52"/>
      <c r="S483" s="53">
        <f t="shared" ref="S483:S484" si="305">SUM(O483-R483)</f>
        <v>4600000</v>
      </c>
      <c r="T483" s="52">
        <v>5</v>
      </c>
      <c r="U483" s="53">
        <f t="shared" ref="U483:U484" si="306">SUM(S483/T483)</f>
        <v>920000</v>
      </c>
      <c r="V483" s="52">
        <v>0.5</v>
      </c>
      <c r="W483" s="53">
        <f t="shared" ref="W483:W495" si="307">SUM(U483*V483)</f>
        <v>460000</v>
      </c>
      <c r="X483" s="52">
        <v>0.5</v>
      </c>
      <c r="Y483" s="53">
        <f t="shared" ref="Y483:Y484" si="308">SUM(U483*X483)</f>
        <v>460000</v>
      </c>
      <c r="Z483" s="53">
        <f t="shared" ref="Z483:Z484" si="309">SUM(W483+Y483)</f>
        <v>920000</v>
      </c>
      <c r="AA483" s="169">
        <f>2022-I483+V483+X483-11/12</f>
        <v>2.0833333333333335</v>
      </c>
      <c r="AB483" s="53">
        <f t="shared" ref="AB483:AB484" si="310">SUM(U483*AA483)</f>
        <v>1916666.6666666667</v>
      </c>
      <c r="AC483" s="53">
        <f t="shared" ref="AC483:AC484" si="311">SUM(O483-AB483)</f>
        <v>2683333.333333333</v>
      </c>
      <c r="AD483" s="56" t="s">
        <v>1059</v>
      </c>
      <c r="AE483" s="56"/>
      <c r="AF483" s="1">
        <v>1916666.6666666667</v>
      </c>
      <c r="AG483" s="5">
        <f t="shared" si="303"/>
        <v>920000.00000000023</v>
      </c>
      <c r="AH483" s="155"/>
    </row>
    <row r="484" spans="1:34" s="154" customFormat="1" ht="10.5" x14ac:dyDescent="0.25">
      <c r="A484" s="49">
        <v>2</v>
      </c>
      <c r="B484" s="50" t="s">
        <v>1696</v>
      </c>
      <c r="C484" s="50" t="s">
        <v>291</v>
      </c>
      <c r="D484" s="51" t="s">
        <v>1060</v>
      </c>
      <c r="E484" s="52" t="s">
        <v>166</v>
      </c>
      <c r="F484" s="52"/>
      <c r="G484" s="52" t="s">
        <v>1061</v>
      </c>
      <c r="H484" s="52" t="s">
        <v>62</v>
      </c>
      <c r="I484" s="52">
        <v>2020</v>
      </c>
      <c r="J484" s="52"/>
      <c r="K484" s="52" t="s">
        <v>63</v>
      </c>
      <c r="L484" s="52" t="s">
        <v>64</v>
      </c>
      <c r="M484" s="52">
        <v>4</v>
      </c>
      <c r="N484" s="53">
        <f t="shared" si="304"/>
        <v>1300000</v>
      </c>
      <c r="O484" s="53">
        <v>5200000</v>
      </c>
      <c r="P484" s="52"/>
      <c r="Q484" s="52"/>
      <c r="R484" s="52"/>
      <c r="S484" s="53">
        <f t="shared" si="305"/>
        <v>5200000</v>
      </c>
      <c r="T484" s="52">
        <v>5</v>
      </c>
      <c r="U484" s="53">
        <f t="shared" si="306"/>
        <v>1040000</v>
      </c>
      <c r="V484" s="52">
        <v>0.5</v>
      </c>
      <c r="W484" s="53">
        <f t="shared" si="307"/>
        <v>520000</v>
      </c>
      <c r="X484" s="52">
        <v>0.5</v>
      </c>
      <c r="Y484" s="53">
        <f t="shared" si="308"/>
        <v>520000</v>
      </c>
      <c r="Z484" s="53">
        <f t="shared" si="309"/>
        <v>1040000</v>
      </c>
      <c r="AA484" s="169">
        <f>2022-I484+V484+X484-11/12</f>
        <v>2.0833333333333335</v>
      </c>
      <c r="AB484" s="53">
        <f t="shared" si="310"/>
        <v>2166666.666666667</v>
      </c>
      <c r="AC484" s="53">
        <f t="shared" si="311"/>
        <v>3033333.333333333</v>
      </c>
      <c r="AD484" s="56" t="s">
        <v>778</v>
      </c>
      <c r="AE484" s="56"/>
      <c r="AF484" s="1">
        <v>2166666.666666667</v>
      </c>
      <c r="AG484" s="5">
        <f t="shared" si="303"/>
        <v>1040000</v>
      </c>
      <c r="AH484" s="155"/>
    </row>
    <row r="485" spans="1:34" s="1" customFormat="1" ht="10.5" x14ac:dyDescent="0.25">
      <c r="A485" s="49">
        <v>3</v>
      </c>
      <c r="B485" s="50" t="s">
        <v>1697</v>
      </c>
      <c r="C485" s="50" t="s">
        <v>58</v>
      </c>
      <c r="D485" s="51" t="s">
        <v>841</v>
      </c>
      <c r="E485" s="52" t="s">
        <v>842</v>
      </c>
      <c r="F485" s="52"/>
      <c r="G485" s="52" t="s">
        <v>61</v>
      </c>
      <c r="H485" s="52" t="s">
        <v>62</v>
      </c>
      <c r="I485" s="52">
        <v>2012</v>
      </c>
      <c r="J485" s="52"/>
      <c r="K485" s="52" t="s">
        <v>63</v>
      </c>
      <c r="L485" s="52" t="s">
        <v>64</v>
      </c>
      <c r="M485" s="52">
        <v>1</v>
      </c>
      <c r="N485" s="53">
        <f t="shared" ref="N485:N495" si="312">SUM(O485/M485)</f>
        <v>700000</v>
      </c>
      <c r="O485" s="53">
        <v>700000</v>
      </c>
      <c r="P485" s="52"/>
      <c r="Q485" s="52"/>
      <c r="R485" s="52"/>
      <c r="S485" s="53">
        <f t="shared" ref="S485:S495" si="313">SUM(O485-R485)</f>
        <v>700000</v>
      </c>
      <c r="T485" s="52">
        <v>5</v>
      </c>
      <c r="U485" s="53"/>
      <c r="V485" s="52">
        <v>0.5</v>
      </c>
      <c r="W485" s="53">
        <f t="shared" si="307"/>
        <v>0</v>
      </c>
      <c r="X485" s="52"/>
      <c r="Y485" s="53">
        <f t="shared" ref="Y485:Y495" si="314">SUM(U485*X485)</f>
        <v>0</v>
      </c>
      <c r="Z485" s="53">
        <f t="shared" ref="Z485:Z495" si="315">SUM(W485+Y485)</f>
        <v>0</v>
      </c>
      <c r="AA485" s="169">
        <v>5</v>
      </c>
      <c r="AB485" s="53">
        <v>700000</v>
      </c>
      <c r="AC485" s="53">
        <f t="shared" ref="AC485:AC495" si="316">SUM(O485-AB485)</f>
        <v>0</v>
      </c>
      <c r="AD485" s="56" t="s">
        <v>350</v>
      </c>
      <c r="AE485" s="56"/>
      <c r="AF485" s="1">
        <v>700000</v>
      </c>
      <c r="AG485" s="5">
        <f t="shared" si="303"/>
        <v>0</v>
      </c>
      <c r="AH485" s="5"/>
    </row>
    <row r="486" spans="1:34" s="1" customFormat="1" ht="10.5" x14ac:dyDescent="0.25">
      <c r="A486" s="49">
        <v>4</v>
      </c>
      <c r="B486" s="50" t="s">
        <v>1697</v>
      </c>
      <c r="C486" s="50" t="s">
        <v>75</v>
      </c>
      <c r="D486" s="51" t="s">
        <v>841</v>
      </c>
      <c r="E486" s="52" t="s">
        <v>842</v>
      </c>
      <c r="F486" s="52"/>
      <c r="G486" s="52" t="s">
        <v>61</v>
      </c>
      <c r="H486" s="52" t="s">
        <v>62</v>
      </c>
      <c r="I486" s="52">
        <v>2012</v>
      </c>
      <c r="J486" s="52"/>
      <c r="K486" s="52" t="s">
        <v>63</v>
      </c>
      <c r="L486" s="52" t="s">
        <v>64</v>
      </c>
      <c r="M486" s="52">
        <v>1</v>
      </c>
      <c r="N486" s="53">
        <f t="shared" si="312"/>
        <v>700000</v>
      </c>
      <c r="O486" s="53">
        <v>700000</v>
      </c>
      <c r="P486" s="52"/>
      <c r="Q486" s="52"/>
      <c r="R486" s="52"/>
      <c r="S486" s="53">
        <f t="shared" si="313"/>
        <v>700000</v>
      </c>
      <c r="T486" s="52">
        <v>5</v>
      </c>
      <c r="U486" s="53"/>
      <c r="V486" s="52">
        <v>0.5</v>
      </c>
      <c r="W486" s="53">
        <f t="shared" si="307"/>
        <v>0</v>
      </c>
      <c r="X486" s="52"/>
      <c r="Y486" s="53">
        <f t="shared" si="314"/>
        <v>0</v>
      </c>
      <c r="Z486" s="53">
        <f t="shared" si="315"/>
        <v>0</v>
      </c>
      <c r="AA486" s="169">
        <v>5</v>
      </c>
      <c r="AB486" s="53">
        <v>700000</v>
      </c>
      <c r="AC486" s="53">
        <f t="shared" si="316"/>
        <v>0</v>
      </c>
      <c r="AD486" s="56" t="s">
        <v>354</v>
      </c>
      <c r="AE486" s="56"/>
      <c r="AF486" s="1">
        <v>700000</v>
      </c>
      <c r="AG486" s="5">
        <f t="shared" si="303"/>
        <v>0</v>
      </c>
      <c r="AH486" s="5"/>
    </row>
    <row r="487" spans="1:34" s="1" customFormat="1" ht="10.5" x14ac:dyDescent="0.25">
      <c r="A487" s="49">
        <v>5</v>
      </c>
      <c r="B487" s="50" t="s">
        <v>1697</v>
      </c>
      <c r="C487" s="50" t="s">
        <v>79</v>
      </c>
      <c r="D487" s="51" t="s">
        <v>841</v>
      </c>
      <c r="E487" s="52" t="s">
        <v>843</v>
      </c>
      <c r="F487" s="52"/>
      <c r="G487" s="52" t="s">
        <v>61</v>
      </c>
      <c r="H487" s="52" t="s">
        <v>62</v>
      </c>
      <c r="I487" s="52">
        <v>2012</v>
      </c>
      <c r="J487" s="52"/>
      <c r="K487" s="52" t="s">
        <v>63</v>
      </c>
      <c r="L487" s="52" t="s">
        <v>64</v>
      </c>
      <c r="M487" s="52">
        <v>1</v>
      </c>
      <c r="N487" s="53">
        <f t="shared" si="312"/>
        <v>1845000</v>
      </c>
      <c r="O487" s="53">
        <v>1845000</v>
      </c>
      <c r="P487" s="52"/>
      <c r="Q487" s="52"/>
      <c r="R487" s="52"/>
      <c r="S487" s="53">
        <f t="shared" si="313"/>
        <v>1845000</v>
      </c>
      <c r="T487" s="52">
        <v>5</v>
      </c>
      <c r="U487" s="53"/>
      <c r="V487" s="52">
        <v>0.5</v>
      </c>
      <c r="W487" s="53">
        <f t="shared" si="307"/>
        <v>0</v>
      </c>
      <c r="X487" s="52"/>
      <c r="Y487" s="53">
        <f t="shared" si="314"/>
        <v>0</v>
      </c>
      <c r="Z487" s="53">
        <f t="shared" si="315"/>
        <v>0</v>
      </c>
      <c r="AA487" s="169">
        <v>5</v>
      </c>
      <c r="AB487" s="53">
        <v>1845000</v>
      </c>
      <c r="AC487" s="53">
        <f t="shared" si="316"/>
        <v>0</v>
      </c>
      <c r="AD487" s="56" t="s">
        <v>350</v>
      </c>
      <c r="AE487" s="56"/>
      <c r="AF487" s="1">
        <v>1845000</v>
      </c>
      <c r="AG487" s="5">
        <f t="shared" si="303"/>
        <v>0</v>
      </c>
      <c r="AH487" s="5"/>
    </row>
    <row r="488" spans="1:34" s="1" customFormat="1" ht="10.5" x14ac:dyDescent="0.25">
      <c r="A488" s="49">
        <v>6</v>
      </c>
      <c r="B488" s="50" t="s">
        <v>1697</v>
      </c>
      <c r="C488" s="50" t="s">
        <v>84</v>
      </c>
      <c r="D488" s="51" t="s">
        <v>841</v>
      </c>
      <c r="E488" s="52" t="s">
        <v>843</v>
      </c>
      <c r="F488" s="52"/>
      <c r="G488" s="52" t="s">
        <v>61</v>
      </c>
      <c r="H488" s="52" t="s">
        <v>62</v>
      </c>
      <c r="I488" s="52">
        <v>2012</v>
      </c>
      <c r="J488" s="52"/>
      <c r="K488" s="52" t="s">
        <v>63</v>
      </c>
      <c r="L488" s="52" t="s">
        <v>64</v>
      </c>
      <c r="M488" s="52">
        <v>1</v>
      </c>
      <c r="N488" s="53">
        <f t="shared" si="312"/>
        <v>1845000</v>
      </c>
      <c r="O488" s="53">
        <v>1845000</v>
      </c>
      <c r="P488" s="52"/>
      <c r="Q488" s="52"/>
      <c r="R488" s="52"/>
      <c r="S488" s="53">
        <f t="shared" si="313"/>
        <v>1845000</v>
      </c>
      <c r="T488" s="52">
        <v>5</v>
      </c>
      <c r="U488" s="53"/>
      <c r="V488" s="52">
        <v>0.5</v>
      </c>
      <c r="W488" s="53">
        <f t="shared" si="307"/>
        <v>0</v>
      </c>
      <c r="X488" s="52"/>
      <c r="Y488" s="53">
        <f t="shared" si="314"/>
        <v>0</v>
      </c>
      <c r="Z488" s="53">
        <f t="shared" si="315"/>
        <v>0</v>
      </c>
      <c r="AA488" s="169">
        <v>5</v>
      </c>
      <c r="AB488" s="53">
        <v>1845000</v>
      </c>
      <c r="AC488" s="53">
        <f t="shared" si="316"/>
        <v>0</v>
      </c>
      <c r="AD488" s="56" t="s">
        <v>354</v>
      </c>
      <c r="AE488" s="56"/>
      <c r="AF488" s="1">
        <v>1845000</v>
      </c>
      <c r="AG488" s="5">
        <f t="shared" si="303"/>
        <v>0</v>
      </c>
      <c r="AH488" s="5"/>
    </row>
    <row r="489" spans="1:34" s="1" customFormat="1" ht="10.5" x14ac:dyDescent="0.25">
      <c r="A489" s="49">
        <v>7</v>
      </c>
      <c r="B489" s="50" t="s">
        <v>1697</v>
      </c>
      <c r="C489" s="50" t="s">
        <v>88</v>
      </c>
      <c r="D489" s="51" t="s">
        <v>841</v>
      </c>
      <c r="E489" s="52" t="s">
        <v>844</v>
      </c>
      <c r="F489" s="52"/>
      <c r="G489" s="52" t="s">
        <v>61</v>
      </c>
      <c r="H489" s="52" t="s">
        <v>62</v>
      </c>
      <c r="I489" s="52">
        <v>2014</v>
      </c>
      <c r="J489" s="52"/>
      <c r="K489" s="52" t="s">
        <v>63</v>
      </c>
      <c r="L489" s="52" t="s">
        <v>64</v>
      </c>
      <c r="M489" s="52">
        <v>1</v>
      </c>
      <c r="N489" s="53">
        <f t="shared" si="312"/>
        <v>3630000</v>
      </c>
      <c r="O489" s="53">
        <v>3630000</v>
      </c>
      <c r="P489" s="52"/>
      <c r="Q489" s="52"/>
      <c r="R489" s="52"/>
      <c r="S489" s="53">
        <f t="shared" si="313"/>
        <v>3630000</v>
      </c>
      <c r="T489" s="52">
        <v>5</v>
      </c>
      <c r="U489" s="53"/>
      <c r="V489" s="52">
        <v>0.5</v>
      </c>
      <c r="W489" s="53">
        <f t="shared" si="307"/>
        <v>0</v>
      </c>
      <c r="X489" s="52"/>
      <c r="Y489" s="53">
        <f t="shared" si="314"/>
        <v>0</v>
      </c>
      <c r="Z489" s="53">
        <f t="shared" si="315"/>
        <v>0</v>
      </c>
      <c r="AA489" s="169">
        <v>5</v>
      </c>
      <c r="AB489" s="53">
        <v>3630000</v>
      </c>
      <c r="AC489" s="53">
        <f t="shared" si="316"/>
        <v>0</v>
      </c>
      <c r="AD489" s="56" t="s">
        <v>845</v>
      </c>
      <c r="AE489" s="56"/>
      <c r="AF489" s="1">
        <v>3630000</v>
      </c>
      <c r="AG489" s="5">
        <f t="shared" si="303"/>
        <v>0</v>
      </c>
      <c r="AH489" s="5"/>
    </row>
    <row r="490" spans="1:34" s="1" customFormat="1" ht="10.5" x14ac:dyDescent="0.25">
      <c r="A490" s="49">
        <v>8</v>
      </c>
      <c r="B490" s="50" t="s">
        <v>1697</v>
      </c>
      <c r="C490" s="50" t="s">
        <v>92</v>
      </c>
      <c r="D490" s="51" t="s">
        <v>841</v>
      </c>
      <c r="E490" s="52" t="s">
        <v>846</v>
      </c>
      <c r="F490" s="52"/>
      <c r="G490" s="52" t="s">
        <v>61</v>
      </c>
      <c r="H490" s="52" t="s">
        <v>62</v>
      </c>
      <c r="I490" s="52">
        <v>2014</v>
      </c>
      <c r="J490" s="52"/>
      <c r="K490" s="52" t="s">
        <v>63</v>
      </c>
      <c r="L490" s="52" t="s">
        <v>64</v>
      </c>
      <c r="M490" s="52">
        <v>2</v>
      </c>
      <c r="N490" s="53">
        <f t="shared" si="312"/>
        <v>893750</v>
      </c>
      <c r="O490" s="53">
        <v>1787500</v>
      </c>
      <c r="P490" s="52"/>
      <c r="Q490" s="52"/>
      <c r="R490" s="52"/>
      <c r="S490" s="53">
        <f t="shared" si="313"/>
        <v>1787500</v>
      </c>
      <c r="T490" s="52">
        <v>5</v>
      </c>
      <c r="U490" s="53"/>
      <c r="V490" s="52">
        <v>0.5</v>
      </c>
      <c r="W490" s="53">
        <f t="shared" si="307"/>
        <v>0</v>
      </c>
      <c r="X490" s="52"/>
      <c r="Y490" s="53">
        <f t="shared" si="314"/>
        <v>0</v>
      </c>
      <c r="Z490" s="53">
        <f t="shared" si="315"/>
        <v>0</v>
      </c>
      <c r="AA490" s="169">
        <v>5</v>
      </c>
      <c r="AB490" s="53">
        <v>1787500</v>
      </c>
      <c r="AC490" s="53">
        <f t="shared" si="316"/>
        <v>0</v>
      </c>
      <c r="AD490" s="56" t="s">
        <v>845</v>
      </c>
      <c r="AE490" s="56"/>
      <c r="AF490" s="1">
        <v>1787500</v>
      </c>
      <c r="AG490" s="5">
        <f t="shared" si="303"/>
        <v>0</v>
      </c>
      <c r="AH490" s="5"/>
    </row>
    <row r="491" spans="1:34" s="1" customFormat="1" ht="10.5" x14ac:dyDescent="0.25">
      <c r="A491" s="49">
        <v>9</v>
      </c>
      <c r="B491" s="50" t="s">
        <v>1697</v>
      </c>
      <c r="C491" s="50" t="s">
        <v>847</v>
      </c>
      <c r="D491" s="51" t="s">
        <v>848</v>
      </c>
      <c r="E491" s="52" t="s">
        <v>849</v>
      </c>
      <c r="F491" s="52"/>
      <c r="G491" s="52" t="s">
        <v>61</v>
      </c>
      <c r="H491" s="52" t="s">
        <v>62</v>
      </c>
      <c r="I491" s="52">
        <v>2016</v>
      </c>
      <c r="J491" s="52"/>
      <c r="K491" s="52" t="s">
        <v>63</v>
      </c>
      <c r="L491" s="52" t="s">
        <v>64</v>
      </c>
      <c r="M491" s="52">
        <v>2</v>
      </c>
      <c r="N491" s="53">
        <f t="shared" si="312"/>
        <v>6975000</v>
      </c>
      <c r="O491" s="53">
        <v>13950000</v>
      </c>
      <c r="P491" s="52"/>
      <c r="Q491" s="52"/>
      <c r="R491" s="52"/>
      <c r="S491" s="53">
        <f t="shared" si="313"/>
        <v>13950000</v>
      </c>
      <c r="T491" s="52">
        <v>5</v>
      </c>
      <c r="U491" s="53">
        <f>SUM(S491/T491)</f>
        <v>2790000</v>
      </c>
      <c r="V491" s="52"/>
      <c r="W491" s="53"/>
      <c r="X491" s="52"/>
      <c r="Y491" s="53">
        <f t="shared" si="314"/>
        <v>0</v>
      </c>
      <c r="Z491" s="53">
        <f t="shared" si="315"/>
        <v>0</v>
      </c>
      <c r="AA491" s="169">
        <v>5</v>
      </c>
      <c r="AB491" s="53">
        <f>SUM(U491*AA491)</f>
        <v>13950000</v>
      </c>
      <c r="AC491" s="53">
        <f t="shared" si="316"/>
        <v>0</v>
      </c>
      <c r="AD491" s="56" t="s">
        <v>434</v>
      </c>
      <c r="AE491" s="56"/>
      <c r="AF491" s="1">
        <v>13950000</v>
      </c>
      <c r="AG491" s="5">
        <f t="shared" si="303"/>
        <v>0</v>
      </c>
      <c r="AH491" s="5"/>
    </row>
    <row r="492" spans="1:34" s="1" customFormat="1" ht="10.5" x14ac:dyDescent="0.25">
      <c r="A492" s="49">
        <v>10</v>
      </c>
      <c r="B492" s="50" t="s">
        <v>1697</v>
      </c>
      <c r="C492" s="50" t="s">
        <v>105</v>
      </c>
      <c r="D492" s="51" t="s">
        <v>841</v>
      </c>
      <c r="E492" s="52"/>
      <c r="F492" s="52"/>
      <c r="G492" s="52" t="s">
        <v>61</v>
      </c>
      <c r="H492" s="52" t="s">
        <v>62</v>
      </c>
      <c r="I492" s="52">
        <v>2016</v>
      </c>
      <c r="J492" s="52"/>
      <c r="K492" s="52" t="s">
        <v>63</v>
      </c>
      <c r="L492" s="52" t="s">
        <v>64</v>
      </c>
      <c r="M492" s="52">
        <v>1</v>
      </c>
      <c r="N492" s="53">
        <f t="shared" si="312"/>
        <v>9980000</v>
      </c>
      <c r="O492" s="53">
        <v>9980000</v>
      </c>
      <c r="P492" s="52"/>
      <c r="Q492" s="52"/>
      <c r="R492" s="52"/>
      <c r="S492" s="53">
        <f t="shared" si="313"/>
        <v>9980000</v>
      </c>
      <c r="T492" s="52">
        <v>5</v>
      </c>
      <c r="U492" s="53">
        <f>SUM(S492/T492)</f>
        <v>1996000</v>
      </c>
      <c r="V492" s="52"/>
      <c r="W492" s="53"/>
      <c r="X492" s="52"/>
      <c r="Y492" s="53"/>
      <c r="Z492" s="53"/>
      <c r="AA492" s="169">
        <v>5</v>
      </c>
      <c r="AB492" s="53">
        <f>SUM(U492*AA492)</f>
        <v>9980000</v>
      </c>
      <c r="AC492" s="53">
        <f t="shared" si="316"/>
        <v>0</v>
      </c>
      <c r="AD492" s="56" t="s">
        <v>850</v>
      </c>
      <c r="AE492" s="56"/>
      <c r="AF492" s="1">
        <v>9980000</v>
      </c>
      <c r="AG492" s="5">
        <f t="shared" si="303"/>
        <v>0</v>
      </c>
      <c r="AH492" s="5"/>
    </row>
    <row r="493" spans="1:34" s="1" customFormat="1" ht="10.5" x14ac:dyDescent="0.25">
      <c r="A493" s="49">
        <v>11</v>
      </c>
      <c r="B493" s="50" t="s">
        <v>1697</v>
      </c>
      <c r="C493" s="50" t="s">
        <v>339</v>
      </c>
      <c r="D493" s="51" t="s">
        <v>848</v>
      </c>
      <c r="E493" s="52" t="s">
        <v>851</v>
      </c>
      <c r="F493" s="52"/>
      <c r="G493" s="52" t="s">
        <v>61</v>
      </c>
      <c r="H493" s="52" t="s">
        <v>62</v>
      </c>
      <c r="I493" s="52">
        <v>2018</v>
      </c>
      <c r="J493" s="52"/>
      <c r="K493" s="52" t="s">
        <v>63</v>
      </c>
      <c r="L493" s="52" t="s">
        <v>64</v>
      </c>
      <c r="M493" s="52">
        <v>2</v>
      </c>
      <c r="N493" s="53">
        <f t="shared" si="312"/>
        <v>8494200</v>
      </c>
      <c r="O493" s="53">
        <v>16988400</v>
      </c>
      <c r="P493" s="52"/>
      <c r="Q493" s="52"/>
      <c r="R493" s="52"/>
      <c r="S493" s="53">
        <f t="shared" si="313"/>
        <v>16988400</v>
      </c>
      <c r="T493" s="52">
        <v>5</v>
      </c>
      <c r="U493" s="53">
        <f>SUM(S493/T493)</f>
        <v>3397680</v>
      </c>
      <c r="V493" s="52">
        <v>0.5</v>
      </c>
      <c r="W493" s="53">
        <f t="shared" si="307"/>
        <v>1698840</v>
      </c>
      <c r="X493" s="52">
        <v>0.5</v>
      </c>
      <c r="Y493" s="53">
        <f t="shared" si="314"/>
        <v>1698840</v>
      </c>
      <c r="Z493" s="53">
        <f t="shared" si="315"/>
        <v>3397680</v>
      </c>
      <c r="AA493" s="169">
        <f>2022-I493+V493+X493-8/12</f>
        <v>4.333333333333333</v>
      </c>
      <c r="AB493" s="53">
        <f>SUM(U493*AA493)</f>
        <v>14723279.999999998</v>
      </c>
      <c r="AC493" s="53">
        <f t="shared" si="316"/>
        <v>2265120.0000000019</v>
      </c>
      <c r="AD493" s="56"/>
      <c r="AE493" s="56"/>
      <c r="AF493" s="1">
        <v>14723279.999999998</v>
      </c>
      <c r="AG493" s="5">
        <f t="shared" si="303"/>
        <v>3397680.0000000019</v>
      </c>
      <c r="AH493" s="5"/>
    </row>
    <row r="494" spans="1:34" s="1" customFormat="1" ht="10.5" x14ac:dyDescent="0.25">
      <c r="A494" s="49">
        <v>12</v>
      </c>
      <c r="B494" s="50" t="s">
        <v>1697</v>
      </c>
      <c r="C494" s="50" t="s">
        <v>138</v>
      </c>
      <c r="D494" s="51" t="s">
        <v>852</v>
      </c>
      <c r="E494" s="52" t="s">
        <v>853</v>
      </c>
      <c r="F494" s="52"/>
      <c r="G494" s="52" t="s">
        <v>61</v>
      </c>
      <c r="H494" s="52" t="s">
        <v>62</v>
      </c>
      <c r="I494" s="52">
        <v>2019</v>
      </c>
      <c r="J494" s="52"/>
      <c r="K494" s="52" t="s">
        <v>63</v>
      </c>
      <c r="L494" s="52" t="s">
        <v>64</v>
      </c>
      <c r="M494" s="52">
        <v>2</v>
      </c>
      <c r="N494" s="53">
        <v>16830000</v>
      </c>
      <c r="O494" s="53">
        <v>16830000</v>
      </c>
      <c r="P494" s="52"/>
      <c r="Q494" s="52"/>
      <c r="R494" s="52"/>
      <c r="S494" s="53">
        <f t="shared" si="313"/>
        <v>16830000</v>
      </c>
      <c r="T494" s="52">
        <v>5</v>
      </c>
      <c r="U494" s="53">
        <f>SUM(S494/T494)</f>
        <v>3366000</v>
      </c>
      <c r="V494" s="52">
        <v>0.5</v>
      </c>
      <c r="W494" s="53">
        <f t="shared" si="307"/>
        <v>1683000</v>
      </c>
      <c r="X494" s="52">
        <v>0.5</v>
      </c>
      <c r="Y494" s="53">
        <f t="shared" si="314"/>
        <v>1683000</v>
      </c>
      <c r="Z494" s="53">
        <f t="shared" si="315"/>
        <v>3366000</v>
      </c>
      <c r="AA494" s="169">
        <f>2022-I494+V494+X494-7/12</f>
        <v>3.4166666666666665</v>
      </c>
      <c r="AB494" s="53">
        <f>SUM(U494*AA494)</f>
        <v>11500500</v>
      </c>
      <c r="AC494" s="53">
        <f t="shared" si="316"/>
        <v>5329500</v>
      </c>
      <c r="AD494" s="56"/>
      <c r="AE494" s="56"/>
      <c r="AF494" s="1">
        <v>11500500</v>
      </c>
      <c r="AG494" s="5">
        <f t="shared" si="303"/>
        <v>3366000</v>
      </c>
      <c r="AH494" s="5"/>
    </row>
    <row r="495" spans="1:34" s="1" customFormat="1" ht="10.5" x14ac:dyDescent="0.25">
      <c r="A495" s="49">
        <v>13</v>
      </c>
      <c r="B495" s="50" t="s">
        <v>1697</v>
      </c>
      <c r="C495" s="50" t="s">
        <v>140</v>
      </c>
      <c r="D495" s="51" t="s">
        <v>848</v>
      </c>
      <c r="E495" s="52"/>
      <c r="F495" s="52"/>
      <c r="G495" s="52" t="s">
        <v>61</v>
      </c>
      <c r="H495" s="52" t="s">
        <v>62</v>
      </c>
      <c r="I495" s="52">
        <v>2020</v>
      </c>
      <c r="J495" s="52"/>
      <c r="K495" s="52" t="s">
        <v>63</v>
      </c>
      <c r="L495" s="52" t="s">
        <v>64</v>
      </c>
      <c r="M495" s="52">
        <v>1</v>
      </c>
      <c r="N495" s="53">
        <f t="shared" si="312"/>
        <v>10000000</v>
      </c>
      <c r="O495" s="53">
        <v>10000000</v>
      </c>
      <c r="P495" s="52"/>
      <c r="Q495" s="52"/>
      <c r="R495" s="52"/>
      <c r="S495" s="53">
        <f t="shared" si="313"/>
        <v>10000000</v>
      </c>
      <c r="T495" s="52">
        <v>5</v>
      </c>
      <c r="U495" s="53">
        <f>SUM(S495/T495)</f>
        <v>2000000</v>
      </c>
      <c r="V495" s="52">
        <v>0.5</v>
      </c>
      <c r="W495" s="53">
        <f t="shared" si="307"/>
        <v>1000000</v>
      </c>
      <c r="X495" s="52">
        <v>0.5</v>
      </c>
      <c r="Y495" s="53">
        <f t="shared" si="314"/>
        <v>1000000</v>
      </c>
      <c r="Z495" s="53">
        <f t="shared" si="315"/>
        <v>2000000</v>
      </c>
      <c r="AA495" s="169">
        <f>2022-I495+V495+X495-11/12</f>
        <v>2.0833333333333335</v>
      </c>
      <c r="AB495" s="53">
        <f>SUM(U495*AA495)</f>
        <v>4166666.666666667</v>
      </c>
      <c r="AC495" s="53">
        <f t="shared" si="316"/>
        <v>5833333.333333333</v>
      </c>
      <c r="AD495" s="56" t="s">
        <v>854</v>
      </c>
      <c r="AE495" s="56"/>
      <c r="AF495" s="1">
        <v>4166666.666666667</v>
      </c>
      <c r="AG495" s="5">
        <f t="shared" si="303"/>
        <v>2000000</v>
      </c>
      <c r="AH495" s="5"/>
    </row>
    <row r="496" spans="1:34" s="1" customFormat="1" ht="10.5" x14ac:dyDescent="0.25">
      <c r="A496" s="49"/>
      <c r="B496" s="50"/>
      <c r="C496" s="50"/>
      <c r="D496" s="51"/>
      <c r="E496" s="52"/>
      <c r="F496" s="52"/>
      <c r="G496" s="52"/>
      <c r="H496" s="52"/>
      <c r="I496" s="52"/>
      <c r="J496" s="52"/>
      <c r="K496" s="52"/>
      <c r="L496" s="52"/>
      <c r="M496" s="52"/>
      <c r="N496" s="53"/>
      <c r="O496" s="53"/>
      <c r="P496" s="52"/>
      <c r="Q496" s="52"/>
      <c r="R496" s="52"/>
      <c r="S496" s="53"/>
      <c r="T496" s="52"/>
      <c r="U496" s="53"/>
      <c r="V496" s="52"/>
      <c r="W496" s="53"/>
      <c r="X496" s="52"/>
      <c r="Y496" s="53"/>
      <c r="Z496" s="53"/>
      <c r="AA496" s="169"/>
      <c r="AB496" s="53"/>
      <c r="AC496" s="53"/>
      <c r="AD496" s="56"/>
      <c r="AE496" s="56"/>
      <c r="AG496" s="5">
        <f t="shared" si="303"/>
        <v>0</v>
      </c>
      <c r="AH496" s="5"/>
    </row>
    <row r="497" spans="1:34" s="1" customFormat="1" ht="10.5" x14ac:dyDescent="0.25">
      <c r="A497" s="25"/>
      <c r="B497" s="26" t="s">
        <v>1698</v>
      </c>
      <c r="C497" s="174"/>
      <c r="D497" s="26" t="s">
        <v>1699</v>
      </c>
      <c r="E497" s="28"/>
      <c r="F497" s="28"/>
      <c r="G497" s="28"/>
      <c r="H497" s="28"/>
      <c r="I497" s="28"/>
      <c r="J497" s="28"/>
      <c r="K497" s="28"/>
      <c r="L497" s="28"/>
      <c r="M497" s="67">
        <f>SUM(M498:M674)</f>
        <v>1676</v>
      </c>
      <c r="N497" s="40"/>
      <c r="O497" s="40">
        <f>SUM(O498:O674)</f>
        <v>1999571263</v>
      </c>
      <c r="P497" s="28"/>
      <c r="Q497" s="28"/>
      <c r="R497" s="28"/>
      <c r="S497" s="40">
        <f>SUM(S498:S674)</f>
        <v>1999571263</v>
      </c>
      <c r="T497" s="28"/>
      <c r="U497" s="40">
        <f>SUM(U498:U674)</f>
        <v>111859042.59999999</v>
      </c>
      <c r="V497" s="28"/>
      <c r="W497" s="40">
        <f>SUM(W498:W674)</f>
        <v>27740690.5</v>
      </c>
      <c r="X497" s="28"/>
      <c r="Y497" s="40">
        <f>SUM(Y498:Y674)</f>
        <v>25722040.500000004</v>
      </c>
      <c r="Z497" s="40">
        <f>SUM(Z498:Z674)</f>
        <v>53462731</v>
      </c>
      <c r="AA497" s="153"/>
      <c r="AB497" s="40">
        <f>SUM(AB498:AB674)</f>
        <v>1901118858.2500007</v>
      </c>
      <c r="AC497" s="40">
        <f>SUM(AC498:AC674)</f>
        <v>98452404.74999997</v>
      </c>
      <c r="AD497" s="167"/>
      <c r="AE497" s="167"/>
      <c r="AG497" s="5">
        <f t="shared" si="303"/>
        <v>-1847656127.2500007</v>
      </c>
      <c r="AH497" s="5"/>
    </row>
    <row r="498" spans="1:34" s="1" customFormat="1" ht="10.5" x14ac:dyDescent="0.25">
      <c r="A498" s="49">
        <v>1</v>
      </c>
      <c r="B498" s="50" t="s">
        <v>1700</v>
      </c>
      <c r="C498" s="50" t="s">
        <v>108</v>
      </c>
      <c r="D498" s="51" t="s">
        <v>1008</v>
      </c>
      <c r="E498" s="52" t="s">
        <v>1009</v>
      </c>
      <c r="F498" s="52"/>
      <c r="G498" s="52" t="s">
        <v>194</v>
      </c>
      <c r="H498" s="52" t="s">
        <v>62</v>
      </c>
      <c r="I498" s="52">
        <v>2011</v>
      </c>
      <c r="J498" s="52"/>
      <c r="K498" s="52" t="s">
        <v>63</v>
      </c>
      <c r="L498" s="52" t="s">
        <v>64</v>
      </c>
      <c r="M498" s="52">
        <v>1</v>
      </c>
      <c r="N498" s="53">
        <f t="shared" ref="N498:N510" si="317">SUM(O498/M498)</f>
        <v>9950000</v>
      </c>
      <c r="O498" s="53">
        <v>9950000</v>
      </c>
      <c r="P498" s="52"/>
      <c r="Q498" s="52"/>
      <c r="R498" s="52"/>
      <c r="S498" s="53">
        <f t="shared" ref="S498:S509" si="318">SUM(O498-R498)</f>
        <v>9950000</v>
      </c>
      <c r="T498" s="52">
        <v>5</v>
      </c>
      <c r="U498" s="53"/>
      <c r="V498" s="52">
        <v>0.5</v>
      </c>
      <c r="W498" s="53">
        <f t="shared" ref="W498:W509" si="319">SUM(U498*V498)</f>
        <v>0</v>
      </c>
      <c r="X498" s="24"/>
      <c r="Y498" s="41">
        <f t="shared" ref="Y498:Y511" si="320">SUM(U498*X498)</f>
        <v>0</v>
      </c>
      <c r="Z498" s="41">
        <f t="shared" ref="Z498:Z509" si="321">SUM(W498+Y498)</f>
        <v>0</v>
      </c>
      <c r="AA498" s="24">
        <v>5</v>
      </c>
      <c r="AB498" s="41">
        <v>9950000</v>
      </c>
      <c r="AC498" s="41">
        <f t="shared" ref="AC498:AC531" si="322">SUM(O498-AB498)</f>
        <v>0</v>
      </c>
      <c r="AD498" s="70" t="s">
        <v>352</v>
      </c>
      <c r="AE498" s="70"/>
      <c r="AF498" s="1">
        <v>9950000</v>
      </c>
      <c r="AG498" s="5">
        <f t="shared" si="303"/>
        <v>0</v>
      </c>
      <c r="AH498" s="5"/>
    </row>
    <row r="499" spans="1:34" s="1" customFormat="1" ht="10.5" x14ac:dyDescent="0.25">
      <c r="A499" s="49">
        <v>2</v>
      </c>
      <c r="B499" s="50" t="s">
        <v>1700</v>
      </c>
      <c r="C499" s="50" t="s">
        <v>1010</v>
      </c>
      <c r="D499" s="51" t="s">
        <v>1008</v>
      </c>
      <c r="E499" s="52" t="s">
        <v>1011</v>
      </c>
      <c r="F499" s="52"/>
      <c r="G499" s="52" t="s">
        <v>194</v>
      </c>
      <c r="H499" s="52" t="s">
        <v>62</v>
      </c>
      <c r="I499" s="52">
        <v>2012</v>
      </c>
      <c r="J499" s="52"/>
      <c r="K499" s="52" t="s">
        <v>63</v>
      </c>
      <c r="L499" s="52" t="s">
        <v>64</v>
      </c>
      <c r="M499" s="52">
        <v>20</v>
      </c>
      <c r="N499" s="53">
        <f t="shared" si="317"/>
        <v>3740000</v>
      </c>
      <c r="O499" s="53">
        <v>74800000</v>
      </c>
      <c r="P499" s="52"/>
      <c r="Q499" s="52"/>
      <c r="R499" s="52"/>
      <c r="S499" s="53">
        <f t="shared" si="318"/>
        <v>74800000</v>
      </c>
      <c r="T499" s="52">
        <v>5</v>
      </c>
      <c r="U499" s="53"/>
      <c r="V499" s="52">
        <v>0.5</v>
      </c>
      <c r="W499" s="53">
        <f t="shared" si="319"/>
        <v>0</v>
      </c>
      <c r="X499" s="24"/>
      <c r="Y499" s="41">
        <f t="shared" si="320"/>
        <v>0</v>
      </c>
      <c r="Z499" s="41">
        <f t="shared" si="321"/>
        <v>0</v>
      </c>
      <c r="AA499" s="24">
        <v>5</v>
      </c>
      <c r="AB499" s="41">
        <v>74800000</v>
      </c>
      <c r="AC499" s="41">
        <f t="shared" si="322"/>
        <v>0</v>
      </c>
      <c r="AD499" s="70" t="s">
        <v>1012</v>
      </c>
      <c r="AE499" s="70"/>
      <c r="AF499" s="1">
        <v>74800000</v>
      </c>
      <c r="AG499" s="5">
        <f t="shared" si="303"/>
        <v>0</v>
      </c>
      <c r="AH499" s="5"/>
    </row>
    <row r="500" spans="1:34" s="1" customFormat="1" ht="10.5" x14ac:dyDescent="0.25">
      <c r="A500" s="49">
        <v>3</v>
      </c>
      <c r="B500" s="50" t="s">
        <v>1700</v>
      </c>
      <c r="C500" s="50" t="s">
        <v>312</v>
      </c>
      <c r="D500" s="51" t="s">
        <v>1008</v>
      </c>
      <c r="E500" s="52" t="s">
        <v>1013</v>
      </c>
      <c r="F500" s="52"/>
      <c r="G500" s="52" t="s">
        <v>194</v>
      </c>
      <c r="H500" s="52" t="s">
        <v>62</v>
      </c>
      <c r="I500" s="52">
        <v>2012</v>
      </c>
      <c r="J500" s="52"/>
      <c r="K500" s="52" t="s">
        <v>63</v>
      </c>
      <c r="L500" s="52" t="s">
        <v>64</v>
      </c>
      <c r="M500" s="52">
        <v>1</v>
      </c>
      <c r="N500" s="53">
        <f t="shared" si="317"/>
        <v>6325000</v>
      </c>
      <c r="O500" s="53">
        <v>6325000</v>
      </c>
      <c r="P500" s="52"/>
      <c r="Q500" s="52"/>
      <c r="R500" s="52"/>
      <c r="S500" s="53">
        <f t="shared" si="318"/>
        <v>6325000</v>
      </c>
      <c r="T500" s="52">
        <v>5</v>
      </c>
      <c r="U500" s="53"/>
      <c r="V500" s="52">
        <v>0.5</v>
      </c>
      <c r="W500" s="53">
        <f t="shared" si="319"/>
        <v>0</v>
      </c>
      <c r="X500" s="24"/>
      <c r="Y500" s="41">
        <f t="shared" si="320"/>
        <v>0</v>
      </c>
      <c r="Z500" s="41">
        <f t="shared" si="321"/>
        <v>0</v>
      </c>
      <c r="AA500" s="24">
        <v>5</v>
      </c>
      <c r="AB500" s="41">
        <v>6325000</v>
      </c>
      <c r="AC500" s="41">
        <f t="shared" si="322"/>
        <v>0</v>
      </c>
      <c r="AD500" s="70" t="s">
        <v>942</v>
      </c>
      <c r="AE500" s="70"/>
      <c r="AF500" s="1">
        <v>6325000</v>
      </c>
      <c r="AG500" s="5">
        <f t="shared" si="303"/>
        <v>0</v>
      </c>
      <c r="AH500" s="5"/>
    </row>
    <row r="501" spans="1:34" s="1" customFormat="1" ht="10.5" x14ac:dyDescent="0.25">
      <c r="A501" s="49">
        <v>4</v>
      </c>
      <c r="B501" s="50" t="s">
        <v>1700</v>
      </c>
      <c r="C501" s="50" t="s">
        <v>313</v>
      </c>
      <c r="D501" s="51" t="s">
        <v>1008</v>
      </c>
      <c r="E501" s="52" t="s">
        <v>1013</v>
      </c>
      <c r="F501" s="52"/>
      <c r="G501" s="52" t="s">
        <v>194</v>
      </c>
      <c r="H501" s="52" t="s">
        <v>62</v>
      </c>
      <c r="I501" s="52">
        <v>2012</v>
      </c>
      <c r="J501" s="52"/>
      <c r="K501" s="52" t="s">
        <v>63</v>
      </c>
      <c r="L501" s="52" t="s">
        <v>64</v>
      </c>
      <c r="M501" s="52">
        <v>1</v>
      </c>
      <c r="N501" s="53">
        <f t="shared" si="317"/>
        <v>6325000</v>
      </c>
      <c r="O501" s="53">
        <v>6325000</v>
      </c>
      <c r="P501" s="52"/>
      <c r="Q501" s="52"/>
      <c r="R501" s="52"/>
      <c r="S501" s="53">
        <f t="shared" si="318"/>
        <v>6325000</v>
      </c>
      <c r="T501" s="52">
        <v>5</v>
      </c>
      <c r="U501" s="53"/>
      <c r="V501" s="52">
        <v>0.5</v>
      </c>
      <c r="W501" s="53">
        <f t="shared" si="319"/>
        <v>0</v>
      </c>
      <c r="X501" s="24"/>
      <c r="Y501" s="41">
        <f t="shared" si="320"/>
        <v>0</v>
      </c>
      <c r="Z501" s="41">
        <f t="shared" si="321"/>
        <v>0</v>
      </c>
      <c r="AA501" s="24">
        <v>5</v>
      </c>
      <c r="AB501" s="41">
        <v>6325000</v>
      </c>
      <c r="AC501" s="41">
        <f t="shared" si="322"/>
        <v>0</v>
      </c>
      <c r="AD501" s="70" t="s">
        <v>354</v>
      </c>
      <c r="AE501" s="70"/>
      <c r="AF501" s="1">
        <v>6325000</v>
      </c>
      <c r="AG501" s="5">
        <f t="shared" si="303"/>
        <v>0</v>
      </c>
      <c r="AH501" s="5"/>
    </row>
    <row r="502" spans="1:34" s="1" customFormat="1" ht="10.5" x14ac:dyDescent="0.25">
      <c r="A502" s="49">
        <v>5</v>
      </c>
      <c r="B502" s="50" t="s">
        <v>1700</v>
      </c>
      <c r="C502" s="50" t="s">
        <v>559</v>
      </c>
      <c r="D502" s="51" t="s">
        <v>1008</v>
      </c>
      <c r="E502" s="52" t="s">
        <v>1013</v>
      </c>
      <c r="F502" s="52"/>
      <c r="G502" s="52" t="s">
        <v>194</v>
      </c>
      <c r="H502" s="52" t="s">
        <v>62</v>
      </c>
      <c r="I502" s="52">
        <v>2012</v>
      </c>
      <c r="J502" s="52"/>
      <c r="K502" s="52" t="s">
        <v>63</v>
      </c>
      <c r="L502" s="52" t="s">
        <v>64</v>
      </c>
      <c r="M502" s="52">
        <v>1</v>
      </c>
      <c r="N502" s="53">
        <f t="shared" si="317"/>
        <v>6325000</v>
      </c>
      <c r="O502" s="53">
        <v>6325000</v>
      </c>
      <c r="P502" s="52"/>
      <c r="Q502" s="52"/>
      <c r="R502" s="52"/>
      <c r="S502" s="53">
        <f t="shared" si="318"/>
        <v>6325000</v>
      </c>
      <c r="T502" s="52">
        <v>5</v>
      </c>
      <c r="U502" s="53"/>
      <c r="V502" s="52">
        <v>0.5</v>
      </c>
      <c r="W502" s="53">
        <f t="shared" si="319"/>
        <v>0</v>
      </c>
      <c r="X502" s="24"/>
      <c r="Y502" s="41">
        <f t="shared" si="320"/>
        <v>0</v>
      </c>
      <c r="Z502" s="41">
        <f t="shared" si="321"/>
        <v>0</v>
      </c>
      <c r="AA502" s="24">
        <v>5</v>
      </c>
      <c r="AB502" s="41">
        <v>6325000</v>
      </c>
      <c r="AC502" s="41">
        <f t="shared" si="322"/>
        <v>0</v>
      </c>
      <c r="AD502" s="70" t="s">
        <v>1014</v>
      </c>
      <c r="AE502" s="70"/>
      <c r="AF502" s="1">
        <v>6325000</v>
      </c>
      <c r="AG502" s="5">
        <f t="shared" si="303"/>
        <v>0</v>
      </c>
      <c r="AH502" s="5"/>
    </row>
    <row r="503" spans="1:34" s="1" customFormat="1" ht="10.5" x14ac:dyDescent="0.25">
      <c r="A503" s="49">
        <v>6</v>
      </c>
      <c r="B503" s="50" t="s">
        <v>1700</v>
      </c>
      <c r="C503" s="50" t="s">
        <v>561</v>
      </c>
      <c r="D503" s="51" t="s">
        <v>1008</v>
      </c>
      <c r="E503" s="52" t="s">
        <v>1013</v>
      </c>
      <c r="F503" s="52"/>
      <c r="G503" s="52" t="s">
        <v>194</v>
      </c>
      <c r="H503" s="52" t="s">
        <v>62</v>
      </c>
      <c r="I503" s="52">
        <v>2012</v>
      </c>
      <c r="J503" s="52"/>
      <c r="K503" s="52" t="s">
        <v>63</v>
      </c>
      <c r="L503" s="52" t="s">
        <v>64</v>
      </c>
      <c r="M503" s="52">
        <v>1</v>
      </c>
      <c r="N503" s="53">
        <f t="shared" si="317"/>
        <v>6325000</v>
      </c>
      <c r="O503" s="53">
        <v>6325000</v>
      </c>
      <c r="P503" s="52"/>
      <c r="Q503" s="52"/>
      <c r="R503" s="52"/>
      <c r="S503" s="53">
        <f t="shared" si="318"/>
        <v>6325000</v>
      </c>
      <c r="T503" s="52">
        <v>5</v>
      </c>
      <c r="U503" s="53"/>
      <c r="V503" s="52">
        <v>0.5</v>
      </c>
      <c r="W503" s="53">
        <f t="shared" si="319"/>
        <v>0</v>
      </c>
      <c r="X503" s="24"/>
      <c r="Y503" s="41">
        <f t="shared" si="320"/>
        <v>0</v>
      </c>
      <c r="Z503" s="41">
        <f t="shared" si="321"/>
        <v>0</v>
      </c>
      <c r="AA503" s="24">
        <v>5</v>
      </c>
      <c r="AB503" s="41">
        <v>6325000</v>
      </c>
      <c r="AC503" s="41">
        <f t="shared" si="322"/>
        <v>0</v>
      </c>
      <c r="AD503" s="70" t="s">
        <v>1015</v>
      </c>
      <c r="AE503" s="70"/>
      <c r="AF503" s="1">
        <v>6325000</v>
      </c>
      <c r="AG503" s="5">
        <f t="shared" si="303"/>
        <v>0</v>
      </c>
      <c r="AH503" s="5"/>
    </row>
    <row r="504" spans="1:34" s="1" customFormat="1" ht="10.5" x14ac:dyDescent="0.25">
      <c r="A504" s="49">
        <v>7</v>
      </c>
      <c r="B504" s="50" t="s">
        <v>1700</v>
      </c>
      <c r="C504" s="50" t="s">
        <v>563</v>
      </c>
      <c r="D504" s="51" t="s">
        <v>1008</v>
      </c>
      <c r="E504" s="52" t="s">
        <v>1011</v>
      </c>
      <c r="F504" s="52"/>
      <c r="G504" s="52" t="s">
        <v>194</v>
      </c>
      <c r="H504" s="52" t="s">
        <v>62</v>
      </c>
      <c r="I504" s="52">
        <v>2012</v>
      </c>
      <c r="J504" s="52"/>
      <c r="K504" s="52" t="s">
        <v>63</v>
      </c>
      <c r="L504" s="52" t="s">
        <v>64</v>
      </c>
      <c r="M504" s="52">
        <v>1</v>
      </c>
      <c r="N504" s="53">
        <f t="shared" si="317"/>
        <v>3465000</v>
      </c>
      <c r="O504" s="53">
        <v>3465000</v>
      </c>
      <c r="P504" s="52"/>
      <c r="Q504" s="52"/>
      <c r="R504" s="52"/>
      <c r="S504" s="53">
        <f t="shared" si="318"/>
        <v>3465000</v>
      </c>
      <c r="T504" s="52">
        <v>5</v>
      </c>
      <c r="U504" s="53"/>
      <c r="V504" s="52">
        <v>0.5</v>
      </c>
      <c r="W504" s="53">
        <f t="shared" si="319"/>
        <v>0</v>
      </c>
      <c r="X504" s="24"/>
      <c r="Y504" s="41">
        <f t="shared" si="320"/>
        <v>0</v>
      </c>
      <c r="Z504" s="41">
        <f t="shared" si="321"/>
        <v>0</v>
      </c>
      <c r="AA504" s="24">
        <v>5</v>
      </c>
      <c r="AB504" s="41">
        <v>3465000</v>
      </c>
      <c r="AC504" s="41">
        <f t="shared" si="322"/>
        <v>0</v>
      </c>
      <c r="AD504" s="70" t="s">
        <v>348</v>
      </c>
      <c r="AE504" s="70"/>
      <c r="AF504" s="1">
        <v>3465000</v>
      </c>
      <c r="AG504" s="5">
        <f t="shared" si="303"/>
        <v>0</v>
      </c>
      <c r="AH504" s="5"/>
    </row>
    <row r="505" spans="1:34" s="1" customFormat="1" ht="10.5" x14ac:dyDescent="0.25">
      <c r="A505" s="49">
        <v>8</v>
      </c>
      <c r="B505" s="50" t="s">
        <v>1700</v>
      </c>
      <c r="C505" s="50" t="s">
        <v>1016</v>
      </c>
      <c r="D505" s="51" t="s">
        <v>1008</v>
      </c>
      <c r="E505" s="52" t="s">
        <v>1011</v>
      </c>
      <c r="F505" s="52"/>
      <c r="G505" s="52" t="s">
        <v>194</v>
      </c>
      <c r="H505" s="52" t="s">
        <v>62</v>
      </c>
      <c r="I505" s="52">
        <v>2012</v>
      </c>
      <c r="J505" s="52"/>
      <c r="K505" s="52" t="s">
        <v>63</v>
      </c>
      <c r="L505" s="52" t="s">
        <v>64</v>
      </c>
      <c r="M505" s="52">
        <v>14</v>
      </c>
      <c r="N505" s="53">
        <f t="shared" si="317"/>
        <v>3465000</v>
      </c>
      <c r="O505" s="53">
        <v>48510000</v>
      </c>
      <c r="P505" s="52"/>
      <c r="Q505" s="52"/>
      <c r="R505" s="52"/>
      <c r="S505" s="53">
        <f t="shared" si="318"/>
        <v>48510000</v>
      </c>
      <c r="T505" s="52">
        <v>5</v>
      </c>
      <c r="U505" s="53"/>
      <c r="V505" s="52">
        <v>0.5</v>
      </c>
      <c r="W505" s="53">
        <f t="shared" si="319"/>
        <v>0</v>
      </c>
      <c r="X505" s="24"/>
      <c r="Y505" s="41">
        <f t="shared" si="320"/>
        <v>0</v>
      </c>
      <c r="Z505" s="41">
        <f t="shared" si="321"/>
        <v>0</v>
      </c>
      <c r="AA505" s="24">
        <v>5</v>
      </c>
      <c r="AB505" s="41">
        <v>48510000</v>
      </c>
      <c r="AC505" s="41">
        <f t="shared" si="322"/>
        <v>0</v>
      </c>
      <c r="AD505" s="70" t="s">
        <v>942</v>
      </c>
      <c r="AE505" s="70"/>
      <c r="AF505" s="1">
        <v>48510000</v>
      </c>
      <c r="AG505" s="5">
        <f t="shared" si="303"/>
        <v>0</v>
      </c>
      <c r="AH505" s="5"/>
    </row>
    <row r="506" spans="1:34" s="1" customFormat="1" ht="10.5" x14ac:dyDescent="0.25">
      <c r="A506" s="49">
        <v>9</v>
      </c>
      <c r="B506" s="50" t="s">
        <v>1700</v>
      </c>
      <c r="C506" s="50" t="s">
        <v>1017</v>
      </c>
      <c r="D506" s="51" t="s">
        <v>1008</v>
      </c>
      <c r="E506" s="52" t="s">
        <v>1011</v>
      </c>
      <c r="F506" s="52"/>
      <c r="G506" s="52" t="s">
        <v>194</v>
      </c>
      <c r="H506" s="52" t="s">
        <v>62</v>
      </c>
      <c r="I506" s="52">
        <v>2012</v>
      </c>
      <c r="J506" s="52"/>
      <c r="K506" s="52" t="s">
        <v>63</v>
      </c>
      <c r="L506" s="52" t="s">
        <v>64</v>
      </c>
      <c r="M506" s="52">
        <v>18</v>
      </c>
      <c r="N506" s="53">
        <f t="shared" si="317"/>
        <v>3465000</v>
      </c>
      <c r="O506" s="53">
        <v>62370000</v>
      </c>
      <c r="P506" s="52"/>
      <c r="Q506" s="52"/>
      <c r="R506" s="52"/>
      <c r="S506" s="53">
        <f t="shared" si="318"/>
        <v>62370000</v>
      </c>
      <c r="T506" s="52">
        <v>5</v>
      </c>
      <c r="U506" s="53"/>
      <c r="V506" s="52">
        <v>0.5</v>
      </c>
      <c r="W506" s="53">
        <f t="shared" si="319"/>
        <v>0</v>
      </c>
      <c r="X506" s="24"/>
      <c r="Y506" s="41">
        <f t="shared" si="320"/>
        <v>0</v>
      </c>
      <c r="Z506" s="41">
        <f t="shared" si="321"/>
        <v>0</v>
      </c>
      <c r="AA506" s="24">
        <v>5</v>
      </c>
      <c r="AB506" s="41">
        <v>62370000</v>
      </c>
      <c r="AC506" s="41">
        <f t="shared" si="322"/>
        <v>0</v>
      </c>
      <c r="AD506" s="70" t="s">
        <v>354</v>
      </c>
      <c r="AE506" s="70"/>
      <c r="AF506" s="1">
        <v>62370000</v>
      </c>
      <c r="AG506" s="5">
        <f t="shared" si="303"/>
        <v>0</v>
      </c>
      <c r="AH506" s="5"/>
    </row>
    <row r="507" spans="1:34" s="1" customFormat="1" ht="10.5" x14ac:dyDescent="0.25">
      <c r="A507" s="49">
        <v>10</v>
      </c>
      <c r="B507" s="50" t="s">
        <v>1700</v>
      </c>
      <c r="C507" s="50" t="s">
        <v>411</v>
      </c>
      <c r="D507" s="51" t="s">
        <v>1008</v>
      </c>
      <c r="E507" s="52" t="s">
        <v>1011</v>
      </c>
      <c r="F507" s="52"/>
      <c r="G507" s="52" t="s">
        <v>194</v>
      </c>
      <c r="H507" s="52" t="s">
        <v>62</v>
      </c>
      <c r="I507" s="52">
        <v>2012</v>
      </c>
      <c r="J507" s="52"/>
      <c r="K507" s="52" t="s">
        <v>63</v>
      </c>
      <c r="L507" s="52" t="s">
        <v>64</v>
      </c>
      <c r="M507" s="52">
        <v>1</v>
      </c>
      <c r="N507" s="53">
        <f t="shared" si="317"/>
        <v>3465000</v>
      </c>
      <c r="O507" s="53">
        <v>3465000</v>
      </c>
      <c r="P507" s="52"/>
      <c r="Q507" s="52"/>
      <c r="R507" s="52"/>
      <c r="S507" s="53">
        <f t="shared" si="318"/>
        <v>3465000</v>
      </c>
      <c r="T507" s="52">
        <v>5</v>
      </c>
      <c r="U507" s="53"/>
      <c r="V507" s="52">
        <v>0.5</v>
      </c>
      <c r="W507" s="53">
        <f t="shared" si="319"/>
        <v>0</v>
      </c>
      <c r="X507" s="24"/>
      <c r="Y507" s="41">
        <f t="shared" si="320"/>
        <v>0</v>
      </c>
      <c r="Z507" s="41">
        <f t="shared" si="321"/>
        <v>0</v>
      </c>
      <c r="AA507" s="24">
        <v>5</v>
      </c>
      <c r="AB507" s="41">
        <v>3465000</v>
      </c>
      <c r="AC507" s="41">
        <f t="shared" si="322"/>
        <v>0</v>
      </c>
      <c r="AD507" s="70" t="s">
        <v>333</v>
      </c>
      <c r="AE507" s="70"/>
      <c r="AF507" s="1">
        <v>3465000</v>
      </c>
      <c r="AG507" s="5">
        <f t="shared" si="303"/>
        <v>0</v>
      </c>
      <c r="AH507" s="5"/>
    </row>
    <row r="508" spans="1:34" s="1" customFormat="1" ht="10.5" x14ac:dyDescent="0.25">
      <c r="A508" s="49">
        <v>11</v>
      </c>
      <c r="B508" s="50" t="s">
        <v>1700</v>
      </c>
      <c r="C508" s="50" t="s">
        <v>247</v>
      </c>
      <c r="D508" s="51" t="s">
        <v>1008</v>
      </c>
      <c r="E508" s="52" t="s">
        <v>1018</v>
      </c>
      <c r="F508" s="52"/>
      <c r="G508" s="52" t="s">
        <v>194</v>
      </c>
      <c r="H508" s="52" t="s">
        <v>62</v>
      </c>
      <c r="I508" s="52">
        <v>2012</v>
      </c>
      <c r="J508" s="52"/>
      <c r="K508" s="52" t="s">
        <v>63</v>
      </c>
      <c r="L508" s="52" t="s">
        <v>64</v>
      </c>
      <c r="M508" s="52">
        <v>1</v>
      </c>
      <c r="N508" s="53">
        <f t="shared" si="317"/>
        <v>11990000</v>
      </c>
      <c r="O508" s="53">
        <v>11990000</v>
      </c>
      <c r="P508" s="52"/>
      <c r="Q508" s="52"/>
      <c r="R508" s="52"/>
      <c r="S508" s="53">
        <f t="shared" si="318"/>
        <v>11990000</v>
      </c>
      <c r="T508" s="52">
        <v>5</v>
      </c>
      <c r="U508" s="53"/>
      <c r="V508" s="52">
        <v>0.5</v>
      </c>
      <c r="W508" s="53">
        <f t="shared" si="319"/>
        <v>0</v>
      </c>
      <c r="X508" s="24"/>
      <c r="Y508" s="41">
        <f t="shared" si="320"/>
        <v>0</v>
      </c>
      <c r="Z508" s="41">
        <f t="shared" si="321"/>
        <v>0</v>
      </c>
      <c r="AA508" s="24">
        <v>5</v>
      </c>
      <c r="AB508" s="41">
        <v>11990000</v>
      </c>
      <c r="AC508" s="41">
        <f t="shared" si="322"/>
        <v>0</v>
      </c>
      <c r="AD508" s="70" t="s">
        <v>985</v>
      </c>
      <c r="AE508" s="70"/>
      <c r="AF508" s="1">
        <v>11990000</v>
      </c>
      <c r="AG508" s="5">
        <f t="shared" si="303"/>
        <v>0</v>
      </c>
      <c r="AH508" s="5"/>
    </row>
    <row r="509" spans="1:34" s="1" customFormat="1" ht="10.5" x14ac:dyDescent="0.25">
      <c r="A509" s="49">
        <v>12</v>
      </c>
      <c r="B509" s="50" t="s">
        <v>1700</v>
      </c>
      <c r="C509" s="50" t="s">
        <v>1019</v>
      </c>
      <c r="D509" s="51" t="s">
        <v>1008</v>
      </c>
      <c r="E509" s="52" t="s">
        <v>1020</v>
      </c>
      <c r="F509" s="52"/>
      <c r="G509" s="52" t="s">
        <v>194</v>
      </c>
      <c r="H509" s="52" t="s">
        <v>62</v>
      </c>
      <c r="I509" s="52">
        <v>2012</v>
      </c>
      <c r="J509" s="52"/>
      <c r="K509" s="52" t="s">
        <v>63</v>
      </c>
      <c r="L509" s="52" t="s">
        <v>64</v>
      </c>
      <c r="M509" s="52">
        <v>1</v>
      </c>
      <c r="N509" s="53">
        <f t="shared" si="317"/>
        <v>6050000</v>
      </c>
      <c r="O509" s="53">
        <v>6050000</v>
      </c>
      <c r="P509" s="52"/>
      <c r="Q509" s="52"/>
      <c r="R509" s="52"/>
      <c r="S509" s="53">
        <f t="shared" si="318"/>
        <v>6050000</v>
      </c>
      <c r="T509" s="52">
        <v>5</v>
      </c>
      <c r="U509" s="53"/>
      <c r="V509" s="52">
        <v>0.5</v>
      </c>
      <c r="W509" s="53">
        <f t="shared" si="319"/>
        <v>0</v>
      </c>
      <c r="X509" s="24"/>
      <c r="Y509" s="41">
        <f t="shared" si="320"/>
        <v>0</v>
      </c>
      <c r="Z509" s="41">
        <f t="shared" si="321"/>
        <v>0</v>
      </c>
      <c r="AA509" s="24">
        <v>5</v>
      </c>
      <c r="AB509" s="41">
        <v>6050000</v>
      </c>
      <c r="AC509" s="41">
        <f t="shared" si="322"/>
        <v>0</v>
      </c>
      <c r="AD509" s="70" t="s">
        <v>1021</v>
      </c>
      <c r="AE509" s="70"/>
      <c r="AF509" s="1">
        <v>6050000</v>
      </c>
      <c r="AG509" s="5">
        <f t="shared" si="303"/>
        <v>0</v>
      </c>
      <c r="AH509" s="5"/>
    </row>
    <row r="510" spans="1:34" s="1" customFormat="1" ht="10.5" x14ac:dyDescent="0.25">
      <c r="A510" s="49">
        <v>13</v>
      </c>
      <c r="B510" s="50" t="s">
        <v>1700</v>
      </c>
      <c r="C510" s="50" t="s">
        <v>1022</v>
      </c>
      <c r="D510" s="51" t="s">
        <v>1008</v>
      </c>
      <c r="E510" s="52" t="s">
        <v>1023</v>
      </c>
      <c r="F510" s="52"/>
      <c r="G510" s="52" t="s">
        <v>194</v>
      </c>
      <c r="H510" s="52" t="s">
        <v>62</v>
      </c>
      <c r="I510" s="52">
        <v>2013</v>
      </c>
      <c r="J510" s="52"/>
      <c r="K510" s="52" t="s">
        <v>63</v>
      </c>
      <c r="L510" s="52" t="s">
        <v>64</v>
      </c>
      <c r="M510" s="52">
        <v>1</v>
      </c>
      <c r="N510" s="53">
        <f t="shared" si="317"/>
        <v>3750000</v>
      </c>
      <c r="O510" s="53">
        <v>3750000</v>
      </c>
      <c r="P510" s="52"/>
      <c r="Q510" s="52"/>
      <c r="R510" s="52"/>
      <c r="S510" s="53">
        <f t="shared" ref="S510:S521" si="323">SUM(O510-R510)</f>
        <v>3750000</v>
      </c>
      <c r="T510" s="52">
        <v>5</v>
      </c>
      <c r="U510" s="53"/>
      <c r="V510" s="52">
        <v>0.5</v>
      </c>
      <c r="W510" s="53">
        <f t="shared" ref="W510:W521" si="324">SUM(U510*V510)</f>
        <v>0</v>
      </c>
      <c r="X510" s="24"/>
      <c r="Y510" s="41">
        <f t="shared" si="320"/>
        <v>0</v>
      </c>
      <c r="Z510" s="41">
        <f t="shared" ref="Z510:Z521" si="325">SUM(W510+Y510)</f>
        <v>0</v>
      </c>
      <c r="AA510" s="24">
        <v>5</v>
      </c>
      <c r="AB510" s="41">
        <v>3750000</v>
      </c>
      <c r="AC510" s="41">
        <f t="shared" si="322"/>
        <v>0</v>
      </c>
      <c r="AD510" s="70" t="s">
        <v>1012</v>
      </c>
      <c r="AE510" s="70"/>
      <c r="AF510" s="1">
        <v>3750000</v>
      </c>
      <c r="AG510" s="5">
        <f t="shared" si="303"/>
        <v>0</v>
      </c>
      <c r="AH510" s="5"/>
    </row>
    <row r="511" spans="1:34" s="1" customFormat="1" ht="10.5" x14ac:dyDescent="0.25">
      <c r="A511" s="49">
        <v>14</v>
      </c>
      <c r="B511" s="50" t="s">
        <v>1700</v>
      </c>
      <c r="C511" s="50" t="s">
        <v>1024</v>
      </c>
      <c r="D511" s="51" t="s">
        <v>1008</v>
      </c>
      <c r="E511" s="52" t="s">
        <v>1025</v>
      </c>
      <c r="F511" s="52"/>
      <c r="G511" s="52" t="s">
        <v>194</v>
      </c>
      <c r="H511" s="52" t="s">
        <v>62</v>
      </c>
      <c r="I511" s="52">
        <v>2014</v>
      </c>
      <c r="J511" s="52"/>
      <c r="K511" s="52" t="s">
        <v>63</v>
      </c>
      <c r="L511" s="52" t="s">
        <v>64</v>
      </c>
      <c r="M511" s="52">
        <v>1</v>
      </c>
      <c r="N511" s="53">
        <f t="shared" ref="N511:N521" si="326">SUM(O511/M511)</f>
        <v>6462500</v>
      </c>
      <c r="O511" s="53">
        <v>6462500</v>
      </c>
      <c r="P511" s="52"/>
      <c r="Q511" s="52"/>
      <c r="R511" s="52"/>
      <c r="S511" s="53">
        <f t="shared" si="323"/>
        <v>6462500</v>
      </c>
      <c r="T511" s="52">
        <v>5</v>
      </c>
      <c r="U511" s="53"/>
      <c r="V511" s="52">
        <v>0.5</v>
      </c>
      <c r="W511" s="53">
        <f t="shared" si="324"/>
        <v>0</v>
      </c>
      <c r="X511" s="24"/>
      <c r="Y511" s="41">
        <f t="shared" si="320"/>
        <v>0</v>
      </c>
      <c r="Z511" s="41">
        <f t="shared" si="325"/>
        <v>0</v>
      </c>
      <c r="AA511" s="24">
        <v>5</v>
      </c>
      <c r="AB511" s="41">
        <v>6462500</v>
      </c>
      <c r="AC511" s="41">
        <f t="shared" si="322"/>
        <v>0</v>
      </c>
      <c r="AD511" s="70" t="s">
        <v>940</v>
      </c>
      <c r="AE511" s="70"/>
      <c r="AF511" s="1">
        <v>6462500</v>
      </c>
      <c r="AG511" s="5">
        <f t="shared" si="303"/>
        <v>0</v>
      </c>
      <c r="AH511" s="5"/>
    </row>
    <row r="512" spans="1:34" s="1" customFormat="1" ht="10.5" x14ac:dyDescent="0.25">
      <c r="A512" s="49">
        <v>15</v>
      </c>
      <c r="B512" s="50" t="s">
        <v>1700</v>
      </c>
      <c r="C512" s="50" t="s">
        <v>1026</v>
      </c>
      <c r="D512" s="51" t="s">
        <v>1008</v>
      </c>
      <c r="E512" s="52" t="s">
        <v>1027</v>
      </c>
      <c r="F512" s="52"/>
      <c r="G512" s="52" t="s">
        <v>194</v>
      </c>
      <c r="H512" s="52" t="s">
        <v>62</v>
      </c>
      <c r="I512" s="52">
        <v>2015</v>
      </c>
      <c r="J512" s="52"/>
      <c r="K512" s="52" t="s">
        <v>63</v>
      </c>
      <c r="L512" s="52" t="s">
        <v>64</v>
      </c>
      <c r="M512" s="52">
        <v>1</v>
      </c>
      <c r="N512" s="53">
        <f t="shared" si="326"/>
        <v>5940000</v>
      </c>
      <c r="O512" s="53">
        <v>5940000</v>
      </c>
      <c r="P512" s="52"/>
      <c r="Q512" s="52"/>
      <c r="R512" s="52"/>
      <c r="S512" s="53">
        <f t="shared" si="323"/>
        <v>5940000</v>
      </c>
      <c r="T512" s="52">
        <v>5</v>
      </c>
      <c r="U512" s="53">
        <f t="shared" ref="U512:U521" si="327">SUM(S512/T512)</f>
        <v>1188000</v>
      </c>
      <c r="V512" s="52">
        <v>0.5</v>
      </c>
      <c r="W512" s="53"/>
      <c r="X512" s="24"/>
      <c r="Y512" s="41">
        <f>SUM(U512*X512)</f>
        <v>0</v>
      </c>
      <c r="Z512" s="41"/>
      <c r="AA512" s="24">
        <v>5</v>
      </c>
      <c r="AB512" s="41">
        <f t="shared" ref="AB512:AB519" si="328">SUM(U512*AA512)</f>
        <v>5940000</v>
      </c>
      <c r="AC512" s="41">
        <f t="shared" si="322"/>
        <v>0</v>
      </c>
      <c r="AD512" s="70" t="s">
        <v>229</v>
      </c>
      <c r="AE512" s="70"/>
      <c r="AF512" s="1">
        <v>5940000</v>
      </c>
      <c r="AG512" s="5">
        <f t="shared" si="303"/>
        <v>0</v>
      </c>
      <c r="AH512" s="5"/>
    </row>
    <row r="513" spans="1:34" s="1" customFormat="1" ht="10.5" x14ac:dyDescent="0.25">
      <c r="A513" s="49">
        <v>16</v>
      </c>
      <c r="B513" s="50" t="s">
        <v>1700</v>
      </c>
      <c r="C513" s="50" t="s">
        <v>416</v>
      </c>
      <c r="D513" s="51" t="s">
        <v>1008</v>
      </c>
      <c r="E513" s="52" t="s">
        <v>1027</v>
      </c>
      <c r="F513" s="52"/>
      <c r="G513" s="52" t="s">
        <v>194</v>
      </c>
      <c r="H513" s="52" t="s">
        <v>62</v>
      </c>
      <c r="I513" s="52">
        <v>2015</v>
      </c>
      <c r="J513" s="52"/>
      <c r="K513" s="52" t="s">
        <v>63</v>
      </c>
      <c r="L513" s="52" t="s">
        <v>64</v>
      </c>
      <c r="M513" s="52">
        <v>1</v>
      </c>
      <c r="N513" s="53">
        <f t="shared" si="326"/>
        <v>5940000</v>
      </c>
      <c r="O513" s="53">
        <v>5940000</v>
      </c>
      <c r="P513" s="52"/>
      <c r="Q513" s="52"/>
      <c r="R513" s="52"/>
      <c r="S513" s="53">
        <f t="shared" si="323"/>
        <v>5940000</v>
      </c>
      <c r="T513" s="52">
        <v>5</v>
      </c>
      <c r="U513" s="53">
        <f t="shared" si="327"/>
        <v>1188000</v>
      </c>
      <c r="V513" s="52">
        <v>0.5</v>
      </c>
      <c r="W513" s="53"/>
      <c r="X513" s="24"/>
      <c r="Y513" s="41">
        <f t="shared" ref="Y513:Y519" si="329">SUM(U513*X513)</f>
        <v>0</v>
      </c>
      <c r="Z513" s="41"/>
      <c r="AA513" s="24">
        <v>5</v>
      </c>
      <c r="AB513" s="41">
        <f t="shared" si="328"/>
        <v>5940000</v>
      </c>
      <c r="AC513" s="41">
        <f t="shared" si="322"/>
        <v>0</v>
      </c>
      <c r="AD513" s="70" t="s">
        <v>231</v>
      </c>
      <c r="AE513" s="70"/>
      <c r="AF513" s="1">
        <v>5940000</v>
      </c>
      <c r="AG513" s="5">
        <f t="shared" si="303"/>
        <v>0</v>
      </c>
      <c r="AH513" s="5"/>
    </row>
    <row r="514" spans="1:34" s="1" customFormat="1" ht="10.5" x14ac:dyDescent="0.25">
      <c r="A514" s="49">
        <v>17</v>
      </c>
      <c r="B514" s="50" t="s">
        <v>1700</v>
      </c>
      <c r="C514" s="50" t="s">
        <v>417</v>
      </c>
      <c r="D514" s="51" t="s">
        <v>1008</v>
      </c>
      <c r="E514" s="52" t="s">
        <v>1027</v>
      </c>
      <c r="F514" s="52"/>
      <c r="G514" s="52" t="s">
        <v>194</v>
      </c>
      <c r="H514" s="52" t="s">
        <v>62</v>
      </c>
      <c r="I514" s="52">
        <v>2015</v>
      </c>
      <c r="J514" s="52"/>
      <c r="K514" s="52" t="s">
        <v>63</v>
      </c>
      <c r="L514" s="52" t="s">
        <v>64</v>
      </c>
      <c r="M514" s="52">
        <v>1</v>
      </c>
      <c r="N514" s="53">
        <f t="shared" si="326"/>
        <v>5940000</v>
      </c>
      <c r="O514" s="53">
        <v>5940000</v>
      </c>
      <c r="P514" s="52"/>
      <c r="Q514" s="52"/>
      <c r="R514" s="52"/>
      <c r="S514" s="53">
        <f t="shared" si="323"/>
        <v>5940000</v>
      </c>
      <c r="T514" s="52">
        <v>5</v>
      </c>
      <c r="U514" s="53">
        <f t="shared" si="327"/>
        <v>1188000</v>
      </c>
      <c r="V514" s="52">
        <v>0.5</v>
      </c>
      <c r="W514" s="53"/>
      <c r="X514" s="24"/>
      <c r="Y514" s="41">
        <f t="shared" si="329"/>
        <v>0</v>
      </c>
      <c r="Z514" s="41"/>
      <c r="AA514" s="24">
        <v>5</v>
      </c>
      <c r="AB514" s="41">
        <f t="shared" si="328"/>
        <v>5940000</v>
      </c>
      <c r="AC514" s="41">
        <f t="shared" si="322"/>
        <v>0</v>
      </c>
      <c r="AD514" s="70" t="s">
        <v>235</v>
      </c>
      <c r="AE514" s="70"/>
      <c r="AF514" s="1">
        <v>5940000</v>
      </c>
      <c r="AG514" s="5">
        <f t="shared" si="303"/>
        <v>0</v>
      </c>
      <c r="AH514" s="5"/>
    </row>
    <row r="515" spans="1:34" s="1" customFormat="1" ht="10.5" x14ac:dyDescent="0.25">
      <c r="A515" s="49">
        <v>18</v>
      </c>
      <c r="B515" s="50" t="s">
        <v>1700</v>
      </c>
      <c r="C515" s="50" t="s">
        <v>1028</v>
      </c>
      <c r="D515" s="51" t="s">
        <v>1008</v>
      </c>
      <c r="E515" s="52" t="s">
        <v>1027</v>
      </c>
      <c r="F515" s="52"/>
      <c r="G515" s="52" t="s">
        <v>194</v>
      </c>
      <c r="H515" s="52" t="s">
        <v>62</v>
      </c>
      <c r="I515" s="52">
        <v>2015</v>
      </c>
      <c r="J515" s="52"/>
      <c r="K515" s="52" t="s">
        <v>63</v>
      </c>
      <c r="L515" s="52" t="s">
        <v>64</v>
      </c>
      <c r="M515" s="52">
        <v>1</v>
      </c>
      <c r="N515" s="53">
        <f t="shared" si="326"/>
        <v>5940000</v>
      </c>
      <c r="O515" s="53">
        <v>5940000</v>
      </c>
      <c r="P515" s="52"/>
      <c r="Q515" s="52"/>
      <c r="R515" s="52"/>
      <c r="S515" s="53">
        <f t="shared" si="323"/>
        <v>5940000</v>
      </c>
      <c r="T515" s="52">
        <v>5</v>
      </c>
      <c r="U515" s="53">
        <f t="shared" si="327"/>
        <v>1188000</v>
      </c>
      <c r="V515" s="52">
        <v>0.5</v>
      </c>
      <c r="W515" s="53"/>
      <c r="X515" s="24"/>
      <c r="Y515" s="41">
        <f t="shared" si="329"/>
        <v>0</v>
      </c>
      <c r="Z515" s="41"/>
      <c r="AA515" s="24">
        <v>5</v>
      </c>
      <c r="AB515" s="41">
        <f t="shared" si="328"/>
        <v>5940000</v>
      </c>
      <c r="AC515" s="41">
        <f t="shared" si="322"/>
        <v>0</v>
      </c>
      <c r="AD515" s="70" t="s">
        <v>245</v>
      </c>
      <c r="AE515" s="70"/>
      <c r="AF515" s="1">
        <v>5940000</v>
      </c>
      <c r="AG515" s="5">
        <f t="shared" si="303"/>
        <v>0</v>
      </c>
      <c r="AH515" s="5"/>
    </row>
    <row r="516" spans="1:34" s="1" customFormat="1" ht="10.5" x14ac:dyDescent="0.25">
      <c r="A516" s="49">
        <v>19</v>
      </c>
      <c r="B516" s="50" t="s">
        <v>1700</v>
      </c>
      <c r="C516" s="50" t="s">
        <v>1029</v>
      </c>
      <c r="D516" s="51" t="s">
        <v>1008</v>
      </c>
      <c r="E516" s="52" t="s">
        <v>1027</v>
      </c>
      <c r="F516" s="52"/>
      <c r="G516" s="52" t="s">
        <v>194</v>
      </c>
      <c r="H516" s="52" t="s">
        <v>62</v>
      </c>
      <c r="I516" s="52">
        <v>2015</v>
      </c>
      <c r="J516" s="52"/>
      <c r="K516" s="52" t="s">
        <v>63</v>
      </c>
      <c r="L516" s="52" t="s">
        <v>64</v>
      </c>
      <c r="M516" s="52">
        <v>1</v>
      </c>
      <c r="N516" s="53">
        <f t="shared" si="326"/>
        <v>5940000</v>
      </c>
      <c r="O516" s="53">
        <v>5940000</v>
      </c>
      <c r="P516" s="52"/>
      <c r="Q516" s="52"/>
      <c r="R516" s="52"/>
      <c r="S516" s="53">
        <f t="shared" si="323"/>
        <v>5940000</v>
      </c>
      <c r="T516" s="52">
        <v>5</v>
      </c>
      <c r="U516" s="53">
        <f t="shared" si="327"/>
        <v>1188000</v>
      </c>
      <c r="V516" s="52">
        <v>0.5</v>
      </c>
      <c r="W516" s="53"/>
      <c r="X516" s="24"/>
      <c r="Y516" s="41">
        <f t="shared" si="329"/>
        <v>0</v>
      </c>
      <c r="Z516" s="41"/>
      <c r="AA516" s="24">
        <v>5</v>
      </c>
      <c r="AB516" s="41">
        <f t="shared" si="328"/>
        <v>5940000</v>
      </c>
      <c r="AC516" s="41">
        <f t="shared" si="322"/>
        <v>0</v>
      </c>
      <c r="AD516" s="70" t="s">
        <v>940</v>
      </c>
      <c r="AE516" s="70"/>
      <c r="AF516" s="1">
        <v>5940000</v>
      </c>
      <c r="AG516" s="5">
        <f t="shared" si="303"/>
        <v>0</v>
      </c>
      <c r="AH516" s="5"/>
    </row>
    <row r="517" spans="1:34" s="1" customFormat="1" ht="10.5" x14ac:dyDescent="0.25">
      <c r="A517" s="49">
        <v>20</v>
      </c>
      <c r="B517" s="50" t="s">
        <v>1700</v>
      </c>
      <c r="C517" s="50" t="s">
        <v>1030</v>
      </c>
      <c r="D517" s="51" t="s">
        <v>1008</v>
      </c>
      <c r="E517" s="52" t="s">
        <v>1031</v>
      </c>
      <c r="F517" s="52"/>
      <c r="G517" s="52" t="s">
        <v>194</v>
      </c>
      <c r="H517" s="52" t="s">
        <v>62</v>
      </c>
      <c r="I517" s="52">
        <v>2015</v>
      </c>
      <c r="J517" s="52"/>
      <c r="K517" s="52" t="s">
        <v>63</v>
      </c>
      <c r="L517" s="52" t="s">
        <v>64</v>
      </c>
      <c r="M517" s="52">
        <v>7</v>
      </c>
      <c r="N517" s="53">
        <f t="shared" si="326"/>
        <v>3960000</v>
      </c>
      <c r="O517" s="53">
        <v>27720000</v>
      </c>
      <c r="P517" s="52"/>
      <c r="Q517" s="52"/>
      <c r="R517" s="52"/>
      <c r="S517" s="53">
        <f t="shared" si="323"/>
        <v>27720000</v>
      </c>
      <c r="T517" s="52">
        <v>5</v>
      </c>
      <c r="U517" s="53">
        <f t="shared" si="327"/>
        <v>5544000</v>
      </c>
      <c r="V517" s="52">
        <v>0.5</v>
      </c>
      <c r="W517" s="53"/>
      <c r="X517" s="24"/>
      <c r="Y517" s="41">
        <f t="shared" si="329"/>
        <v>0</v>
      </c>
      <c r="Z517" s="41"/>
      <c r="AA517" s="24">
        <v>5</v>
      </c>
      <c r="AB517" s="41">
        <f t="shared" si="328"/>
        <v>27720000</v>
      </c>
      <c r="AC517" s="41">
        <f t="shared" si="322"/>
        <v>0</v>
      </c>
      <c r="AD517" s="70" t="s">
        <v>350</v>
      </c>
      <c r="AE517" s="70"/>
      <c r="AF517" s="1">
        <v>27720000</v>
      </c>
      <c r="AG517" s="5">
        <f t="shared" si="303"/>
        <v>0</v>
      </c>
      <c r="AH517" s="5"/>
    </row>
    <row r="518" spans="1:34" s="1" customFormat="1" ht="10.5" x14ac:dyDescent="0.25">
      <c r="A518" s="49">
        <v>21</v>
      </c>
      <c r="B518" s="50" t="s">
        <v>1700</v>
      </c>
      <c r="C518" s="50" t="s">
        <v>1032</v>
      </c>
      <c r="D518" s="51" t="s">
        <v>1008</v>
      </c>
      <c r="E518" s="52"/>
      <c r="F518" s="52"/>
      <c r="G518" s="52" t="s">
        <v>194</v>
      </c>
      <c r="H518" s="52" t="s">
        <v>62</v>
      </c>
      <c r="I518" s="52">
        <v>2017</v>
      </c>
      <c r="J518" s="52"/>
      <c r="K518" s="52" t="s">
        <v>63</v>
      </c>
      <c r="L518" s="52" t="s">
        <v>64</v>
      </c>
      <c r="M518" s="52">
        <v>1</v>
      </c>
      <c r="N518" s="53">
        <f t="shared" si="326"/>
        <v>7029000</v>
      </c>
      <c r="O518" s="53">
        <v>7029000</v>
      </c>
      <c r="P518" s="52"/>
      <c r="Q518" s="52"/>
      <c r="R518" s="52"/>
      <c r="S518" s="53">
        <f t="shared" si="323"/>
        <v>7029000</v>
      </c>
      <c r="T518" s="52">
        <v>5</v>
      </c>
      <c r="U518" s="53">
        <f t="shared" si="327"/>
        <v>1405800</v>
      </c>
      <c r="V518" s="52">
        <v>0.5</v>
      </c>
      <c r="W518" s="53">
        <f t="shared" si="324"/>
        <v>702900</v>
      </c>
      <c r="X518" s="24">
        <v>0.5</v>
      </c>
      <c r="Y518" s="41">
        <f>SUM(U518*X518)-117150</f>
        <v>585750</v>
      </c>
      <c r="Z518" s="41">
        <f t="shared" si="325"/>
        <v>1288650</v>
      </c>
      <c r="AA518" s="72">
        <f>2022-I518+V518+X518-11/12-1/12</f>
        <v>5</v>
      </c>
      <c r="AB518" s="41">
        <f t="shared" si="328"/>
        <v>7029000</v>
      </c>
      <c r="AC518" s="41">
        <f t="shared" si="322"/>
        <v>0</v>
      </c>
      <c r="AD518" s="70"/>
      <c r="AE518" s="70"/>
      <c r="AF518" s="1">
        <v>7029000</v>
      </c>
      <c r="AG518" s="5">
        <f t="shared" si="303"/>
        <v>1288650</v>
      </c>
      <c r="AH518" s="5"/>
    </row>
    <row r="519" spans="1:34" s="1" customFormat="1" ht="10.5" x14ac:dyDescent="0.25">
      <c r="A519" s="49">
        <v>22</v>
      </c>
      <c r="B519" s="50" t="s">
        <v>1700</v>
      </c>
      <c r="C519" s="73" t="s">
        <v>1033</v>
      </c>
      <c r="D519" s="51" t="s">
        <v>1008</v>
      </c>
      <c r="E519" s="52" t="s">
        <v>211</v>
      </c>
      <c r="F519" s="52"/>
      <c r="G519" s="52" t="s">
        <v>194</v>
      </c>
      <c r="H519" s="52" t="s">
        <v>62</v>
      </c>
      <c r="I519" s="52">
        <v>2020</v>
      </c>
      <c r="J519" s="52"/>
      <c r="K519" s="52" t="s">
        <v>63</v>
      </c>
      <c r="L519" s="52" t="s">
        <v>64</v>
      </c>
      <c r="M519" s="52">
        <v>3</v>
      </c>
      <c r="N519" s="53">
        <f t="shared" si="326"/>
        <v>3333333.3333333335</v>
      </c>
      <c r="O519" s="53">
        <v>10000000</v>
      </c>
      <c r="P519" s="52"/>
      <c r="Q519" s="52"/>
      <c r="R519" s="52"/>
      <c r="S519" s="53">
        <f t="shared" si="323"/>
        <v>10000000</v>
      </c>
      <c r="T519" s="52">
        <v>5</v>
      </c>
      <c r="U519" s="53">
        <f t="shared" si="327"/>
        <v>2000000</v>
      </c>
      <c r="V519" s="52">
        <v>0.5</v>
      </c>
      <c r="W519" s="53">
        <f t="shared" si="324"/>
        <v>1000000</v>
      </c>
      <c r="X519" s="52">
        <v>0.5</v>
      </c>
      <c r="Y519" s="53">
        <f t="shared" si="329"/>
        <v>1000000</v>
      </c>
      <c r="Z519" s="53">
        <f t="shared" si="325"/>
        <v>2000000</v>
      </c>
      <c r="AA519" s="57">
        <f>2022-I519+V519+X519-11/12</f>
        <v>2.0833333333333335</v>
      </c>
      <c r="AB519" s="53">
        <f t="shared" si="328"/>
        <v>4166666.666666667</v>
      </c>
      <c r="AC519" s="53">
        <f t="shared" si="322"/>
        <v>5833333.333333333</v>
      </c>
      <c r="AD519" s="56"/>
      <c r="AE519" s="70"/>
      <c r="AF519" s="1">
        <v>4166666.666666667</v>
      </c>
      <c r="AG519" s="5">
        <f t="shared" si="303"/>
        <v>2000000</v>
      </c>
      <c r="AH519" s="5"/>
    </row>
    <row r="520" spans="1:34" s="1" customFormat="1" ht="10.5" x14ac:dyDescent="0.25">
      <c r="A520" s="49">
        <v>23</v>
      </c>
      <c r="B520" s="50" t="s">
        <v>1700</v>
      </c>
      <c r="C520" s="73" t="s">
        <v>1034</v>
      </c>
      <c r="D520" s="51" t="s">
        <v>1008</v>
      </c>
      <c r="E520" s="52" t="s">
        <v>1035</v>
      </c>
      <c r="F520" s="52"/>
      <c r="G520" s="52" t="s">
        <v>194</v>
      </c>
      <c r="H520" s="52" t="s">
        <v>62</v>
      </c>
      <c r="I520" s="52">
        <v>2021</v>
      </c>
      <c r="J520" s="52"/>
      <c r="K520" s="52" t="s">
        <v>63</v>
      </c>
      <c r="L520" s="52" t="s">
        <v>64</v>
      </c>
      <c r="M520" s="52">
        <v>4</v>
      </c>
      <c r="N520" s="53">
        <f t="shared" si="326"/>
        <v>5700000</v>
      </c>
      <c r="O520" s="53">
        <v>22800000</v>
      </c>
      <c r="P520" s="52"/>
      <c r="Q520" s="52"/>
      <c r="R520" s="52"/>
      <c r="S520" s="53">
        <f t="shared" si="323"/>
        <v>22800000</v>
      </c>
      <c r="T520" s="52">
        <v>5</v>
      </c>
      <c r="U520" s="53">
        <f t="shared" si="327"/>
        <v>4560000</v>
      </c>
      <c r="V520" s="52">
        <v>0.5</v>
      </c>
      <c r="W520" s="53">
        <f t="shared" si="324"/>
        <v>2280000</v>
      </c>
      <c r="X520" s="52">
        <v>0.5</v>
      </c>
      <c r="Y520" s="53">
        <f t="shared" ref="Y520" si="330">SUM(U520*X520)</f>
        <v>2280000</v>
      </c>
      <c r="Z520" s="53">
        <f t="shared" si="325"/>
        <v>4560000</v>
      </c>
      <c r="AA520" s="57">
        <f>1/12+0.5+0.5</f>
        <v>1.0833333333333335</v>
      </c>
      <c r="AB520" s="53">
        <f t="shared" ref="AB520:AB521" si="331">SUM(U520*AA520)</f>
        <v>4940000.0000000009</v>
      </c>
      <c r="AC520" s="53">
        <f t="shared" si="322"/>
        <v>17860000</v>
      </c>
      <c r="AD520" s="56"/>
      <c r="AE520" s="70"/>
      <c r="AF520" s="1">
        <v>4940000.0000000009</v>
      </c>
      <c r="AG520" s="5">
        <f t="shared" si="303"/>
        <v>4559999.9999999991</v>
      </c>
      <c r="AH520" s="5"/>
    </row>
    <row r="521" spans="1:34" s="1" customFormat="1" ht="10.5" x14ac:dyDescent="0.25">
      <c r="A521" s="49">
        <v>24</v>
      </c>
      <c r="B521" s="50" t="s">
        <v>1700</v>
      </c>
      <c r="C521" s="73" t="s">
        <v>422</v>
      </c>
      <c r="D521" s="51" t="s">
        <v>1008</v>
      </c>
      <c r="E521" s="52" t="s">
        <v>1036</v>
      </c>
      <c r="F521" s="52"/>
      <c r="G521" s="52" t="s">
        <v>194</v>
      </c>
      <c r="H521" s="52" t="s">
        <v>62</v>
      </c>
      <c r="I521" s="52">
        <v>2022</v>
      </c>
      <c r="J521" s="52"/>
      <c r="K521" s="52" t="s">
        <v>63</v>
      </c>
      <c r="L521" s="52" t="s">
        <v>64</v>
      </c>
      <c r="M521" s="52">
        <v>1</v>
      </c>
      <c r="N521" s="53">
        <f t="shared" si="326"/>
        <v>18850000</v>
      </c>
      <c r="O521" s="53">
        <v>18850000</v>
      </c>
      <c r="P521" s="52"/>
      <c r="Q521" s="52"/>
      <c r="R521" s="52"/>
      <c r="S521" s="53">
        <f t="shared" si="323"/>
        <v>18850000</v>
      </c>
      <c r="T521" s="52">
        <v>5</v>
      </c>
      <c r="U521" s="53">
        <f t="shared" si="327"/>
        <v>3770000</v>
      </c>
      <c r="V521" s="52">
        <v>0.5</v>
      </c>
      <c r="W521" s="53">
        <f t="shared" si="324"/>
        <v>1885000</v>
      </c>
      <c r="X521" s="52">
        <v>0.5</v>
      </c>
      <c r="Y521" s="53">
        <f t="shared" ref="Y521" si="332">SUM(U521*X521)</f>
        <v>1885000</v>
      </c>
      <c r="Z521" s="53">
        <f t="shared" si="325"/>
        <v>3770000</v>
      </c>
      <c r="AA521" s="57">
        <f>1/12+0.5+0.5</f>
        <v>1.0833333333333335</v>
      </c>
      <c r="AB521" s="53">
        <f t="shared" si="331"/>
        <v>4084166.6666666674</v>
      </c>
      <c r="AC521" s="53">
        <f t="shared" si="322"/>
        <v>14765833.333333332</v>
      </c>
      <c r="AD521" s="56" t="s">
        <v>1037</v>
      </c>
      <c r="AE521" s="70"/>
      <c r="AF521" s="1">
        <v>4084166.6666666674</v>
      </c>
      <c r="AG521" s="5">
        <f t="shared" si="303"/>
        <v>3770000.0000000005</v>
      </c>
      <c r="AH521" s="5"/>
    </row>
    <row r="522" spans="1:34" s="1" customFormat="1" ht="10.5" x14ac:dyDescent="0.25">
      <c r="A522" s="49">
        <v>25</v>
      </c>
      <c r="B522" s="22" t="s">
        <v>1701</v>
      </c>
      <c r="C522" s="22" t="s">
        <v>58</v>
      </c>
      <c r="D522" s="51" t="s">
        <v>918</v>
      </c>
      <c r="E522" s="24" t="s">
        <v>919</v>
      </c>
      <c r="F522" s="24"/>
      <c r="G522" s="24" t="s">
        <v>194</v>
      </c>
      <c r="H522" s="24" t="s">
        <v>62</v>
      </c>
      <c r="I522" s="24">
        <v>2011</v>
      </c>
      <c r="J522" s="24"/>
      <c r="K522" s="24" t="s">
        <v>920</v>
      </c>
      <c r="L522" s="24" t="s">
        <v>64</v>
      </c>
      <c r="M522" s="24">
        <v>1</v>
      </c>
      <c r="N522" s="41">
        <f t="shared" ref="N522:N527" si="333">SUM(O522/M522)</f>
        <v>7500000</v>
      </c>
      <c r="O522" s="41">
        <v>7500000</v>
      </c>
      <c r="P522" s="24"/>
      <c r="Q522" s="24"/>
      <c r="R522" s="24"/>
      <c r="S522" s="41">
        <f t="shared" ref="S522:S527" si="334">SUM(O522-R522)</f>
        <v>7500000</v>
      </c>
      <c r="T522" s="24">
        <v>5</v>
      </c>
      <c r="U522" s="41"/>
      <c r="V522" s="24">
        <v>0.5</v>
      </c>
      <c r="W522" s="41">
        <f t="shared" ref="W522:W527" si="335">SUM(U522*V522)</f>
        <v>0</v>
      </c>
      <c r="X522" s="24"/>
      <c r="Y522" s="41">
        <f t="shared" ref="Y522:Y527" si="336">SUM(U522*X522)</f>
        <v>0</v>
      </c>
      <c r="Z522" s="41">
        <f t="shared" ref="Z522:Z527" si="337">SUM(W522+Y522)</f>
        <v>0</v>
      </c>
      <c r="AA522" s="72">
        <v>5</v>
      </c>
      <c r="AB522" s="41">
        <v>7500000</v>
      </c>
      <c r="AC522" s="41">
        <f t="shared" si="322"/>
        <v>0</v>
      </c>
      <c r="AD522" s="70" t="s">
        <v>287</v>
      </c>
      <c r="AE522" s="70"/>
      <c r="AF522" s="1">
        <v>7500000</v>
      </c>
      <c r="AG522" s="5">
        <f t="shared" si="303"/>
        <v>0</v>
      </c>
      <c r="AH522" s="5"/>
    </row>
    <row r="523" spans="1:34" s="1" customFormat="1" ht="10.5" x14ac:dyDescent="0.25">
      <c r="A523" s="49">
        <v>26</v>
      </c>
      <c r="B523" s="22" t="s">
        <v>1701</v>
      </c>
      <c r="C523" s="22" t="s">
        <v>58</v>
      </c>
      <c r="D523" s="51" t="s">
        <v>921</v>
      </c>
      <c r="E523" s="24" t="s">
        <v>922</v>
      </c>
      <c r="F523" s="24"/>
      <c r="G523" s="24" t="s">
        <v>194</v>
      </c>
      <c r="H523" s="24" t="s">
        <v>62</v>
      </c>
      <c r="I523" s="24">
        <v>2011</v>
      </c>
      <c r="J523" s="24"/>
      <c r="K523" s="24" t="s">
        <v>920</v>
      </c>
      <c r="L523" s="24" t="s">
        <v>64</v>
      </c>
      <c r="M523" s="24">
        <v>1</v>
      </c>
      <c r="N523" s="41">
        <f t="shared" si="333"/>
        <v>6500000</v>
      </c>
      <c r="O523" s="41">
        <v>6500000</v>
      </c>
      <c r="P523" s="24"/>
      <c r="Q523" s="24"/>
      <c r="R523" s="24"/>
      <c r="S523" s="41">
        <f t="shared" si="334"/>
        <v>6500000</v>
      </c>
      <c r="T523" s="24">
        <v>5</v>
      </c>
      <c r="U523" s="41"/>
      <c r="V523" s="24">
        <v>0.5</v>
      </c>
      <c r="W523" s="41">
        <f t="shared" si="335"/>
        <v>0</v>
      </c>
      <c r="X523" s="24"/>
      <c r="Y523" s="41">
        <f t="shared" si="336"/>
        <v>0</v>
      </c>
      <c r="Z523" s="41">
        <f t="shared" si="337"/>
        <v>0</v>
      </c>
      <c r="AA523" s="72">
        <v>5</v>
      </c>
      <c r="AB523" s="41">
        <v>6500000</v>
      </c>
      <c r="AC523" s="41">
        <f t="shared" si="322"/>
        <v>0</v>
      </c>
      <c r="AD523" s="70" t="s">
        <v>295</v>
      </c>
      <c r="AE523" s="70"/>
      <c r="AF523" s="1">
        <v>6500000</v>
      </c>
      <c r="AG523" s="5">
        <f t="shared" si="303"/>
        <v>0</v>
      </c>
      <c r="AH523" s="5"/>
    </row>
    <row r="524" spans="1:34" s="1" customFormat="1" ht="10.5" x14ac:dyDescent="0.25">
      <c r="A524" s="49">
        <v>27</v>
      </c>
      <c r="B524" s="22" t="s">
        <v>1701</v>
      </c>
      <c r="C524" s="22" t="s">
        <v>75</v>
      </c>
      <c r="D524" s="51" t="s">
        <v>923</v>
      </c>
      <c r="E524" s="24" t="s">
        <v>922</v>
      </c>
      <c r="F524" s="24"/>
      <c r="G524" s="24" t="s">
        <v>194</v>
      </c>
      <c r="H524" s="24" t="s">
        <v>62</v>
      </c>
      <c r="I524" s="24">
        <v>2011</v>
      </c>
      <c r="J524" s="24"/>
      <c r="K524" s="24" t="s">
        <v>920</v>
      </c>
      <c r="L524" s="24" t="s">
        <v>64</v>
      </c>
      <c r="M524" s="24">
        <v>1</v>
      </c>
      <c r="N524" s="41">
        <f t="shared" si="333"/>
        <v>6500000</v>
      </c>
      <c r="O524" s="41">
        <v>6500000</v>
      </c>
      <c r="P524" s="24"/>
      <c r="Q524" s="24"/>
      <c r="R524" s="24"/>
      <c r="S524" s="41">
        <f t="shared" si="334"/>
        <v>6500000</v>
      </c>
      <c r="T524" s="24">
        <v>5</v>
      </c>
      <c r="U524" s="41"/>
      <c r="V524" s="24">
        <v>0.5</v>
      </c>
      <c r="W524" s="41">
        <f t="shared" si="335"/>
        <v>0</v>
      </c>
      <c r="X524" s="24"/>
      <c r="Y524" s="41">
        <f t="shared" si="336"/>
        <v>0</v>
      </c>
      <c r="Z524" s="41">
        <f t="shared" si="337"/>
        <v>0</v>
      </c>
      <c r="AA524" s="72">
        <v>5</v>
      </c>
      <c r="AB524" s="41">
        <v>6500000</v>
      </c>
      <c r="AC524" s="41">
        <f t="shared" si="322"/>
        <v>0</v>
      </c>
      <c r="AD524" s="70" t="s">
        <v>297</v>
      </c>
      <c r="AE524" s="70"/>
      <c r="AF524" s="1">
        <v>6500000</v>
      </c>
      <c r="AG524" s="5">
        <f t="shared" si="303"/>
        <v>0</v>
      </c>
      <c r="AH524" s="5"/>
    </row>
    <row r="525" spans="1:34" s="1" customFormat="1" ht="10.5" x14ac:dyDescent="0.25">
      <c r="A525" s="49">
        <v>28</v>
      </c>
      <c r="B525" s="22" t="s">
        <v>1701</v>
      </c>
      <c r="C525" s="22" t="s">
        <v>79</v>
      </c>
      <c r="D525" s="51" t="s">
        <v>923</v>
      </c>
      <c r="E525" s="24" t="s">
        <v>924</v>
      </c>
      <c r="F525" s="24"/>
      <c r="G525" s="24" t="s">
        <v>194</v>
      </c>
      <c r="H525" s="24" t="s">
        <v>62</v>
      </c>
      <c r="I525" s="24">
        <v>2012</v>
      </c>
      <c r="J525" s="24"/>
      <c r="K525" s="24" t="s">
        <v>63</v>
      </c>
      <c r="L525" s="24" t="s">
        <v>64</v>
      </c>
      <c r="M525" s="24">
        <v>1</v>
      </c>
      <c r="N525" s="41">
        <f t="shared" si="333"/>
        <v>7000000</v>
      </c>
      <c r="O525" s="41">
        <v>7000000</v>
      </c>
      <c r="P525" s="24"/>
      <c r="Q525" s="24"/>
      <c r="R525" s="24"/>
      <c r="S525" s="41">
        <f t="shared" si="334"/>
        <v>7000000</v>
      </c>
      <c r="T525" s="24">
        <v>5</v>
      </c>
      <c r="U525" s="41"/>
      <c r="V525" s="24">
        <v>0.5</v>
      </c>
      <c r="W525" s="41">
        <f t="shared" si="335"/>
        <v>0</v>
      </c>
      <c r="X525" s="24"/>
      <c r="Y525" s="41">
        <f t="shared" si="336"/>
        <v>0</v>
      </c>
      <c r="Z525" s="41">
        <f t="shared" si="337"/>
        <v>0</v>
      </c>
      <c r="AA525" s="72">
        <v>5</v>
      </c>
      <c r="AB525" s="41">
        <v>7000000</v>
      </c>
      <c r="AC525" s="41">
        <f t="shared" si="322"/>
        <v>0</v>
      </c>
      <c r="AD525" s="70" t="s">
        <v>295</v>
      </c>
      <c r="AE525" s="70"/>
      <c r="AF525" s="1">
        <v>7000000</v>
      </c>
      <c r="AG525" s="5">
        <f t="shared" si="303"/>
        <v>0</v>
      </c>
      <c r="AH525" s="5"/>
    </row>
    <row r="526" spans="1:34" s="1" customFormat="1" ht="10.5" x14ac:dyDescent="0.25">
      <c r="A526" s="49">
        <v>29</v>
      </c>
      <c r="B526" s="22" t="s">
        <v>1701</v>
      </c>
      <c r="C526" s="22" t="s">
        <v>84</v>
      </c>
      <c r="D526" s="51" t="s">
        <v>921</v>
      </c>
      <c r="E526" s="24" t="s">
        <v>924</v>
      </c>
      <c r="F526" s="24"/>
      <c r="G526" s="24" t="s">
        <v>194</v>
      </c>
      <c r="H526" s="24" t="s">
        <v>62</v>
      </c>
      <c r="I526" s="24">
        <v>2012</v>
      </c>
      <c r="J526" s="24"/>
      <c r="K526" s="24" t="s">
        <v>63</v>
      </c>
      <c r="L526" s="24" t="s">
        <v>64</v>
      </c>
      <c r="M526" s="24">
        <v>1</v>
      </c>
      <c r="N526" s="41">
        <f t="shared" si="333"/>
        <v>7000000</v>
      </c>
      <c r="O526" s="41">
        <v>7000000</v>
      </c>
      <c r="P526" s="24"/>
      <c r="Q526" s="24"/>
      <c r="R526" s="24"/>
      <c r="S526" s="41">
        <f t="shared" si="334"/>
        <v>7000000</v>
      </c>
      <c r="T526" s="24">
        <v>5</v>
      </c>
      <c r="U526" s="41"/>
      <c r="V526" s="24">
        <v>0.5</v>
      </c>
      <c r="W526" s="41">
        <f t="shared" si="335"/>
        <v>0</v>
      </c>
      <c r="X526" s="24"/>
      <c r="Y526" s="41">
        <f t="shared" si="336"/>
        <v>0</v>
      </c>
      <c r="Z526" s="41">
        <f t="shared" si="337"/>
        <v>0</v>
      </c>
      <c r="AA526" s="72">
        <v>5</v>
      </c>
      <c r="AB526" s="41">
        <v>7000000</v>
      </c>
      <c r="AC526" s="41">
        <f t="shared" si="322"/>
        <v>0</v>
      </c>
      <c r="AD526" s="70" t="s">
        <v>925</v>
      </c>
      <c r="AE526" s="70"/>
      <c r="AF526" s="1">
        <v>7000000</v>
      </c>
      <c r="AG526" s="5">
        <f t="shared" si="303"/>
        <v>0</v>
      </c>
      <c r="AH526" s="5"/>
    </row>
    <row r="527" spans="1:34" s="1" customFormat="1" ht="10.5" x14ac:dyDescent="0.25">
      <c r="A527" s="49">
        <v>30</v>
      </c>
      <c r="B527" s="22" t="s">
        <v>1701</v>
      </c>
      <c r="C527" s="22" t="s">
        <v>88</v>
      </c>
      <c r="D527" s="51" t="s">
        <v>923</v>
      </c>
      <c r="E527" s="24" t="s">
        <v>924</v>
      </c>
      <c r="F527" s="24"/>
      <c r="G527" s="24" t="s">
        <v>194</v>
      </c>
      <c r="H527" s="24" t="s">
        <v>62</v>
      </c>
      <c r="I527" s="24">
        <v>2012</v>
      </c>
      <c r="J527" s="24"/>
      <c r="K527" s="24" t="s">
        <v>63</v>
      </c>
      <c r="L527" s="24" t="s">
        <v>64</v>
      </c>
      <c r="M527" s="24">
        <v>1</v>
      </c>
      <c r="N527" s="41">
        <f t="shared" si="333"/>
        <v>7000000</v>
      </c>
      <c r="O527" s="41">
        <v>7000000</v>
      </c>
      <c r="P527" s="24"/>
      <c r="Q527" s="24"/>
      <c r="R527" s="24"/>
      <c r="S527" s="41">
        <f t="shared" si="334"/>
        <v>7000000</v>
      </c>
      <c r="T527" s="24">
        <v>5</v>
      </c>
      <c r="U527" s="41"/>
      <c r="V527" s="24">
        <v>0.5</v>
      </c>
      <c r="W527" s="41">
        <f t="shared" si="335"/>
        <v>0</v>
      </c>
      <c r="X527" s="24"/>
      <c r="Y527" s="41">
        <f t="shared" si="336"/>
        <v>0</v>
      </c>
      <c r="Z527" s="41">
        <f t="shared" si="337"/>
        <v>0</v>
      </c>
      <c r="AA527" s="72">
        <v>5</v>
      </c>
      <c r="AB527" s="41">
        <v>7000000</v>
      </c>
      <c r="AC527" s="41">
        <f t="shared" si="322"/>
        <v>0</v>
      </c>
      <c r="AD527" s="70" t="s">
        <v>926</v>
      </c>
      <c r="AE527" s="70"/>
      <c r="AF527" s="1">
        <v>7000000</v>
      </c>
      <c r="AG527" s="5">
        <f t="shared" si="303"/>
        <v>0</v>
      </c>
      <c r="AH527" s="5"/>
    </row>
    <row r="528" spans="1:34" s="1" customFormat="1" ht="10.5" x14ac:dyDescent="0.25">
      <c r="A528" s="49">
        <v>31</v>
      </c>
      <c r="B528" s="22" t="s">
        <v>1701</v>
      </c>
      <c r="C528" s="22" t="s">
        <v>58</v>
      </c>
      <c r="D528" s="51" t="s">
        <v>589</v>
      </c>
      <c r="E528" s="24" t="s">
        <v>590</v>
      </c>
      <c r="F528" s="24"/>
      <c r="G528" s="24" t="s">
        <v>194</v>
      </c>
      <c r="H528" s="24" t="s">
        <v>62</v>
      </c>
      <c r="I528" s="24">
        <v>2015</v>
      </c>
      <c r="J528" s="24"/>
      <c r="K528" s="24" t="s">
        <v>63</v>
      </c>
      <c r="L528" s="24" t="s">
        <v>64</v>
      </c>
      <c r="M528" s="24">
        <v>1</v>
      </c>
      <c r="N528" s="41">
        <f t="shared" ref="N528" si="338">SUM(O528/M528)</f>
        <v>2125000</v>
      </c>
      <c r="O528" s="41">
        <v>2125000</v>
      </c>
      <c r="P528" s="24"/>
      <c r="Q528" s="24"/>
      <c r="R528" s="24"/>
      <c r="S528" s="41">
        <f t="shared" ref="S528" si="339">SUM(O528-R528)</f>
        <v>2125000</v>
      </c>
      <c r="T528" s="24">
        <v>5</v>
      </c>
      <c r="U528" s="41">
        <f t="shared" ref="U528" si="340">SUM(S528/T528)</f>
        <v>425000</v>
      </c>
      <c r="V528" s="24">
        <v>0.5</v>
      </c>
      <c r="W528" s="41"/>
      <c r="X528" s="166"/>
      <c r="Y528" s="53">
        <f>SUM(U528*X528)</f>
        <v>0</v>
      </c>
      <c r="Z528" s="53"/>
      <c r="AA528" s="166">
        <v>5</v>
      </c>
      <c r="AB528" s="53">
        <f t="shared" ref="AB528" si="341">SUM(U528*AA528)</f>
        <v>2125000</v>
      </c>
      <c r="AC528" s="53">
        <f t="shared" si="322"/>
        <v>0</v>
      </c>
      <c r="AD528" s="52" t="s">
        <v>591</v>
      </c>
      <c r="AE528" s="70"/>
      <c r="AF528" s="1">
        <v>2125000</v>
      </c>
      <c r="AG528" s="5">
        <f t="shared" si="303"/>
        <v>0</v>
      </c>
      <c r="AH528" s="5"/>
    </row>
    <row r="529" spans="1:34" s="1" customFormat="1" ht="10.5" x14ac:dyDescent="0.25">
      <c r="A529" s="49">
        <v>32</v>
      </c>
      <c r="B529" s="22" t="s">
        <v>1701</v>
      </c>
      <c r="C529" s="22" t="s">
        <v>58</v>
      </c>
      <c r="D529" s="51" t="s">
        <v>878</v>
      </c>
      <c r="E529" s="24" t="s">
        <v>879</v>
      </c>
      <c r="F529" s="24"/>
      <c r="G529" s="24" t="s">
        <v>194</v>
      </c>
      <c r="H529" s="24" t="s">
        <v>62</v>
      </c>
      <c r="I529" s="24">
        <v>2012</v>
      </c>
      <c r="J529" s="24"/>
      <c r="K529" s="24" t="s">
        <v>63</v>
      </c>
      <c r="L529" s="24" t="s">
        <v>64</v>
      </c>
      <c r="M529" s="24">
        <v>1</v>
      </c>
      <c r="N529" s="41">
        <f t="shared" ref="N529:N531" si="342">SUM(O529/M529)</f>
        <v>5005000</v>
      </c>
      <c r="O529" s="41">
        <v>5005000</v>
      </c>
      <c r="P529" s="24"/>
      <c r="Q529" s="24"/>
      <c r="R529" s="24"/>
      <c r="S529" s="41">
        <f t="shared" ref="S529:S531" si="343">SUM(O529-R529)</f>
        <v>5005000</v>
      </c>
      <c r="T529" s="24">
        <v>5</v>
      </c>
      <c r="U529" s="41"/>
      <c r="V529" s="24">
        <v>0.5</v>
      </c>
      <c r="W529" s="41">
        <f t="shared" ref="W529:W542" si="344">SUM(U529*V529)</f>
        <v>0</v>
      </c>
      <c r="X529" s="24"/>
      <c r="Y529" s="41">
        <f t="shared" ref="Y529:Y561" si="345">SUM(U529*X529)</f>
        <v>0</v>
      </c>
      <c r="Z529" s="41">
        <f t="shared" ref="Z529:Z531" si="346">SUM(W529+Y529)</f>
        <v>0</v>
      </c>
      <c r="AA529" s="24">
        <v>5</v>
      </c>
      <c r="AB529" s="41">
        <v>5005000</v>
      </c>
      <c r="AC529" s="41">
        <f t="shared" si="322"/>
        <v>0</v>
      </c>
      <c r="AD529" s="70" t="s">
        <v>630</v>
      </c>
      <c r="AE529" s="70"/>
      <c r="AF529" s="1">
        <v>5005000</v>
      </c>
      <c r="AG529" s="5">
        <f t="shared" si="303"/>
        <v>0</v>
      </c>
      <c r="AH529" s="5"/>
    </row>
    <row r="530" spans="1:34" s="1" customFormat="1" ht="10.5" x14ac:dyDescent="0.25">
      <c r="A530" s="49">
        <v>33</v>
      </c>
      <c r="B530" s="22" t="s">
        <v>1701</v>
      </c>
      <c r="C530" s="22" t="s">
        <v>277</v>
      </c>
      <c r="D530" s="51" t="s">
        <v>880</v>
      </c>
      <c r="E530" s="24" t="s">
        <v>881</v>
      </c>
      <c r="F530" s="24"/>
      <c r="G530" s="24" t="s">
        <v>61</v>
      </c>
      <c r="H530" s="24" t="s">
        <v>62</v>
      </c>
      <c r="I530" s="24">
        <v>2011</v>
      </c>
      <c r="J530" s="24"/>
      <c r="K530" s="24" t="s">
        <v>63</v>
      </c>
      <c r="L530" s="24" t="s">
        <v>64</v>
      </c>
      <c r="M530" s="24">
        <v>2</v>
      </c>
      <c r="N530" s="41">
        <f t="shared" si="342"/>
        <v>4800000</v>
      </c>
      <c r="O530" s="41">
        <v>9600000</v>
      </c>
      <c r="P530" s="24"/>
      <c r="Q530" s="24"/>
      <c r="R530" s="24"/>
      <c r="S530" s="41">
        <f t="shared" si="343"/>
        <v>9600000</v>
      </c>
      <c r="T530" s="24">
        <v>5</v>
      </c>
      <c r="U530" s="41"/>
      <c r="V530" s="24">
        <v>0.5</v>
      </c>
      <c r="W530" s="41">
        <f t="shared" si="344"/>
        <v>0</v>
      </c>
      <c r="X530" s="24"/>
      <c r="Y530" s="41">
        <f t="shared" si="345"/>
        <v>0</v>
      </c>
      <c r="Z530" s="41">
        <f t="shared" si="346"/>
        <v>0</v>
      </c>
      <c r="AA530" s="24">
        <v>5</v>
      </c>
      <c r="AB530" s="41">
        <v>9600000</v>
      </c>
      <c r="AC530" s="41">
        <f t="shared" si="322"/>
        <v>0</v>
      </c>
      <c r="AD530" s="70" t="s">
        <v>875</v>
      </c>
      <c r="AE530" s="70"/>
      <c r="AF530" s="1">
        <v>9600000</v>
      </c>
      <c r="AG530" s="5">
        <f t="shared" si="303"/>
        <v>0</v>
      </c>
      <c r="AH530" s="5"/>
    </row>
    <row r="531" spans="1:34" s="1" customFormat="1" ht="10.5" x14ac:dyDescent="0.25">
      <c r="A531" s="49">
        <v>34</v>
      </c>
      <c r="B531" s="22" t="s">
        <v>1701</v>
      </c>
      <c r="C531" s="22" t="s">
        <v>882</v>
      </c>
      <c r="D531" s="51" t="s">
        <v>883</v>
      </c>
      <c r="E531" s="24" t="s">
        <v>884</v>
      </c>
      <c r="F531" s="24"/>
      <c r="G531" s="24" t="s">
        <v>61</v>
      </c>
      <c r="H531" s="24" t="s">
        <v>62</v>
      </c>
      <c r="I531" s="24">
        <v>2018</v>
      </c>
      <c r="J531" s="24"/>
      <c r="K531" s="24" t="s">
        <v>63</v>
      </c>
      <c r="L531" s="24" t="s">
        <v>64</v>
      </c>
      <c r="M531" s="24">
        <v>5</v>
      </c>
      <c r="N531" s="41">
        <f t="shared" si="342"/>
        <v>2970000</v>
      </c>
      <c r="O531" s="41">
        <v>14850000</v>
      </c>
      <c r="P531" s="24"/>
      <c r="Q531" s="24"/>
      <c r="R531" s="24"/>
      <c r="S531" s="41">
        <f t="shared" si="343"/>
        <v>14850000</v>
      </c>
      <c r="T531" s="24">
        <v>5</v>
      </c>
      <c r="U531" s="41">
        <f>SUM(S531/T531)</f>
        <v>2970000</v>
      </c>
      <c r="V531" s="24">
        <v>0.5</v>
      </c>
      <c r="W531" s="41">
        <f t="shared" si="344"/>
        <v>1485000</v>
      </c>
      <c r="X531" s="24">
        <v>0.5</v>
      </c>
      <c r="Y531" s="24">
        <f t="shared" si="345"/>
        <v>1485000</v>
      </c>
      <c r="Z531" s="41">
        <f t="shared" si="346"/>
        <v>2970000</v>
      </c>
      <c r="AA531" s="24">
        <f>2022-I531+V531+X531-9/12</f>
        <v>4.25</v>
      </c>
      <c r="AB531" s="41">
        <f>SUM(U531*AA531)</f>
        <v>12622500</v>
      </c>
      <c r="AC531" s="41">
        <f t="shared" si="322"/>
        <v>2227500</v>
      </c>
      <c r="AD531" s="70"/>
      <c r="AE531" s="70"/>
      <c r="AF531" s="1">
        <v>12622500</v>
      </c>
      <c r="AG531" s="5">
        <f t="shared" si="303"/>
        <v>2970000</v>
      </c>
      <c r="AH531" s="5"/>
    </row>
    <row r="532" spans="1:34" s="1" customFormat="1" ht="10.5" x14ac:dyDescent="0.25">
      <c r="A532" s="49">
        <v>35</v>
      </c>
      <c r="B532" s="22" t="s">
        <v>1702</v>
      </c>
      <c r="C532" s="22" t="s">
        <v>58</v>
      </c>
      <c r="D532" s="51" t="s">
        <v>649</v>
      </c>
      <c r="E532" s="24" t="s">
        <v>650</v>
      </c>
      <c r="F532" s="24"/>
      <c r="G532" s="24" t="s">
        <v>61</v>
      </c>
      <c r="H532" s="24" t="s">
        <v>62</v>
      </c>
      <c r="I532" s="24">
        <v>2011</v>
      </c>
      <c r="J532" s="24"/>
      <c r="K532" s="24" t="s">
        <v>63</v>
      </c>
      <c r="L532" s="24" t="s">
        <v>64</v>
      </c>
      <c r="M532" s="24">
        <v>1</v>
      </c>
      <c r="N532" s="41">
        <f t="shared" ref="N532:N533" si="347">SUM(O532/M532)</f>
        <v>1700000</v>
      </c>
      <c r="O532" s="41">
        <v>1700000</v>
      </c>
      <c r="P532" s="24"/>
      <c r="Q532" s="24"/>
      <c r="R532" s="24"/>
      <c r="S532" s="41">
        <f t="shared" ref="S532:S533" si="348">SUM(O532-R532)</f>
        <v>1700000</v>
      </c>
      <c r="T532" s="24">
        <v>5</v>
      </c>
      <c r="U532" s="41"/>
      <c r="V532" s="24">
        <v>0.5</v>
      </c>
      <c r="W532" s="41">
        <f t="shared" si="344"/>
        <v>0</v>
      </c>
      <c r="X532" s="177"/>
      <c r="Y532" s="53">
        <f t="shared" si="345"/>
        <v>0</v>
      </c>
      <c r="Z532" s="53">
        <f t="shared" ref="Z532:Z533" si="349">SUM(W532+Y532)</f>
        <v>0</v>
      </c>
      <c r="AA532" s="53">
        <v>5</v>
      </c>
      <c r="AB532" s="53">
        <v>1700000</v>
      </c>
      <c r="AC532" s="53">
        <f t="shared" ref="AC532:AC533" si="350">SUM(O532-AB532)</f>
        <v>0</v>
      </c>
      <c r="AD532" s="52" t="s">
        <v>295</v>
      </c>
      <c r="AE532" s="70"/>
      <c r="AF532" s="1">
        <v>1700000</v>
      </c>
      <c r="AG532" s="5">
        <f t="shared" si="303"/>
        <v>0</v>
      </c>
      <c r="AH532" s="5"/>
    </row>
    <row r="533" spans="1:34" s="1" customFormat="1" ht="10.5" x14ac:dyDescent="0.25">
      <c r="A533" s="49">
        <v>36</v>
      </c>
      <c r="B533" s="22" t="s">
        <v>1702</v>
      </c>
      <c r="C533" s="22" t="s">
        <v>75</v>
      </c>
      <c r="D533" s="51" t="s">
        <v>651</v>
      </c>
      <c r="E533" s="24" t="s">
        <v>650</v>
      </c>
      <c r="F533" s="24"/>
      <c r="G533" s="24" t="s">
        <v>61</v>
      </c>
      <c r="H533" s="24" t="s">
        <v>62</v>
      </c>
      <c r="I533" s="24">
        <v>2011</v>
      </c>
      <c r="J533" s="24"/>
      <c r="K533" s="24" t="s">
        <v>63</v>
      </c>
      <c r="L533" s="24" t="s">
        <v>64</v>
      </c>
      <c r="M533" s="24">
        <v>1</v>
      </c>
      <c r="N533" s="41">
        <f t="shared" si="347"/>
        <v>1700000</v>
      </c>
      <c r="O533" s="41">
        <v>1700000</v>
      </c>
      <c r="P533" s="24"/>
      <c r="Q533" s="24"/>
      <c r="R533" s="24"/>
      <c r="S533" s="41">
        <f t="shared" si="348"/>
        <v>1700000</v>
      </c>
      <c r="T533" s="24">
        <v>5</v>
      </c>
      <c r="U533" s="41"/>
      <c r="V533" s="24">
        <v>0.5</v>
      </c>
      <c r="W533" s="41">
        <f t="shared" si="344"/>
        <v>0</v>
      </c>
      <c r="X533" s="24"/>
      <c r="Y533" s="41">
        <f t="shared" si="345"/>
        <v>0</v>
      </c>
      <c r="Z533" s="41">
        <f t="shared" si="349"/>
        <v>0</v>
      </c>
      <c r="AA533" s="69">
        <v>5</v>
      </c>
      <c r="AB533" s="41">
        <v>1700000</v>
      </c>
      <c r="AC533" s="41">
        <f t="shared" si="350"/>
        <v>0</v>
      </c>
      <c r="AD533" s="70" t="s">
        <v>297</v>
      </c>
      <c r="AE533" s="70"/>
      <c r="AF533" s="1">
        <v>1700000</v>
      </c>
      <c r="AG533" s="5">
        <f t="shared" si="303"/>
        <v>0</v>
      </c>
      <c r="AH533" s="5"/>
    </row>
    <row r="534" spans="1:34" s="1" customFormat="1" ht="10.5" x14ac:dyDescent="0.25">
      <c r="A534" s="49">
        <v>37</v>
      </c>
      <c r="B534" s="22" t="s">
        <v>1703</v>
      </c>
      <c r="C534" s="22" t="s">
        <v>58</v>
      </c>
      <c r="D534" s="51" t="s">
        <v>947</v>
      </c>
      <c r="E534" s="24" t="s">
        <v>948</v>
      </c>
      <c r="F534" s="24"/>
      <c r="G534" s="24" t="s">
        <v>194</v>
      </c>
      <c r="H534" s="24" t="s">
        <v>62</v>
      </c>
      <c r="I534" s="24">
        <v>2009</v>
      </c>
      <c r="J534" s="24"/>
      <c r="K534" s="24" t="s">
        <v>63</v>
      </c>
      <c r="L534" s="24" t="s">
        <v>64</v>
      </c>
      <c r="M534" s="24">
        <v>1</v>
      </c>
      <c r="N534" s="41">
        <f t="shared" ref="N534:N580" si="351">SUM(O534/M534)</f>
        <v>6850000</v>
      </c>
      <c r="O534" s="41">
        <v>6850000</v>
      </c>
      <c r="P534" s="24"/>
      <c r="Q534" s="24"/>
      <c r="R534" s="24"/>
      <c r="S534" s="41">
        <f t="shared" ref="S534:S552" si="352">SUM(O534-R534)</f>
        <v>6850000</v>
      </c>
      <c r="T534" s="24">
        <v>5</v>
      </c>
      <c r="U534" s="41"/>
      <c r="V534" s="24">
        <v>0.5</v>
      </c>
      <c r="W534" s="41">
        <f t="shared" si="344"/>
        <v>0</v>
      </c>
      <c r="X534" s="24"/>
      <c r="Y534" s="41">
        <f t="shared" si="345"/>
        <v>0</v>
      </c>
      <c r="Z534" s="41">
        <f t="shared" ref="Z534:Z542" si="353">SUM(W534+Y534)</f>
        <v>0</v>
      </c>
      <c r="AA534" s="24">
        <v>5</v>
      </c>
      <c r="AB534" s="41">
        <v>6850000</v>
      </c>
      <c r="AC534" s="41">
        <f t="shared" ref="AC534:AC580" si="354">SUM(O534-AB534)</f>
        <v>0</v>
      </c>
      <c r="AD534" s="70" t="s">
        <v>949</v>
      </c>
      <c r="AE534" s="70"/>
      <c r="AF534" s="1">
        <v>6850000</v>
      </c>
      <c r="AG534" s="5">
        <f t="shared" si="303"/>
        <v>0</v>
      </c>
      <c r="AH534" s="5"/>
    </row>
    <row r="535" spans="1:34" s="1" customFormat="1" ht="10.5" x14ac:dyDescent="0.25">
      <c r="A535" s="49">
        <v>38</v>
      </c>
      <c r="B535" s="22" t="s">
        <v>1703</v>
      </c>
      <c r="C535" s="22" t="s">
        <v>209</v>
      </c>
      <c r="D535" s="51" t="s">
        <v>950</v>
      </c>
      <c r="E535" s="24" t="s">
        <v>951</v>
      </c>
      <c r="F535" s="24"/>
      <c r="G535" s="24" t="s">
        <v>194</v>
      </c>
      <c r="H535" s="24" t="s">
        <v>62</v>
      </c>
      <c r="I535" s="24">
        <v>2011</v>
      </c>
      <c r="J535" s="24"/>
      <c r="K535" s="24" t="s">
        <v>63</v>
      </c>
      <c r="L535" s="24" t="s">
        <v>64</v>
      </c>
      <c r="M535" s="24">
        <v>2</v>
      </c>
      <c r="N535" s="41">
        <f t="shared" si="351"/>
        <v>2750000</v>
      </c>
      <c r="O535" s="41">
        <v>5500000</v>
      </c>
      <c r="P535" s="24"/>
      <c r="Q535" s="24"/>
      <c r="R535" s="24"/>
      <c r="S535" s="41">
        <f t="shared" si="352"/>
        <v>5500000</v>
      </c>
      <c r="T535" s="24">
        <v>5</v>
      </c>
      <c r="U535" s="41"/>
      <c r="V535" s="24">
        <v>0.5</v>
      </c>
      <c r="W535" s="41">
        <f t="shared" si="344"/>
        <v>0</v>
      </c>
      <c r="X535" s="24"/>
      <c r="Y535" s="41">
        <f t="shared" si="345"/>
        <v>0</v>
      </c>
      <c r="Z535" s="41">
        <f t="shared" si="353"/>
        <v>0</v>
      </c>
      <c r="AA535" s="24">
        <v>5</v>
      </c>
      <c r="AB535" s="41">
        <v>5500000</v>
      </c>
      <c r="AC535" s="41">
        <f t="shared" si="354"/>
        <v>0</v>
      </c>
      <c r="AD535" s="70" t="s">
        <v>287</v>
      </c>
      <c r="AE535" s="70"/>
      <c r="AF535" s="1">
        <v>5500000</v>
      </c>
      <c r="AG535" s="5">
        <f t="shared" si="303"/>
        <v>0</v>
      </c>
      <c r="AH535" s="5"/>
    </row>
    <row r="536" spans="1:34" s="1" customFormat="1" ht="10.5" x14ac:dyDescent="0.25">
      <c r="A536" s="49">
        <v>39</v>
      </c>
      <c r="B536" s="22" t="s">
        <v>1703</v>
      </c>
      <c r="C536" s="22" t="s">
        <v>633</v>
      </c>
      <c r="D536" s="51" t="s">
        <v>950</v>
      </c>
      <c r="E536" s="24" t="s">
        <v>951</v>
      </c>
      <c r="F536" s="24"/>
      <c r="G536" s="24" t="s">
        <v>194</v>
      </c>
      <c r="H536" s="24" t="s">
        <v>62</v>
      </c>
      <c r="I536" s="24">
        <v>2011</v>
      </c>
      <c r="J536" s="24"/>
      <c r="K536" s="24" t="s">
        <v>63</v>
      </c>
      <c r="L536" s="24" t="s">
        <v>64</v>
      </c>
      <c r="M536" s="24">
        <v>2</v>
      </c>
      <c r="N536" s="41">
        <f t="shared" si="351"/>
        <v>2750000</v>
      </c>
      <c r="O536" s="41">
        <v>5500000</v>
      </c>
      <c r="P536" s="24"/>
      <c r="Q536" s="24"/>
      <c r="R536" s="24"/>
      <c r="S536" s="41">
        <f t="shared" si="352"/>
        <v>5500000</v>
      </c>
      <c r="T536" s="24">
        <v>5</v>
      </c>
      <c r="U536" s="41"/>
      <c r="V536" s="24">
        <v>0.5</v>
      </c>
      <c r="W536" s="41">
        <f t="shared" si="344"/>
        <v>0</v>
      </c>
      <c r="X536" s="24"/>
      <c r="Y536" s="41">
        <f t="shared" si="345"/>
        <v>0</v>
      </c>
      <c r="Z536" s="41">
        <f t="shared" si="353"/>
        <v>0</v>
      </c>
      <c r="AA536" s="24">
        <v>5</v>
      </c>
      <c r="AB536" s="41">
        <v>5500000</v>
      </c>
      <c r="AC536" s="41">
        <f t="shared" si="354"/>
        <v>0</v>
      </c>
      <c r="AD536" s="70" t="s">
        <v>303</v>
      </c>
      <c r="AE536" s="70"/>
      <c r="AF536" s="1">
        <v>5500000</v>
      </c>
      <c r="AG536" s="5">
        <f t="shared" si="303"/>
        <v>0</v>
      </c>
      <c r="AH536" s="5"/>
    </row>
    <row r="537" spans="1:34" s="1" customFormat="1" ht="10.5" x14ac:dyDescent="0.25">
      <c r="A537" s="49">
        <v>40</v>
      </c>
      <c r="B537" s="22" t="s">
        <v>1703</v>
      </c>
      <c r="C537" s="22" t="s">
        <v>952</v>
      </c>
      <c r="D537" s="51" t="s">
        <v>950</v>
      </c>
      <c r="E537" s="24" t="s">
        <v>953</v>
      </c>
      <c r="F537" s="24"/>
      <c r="G537" s="24" t="s">
        <v>194</v>
      </c>
      <c r="H537" s="24" t="s">
        <v>62</v>
      </c>
      <c r="I537" s="24">
        <v>2011</v>
      </c>
      <c r="J537" s="24"/>
      <c r="K537" s="24" t="s">
        <v>63</v>
      </c>
      <c r="L537" s="24" t="s">
        <v>64</v>
      </c>
      <c r="M537" s="24">
        <v>4</v>
      </c>
      <c r="N537" s="41">
        <f t="shared" si="351"/>
        <v>3000000</v>
      </c>
      <c r="O537" s="41">
        <v>12000000</v>
      </c>
      <c r="P537" s="24"/>
      <c r="Q537" s="24"/>
      <c r="R537" s="24"/>
      <c r="S537" s="41">
        <f t="shared" si="352"/>
        <v>12000000</v>
      </c>
      <c r="T537" s="24">
        <v>5</v>
      </c>
      <c r="U537" s="41"/>
      <c r="V537" s="24">
        <v>0.5</v>
      </c>
      <c r="W537" s="41">
        <f t="shared" si="344"/>
        <v>0</v>
      </c>
      <c r="X537" s="24"/>
      <c r="Y537" s="41">
        <f t="shared" si="345"/>
        <v>0</v>
      </c>
      <c r="Z537" s="41">
        <f t="shared" si="353"/>
        <v>0</v>
      </c>
      <c r="AA537" s="24">
        <v>5</v>
      </c>
      <c r="AB537" s="41">
        <v>12000000</v>
      </c>
      <c r="AC537" s="41">
        <f t="shared" si="354"/>
        <v>0</v>
      </c>
      <c r="AD537" s="70" t="s">
        <v>295</v>
      </c>
      <c r="AE537" s="70"/>
      <c r="AF537" s="1">
        <v>12000000</v>
      </c>
      <c r="AG537" s="5">
        <f t="shared" si="303"/>
        <v>0</v>
      </c>
      <c r="AH537" s="5"/>
    </row>
    <row r="538" spans="1:34" s="1" customFormat="1" ht="10.5" x14ac:dyDescent="0.25">
      <c r="A538" s="49">
        <v>41</v>
      </c>
      <c r="B538" s="22" t="s">
        <v>1703</v>
      </c>
      <c r="C538" s="22" t="s">
        <v>954</v>
      </c>
      <c r="D538" s="51" t="s">
        <v>950</v>
      </c>
      <c r="E538" s="24" t="s">
        <v>953</v>
      </c>
      <c r="F538" s="24"/>
      <c r="G538" s="24" t="s">
        <v>194</v>
      </c>
      <c r="H538" s="24" t="s">
        <v>62</v>
      </c>
      <c r="I538" s="24">
        <v>2011</v>
      </c>
      <c r="J538" s="24"/>
      <c r="K538" s="24" t="s">
        <v>63</v>
      </c>
      <c r="L538" s="24" t="s">
        <v>64</v>
      </c>
      <c r="M538" s="24">
        <v>4</v>
      </c>
      <c r="N538" s="41">
        <f t="shared" si="351"/>
        <v>3000000</v>
      </c>
      <c r="O538" s="41">
        <v>12000000</v>
      </c>
      <c r="P538" s="24"/>
      <c r="Q538" s="24"/>
      <c r="R538" s="24"/>
      <c r="S538" s="41">
        <f t="shared" si="352"/>
        <v>12000000</v>
      </c>
      <c r="T538" s="24">
        <v>5</v>
      </c>
      <c r="U538" s="41"/>
      <c r="V538" s="24">
        <v>0.5</v>
      </c>
      <c r="W538" s="41">
        <f t="shared" si="344"/>
        <v>0</v>
      </c>
      <c r="X538" s="24"/>
      <c r="Y538" s="41">
        <f t="shared" si="345"/>
        <v>0</v>
      </c>
      <c r="Z538" s="41">
        <f t="shared" si="353"/>
        <v>0</v>
      </c>
      <c r="AA538" s="24">
        <v>5</v>
      </c>
      <c r="AB538" s="41">
        <v>12000000</v>
      </c>
      <c r="AC538" s="41">
        <f t="shared" si="354"/>
        <v>0</v>
      </c>
      <c r="AD538" s="70" t="s">
        <v>297</v>
      </c>
      <c r="AE538" s="70"/>
      <c r="AF538" s="1">
        <v>12000000</v>
      </c>
      <c r="AG538" s="5">
        <f t="shared" si="303"/>
        <v>0</v>
      </c>
      <c r="AH538" s="5"/>
    </row>
    <row r="539" spans="1:34" s="1" customFormat="1" ht="10.5" x14ac:dyDescent="0.25">
      <c r="A539" s="49">
        <v>42</v>
      </c>
      <c r="B539" s="22" t="s">
        <v>1703</v>
      </c>
      <c r="C539" s="22" t="s">
        <v>955</v>
      </c>
      <c r="D539" s="51" t="s">
        <v>950</v>
      </c>
      <c r="E539" s="24" t="s">
        <v>956</v>
      </c>
      <c r="F539" s="24"/>
      <c r="G539" s="24" t="s">
        <v>194</v>
      </c>
      <c r="H539" s="24" t="s">
        <v>62</v>
      </c>
      <c r="I539" s="24">
        <v>2012</v>
      </c>
      <c r="J539" s="24"/>
      <c r="K539" s="24" t="s">
        <v>63</v>
      </c>
      <c r="L539" s="24" t="s">
        <v>64</v>
      </c>
      <c r="M539" s="24">
        <v>4</v>
      </c>
      <c r="N539" s="41">
        <f t="shared" si="351"/>
        <v>5700000</v>
      </c>
      <c r="O539" s="41">
        <v>22800000</v>
      </c>
      <c r="P539" s="24"/>
      <c r="Q539" s="24"/>
      <c r="R539" s="24"/>
      <c r="S539" s="41">
        <f t="shared" si="352"/>
        <v>22800000</v>
      </c>
      <c r="T539" s="24">
        <v>5</v>
      </c>
      <c r="U539" s="41"/>
      <c r="V539" s="24">
        <v>0.5</v>
      </c>
      <c r="W539" s="41">
        <f t="shared" si="344"/>
        <v>0</v>
      </c>
      <c r="X539" s="24"/>
      <c r="Y539" s="41">
        <f t="shared" si="345"/>
        <v>0</v>
      </c>
      <c r="Z539" s="41">
        <f t="shared" si="353"/>
        <v>0</v>
      </c>
      <c r="AA539" s="24">
        <v>5</v>
      </c>
      <c r="AB539" s="41">
        <v>22800000</v>
      </c>
      <c r="AC539" s="41">
        <f t="shared" si="354"/>
        <v>0</v>
      </c>
      <c r="AD539" s="70" t="s">
        <v>957</v>
      </c>
      <c r="AE539" s="70"/>
      <c r="AF539" s="1">
        <v>22800000</v>
      </c>
      <c r="AG539" s="5">
        <f t="shared" si="303"/>
        <v>0</v>
      </c>
      <c r="AH539" s="5"/>
    </row>
    <row r="540" spans="1:34" s="1" customFormat="1" ht="10.5" x14ac:dyDescent="0.25">
      <c r="A540" s="49">
        <v>43</v>
      </c>
      <c r="B540" s="22" t="s">
        <v>1703</v>
      </c>
      <c r="C540" s="22" t="s">
        <v>153</v>
      </c>
      <c r="D540" s="51" t="s">
        <v>958</v>
      </c>
      <c r="E540" s="24" t="s">
        <v>959</v>
      </c>
      <c r="F540" s="24"/>
      <c r="G540" s="24" t="s">
        <v>194</v>
      </c>
      <c r="H540" s="24" t="s">
        <v>62</v>
      </c>
      <c r="I540" s="24">
        <v>2012</v>
      </c>
      <c r="J540" s="24"/>
      <c r="K540" s="24" t="s">
        <v>63</v>
      </c>
      <c r="L540" s="24" t="s">
        <v>64</v>
      </c>
      <c r="M540" s="24">
        <v>1</v>
      </c>
      <c r="N540" s="41">
        <f t="shared" si="351"/>
        <v>10075000</v>
      </c>
      <c r="O540" s="41">
        <v>10075000</v>
      </c>
      <c r="P540" s="24"/>
      <c r="Q540" s="24"/>
      <c r="R540" s="24"/>
      <c r="S540" s="41">
        <f t="shared" si="352"/>
        <v>10075000</v>
      </c>
      <c r="T540" s="24">
        <v>5</v>
      </c>
      <c r="U540" s="41"/>
      <c r="V540" s="24">
        <v>0.5</v>
      </c>
      <c r="W540" s="41">
        <f t="shared" si="344"/>
        <v>0</v>
      </c>
      <c r="X540" s="24"/>
      <c r="Y540" s="41">
        <f t="shared" si="345"/>
        <v>0</v>
      </c>
      <c r="Z540" s="41">
        <f t="shared" si="353"/>
        <v>0</v>
      </c>
      <c r="AA540" s="24">
        <v>5</v>
      </c>
      <c r="AB540" s="41">
        <v>10075000</v>
      </c>
      <c r="AC540" s="41">
        <f t="shared" si="354"/>
        <v>0</v>
      </c>
      <c r="AD540" s="70" t="s">
        <v>939</v>
      </c>
      <c r="AE540" s="70"/>
      <c r="AF540" s="1">
        <v>10075000</v>
      </c>
      <c r="AG540" s="5">
        <f t="shared" si="303"/>
        <v>0</v>
      </c>
      <c r="AH540" s="5"/>
    </row>
    <row r="541" spans="1:34" s="1" customFormat="1" ht="10.5" x14ac:dyDescent="0.25">
      <c r="A541" s="49">
        <v>44</v>
      </c>
      <c r="B541" s="22" t="s">
        <v>1703</v>
      </c>
      <c r="C541" s="22" t="s">
        <v>209</v>
      </c>
      <c r="D541" s="51" t="s">
        <v>990</v>
      </c>
      <c r="E541" s="24" t="s">
        <v>991</v>
      </c>
      <c r="F541" s="24"/>
      <c r="G541" s="24" t="s">
        <v>194</v>
      </c>
      <c r="H541" s="24" t="s">
        <v>62</v>
      </c>
      <c r="I541" s="24">
        <v>2011</v>
      </c>
      <c r="J541" s="24"/>
      <c r="K541" s="24" t="s">
        <v>63</v>
      </c>
      <c r="L541" s="24" t="s">
        <v>64</v>
      </c>
      <c r="M541" s="24">
        <v>2</v>
      </c>
      <c r="N541" s="41">
        <f t="shared" si="351"/>
        <v>14750000</v>
      </c>
      <c r="O541" s="41">
        <v>29500000</v>
      </c>
      <c r="P541" s="24"/>
      <c r="Q541" s="24"/>
      <c r="R541" s="24"/>
      <c r="S541" s="41">
        <f t="shared" si="352"/>
        <v>29500000</v>
      </c>
      <c r="T541" s="24">
        <v>5</v>
      </c>
      <c r="U541" s="41"/>
      <c r="V541" s="24">
        <v>0.5</v>
      </c>
      <c r="W541" s="41">
        <f t="shared" si="344"/>
        <v>0</v>
      </c>
      <c r="X541" s="24"/>
      <c r="Y541" s="41">
        <f t="shared" si="345"/>
        <v>0</v>
      </c>
      <c r="Z541" s="41">
        <f t="shared" si="353"/>
        <v>0</v>
      </c>
      <c r="AA541" s="24">
        <v>5</v>
      </c>
      <c r="AB541" s="41">
        <v>29500000</v>
      </c>
      <c r="AC541" s="41">
        <f t="shared" si="354"/>
        <v>0</v>
      </c>
      <c r="AD541" s="70" t="s">
        <v>295</v>
      </c>
      <c r="AE541" s="70"/>
      <c r="AF541" s="1">
        <v>29500000</v>
      </c>
      <c r="AG541" s="5">
        <f t="shared" si="303"/>
        <v>0</v>
      </c>
      <c r="AH541" s="5"/>
    </row>
    <row r="542" spans="1:34" s="1" customFormat="1" ht="10.5" x14ac:dyDescent="0.25">
      <c r="A542" s="49">
        <v>45</v>
      </c>
      <c r="B542" s="22" t="s">
        <v>1703</v>
      </c>
      <c r="C542" s="22" t="s">
        <v>633</v>
      </c>
      <c r="D542" s="51" t="s">
        <v>992</v>
      </c>
      <c r="E542" s="24" t="s">
        <v>993</v>
      </c>
      <c r="F542" s="24"/>
      <c r="G542" s="24" t="s">
        <v>194</v>
      </c>
      <c r="H542" s="24" t="s">
        <v>62</v>
      </c>
      <c r="I542" s="24">
        <v>2012</v>
      </c>
      <c r="J542" s="24"/>
      <c r="K542" s="24" t="s">
        <v>63</v>
      </c>
      <c r="L542" s="24" t="s">
        <v>64</v>
      </c>
      <c r="M542" s="24">
        <v>2</v>
      </c>
      <c r="N542" s="41">
        <f t="shared" si="351"/>
        <v>7800000</v>
      </c>
      <c r="O542" s="41">
        <v>15600000</v>
      </c>
      <c r="P542" s="24"/>
      <c r="Q542" s="24"/>
      <c r="R542" s="24"/>
      <c r="S542" s="41">
        <f t="shared" si="352"/>
        <v>15600000</v>
      </c>
      <c r="T542" s="24">
        <v>5</v>
      </c>
      <c r="U542" s="41"/>
      <c r="V542" s="24">
        <v>0.5</v>
      </c>
      <c r="W542" s="41">
        <f t="shared" si="344"/>
        <v>0</v>
      </c>
      <c r="X542" s="24"/>
      <c r="Y542" s="41">
        <f t="shared" si="345"/>
        <v>0</v>
      </c>
      <c r="Z542" s="41">
        <f t="shared" si="353"/>
        <v>0</v>
      </c>
      <c r="AA542" s="24">
        <v>5</v>
      </c>
      <c r="AB542" s="41">
        <v>15600000</v>
      </c>
      <c r="AC542" s="41">
        <f t="shared" si="354"/>
        <v>0</v>
      </c>
      <c r="AD542" s="70" t="s">
        <v>985</v>
      </c>
      <c r="AE542" s="70"/>
      <c r="AF542" s="1">
        <v>15600000</v>
      </c>
      <c r="AG542" s="5">
        <f t="shared" si="303"/>
        <v>0</v>
      </c>
      <c r="AH542" s="5"/>
    </row>
    <row r="543" spans="1:34" s="1" customFormat="1" ht="10.5" x14ac:dyDescent="0.25">
      <c r="A543" s="49">
        <v>46</v>
      </c>
      <c r="B543" s="22" t="s">
        <v>1703</v>
      </c>
      <c r="C543" s="22" t="s">
        <v>58</v>
      </c>
      <c r="D543" s="51" t="s">
        <v>998</v>
      </c>
      <c r="E543" s="24" t="s">
        <v>999</v>
      </c>
      <c r="F543" s="24" t="s">
        <v>1000</v>
      </c>
      <c r="G543" s="24" t="s">
        <v>194</v>
      </c>
      <c r="H543" s="24" t="s">
        <v>62</v>
      </c>
      <c r="I543" s="24">
        <v>2015</v>
      </c>
      <c r="J543" s="24"/>
      <c r="K543" s="24" t="s">
        <v>63</v>
      </c>
      <c r="L543" s="24" t="s">
        <v>64</v>
      </c>
      <c r="M543" s="24">
        <v>1</v>
      </c>
      <c r="N543" s="41">
        <f t="shared" si="351"/>
        <v>10950000</v>
      </c>
      <c r="O543" s="41">
        <v>10950000</v>
      </c>
      <c r="P543" s="24"/>
      <c r="Q543" s="24"/>
      <c r="R543" s="24"/>
      <c r="S543" s="41">
        <f t="shared" si="352"/>
        <v>10950000</v>
      </c>
      <c r="T543" s="24">
        <v>5</v>
      </c>
      <c r="U543" s="41">
        <f t="shared" ref="U543:U552" si="355">SUM(S543/T543)</f>
        <v>2190000</v>
      </c>
      <c r="V543" s="24">
        <v>0.5</v>
      </c>
      <c r="W543" s="41"/>
      <c r="X543" s="24"/>
      <c r="Y543" s="41">
        <f t="shared" si="345"/>
        <v>0</v>
      </c>
      <c r="Z543" s="41"/>
      <c r="AA543" s="24">
        <v>5</v>
      </c>
      <c r="AB543" s="41">
        <f t="shared" ref="AB543:AB552" si="356">SUM(U543*AA543)</f>
        <v>10950000</v>
      </c>
      <c r="AC543" s="41">
        <f t="shared" si="354"/>
        <v>0</v>
      </c>
      <c r="AD543" s="70" t="s">
        <v>213</v>
      </c>
      <c r="AE543" s="70"/>
      <c r="AF543" s="1">
        <v>10950000</v>
      </c>
      <c r="AG543" s="5">
        <f t="shared" si="303"/>
        <v>0</v>
      </c>
      <c r="AH543" s="5"/>
    </row>
    <row r="544" spans="1:34" s="1" customFormat="1" ht="10.5" x14ac:dyDescent="0.25">
      <c r="A544" s="49">
        <v>47</v>
      </c>
      <c r="B544" s="22" t="s">
        <v>1703</v>
      </c>
      <c r="C544" s="22" t="s">
        <v>58</v>
      </c>
      <c r="D544" s="51" t="s">
        <v>1001</v>
      </c>
      <c r="E544" s="24" t="s">
        <v>654</v>
      </c>
      <c r="F544" s="24"/>
      <c r="G544" s="24" t="s">
        <v>194</v>
      </c>
      <c r="H544" s="24" t="s">
        <v>62</v>
      </c>
      <c r="I544" s="24">
        <v>2015</v>
      </c>
      <c r="J544" s="24"/>
      <c r="K544" s="24" t="s">
        <v>63</v>
      </c>
      <c r="L544" s="24" t="s">
        <v>64</v>
      </c>
      <c r="M544" s="24">
        <v>1</v>
      </c>
      <c r="N544" s="41">
        <f t="shared" si="351"/>
        <v>775000</v>
      </c>
      <c r="O544" s="41">
        <v>775000</v>
      </c>
      <c r="P544" s="24"/>
      <c r="Q544" s="24"/>
      <c r="R544" s="24"/>
      <c r="S544" s="41">
        <f t="shared" si="352"/>
        <v>775000</v>
      </c>
      <c r="T544" s="24">
        <v>5</v>
      </c>
      <c r="U544" s="41">
        <f t="shared" si="355"/>
        <v>155000</v>
      </c>
      <c r="V544" s="24">
        <v>0.5</v>
      </c>
      <c r="W544" s="41"/>
      <c r="X544" s="24"/>
      <c r="Y544" s="41">
        <f>SUM(U544*X544)</f>
        <v>0</v>
      </c>
      <c r="Z544" s="41"/>
      <c r="AA544" s="72">
        <v>5</v>
      </c>
      <c r="AB544" s="41">
        <f t="shared" si="356"/>
        <v>775000</v>
      </c>
      <c r="AC544" s="41">
        <f t="shared" si="354"/>
        <v>0</v>
      </c>
      <c r="AD544" s="70" t="s">
        <v>243</v>
      </c>
      <c r="AE544" s="70"/>
      <c r="AF544" s="1">
        <v>775000</v>
      </c>
      <c r="AG544" s="5">
        <f t="shared" si="303"/>
        <v>0</v>
      </c>
      <c r="AH544" s="5"/>
    </row>
    <row r="545" spans="1:34" s="1" customFormat="1" ht="10.5" x14ac:dyDescent="0.25">
      <c r="A545" s="49">
        <v>48</v>
      </c>
      <c r="B545" s="22" t="s">
        <v>1703</v>
      </c>
      <c r="C545" s="22" t="s">
        <v>75</v>
      </c>
      <c r="D545" s="51" t="s">
        <v>1001</v>
      </c>
      <c r="E545" s="24" t="s">
        <v>654</v>
      </c>
      <c r="F545" s="24"/>
      <c r="G545" s="24" t="s">
        <v>194</v>
      </c>
      <c r="H545" s="24" t="s">
        <v>62</v>
      </c>
      <c r="I545" s="24">
        <v>2015</v>
      </c>
      <c r="J545" s="24"/>
      <c r="K545" s="24" t="s">
        <v>63</v>
      </c>
      <c r="L545" s="24" t="s">
        <v>64</v>
      </c>
      <c r="M545" s="24">
        <v>1</v>
      </c>
      <c r="N545" s="41">
        <f t="shared" si="351"/>
        <v>775000</v>
      </c>
      <c r="O545" s="41">
        <v>775000</v>
      </c>
      <c r="P545" s="24"/>
      <c r="Q545" s="24"/>
      <c r="R545" s="24"/>
      <c r="S545" s="41">
        <f t="shared" si="352"/>
        <v>775000</v>
      </c>
      <c r="T545" s="24">
        <v>5</v>
      </c>
      <c r="U545" s="41">
        <f t="shared" si="355"/>
        <v>155000</v>
      </c>
      <c r="V545" s="24">
        <v>0.5</v>
      </c>
      <c r="W545" s="41"/>
      <c r="X545" s="24"/>
      <c r="Y545" s="41">
        <f>SUM(U545*X545)</f>
        <v>0</v>
      </c>
      <c r="Z545" s="41"/>
      <c r="AA545" s="72">
        <v>5</v>
      </c>
      <c r="AB545" s="41">
        <f t="shared" si="356"/>
        <v>775000</v>
      </c>
      <c r="AC545" s="41">
        <f t="shared" si="354"/>
        <v>0</v>
      </c>
      <c r="AD545" s="70" t="s">
        <v>562</v>
      </c>
      <c r="AE545" s="70"/>
      <c r="AF545" s="1">
        <v>775000</v>
      </c>
      <c r="AG545" s="5">
        <f t="shared" ref="AG545:AG608" si="357">AF545+Z545-AB545</f>
        <v>0</v>
      </c>
      <c r="AH545" s="5"/>
    </row>
    <row r="546" spans="1:34" s="1" customFormat="1" ht="10.5" x14ac:dyDescent="0.25">
      <c r="A546" s="49">
        <v>49</v>
      </c>
      <c r="B546" s="22" t="s">
        <v>1703</v>
      </c>
      <c r="C546" s="22" t="s">
        <v>79</v>
      </c>
      <c r="D546" s="51" t="s">
        <v>1001</v>
      </c>
      <c r="E546" s="24" t="s">
        <v>654</v>
      </c>
      <c r="F546" s="24"/>
      <c r="G546" s="24" t="s">
        <v>194</v>
      </c>
      <c r="H546" s="24" t="s">
        <v>62</v>
      </c>
      <c r="I546" s="24">
        <v>2015</v>
      </c>
      <c r="J546" s="24"/>
      <c r="K546" s="24" t="s">
        <v>63</v>
      </c>
      <c r="L546" s="24" t="s">
        <v>64</v>
      </c>
      <c r="M546" s="24">
        <v>1</v>
      </c>
      <c r="N546" s="41">
        <f t="shared" si="351"/>
        <v>775000</v>
      </c>
      <c r="O546" s="41">
        <v>775000</v>
      </c>
      <c r="P546" s="24"/>
      <c r="Q546" s="24"/>
      <c r="R546" s="24"/>
      <c r="S546" s="41">
        <f t="shared" si="352"/>
        <v>775000</v>
      </c>
      <c r="T546" s="24">
        <v>5</v>
      </c>
      <c r="U546" s="41">
        <f t="shared" si="355"/>
        <v>155000</v>
      </c>
      <c r="V546" s="24">
        <v>0.5</v>
      </c>
      <c r="W546" s="41"/>
      <c r="X546" s="24"/>
      <c r="Y546" s="41">
        <f t="shared" ref="Y546:Y547" si="358">SUM(U546*X546)</f>
        <v>0</v>
      </c>
      <c r="Z546" s="41"/>
      <c r="AA546" s="72">
        <v>5</v>
      </c>
      <c r="AB546" s="41">
        <f t="shared" si="356"/>
        <v>775000</v>
      </c>
      <c r="AC546" s="41">
        <f t="shared" si="354"/>
        <v>0</v>
      </c>
      <c r="AD546" s="70" t="s">
        <v>363</v>
      </c>
      <c r="AE546" s="70"/>
      <c r="AF546" s="1">
        <v>775000</v>
      </c>
      <c r="AG546" s="5">
        <f t="shared" si="357"/>
        <v>0</v>
      </c>
      <c r="AH546" s="5"/>
    </row>
    <row r="547" spans="1:34" s="1" customFormat="1" ht="10.5" x14ac:dyDescent="0.25">
      <c r="A547" s="49">
        <v>50</v>
      </c>
      <c r="B547" s="22" t="s">
        <v>1703</v>
      </c>
      <c r="C547" s="22" t="s">
        <v>84</v>
      </c>
      <c r="D547" s="51" t="s">
        <v>1001</v>
      </c>
      <c r="E547" s="24" t="s">
        <v>654</v>
      </c>
      <c r="F547" s="24"/>
      <c r="G547" s="24" t="s">
        <v>194</v>
      </c>
      <c r="H547" s="24" t="s">
        <v>62</v>
      </c>
      <c r="I547" s="24">
        <v>2015</v>
      </c>
      <c r="J547" s="24"/>
      <c r="K547" s="24" t="s">
        <v>63</v>
      </c>
      <c r="L547" s="24" t="s">
        <v>64</v>
      </c>
      <c r="M547" s="24">
        <v>1</v>
      </c>
      <c r="N547" s="41">
        <f t="shared" si="351"/>
        <v>775000</v>
      </c>
      <c r="O547" s="41">
        <v>775000</v>
      </c>
      <c r="P547" s="24"/>
      <c r="Q547" s="24"/>
      <c r="R547" s="24"/>
      <c r="S547" s="41">
        <f t="shared" si="352"/>
        <v>775000</v>
      </c>
      <c r="T547" s="24">
        <v>5</v>
      </c>
      <c r="U547" s="41">
        <f t="shared" si="355"/>
        <v>155000</v>
      </c>
      <c r="V547" s="24">
        <v>0.5</v>
      </c>
      <c r="W547" s="41"/>
      <c r="X547" s="24"/>
      <c r="Y547" s="41">
        <f t="shared" si="358"/>
        <v>0</v>
      </c>
      <c r="Z547" s="41"/>
      <c r="AA547" s="72">
        <v>5</v>
      </c>
      <c r="AB547" s="41">
        <f t="shared" si="356"/>
        <v>775000</v>
      </c>
      <c r="AC547" s="41">
        <f t="shared" si="354"/>
        <v>0</v>
      </c>
      <c r="AD547" s="70" t="s">
        <v>1002</v>
      </c>
      <c r="AE547" s="70"/>
      <c r="AF547" s="1">
        <v>775000</v>
      </c>
      <c r="AG547" s="5">
        <f t="shared" si="357"/>
        <v>0</v>
      </c>
      <c r="AH547" s="5"/>
    </row>
    <row r="548" spans="1:34" s="1" customFormat="1" ht="10.5" x14ac:dyDescent="0.25">
      <c r="A548" s="49">
        <v>51</v>
      </c>
      <c r="B548" s="22" t="s">
        <v>1703</v>
      </c>
      <c r="C548" s="22" t="s">
        <v>88</v>
      </c>
      <c r="D548" s="51" t="s">
        <v>1001</v>
      </c>
      <c r="E548" s="24" t="s">
        <v>654</v>
      </c>
      <c r="F548" s="24"/>
      <c r="G548" s="24" t="s">
        <v>194</v>
      </c>
      <c r="H548" s="24" t="s">
        <v>62</v>
      </c>
      <c r="I548" s="24">
        <v>2016</v>
      </c>
      <c r="J548" s="24"/>
      <c r="K548" s="24" t="s">
        <v>63</v>
      </c>
      <c r="L548" s="24" t="s">
        <v>64</v>
      </c>
      <c r="M548" s="24">
        <v>1</v>
      </c>
      <c r="N548" s="41">
        <f t="shared" si="351"/>
        <v>790000</v>
      </c>
      <c r="O548" s="41">
        <v>790000</v>
      </c>
      <c r="P548" s="24"/>
      <c r="Q548" s="24"/>
      <c r="R548" s="24"/>
      <c r="S548" s="41">
        <f t="shared" si="352"/>
        <v>790000</v>
      </c>
      <c r="T548" s="24">
        <v>5</v>
      </c>
      <c r="U548" s="41">
        <f t="shared" si="355"/>
        <v>158000</v>
      </c>
      <c r="V548" s="24"/>
      <c r="W548" s="41"/>
      <c r="X548" s="24"/>
      <c r="Y548" s="41">
        <f t="shared" si="345"/>
        <v>0</v>
      </c>
      <c r="Z548" s="41">
        <f t="shared" ref="Z548:Z561" si="359">SUM(W548+Y548)</f>
        <v>0</v>
      </c>
      <c r="AA548" s="24">
        <v>5</v>
      </c>
      <c r="AB548" s="41">
        <f t="shared" si="356"/>
        <v>790000</v>
      </c>
      <c r="AC548" s="41">
        <f t="shared" si="354"/>
        <v>0</v>
      </c>
      <c r="AD548" s="70" t="s">
        <v>365</v>
      </c>
      <c r="AE548" s="70"/>
      <c r="AF548" s="1">
        <v>790000</v>
      </c>
      <c r="AG548" s="5">
        <f t="shared" si="357"/>
        <v>0</v>
      </c>
      <c r="AH548" s="5"/>
    </row>
    <row r="549" spans="1:34" s="1" customFormat="1" ht="10.5" x14ac:dyDescent="0.25">
      <c r="A549" s="49">
        <v>52</v>
      </c>
      <c r="B549" s="22" t="s">
        <v>1703</v>
      </c>
      <c r="C549" s="22" t="s">
        <v>92</v>
      </c>
      <c r="D549" s="51" t="s">
        <v>1001</v>
      </c>
      <c r="E549" s="24" t="s">
        <v>654</v>
      </c>
      <c r="F549" s="24"/>
      <c r="G549" s="24" t="s">
        <v>194</v>
      </c>
      <c r="H549" s="24" t="s">
        <v>62</v>
      </c>
      <c r="I549" s="24">
        <v>2016</v>
      </c>
      <c r="J549" s="24"/>
      <c r="K549" s="24" t="s">
        <v>63</v>
      </c>
      <c r="L549" s="24" t="s">
        <v>64</v>
      </c>
      <c r="M549" s="24">
        <v>1</v>
      </c>
      <c r="N549" s="41">
        <f t="shared" si="351"/>
        <v>790000</v>
      </c>
      <c r="O549" s="41">
        <v>790000</v>
      </c>
      <c r="P549" s="24"/>
      <c r="Q549" s="24"/>
      <c r="R549" s="24"/>
      <c r="S549" s="41">
        <f t="shared" si="352"/>
        <v>790000</v>
      </c>
      <c r="T549" s="24">
        <v>5</v>
      </c>
      <c r="U549" s="41">
        <f t="shared" si="355"/>
        <v>158000</v>
      </c>
      <c r="V549" s="24"/>
      <c r="W549" s="41"/>
      <c r="X549" s="24"/>
      <c r="Y549" s="41">
        <f t="shared" si="345"/>
        <v>0</v>
      </c>
      <c r="Z549" s="41">
        <f t="shared" si="359"/>
        <v>0</v>
      </c>
      <c r="AA549" s="24">
        <v>5</v>
      </c>
      <c r="AB549" s="41">
        <f t="shared" si="356"/>
        <v>790000</v>
      </c>
      <c r="AC549" s="41">
        <f t="shared" si="354"/>
        <v>0</v>
      </c>
      <c r="AD549" s="70" t="s">
        <v>562</v>
      </c>
      <c r="AE549" s="70"/>
      <c r="AF549" s="1">
        <v>790000</v>
      </c>
      <c r="AG549" s="5">
        <f t="shared" si="357"/>
        <v>0</v>
      </c>
      <c r="AH549" s="5"/>
    </row>
    <row r="550" spans="1:34" s="1" customFormat="1" ht="10.5" x14ac:dyDescent="0.25">
      <c r="A550" s="49">
        <v>53</v>
      </c>
      <c r="B550" s="22" t="s">
        <v>1703</v>
      </c>
      <c r="C550" s="22" t="s">
        <v>96</v>
      </c>
      <c r="D550" s="51" t="s">
        <v>1001</v>
      </c>
      <c r="E550" s="24" t="s">
        <v>654</v>
      </c>
      <c r="F550" s="24"/>
      <c r="G550" s="24" t="s">
        <v>194</v>
      </c>
      <c r="H550" s="24" t="s">
        <v>62</v>
      </c>
      <c r="I550" s="24">
        <v>2016</v>
      </c>
      <c r="J550" s="24"/>
      <c r="K550" s="24" t="s">
        <v>63</v>
      </c>
      <c r="L550" s="24" t="s">
        <v>64</v>
      </c>
      <c r="M550" s="24">
        <v>1</v>
      </c>
      <c r="N550" s="41">
        <f t="shared" si="351"/>
        <v>790000</v>
      </c>
      <c r="O550" s="41">
        <v>790000</v>
      </c>
      <c r="P550" s="24"/>
      <c r="Q550" s="24"/>
      <c r="R550" s="24"/>
      <c r="S550" s="41">
        <f t="shared" si="352"/>
        <v>790000</v>
      </c>
      <c r="T550" s="24">
        <v>5</v>
      </c>
      <c r="U550" s="41">
        <f t="shared" si="355"/>
        <v>158000</v>
      </c>
      <c r="V550" s="24"/>
      <c r="W550" s="41"/>
      <c r="X550" s="24"/>
      <c r="Y550" s="41">
        <f t="shared" si="345"/>
        <v>0</v>
      </c>
      <c r="Z550" s="41">
        <f t="shared" si="359"/>
        <v>0</v>
      </c>
      <c r="AA550" s="24">
        <v>5</v>
      </c>
      <c r="AB550" s="41">
        <f t="shared" si="356"/>
        <v>790000</v>
      </c>
      <c r="AC550" s="41">
        <f t="shared" si="354"/>
        <v>0</v>
      </c>
      <c r="AD550" s="70" t="s">
        <v>557</v>
      </c>
      <c r="AE550" s="70"/>
      <c r="AF550" s="1">
        <v>790000</v>
      </c>
      <c r="AG550" s="5">
        <f t="shared" si="357"/>
        <v>0</v>
      </c>
      <c r="AH550" s="5"/>
    </row>
    <row r="551" spans="1:34" s="1" customFormat="1" ht="10.5" x14ac:dyDescent="0.25">
      <c r="A551" s="49">
        <v>54</v>
      </c>
      <c r="B551" s="22" t="s">
        <v>1703</v>
      </c>
      <c r="C551" s="22" t="s">
        <v>100</v>
      </c>
      <c r="D551" s="51" t="s">
        <v>1001</v>
      </c>
      <c r="E551" s="24" t="s">
        <v>654</v>
      </c>
      <c r="F551" s="24"/>
      <c r="G551" s="24" t="s">
        <v>194</v>
      </c>
      <c r="H551" s="24" t="s">
        <v>62</v>
      </c>
      <c r="I551" s="24">
        <v>2016</v>
      </c>
      <c r="J551" s="24"/>
      <c r="K551" s="24" t="s">
        <v>63</v>
      </c>
      <c r="L551" s="24" t="s">
        <v>64</v>
      </c>
      <c r="M551" s="24">
        <v>1</v>
      </c>
      <c r="N551" s="41">
        <f t="shared" si="351"/>
        <v>790000</v>
      </c>
      <c r="O551" s="41">
        <v>790000</v>
      </c>
      <c r="P551" s="24"/>
      <c r="Q551" s="24"/>
      <c r="R551" s="24"/>
      <c r="S551" s="41">
        <f t="shared" si="352"/>
        <v>790000</v>
      </c>
      <c r="T551" s="24">
        <v>5</v>
      </c>
      <c r="U551" s="41">
        <f t="shared" si="355"/>
        <v>158000</v>
      </c>
      <c r="V551" s="24"/>
      <c r="W551" s="41"/>
      <c r="X551" s="24"/>
      <c r="Y551" s="41">
        <f t="shared" si="345"/>
        <v>0</v>
      </c>
      <c r="Z551" s="41">
        <f t="shared" si="359"/>
        <v>0</v>
      </c>
      <c r="AA551" s="24">
        <v>5</v>
      </c>
      <c r="AB551" s="41">
        <f t="shared" si="356"/>
        <v>790000</v>
      </c>
      <c r="AC551" s="41">
        <f t="shared" si="354"/>
        <v>0</v>
      </c>
      <c r="AD551" s="70" t="s">
        <v>373</v>
      </c>
      <c r="AE551" s="70"/>
      <c r="AF551" s="1">
        <v>790000</v>
      </c>
      <c r="AG551" s="5">
        <f t="shared" si="357"/>
        <v>0</v>
      </c>
      <c r="AH551" s="5"/>
    </row>
    <row r="552" spans="1:34" s="1" customFormat="1" ht="10.5" x14ac:dyDescent="0.25">
      <c r="A552" s="49">
        <v>55</v>
      </c>
      <c r="B552" s="22" t="s">
        <v>1703</v>
      </c>
      <c r="C552" s="22" t="s">
        <v>1003</v>
      </c>
      <c r="D552" s="51" t="s">
        <v>1001</v>
      </c>
      <c r="E552" s="24" t="s">
        <v>1004</v>
      </c>
      <c r="F552" s="24"/>
      <c r="G552" s="24" t="s">
        <v>194</v>
      </c>
      <c r="H552" s="24" t="s">
        <v>62</v>
      </c>
      <c r="I552" s="24">
        <v>2018</v>
      </c>
      <c r="J552" s="24"/>
      <c r="K552" s="24" t="s">
        <v>63</v>
      </c>
      <c r="L552" s="24" t="s">
        <v>64</v>
      </c>
      <c r="M552" s="24">
        <v>5</v>
      </c>
      <c r="N552" s="41">
        <f t="shared" si="351"/>
        <v>7491000</v>
      </c>
      <c r="O552" s="41">
        <v>37455000</v>
      </c>
      <c r="P552" s="24"/>
      <c r="Q552" s="24"/>
      <c r="R552" s="24"/>
      <c r="S552" s="41">
        <f t="shared" si="352"/>
        <v>37455000</v>
      </c>
      <c r="T552" s="24">
        <v>5</v>
      </c>
      <c r="U552" s="41">
        <f t="shared" si="355"/>
        <v>7491000</v>
      </c>
      <c r="V552" s="24">
        <v>0.5</v>
      </c>
      <c r="W552" s="41">
        <f t="shared" ref="W552:W561" si="360">SUM(U552*V552)</f>
        <v>3745500</v>
      </c>
      <c r="X552" s="24">
        <v>0.5</v>
      </c>
      <c r="Y552" s="41">
        <f t="shared" si="345"/>
        <v>3745500</v>
      </c>
      <c r="Z552" s="41">
        <f t="shared" si="359"/>
        <v>7491000</v>
      </c>
      <c r="AA552" s="24">
        <f>2022-I552+V552+X552-9/12</f>
        <v>4.25</v>
      </c>
      <c r="AB552" s="41">
        <f t="shared" si="356"/>
        <v>31836750</v>
      </c>
      <c r="AC552" s="41">
        <f t="shared" si="354"/>
        <v>5618250</v>
      </c>
      <c r="AD552" s="70"/>
      <c r="AE552" s="70"/>
      <c r="AF552" s="1">
        <v>31836750</v>
      </c>
      <c r="AG552" s="5">
        <f t="shared" si="357"/>
        <v>7491000</v>
      </c>
      <c r="AH552" s="5"/>
    </row>
    <row r="553" spans="1:34" s="1" customFormat="1" ht="10.5" x14ac:dyDescent="0.25">
      <c r="A553" s="49">
        <v>56</v>
      </c>
      <c r="B553" s="22" t="s">
        <v>1704</v>
      </c>
      <c r="C553" s="22" t="s">
        <v>75</v>
      </c>
      <c r="D553" s="51" t="s">
        <v>944</v>
      </c>
      <c r="E553" s="24" t="s">
        <v>945</v>
      </c>
      <c r="F553" s="24"/>
      <c r="G553" s="24" t="s">
        <v>194</v>
      </c>
      <c r="H553" s="24" t="s">
        <v>62</v>
      </c>
      <c r="I553" s="24">
        <v>2008</v>
      </c>
      <c r="J553" s="24"/>
      <c r="K553" s="24" t="s">
        <v>63</v>
      </c>
      <c r="L553" s="24" t="s">
        <v>64</v>
      </c>
      <c r="M553" s="24">
        <v>1</v>
      </c>
      <c r="N553" s="41">
        <f t="shared" si="351"/>
        <v>47600000</v>
      </c>
      <c r="O553" s="41">
        <v>47600000</v>
      </c>
      <c r="P553" s="24"/>
      <c r="Q553" s="24"/>
      <c r="R553" s="24"/>
      <c r="S553" s="41">
        <f t="shared" ref="S553:S559" si="361">SUM(O553-R553)</f>
        <v>47600000</v>
      </c>
      <c r="T553" s="24">
        <v>5</v>
      </c>
      <c r="U553" s="41"/>
      <c r="V553" s="24">
        <v>0.5</v>
      </c>
      <c r="W553" s="41">
        <f t="shared" si="360"/>
        <v>0</v>
      </c>
      <c r="X553" s="24"/>
      <c r="Y553" s="41">
        <f t="shared" si="345"/>
        <v>0</v>
      </c>
      <c r="Z553" s="41">
        <f t="shared" si="359"/>
        <v>0</v>
      </c>
      <c r="AA553" s="24">
        <v>5</v>
      </c>
      <c r="AB553" s="41">
        <v>47600000</v>
      </c>
      <c r="AC553" s="41">
        <f t="shared" si="354"/>
        <v>0</v>
      </c>
      <c r="AD553" s="70" t="s">
        <v>295</v>
      </c>
      <c r="AE553" s="70"/>
      <c r="AF553" s="1">
        <v>47600000</v>
      </c>
      <c r="AG553" s="5">
        <f t="shared" si="357"/>
        <v>0</v>
      </c>
      <c r="AH553" s="5"/>
    </row>
    <row r="554" spans="1:34" s="1" customFormat="1" ht="10.5" x14ac:dyDescent="0.25">
      <c r="A554" s="49">
        <v>57</v>
      </c>
      <c r="B554" s="22" t="s">
        <v>1704</v>
      </c>
      <c r="C554" s="22" t="s">
        <v>79</v>
      </c>
      <c r="D554" s="51" t="s">
        <v>944</v>
      </c>
      <c r="E554" s="24" t="s">
        <v>945</v>
      </c>
      <c r="F554" s="24"/>
      <c r="G554" s="24" t="s">
        <v>194</v>
      </c>
      <c r="H554" s="24" t="s">
        <v>62</v>
      </c>
      <c r="I554" s="24">
        <v>2009</v>
      </c>
      <c r="J554" s="24"/>
      <c r="K554" s="24" t="s">
        <v>63</v>
      </c>
      <c r="L554" s="24" t="s">
        <v>64</v>
      </c>
      <c r="M554" s="24">
        <v>1</v>
      </c>
      <c r="N554" s="41">
        <f t="shared" si="351"/>
        <v>5450000</v>
      </c>
      <c r="O554" s="41">
        <v>5450000</v>
      </c>
      <c r="P554" s="24"/>
      <c r="Q554" s="24"/>
      <c r="R554" s="24"/>
      <c r="S554" s="41">
        <f t="shared" si="361"/>
        <v>5450000</v>
      </c>
      <c r="T554" s="24">
        <v>5</v>
      </c>
      <c r="U554" s="41"/>
      <c r="V554" s="24">
        <v>0.5</v>
      </c>
      <c r="W554" s="41">
        <f t="shared" si="360"/>
        <v>0</v>
      </c>
      <c r="X554" s="24"/>
      <c r="Y554" s="41">
        <f t="shared" si="345"/>
        <v>0</v>
      </c>
      <c r="Z554" s="41">
        <f t="shared" si="359"/>
        <v>0</v>
      </c>
      <c r="AA554" s="24">
        <v>5</v>
      </c>
      <c r="AB554" s="41">
        <v>5450000</v>
      </c>
      <c r="AC554" s="41">
        <f t="shared" si="354"/>
        <v>0</v>
      </c>
      <c r="AD554" s="70" t="s">
        <v>250</v>
      </c>
      <c r="AE554" s="70"/>
      <c r="AF554" s="1">
        <v>5450000</v>
      </c>
      <c r="AG554" s="5">
        <f t="shared" si="357"/>
        <v>0</v>
      </c>
      <c r="AH554" s="5"/>
    </row>
    <row r="555" spans="1:34" s="1" customFormat="1" ht="10.5" x14ac:dyDescent="0.25">
      <c r="A555" s="49">
        <v>58</v>
      </c>
      <c r="B555" s="22" t="s">
        <v>1704</v>
      </c>
      <c r="C555" s="22" t="s">
        <v>84</v>
      </c>
      <c r="D555" s="51" t="s">
        <v>944</v>
      </c>
      <c r="E555" s="24" t="s">
        <v>945</v>
      </c>
      <c r="F555" s="24"/>
      <c r="G555" s="24" t="s">
        <v>194</v>
      </c>
      <c r="H555" s="24" t="s">
        <v>62</v>
      </c>
      <c r="I555" s="24">
        <v>2009</v>
      </c>
      <c r="J555" s="24"/>
      <c r="K555" s="24" t="s">
        <v>63</v>
      </c>
      <c r="L555" s="24" t="s">
        <v>64</v>
      </c>
      <c r="M555" s="24">
        <v>1</v>
      </c>
      <c r="N555" s="41">
        <f t="shared" si="351"/>
        <v>5450000</v>
      </c>
      <c r="O555" s="41">
        <v>5450000</v>
      </c>
      <c r="P555" s="24"/>
      <c r="Q555" s="24"/>
      <c r="R555" s="24"/>
      <c r="S555" s="41">
        <f t="shared" si="361"/>
        <v>5450000</v>
      </c>
      <c r="T555" s="24">
        <v>5</v>
      </c>
      <c r="U555" s="41"/>
      <c r="V555" s="24">
        <v>0.5</v>
      </c>
      <c r="W555" s="41">
        <f t="shared" si="360"/>
        <v>0</v>
      </c>
      <c r="X555" s="24"/>
      <c r="Y555" s="41">
        <f t="shared" si="345"/>
        <v>0</v>
      </c>
      <c r="Z555" s="41">
        <f t="shared" si="359"/>
        <v>0</v>
      </c>
      <c r="AA555" s="24">
        <v>5</v>
      </c>
      <c r="AB555" s="41">
        <v>5450000</v>
      </c>
      <c r="AC555" s="41">
        <f t="shared" si="354"/>
        <v>0</v>
      </c>
      <c r="AD555" s="70" t="s">
        <v>297</v>
      </c>
      <c r="AE555" s="70"/>
      <c r="AF555" s="1">
        <v>5450000</v>
      </c>
      <c r="AG555" s="5">
        <f t="shared" si="357"/>
        <v>0</v>
      </c>
      <c r="AH555" s="5"/>
    </row>
    <row r="556" spans="1:34" s="1" customFormat="1" ht="10.5" x14ac:dyDescent="0.25">
      <c r="A556" s="49">
        <v>59</v>
      </c>
      <c r="B556" s="22" t="s">
        <v>1704</v>
      </c>
      <c r="C556" s="22" t="s">
        <v>88</v>
      </c>
      <c r="D556" s="51" t="s">
        <v>944</v>
      </c>
      <c r="E556" s="24" t="s">
        <v>945</v>
      </c>
      <c r="F556" s="24"/>
      <c r="G556" s="24" t="s">
        <v>194</v>
      </c>
      <c r="H556" s="24" t="s">
        <v>62</v>
      </c>
      <c r="I556" s="24">
        <v>2009</v>
      </c>
      <c r="J556" s="24"/>
      <c r="K556" s="24" t="s">
        <v>63</v>
      </c>
      <c r="L556" s="24" t="s">
        <v>64</v>
      </c>
      <c r="M556" s="24">
        <v>1</v>
      </c>
      <c r="N556" s="41">
        <f t="shared" si="351"/>
        <v>5450000</v>
      </c>
      <c r="O556" s="41">
        <v>5450000</v>
      </c>
      <c r="P556" s="24"/>
      <c r="Q556" s="24"/>
      <c r="R556" s="24"/>
      <c r="S556" s="41">
        <f t="shared" si="361"/>
        <v>5450000</v>
      </c>
      <c r="T556" s="24">
        <v>5</v>
      </c>
      <c r="U556" s="41"/>
      <c r="V556" s="24">
        <v>0.5</v>
      </c>
      <c r="W556" s="41">
        <f t="shared" si="360"/>
        <v>0</v>
      </c>
      <c r="X556" s="24"/>
      <c r="Y556" s="41">
        <f t="shared" si="345"/>
        <v>0</v>
      </c>
      <c r="Z556" s="41">
        <f t="shared" si="359"/>
        <v>0</v>
      </c>
      <c r="AA556" s="24">
        <v>5</v>
      </c>
      <c r="AB556" s="41">
        <v>5450000</v>
      </c>
      <c r="AC556" s="41">
        <f t="shared" si="354"/>
        <v>0</v>
      </c>
      <c r="AD556" s="70" t="s">
        <v>287</v>
      </c>
      <c r="AE556" s="70"/>
      <c r="AF556" s="1">
        <v>5450000</v>
      </c>
      <c r="AG556" s="5">
        <f t="shared" si="357"/>
        <v>0</v>
      </c>
      <c r="AH556" s="5"/>
    </row>
    <row r="557" spans="1:34" s="1" customFormat="1" ht="10.5" x14ac:dyDescent="0.25">
      <c r="A557" s="49">
        <v>60</v>
      </c>
      <c r="B557" s="22" t="s">
        <v>1704</v>
      </c>
      <c r="C557" s="22" t="s">
        <v>92</v>
      </c>
      <c r="D557" s="51" t="s">
        <v>944</v>
      </c>
      <c r="E557" s="24" t="s">
        <v>945</v>
      </c>
      <c r="F557" s="24"/>
      <c r="G557" s="24" t="s">
        <v>194</v>
      </c>
      <c r="H557" s="24" t="s">
        <v>62</v>
      </c>
      <c r="I557" s="24">
        <v>2009</v>
      </c>
      <c r="J557" s="24"/>
      <c r="K557" s="24" t="s">
        <v>63</v>
      </c>
      <c r="L557" s="24" t="s">
        <v>64</v>
      </c>
      <c r="M557" s="24">
        <v>1</v>
      </c>
      <c r="N557" s="41">
        <f t="shared" si="351"/>
        <v>5450000</v>
      </c>
      <c r="O557" s="41">
        <v>5450000</v>
      </c>
      <c r="P557" s="24"/>
      <c r="Q557" s="24"/>
      <c r="R557" s="24"/>
      <c r="S557" s="41">
        <f t="shared" si="361"/>
        <v>5450000</v>
      </c>
      <c r="T557" s="24">
        <v>5</v>
      </c>
      <c r="U557" s="41"/>
      <c r="V557" s="24">
        <v>0.5</v>
      </c>
      <c r="W557" s="41">
        <f t="shared" si="360"/>
        <v>0</v>
      </c>
      <c r="X557" s="24"/>
      <c r="Y557" s="41">
        <f t="shared" si="345"/>
        <v>0</v>
      </c>
      <c r="Z557" s="41">
        <f t="shared" si="359"/>
        <v>0</v>
      </c>
      <c r="AA557" s="24">
        <v>5</v>
      </c>
      <c r="AB557" s="41">
        <v>5450000</v>
      </c>
      <c r="AC557" s="41">
        <f t="shared" si="354"/>
        <v>0</v>
      </c>
      <c r="AD557" s="70" t="s">
        <v>303</v>
      </c>
      <c r="AE557" s="70"/>
      <c r="AF557" s="1">
        <v>5450000</v>
      </c>
      <c r="AG557" s="5">
        <f t="shared" si="357"/>
        <v>0</v>
      </c>
      <c r="AH557" s="5"/>
    </row>
    <row r="558" spans="1:34" s="1" customFormat="1" ht="10.5" x14ac:dyDescent="0.25">
      <c r="A558" s="49">
        <v>61</v>
      </c>
      <c r="B558" s="22" t="s">
        <v>1704</v>
      </c>
      <c r="C558" s="22" t="s">
        <v>96</v>
      </c>
      <c r="D558" s="51" t="s">
        <v>944</v>
      </c>
      <c r="E558" s="24" t="s">
        <v>945</v>
      </c>
      <c r="F558" s="24"/>
      <c r="G558" s="24" t="s">
        <v>194</v>
      </c>
      <c r="H558" s="24" t="s">
        <v>62</v>
      </c>
      <c r="I558" s="24">
        <v>2009</v>
      </c>
      <c r="J558" s="24"/>
      <c r="K558" s="24" t="s">
        <v>63</v>
      </c>
      <c r="L558" s="24" t="s">
        <v>64</v>
      </c>
      <c r="M558" s="24">
        <v>1</v>
      </c>
      <c r="N558" s="41">
        <f t="shared" si="351"/>
        <v>5450000</v>
      </c>
      <c r="O558" s="41">
        <v>5450000</v>
      </c>
      <c r="P558" s="24"/>
      <c r="Q558" s="24"/>
      <c r="R558" s="24"/>
      <c r="S558" s="41">
        <f t="shared" si="361"/>
        <v>5450000</v>
      </c>
      <c r="T558" s="24">
        <v>5</v>
      </c>
      <c r="U558" s="41"/>
      <c r="V558" s="24">
        <v>0.5</v>
      </c>
      <c r="W558" s="41">
        <f t="shared" si="360"/>
        <v>0</v>
      </c>
      <c r="X558" s="24"/>
      <c r="Y558" s="41">
        <f t="shared" si="345"/>
        <v>0</v>
      </c>
      <c r="Z558" s="41">
        <f t="shared" si="359"/>
        <v>0</v>
      </c>
      <c r="AA558" s="24">
        <v>5</v>
      </c>
      <c r="AB558" s="41">
        <v>5450000</v>
      </c>
      <c r="AC558" s="41">
        <f t="shared" si="354"/>
        <v>0</v>
      </c>
      <c r="AD558" s="70" t="s">
        <v>305</v>
      </c>
      <c r="AE558" s="70"/>
      <c r="AF558" s="1">
        <v>5450000</v>
      </c>
      <c r="AG558" s="5">
        <f t="shared" si="357"/>
        <v>0</v>
      </c>
      <c r="AH558" s="5"/>
    </row>
    <row r="559" spans="1:34" s="1" customFormat="1" ht="10.5" x14ac:dyDescent="0.25">
      <c r="A559" s="49">
        <v>62</v>
      </c>
      <c r="B559" s="22" t="s">
        <v>1704</v>
      </c>
      <c r="C559" s="22" t="s">
        <v>100</v>
      </c>
      <c r="D559" s="51" t="s">
        <v>944</v>
      </c>
      <c r="E559" s="24" t="s">
        <v>945</v>
      </c>
      <c r="F559" s="24"/>
      <c r="G559" s="24" t="s">
        <v>194</v>
      </c>
      <c r="H559" s="24" t="s">
        <v>62</v>
      </c>
      <c r="I559" s="24">
        <v>2009</v>
      </c>
      <c r="J559" s="24"/>
      <c r="K559" s="24" t="s">
        <v>63</v>
      </c>
      <c r="L559" s="24" t="s">
        <v>64</v>
      </c>
      <c r="M559" s="24">
        <v>1</v>
      </c>
      <c r="N559" s="41">
        <f t="shared" si="351"/>
        <v>5450000</v>
      </c>
      <c r="O559" s="41">
        <v>5450000</v>
      </c>
      <c r="P559" s="24"/>
      <c r="Q559" s="24"/>
      <c r="R559" s="24"/>
      <c r="S559" s="41">
        <f t="shared" si="361"/>
        <v>5450000</v>
      </c>
      <c r="T559" s="24">
        <v>5</v>
      </c>
      <c r="U559" s="41"/>
      <c r="V559" s="24">
        <v>0.5</v>
      </c>
      <c r="W559" s="41">
        <f t="shared" si="360"/>
        <v>0</v>
      </c>
      <c r="X559" s="24"/>
      <c r="Y559" s="41">
        <f t="shared" si="345"/>
        <v>0</v>
      </c>
      <c r="Z559" s="41">
        <f t="shared" si="359"/>
        <v>0</v>
      </c>
      <c r="AA559" s="24">
        <v>5</v>
      </c>
      <c r="AB559" s="41">
        <v>5450000</v>
      </c>
      <c r="AC559" s="41">
        <f t="shared" si="354"/>
        <v>0</v>
      </c>
      <c r="AD559" s="70" t="s">
        <v>473</v>
      </c>
      <c r="AE559" s="70"/>
      <c r="AF559" s="1">
        <v>5450000</v>
      </c>
      <c r="AG559" s="5">
        <f t="shared" si="357"/>
        <v>0</v>
      </c>
      <c r="AH559" s="5"/>
    </row>
    <row r="560" spans="1:34" s="1" customFormat="1" ht="10.5" x14ac:dyDescent="0.25">
      <c r="A560" s="49">
        <v>63</v>
      </c>
      <c r="B560" s="22" t="s">
        <v>1704</v>
      </c>
      <c r="C560" s="22" t="s">
        <v>105</v>
      </c>
      <c r="D560" s="51" t="s">
        <v>944</v>
      </c>
      <c r="E560" s="24" t="s">
        <v>945</v>
      </c>
      <c r="F560" s="24"/>
      <c r="G560" s="24" t="s">
        <v>194</v>
      </c>
      <c r="H560" s="24" t="s">
        <v>62</v>
      </c>
      <c r="I560" s="24">
        <v>2009</v>
      </c>
      <c r="J560" s="24"/>
      <c r="K560" s="24" t="s">
        <v>63</v>
      </c>
      <c r="L560" s="24" t="s">
        <v>64</v>
      </c>
      <c r="M560" s="24">
        <v>1</v>
      </c>
      <c r="N560" s="41">
        <f t="shared" si="351"/>
        <v>5450000</v>
      </c>
      <c r="O560" s="41">
        <v>5450000</v>
      </c>
      <c r="P560" s="24"/>
      <c r="Q560" s="24"/>
      <c r="R560" s="24"/>
      <c r="S560" s="41">
        <f t="shared" ref="S560:S580" si="362">SUM(O560-R560)</f>
        <v>5450000</v>
      </c>
      <c r="T560" s="24">
        <v>5</v>
      </c>
      <c r="U560" s="41"/>
      <c r="V560" s="24">
        <v>0.5</v>
      </c>
      <c r="W560" s="41">
        <f t="shared" si="360"/>
        <v>0</v>
      </c>
      <c r="X560" s="24"/>
      <c r="Y560" s="41">
        <f t="shared" si="345"/>
        <v>0</v>
      </c>
      <c r="Z560" s="41">
        <f t="shared" si="359"/>
        <v>0</v>
      </c>
      <c r="AA560" s="24">
        <v>5</v>
      </c>
      <c r="AB560" s="41">
        <v>5450000</v>
      </c>
      <c r="AC560" s="41">
        <f t="shared" si="354"/>
        <v>0</v>
      </c>
      <c r="AD560" s="70" t="s">
        <v>477</v>
      </c>
      <c r="AE560" s="70"/>
      <c r="AF560" s="1">
        <v>5450000</v>
      </c>
      <c r="AG560" s="5">
        <f t="shared" si="357"/>
        <v>0</v>
      </c>
      <c r="AH560" s="5"/>
    </row>
    <row r="561" spans="1:34" s="1" customFormat="1" ht="10.5" x14ac:dyDescent="0.25">
      <c r="A561" s="49">
        <v>64</v>
      </c>
      <c r="B561" s="22" t="s">
        <v>1704</v>
      </c>
      <c r="C561" s="22" t="s">
        <v>108</v>
      </c>
      <c r="D561" s="51" t="s">
        <v>944</v>
      </c>
      <c r="E561" s="24" t="s">
        <v>945</v>
      </c>
      <c r="F561" s="24"/>
      <c r="G561" s="24" t="s">
        <v>194</v>
      </c>
      <c r="H561" s="24" t="s">
        <v>62</v>
      </c>
      <c r="I561" s="24">
        <v>2011</v>
      </c>
      <c r="J561" s="24"/>
      <c r="K561" s="24" t="s">
        <v>63</v>
      </c>
      <c r="L561" s="24" t="s">
        <v>64</v>
      </c>
      <c r="M561" s="24">
        <v>1</v>
      </c>
      <c r="N561" s="41">
        <f t="shared" si="351"/>
        <v>6000000</v>
      </c>
      <c r="O561" s="41">
        <v>6000000</v>
      </c>
      <c r="P561" s="24"/>
      <c r="Q561" s="24"/>
      <c r="R561" s="24"/>
      <c r="S561" s="41">
        <f t="shared" si="362"/>
        <v>6000000</v>
      </c>
      <c r="T561" s="24">
        <v>5</v>
      </c>
      <c r="U561" s="41"/>
      <c r="V561" s="24">
        <v>0.5</v>
      </c>
      <c r="W561" s="41">
        <f t="shared" si="360"/>
        <v>0</v>
      </c>
      <c r="X561" s="24"/>
      <c r="Y561" s="41">
        <f t="shared" si="345"/>
        <v>0</v>
      </c>
      <c r="Z561" s="41">
        <f t="shared" si="359"/>
        <v>0</v>
      </c>
      <c r="AA561" s="24">
        <v>5</v>
      </c>
      <c r="AB561" s="41">
        <v>6000000</v>
      </c>
      <c r="AC561" s="41">
        <f t="shared" si="354"/>
        <v>0</v>
      </c>
      <c r="AD561" s="70" t="s">
        <v>250</v>
      </c>
      <c r="AE561" s="70"/>
      <c r="AF561" s="1">
        <v>6000000</v>
      </c>
      <c r="AG561" s="5">
        <f t="shared" si="357"/>
        <v>0</v>
      </c>
      <c r="AH561" s="5"/>
    </row>
    <row r="562" spans="1:34" s="1" customFormat="1" ht="10.5" x14ac:dyDescent="0.25">
      <c r="A562" s="49">
        <v>65</v>
      </c>
      <c r="B562" s="22" t="s">
        <v>1704</v>
      </c>
      <c r="C562" s="22" t="s">
        <v>135</v>
      </c>
      <c r="D562" s="51" t="s">
        <v>944</v>
      </c>
      <c r="E562" s="24" t="s">
        <v>946</v>
      </c>
      <c r="F562" s="24"/>
      <c r="G562" s="24" t="s">
        <v>194</v>
      </c>
      <c r="H562" s="24" t="s">
        <v>62</v>
      </c>
      <c r="I562" s="24">
        <v>2015</v>
      </c>
      <c r="J562" s="24"/>
      <c r="K562" s="24" t="s">
        <v>63</v>
      </c>
      <c r="L562" s="24" t="s">
        <v>64</v>
      </c>
      <c r="M562" s="24">
        <v>1</v>
      </c>
      <c r="N562" s="41">
        <f t="shared" si="351"/>
        <v>73216000</v>
      </c>
      <c r="O562" s="41">
        <v>73216000</v>
      </c>
      <c r="P562" s="24"/>
      <c r="Q562" s="24"/>
      <c r="R562" s="24"/>
      <c r="S562" s="41">
        <f t="shared" si="362"/>
        <v>73216000</v>
      </c>
      <c r="T562" s="24">
        <v>5</v>
      </c>
      <c r="U562" s="41">
        <f>SUM(S562/T562)</f>
        <v>14643200</v>
      </c>
      <c r="V562" s="24">
        <v>0.5</v>
      </c>
      <c r="W562" s="41"/>
      <c r="X562" s="24"/>
      <c r="Y562" s="41">
        <f>SUM(U562*X562)</f>
        <v>0</v>
      </c>
      <c r="Z562" s="41"/>
      <c r="AA562" s="72">
        <v>5</v>
      </c>
      <c r="AB562" s="41">
        <f>SUM(U562*AA562)</f>
        <v>73216000</v>
      </c>
      <c r="AC562" s="41">
        <f t="shared" si="354"/>
        <v>0</v>
      </c>
      <c r="AD562" s="70" t="s">
        <v>199</v>
      </c>
      <c r="AE562" s="70"/>
      <c r="AF562" s="1">
        <v>73216000</v>
      </c>
      <c r="AG562" s="5">
        <f t="shared" si="357"/>
        <v>0</v>
      </c>
      <c r="AH562" s="5"/>
    </row>
    <row r="563" spans="1:34" s="1" customFormat="1" ht="10.5" x14ac:dyDescent="0.25">
      <c r="A563" s="49">
        <v>66</v>
      </c>
      <c r="B563" s="22" t="s">
        <v>1705</v>
      </c>
      <c r="C563" s="22" t="s">
        <v>209</v>
      </c>
      <c r="D563" s="51" t="s">
        <v>855</v>
      </c>
      <c r="E563" s="24" t="s">
        <v>856</v>
      </c>
      <c r="F563" s="24"/>
      <c r="G563" s="24" t="s">
        <v>194</v>
      </c>
      <c r="H563" s="24" t="s">
        <v>62</v>
      </c>
      <c r="I563" s="24">
        <v>2012</v>
      </c>
      <c r="J563" s="24"/>
      <c r="K563" s="24" t="s">
        <v>63</v>
      </c>
      <c r="L563" s="24" t="s">
        <v>64</v>
      </c>
      <c r="M563" s="24">
        <v>2</v>
      </c>
      <c r="N563" s="41">
        <f t="shared" si="351"/>
        <v>1875000</v>
      </c>
      <c r="O563" s="41">
        <v>3750000</v>
      </c>
      <c r="P563" s="24"/>
      <c r="Q563" s="24"/>
      <c r="R563" s="24"/>
      <c r="S563" s="41">
        <f t="shared" si="362"/>
        <v>3750000</v>
      </c>
      <c r="T563" s="24">
        <v>5</v>
      </c>
      <c r="U563" s="41"/>
      <c r="V563" s="24">
        <v>0.5</v>
      </c>
      <c r="W563" s="41">
        <f t="shared" ref="W563:W571" si="363">SUM(U563*V563)</f>
        <v>0</v>
      </c>
      <c r="X563" s="24"/>
      <c r="Y563" s="41">
        <f t="shared" ref="Y563:Y573" si="364">SUM(U563*X563)</f>
        <v>0</v>
      </c>
      <c r="Z563" s="41">
        <f t="shared" ref="Z563:Z571" si="365">SUM(W563+Y563)</f>
        <v>0</v>
      </c>
      <c r="AA563" s="24">
        <v>5</v>
      </c>
      <c r="AB563" s="41">
        <v>3750000</v>
      </c>
      <c r="AC563" s="41">
        <f t="shared" si="354"/>
        <v>0</v>
      </c>
      <c r="AD563" s="70" t="s">
        <v>288</v>
      </c>
      <c r="AE563" s="70"/>
      <c r="AF563" s="1">
        <v>3750000</v>
      </c>
      <c r="AG563" s="5">
        <f t="shared" si="357"/>
        <v>0</v>
      </c>
      <c r="AH563" s="5"/>
    </row>
    <row r="564" spans="1:34" s="1" customFormat="1" ht="10.5" x14ac:dyDescent="0.25">
      <c r="A564" s="49">
        <v>67</v>
      </c>
      <c r="B564" s="22" t="s">
        <v>1705</v>
      </c>
      <c r="C564" s="22" t="s">
        <v>79</v>
      </c>
      <c r="D564" s="51" t="s">
        <v>855</v>
      </c>
      <c r="E564" s="24" t="s">
        <v>857</v>
      </c>
      <c r="F564" s="24"/>
      <c r="G564" s="24" t="s">
        <v>194</v>
      </c>
      <c r="H564" s="24" t="s">
        <v>62</v>
      </c>
      <c r="I564" s="24">
        <v>2012</v>
      </c>
      <c r="J564" s="24"/>
      <c r="K564" s="24" t="s">
        <v>63</v>
      </c>
      <c r="L564" s="24" t="s">
        <v>64</v>
      </c>
      <c r="M564" s="24">
        <v>1</v>
      </c>
      <c r="N564" s="41">
        <f t="shared" si="351"/>
        <v>1495000</v>
      </c>
      <c r="O564" s="41">
        <v>1495000</v>
      </c>
      <c r="P564" s="24"/>
      <c r="Q564" s="24"/>
      <c r="R564" s="24"/>
      <c r="S564" s="41">
        <f t="shared" si="362"/>
        <v>1495000</v>
      </c>
      <c r="T564" s="24">
        <v>5</v>
      </c>
      <c r="U564" s="41"/>
      <c r="V564" s="24">
        <v>0.5</v>
      </c>
      <c r="W564" s="41">
        <f t="shared" si="363"/>
        <v>0</v>
      </c>
      <c r="X564" s="24"/>
      <c r="Y564" s="41">
        <f t="shared" si="364"/>
        <v>0</v>
      </c>
      <c r="Z564" s="41">
        <f t="shared" si="365"/>
        <v>0</v>
      </c>
      <c r="AA564" s="24">
        <v>5</v>
      </c>
      <c r="AB564" s="41">
        <v>1495000</v>
      </c>
      <c r="AC564" s="41">
        <f t="shared" si="354"/>
        <v>0</v>
      </c>
      <c r="AD564" s="70" t="s">
        <v>630</v>
      </c>
      <c r="AE564" s="70"/>
      <c r="AF564" s="1">
        <v>1495000</v>
      </c>
      <c r="AG564" s="5">
        <f t="shared" si="357"/>
        <v>0</v>
      </c>
      <c r="AH564" s="5"/>
    </row>
    <row r="565" spans="1:34" s="1" customFormat="1" ht="10.5" x14ac:dyDescent="0.25">
      <c r="A565" s="49">
        <v>68</v>
      </c>
      <c r="B565" s="22" t="s">
        <v>1705</v>
      </c>
      <c r="C565" s="22" t="s">
        <v>657</v>
      </c>
      <c r="D565" s="51" t="s">
        <v>861</v>
      </c>
      <c r="E565" s="24" t="s">
        <v>862</v>
      </c>
      <c r="F565" s="24"/>
      <c r="G565" s="24" t="s">
        <v>194</v>
      </c>
      <c r="H565" s="24" t="s">
        <v>62</v>
      </c>
      <c r="I565" s="24">
        <v>2011</v>
      </c>
      <c r="J565" s="24"/>
      <c r="K565" s="24" t="s">
        <v>202</v>
      </c>
      <c r="L565" s="24" t="s">
        <v>64</v>
      </c>
      <c r="M565" s="24">
        <v>3</v>
      </c>
      <c r="N565" s="41">
        <f t="shared" si="351"/>
        <v>2500000</v>
      </c>
      <c r="O565" s="41">
        <v>7500000</v>
      </c>
      <c r="P565" s="24"/>
      <c r="Q565" s="24"/>
      <c r="R565" s="24"/>
      <c r="S565" s="41">
        <f t="shared" si="362"/>
        <v>7500000</v>
      </c>
      <c r="T565" s="24">
        <v>5</v>
      </c>
      <c r="U565" s="41"/>
      <c r="V565" s="24">
        <v>0.5</v>
      </c>
      <c r="W565" s="41">
        <f t="shared" si="363"/>
        <v>0</v>
      </c>
      <c r="X565" s="24"/>
      <c r="Y565" s="41">
        <f t="shared" si="364"/>
        <v>0</v>
      </c>
      <c r="Z565" s="41">
        <f t="shared" si="365"/>
        <v>0</v>
      </c>
      <c r="AA565" s="24">
        <v>5</v>
      </c>
      <c r="AB565" s="41">
        <v>7500000</v>
      </c>
      <c r="AC565" s="41">
        <f t="shared" si="354"/>
        <v>0</v>
      </c>
      <c r="AD565" s="70" t="s">
        <v>863</v>
      </c>
      <c r="AE565" s="70"/>
      <c r="AF565" s="1">
        <v>7500000</v>
      </c>
      <c r="AG565" s="5">
        <f t="shared" si="357"/>
        <v>0</v>
      </c>
      <c r="AH565" s="5"/>
    </row>
    <row r="566" spans="1:34" s="1" customFormat="1" ht="10.5" x14ac:dyDescent="0.25">
      <c r="A566" s="49">
        <v>69</v>
      </c>
      <c r="B566" s="22" t="s">
        <v>1705</v>
      </c>
      <c r="C566" s="22" t="s">
        <v>84</v>
      </c>
      <c r="D566" s="51" t="s">
        <v>855</v>
      </c>
      <c r="E566" s="24" t="s">
        <v>864</v>
      </c>
      <c r="F566" s="24"/>
      <c r="G566" s="24" t="s">
        <v>194</v>
      </c>
      <c r="H566" s="24" t="s">
        <v>62</v>
      </c>
      <c r="I566" s="24">
        <v>2012</v>
      </c>
      <c r="J566" s="24"/>
      <c r="K566" s="24" t="s">
        <v>63</v>
      </c>
      <c r="L566" s="24" t="s">
        <v>64</v>
      </c>
      <c r="M566" s="24">
        <v>1</v>
      </c>
      <c r="N566" s="41">
        <f t="shared" si="351"/>
        <v>4875000</v>
      </c>
      <c r="O566" s="41">
        <v>4875000</v>
      </c>
      <c r="P566" s="24"/>
      <c r="Q566" s="24"/>
      <c r="R566" s="24"/>
      <c r="S566" s="41">
        <f t="shared" si="362"/>
        <v>4875000</v>
      </c>
      <c r="T566" s="24">
        <v>5</v>
      </c>
      <c r="U566" s="41"/>
      <c r="V566" s="24">
        <v>0.5</v>
      </c>
      <c r="W566" s="41">
        <f t="shared" si="363"/>
        <v>0</v>
      </c>
      <c r="X566" s="24"/>
      <c r="Y566" s="41">
        <f t="shared" si="364"/>
        <v>0</v>
      </c>
      <c r="Z566" s="41">
        <f t="shared" si="365"/>
        <v>0</v>
      </c>
      <c r="AA566" s="24">
        <v>5</v>
      </c>
      <c r="AB566" s="41">
        <v>4875000</v>
      </c>
      <c r="AC566" s="41">
        <f t="shared" si="354"/>
        <v>0</v>
      </c>
      <c r="AD566" s="70" t="s">
        <v>630</v>
      </c>
      <c r="AE566" s="70"/>
      <c r="AF566" s="1">
        <v>4875000</v>
      </c>
      <c r="AG566" s="5">
        <f t="shared" si="357"/>
        <v>0</v>
      </c>
      <c r="AH566" s="5"/>
    </row>
    <row r="567" spans="1:34" s="1" customFormat="1" ht="10.5" x14ac:dyDescent="0.25">
      <c r="A567" s="49">
        <v>70</v>
      </c>
      <c r="B567" s="22" t="s">
        <v>1705</v>
      </c>
      <c r="C567" s="22" t="s">
        <v>634</v>
      </c>
      <c r="D567" s="51" t="s">
        <v>865</v>
      </c>
      <c r="E567" s="24" t="s">
        <v>866</v>
      </c>
      <c r="F567" s="24"/>
      <c r="G567" s="24" t="s">
        <v>194</v>
      </c>
      <c r="H567" s="24" t="s">
        <v>62</v>
      </c>
      <c r="I567" s="24">
        <v>2012</v>
      </c>
      <c r="J567" s="24"/>
      <c r="K567" s="24" t="s">
        <v>63</v>
      </c>
      <c r="L567" s="24" t="s">
        <v>64</v>
      </c>
      <c r="M567" s="24">
        <v>2</v>
      </c>
      <c r="N567" s="41">
        <f t="shared" si="351"/>
        <v>5100000</v>
      </c>
      <c r="O567" s="41">
        <v>10200000</v>
      </c>
      <c r="P567" s="24"/>
      <c r="Q567" s="24"/>
      <c r="R567" s="24"/>
      <c r="S567" s="41">
        <f t="shared" si="362"/>
        <v>10200000</v>
      </c>
      <c r="T567" s="24">
        <v>5</v>
      </c>
      <c r="U567" s="41"/>
      <c r="V567" s="24">
        <v>0.5</v>
      </c>
      <c r="W567" s="41">
        <f t="shared" si="363"/>
        <v>0</v>
      </c>
      <c r="X567" s="24"/>
      <c r="Y567" s="41">
        <f t="shared" si="364"/>
        <v>0</v>
      </c>
      <c r="Z567" s="41">
        <f t="shared" si="365"/>
        <v>0</v>
      </c>
      <c r="AA567" s="24">
        <v>5</v>
      </c>
      <c r="AB567" s="41">
        <v>10200000</v>
      </c>
      <c r="AC567" s="41">
        <f t="shared" si="354"/>
        <v>0</v>
      </c>
      <c r="AD567" s="70" t="s">
        <v>867</v>
      </c>
      <c r="AE567" s="70"/>
      <c r="AF567" s="1">
        <v>10200000</v>
      </c>
      <c r="AG567" s="5">
        <f t="shared" si="357"/>
        <v>0</v>
      </c>
      <c r="AH567" s="5"/>
    </row>
    <row r="568" spans="1:34" s="1" customFormat="1" ht="10.5" x14ac:dyDescent="0.25">
      <c r="A568" s="49">
        <v>71</v>
      </c>
      <c r="B568" s="22" t="s">
        <v>1705</v>
      </c>
      <c r="C568" s="22" t="s">
        <v>868</v>
      </c>
      <c r="D568" s="51" t="s">
        <v>869</v>
      </c>
      <c r="E568" s="24" t="s">
        <v>870</v>
      </c>
      <c r="F568" s="24"/>
      <c r="G568" s="24" t="s">
        <v>194</v>
      </c>
      <c r="H568" s="24" t="s">
        <v>62</v>
      </c>
      <c r="I568" s="24">
        <v>2012</v>
      </c>
      <c r="J568" s="24"/>
      <c r="K568" s="24" t="s">
        <v>63</v>
      </c>
      <c r="L568" s="24" t="s">
        <v>64</v>
      </c>
      <c r="M568" s="24">
        <v>4</v>
      </c>
      <c r="N568" s="41">
        <f t="shared" si="351"/>
        <v>3350000</v>
      </c>
      <c r="O568" s="41">
        <v>13400000</v>
      </c>
      <c r="P568" s="24"/>
      <c r="Q568" s="24"/>
      <c r="R568" s="24"/>
      <c r="S568" s="41">
        <f t="shared" si="362"/>
        <v>13400000</v>
      </c>
      <c r="T568" s="24">
        <v>5</v>
      </c>
      <c r="U568" s="41"/>
      <c r="V568" s="24">
        <v>0.5</v>
      </c>
      <c r="W568" s="41">
        <f t="shared" si="363"/>
        <v>0</v>
      </c>
      <c r="X568" s="24"/>
      <c r="Y568" s="41">
        <f t="shared" si="364"/>
        <v>0</v>
      </c>
      <c r="Z568" s="41">
        <f t="shared" si="365"/>
        <v>0</v>
      </c>
      <c r="AA568" s="24">
        <v>5</v>
      </c>
      <c r="AB568" s="41">
        <v>13400000</v>
      </c>
      <c r="AC568" s="41">
        <f t="shared" si="354"/>
        <v>0</v>
      </c>
      <c r="AD568" s="70" t="s">
        <v>871</v>
      </c>
      <c r="AE568" s="70"/>
      <c r="AF568" s="1">
        <v>13400000</v>
      </c>
      <c r="AG568" s="5">
        <f t="shared" si="357"/>
        <v>0</v>
      </c>
      <c r="AH568" s="5"/>
    </row>
    <row r="569" spans="1:34" s="1" customFormat="1" ht="10.5" x14ac:dyDescent="0.25">
      <c r="A569" s="49">
        <v>72</v>
      </c>
      <c r="B569" s="22" t="s">
        <v>1705</v>
      </c>
      <c r="C569" s="22" t="s">
        <v>872</v>
      </c>
      <c r="D569" s="51" t="s">
        <v>869</v>
      </c>
      <c r="E569" s="24" t="s">
        <v>870</v>
      </c>
      <c r="F569" s="24"/>
      <c r="G569" s="24" t="s">
        <v>194</v>
      </c>
      <c r="H569" s="24" t="s">
        <v>62</v>
      </c>
      <c r="I569" s="24">
        <v>2012</v>
      </c>
      <c r="J569" s="24"/>
      <c r="K569" s="24" t="s">
        <v>63</v>
      </c>
      <c r="L569" s="24" t="s">
        <v>64</v>
      </c>
      <c r="M569" s="24">
        <v>3</v>
      </c>
      <c r="N569" s="41">
        <f t="shared" si="351"/>
        <v>3350000</v>
      </c>
      <c r="O569" s="41">
        <v>10050000</v>
      </c>
      <c r="P569" s="24"/>
      <c r="Q569" s="24"/>
      <c r="R569" s="24"/>
      <c r="S569" s="41">
        <f t="shared" si="362"/>
        <v>10050000</v>
      </c>
      <c r="T569" s="24">
        <v>5</v>
      </c>
      <c r="U569" s="41"/>
      <c r="V569" s="24">
        <v>0.5</v>
      </c>
      <c r="W569" s="41">
        <f t="shared" si="363"/>
        <v>0</v>
      </c>
      <c r="X569" s="24"/>
      <c r="Y569" s="41">
        <f t="shared" si="364"/>
        <v>0</v>
      </c>
      <c r="Z569" s="41">
        <f t="shared" si="365"/>
        <v>0</v>
      </c>
      <c r="AA569" s="24">
        <v>5</v>
      </c>
      <c r="AB569" s="41">
        <v>10050000</v>
      </c>
      <c r="AC569" s="41">
        <f t="shared" si="354"/>
        <v>0</v>
      </c>
      <c r="AD569" s="70" t="s">
        <v>873</v>
      </c>
      <c r="AE569" s="70"/>
      <c r="AF569" s="1">
        <v>10050000</v>
      </c>
      <c r="AG569" s="5">
        <f t="shared" si="357"/>
        <v>0</v>
      </c>
      <c r="AH569" s="5"/>
    </row>
    <row r="570" spans="1:34" s="1" customFormat="1" ht="10.5" x14ac:dyDescent="0.25">
      <c r="A570" s="49">
        <v>73</v>
      </c>
      <c r="B570" s="22" t="s">
        <v>1705</v>
      </c>
      <c r="C570" s="22" t="s">
        <v>338</v>
      </c>
      <c r="D570" s="51" t="s">
        <v>869</v>
      </c>
      <c r="E570" s="24" t="s">
        <v>874</v>
      </c>
      <c r="F570" s="24"/>
      <c r="G570" s="24" t="s">
        <v>194</v>
      </c>
      <c r="H570" s="24" t="s">
        <v>62</v>
      </c>
      <c r="I570" s="24">
        <v>2014</v>
      </c>
      <c r="J570" s="24"/>
      <c r="K570" s="24" t="s">
        <v>63</v>
      </c>
      <c r="L570" s="24" t="s">
        <v>64</v>
      </c>
      <c r="M570" s="24">
        <v>2</v>
      </c>
      <c r="N570" s="41">
        <f t="shared" si="351"/>
        <v>3707000</v>
      </c>
      <c r="O570" s="41">
        <v>7414000</v>
      </c>
      <c r="P570" s="24"/>
      <c r="Q570" s="24"/>
      <c r="R570" s="24"/>
      <c r="S570" s="41">
        <f t="shared" si="362"/>
        <v>7414000</v>
      </c>
      <c r="T570" s="24">
        <v>5</v>
      </c>
      <c r="U570" s="41"/>
      <c r="V570" s="24">
        <v>0.5</v>
      </c>
      <c r="W570" s="41">
        <f t="shared" si="363"/>
        <v>0</v>
      </c>
      <c r="X570" s="24"/>
      <c r="Y570" s="41">
        <f t="shared" si="364"/>
        <v>0</v>
      </c>
      <c r="Z570" s="41">
        <f t="shared" si="365"/>
        <v>0</v>
      </c>
      <c r="AA570" s="24">
        <v>5</v>
      </c>
      <c r="AB570" s="41">
        <v>7414000</v>
      </c>
      <c r="AC570" s="41">
        <f t="shared" si="354"/>
        <v>0</v>
      </c>
      <c r="AD570" s="70" t="s">
        <v>875</v>
      </c>
      <c r="AE570" s="70"/>
      <c r="AF570" s="1">
        <v>7414000</v>
      </c>
      <c r="AG570" s="5">
        <f t="shared" si="357"/>
        <v>0</v>
      </c>
      <c r="AH570" s="5"/>
    </row>
    <row r="571" spans="1:34" s="1" customFormat="1" ht="10.5" x14ac:dyDescent="0.25">
      <c r="A571" s="49">
        <v>74</v>
      </c>
      <c r="B571" s="22" t="s">
        <v>1705</v>
      </c>
      <c r="C571" s="50" t="s">
        <v>832</v>
      </c>
      <c r="D571" s="51" t="s">
        <v>869</v>
      </c>
      <c r="E571" s="52" t="s">
        <v>876</v>
      </c>
      <c r="F571" s="52"/>
      <c r="G571" s="52" t="s">
        <v>194</v>
      </c>
      <c r="H571" s="52" t="s">
        <v>62</v>
      </c>
      <c r="I571" s="52">
        <v>2021</v>
      </c>
      <c r="J571" s="52"/>
      <c r="K571" s="52" t="s">
        <v>63</v>
      </c>
      <c r="L571" s="52" t="s">
        <v>64</v>
      </c>
      <c r="M571" s="52">
        <v>4</v>
      </c>
      <c r="N571" s="53">
        <f t="shared" si="351"/>
        <v>2450000</v>
      </c>
      <c r="O571" s="53">
        <v>9800000</v>
      </c>
      <c r="P571" s="52"/>
      <c r="Q571" s="52"/>
      <c r="R571" s="52"/>
      <c r="S571" s="53">
        <f t="shared" si="362"/>
        <v>9800000</v>
      </c>
      <c r="T571" s="52">
        <v>5</v>
      </c>
      <c r="U571" s="53">
        <f>SUM(S571/T571)</f>
        <v>1960000</v>
      </c>
      <c r="V571" s="52">
        <v>0.5</v>
      </c>
      <c r="W571" s="53">
        <f t="shared" si="363"/>
        <v>980000</v>
      </c>
      <c r="X571" s="52">
        <v>0.5</v>
      </c>
      <c r="Y571" s="53">
        <f t="shared" si="364"/>
        <v>980000</v>
      </c>
      <c r="Z571" s="53">
        <f t="shared" si="365"/>
        <v>1960000</v>
      </c>
      <c r="AA571" s="57">
        <f>1/12+0.5+0.5</f>
        <v>1.0833333333333335</v>
      </c>
      <c r="AB571" s="53">
        <f>SUM(U571*AA571)</f>
        <v>2123333.3333333335</v>
      </c>
      <c r="AC571" s="53">
        <f t="shared" si="354"/>
        <v>7676666.666666666</v>
      </c>
      <c r="AD571" s="56" t="s">
        <v>877</v>
      </c>
      <c r="AE571" s="70"/>
      <c r="AF571" s="1">
        <v>2123333.3333333335</v>
      </c>
      <c r="AG571" s="5">
        <f t="shared" si="357"/>
        <v>1960000</v>
      </c>
      <c r="AH571" s="5"/>
    </row>
    <row r="572" spans="1:34" s="1" customFormat="1" ht="10.5" x14ac:dyDescent="0.25">
      <c r="A572" s="49">
        <v>75</v>
      </c>
      <c r="B572" s="22" t="s">
        <v>1705</v>
      </c>
      <c r="C572" s="22" t="s">
        <v>108</v>
      </c>
      <c r="D572" s="51" t="s">
        <v>887</v>
      </c>
      <c r="E572" s="24" t="s">
        <v>888</v>
      </c>
      <c r="F572" s="24"/>
      <c r="G572" s="24" t="s">
        <v>194</v>
      </c>
      <c r="H572" s="24" t="s">
        <v>62</v>
      </c>
      <c r="I572" s="24">
        <v>2015</v>
      </c>
      <c r="J572" s="24"/>
      <c r="K572" s="24" t="s">
        <v>63</v>
      </c>
      <c r="L572" s="24" t="s">
        <v>64</v>
      </c>
      <c r="M572" s="24">
        <v>1</v>
      </c>
      <c r="N572" s="41">
        <f t="shared" si="351"/>
        <v>3600000</v>
      </c>
      <c r="O572" s="41">
        <v>3600000</v>
      </c>
      <c r="P572" s="24"/>
      <c r="Q572" s="24"/>
      <c r="R572" s="24"/>
      <c r="S572" s="41">
        <f t="shared" si="362"/>
        <v>3600000</v>
      </c>
      <c r="T572" s="24">
        <v>5</v>
      </c>
      <c r="U572" s="41">
        <f>SUM(S572/T572)</f>
        <v>720000</v>
      </c>
      <c r="V572" s="24">
        <v>0.5</v>
      </c>
      <c r="W572" s="41"/>
      <c r="X572" s="24"/>
      <c r="Y572" s="41">
        <f t="shared" si="364"/>
        <v>0</v>
      </c>
      <c r="Z572" s="41"/>
      <c r="AA572" s="24">
        <v>5</v>
      </c>
      <c r="AB572" s="41">
        <f>SUM(U572*AA572)</f>
        <v>3600000</v>
      </c>
      <c r="AC572" s="41">
        <f t="shared" si="354"/>
        <v>0</v>
      </c>
      <c r="AD572" s="70" t="s">
        <v>889</v>
      </c>
      <c r="AE572" s="70"/>
      <c r="AF572" s="1">
        <v>3600000</v>
      </c>
      <c r="AG572" s="5">
        <f t="shared" si="357"/>
        <v>0</v>
      </c>
      <c r="AH572" s="5"/>
    </row>
    <row r="573" spans="1:34" s="1" customFormat="1" ht="10.5" x14ac:dyDescent="0.25">
      <c r="A573" s="49">
        <v>76</v>
      </c>
      <c r="B573" s="22" t="s">
        <v>1705</v>
      </c>
      <c r="C573" s="22" t="s">
        <v>135</v>
      </c>
      <c r="D573" s="51" t="s">
        <v>891</v>
      </c>
      <c r="E573" s="24" t="s">
        <v>892</v>
      </c>
      <c r="F573" s="24"/>
      <c r="G573" s="24" t="s">
        <v>194</v>
      </c>
      <c r="H573" s="24" t="s">
        <v>62</v>
      </c>
      <c r="I573" s="24">
        <v>2015</v>
      </c>
      <c r="J573" s="24"/>
      <c r="K573" s="24" t="s">
        <v>63</v>
      </c>
      <c r="L573" s="24" t="s">
        <v>64</v>
      </c>
      <c r="M573" s="24">
        <v>1</v>
      </c>
      <c r="N573" s="41">
        <f t="shared" si="351"/>
        <v>3150000</v>
      </c>
      <c r="O573" s="41">
        <v>3150000</v>
      </c>
      <c r="P573" s="24"/>
      <c r="Q573" s="24"/>
      <c r="R573" s="24"/>
      <c r="S573" s="41">
        <f t="shared" si="362"/>
        <v>3150000</v>
      </c>
      <c r="T573" s="24">
        <v>5</v>
      </c>
      <c r="U573" s="41">
        <f>SUM(S573/T573)</f>
        <v>630000</v>
      </c>
      <c r="V573" s="24">
        <v>0.5</v>
      </c>
      <c r="W573" s="41"/>
      <c r="X573" s="24"/>
      <c r="Y573" s="41">
        <f t="shared" si="364"/>
        <v>0</v>
      </c>
      <c r="Z573" s="41"/>
      <c r="AA573" s="24">
        <v>5</v>
      </c>
      <c r="AB573" s="41">
        <f>SUM(U573*AA573)</f>
        <v>3150000</v>
      </c>
      <c r="AC573" s="41">
        <f t="shared" si="354"/>
        <v>0</v>
      </c>
      <c r="AD573" s="70" t="s">
        <v>199</v>
      </c>
      <c r="AE573" s="70"/>
      <c r="AF573" s="1">
        <v>3150000</v>
      </c>
      <c r="AG573" s="5">
        <f t="shared" si="357"/>
        <v>0</v>
      </c>
      <c r="AH573" s="5"/>
    </row>
    <row r="574" spans="1:34" s="1" customFormat="1" ht="10.5" x14ac:dyDescent="0.25">
      <c r="A574" s="49">
        <v>77</v>
      </c>
      <c r="B574" s="22" t="s">
        <v>1705</v>
      </c>
      <c r="C574" s="22" t="s">
        <v>472</v>
      </c>
      <c r="D574" s="51" t="s">
        <v>869</v>
      </c>
      <c r="E574" s="24" t="s">
        <v>893</v>
      </c>
      <c r="F574" s="24"/>
      <c r="G574" s="24" t="s">
        <v>194</v>
      </c>
      <c r="H574" s="24" t="s">
        <v>62</v>
      </c>
      <c r="I574" s="24">
        <v>2016</v>
      </c>
      <c r="J574" s="24"/>
      <c r="K574" s="24" t="s">
        <v>63</v>
      </c>
      <c r="L574" s="24" t="s">
        <v>64</v>
      </c>
      <c r="M574" s="24">
        <v>3</v>
      </c>
      <c r="N574" s="41">
        <f t="shared" si="351"/>
        <v>6985000</v>
      </c>
      <c r="O574" s="41">
        <v>20955000</v>
      </c>
      <c r="P574" s="24"/>
      <c r="Q574" s="24"/>
      <c r="R574" s="24"/>
      <c r="S574" s="41">
        <f t="shared" si="362"/>
        <v>20955000</v>
      </c>
      <c r="T574" s="24">
        <v>5</v>
      </c>
      <c r="U574" s="41">
        <f>SUM(S574/T574)</f>
        <v>4191000</v>
      </c>
      <c r="V574" s="24"/>
      <c r="W574" s="41"/>
      <c r="X574" s="24"/>
      <c r="Y574" s="41"/>
      <c r="Z574" s="53"/>
      <c r="AA574" s="24">
        <v>5</v>
      </c>
      <c r="AB574" s="41">
        <f>SUM(U574*AA574)</f>
        <v>20955000</v>
      </c>
      <c r="AC574" s="41">
        <f t="shared" si="354"/>
        <v>0</v>
      </c>
      <c r="AD574" s="70" t="s">
        <v>894</v>
      </c>
      <c r="AE574" s="70"/>
      <c r="AF574" s="1">
        <v>20955000</v>
      </c>
      <c r="AG574" s="5">
        <f t="shared" si="357"/>
        <v>0</v>
      </c>
      <c r="AH574" s="5"/>
    </row>
    <row r="575" spans="1:34" s="1" customFormat="1" ht="10.5" x14ac:dyDescent="0.25">
      <c r="A575" s="49">
        <v>78</v>
      </c>
      <c r="B575" s="22" t="s">
        <v>1705</v>
      </c>
      <c r="C575" s="22" t="s">
        <v>159</v>
      </c>
      <c r="D575" s="51" t="s">
        <v>869</v>
      </c>
      <c r="E575" s="24" t="s">
        <v>895</v>
      </c>
      <c r="F575" s="24"/>
      <c r="G575" s="24" t="s">
        <v>194</v>
      </c>
      <c r="H575" s="24" t="s">
        <v>62</v>
      </c>
      <c r="I575" s="24">
        <v>2017</v>
      </c>
      <c r="J575" s="24"/>
      <c r="K575" s="24" t="s">
        <v>63</v>
      </c>
      <c r="L575" s="24" t="s">
        <v>64</v>
      </c>
      <c r="M575" s="24">
        <v>2</v>
      </c>
      <c r="N575" s="41">
        <f t="shared" si="351"/>
        <v>7490000</v>
      </c>
      <c r="O575" s="41">
        <v>14980000</v>
      </c>
      <c r="P575" s="24"/>
      <c r="Q575" s="24"/>
      <c r="R575" s="24"/>
      <c r="S575" s="41">
        <f t="shared" si="362"/>
        <v>14980000</v>
      </c>
      <c r="T575" s="24">
        <v>5</v>
      </c>
      <c r="U575" s="41">
        <f>SUM(S575/T575)</f>
        <v>2996000</v>
      </c>
      <c r="V575" s="24">
        <v>0.5</v>
      </c>
      <c r="W575" s="41">
        <f t="shared" ref="W575:W581" si="366">SUM(U575*V575)</f>
        <v>1498000</v>
      </c>
      <c r="X575" s="24">
        <v>0.5</v>
      </c>
      <c r="Y575" s="41">
        <f>SUM(U575*X575)-998666.666666666</f>
        <v>499333.33333333395</v>
      </c>
      <c r="Z575" s="41">
        <f t="shared" ref="Z575:Z580" si="367">SUM(W575+Y575)</f>
        <v>1997333.333333334</v>
      </c>
      <c r="AA575" s="72">
        <f>2022-I575+V575+X575-8/12-4/12</f>
        <v>5</v>
      </c>
      <c r="AB575" s="41">
        <f>SUM(U575*AA575)</f>
        <v>14980000</v>
      </c>
      <c r="AC575" s="41">
        <f t="shared" si="354"/>
        <v>0</v>
      </c>
      <c r="AD575" s="70" t="s">
        <v>365</v>
      </c>
      <c r="AE575" s="70"/>
      <c r="AF575" s="1">
        <v>14980000</v>
      </c>
      <c r="AG575" s="5">
        <f t="shared" si="357"/>
        <v>1997333.3333333358</v>
      </c>
      <c r="AH575" s="5"/>
    </row>
    <row r="576" spans="1:34" s="1" customFormat="1" ht="10.5" x14ac:dyDescent="0.25">
      <c r="A576" s="49">
        <v>79</v>
      </c>
      <c r="B576" s="22" t="s">
        <v>1706</v>
      </c>
      <c r="C576" s="22" t="s">
        <v>868</v>
      </c>
      <c r="D576" s="51" t="s">
        <v>982</v>
      </c>
      <c r="E576" s="24" t="s">
        <v>860</v>
      </c>
      <c r="F576" s="24"/>
      <c r="G576" s="24" t="s">
        <v>61</v>
      </c>
      <c r="H576" s="24" t="s">
        <v>62</v>
      </c>
      <c r="I576" s="24">
        <v>2011</v>
      </c>
      <c r="J576" s="24"/>
      <c r="K576" s="24" t="s">
        <v>63</v>
      </c>
      <c r="L576" s="24" t="s">
        <v>64</v>
      </c>
      <c r="M576" s="24">
        <v>4</v>
      </c>
      <c r="N576" s="41">
        <f t="shared" si="351"/>
        <v>400000</v>
      </c>
      <c r="O576" s="41">
        <v>1600000</v>
      </c>
      <c r="P576" s="24"/>
      <c r="Q576" s="24"/>
      <c r="R576" s="24"/>
      <c r="S576" s="41">
        <f t="shared" si="362"/>
        <v>1600000</v>
      </c>
      <c r="T576" s="24">
        <v>5</v>
      </c>
      <c r="U576" s="41"/>
      <c r="V576" s="24">
        <v>0.5</v>
      </c>
      <c r="W576" s="41">
        <f t="shared" si="366"/>
        <v>0</v>
      </c>
      <c r="X576" s="24"/>
      <c r="Y576" s="41">
        <f t="shared" ref="Y576:Y581" si="368">SUM(U576*X576)</f>
        <v>0</v>
      </c>
      <c r="Z576" s="41">
        <f t="shared" si="367"/>
        <v>0</v>
      </c>
      <c r="AA576" s="24">
        <v>5</v>
      </c>
      <c r="AB576" s="41">
        <v>1600000</v>
      </c>
      <c r="AC576" s="41">
        <f t="shared" si="354"/>
        <v>0</v>
      </c>
      <c r="AD576" s="70" t="s">
        <v>295</v>
      </c>
      <c r="AE576" s="70"/>
      <c r="AF576" s="1">
        <v>1600000</v>
      </c>
      <c r="AG576" s="5">
        <f t="shared" si="357"/>
        <v>0</v>
      </c>
      <c r="AH576" s="5"/>
    </row>
    <row r="577" spans="1:34" s="1" customFormat="1" ht="10.5" x14ac:dyDescent="0.25">
      <c r="A577" s="49">
        <v>80</v>
      </c>
      <c r="B577" s="22" t="s">
        <v>1706</v>
      </c>
      <c r="C577" s="22" t="s">
        <v>634</v>
      </c>
      <c r="D577" s="51" t="s">
        <v>982</v>
      </c>
      <c r="E577" s="24" t="s">
        <v>860</v>
      </c>
      <c r="F577" s="24"/>
      <c r="G577" s="24" t="s">
        <v>61</v>
      </c>
      <c r="H577" s="24" t="s">
        <v>62</v>
      </c>
      <c r="I577" s="24">
        <v>2011</v>
      </c>
      <c r="J577" s="24"/>
      <c r="K577" s="24" t="s">
        <v>63</v>
      </c>
      <c r="L577" s="24" t="s">
        <v>64</v>
      </c>
      <c r="M577" s="24">
        <v>2</v>
      </c>
      <c r="N577" s="41">
        <f t="shared" si="351"/>
        <v>400000</v>
      </c>
      <c r="O577" s="41">
        <v>800000</v>
      </c>
      <c r="P577" s="24"/>
      <c r="Q577" s="24"/>
      <c r="R577" s="24"/>
      <c r="S577" s="41">
        <f t="shared" si="362"/>
        <v>800000</v>
      </c>
      <c r="T577" s="24">
        <v>5</v>
      </c>
      <c r="U577" s="41"/>
      <c r="V577" s="24">
        <v>0.5</v>
      </c>
      <c r="W577" s="41">
        <f t="shared" si="366"/>
        <v>0</v>
      </c>
      <c r="X577" s="24"/>
      <c r="Y577" s="41">
        <f t="shared" si="368"/>
        <v>0</v>
      </c>
      <c r="Z577" s="41">
        <f t="shared" si="367"/>
        <v>0</v>
      </c>
      <c r="AA577" s="24">
        <v>5</v>
      </c>
      <c r="AB577" s="41">
        <v>800000</v>
      </c>
      <c r="AC577" s="41">
        <f t="shared" si="354"/>
        <v>0</v>
      </c>
      <c r="AD577" s="70" t="s">
        <v>297</v>
      </c>
      <c r="AE577" s="70"/>
      <c r="AF577" s="1">
        <v>800000</v>
      </c>
      <c r="AG577" s="5">
        <f t="shared" si="357"/>
        <v>0</v>
      </c>
      <c r="AH577" s="5"/>
    </row>
    <row r="578" spans="1:34" s="1" customFormat="1" ht="10.5" x14ac:dyDescent="0.25">
      <c r="A578" s="49">
        <v>81</v>
      </c>
      <c r="B578" s="22" t="s">
        <v>1706</v>
      </c>
      <c r="C578" s="22" t="s">
        <v>847</v>
      </c>
      <c r="D578" s="51" t="s">
        <v>983</v>
      </c>
      <c r="E578" s="24" t="s">
        <v>860</v>
      </c>
      <c r="F578" s="24"/>
      <c r="G578" s="24" t="s">
        <v>61</v>
      </c>
      <c r="H578" s="24" t="s">
        <v>62</v>
      </c>
      <c r="I578" s="24">
        <v>2012</v>
      </c>
      <c r="J578" s="24"/>
      <c r="K578" s="24" t="s">
        <v>63</v>
      </c>
      <c r="L578" s="24" t="s">
        <v>64</v>
      </c>
      <c r="M578" s="24">
        <v>2</v>
      </c>
      <c r="N578" s="41">
        <f t="shared" si="351"/>
        <v>242000</v>
      </c>
      <c r="O578" s="41">
        <v>484000</v>
      </c>
      <c r="P578" s="24"/>
      <c r="Q578" s="24"/>
      <c r="R578" s="24"/>
      <c r="S578" s="41">
        <f t="shared" si="362"/>
        <v>484000</v>
      </c>
      <c r="T578" s="24">
        <v>5</v>
      </c>
      <c r="U578" s="41"/>
      <c r="V578" s="24">
        <v>0.5</v>
      </c>
      <c r="W578" s="41">
        <f t="shared" si="366"/>
        <v>0</v>
      </c>
      <c r="X578" s="24"/>
      <c r="Y578" s="41">
        <f t="shared" si="368"/>
        <v>0</v>
      </c>
      <c r="Z578" s="41">
        <f t="shared" si="367"/>
        <v>0</v>
      </c>
      <c r="AA578" s="24">
        <v>5</v>
      </c>
      <c r="AB578" s="41">
        <v>484000</v>
      </c>
      <c r="AC578" s="41">
        <f t="shared" si="354"/>
        <v>0</v>
      </c>
      <c r="AD578" s="70" t="s">
        <v>957</v>
      </c>
      <c r="AE578" s="70"/>
      <c r="AF578" s="1">
        <v>484000</v>
      </c>
      <c r="AG578" s="5">
        <f t="shared" si="357"/>
        <v>0</v>
      </c>
      <c r="AH578" s="5"/>
    </row>
    <row r="579" spans="1:34" s="1" customFormat="1" ht="10.5" x14ac:dyDescent="0.25">
      <c r="A579" s="49">
        <v>82</v>
      </c>
      <c r="B579" s="22" t="s">
        <v>1706</v>
      </c>
      <c r="C579" s="22" t="s">
        <v>298</v>
      </c>
      <c r="D579" s="51" t="s">
        <v>984</v>
      </c>
      <c r="E579" s="24" t="s">
        <v>860</v>
      </c>
      <c r="F579" s="24"/>
      <c r="G579" s="24" t="s">
        <v>61</v>
      </c>
      <c r="H579" s="24" t="s">
        <v>62</v>
      </c>
      <c r="I579" s="24">
        <v>2012</v>
      </c>
      <c r="J579" s="24"/>
      <c r="K579" s="24" t="s">
        <v>63</v>
      </c>
      <c r="L579" s="24" t="s">
        <v>64</v>
      </c>
      <c r="M579" s="24">
        <v>2</v>
      </c>
      <c r="N579" s="41">
        <f t="shared" si="351"/>
        <v>605000</v>
      </c>
      <c r="O579" s="41">
        <v>1210000</v>
      </c>
      <c r="P579" s="24"/>
      <c r="Q579" s="24"/>
      <c r="R579" s="24"/>
      <c r="S579" s="41">
        <f t="shared" si="362"/>
        <v>1210000</v>
      </c>
      <c r="T579" s="24">
        <v>5</v>
      </c>
      <c r="U579" s="41"/>
      <c r="V579" s="24">
        <v>0.5</v>
      </c>
      <c r="W579" s="41">
        <f t="shared" si="366"/>
        <v>0</v>
      </c>
      <c r="X579" s="24"/>
      <c r="Y579" s="41">
        <f t="shared" si="368"/>
        <v>0</v>
      </c>
      <c r="Z579" s="41">
        <f t="shared" si="367"/>
        <v>0</v>
      </c>
      <c r="AA579" s="24">
        <v>5</v>
      </c>
      <c r="AB579" s="41">
        <v>1210000</v>
      </c>
      <c r="AC579" s="41">
        <f t="shared" si="354"/>
        <v>0</v>
      </c>
      <c r="AD579" s="70" t="s">
        <v>985</v>
      </c>
      <c r="AE579" s="70"/>
      <c r="AF579" s="1">
        <v>1210000</v>
      </c>
      <c r="AG579" s="5">
        <f t="shared" si="357"/>
        <v>0</v>
      </c>
      <c r="AH579" s="5"/>
    </row>
    <row r="580" spans="1:34" s="1" customFormat="1" ht="10.5" x14ac:dyDescent="0.25">
      <c r="A580" s="49">
        <v>83</v>
      </c>
      <c r="B580" s="22" t="s">
        <v>1707</v>
      </c>
      <c r="C580" s="22" t="s">
        <v>858</v>
      </c>
      <c r="D580" s="51" t="s">
        <v>859</v>
      </c>
      <c r="E580" s="24" t="s">
        <v>860</v>
      </c>
      <c r="F580" s="24"/>
      <c r="G580" s="24" t="s">
        <v>194</v>
      </c>
      <c r="H580" s="24" t="s">
        <v>62</v>
      </c>
      <c r="I580" s="24">
        <v>2012</v>
      </c>
      <c r="J580" s="24"/>
      <c r="K580" s="24" t="s">
        <v>63</v>
      </c>
      <c r="L580" s="24" t="s">
        <v>64</v>
      </c>
      <c r="M580" s="24">
        <v>40</v>
      </c>
      <c r="N580" s="41">
        <f t="shared" si="351"/>
        <v>500000</v>
      </c>
      <c r="O580" s="41">
        <v>20000000</v>
      </c>
      <c r="P580" s="24"/>
      <c r="Q580" s="24"/>
      <c r="R580" s="24"/>
      <c r="S580" s="41">
        <f t="shared" si="362"/>
        <v>20000000</v>
      </c>
      <c r="T580" s="24">
        <v>5</v>
      </c>
      <c r="U580" s="41"/>
      <c r="V580" s="24">
        <v>0.5</v>
      </c>
      <c r="W580" s="41">
        <f t="shared" si="366"/>
        <v>0</v>
      </c>
      <c r="X580" s="24"/>
      <c r="Y580" s="41">
        <f t="shared" si="368"/>
        <v>0</v>
      </c>
      <c r="Z580" s="41">
        <f t="shared" si="367"/>
        <v>0</v>
      </c>
      <c r="AA580" s="24">
        <v>5</v>
      </c>
      <c r="AB580" s="41">
        <v>20000000</v>
      </c>
      <c r="AC580" s="41">
        <f t="shared" si="354"/>
        <v>0</v>
      </c>
      <c r="AD580" s="70" t="s">
        <v>288</v>
      </c>
      <c r="AE580" s="70"/>
      <c r="AF580" s="1">
        <v>20000000</v>
      </c>
      <c r="AG580" s="5">
        <f t="shared" si="357"/>
        <v>0</v>
      </c>
      <c r="AH580" s="5"/>
    </row>
    <row r="581" spans="1:34" s="1" customFormat="1" ht="10.5" x14ac:dyDescent="0.25">
      <c r="A581" s="49">
        <v>84</v>
      </c>
      <c r="B581" s="22" t="s">
        <v>1708</v>
      </c>
      <c r="C581" s="22" t="s">
        <v>79</v>
      </c>
      <c r="D581" s="51" t="s">
        <v>697</v>
      </c>
      <c r="E581" s="24" t="s">
        <v>698</v>
      </c>
      <c r="F581" s="24"/>
      <c r="G581" s="24" t="s">
        <v>194</v>
      </c>
      <c r="H581" s="24" t="s">
        <v>62</v>
      </c>
      <c r="I581" s="24">
        <v>2014</v>
      </c>
      <c r="J581" s="24"/>
      <c r="K581" s="24" t="s">
        <v>63</v>
      </c>
      <c r="L581" s="24" t="s">
        <v>64</v>
      </c>
      <c r="M581" s="24">
        <v>1</v>
      </c>
      <c r="N581" s="41">
        <f t="shared" ref="N581:N583" si="369">SUM(O581/M581)</f>
        <v>19178000</v>
      </c>
      <c r="O581" s="41">
        <v>19178000</v>
      </c>
      <c r="P581" s="24"/>
      <c r="Q581" s="24"/>
      <c r="R581" s="24"/>
      <c r="S581" s="41">
        <f t="shared" ref="S581:S583" si="370">SUM(O581-R581)</f>
        <v>19178000</v>
      </c>
      <c r="T581" s="24">
        <v>5</v>
      </c>
      <c r="U581" s="41"/>
      <c r="V581" s="24">
        <v>0.5</v>
      </c>
      <c r="W581" s="41">
        <f t="shared" si="366"/>
        <v>0</v>
      </c>
      <c r="X581" s="24"/>
      <c r="Y581" s="41">
        <f t="shared" si="368"/>
        <v>0</v>
      </c>
      <c r="Z581" s="41">
        <f t="shared" ref="Z581" si="371">SUM(W581+Y581)</f>
        <v>0</v>
      </c>
      <c r="AA581" s="24">
        <v>5</v>
      </c>
      <c r="AB581" s="41">
        <v>19178000</v>
      </c>
      <c r="AC581" s="41">
        <f t="shared" ref="AC581" si="372">SUM(O581-AB581)</f>
        <v>0</v>
      </c>
      <c r="AD581" s="70" t="s">
        <v>237</v>
      </c>
      <c r="AE581" s="70"/>
      <c r="AF581" s="1">
        <v>19178000</v>
      </c>
      <c r="AG581" s="5">
        <f t="shared" si="357"/>
        <v>0</v>
      </c>
      <c r="AH581" s="5"/>
    </row>
    <row r="582" spans="1:34" s="1" customFormat="1" ht="10.5" x14ac:dyDescent="0.25">
      <c r="A582" s="49">
        <v>85</v>
      </c>
      <c r="B582" s="22" t="s">
        <v>1708</v>
      </c>
      <c r="C582" s="22" t="s">
        <v>58</v>
      </c>
      <c r="D582" s="51" t="s">
        <v>781</v>
      </c>
      <c r="E582" s="24" t="s">
        <v>782</v>
      </c>
      <c r="F582" s="24"/>
      <c r="G582" s="24" t="s">
        <v>194</v>
      </c>
      <c r="H582" s="24" t="s">
        <v>62</v>
      </c>
      <c r="I582" s="24">
        <v>2015</v>
      </c>
      <c r="J582" s="24"/>
      <c r="K582" s="24" t="s">
        <v>63</v>
      </c>
      <c r="L582" s="24" t="s">
        <v>64</v>
      </c>
      <c r="M582" s="24">
        <v>1</v>
      </c>
      <c r="N582" s="41">
        <f t="shared" si="369"/>
        <v>2175000</v>
      </c>
      <c r="O582" s="41">
        <v>2175000</v>
      </c>
      <c r="P582" s="24"/>
      <c r="Q582" s="24"/>
      <c r="R582" s="24"/>
      <c r="S582" s="41">
        <f t="shared" si="370"/>
        <v>2175000</v>
      </c>
      <c r="T582" s="24">
        <v>5</v>
      </c>
      <c r="U582" s="41">
        <f t="shared" ref="U582:U583" si="373">SUM(S582/T582)</f>
        <v>435000</v>
      </c>
      <c r="V582" s="24">
        <v>0.5</v>
      </c>
      <c r="W582" s="41"/>
      <c r="X582" s="24"/>
      <c r="Y582" s="41">
        <f>SUM(U582*X582)</f>
        <v>0</v>
      </c>
      <c r="Z582" s="41"/>
      <c r="AA582" s="72">
        <v>5</v>
      </c>
      <c r="AB582" s="41">
        <f t="shared" ref="AB582:AB583" si="374">SUM(U582*AA582)</f>
        <v>2175000</v>
      </c>
      <c r="AC582" s="41">
        <f t="shared" ref="AC582:AC583" si="375">SUM(O582-AB582)</f>
        <v>0</v>
      </c>
      <c r="AD582" s="70" t="s">
        <v>783</v>
      </c>
      <c r="AE582" s="70"/>
      <c r="AG582" s="5">
        <f t="shared" si="357"/>
        <v>-2175000</v>
      </c>
      <c r="AH582" s="5"/>
    </row>
    <row r="583" spans="1:34" s="1" customFormat="1" ht="10.5" x14ac:dyDescent="0.25">
      <c r="A583" s="49">
        <v>86</v>
      </c>
      <c r="B583" s="22" t="s">
        <v>1708</v>
      </c>
      <c r="C583" s="22" t="s">
        <v>75</v>
      </c>
      <c r="D583" s="51" t="s">
        <v>781</v>
      </c>
      <c r="E583" s="24" t="s">
        <v>782</v>
      </c>
      <c r="F583" s="24"/>
      <c r="G583" s="24" t="s">
        <v>194</v>
      </c>
      <c r="H583" s="24" t="s">
        <v>62</v>
      </c>
      <c r="I583" s="24">
        <v>2015</v>
      </c>
      <c r="J583" s="24"/>
      <c r="K583" s="24" t="s">
        <v>63</v>
      </c>
      <c r="L583" s="24" t="s">
        <v>64</v>
      </c>
      <c r="M583" s="24">
        <v>1</v>
      </c>
      <c r="N583" s="41">
        <f t="shared" si="369"/>
        <v>2175000</v>
      </c>
      <c r="O583" s="41">
        <v>2175000</v>
      </c>
      <c r="P583" s="24"/>
      <c r="Q583" s="24"/>
      <c r="R583" s="24"/>
      <c r="S583" s="41">
        <f t="shared" si="370"/>
        <v>2175000</v>
      </c>
      <c r="T583" s="24">
        <v>5</v>
      </c>
      <c r="U583" s="41">
        <f t="shared" si="373"/>
        <v>435000</v>
      </c>
      <c r="V583" s="24">
        <v>0.5</v>
      </c>
      <c r="W583" s="41"/>
      <c r="X583" s="24"/>
      <c r="Y583" s="41">
        <f>SUM(U583*X583)</f>
        <v>0</v>
      </c>
      <c r="Z583" s="41"/>
      <c r="AA583" s="72">
        <v>5</v>
      </c>
      <c r="AB583" s="41">
        <f t="shared" si="374"/>
        <v>2175000</v>
      </c>
      <c r="AC583" s="41">
        <f t="shared" si="375"/>
        <v>0</v>
      </c>
      <c r="AD583" s="70" t="s">
        <v>213</v>
      </c>
      <c r="AE583" s="70"/>
      <c r="AG583" s="5">
        <f t="shared" si="357"/>
        <v>-2175000</v>
      </c>
      <c r="AH583" s="5"/>
    </row>
    <row r="584" spans="1:34" s="1" customFormat="1" ht="10.5" x14ac:dyDescent="0.25">
      <c r="A584" s="49">
        <v>87</v>
      </c>
      <c r="B584" s="22" t="s">
        <v>1709</v>
      </c>
      <c r="C584" s="22" t="s">
        <v>657</v>
      </c>
      <c r="D584" s="51" t="s">
        <v>658</v>
      </c>
      <c r="E584" s="24" t="s">
        <v>659</v>
      </c>
      <c r="F584" s="24"/>
      <c r="G584" s="24" t="s">
        <v>194</v>
      </c>
      <c r="H584" s="24" t="s">
        <v>62</v>
      </c>
      <c r="I584" s="24">
        <v>2018</v>
      </c>
      <c r="J584" s="24"/>
      <c r="K584" s="24" t="s">
        <v>63</v>
      </c>
      <c r="L584" s="24" t="s">
        <v>64</v>
      </c>
      <c r="M584" s="24">
        <v>3</v>
      </c>
      <c r="N584" s="41">
        <f t="shared" ref="N584" si="376">SUM(O584/M584)</f>
        <v>4364250</v>
      </c>
      <c r="O584" s="41">
        <v>13092750</v>
      </c>
      <c r="P584" s="24"/>
      <c r="Q584" s="24"/>
      <c r="R584" s="24"/>
      <c r="S584" s="41">
        <f t="shared" ref="S584" si="377">SUM(O584-R584)</f>
        <v>13092750</v>
      </c>
      <c r="T584" s="24">
        <v>5</v>
      </c>
      <c r="U584" s="41">
        <f>SUM(S584/T584)</f>
        <v>2618550</v>
      </c>
      <c r="V584" s="24">
        <v>0.5</v>
      </c>
      <c r="W584" s="41">
        <f t="shared" ref="W584" si="378">SUM(U584*V584)</f>
        <v>1309275</v>
      </c>
      <c r="X584" s="24">
        <v>0.5</v>
      </c>
      <c r="Y584" s="41">
        <f t="shared" ref="Y584" si="379">SUM(U584*X584)</f>
        <v>1309275</v>
      </c>
      <c r="Z584" s="41">
        <f t="shared" ref="Z584" si="380">SUM(W584+Y584)</f>
        <v>2618550</v>
      </c>
      <c r="AA584" s="24">
        <f>2022-I584+V584+X584-8/12</f>
        <v>4.333333333333333</v>
      </c>
      <c r="AB584" s="41">
        <f>SUM(U584*AA584)</f>
        <v>11347050</v>
      </c>
      <c r="AC584" s="41">
        <f t="shared" ref="AC584" si="381">SUM(O584-AB584)</f>
        <v>1745700</v>
      </c>
      <c r="AD584" s="70"/>
      <c r="AE584" s="70"/>
      <c r="AF584" s="1">
        <v>11347050</v>
      </c>
      <c r="AG584" s="5">
        <f t="shared" si="357"/>
        <v>2618550</v>
      </c>
      <c r="AH584" s="5"/>
    </row>
    <row r="585" spans="1:34" s="1" customFormat="1" ht="10.5" x14ac:dyDescent="0.25">
      <c r="A585" s="49">
        <v>88</v>
      </c>
      <c r="B585" s="22" t="s">
        <v>1710</v>
      </c>
      <c r="C585" s="22" t="s">
        <v>58</v>
      </c>
      <c r="D585" s="51" t="s">
        <v>1048</v>
      </c>
      <c r="E585" s="24" t="s">
        <v>166</v>
      </c>
      <c r="F585" s="24"/>
      <c r="G585" s="24" t="s">
        <v>903</v>
      </c>
      <c r="H585" s="24" t="s">
        <v>62</v>
      </c>
      <c r="I585" s="24">
        <v>2015</v>
      </c>
      <c r="J585" s="24"/>
      <c r="K585" s="24" t="s">
        <v>63</v>
      </c>
      <c r="L585" s="24" t="s">
        <v>64</v>
      </c>
      <c r="M585" s="24">
        <v>1</v>
      </c>
      <c r="N585" s="41">
        <f t="shared" ref="N585:N601" si="382">SUM(O585/M585)</f>
        <v>4550000</v>
      </c>
      <c r="O585" s="41">
        <v>4550000</v>
      </c>
      <c r="P585" s="24"/>
      <c r="Q585" s="24"/>
      <c r="R585" s="24"/>
      <c r="S585" s="41">
        <f t="shared" ref="S585:S599" si="383">SUM(O585-R585)</f>
        <v>4550000</v>
      </c>
      <c r="T585" s="24">
        <v>5</v>
      </c>
      <c r="U585" s="41">
        <f>SUM(S585/T585)</f>
        <v>910000</v>
      </c>
      <c r="V585" s="24">
        <v>0.5</v>
      </c>
      <c r="W585" s="41"/>
      <c r="X585" s="24"/>
      <c r="Y585" s="41">
        <f t="shared" ref="Y585:Y586" si="384">SUM(U585*X585)</f>
        <v>0</v>
      </c>
      <c r="Z585" s="41"/>
      <c r="AA585" s="69">
        <v>5</v>
      </c>
      <c r="AB585" s="41">
        <f>SUM(U585*AA585)</f>
        <v>4550000</v>
      </c>
      <c r="AC585" s="41">
        <f t="shared" ref="AC585:AC599" si="385">SUM(O585-AB585)</f>
        <v>0</v>
      </c>
      <c r="AD585" s="70" t="s">
        <v>295</v>
      </c>
      <c r="AE585" s="70"/>
      <c r="AF585" s="1">
        <v>4550000</v>
      </c>
      <c r="AG585" s="5">
        <f t="shared" si="357"/>
        <v>0</v>
      </c>
      <c r="AH585" s="5"/>
    </row>
    <row r="586" spans="1:34" s="1" customFormat="1" ht="10.5" x14ac:dyDescent="0.25">
      <c r="A586" s="49">
        <v>89</v>
      </c>
      <c r="B586" s="22" t="s">
        <v>1710</v>
      </c>
      <c r="C586" s="22" t="s">
        <v>75</v>
      </c>
      <c r="D586" s="51" t="s">
        <v>1049</v>
      </c>
      <c r="E586" s="24" t="s">
        <v>166</v>
      </c>
      <c r="F586" s="24"/>
      <c r="G586" s="24" t="s">
        <v>903</v>
      </c>
      <c r="H586" s="24" t="s">
        <v>62</v>
      </c>
      <c r="I586" s="24">
        <v>2015</v>
      </c>
      <c r="J586" s="24"/>
      <c r="K586" s="24" t="s">
        <v>63</v>
      </c>
      <c r="L586" s="24" t="s">
        <v>64</v>
      </c>
      <c r="M586" s="24">
        <v>1</v>
      </c>
      <c r="N586" s="41">
        <f t="shared" si="382"/>
        <v>3400000</v>
      </c>
      <c r="O586" s="41">
        <v>3400000</v>
      </c>
      <c r="P586" s="24"/>
      <c r="Q586" s="24"/>
      <c r="R586" s="24"/>
      <c r="S586" s="41">
        <f t="shared" si="383"/>
        <v>3400000</v>
      </c>
      <c r="T586" s="24">
        <v>5</v>
      </c>
      <c r="U586" s="41">
        <f>SUM(S586/T586)</f>
        <v>680000</v>
      </c>
      <c r="V586" s="24">
        <v>0.5</v>
      </c>
      <c r="W586" s="41"/>
      <c r="X586" s="24"/>
      <c r="Y586" s="41">
        <f t="shared" si="384"/>
        <v>0</v>
      </c>
      <c r="Z586" s="41"/>
      <c r="AA586" s="69">
        <v>5</v>
      </c>
      <c r="AB586" s="41">
        <f>SUM(U586*AA586)</f>
        <v>3400000</v>
      </c>
      <c r="AC586" s="41">
        <f t="shared" si="385"/>
        <v>0</v>
      </c>
      <c r="AD586" s="70" t="s">
        <v>295</v>
      </c>
      <c r="AE586" s="70"/>
      <c r="AF586" s="1">
        <v>3400000</v>
      </c>
      <c r="AG586" s="5">
        <f t="shared" si="357"/>
        <v>0</v>
      </c>
      <c r="AH586" s="5"/>
    </row>
    <row r="587" spans="1:34" s="1" customFormat="1" ht="10.5" x14ac:dyDescent="0.25">
      <c r="A587" s="49">
        <v>90</v>
      </c>
      <c r="B587" s="22" t="s">
        <v>1711</v>
      </c>
      <c r="C587" s="22" t="s">
        <v>209</v>
      </c>
      <c r="D587" s="51" t="s">
        <v>631</v>
      </c>
      <c r="E587" s="24" t="s">
        <v>632</v>
      </c>
      <c r="F587" s="24"/>
      <c r="G587" s="24" t="s">
        <v>194</v>
      </c>
      <c r="H587" s="24" t="s">
        <v>62</v>
      </c>
      <c r="I587" s="24">
        <v>2015</v>
      </c>
      <c r="J587" s="24"/>
      <c r="K587" s="24" t="s">
        <v>63</v>
      </c>
      <c r="L587" s="24" t="s">
        <v>64</v>
      </c>
      <c r="M587" s="24">
        <v>2</v>
      </c>
      <c r="N587" s="41">
        <f t="shared" si="382"/>
        <v>990000</v>
      </c>
      <c r="O587" s="41">
        <v>1980000</v>
      </c>
      <c r="P587" s="24"/>
      <c r="Q587" s="24"/>
      <c r="R587" s="24"/>
      <c r="S587" s="41">
        <f t="shared" si="383"/>
        <v>1980000</v>
      </c>
      <c r="T587" s="24">
        <v>5</v>
      </c>
      <c r="U587" s="41">
        <f t="shared" ref="U587:U599" si="386">SUM(S587/T587)</f>
        <v>396000</v>
      </c>
      <c r="V587" s="24"/>
      <c r="W587" s="41"/>
      <c r="X587" s="24"/>
      <c r="Y587" s="41">
        <f t="shared" ref="Y587:Y592" si="387">SUM(U587*X587)</f>
        <v>0</v>
      </c>
      <c r="Z587" s="41">
        <f t="shared" ref="Z587:Z599" si="388">SUM(W587+Y587)</f>
        <v>0</v>
      </c>
      <c r="AA587" s="69">
        <v>5.25</v>
      </c>
      <c r="AB587" s="41">
        <f t="shared" ref="AB587:AB601" si="389">SUM(U587*AA587)</f>
        <v>2079000</v>
      </c>
      <c r="AC587" s="41">
        <f t="shared" si="385"/>
        <v>-99000</v>
      </c>
      <c r="AD587" s="70" t="s">
        <v>354</v>
      </c>
      <c r="AE587" s="70"/>
      <c r="AF587" s="1">
        <v>2079000</v>
      </c>
      <c r="AG587" s="5">
        <f t="shared" si="357"/>
        <v>0</v>
      </c>
      <c r="AH587" s="5"/>
    </row>
    <row r="588" spans="1:34" s="1" customFormat="1" ht="10.5" x14ac:dyDescent="0.25">
      <c r="A588" s="49">
        <v>91</v>
      </c>
      <c r="B588" s="22" t="s">
        <v>1711</v>
      </c>
      <c r="C588" s="22" t="s">
        <v>633</v>
      </c>
      <c r="D588" s="51" t="s">
        <v>631</v>
      </c>
      <c r="E588" s="24" t="s">
        <v>632</v>
      </c>
      <c r="F588" s="24"/>
      <c r="G588" s="24" t="s">
        <v>194</v>
      </c>
      <c r="H588" s="24" t="s">
        <v>62</v>
      </c>
      <c r="I588" s="24">
        <v>2015</v>
      </c>
      <c r="J588" s="24"/>
      <c r="K588" s="24" t="s">
        <v>63</v>
      </c>
      <c r="L588" s="24" t="s">
        <v>64</v>
      </c>
      <c r="M588" s="24">
        <v>2</v>
      </c>
      <c r="N588" s="41">
        <f t="shared" si="382"/>
        <v>990000</v>
      </c>
      <c r="O588" s="41">
        <v>1980000</v>
      </c>
      <c r="P588" s="24"/>
      <c r="Q588" s="24"/>
      <c r="R588" s="24"/>
      <c r="S588" s="41">
        <f t="shared" si="383"/>
        <v>1980000</v>
      </c>
      <c r="T588" s="24">
        <v>5</v>
      </c>
      <c r="U588" s="41">
        <f t="shared" si="386"/>
        <v>396000</v>
      </c>
      <c r="V588" s="24"/>
      <c r="W588" s="41"/>
      <c r="X588" s="24"/>
      <c r="Y588" s="41">
        <f t="shared" si="387"/>
        <v>0</v>
      </c>
      <c r="Z588" s="41">
        <f t="shared" si="388"/>
        <v>0</v>
      </c>
      <c r="AA588" s="69">
        <v>5.25</v>
      </c>
      <c r="AB588" s="41">
        <f t="shared" si="389"/>
        <v>2079000</v>
      </c>
      <c r="AC588" s="41">
        <f t="shared" si="385"/>
        <v>-99000</v>
      </c>
      <c r="AD588" s="70" t="s">
        <v>350</v>
      </c>
      <c r="AE588" s="70"/>
      <c r="AF588" s="1">
        <v>2079000</v>
      </c>
      <c r="AG588" s="5">
        <f t="shared" si="357"/>
        <v>0</v>
      </c>
      <c r="AH588" s="5"/>
    </row>
    <row r="589" spans="1:34" s="1" customFormat="1" ht="10.5" x14ac:dyDescent="0.25">
      <c r="A589" s="49">
        <v>92</v>
      </c>
      <c r="B589" s="22" t="s">
        <v>1711</v>
      </c>
      <c r="C589" s="22" t="s">
        <v>634</v>
      </c>
      <c r="D589" s="51" t="s">
        <v>631</v>
      </c>
      <c r="E589" s="24" t="s">
        <v>632</v>
      </c>
      <c r="F589" s="24"/>
      <c r="G589" s="24" t="s">
        <v>194</v>
      </c>
      <c r="H589" s="24" t="s">
        <v>62</v>
      </c>
      <c r="I589" s="24">
        <v>2015</v>
      </c>
      <c r="J589" s="24"/>
      <c r="K589" s="24" t="s">
        <v>63</v>
      </c>
      <c r="L589" s="24" t="s">
        <v>64</v>
      </c>
      <c r="M589" s="24">
        <v>2</v>
      </c>
      <c r="N589" s="41">
        <f t="shared" si="382"/>
        <v>990000</v>
      </c>
      <c r="O589" s="41">
        <v>1980000</v>
      </c>
      <c r="P589" s="24"/>
      <c r="Q589" s="24"/>
      <c r="R589" s="24"/>
      <c r="S589" s="41">
        <f t="shared" si="383"/>
        <v>1980000</v>
      </c>
      <c r="T589" s="24">
        <v>5</v>
      </c>
      <c r="U589" s="41">
        <f t="shared" si="386"/>
        <v>396000</v>
      </c>
      <c r="V589" s="24"/>
      <c r="W589" s="41"/>
      <c r="X589" s="24"/>
      <c r="Y589" s="41">
        <f t="shared" si="387"/>
        <v>0</v>
      </c>
      <c r="Z589" s="41">
        <f t="shared" si="388"/>
        <v>0</v>
      </c>
      <c r="AA589" s="69">
        <v>5.25</v>
      </c>
      <c r="AB589" s="41">
        <f t="shared" si="389"/>
        <v>2079000</v>
      </c>
      <c r="AC589" s="41">
        <f t="shared" si="385"/>
        <v>-99000</v>
      </c>
      <c r="AD589" s="70" t="s">
        <v>635</v>
      </c>
      <c r="AE589" s="70"/>
      <c r="AF589" s="1">
        <v>2079000</v>
      </c>
      <c r="AG589" s="5">
        <f t="shared" si="357"/>
        <v>0</v>
      </c>
      <c r="AH589" s="5"/>
    </row>
    <row r="590" spans="1:34" s="1" customFormat="1" ht="10.5" x14ac:dyDescent="0.25">
      <c r="A590" s="49">
        <v>93</v>
      </c>
      <c r="B590" s="22" t="s">
        <v>1711</v>
      </c>
      <c r="C590" s="22" t="s">
        <v>96</v>
      </c>
      <c r="D590" s="51" t="s">
        <v>631</v>
      </c>
      <c r="E590" s="24" t="s">
        <v>632</v>
      </c>
      <c r="F590" s="24"/>
      <c r="G590" s="24" t="s">
        <v>194</v>
      </c>
      <c r="H590" s="24" t="s">
        <v>62</v>
      </c>
      <c r="I590" s="24">
        <v>2015</v>
      </c>
      <c r="J590" s="24"/>
      <c r="K590" s="24" t="s">
        <v>63</v>
      </c>
      <c r="L590" s="24" t="s">
        <v>64</v>
      </c>
      <c r="M590" s="24">
        <v>1</v>
      </c>
      <c r="N590" s="41">
        <f t="shared" si="382"/>
        <v>990000</v>
      </c>
      <c r="O590" s="41">
        <v>990000</v>
      </c>
      <c r="P590" s="24"/>
      <c r="Q590" s="24"/>
      <c r="R590" s="24"/>
      <c r="S590" s="41">
        <f t="shared" si="383"/>
        <v>990000</v>
      </c>
      <c r="T590" s="24">
        <v>5</v>
      </c>
      <c r="U590" s="41">
        <f t="shared" si="386"/>
        <v>198000</v>
      </c>
      <c r="V590" s="24"/>
      <c r="W590" s="41"/>
      <c r="X590" s="24"/>
      <c r="Y590" s="41">
        <f t="shared" si="387"/>
        <v>0</v>
      </c>
      <c r="Z590" s="41">
        <f t="shared" si="388"/>
        <v>0</v>
      </c>
      <c r="AA590" s="69">
        <v>5.25</v>
      </c>
      <c r="AB590" s="41">
        <f t="shared" si="389"/>
        <v>1039500</v>
      </c>
      <c r="AC590" s="41">
        <f t="shared" si="385"/>
        <v>-49500</v>
      </c>
      <c r="AD590" s="70" t="s">
        <v>243</v>
      </c>
      <c r="AE590" s="70"/>
      <c r="AF590" s="1">
        <v>1039500</v>
      </c>
      <c r="AG590" s="5">
        <f t="shared" si="357"/>
        <v>0</v>
      </c>
      <c r="AH590" s="5"/>
    </row>
    <row r="591" spans="1:34" s="1" customFormat="1" ht="10.5" x14ac:dyDescent="0.25">
      <c r="A591" s="49">
        <v>94</v>
      </c>
      <c r="B591" s="22" t="s">
        <v>1711</v>
      </c>
      <c r="C591" s="22" t="s">
        <v>100</v>
      </c>
      <c r="D591" s="51" t="s">
        <v>636</v>
      </c>
      <c r="E591" s="24" t="s">
        <v>637</v>
      </c>
      <c r="F591" s="24"/>
      <c r="G591" s="24" t="s">
        <v>194</v>
      </c>
      <c r="H591" s="24" t="s">
        <v>62</v>
      </c>
      <c r="I591" s="24">
        <v>2018</v>
      </c>
      <c r="J591" s="24"/>
      <c r="K591" s="24" t="s">
        <v>63</v>
      </c>
      <c r="L591" s="24" t="s">
        <v>64</v>
      </c>
      <c r="M591" s="24">
        <v>1</v>
      </c>
      <c r="N591" s="41">
        <f t="shared" si="382"/>
        <v>2898500</v>
      </c>
      <c r="O591" s="41">
        <v>2898500</v>
      </c>
      <c r="P591" s="24"/>
      <c r="Q591" s="24"/>
      <c r="R591" s="24"/>
      <c r="S591" s="41">
        <f t="shared" si="383"/>
        <v>2898500</v>
      </c>
      <c r="T591" s="24">
        <v>5</v>
      </c>
      <c r="U591" s="41">
        <f t="shared" si="386"/>
        <v>579700</v>
      </c>
      <c r="V591" s="24">
        <v>0.5</v>
      </c>
      <c r="W591" s="41">
        <f t="shared" ref="W591:W601" si="390">SUM(U591*V591)</f>
        <v>289850</v>
      </c>
      <c r="X591" s="24">
        <v>0.5</v>
      </c>
      <c r="Y591" s="41">
        <f t="shared" si="387"/>
        <v>289850</v>
      </c>
      <c r="Z591" s="41">
        <f t="shared" si="388"/>
        <v>579700</v>
      </c>
      <c r="AA591" s="24">
        <f>2022-I591+V591+X591-8/12</f>
        <v>4.333333333333333</v>
      </c>
      <c r="AB591" s="41">
        <f t="shared" si="389"/>
        <v>2512033.333333333</v>
      </c>
      <c r="AC591" s="41">
        <f t="shared" si="385"/>
        <v>386466.66666666698</v>
      </c>
      <c r="AD591" s="70" t="s">
        <v>638</v>
      </c>
      <c r="AE591" s="70"/>
      <c r="AF591" s="1">
        <v>2512033.333333333</v>
      </c>
      <c r="AG591" s="5">
        <f t="shared" si="357"/>
        <v>579700</v>
      </c>
      <c r="AH591" s="5"/>
    </row>
    <row r="592" spans="1:34" s="1" customFormat="1" ht="10.5" x14ac:dyDescent="0.25">
      <c r="A592" s="49">
        <v>95</v>
      </c>
      <c r="B592" s="22" t="s">
        <v>1711</v>
      </c>
      <c r="C592" s="22" t="s">
        <v>105</v>
      </c>
      <c r="D592" s="51" t="s">
        <v>636</v>
      </c>
      <c r="E592" s="24" t="s">
        <v>637</v>
      </c>
      <c r="F592" s="24"/>
      <c r="G592" s="24" t="s">
        <v>194</v>
      </c>
      <c r="H592" s="24" t="s">
        <v>62</v>
      </c>
      <c r="I592" s="24">
        <v>2018</v>
      </c>
      <c r="J592" s="24"/>
      <c r="K592" s="24" t="s">
        <v>63</v>
      </c>
      <c r="L592" s="24" t="s">
        <v>64</v>
      </c>
      <c r="M592" s="24">
        <v>1</v>
      </c>
      <c r="N592" s="41">
        <f t="shared" si="382"/>
        <v>2898500</v>
      </c>
      <c r="O592" s="41">
        <v>2898500</v>
      </c>
      <c r="P592" s="24"/>
      <c r="Q592" s="24"/>
      <c r="R592" s="24"/>
      <c r="S592" s="41">
        <f t="shared" si="383"/>
        <v>2898500</v>
      </c>
      <c r="T592" s="24">
        <v>5</v>
      </c>
      <c r="U592" s="41">
        <f t="shared" si="386"/>
        <v>579700</v>
      </c>
      <c r="V592" s="24">
        <v>0.5</v>
      </c>
      <c r="W592" s="41">
        <f t="shared" si="390"/>
        <v>289850</v>
      </c>
      <c r="X592" s="24">
        <v>0.5</v>
      </c>
      <c r="Y592" s="41">
        <f t="shared" si="387"/>
        <v>289850</v>
      </c>
      <c r="Z592" s="41">
        <f t="shared" si="388"/>
        <v>579700</v>
      </c>
      <c r="AA592" s="24">
        <f t="shared" ref="AA592:AA600" si="391">2022-I592+V592+X592-8/12</f>
        <v>4.333333333333333</v>
      </c>
      <c r="AB592" s="41">
        <f t="shared" si="389"/>
        <v>2512033.333333333</v>
      </c>
      <c r="AC592" s="41">
        <f t="shared" si="385"/>
        <v>386466.66666666698</v>
      </c>
      <c r="AD592" s="70" t="s">
        <v>639</v>
      </c>
      <c r="AE592" s="70"/>
      <c r="AF592" s="1">
        <v>2512033.333333333</v>
      </c>
      <c r="AG592" s="5">
        <f t="shared" si="357"/>
        <v>579700</v>
      </c>
      <c r="AH592" s="5"/>
    </row>
    <row r="593" spans="1:34" s="1" customFormat="1" ht="10.5" x14ac:dyDescent="0.25">
      <c r="A593" s="49">
        <v>96</v>
      </c>
      <c r="B593" s="22" t="s">
        <v>1711</v>
      </c>
      <c r="C593" s="22" t="s">
        <v>108</v>
      </c>
      <c r="D593" s="51" t="s">
        <v>636</v>
      </c>
      <c r="E593" s="24" t="s">
        <v>637</v>
      </c>
      <c r="F593" s="24"/>
      <c r="G593" s="24" t="s">
        <v>194</v>
      </c>
      <c r="H593" s="24" t="s">
        <v>62</v>
      </c>
      <c r="I593" s="24">
        <v>2018</v>
      </c>
      <c r="J593" s="24"/>
      <c r="K593" s="24" t="s">
        <v>63</v>
      </c>
      <c r="L593" s="24" t="s">
        <v>64</v>
      </c>
      <c r="M593" s="24">
        <v>1</v>
      </c>
      <c r="N593" s="41">
        <f t="shared" si="382"/>
        <v>2898500</v>
      </c>
      <c r="O593" s="41">
        <v>2898500</v>
      </c>
      <c r="P593" s="24"/>
      <c r="Q593" s="24"/>
      <c r="R593" s="24"/>
      <c r="S593" s="41">
        <f t="shared" si="383"/>
        <v>2898500</v>
      </c>
      <c r="T593" s="24">
        <v>5</v>
      </c>
      <c r="U593" s="41">
        <f t="shared" si="386"/>
        <v>579700</v>
      </c>
      <c r="V593" s="24">
        <v>0.5</v>
      </c>
      <c r="W593" s="41">
        <f t="shared" si="390"/>
        <v>289850</v>
      </c>
      <c r="X593" s="24">
        <v>0.5</v>
      </c>
      <c r="Y593" s="41">
        <f t="shared" ref="Y593" si="392">SUM(U593*X593)</f>
        <v>289850</v>
      </c>
      <c r="Z593" s="41">
        <f t="shared" si="388"/>
        <v>579700</v>
      </c>
      <c r="AA593" s="24">
        <f t="shared" si="391"/>
        <v>4.333333333333333</v>
      </c>
      <c r="AB593" s="41">
        <f t="shared" si="389"/>
        <v>2512033.333333333</v>
      </c>
      <c r="AC593" s="41">
        <f t="shared" si="385"/>
        <v>386466.66666666698</v>
      </c>
      <c r="AD593" s="70" t="s">
        <v>640</v>
      </c>
      <c r="AE593" s="70"/>
      <c r="AF593" s="1">
        <v>2512033.333333333</v>
      </c>
      <c r="AG593" s="5">
        <f t="shared" si="357"/>
        <v>579700</v>
      </c>
      <c r="AH593" s="5"/>
    </row>
    <row r="594" spans="1:34" s="1" customFormat="1" ht="10.5" x14ac:dyDescent="0.25">
      <c r="A594" s="49">
        <v>97</v>
      </c>
      <c r="B594" s="22" t="s">
        <v>1711</v>
      </c>
      <c r="C594" s="22" t="s">
        <v>135</v>
      </c>
      <c r="D594" s="51" t="s">
        <v>636</v>
      </c>
      <c r="E594" s="24" t="s">
        <v>637</v>
      </c>
      <c r="F594" s="24"/>
      <c r="G594" s="24" t="s">
        <v>194</v>
      </c>
      <c r="H594" s="24" t="s">
        <v>62</v>
      </c>
      <c r="I594" s="24">
        <v>2018</v>
      </c>
      <c r="J594" s="24"/>
      <c r="K594" s="24" t="s">
        <v>63</v>
      </c>
      <c r="L594" s="24" t="s">
        <v>64</v>
      </c>
      <c r="M594" s="24">
        <v>1</v>
      </c>
      <c r="N594" s="41">
        <f t="shared" si="382"/>
        <v>2898500</v>
      </c>
      <c r="O594" s="41">
        <v>2898500</v>
      </c>
      <c r="P594" s="24"/>
      <c r="Q594" s="24"/>
      <c r="R594" s="24"/>
      <c r="S594" s="41">
        <f t="shared" si="383"/>
        <v>2898500</v>
      </c>
      <c r="T594" s="24">
        <v>5</v>
      </c>
      <c r="U594" s="41">
        <f t="shared" si="386"/>
        <v>579700</v>
      </c>
      <c r="V594" s="24">
        <v>0.5</v>
      </c>
      <c r="W594" s="41">
        <f t="shared" si="390"/>
        <v>289850</v>
      </c>
      <c r="X594" s="24">
        <v>0.5</v>
      </c>
      <c r="Y594" s="41">
        <f t="shared" ref="Y594:Y601" si="393">SUM(U594*X594)</f>
        <v>289850</v>
      </c>
      <c r="Z594" s="41">
        <f t="shared" si="388"/>
        <v>579700</v>
      </c>
      <c r="AA594" s="24">
        <f t="shared" si="391"/>
        <v>4.333333333333333</v>
      </c>
      <c r="AB594" s="41">
        <f t="shared" si="389"/>
        <v>2512033.333333333</v>
      </c>
      <c r="AC594" s="41">
        <f t="shared" si="385"/>
        <v>386466.66666666698</v>
      </c>
      <c r="AD594" s="70" t="s">
        <v>641</v>
      </c>
      <c r="AE594" s="70"/>
      <c r="AF594" s="1">
        <v>2512033.333333333</v>
      </c>
      <c r="AG594" s="5">
        <f t="shared" si="357"/>
        <v>579700</v>
      </c>
      <c r="AH594" s="5"/>
    </row>
    <row r="595" spans="1:34" s="1" customFormat="1" ht="10.5" x14ac:dyDescent="0.25">
      <c r="A595" s="49">
        <v>98</v>
      </c>
      <c r="B595" s="22" t="s">
        <v>1711</v>
      </c>
      <c r="C595" s="22" t="s">
        <v>138</v>
      </c>
      <c r="D595" s="51" t="s">
        <v>636</v>
      </c>
      <c r="E595" s="24" t="s">
        <v>637</v>
      </c>
      <c r="F595" s="24"/>
      <c r="G595" s="24" t="s">
        <v>194</v>
      </c>
      <c r="H595" s="24" t="s">
        <v>62</v>
      </c>
      <c r="I595" s="24">
        <v>2018</v>
      </c>
      <c r="J595" s="24"/>
      <c r="K595" s="24" t="s">
        <v>63</v>
      </c>
      <c r="L595" s="24" t="s">
        <v>64</v>
      </c>
      <c r="M595" s="24">
        <v>1</v>
      </c>
      <c r="N595" s="41">
        <f t="shared" si="382"/>
        <v>2898500</v>
      </c>
      <c r="O595" s="41">
        <v>2898500</v>
      </c>
      <c r="P595" s="24"/>
      <c r="Q595" s="24"/>
      <c r="R595" s="24"/>
      <c r="S595" s="41">
        <f t="shared" si="383"/>
        <v>2898500</v>
      </c>
      <c r="T595" s="24">
        <v>5</v>
      </c>
      <c r="U595" s="41">
        <f t="shared" si="386"/>
        <v>579700</v>
      </c>
      <c r="V595" s="24">
        <v>0.5</v>
      </c>
      <c r="W595" s="41">
        <f t="shared" si="390"/>
        <v>289850</v>
      </c>
      <c r="X595" s="24">
        <v>0.5</v>
      </c>
      <c r="Y595" s="41">
        <f t="shared" si="393"/>
        <v>289850</v>
      </c>
      <c r="Z595" s="41">
        <f t="shared" si="388"/>
        <v>579700</v>
      </c>
      <c r="AA595" s="24">
        <f t="shared" si="391"/>
        <v>4.333333333333333</v>
      </c>
      <c r="AB595" s="41">
        <f t="shared" si="389"/>
        <v>2512033.333333333</v>
      </c>
      <c r="AC595" s="41">
        <f t="shared" si="385"/>
        <v>386466.66666666698</v>
      </c>
      <c r="AD595" s="70" t="s">
        <v>642</v>
      </c>
      <c r="AE595" s="70"/>
      <c r="AF595" s="1">
        <v>2512033.333333333</v>
      </c>
      <c r="AG595" s="5">
        <f t="shared" si="357"/>
        <v>579700</v>
      </c>
      <c r="AH595" s="5"/>
    </row>
    <row r="596" spans="1:34" s="1" customFormat="1" ht="10.5" x14ac:dyDescent="0.25">
      <c r="A596" s="49">
        <v>99</v>
      </c>
      <c r="B596" s="22" t="s">
        <v>1711</v>
      </c>
      <c r="C596" s="22" t="s">
        <v>140</v>
      </c>
      <c r="D596" s="51" t="s">
        <v>636</v>
      </c>
      <c r="E596" s="24" t="s">
        <v>637</v>
      </c>
      <c r="F596" s="24"/>
      <c r="G596" s="24" t="s">
        <v>194</v>
      </c>
      <c r="H596" s="24" t="s">
        <v>62</v>
      </c>
      <c r="I596" s="24">
        <v>2018</v>
      </c>
      <c r="J596" s="24"/>
      <c r="K596" s="24" t="s">
        <v>63</v>
      </c>
      <c r="L596" s="24" t="s">
        <v>64</v>
      </c>
      <c r="M596" s="24">
        <v>1</v>
      </c>
      <c r="N596" s="41">
        <f t="shared" si="382"/>
        <v>2898500</v>
      </c>
      <c r="O596" s="41">
        <v>2898500</v>
      </c>
      <c r="P596" s="24"/>
      <c r="Q596" s="24"/>
      <c r="R596" s="24"/>
      <c r="S596" s="41">
        <f t="shared" si="383"/>
        <v>2898500</v>
      </c>
      <c r="T596" s="24">
        <v>5</v>
      </c>
      <c r="U596" s="41">
        <f t="shared" si="386"/>
        <v>579700</v>
      </c>
      <c r="V596" s="24">
        <v>0.5</v>
      </c>
      <c r="W596" s="41">
        <f t="shared" si="390"/>
        <v>289850</v>
      </c>
      <c r="X596" s="24">
        <v>0.5</v>
      </c>
      <c r="Y596" s="41">
        <f t="shared" si="393"/>
        <v>289850</v>
      </c>
      <c r="Z596" s="41">
        <f t="shared" si="388"/>
        <v>579700</v>
      </c>
      <c r="AA596" s="24">
        <f t="shared" si="391"/>
        <v>4.333333333333333</v>
      </c>
      <c r="AB596" s="41">
        <f t="shared" si="389"/>
        <v>2512033.333333333</v>
      </c>
      <c r="AC596" s="41">
        <f t="shared" si="385"/>
        <v>386466.66666666698</v>
      </c>
      <c r="AD596" s="70" t="s">
        <v>643</v>
      </c>
      <c r="AE596" s="70"/>
      <c r="AF596" s="1">
        <v>2512033.333333333</v>
      </c>
      <c r="AG596" s="5">
        <f t="shared" si="357"/>
        <v>579700</v>
      </c>
      <c r="AH596" s="5"/>
    </row>
    <row r="597" spans="1:34" s="1" customFormat="1" ht="10.5" x14ac:dyDescent="0.25">
      <c r="A597" s="49">
        <v>100</v>
      </c>
      <c r="B597" s="22" t="s">
        <v>1711</v>
      </c>
      <c r="C597" s="22" t="s">
        <v>143</v>
      </c>
      <c r="D597" s="51" t="s">
        <v>636</v>
      </c>
      <c r="E597" s="24" t="s">
        <v>637</v>
      </c>
      <c r="F597" s="24"/>
      <c r="G597" s="24" t="s">
        <v>194</v>
      </c>
      <c r="H597" s="24" t="s">
        <v>62</v>
      </c>
      <c r="I597" s="24">
        <v>2018</v>
      </c>
      <c r="J597" s="24"/>
      <c r="K597" s="24" t="s">
        <v>63</v>
      </c>
      <c r="L597" s="24" t="s">
        <v>64</v>
      </c>
      <c r="M597" s="24">
        <v>1</v>
      </c>
      <c r="N597" s="41">
        <f t="shared" si="382"/>
        <v>2898500</v>
      </c>
      <c r="O597" s="41">
        <v>2898500</v>
      </c>
      <c r="P597" s="24"/>
      <c r="Q597" s="24"/>
      <c r="R597" s="24"/>
      <c r="S597" s="41">
        <f t="shared" si="383"/>
        <v>2898500</v>
      </c>
      <c r="T597" s="24">
        <v>5</v>
      </c>
      <c r="U597" s="41">
        <f t="shared" si="386"/>
        <v>579700</v>
      </c>
      <c r="V597" s="24">
        <v>0.5</v>
      </c>
      <c r="W597" s="41">
        <f t="shared" si="390"/>
        <v>289850</v>
      </c>
      <c r="X597" s="24">
        <v>0.5</v>
      </c>
      <c r="Y597" s="41">
        <f t="shared" si="393"/>
        <v>289850</v>
      </c>
      <c r="Z597" s="41">
        <f t="shared" si="388"/>
        <v>579700</v>
      </c>
      <c r="AA597" s="24">
        <f t="shared" si="391"/>
        <v>4.333333333333333</v>
      </c>
      <c r="AB597" s="41">
        <f t="shared" si="389"/>
        <v>2512033.333333333</v>
      </c>
      <c r="AC597" s="41">
        <f t="shared" si="385"/>
        <v>386466.66666666698</v>
      </c>
      <c r="AD597" s="70" t="s">
        <v>644</v>
      </c>
      <c r="AE597" s="70"/>
      <c r="AF597" s="1">
        <v>2512033.333333333</v>
      </c>
      <c r="AG597" s="5">
        <f t="shared" si="357"/>
        <v>579700</v>
      </c>
      <c r="AH597" s="5"/>
    </row>
    <row r="598" spans="1:34" s="1" customFormat="1" ht="10.5" x14ac:dyDescent="0.25">
      <c r="A598" s="49">
        <v>101</v>
      </c>
      <c r="B598" s="22" t="s">
        <v>1711</v>
      </c>
      <c r="C598" s="22" t="s">
        <v>146</v>
      </c>
      <c r="D598" s="51" t="s">
        <v>636</v>
      </c>
      <c r="E598" s="24" t="s">
        <v>637</v>
      </c>
      <c r="F598" s="24"/>
      <c r="G598" s="24" t="s">
        <v>194</v>
      </c>
      <c r="H598" s="24" t="s">
        <v>62</v>
      </c>
      <c r="I598" s="24">
        <v>2018</v>
      </c>
      <c r="J598" s="24"/>
      <c r="K598" s="24" t="s">
        <v>63</v>
      </c>
      <c r="L598" s="24" t="s">
        <v>64</v>
      </c>
      <c r="M598" s="24">
        <v>1</v>
      </c>
      <c r="N598" s="41">
        <f t="shared" si="382"/>
        <v>2898500</v>
      </c>
      <c r="O598" s="41">
        <v>2898500</v>
      </c>
      <c r="P598" s="24"/>
      <c r="Q598" s="24"/>
      <c r="R598" s="24"/>
      <c r="S598" s="41">
        <f t="shared" si="383"/>
        <v>2898500</v>
      </c>
      <c r="T598" s="24">
        <v>5</v>
      </c>
      <c r="U598" s="41">
        <f t="shared" si="386"/>
        <v>579700</v>
      </c>
      <c r="V598" s="24">
        <v>0.5</v>
      </c>
      <c r="W598" s="41">
        <f t="shared" si="390"/>
        <v>289850</v>
      </c>
      <c r="X598" s="24">
        <v>0.5</v>
      </c>
      <c r="Y598" s="41">
        <f t="shared" si="393"/>
        <v>289850</v>
      </c>
      <c r="Z598" s="41">
        <f t="shared" si="388"/>
        <v>579700</v>
      </c>
      <c r="AA598" s="24">
        <f t="shared" si="391"/>
        <v>4.333333333333333</v>
      </c>
      <c r="AB598" s="41">
        <f t="shared" si="389"/>
        <v>2512033.333333333</v>
      </c>
      <c r="AC598" s="41">
        <f t="shared" si="385"/>
        <v>386466.66666666698</v>
      </c>
      <c r="AD598" s="70" t="s">
        <v>645</v>
      </c>
      <c r="AE598" s="70"/>
      <c r="AF598" s="1">
        <v>2512033.333333333</v>
      </c>
      <c r="AG598" s="5">
        <f t="shared" si="357"/>
        <v>579700</v>
      </c>
      <c r="AH598" s="5"/>
    </row>
    <row r="599" spans="1:34" s="1" customFormat="1" ht="10.5" x14ac:dyDescent="0.25">
      <c r="A599" s="49">
        <v>102</v>
      </c>
      <c r="B599" s="22" t="s">
        <v>1711</v>
      </c>
      <c r="C599" s="22" t="s">
        <v>150</v>
      </c>
      <c r="D599" s="51" t="s">
        <v>636</v>
      </c>
      <c r="E599" s="24" t="s">
        <v>637</v>
      </c>
      <c r="F599" s="24"/>
      <c r="G599" s="24" t="s">
        <v>194</v>
      </c>
      <c r="H599" s="24" t="s">
        <v>62</v>
      </c>
      <c r="I599" s="24">
        <v>2018</v>
      </c>
      <c r="J599" s="24"/>
      <c r="K599" s="24" t="s">
        <v>63</v>
      </c>
      <c r="L599" s="24" t="s">
        <v>64</v>
      </c>
      <c r="M599" s="24">
        <v>1</v>
      </c>
      <c r="N599" s="41">
        <f t="shared" si="382"/>
        <v>2898500</v>
      </c>
      <c r="O599" s="41">
        <v>2898500</v>
      </c>
      <c r="P599" s="24"/>
      <c r="Q599" s="24"/>
      <c r="R599" s="24"/>
      <c r="S599" s="41">
        <f t="shared" si="383"/>
        <v>2898500</v>
      </c>
      <c r="T599" s="24">
        <v>5</v>
      </c>
      <c r="U599" s="41">
        <f t="shared" si="386"/>
        <v>579700</v>
      </c>
      <c r="V599" s="24">
        <v>0.5</v>
      </c>
      <c r="W599" s="41">
        <f t="shared" si="390"/>
        <v>289850</v>
      </c>
      <c r="X599" s="24">
        <v>0.5</v>
      </c>
      <c r="Y599" s="41">
        <f t="shared" si="393"/>
        <v>289850</v>
      </c>
      <c r="Z599" s="41">
        <f t="shared" si="388"/>
        <v>579700</v>
      </c>
      <c r="AA599" s="24">
        <f t="shared" si="391"/>
        <v>4.333333333333333</v>
      </c>
      <c r="AB599" s="41">
        <f t="shared" si="389"/>
        <v>2512033.333333333</v>
      </c>
      <c r="AC599" s="41">
        <f t="shared" si="385"/>
        <v>386466.66666666698</v>
      </c>
      <c r="AD599" s="70" t="s">
        <v>646</v>
      </c>
      <c r="AE599" s="70"/>
      <c r="AF599" s="1">
        <v>2512033.333333333</v>
      </c>
      <c r="AG599" s="5">
        <f t="shared" si="357"/>
        <v>579700</v>
      </c>
      <c r="AH599" s="5"/>
    </row>
    <row r="600" spans="1:34" s="1" customFormat="1" ht="10.5" x14ac:dyDescent="0.25">
      <c r="A600" s="49">
        <v>103</v>
      </c>
      <c r="B600" s="22" t="s">
        <v>1711</v>
      </c>
      <c r="C600" s="22" t="s">
        <v>153</v>
      </c>
      <c r="D600" s="51" t="s">
        <v>636</v>
      </c>
      <c r="E600" s="24" t="s">
        <v>637</v>
      </c>
      <c r="F600" s="24"/>
      <c r="G600" s="24" t="s">
        <v>194</v>
      </c>
      <c r="H600" s="24" t="s">
        <v>62</v>
      </c>
      <c r="I600" s="24">
        <v>2018</v>
      </c>
      <c r="J600" s="24"/>
      <c r="K600" s="24" t="s">
        <v>63</v>
      </c>
      <c r="L600" s="24" t="s">
        <v>64</v>
      </c>
      <c r="M600" s="24">
        <v>1</v>
      </c>
      <c r="N600" s="41">
        <f t="shared" si="382"/>
        <v>2898500</v>
      </c>
      <c r="O600" s="41">
        <v>2898500</v>
      </c>
      <c r="P600" s="24"/>
      <c r="Q600" s="24"/>
      <c r="R600" s="24"/>
      <c r="S600" s="41">
        <f t="shared" ref="S600:S601" si="394">SUM(O600-R600)</f>
        <v>2898500</v>
      </c>
      <c r="T600" s="24">
        <v>5</v>
      </c>
      <c r="U600" s="41">
        <f>SUM(S600/T600)</f>
        <v>579700</v>
      </c>
      <c r="V600" s="24">
        <v>0.5</v>
      </c>
      <c r="W600" s="41">
        <f t="shared" si="390"/>
        <v>289850</v>
      </c>
      <c r="X600" s="24">
        <v>0.5</v>
      </c>
      <c r="Y600" s="41">
        <f t="shared" si="393"/>
        <v>289850</v>
      </c>
      <c r="Z600" s="41">
        <f t="shared" ref="Z600:Z601" si="395">SUM(W600+Y600)</f>
        <v>579700</v>
      </c>
      <c r="AA600" s="24">
        <f t="shared" si="391"/>
        <v>4.333333333333333</v>
      </c>
      <c r="AB600" s="41">
        <f t="shared" si="389"/>
        <v>2512033.333333333</v>
      </c>
      <c r="AC600" s="41">
        <f t="shared" ref="AC600:AC601" si="396">SUM(O600-AB600)</f>
        <v>386466.66666666698</v>
      </c>
      <c r="AD600" s="70" t="s">
        <v>647</v>
      </c>
      <c r="AE600" s="70"/>
      <c r="AF600" s="1">
        <v>2512033.333333333</v>
      </c>
      <c r="AG600" s="5">
        <f t="shared" si="357"/>
        <v>579700</v>
      </c>
      <c r="AH600" s="5"/>
    </row>
    <row r="601" spans="1:34" s="1" customFormat="1" ht="10.5" x14ac:dyDescent="0.25">
      <c r="A601" s="49">
        <v>104</v>
      </c>
      <c r="B601" s="22" t="s">
        <v>1711</v>
      </c>
      <c r="C601" s="73" t="s">
        <v>806</v>
      </c>
      <c r="D601" s="51" t="s">
        <v>636</v>
      </c>
      <c r="E601" s="52" t="s">
        <v>648</v>
      </c>
      <c r="F601" s="52"/>
      <c r="G601" s="52" t="s">
        <v>194</v>
      </c>
      <c r="H601" s="52" t="s">
        <v>62</v>
      </c>
      <c r="I601" s="52">
        <v>2019</v>
      </c>
      <c r="J601" s="52"/>
      <c r="K601" s="52" t="s">
        <v>63</v>
      </c>
      <c r="L601" s="52" t="s">
        <v>64</v>
      </c>
      <c r="M601" s="52">
        <v>6</v>
      </c>
      <c r="N601" s="53">
        <f t="shared" si="382"/>
        <v>2900000</v>
      </c>
      <c r="O601" s="53">
        <v>17400000</v>
      </c>
      <c r="P601" s="52"/>
      <c r="Q601" s="52"/>
      <c r="R601" s="52"/>
      <c r="S601" s="53">
        <f t="shared" si="394"/>
        <v>17400000</v>
      </c>
      <c r="T601" s="52">
        <v>5</v>
      </c>
      <c r="U601" s="53">
        <f>SUM(S601/T601)</f>
        <v>3480000</v>
      </c>
      <c r="V601" s="52">
        <v>0.5</v>
      </c>
      <c r="W601" s="53">
        <f t="shared" si="390"/>
        <v>1740000</v>
      </c>
      <c r="X601" s="24">
        <v>0.5</v>
      </c>
      <c r="Y601" s="41">
        <f t="shared" si="393"/>
        <v>1740000</v>
      </c>
      <c r="Z601" s="41">
        <f t="shared" si="395"/>
        <v>3480000</v>
      </c>
      <c r="AA601" s="24">
        <f>2022-I601+V601+X601-11/12</f>
        <v>3.0833333333333335</v>
      </c>
      <c r="AB601" s="41">
        <f t="shared" si="389"/>
        <v>10730000</v>
      </c>
      <c r="AC601" s="41">
        <f t="shared" si="396"/>
        <v>6670000</v>
      </c>
      <c r="AD601" s="70"/>
      <c r="AE601" s="70"/>
      <c r="AF601" s="1">
        <v>10730000</v>
      </c>
      <c r="AG601" s="5">
        <f t="shared" si="357"/>
        <v>3480000</v>
      </c>
      <c r="AH601" s="5"/>
    </row>
    <row r="602" spans="1:34" s="1" customFormat="1" ht="10.5" x14ac:dyDescent="0.25">
      <c r="A602" s="49">
        <v>105</v>
      </c>
      <c r="B602" s="22" t="s">
        <v>1712</v>
      </c>
      <c r="C602" s="22" t="s">
        <v>75</v>
      </c>
      <c r="D602" s="51" t="s">
        <v>914</v>
      </c>
      <c r="E602" s="24" t="s">
        <v>166</v>
      </c>
      <c r="F602" s="24"/>
      <c r="G602" s="24" t="s">
        <v>915</v>
      </c>
      <c r="H602" s="24" t="s">
        <v>62</v>
      </c>
      <c r="I602" s="24">
        <v>2012</v>
      </c>
      <c r="J602" s="24"/>
      <c r="K602" s="24" t="s">
        <v>63</v>
      </c>
      <c r="L602" s="24" t="s">
        <v>64</v>
      </c>
      <c r="M602" s="24">
        <v>1</v>
      </c>
      <c r="N602" s="41">
        <f t="shared" ref="N602:N604" si="397">SUM(O602/M602)</f>
        <v>11687500</v>
      </c>
      <c r="O602" s="41">
        <v>11687500</v>
      </c>
      <c r="P602" s="24"/>
      <c r="Q602" s="24"/>
      <c r="R602" s="24"/>
      <c r="S602" s="41">
        <f t="shared" ref="S602:S604" si="398">SUM(O602-R602)</f>
        <v>11687500</v>
      </c>
      <c r="T602" s="24">
        <v>5</v>
      </c>
      <c r="U602" s="41"/>
      <c r="V602" s="24">
        <v>0.5</v>
      </c>
      <c r="W602" s="41">
        <f t="shared" ref="W602:W610" si="399">SUM(U602*V602)</f>
        <v>0</v>
      </c>
      <c r="X602" s="24"/>
      <c r="Y602" s="41">
        <f t="shared" ref="Y602:Y607" si="400">SUM(U602*X602)</f>
        <v>0</v>
      </c>
      <c r="Z602" s="41">
        <f t="shared" ref="Z602:Z604" si="401">SUM(W602+Y602)</f>
        <v>0</v>
      </c>
      <c r="AA602" s="72">
        <v>5</v>
      </c>
      <c r="AB602" s="41">
        <v>11687500</v>
      </c>
      <c r="AC602" s="41">
        <f t="shared" ref="AC602:AC604" si="402">SUM(O602-AB602)</f>
        <v>0</v>
      </c>
      <c r="AD602" s="70" t="s">
        <v>295</v>
      </c>
      <c r="AE602" s="70"/>
      <c r="AF602" s="1">
        <v>11687500</v>
      </c>
      <c r="AG602" s="5">
        <f t="shared" si="357"/>
        <v>0</v>
      </c>
      <c r="AH602" s="5"/>
    </row>
    <row r="603" spans="1:34" s="1" customFormat="1" ht="10.5" x14ac:dyDescent="0.25">
      <c r="A603" s="49">
        <v>106</v>
      </c>
      <c r="B603" s="22" t="s">
        <v>1712</v>
      </c>
      <c r="C603" s="22" t="s">
        <v>79</v>
      </c>
      <c r="D603" s="51" t="s">
        <v>914</v>
      </c>
      <c r="E603" s="24" t="s">
        <v>166</v>
      </c>
      <c r="F603" s="24"/>
      <c r="G603" s="24" t="s">
        <v>915</v>
      </c>
      <c r="H603" s="24" t="s">
        <v>62</v>
      </c>
      <c r="I603" s="24">
        <v>2012</v>
      </c>
      <c r="J603" s="24"/>
      <c r="K603" s="24" t="s">
        <v>63</v>
      </c>
      <c r="L603" s="24" t="s">
        <v>64</v>
      </c>
      <c r="M603" s="24">
        <v>1</v>
      </c>
      <c r="N603" s="41">
        <f t="shared" si="397"/>
        <v>11687500</v>
      </c>
      <c r="O603" s="41">
        <v>11687500</v>
      </c>
      <c r="P603" s="24"/>
      <c r="Q603" s="24"/>
      <c r="R603" s="24"/>
      <c r="S603" s="41">
        <f t="shared" si="398"/>
        <v>11687500</v>
      </c>
      <c r="T603" s="24">
        <v>5</v>
      </c>
      <c r="U603" s="41"/>
      <c r="V603" s="24">
        <v>0.5</v>
      </c>
      <c r="W603" s="41">
        <f t="shared" si="399"/>
        <v>0</v>
      </c>
      <c r="X603" s="24"/>
      <c r="Y603" s="41">
        <f t="shared" si="400"/>
        <v>0</v>
      </c>
      <c r="Z603" s="41">
        <f t="shared" si="401"/>
        <v>0</v>
      </c>
      <c r="AA603" s="72">
        <v>5</v>
      </c>
      <c r="AB603" s="41">
        <v>11687500</v>
      </c>
      <c r="AC603" s="41">
        <f t="shared" si="402"/>
        <v>0</v>
      </c>
      <c r="AD603" s="70" t="s">
        <v>297</v>
      </c>
      <c r="AE603" s="70"/>
      <c r="AF603" s="1">
        <v>11687500</v>
      </c>
      <c r="AG603" s="5">
        <f t="shared" si="357"/>
        <v>0</v>
      </c>
      <c r="AH603" s="5"/>
    </row>
    <row r="604" spans="1:34" s="1" customFormat="1" ht="10.5" x14ac:dyDescent="0.25">
      <c r="A604" s="49">
        <v>107</v>
      </c>
      <c r="B604" s="22" t="s">
        <v>1712</v>
      </c>
      <c r="C604" s="22" t="s">
        <v>84</v>
      </c>
      <c r="D604" s="51" t="s">
        <v>916</v>
      </c>
      <c r="E604" s="24" t="s">
        <v>166</v>
      </c>
      <c r="F604" s="24"/>
      <c r="G604" s="24" t="s">
        <v>319</v>
      </c>
      <c r="H604" s="24" t="s">
        <v>62</v>
      </c>
      <c r="I604" s="24">
        <v>2012</v>
      </c>
      <c r="J604" s="24"/>
      <c r="K604" s="24" t="s">
        <v>63</v>
      </c>
      <c r="L604" s="24" t="s">
        <v>64</v>
      </c>
      <c r="M604" s="24">
        <v>1</v>
      </c>
      <c r="N604" s="41">
        <f t="shared" si="397"/>
        <v>4294000</v>
      </c>
      <c r="O604" s="41">
        <v>4294000</v>
      </c>
      <c r="P604" s="24"/>
      <c r="Q604" s="24"/>
      <c r="R604" s="24"/>
      <c r="S604" s="41">
        <f t="shared" si="398"/>
        <v>4294000</v>
      </c>
      <c r="T604" s="24">
        <v>5</v>
      </c>
      <c r="U604" s="41"/>
      <c r="V604" s="24">
        <v>0.5</v>
      </c>
      <c r="W604" s="41">
        <f t="shared" si="399"/>
        <v>0</v>
      </c>
      <c r="X604" s="24"/>
      <c r="Y604" s="41">
        <f t="shared" si="400"/>
        <v>0</v>
      </c>
      <c r="Z604" s="41">
        <f t="shared" si="401"/>
        <v>0</v>
      </c>
      <c r="AA604" s="72">
        <v>5</v>
      </c>
      <c r="AB604" s="41">
        <v>4294000</v>
      </c>
      <c r="AC604" s="41">
        <f t="shared" si="402"/>
        <v>0</v>
      </c>
      <c r="AD604" s="70" t="s">
        <v>917</v>
      </c>
      <c r="AE604" s="70"/>
      <c r="AF604" s="1">
        <v>4294000</v>
      </c>
      <c r="AG604" s="5">
        <f t="shared" si="357"/>
        <v>0</v>
      </c>
      <c r="AH604" s="5"/>
    </row>
    <row r="605" spans="1:34" s="1" customFormat="1" ht="10.5" x14ac:dyDescent="0.25">
      <c r="A605" s="49">
        <v>108</v>
      </c>
      <c r="B605" s="22" t="s">
        <v>1713</v>
      </c>
      <c r="C605" s="22" t="s">
        <v>58</v>
      </c>
      <c r="D605" s="51" t="s">
        <v>674</v>
      </c>
      <c r="E605" s="24" t="s">
        <v>675</v>
      </c>
      <c r="F605" s="24"/>
      <c r="G605" s="24" t="s">
        <v>194</v>
      </c>
      <c r="H605" s="24" t="s">
        <v>62</v>
      </c>
      <c r="I605" s="24">
        <v>2012</v>
      </c>
      <c r="J605" s="24"/>
      <c r="K605" s="24" t="s">
        <v>63</v>
      </c>
      <c r="L605" s="24" t="s">
        <v>64</v>
      </c>
      <c r="M605" s="24">
        <v>1</v>
      </c>
      <c r="N605" s="41">
        <f t="shared" ref="N605" si="403">SUM(O605/M605)</f>
        <v>6500000</v>
      </c>
      <c r="O605" s="41">
        <v>6500000</v>
      </c>
      <c r="P605" s="24"/>
      <c r="Q605" s="24"/>
      <c r="R605" s="24"/>
      <c r="S605" s="41">
        <f t="shared" ref="S605" si="404">SUM(O605-R605)</f>
        <v>6500000</v>
      </c>
      <c r="T605" s="24">
        <v>5</v>
      </c>
      <c r="U605" s="41"/>
      <c r="V605" s="24">
        <v>0.5</v>
      </c>
      <c r="W605" s="41">
        <f t="shared" si="399"/>
        <v>0</v>
      </c>
      <c r="X605" s="24"/>
      <c r="Y605" s="41">
        <f t="shared" si="400"/>
        <v>0</v>
      </c>
      <c r="Z605" s="41">
        <f t="shared" ref="Z605:Z609" si="405">SUM(W605+Y605)</f>
        <v>0</v>
      </c>
      <c r="AA605" s="24">
        <v>5</v>
      </c>
      <c r="AB605" s="41">
        <v>6500000</v>
      </c>
      <c r="AC605" s="41">
        <f t="shared" ref="AC605:AC609" si="406">SUM(O605-AB605)</f>
        <v>0</v>
      </c>
      <c r="AD605" s="70" t="s">
        <v>217</v>
      </c>
      <c r="AE605" s="70"/>
      <c r="AG605" s="5">
        <f t="shared" si="357"/>
        <v>-6500000</v>
      </c>
      <c r="AH605" s="5"/>
    </row>
    <row r="606" spans="1:34" s="1" customFormat="1" ht="10.5" x14ac:dyDescent="0.25">
      <c r="A606" s="49">
        <v>109</v>
      </c>
      <c r="B606" s="22" t="s">
        <v>1714</v>
      </c>
      <c r="C606" s="22" t="s">
        <v>58</v>
      </c>
      <c r="D606" s="51" t="s">
        <v>699</v>
      </c>
      <c r="E606" s="24" t="s">
        <v>700</v>
      </c>
      <c r="F606" s="24"/>
      <c r="G606" s="24" t="s">
        <v>701</v>
      </c>
      <c r="H606" s="24" t="s">
        <v>62</v>
      </c>
      <c r="I606" s="24">
        <v>2011</v>
      </c>
      <c r="J606" s="24"/>
      <c r="K606" s="24" t="s">
        <v>63</v>
      </c>
      <c r="L606" s="24" t="s">
        <v>64</v>
      </c>
      <c r="M606" s="24">
        <v>1</v>
      </c>
      <c r="N606" s="41">
        <f t="shared" ref="N606:N612" si="407">SUM(O606/M606)</f>
        <v>11881800</v>
      </c>
      <c r="O606" s="41">
        <v>11881800</v>
      </c>
      <c r="P606" s="24"/>
      <c r="Q606" s="24"/>
      <c r="R606" s="24"/>
      <c r="S606" s="41">
        <f t="shared" ref="S606:S612" si="408">SUM(O606-R606)</f>
        <v>11881800</v>
      </c>
      <c r="T606" s="24">
        <v>5</v>
      </c>
      <c r="U606" s="41"/>
      <c r="V606" s="24">
        <v>0.5</v>
      </c>
      <c r="W606" s="41">
        <f t="shared" si="399"/>
        <v>0</v>
      </c>
      <c r="X606" s="24"/>
      <c r="Y606" s="41">
        <f t="shared" si="400"/>
        <v>0</v>
      </c>
      <c r="Z606" s="41">
        <f t="shared" si="405"/>
        <v>0</v>
      </c>
      <c r="AA606" s="72">
        <v>5</v>
      </c>
      <c r="AB606" s="41">
        <v>11881800</v>
      </c>
      <c r="AC606" s="41">
        <f t="shared" si="406"/>
        <v>0</v>
      </c>
      <c r="AD606" s="70" t="s">
        <v>616</v>
      </c>
      <c r="AE606" s="70"/>
      <c r="AG606" s="5">
        <f t="shared" si="357"/>
        <v>-11881800</v>
      </c>
      <c r="AH606" s="5"/>
    </row>
    <row r="607" spans="1:34" s="1" customFormat="1" ht="10.5" x14ac:dyDescent="0.25">
      <c r="A607" s="49">
        <v>110</v>
      </c>
      <c r="B607" s="22" t="s">
        <v>1714</v>
      </c>
      <c r="C607" s="22" t="s">
        <v>75</v>
      </c>
      <c r="D607" s="51" t="s">
        <v>699</v>
      </c>
      <c r="E607" s="24" t="s">
        <v>705</v>
      </c>
      <c r="F607" s="24"/>
      <c r="G607" s="24" t="s">
        <v>201</v>
      </c>
      <c r="H607" s="24" t="s">
        <v>62</v>
      </c>
      <c r="I607" s="24">
        <v>2014</v>
      </c>
      <c r="J607" s="24"/>
      <c r="K607" s="24" t="s">
        <v>285</v>
      </c>
      <c r="L607" s="24" t="s">
        <v>64</v>
      </c>
      <c r="M607" s="24">
        <v>74</v>
      </c>
      <c r="N607" s="41">
        <f t="shared" si="407"/>
        <v>550000</v>
      </c>
      <c r="O607" s="41">
        <v>40700000</v>
      </c>
      <c r="P607" s="24"/>
      <c r="Q607" s="24"/>
      <c r="R607" s="24"/>
      <c r="S607" s="41">
        <f t="shared" si="408"/>
        <v>40700000</v>
      </c>
      <c r="T607" s="24">
        <v>5</v>
      </c>
      <c r="U607" s="41"/>
      <c r="V607" s="24">
        <v>0.5</v>
      </c>
      <c r="W607" s="41">
        <f t="shared" si="399"/>
        <v>0</v>
      </c>
      <c r="X607" s="24"/>
      <c r="Y607" s="41">
        <f t="shared" si="400"/>
        <v>0</v>
      </c>
      <c r="Z607" s="41">
        <f t="shared" si="405"/>
        <v>0</v>
      </c>
      <c r="AA607" s="69">
        <v>5</v>
      </c>
      <c r="AB607" s="41">
        <v>40700000</v>
      </c>
      <c r="AC607" s="41">
        <f t="shared" si="406"/>
        <v>0</v>
      </c>
      <c r="AD607" s="70" t="s">
        <v>706</v>
      </c>
      <c r="AE607" s="70"/>
      <c r="AG607" s="5">
        <f t="shared" si="357"/>
        <v>-40700000</v>
      </c>
      <c r="AH607" s="5"/>
    </row>
    <row r="608" spans="1:34" s="1" customFormat="1" ht="10.5" x14ac:dyDescent="0.25">
      <c r="A608" s="49">
        <v>111</v>
      </c>
      <c r="B608" s="22" t="s">
        <v>1714</v>
      </c>
      <c r="C608" s="22" t="s">
        <v>79</v>
      </c>
      <c r="D608" s="51" t="s">
        <v>699</v>
      </c>
      <c r="E608" s="24" t="s">
        <v>166</v>
      </c>
      <c r="F608" s="24"/>
      <c r="G608" s="24" t="s">
        <v>201</v>
      </c>
      <c r="H608" s="24" t="s">
        <v>62</v>
      </c>
      <c r="I608" s="24">
        <v>2015</v>
      </c>
      <c r="J608" s="24"/>
      <c r="K608" s="24" t="s">
        <v>63</v>
      </c>
      <c r="L608" s="24" t="s">
        <v>64</v>
      </c>
      <c r="M608" s="24">
        <v>1</v>
      </c>
      <c r="N608" s="41">
        <f t="shared" si="407"/>
        <v>3498000</v>
      </c>
      <c r="O608" s="41">
        <v>3498000</v>
      </c>
      <c r="P608" s="24"/>
      <c r="Q608" s="24"/>
      <c r="R608" s="24"/>
      <c r="S608" s="41">
        <f t="shared" si="408"/>
        <v>3498000</v>
      </c>
      <c r="T608" s="24">
        <v>5</v>
      </c>
      <c r="U608" s="41">
        <f>SUM(S608/T608)</f>
        <v>699600</v>
      </c>
      <c r="V608" s="24">
        <v>0.5</v>
      </c>
      <c r="W608" s="41"/>
      <c r="X608" s="24"/>
      <c r="Y608" s="41">
        <f>SUM(U608*X608)</f>
        <v>0</v>
      </c>
      <c r="Z608" s="41"/>
      <c r="AA608" s="69">
        <v>5</v>
      </c>
      <c r="AB608" s="41">
        <f>SUM(U608*AA608)</f>
        <v>3498000</v>
      </c>
      <c r="AC608" s="41">
        <f t="shared" si="406"/>
        <v>0</v>
      </c>
      <c r="AD608" s="70" t="s">
        <v>553</v>
      </c>
      <c r="AE608" s="70"/>
      <c r="AG608" s="5">
        <f t="shared" si="357"/>
        <v>-3498000</v>
      </c>
      <c r="AH608" s="5"/>
    </row>
    <row r="609" spans="1:34" s="1" customFormat="1" ht="10.5" x14ac:dyDescent="0.25">
      <c r="A609" s="49">
        <v>112</v>
      </c>
      <c r="B609" s="22" t="s">
        <v>1714</v>
      </c>
      <c r="C609" s="50" t="s">
        <v>84</v>
      </c>
      <c r="D609" s="51" t="s">
        <v>699</v>
      </c>
      <c r="E609" s="52" t="s">
        <v>166</v>
      </c>
      <c r="F609" s="52"/>
      <c r="G609" s="52" t="s">
        <v>201</v>
      </c>
      <c r="H609" s="52" t="s">
        <v>62</v>
      </c>
      <c r="I609" s="52">
        <v>2019</v>
      </c>
      <c r="J609" s="52"/>
      <c r="K609" s="52" t="s">
        <v>63</v>
      </c>
      <c r="L609" s="52" t="s">
        <v>64</v>
      </c>
      <c r="M609" s="52">
        <v>1</v>
      </c>
      <c r="N609" s="53">
        <v>3000000</v>
      </c>
      <c r="O609" s="53">
        <v>3000000</v>
      </c>
      <c r="P609" s="52"/>
      <c r="Q609" s="52"/>
      <c r="R609" s="52"/>
      <c r="S609" s="53">
        <f t="shared" si="408"/>
        <v>3000000</v>
      </c>
      <c r="T609" s="52">
        <v>5</v>
      </c>
      <c r="U609" s="53">
        <f>SUM(S609/T609)</f>
        <v>600000</v>
      </c>
      <c r="V609" s="52">
        <v>0.5</v>
      </c>
      <c r="W609" s="53">
        <f t="shared" si="399"/>
        <v>300000</v>
      </c>
      <c r="X609" s="24">
        <v>0.5</v>
      </c>
      <c r="Y609" s="41">
        <f t="shared" ref="Y609:Y610" si="409">SUM(U609*X609)</f>
        <v>300000</v>
      </c>
      <c r="Z609" s="41">
        <f t="shared" si="405"/>
        <v>600000</v>
      </c>
      <c r="AA609" s="178">
        <f>2022-I609+V609+X609-11/12</f>
        <v>3.0833333333333335</v>
      </c>
      <c r="AB609" s="41">
        <f>SUM(U609*AA609)</f>
        <v>1850000</v>
      </c>
      <c r="AC609" s="41">
        <f t="shared" si="406"/>
        <v>1150000</v>
      </c>
      <c r="AD609" s="70" t="s">
        <v>226</v>
      </c>
      <c r="AE609" s="70"/>
      <c r="AG609" s="5">
        <f t="shared" ref="AG609:AG672" si="410">AF609+Z609-AB609</f>
        <v>-1250000</v>
      </c>
      <c r="AH609" s="5"/>
    </row>
    <row r="610" spans="1:34" s="1" customFormat="1" ht="10.5" x14ac:dyDescent="0.25">
      <c r="A610" s="49">
        <v>113</v>
      </c>
      <c r="B610" s="22" t="s">
        <v>1714</v>
      </c>
      <c r="C610" s="73" t="s">
        <v>88</v>
      </c>
      <c r="D610" s="51" t="s">
        <v>699</v>
      </c>
      <c r="E610" s="52" t="s">
        <v>166</v>
      </c>
      <c r="F610" s="52"/>
      <c r="G610" s="52" t="s">
        <v>201</v>
      </c>
      <c r="H610" s="52" t="s">
        <v>62</v>
      </c>
      <c r="I610" s="52">
        <v>2020</v>
      </c>
      <c r="J610" s="52"/>
      <c r="K610" s="52" t="s">
        <v>63</v>
      </c>
      <c r="L610" s="52" t="s">
        <v>64</v>
      </c>
      <c r="M610" s="52">
        <v>1</v>
      </c>
      <c r="N610" s="53">
        <f t="shared" si="407"/>
        <v>5000000</v>
      </c>
      <c r="O610" s="53">
        <v>5000000</v>
      </c>
      <c r="P610" s="52"/>
      <c r="Q610" s="52"/>
      <c r="R610" s="52"/>
      <c r="S610" s="53">
        <f t="shared" si="408"/>
        <v>5000000</v>
      </c>
      <c r="T610" s="52">
        <v>5</v>
      </c>
      <c r="U610" s="53">
        <f>SUM(S610/T610)</f>
        <v>1000000</v>
      </c>
      <c r="V610" s="52">
        <v>0.5</v>
      </c>
      <c r="W610" s="53">
        <f t="shared" si="399"/>
        <v>500000</v>
      </c>
      <c r="X610" s="24">
        <v>0.5</v>
      </c>
      <c r="Y610" s="41">
        <f t="shared" si="409"/>
        <v>500000</v>
      </c>
      <c r="Z610" s="41">
        <f t="shared" ref="Z610" si="411">SUM(W610+Y610)</f>
        <v>1000000</v>
      </c>
      <c r="AA610" s="178">
        <f>2022-I610+V610+X610-11/12</f>
        <v>2.0833333333333335</v>
      </c>
      <c r="AB610" s="41">
        <f>SUM(U610*AA610)</f>
        <v>2083333.3333333335</v>
      </c>
      <c r="AC610" s="41">
        <f t="shared" ref="AC610:AC611" si="412">SUM(O610-AB610)</f>
        <v>2916666.6666666665</v>
      </c>
      <c r="AD610" s="70" t="s">
        <v>213</v>
      </c>
      <c r="AE610" s="70"/>
      <c r="AG610" s="5">
        <f t="shared" si="410"/>
        <v>-1083333.3333333335</v>
      </c>
      <c r="AH610" s="5"/>
    </row>
    <row r="611" spans="1:34" s="1" customFormat="1" ht="10.5" x14ac:dyDescent="0.25">
      <c r="A611" s="49">
        <v>114</v>
      </c>
      <c r="B611" s="22" t="s">
        <v>1715</v>
      </c>
      <c r="C611" s="22" t="s">
        <v>58</v>
      </c>
      <c r="D611" s="51" t="s">
        <v>1050</v>
      </c>
      <c r="E611" s="24" t="s">
        <v>166</v>
      </c>
      <c r="F611" s="24"/>
      <c r="G611" s="24" t="s">
        <v>201</v>
      </c>
      <c r="H611" s="24" t="s">
        <v>62</v>
      </c>
      <c r="I611" s="24">
        <v>2017</v>
      </c>
      <c r="J611" s="24"/>
      <c r="K611" s="24" t="s">
        <v>261</v>
      </c>
      <c r="L611" s="24" t="s">
        <v>64</v>
      </c>
      <c r="M611" s="24">
        <v>1</v>
      </c>
      <c r="N611" s="41">
        <f t="shared" si="407"/>
        <v>19950000</v>
      </c>
      <c r="O611" s="41">
        <v>19950000</v>
      </c>
      <c r="P611" s="24"/>
      <c r="Q611" s="24"/>
      <c r="R611" s="24"/>
      <c r="S611" s="41">
        <f t="shared" si="408"/>
        <v>19950000</v>
      </c>
      <c r="T611" s="24">
        <v>5</v>
      </c>
      <c r="U611" s="41">
        <f>SUM(S611/T611)</f>
        <v>3990000</v>
      </c>
      <c r="V611" s="24">
        <v>0.5</v>
      </c>
      <c r="W611" s="41">
        <f>SUM(U611*V611)-1662500</f>
        <v>332500</v>
      </c>
      <c r="X611" s="24"/>
      <c r="Y611" s="41">
        <f t="shared" ref="Y611" si="413">SUM(U611*X611)</f>
        <v>0</v>
      </c>
      <c r="Z611" s="41">
        <f t="shared" ref="Z611:Z612" si="414">SUM(W611+Y611)</f>
        <v>332500</v>
      </c>
      <c r="AA611" s="72">
        <f>2022-I611+V611+X611-1/12-5/12</f>
        <v>5</v>
      </c>
      <c r="AB611" s="41">
        <f>SUM(U611*AA611)</f>
        <v>19950000</v>
      </c>
      <c r="AC611" s="41">
        <f t="shared" si="412"/>
        <v>0</v>
      </c>
      <c r="AD611" s="70" t="s">
        <v>195</v>
      </c>
      <c r="AE611" s="70"/>
      <c r="AF611" s="1">
        <v>19950000</v>
      </c>
      <c r="AG611" s="5">
        <f t="shared" si="410"/>
        <v>332500</v>
      </c>
      <c r="AH611" s="5"/>
    </row>
    <row r="612" spans="1:34" s="1" customFormat="1" ht="10.5" x14ac:dyDescent="0.25">
      <c r="A612" s="49">
        <v>115</v>
      </c>
      <c r="B612" s="22" t="s">
        <v>1716</v>
      </c>
      <c r="C612" s="22" t="s">
        <v>75</v>
      </c>
      <c r="D612" s="51" t="s">
        <v>629</v>
      </c>
      <c r="E612" s="24" t="s">
        <v>211</v>
      </c>
      <c r="F612" s="24"/>
      <c r="G612" s="24" t="s">
        <v>194</v>
      </c>
      <c r="H612" s="24" t="s">
        <v>62</v>
      </c>
      <c r="I612" s="24">
        <v>2012</v>
      </c>
      <c r="J612" s="24"/>
      <c r="K612" s="24" t="s">
        <v>63</v>
      </c>
      <c r="L612" s="24" t="s">
        <v>64</v>
      </c>
      <c r="M612" s="24">
        <v>1</v>
      </c>
      <c r="N612" s="41">
        <f t="shared" si="407"/>
        <v>582000</v>
      </c>
      <c r="O612" s="41">
        <v>582000</v>
      </c>
      <c r="P612" s="24"/>
      <c r="Q612" s="24"/>
      <c r="R612" s="24"/>
      <c r="S612" s="41">
        <f t="shared" si="408"/>
        <v>582000</v>
      </c>
      <c r="T612" s="24">
        <v>5</v>
      </c>
      <c r="U612" s="41"/>
      <c r="V612" s="24">
        <v>0.5</v>
      </c>
      <c r="W612" s="41">
        <f t="shared" ref="W612" si="415">SUM(U612*V612)</f>
        <v>0</v>
      </c>
      <c r="X612" s="24"/>
      <c r="Y612" s="41">
        <f t="shared" ref="Y612" si="416">SUM(U612*X612)</f>
        <v>0</v>
      </c>
      <c r="Z612" s="41">
        <f t="shared" si="414"/>
        <v>0</v>
      </c>
      <c r="AA612" s="72">
        <v>5</v>
      </c>
      <c r="AB612" s="41">
        <v>582000</v>
      </c>
      <c r="AC612" s="41">
        <f t="shared" ref="AC612" si="417">SUM(O612-AB612)</f>
        <v>0</v>
      </c>
      <c r="AD612" s="70" t="s">
        <v>630</v>
      </c>
      <c r="AE612" s="70"/>
      <c r="AF612" s="1">
        <v>582000</v>
      </c>
      <c r="AG612" s="5">
        <f t="shared" si="410"/>
        <v>0</v>
      </c>
      <c r="AH612" s="5"/>
    </row>
    <row r="613" spans="1:34" s="1" customFormat="1" ht="10.5" x14ac:dyDescent="0.25">
      <c r="A613" s="49">
        <v>116</v>
      </c>
      <c r="B613" s="50" t="s">
        <v>1717</v>
      </c>
      <c r="C613" s="50" t="s">
        <v>58</v>
      </c>
      <c r="D613" s="51" t="s">
        <v>399</v>
      </c>
      <c r="E613" s="52" t="s">
        <v>166</v>
      </c>
      <c r="F613" s="52"/>
      <c r="G613" s="52" t="s">
        <v>194</v>
      </c>
      <c r="H613" s="52" t="s">
        <v>62</v>
      </c>
      <c r="I613" s="52">
        <v>2017</v>
      </c>
      <c r="J613" s="52"/>
      <c r="K613" s="52" t="s">
        <v>261</v>
      </c>
      <c r="L613" s="52" t="s">
        <v>64</v>
      </c>
      <c r="M613" s="52">
        <v>1</v>
      </c>
      <c r="N613" s="53">
        <f t="shared" ref="N613:N617" si="418">SUM(O613/M613)</f>
        <v>39270000</v>
      </c>
      <c r="O613" s="53">
        <v>39270000</v>
      </c>
      <c r="P613" s="52"/>
      <c r="Q613" s="52"/>
      <c r="R613" s="52"/>
      <c r="S613" s="53">
        <f t="shared" ref="S613:S617" si="419">SUM(O613-R613)</f>
        <v>39270000</v>
      </c>
      <c r="T613" s="52">
        <v>5</v>
      </c>
      <c r="U613" s="53">
        <f>SUM(S613/T613)</f>
        <v>7854000</v>
      </c>
      <c r="V613" s="52">
        <v>0.5</v>
      </c>
      <c r="W613" s="53">
        <f t="shared" ref="W613:W616" si="420">SUM(U613*V613)</f>
        <v>3927000</v>
      </c>
      <c r="X613" s="52">
        <v>0.5</v>
      </c>
      <c r="Y613" s="53">
        <f>SUM(U613*X613)-654500</f>
        <v>3272500</v>
      </c>
      <c r="Z613" s="53">
        <f t="shared" ref="Z613" si="421">SUM(W613+Y613)</f>
        <v>7199500</v>
      </c>
      <c r="AA613" s="57">
        <f>2022-I613+V613+X613-11/12-1/12</f>
        <v>5</v>
      </c>
      <c r="AB613" s="53">
        <f>SUM(U613*AA613)</f>
        <v>39270000</v>
      </c>
      <c r="AC613" s="53">
        <f t="shared" ref="AC613" si="422">SUM(O613-AB613)</f>
        <v>0</v>
      </c>
      <c r="AD613" s="56" t="s">
        <v>400</v>
      </c>
      <c r="AE613" s="70"/>
      <c r="AF613" s="1">
        <v>39270000</v>
      </c>
      <c r="AG613" s="5">
        <f t="shared" si="410"/>
        <v>7199500</v>
      </c>
      <c r="AH613" s="5"/>
    </row>
    <row r="614" spans="1:34" s="1" customFormat="1" ht="10.5" x14ac:dyDescent="0.25">
      <c r="A614" s="49">
        <v>117</v>
      </c>
      <c r="B614" s="22" t="s">
        <v>1718</v>
      </c>
      <c r="C614" s="22" t="s">
        <v>58</v>
      </c>
      <c r="D614" s="51" t="s">
        <v>1005</v>
      </c>
      <c r="E614" s="24" t="s">
        <v>1006</v>
      </c>
      <c r="F614" s="24"/>
      <c r="G614" s="24" t="s">
        <v>194</v>
      </c>
      <c r="H614" s="24" t="s">
        <v>62</v>
      </c>
      <c r="I614" s="24">
        <v>2012</v>
      </c>
      <c r="J614" s="24"/>
      <c r="K614" s="24" t="s">
        <v>63</v>
      </c>
      <c r="L614" s="24" t="s">
        <v>64</v>
      </c>
      <c r="M614" s="24">
        <v>1</v>
      </c>
      <c r="N614" s="41">
        <f t="shared" si="418"/>
        <v>948500</v>
      </c>
      <c r="O614" s="41">
        <v>948500</v>
      </c>
      <c r="P614" s="24"/>
      <c r="Q614" s="24"/>
      <c r="R614" s="24"/>
      <c r="S614" s="41">
        <f t="shared" si="419"/>
        <v>948500</v>
      </c>
      <c r="T614" s="24">
        <v>5</v>
      </c>
      <c r="U614" s="41"/>
      <c r="V614" s="24">
        <v>0.5</v>
      </c>
      <c r="W614" s="41">
        <f t="shared" si="420"/>
        <v>0</v>
      </c>
      <c r="X614" s="24"/>
      <c r="Y614" s="41">
        <f t="shared" ref="Y614" si="423">SUM(U614*X614)</f>
        <v>0</v>
      </c>
      <c r="Z614" s="41">
        <f t="shared" ref="Z614:Z616" si="424">SUM(W614+Y614)</f>
        <v>0</v>
      </c>
      <c r="AA614" s="24">
        <v>5</v>
      </c>
      <c r="AB614" s="41">
        <v>948500</v>
      </c>
      <c r="AC614" s="41">
        <f t="shared" ref="AC614:AC617" si="425">SUM(O614-AB614)</f>
        <v>0</v>
      </c>
      <c r="AD614" s="70" t="s">
        <v>942</v>
      </c>
      <c r="AE614" s="70"/>
      <c r="AF614" s="1">
        <v>948500</v>
      </c>
      <c r="AG614" s="5">
        <f t="shared" si="410"/>
        <v>0</v>
      </c>
      <c r="AH614" s="5"/>
    </row>
    <row r="615" spans="1:34" s="1" customFormat="1" ht="10.5" x14ac:dyDescent="0.25">
      <c r="A615" s="49">
        <v>118</v>
      </c>
      <c r="B615" s="22" t="s">
        <v>1718</v>
      </c>
      <c r="C615" s="22" t="s">
        <v>75</v>
      </c>
      <c r="D615" s="51" t="s">
        <v>1007</v>
      </c>
      <c r="E615" s="24" t="s">
        <v>1006</v>
      </c>
      <c r="F615" s="24"/>
      <c r="G615" s="24" t="s">
        <v>194</v>
      </c>
      <c r="H615" s="24" t="s">
        <v>62</v>
      </c>
      <c r="I615" s="24">
        <v>2012</v>
      </c>
      <c r="J615" s="24"/>
      <c r="K615" s="24" t="s">
        <v>63</v>
      </c>
      <c r="L615" s="24" t="s">
        <v>64</v>
      </c>
      <c r="M615" s="24">
        <v>1</v>
      </c>
      <c r="N615" s="41">
        <f t="shared" si="418"/>
        <v>948500</v>
      </c>
      <c r="O615" s="41">
        <v>948500</v>
      </c>
      <c r="P615" s="24"/>
      <c r="Q615" s="24"/>
      <c r="R615" s="24"/>
      <c r="S615" s="41">
        <f t="shared" si="419"/>
        <v>948500</v>
      </c>
      <c r="T615" s="24">
        <v>5</v>
      </c>
      <c r="U615" s="41"/>
      <c r="V615" s="24">
        <v>0.5</v>
      </c>
      <c r="W615" s="41">
        <f t="shared" si="420"/>
        <v>0</v>
      </c>
      <c r="X615" s="24"/>
      <c r="Y615" s="41">
        <f t="shared" ref="Y615:Y616" si="426">SUM(U615*X615)</f>
        <v>0</v>
      </c>
      <c r="Z615" s="41">
        <f t="shared" si="424"/>
        <v>0</v>
      </c>
      <c r="AA615" s="24">
        <v>5</v>
      </c>
      <c r="AB615" s="41">
        <v>948500</v>
      </c>
      <c r="AC615" s="41">
        <f t="shared" si="425"/>
        <v>0</v>
      </c>
      <c r="AD615" s="70" t="s">
        <v>354</v>
      </c>
      <c r="AE615" s="70"/>
      <c r="AF615" s="1">
        <v>948500</v>
      </c>
      <c r="AG615" s="5">
        <f t="shared" si="410"/>
        <v>0</v>
      </c>
      <c r="AH615" s="5"/>
    </row>
    <row r="616" spans="1:34" s="1" customFormat="1" ht="10.5" x14ac:dyDescent="0.25">
      <c r="A616" s="49">
        <v>119</v>
      </c>
      <c r="B616" s="22" t="s">
        <v>1718</v>
      </c>
      <c r="C616" s="73" t="s">
        <v>633</v>
      </c>
      <c r="D616" s="51" t="s">
        <v>1007</v>
      </c>
      <c r="E616" s="412"/>
      <c r="F616" s="413"/>
      <c r="G616" s="52" t="s">
        <v>194</v>
      </c>
      <c r="H616" s="52" t="s">
        <v>62</v>
      </c>
      <c r="I616" s="52">
        <v>2021</v>
      </c>
      <c r="J616" s="52"/>
      <c r="K616" s="52" t="s">
        <v>63</v>
      </c>
      <c r="L616" s="52" t="s">
        <v>64</v>
      </c>
      <c r="M616" s="52">
        <v>2</v>
      </c>
      <c r="N616" s="53">
        <f t="shared" si="418"/>
        <v>4280077.5</v>
      </c>
      <c r="O616" s="53">
        <v>8560155</v>
      </c>
      <c r="P616" s="52"/>
      <c r="Q616" s="52"/>
      <c r="R616" s="52"/>
      <c r="S616" s="53">
        <f t="shared" si="419"/>
        <v>8560155</v>
      </c>
      <c r="T616" s="52">
        <v>5</v>
      </c>
      <c r="U616" s="53">
        <f t="shared" ref="U616:U617" si="427">SUM(S616/T616)</f>
        <v>1712031</v>
      </c>
      <c r="V616" s="52">
        <v>0.5</v>
      </c>
      <c r="W616" s="53">
        <f t="shared" si="420"/>
        <v>856015.5</v>
      </c>
      <c r="X616" s="52">
        <v>0.5</v>
      </c>
      <c r="Y616" s="53">
        <f t="shared" si="426"/>
        <v>856015.5</v>
      </c>
      <c r="Z616" s="53">
        <f t="shared" si="424"/>
        <v>1712031</v>
      </c>
      <c r="AA616" s="57">
        <f>1/12+0.5+0.5</f>
        <v>1.0833333333333335</v>
      </c>
      <c r="AB616" s="53">
        <f t="shared" ref="AB616" si="428">SUM(U616*AA616)</f>
        <v>1854700.2500000002</v>
      </c>
      <c r="AC616" s="53">
        <f t="shared" si="425"/>
        <v>6705454.75</v>
      </c>
      <c r="AD616" s="56" t="s">
        <v>400</v>
      </c>
      <c r="AE616" s="70"/>
      <c r="AF616" s="1">
        <v>1854700.2500000002</v>
      </c>
      <c r="AG616" s="5">
        <f t="shared" si="410"/>
        <v>1712030.9999999998</v>
      </c>
      <c r="AH616" s="5"/>
    </row>
    <row r="617" spans="1:34" s="1" customFormat="1" ht="10.5" x14ac:dyDescent="0.25">
      <c r="A617" s="49">
        <v>120</v>
      </c>
      <c r="B617" s="22" t="s">
        <v>1718</v>
      </c>
      <c r="C617" s="73"/>
      <c r="D617" s="51" t="s">
        <v>1007</v>
      </c>
      <c r="E617" s="179"/>
      <c r="F617" s="180"/>
      <c r="G617" s="52" t="s">
        <v>194</v>
      </c>
      <c r="H617" s="52" t="s">
        <v>62</v>
      </c>
      <c r="I617" s="52">
        <v>2022</v>
      </c>
      <c r="J617" s="52"/>
      <c r="K617" s="52" t="s">
        <v>261</v>
      </c>
      <c r="L617" s="52" t="s">
        <v>64</v>
      </c>
      <c r="M617" s="52">
        <v>1</v>
      </c>
      <c r="N617" s="53">
        <f t="shared" si="418"/>
        <v>10000000</v>
      </c>
      <c r="O617" s="53">
        <v>10000000</v>
      </c>
      <c r="P617" s="52"/>
      <c r="Q617" s="52"/>
      <c r="R617" s="52"/>
      <c r="S617" s="53">
        <f t="shared" si="419"/>
        <v>10000000</v>
      </c>
      <c r="T617" s="52">
        <v>5</v>
      </c>
      <c r="U617" s="53">
        <f t="shared" si="427"/>
        <v>2000000</v>
      </c>
      <c r="V617" s="52"/>
      <c r="W617" s="53"/>
      <c r="X617" s="57">
        <f>1/12</f>
        <v>8.3333333333333329E-2</v>
      </c>
      <c r="Y617" s="53">
        <f t="shared" ref="Y617" si="429">SUM(U617*X617)</f>
        <v>166666.66666666666</v>
      </c>
      <c r="Z617" s="53">
        <f t="shared" ref="Z617" si="430">SUM(W617+Y617)</f>
        <v>166666.66666666666</v>
      </c>
      <c r="AA617" s="57">
        <f>1/12</f>
        <v>8.3333333333333329E-2</v>
      </c>
      <c r="AB617" s="53">
        <f t="shared" ref="AB617" si="431">SUM(U617*AA617)</f>
        <v>166666.66666666666</v>
      </c>
      <c r="AC617" s="53">
        <f t="shared" si="425"/>
        <v>9833333.333333334</v>
      </c>
      <c r="AD617" s="56"/>
      <c r="AE617" s="70"/>
      <c r="AF617" s="1">
        <v>166666.66666666666</v>
      </c>
      <c r="AG617" s="5">
        <f t="shared" si="410"/>
        <v>166666.66666666666</v>
      </c>
      <c r="AH617" s="5"/>
    </row>
    <row r="618" spans="1:34" s="1" customFormat="1" ht="10.5" x14ac:dyDescent="0.25">
      <c r="A618" s="49">
        <v>121</v>
      </c>
      <c r="B618" s="22" t="s">
        <v>1719</v>
      </c>
      <c r="C618" s="22" t="s">
        <v>662</v>
      </c>
      <c r="D618" s="51" t="s">
        <v>663</v>
      </c>
      <c r="E618" s="24" t="s">
        <v>166</v>
      </c>
      <c r="F618" s="24"/>
      <c r="G618" s="24" t="s">
        <v>201</v>
      </c>
      <c r="H618" s="24" t="s">
        <v>62</v>
      </c>
      <c r="I618" s="24">
        <v>2011</v>
      </c>
      <c r="J618" s="24"/>
      <c r="K618" s="24" t="s">
        <v>664</v>
      </c>
      <c r="L618" s="24" t="s">
        <v>64</v>
      </c>
      <c r="M618" s="24">
        <v>1</v>
      </c>
      <c r="N618" s="41">
        <f t="shared" ref="N618:N626" si="432">SUM(O618/M618)</f>
        <v>2695000</v>
      </c>
      <c r="O618" s="41">
        <v>2695000</v>
      </c>
      <c r="P618" s="24"/>
      <c r="Q618" s="24"/>
      <c r="R618" s="24"/>
      <c r="S618" s="41">
        <f t="shared" ref="S618:S626" si="433">SUM(O618-R618)</f>
        <v>2695000</v>
      </c>
      <c r="T618" s="24">
        <v>5</v>
      </c>
      <c r="U618" s="41"/>
      <c r="V618" s="24">
        <v>0.5</v>
      </c>
      <c r="W618" s="41">
        <f t="shared" ref="W618:W629" si="434">SUM(U618*V618)</f>
        <v>0</v>
      </c>
      <c r="X618" s="24"/>
      <c r="Y618" s="41">
        <f t="shared" ref="Y618:Y629" si="435">SUM(U618*X618)</f>
        <v>0</v>
      </c>
      <c r="Z618" s="41">
        <f t="shared" ref="Z618:Z627" si="436">SUM(W618+Y618)</f>
        <v>0</v>
      </c>
      <c r="AA618" s="72">
        <v>5</v>
      </c>
      <c r="AB618" s="41">
        <v>2695000</v>
      </c>
      <c r="AC618" s="41">
        <f t="shared" ref="AC618:AC627" si="437">SUM(O618-AB618)</f>
        <v>0</v>
      </c>
      <c r="AD618" s="70" t="s">
        <v>616</v>
      </c>
      <c r="AE618" s="70"/>
      <c r="AF618" s="1">
        <v>2695000</v>
      </c>
      <c r="AG618" s="5">
        <f t="shared" si="410"/>
        <v>0</v>
      </c>
      <c r="AH618" s="5"/>
    </row>
    <row r="619" spans="1:34" s="1" customFormat="1" ht="10.5" x14ac:dyDescent="0.25">
      <c r="A619" s="49">
        <v>122</v>
      </c>
      <c r="B619" s="22" t="s">
        <v>1719</v>
      </c>
      <c r="C619" s="22" t="s">
        <v>665</v>
      </c>
      <c r="D619" s="51" t="s">
        <v>663</v>
      </c>
      <c r="E619" s="24" t="s">
        <v>666</v>
      </c>
      <c r="F619" s="24"/>
      <c r="G619" s="24" t="s">
        <v>201</v>
      </c>
      <c r="H619" s="24" t="s">
        <v>62</v>
      </c>
      <c r="I619" s="24">
        <v>2012</v>
      </c>
      <c r="J619" s="24"/>
      <c r="K619" s="24"/>
      <c r="L619" s="24" t="s">
        <v>64</v>
      </c>
      <c r="M619" s="24">
        <v>1</v>
      </c>
      <c r="N619" s="41">
        <f t="shared" si="432"/>
        <v>29486600</v>
      </c>
      <c r="O619" s="41">
        <v>29486600</v>
      </c>
      <c r="P619" s="24"/>
      <c r="Q619" s="24"/>
      <c r="R619" s="24"/>
      <c r="S619" s="41">
        <f t="shared" si="433"/>
        <v>29486600</v>
      </c>
      <c r="T619" s="24">
        <v>5</v>
      </c>
      <c r="U619" s="41"/>
      <c r="V619" s="24">
        <v>0.5</v>
      </c>
      <c r="W619" s="41">
        <f t="shared" si="434"/>
        <v>0</v>
      </c>
      <c r="X619" s="24"/>
      <c r="Y619" s="41">
        <f t="shared" si="435"/>
        <v>0</v>
      </c>
      <c r="Z619" s="41">
        <f t="shared" si="436"/>
        <v>0</v>
      </c>
      <c r="AA619" s="72">
        <v>5</v>
      </c>
      <c r="AB619" s="41">
        <v>29486600</v>
      </c>
      <c r="AC619" s="41">
        <f t="shared" si="437"/>
        <v>0</v>
      </c>
      <c r="AD619" s="70" t="s">
        <v>354</v>
      </c>
      <c r="AE619" s="70"/>
      <c r="AF619" s="1">
        <v>29486600</v>
      </c>
      <c r="AG619" s="5">
        <f t="shared" si="410"/>
        <v>0</v>
      </c>
      <c r="AH619" s="5"/>
    </row>
    <row r="620" spans="1:34" s="1" customFormat="1" ht="10.5" x14ac:dyDescent="0.25">
      <c r="A620" s="49">
        <v>123</v>
      </c>
      <c r="B620" s="22" t="s">
        <v>1719</v>
      </c>
      <c r="C620" s="22" t="s">
        <v>667</v>
      </c>
      <c r="D620" s="51" t="s">
        <v>668</v>
      </c>
      <c r="E620" s="24" t="s">
        <v>166</v>
      </c>
      <c r="F620" s="24"/>
      <c r="G620" s="24" t="s">
        <v>669</v>
      </c>
      <c r="H620" s="24" t="s">
        <v>62</v>
      </c>
      <c r="I620" s="24">
        <v>2008</v>
      </c>
      <c r="J620" s="24"/>
      <c r="K620" s="24" t="s">
        <v>664</v>
      </c>
      <c r="L620" s="24" t="s">
        <v>64</v>
      </c>
      <c r="M620" s="24">
        <v>1</v>
      </c>
      <c r="N620" s="41">
        <f t="shared" si="432"/>
        <v>29249500</v>
      </c>
      <c r="O620" s="41">
        <v>29249500</v>
      </c>
      <c r="P620" s="24"/>
      <c r="Q620" s="24"/>
      <c r="R620" s="24"/>
      <c r="S620" s="41">
        <f t="shared" si="433"/>
        <v>29249500</v>
      </c>
      <c r="T620" s="24">
        <v>5</v>
      </c>
      <c r="U620" s="41"/>
      <c r="V620" s="24">
        <v>0.5</v>
      </c>
      <c r="W620" s="41">
        <f t="shared" si="434"/>
        <v>0</v>
      </c>
      <c r="X620" s="24"/>
      <c r="Y620" s="41">
        <f t="shared" si="435"/>
        <v>0</v>
      </c>
      <c r="Z620" s="41">
        <f t="shared" si="436"/>
        <v>0</v>
      </c>
      <c r="AA620" s="72">
        <v>5</v>
      </c>
      <c r="AB620" s="41">
        <v>29249500</v>
      </c>
      <c r="AC620" s="41">
        <f t="shared" si="437"/>
        <v>0</v>
      </c>
      <c r="AD620" s="70" t="s">
        <v>616</v>
      </c>
      <c r="AE620" s="70"/>
      <c r="AF620" s="1">
        <v>29249500</v>
      </c>
      <c r="AG620" s="5">
        <f t="shared" si="410"/>
        <v>0</v>
      </c>
      <c r="AH620" s="5"/>
    </row>
    <row r="621" spans="1:34" s="1" customFormat="1" ht="10.5" x14ac:dyDescent="0.25">
      <c r="A621" s="49">
        <v>124</v>
      </c>
      <c r="B621" s="22" t="s">
        <v>1719</v>
      </c>
      <c r="C621" s="22" t="s">
        <v>670</v>
      </c>
      <c r="D621" s="51" t="s">
        <v>668</v>
      </c>
      <c r="E621" s="24" t="s">
        <v>166</v>
      </c>
      <c r="F621" s="24"/>
      <c r="G621" s="24" t="s">
        <v>669</v>
      </c>
      <c r="H621" s="24" t="s">
        <v>62</v>
      </c>
      <c r="I621" s="24">
        <v>2011</v>
      </c>
      <c r="J621" s="24"/>
      <c r="K621" s="24" t="s">
        <v>664</v>
      </c>
      <c r="L621" s="24" t="s">
        <v>64</v>
      </c>
      <c r="M621" s="24">
        <v>1</v>
      </c>
      <c r="N621" s="41">
        <f t="shared" si="432"/>
        <v>17232750</v>
      </c>
      <c r="O621" s="41">
        <v>17232750</v>
      </c>
      <c r="P621" s="24"/>
      <c r="Q621" s="24"/>
      <c r="R621" s="24"/>
      <c r="S621" s="41">
        <f t="shared" si="433"/>
        <v>17232750</v>
      </c>
      <c r="T621" s="24">
        <v>5</v>
      </c>
      <c r="U621" s="41"/>
      <c r="V621" s="24">
        <v>0.5</v>
      </c>
      <c r="W621" s="41">
        <f t="shared" si="434"/>
        <v>0</v>
      </c>
      <c r="X621" s="24"/>
      <c r="Y621" s="41">
        <f t="shared" si="435"/>
        <v>0</v>
      </c>
      <c r="Z621" s="41">
        <f t="shared" si="436"/>
        <v>0</v>
      </c>
      <c r="AA621" s="72">
        <v>5</v>
      </c>
      <c r="AB621" s="41">
        <v>17232750</v>
      </c>
      <c r="AC621" s="41">
        <f t="shared" si="437"/>
        <v>0</v>
      </c>
      <c r="AD621" s="70" t="s">
        <v>616</v>
      </c>
      <c r="AE621" s="70"/>
      <c r="AF621" s="1">
        <v>17232750</v>
      </c>
      <c r="AG621" s="5">
        <f t="shared" si="410"/>
        <v>0</v>
      </c>
      <c r="AH621" s="5"/>
    </row>
    <row r="622" spans="1:34" s="1" customFormat="1" ht="10.5" x14ac:dyDescent="0.25">
      <c r="A622" s="49">
        <v>125</v>
      </c>
      <c r="B622" s="22" t="s">
        <v>1719</v>
      </c>
      <c r="C622" s="22">
        <v>1548</v>
      </c>
      <c r="D622" s="51" t="s">
        <v>671</v>
      </c>
      <c r="E622" s="24" t="s">
        <v>166</v>
      </c>
      <c r="F622" s="24"/>
      <c r="G622" s="24" t="s">
        <v>669</v>
      </c>
      <c r="H622" s="24" t="s">
        <v>62</v>
      </c>
      <c r="I622" s="24">
        <v>2012</v>
      </c>
      <c r="J622" s="24"/>
      <c r="K622" s="24" t="s">
        <v>664</v>
      </c>
      <c r="L622" s="24" t="s">
        <v>64</v>
      </c>
      <c r="M622" s="24">
        <v>1</v>
      </c>
      <c r="N622" s="41">
        <f t="shared" si="432"/>
        <v>3309900</v>
      </c>
      <c r="O622" s="41">
        <v>3309900</v>
      </c>
      <c r="P622" s="24"/>
      <c r="Q622" s="24"/>
      <c r="R622" s="24"/>
      <c r="S622" s="41">
        <f t="shared" si="433"/>
        <v>3309900</v>
      </c>
      <c r="T622" s="24">
        <v>5</v>
      </c>
      <c r="U622" s="41"/>
      <c r="V622" s="24">
        <v>0.5</v>
      </c>
      <c r="W622" s="41">
        <f t="shared" si="434"/>
        <v>0</v>
      </c>
      <c r="X622" s="24"/>
      <c r="Y622" s="41">
        <f t="shared" si="435"/>
        <v>0</v>
      </c>
      <c r="Z622" s="41">
        <f t="shared" si="436"/>
        <v>0</v>
      </c>
      <c r="AA622" s="72">
        <v>5</v>
      </c>
      <c r="AB622" s="41">
        <v>3309900</v>
      </c>
      <c r="AC622" s="41">
        <f t="shared" si="437"/>
        <v>0</v>
      </c>
      <c r="AD622" s="70" t="s">
        <v>618</v>
      </c>
      <c r="AE622" s="70"/>
      <c r="AF622" s="1">
        <v>3309900</v>
      </c>
      <c r="AG622" s="5">
        <f t="shared" si="410"/>
        <v>0</v>
      </c>
      <c r="AH622" s="5"/>
    </row>
    <row r="623" spans="1:34" s="1" customFormat="1" ht="10.5" x14ac:dyDescent="0.25">
      <c r="A623" s="49">
        <v>126</v>
      </c>
      <c r="B623" s="22" t="s">
        <v>1719</v>
      </c>
      <c r="C623" s="22">
        <v>1549</v>
      </c>
      <c r="D623" s="51" t="s">
        <v>672</v>
      </c>
      <c r="E623" s="24" t="s">
        <v>166</v>
      </c>
      <c r="F623" s="24"/>
      <c r="G623" s="24" t="s">
        <v>669</v>
      </c>
      <c r="H623" s="24" t="s">
        <v>62</v>
      </c>
      <c r="I623" s="24">
        <v>2012</v>
      </c>
      <c r="J623" s="24"/>
      <c r="K623" s="24" t="s">
        <v>664</v>
      </c>
      <c r="L623" s="24" t="s">
        <v>64</v>
      </c>
      <c r="M623" s="24">
        <v>1</v>
      </c>
      <c r="N623" s="41">
        <f t="shared" si="432"/>
        <v>21683200</v>
      </c>
      <c r="O623" s="41">
        <v>21683200</v>
      </c>
      <c r="P623" s="24"/>
      <c r="Q623" s="24"/>
      <c r="R623" s="24"/>
      <c r="S623" s="41">
        <f t="shared" si="433"/>
        <v>21683200</v>
      </c>
      <c r="T623" s="24">
        <v>5</v>
      </c>
      <c r="U623" s="41"/>
      <c r="V623" s="24">
        <v>0.5</v>
      </c>
      <c r="W623" s="41">
        <f t="shared" si="434"/>
        <v>0</v>
      </c>
      <c r="X623" s="24"/>
      <c r="Y623" s="41">
        <f t="shared" si="435"/>
        <v>0</v>
      </c>
      <c r="Z623" s="41">
        <f t="shared" si="436"/>
        <v>0</v>
      </c>
      <c r="AA623" s="72">
        <v>5</v>
      </c>
      <c r="AB623" s="41">
        <v>21683200</v>
      </c>
      <c r="AC623" s="41">
        <f t="shared" si="437"/>
        <v>0</v>
      </c>
      <c r="AD623" s="70" t="s">
        <v>635</v>
      </c>
      <c r="AE623" s="70"/>
      <c r="AF623" s="1">
        <v>21683200</v>
      </c>
      <c r="AG623" s="5">
        <f t="shared" si="410"/>
        <v>0</v>
      </c>
      <c r="AH623" s="5"/>
    </row>
    <row r="624" spans="1:34" s="1" customFormat="1" ht="10.5" x14ac:dyDescent="0.25">
      <c r="A624" s="49">
        <v>127</v>
      </c>
      <c r="B624" s="22" t="s">
        <v>1719</v>
      </c>
      <c r="C624" s="22">
        <v>1550</v>
      </c>
      <c r="D624" s="51" t="s">
        <v>663</v>
      </c>
      <c r="E624" s="24" t="s">
        <v>166</v>
      </c>
      <c r="F624" s="24"/>
      <c r="G624" s="24" t="s">
        <v>201</v>
      </c>
      <c r="H624" s="24" t="s">
        <v>62</v>
      </c>
      <c r="I624" s="24">
        <v>2015</v>
      </c>
      <c r="J624" s="24"/>
      <c r="K624" s="24" t="s">
        <v>664</v>
      </c>
      <c r="L624" s="24" t="s">
        <v>64</v>
      </c>
      <c r="M624" s="24">
        <v>1</v>
      </c>
      <c r="N624" s="41">
        <f t="shared" si="432"/>
        <v>37735940</v>
      </c>
      <c r="O624" s="41">
        <v>37735940</v>
      </c>
      <c r="P624" s="24"/>
      <c r="Q624" s="24"/>
      <c r="R624" s="24"/>
      <c r="S624" s="41">
        <f t="shared" si="433"/>
        <v>37735940</v>
      </c>
      <c r="T624" s="24">
        <v>5</v>
      </c>
      <c r="U624" s="41">
        <f>SUM(S624/T624)</f>
        <v>7547188</v>
      </c>
      <c r="V624" s="24">
        <v>0.5</v>
      </c>
      <c r="W624" s="41"/>
      <c r="X624" s="24"/>
      <c r="Y624" s="41">
        <f>SUM(U624*X624)</f>
        <v>0</v>
      </c>
      <c r="Z624" s="41"/>
      <c r="AA624" s="72">
        <v>5</v>
      </c>
      <c r="AB624" s="41">
        <f>SUM(U624*AA624)</f>
        <v>37735940</v>
      </c>
      <c r="AC624" s="41">
        <f t="shared" si="437"/>
        <v>0</v>
      </c>
      <c r="AD624" s="70" t="s">
        <v>673</v>
      </c>
      <c r="AE624" s="70"/>
      <c r="AF624" s="1">
        <v>37735940</v>
      </c>
      <c r="AG624" s="5">
        <f t="shared" si="410"/>
        <v>0</v>
      </c>
      <c r="AH624" s="5"/>
    </row>
    <row r="625" spans="1:34" s="1" customFormat="1" ht="10.5" x14ac:dyDescent="0.25">
      <c r="A625" s="49">
        <v>128</v>
      </c>
      <c r="B625" s="22" t="s">
        <v>1719</v>
      </c>
      <c r="C625" s="22">
        <v>1551</v>
      </c>
      <c r="D625" s="51" t="s">
        <v>663</v>
      </c>
      <c r="E625" s="24" t="s">
        <v>166</v>
      </c>
      <c r="F625" s="24"/>
      <c r="G625" s="24" t="s">
        <v>201</v>
      </c>
      <c r="H625" s="24" t="s">
        <v>62</v>
      </c>
      <c r="I625" s="24">
        <v>2015</v>
      </c>
      <c r="J625" s="24"/>
      <c r="K625" s="24" t="s">
        <v>664</v>
      </c>
      <c r="L625" s="24" t="s">
        <v>64</v>
      </c>
      <c r="M625" s="24">
        <v>1</v>
      </c>
      <c r="N625" s="41">
        <f t="shared" si="432"/>
        <v>3998368</v>
      </c>
      <c r="O625" s="41">
        <v>3998368</v>
      </c>
      <c r="P625" s="24"/>
      <c r="Q625" s="24"/>
      <c r="R625" s="24"/>
      <c r="S625" s="41">
        <f t="shared" si="433"/>
        <v>3998368</v>
      </c>
      <c r="T625" s="24">
        <v>5</v>
      </c>
      <c r="U625" s="41">
        <f>SUM(S625/T625)</f>
        <v>799673.6</v>
      </c>
      <c r="V625" s="24">
        <v>0.5</v>
      </c>
      <c r="W625" s="41"/>
      <c r="X625" s="24"/>
      <c r="Y625" s="41">
        <f>SUM(U625*X625)</f>
        <v>0</v>
      </c>
      <c r="Z625" s="41"/>
      <c r="AA625" s="72">
        <v>5</v>
      </c>
      <c r="AB625" s="41">
        <f>SUM(U625*AA625)</f>
        <v>3998368</v>
      </c>
      <c r="AC625" s="41">
        <f t="shared" si="437"/>
        <v>0</v>
      </c>
      <c r="AD625" s="70" t="s">
        <v>553</v>
      </c>
      <c r="AE625" s="70"/>
      <c r="AF625" s="1">
        <v>3998368</v>
      </c>
      <c r="AG625" s="5">
        <f t="shared" si="410"/>
        <v>0</v>
      </c>
      <c r="AH625" s="5"/>
    </row>
    <row r="626" spans="1:34" s="1" customFormat="1" ht="10.5" x14ac:dyDescent="0.25">
      <c r="A626" s="49">
        <v>129</v>
      </c>
      <c r="B626" s="22" t="s">
        <v>1719</v>
      </c>
      <c r="C626" s="22">
        <v>1552</v>
      </c>
      <c r="D626" s="51" t="s">
        <v>663</v>
      </c>
      <c r="E626" s="52" t="s">
        <v>166</v>
      </c>
      <c r="F626" s="52"/>
      <c r="G626" s="52" t="s">
        <v>201</v>
      </c>
      <c r="H626" s="52" t="s">
        <v>62</v>
      </c>
      <c r="I626" s="52">
        <v>2021</v>
      </c>
      <c r="J626" s="52"/>
      <c r="K626" s="52" t="s">
        <v>664</v>
      </c>
      <c r="L626" s="52" t="s">
        <v>64</v>
      </c>
      <c r="M626" s="52">
        <v>1</v>
      </c>
      <c r="N626" s="53">
        <f t="shared" si="432"/>
        <v>5010000</v>
      </c>
      <c r="O626" s="53">
        <v>5010000</v>
      </c>
      <c r="P626" s="52"/>
      <c r="Q626" s="52"/>
      <c r="R626" s="52"/>
      <c r="S626" s="53">
        <f t="shared" si="433"/>
        <v>5010000</v>
      </c>
      <c r="T626" s="52">
        <v>5</v>
      </c>
      <c r="U626" s="53">
        <f>SUM(S626/T626)</f>
        <v>1002000</v>
      </c>
      <c r="V626" s="52">
        <v>0.5</v>
      </c>
      <c r="W626" s="53">
        <f t="shared" si="434"/>
        <v>501000</v>
      </c>
      <c r="X626" s="24">
        <v>0.5</v>
      </c>
      <c r="Y626" s="41">
        <f t="shared" si="435"/>
        <v>501000</v>
      </c>
      <c r="Z626" s="41">
        <f t="shared" si="436"/>
        <v>1002000</v>
      </c>
      <c r="AA626" s="72">
        <f>1/12+0.5+0.5</f>
        <v>1.0833333333333335</v>
      </c>
      <c r="AB626" s="41">
        <f>SUM(U626*AA626)</f>
        <v>1085500.0000000002</v>
      </c>
      <c r="AC626" s="41">
        <f t="shared" si="437"/>
        <v>3924500</v>
      </c>
      <c r="AD626" s="70"/>
      <c r="AE626" s="70"/>
      <c r="AF626" s="1">
        <v>1085500.0000000002</v>
      </c>
      <c r="AG626" s="5">
        <f t="shared" si="410"/>
        <v>1002000</v>
      </c>
      <c r="AH626" s="5"/>
    </row>
    <row r="627" spans="1:34" s="1" customFormat="1" ht="10.5" x14ac:dyDescent="0.25">
      <c r="A627" s="49">
        <v>130</v>
      </c>
      <c r="B627" s="22" t="s">
        <v>1720</v>
      </c>
      <c r="C627" s="22" t="s">
        <v>58</v>
      </c>
      <c r="D627" s="51" t="s">
        <v>702</v>
      </c>
      <c r="E627" s="24" t="s">
        <v>703</v>
      </c>
      <c r="F627" s="24"/>
      <c r="G627" s="24" t="s">
        <v>701</v>
      </c>
      <c r="H627" s="24" t="s">
        <v>62</v>
      </c>
      <c r="I627" s="24">
        <v>2012</v>
      </c>
      <c r="J627" s="24"/>
      <c r="K627" s="24" t="s">
        <v>63</v>
      </c>
      <c r="L627" s="24" t="s">
        <v>64</v>
      </c>
      <c r="M627" s="24">
        <v>30</v>
      </c>
      <c r="N627" s="41">
        <f t="shared" ref="N627" si="438">SUM(O627/M627)</f>
        <v>332800</v>
      </c>
      <c r="O627" s="41">
        <v>9984000</v>
      </c>
      <c r="P627" s="24"/>
      <c r="Q627" s="24"/>
      <c r="R627" s="24"/>
      <c r="S627" s="41">
        <f t="shared" ref="S627" si="439">SUM(O627-R627)</f>
        <v>9984000</v>
      </c>
      <c r="T627" s="24">
        <v>5</v>
      </c>
      <c r="U627" s="41"/>
      <c r="V627" s="24">
        <v>0.5</v>
      </c>
      <c r="W627" s="41">
        <f t="shared" si="434"/>
        <v>0</v>
      </c>
      <c r="X627" s="24"/>
      <c r="Y627" s="53">
        <f t="shared" si="435"/>
        <v>0</v>
      </c>
      <c r="Z627" s="53">
        <f t="shared" si="436"/>
        <v>0</v>
      </c>
      <c r="AA627" s="72">
        <v>5</v>
      </c>
      <c r="AB627" s="53">
        <v>9984000</v>
      </c>
      <c r="AC627" s="53">
        <f t="shared" si="437"/>
        <v>0</v>
      </c>
      <c r="AD627" s="56" t="s">
        <v>704</v>
      </c>
      <c r="AE627" s="70"/>
      <c r="AF627" s="1">
        <v>9984000</v>
      </c>
      <c r="AG627" s="5">
        <f t="shared" si="410"/>
        <v>0</v>
      </c>
      <c r="AH627" s="5"/>
    </row>
    <row r="628" spans="1:34" s="1" customFormat="1" ht="10.5" x14ac:dyDescent="0.25">
      <c r="A628" s="49">
        <v>131</v>
      </c>
      <c r="B628" s="22" t="s">
        <v>1721</v>
      </c>
      <c r="C628" s="73" t="s">
        <v>58</v>
      </c>
      <c r="D628" s="51" t="s">
        <v>464</v>
      </c>
      <c r="E628" s="52" t="s">
        <v>465</v>
      </c>
      <c r="F628" s="52"/>
      <c r="G628" s="52" t="s">
        <v>466</v>
      </c>
      <c r="H628" s="52" t="s">
        <v>62</v>
      </c>
      <c r="I628" s="52">
        <v>2019</v>
      </c>
      <c r="J628" s="52"/>
      <c r="K628" s="52" t="s">
        <v>63</v>
      </c>
      <c r="L628" s="52" t="s">
        <v>64</v>
      </c>
      <c r="M628" s="52">
        <v>5</v>
      </c>
      <c r="N628" s="53">
        <f t="shared" ref="N628" si="440">SUM(O628/M628)</f>
        <v>2000000</v>
      </c>
      <c r="O628" s="53">
        <v>10000000</v>
      </c>
      <c r="P628" s="52"/>
      <c r="Q628" s="52"/>
      <c r="R628" s="52"/>
      <c r="S628" s="53">
        <f t="shared" ref="S628" si="441">SUM(O628-R628)</f>
        <v>10000000</v>
      </c>
      <c r="T628" s="52">
        <v>5</v>
      </c>
      <c r="U628" s="53">
        <f t="shared" ref="U628:U629" si="442">SUM(S628/T628)</f>
        <v>2000000</v>
      </c>
      <c r="V628" s="52">
        <v>0.5</v>
      </c>
      <c r="W628" s="53">
        <f t="shared" si="434"/>
        <v>1000000</v>
      </c>
      <c r="X628" s="24">
        <v>0.5</v>
      </c>
      <c r="Y628" s="53">
        <f t="shared" si="435"/>
        <v>1000000</v>
      </c>
      <c r="Z628" s="53">
        <f t="shared" ref="Z628:Z629" si="443">SUM(W628+Y628)</f>
        <v>2000000</v>
      </c>
      <c r="AA628" s="72">
        <f>2022-I628+V628+X628-11/12</f>
        <v>3.0833333333333335</v>
      </c>
      <c r="AB628" s="53">
        <f t="shared" ref="AB628:AB629" si="444">SUM(U628*AA628)</f>
        <v>6166666.666666667</v>
      </c>
      <c r="AC628" s="53">
        <f t="shared" ref="AC628:AC629" si="445">SUM(O628-AB628)</f>
        <v>3833333.333333333</v>
      </c>
      <c r="AD628" s="56"/>
      <c r="AE628" s="56"/>
      <c r="AF628" s="1">
        <v>6166666.666666667</v>
      </c>
      <c r="AG628" s="5">
        <f t="shared" si="410"/>
        <v>2000000</v>
      </c>
      <c r="AH628" s="5"/>
    </row>
    <row r="629" spans="1:34" s="1" customFormat="1" ht="10.5" x14ac:dyDescent="0.25">
      <c r="A629" s="49">
        <v>132</v>
      </c>
      <c r="B629" s="22" t="s">
        <v>1721</v>
      </c>
      <c r="C629" s="73" t="s">
        <v>75</v>
      </c>
      <c r="D629" s="51" t="s">
        <v>464</v>
      </c>
      <c r="E629" s="52" t="s">
        <v>467</v>
      </c>
      <c r="F629" s="52"/>
      <c r="G629" s="52" t="s">
        <v>466</v>
      </c>
      <c r="H629" s="52" t="s">
        <v>62</v>
      </c>
      <c r="I629" s="52">
        <v>2019</v>
      </c>
      <c r="J629" s="52"/>
      <c r="K629" s="52" t="s">
        <v>63</v>
      </c>
      <c r="L629" s="52" t="s">
        <v>64</v>
      </c>
      <c r="M629" s="52">
        <v>1</v>
      </c>
      <c r="N629" s="53">
        <v>3215000</v>
      </c>
      <c r="O629" s="53">
        <v>3215000</v>
      </c>
      <c r="P629" s="52"/>
      <c r="Q629" s="52"/>
      <c r="R629" s="52"/>
      <c r="S629" s="53">
        <v>3215000</v>
      </c>
      <c r="T629" s="52">
        <v>5</v>
      </c>
      <c r="U629" s="53">
        <f t="shared" si="442"/>
        <v>643000</v>
      </c>
      <c r="V629" s="52">
        <v>0.5</v>
      </c>
      <c r="W629" s="53">
        <f t="shared" si="434"/>
        <v>321500</v>
      </c>
      <c r="X629" s="24">
        <v>0.5</v>
      </c>
      <c r="Y629" s="53">
        <f t="shared" si="435"/>
        <v>321500</v>
      </c>
      <c r="Z629" s="53">
        <f t="shared" si="443"/>
        <v>643000</v>
      </c>
      <c r="AA629" s="57">
        <f>2022-I629+V629+X629-8/12</f>
        <v>3.3333333333333335</v>
      </c>
      <c r="AB629" s="53">
        <f t="shared" si="444"/>
        <v>2143333.3333333335</v>
      </c>
      <c r="AC629" s="53">
        <f t="shared" si="445"/>
        <v>1071666.6666666665</v>
      </c>
      <c r="AD629" s="56" t="s">
        <v>331</v>
      </c>
      <c r="AE629" s="56" t="s">
        <v>451</v>
      </c>
      <c r="AF629" s="1">
        <v>2143333.3333333335</v>
      </c>
      <c r="AG629" s="5">
        <f t="shared" si="410"/>
        <v>643000</v>
      </c>
      <c r="AH629" s="5"/>
    </row>
    <row r="630" spans="1:34" s="1" customFormat="1" ht="10.5" x14ac:dyDescent="0.25">
      <c r="A630" s="49">
        <v>133</v>
      </c>
      <c r="B630" s="50" t="s">
        <v>1722</v>
      </c>
      <c r="C630" s="50" t="s">
        <v>58</v>
      </c>
      <c r="D630" s="51" t="s">
        <v>200</v>
      </c>
      <c r="E630" s="52" t="s">
        <v>166</v>
      </c>
      <c r="F630" s="52"/>
      <c r="G630" s="52" t="s">
        <v>201</v>
      </c>
      <c r="H630" s="52" t="s">
        <v>62</v>
      </c>
      <c r="I630" s="52">
        <v>2017</v>
      </c>
      <c r="J630" s="52"/>
      <c r="K630" s="52" t="s">
        <v>202</v>
      </c>
      <c r="L630" s="52" t="s">
        <v>64</v>
      </c>
      <c r="M630" s="166">
        <v>1</v>
      </c>
      <c r="N630" s="166">
        <f t="shared" ref="N630:N646" si="446">SUM(O630/M630)</f>
        <v>4950000</v>
      </c>
      <c r="O630" s="53">
        <v>4950000</v>
      </c>
      <c r="P630" s="166"/>
      <c r="Q630" s="166"/>
      <c r="R630" s="166"/>
      <c r="S630" s="53">
        <f t="shared" ref="S630:S646" si="447">SUM(O630-R630)</f>
        <v>4950000</v>
      </c>
      <c r="T630" s="166">
        <v>5</v>
      </c>
      <c r="U630" s="53">
        <f>SUM(S630/T630)</f>
        <v>990000</v>
      </c>
      <c r="V630" s="166">
        <v>0.5</v>
      </c>
      <c r="W630" s="53">
        <f>SUM(U630*V630)-412500</f>
        <v>82500</v>
      </c>
      <c r="X630" s="24"/>
      <c r="Y630" s="41">
        <f t="shared" ref="Y630:Y646" si="448">SUM(U630*X630)</f>
        <v>0</v>
      </c>
      <c r="Z630" s="41">
        <f t="shared" ref="Z630:Z646" si="449">SUM(W630+Y630)</f>
        <v>82500</v>
      </c>
      <c r="AA630" s="24">
        <f>2022-I630+V630+X630-1/12-5/12</f>
        <v>5</v>
      </c>
      <c r="AB630" s="41">
        <f>SUM(U630*AA630)</f>
        <v>4950000</v>
      </c>
      <c r="AC630" s="41">
        <f t="shared" ref="AC630" si="450">SUM(O630-AB630)</f>
        <v>0</v>
      </c>
      <c r="AD630" s="70" t="s">
        <v>195</v>
      </c>
      <c r="AE630" s="70"/>
      <c r="AF630" s="1">
        <v>4950000</v>
      </c>
      <c r="AG630" s="5">
        <f t="shared" si="410"/>
        <v>82500</v>
      </c>
      <c r="AH630" s="5"/>
    </row>
    <row r="631" spans="1:34" s="1" customFormat="1" ht="10.5" x14ac:dyDescent="0.25">
      <c r="A631" s="49">
        <v>134</v>
      </c>
      <c r="B631" s="50" t="s">
        <v>1722</v>
      </c>
      <c r="C631" s="50" t="s">
        <v>75</v>
      </c>
      <c r="D631" s="51" t="s">
        <v>203</v>
      </c>
      <c r="E631" s="52" t="s">
        <v>166</v>
      </c>
      <c r="F631" s="52"/>
      <c r="G631" s="52" t="s">
        <v>201</v>
      </c>
      <c r="H631" s="52" t="s">
        <v>62</v>
      </c>
      <c r="I631" s="52">
        <v>2021</v>
      </c>
      <c r="J631" s="52"/>
      <c r="K631" s="52" t="s">
        <v>202</v>
      </c>
      <c r="L631" s="52" t="s">
        <v>64</v>
      </c>
      <c r="M631" s="166">
        <v>1</v>
      </c>
      <c r="N631" s="166">
        <f t="shared" si="446"/>
        <v>3960000</v>
      </c>
      <c r="O631" s="53">
        <v>3960000</v>
      </c>
      <c r="P631" s="166"/>
      <c r="Q631" s="166"/>
      <c r="R631" s="166"/>
      <c r="S631" s="53">
        <f t="shared" si="447"/>
        <v>3960000</v>
      </c>
      <c r="T631" s="166">
        <v>5</v>
      </c>
      <c r="U631" s="53">
        <f>SUM(S631/T631)</f>
        <v>792000</v>
      </c>
      <c r="V631" s="177">
        <v>0.5</v>
      </c>
      <c r="W631" s="53">
        <f t="shared" ref="W631" si="451">SUM(U631*V631)</f>
        <v>396000</v>
      </c>
      <c r="X631" s="24">
        <v>0.5</v>
      </c>
      <c r="Y631" s="41">
        <f t="shared" si="448"/>
        <v>396000</v>
      </c>
      <c r="Z631" s="41">
        <f t="shared" si="449"/>
        <v>792000</v>
      </c>
      <c r="AA631" s="24">
        <f>2022-I631+V631+X631-1/12-10/12</f>
        <v>1.0833333333333335</v>
      </c>
      <c r="AB631" s="41">
        <f>SUM(U631*AA631)</f>
        <v>858000.00000000012</v>
      </c>
      <c r="AC631" s="41">
        <f>SUM(O631-AB631)</f>
        <v>3102000</v>
      </c>
      <c r="AD631" s="70"/>
      <c r="AE631" s="70"/>
      <c r="AF631" s="1">
        <v>858000.00000000012</v>
      </c>
      <c r="AG631" s="5">
        <f t="shared" si="410"/>
        <v>791999.99999999988</v>
      </c>
      <c r="AH631" s="5"/>
    </row>
    <row r="632" spans="1:34" s="1" customFormat="1" ht="10.5" x14ac:dyDescent="0.25">
      <c r="A632" s="49">
        <v>135</v>
      </c>
      <c r="B632" s="22" t="s">
        <v>1723</v>
      </c>
      <c r="C632" s="22" t="s">
        <v>592</v>
      </c>
      <c r="D632" s="51" t="s">
        <v>593</v>
      </c>
      <c r="E632" s="24" t="s">
        <v>594</v>
      </c>
      <c r="F632" s="24"/>
      <c r="G632" s="24" t="s">
        <v>201</v>
      </c>
      <c r="H632" s="24" t="s">
        <v>62</v>
      </c>
      <c r="I632" s="24">
        <v>2012</v>
      </c>
      <c r="J632" s="24"/>
      <c r="K632" s="24" t="s">
        <v>63</v>
      </c>
      <c r="L632" s="24" t="s">
        <v>64</v>
      </c>
      <c r="M632" s="24">
        <v>2</v>
      </c>
      <c r="N632" s="41">
        <f t="shared" si="446"/>
        <v>48400</v>
      </c>
      <c r="O632" s="41">
        <v>96800</v>
      </c>
      <c r="P632" s="24"/>
      <c r="Q632" s="24"/>
      <c r="R632" s="24"/>
      <c r="S632" s="41">
        <f t="shared" si="447"/>
        <v>96800</v>
      </c>
      <c r="T632" s="24">
        <v>5</v>
      </c>
      <c r="U632" s="41"/>
      <c r="V632" s="24">
        <v>0.5</v>
      </c>
      <c r="W632" s="41">
        <f t="shared" ref="W632:W646" si="452">SUM(U632*V632)</f>
        <v>0</v>
      </c>
      <c r="X632" s="24"/>
      <c r="Y632" s="41">
        <f t="shared" si="448"/>
        <v>0</v>
      </c>
      <c r="Z632" s="41">
        <f t="shared" si="449"/>
        <v>0</v>
      </c>
      <c r="AA632" s="24">
        <v>5</v>
      </c>
      <c r="AB632" s="41">
        <v>96800</v>
      </c>
      <c r="AC632" s="41">
        <f t="shared" ref="AC632:AC674" si="453">SUM(O632-AB632)</f>
        <v>0</v>
      </c>
      <c r="AD632" s="70" t="s">
        <v>348</v>
      </c>
      <c r="AE632" s="70"/>
      <c r="AF632" s="1">
        <v>96800</v>
      </c>
      <c r="AG632" s="5">
        <f t="shared" si="410"/>
        <v>0</v>
      </c>
      <c r="AH632" s="5"/>
    </row>
    <row r="633" spans="1:34" s="1" customFormat="1" ht="10.5" x14ac:dyDescent="0.25">
      <c r="A633" s="49">
        <v>136</v>
      </c>
      <c r="B633" s="22" t="s">
        <v>1723</v>
      </c>
      <c r="C633" s="22" t="s">
        <v>595</v>
      </c>
      <c r="D633" s="51" t="s">
        <v>593</v>
      </c>
      <c r="E633" s="24" t="s">
        <v>594</v>
      </c>
      <c r="F633" s="24"/>
      <c r="G633" s="24" t="s">
        <v>201</v>
      </c>
      <c r="H633" s="24" t="s">
        <v>62</v>
      </c>
      <c r="I633" s="24">
        <v>2012</v>
      </c>
      <c r="J633" s="24"/>
      <c r="K633" s="24" t="s">
        <v>63</v>
      </c>
      <c r="L633" s="24" t="s">
        <v>64</v>
      </c>
      <c r="M633" s="24">
        <v>28</v>
      </c>
      <c r="N633" s="41">
        <f t="shared" si="446"/>
        <v>48400</v>
      </c>
      <c r="O633" s="41">
        <v>1355200</v>
      </c>
      <c r="P633" s="24"/>
      <c r="Q633" s="24"/>
      <c r="R633" s="24"/>
      <c r="S633" s="41">
        <f t="shared" si="447"/>
        <v>1355200</v>
      </c>
      <c r="T633" s="24">
        <v>5</v>
      </c>
      <c r="U633" s="41"/>
      <c r="V633" s="24">
        <v>0.5</v>
      </c>
      <c r="W633" s="41">
        <f t="shared" si="452"/>
        <v>0</v>
      </c>
      <c r="X633" s="24"/>
      <c r="Y633" s="41">
        <f t="shared" si="448"/>
        <v>0</v>
      </c>
      <c r="Z633" s="41">
        <f t="shared" si="449"/>
        <v>0</v>
      </c>
      <c r="AA633" s="24">
        <v>5</v>
      </c>
      <c r="AB633" s="41">
        <v>1355200</v>
      </c>
      <c r="AC633" s="41">
        <f t="shared" si="453"/>
        <v>0</v>
      </c>
      <c r="AD633" s="70" t="s">
        <v>350</v>
      </c>
      <c r="AE633" s="70"/>
      <c r="AF633" s="1">
        <v>1355200</v>
      </c>
      <c r="AG633" s="5">
        <f t="shared" si="410"/>
        <v>0</v>
      </c>
      <c r="AH633" s="5"/>
    </row>
    <row r="634" spans="1:34" s="1" customFormat="1" ht="10.5" x14ac:dyDescent="0.25">
      <c r="A634" s="49">
        <v>137</v>
      </c>
      <c r="B634" s="22" t="s">
        <v>1723</v>
      </c>
      <c r="C634" s="22" t="s">
        <v>596</v>
      </c>
      <c r="D634" s="51" t="s">
        <v>593</v>
      </c>
      <c r="E634" s="24" t="s">
        <v>594</v>
      </c>
      <c r="F634" s="24"/>
      <c r="G634" s="24" t="s">
        <v>201</v>
      </c>
      <c r="H634" s="24" t="s">
        <v>62</v>
      </c>
      <c r="I634" s="24">
        <v>2012</v>
      </c>
      <c r="J634" s="24"/>
      <c r="K634" s="24" t="s">
        <v>63</v>
      </c>
      <c r="L634" s="24" t="s">
        <v>64</v>
      </c>
      <c r="M634" s="24">
        <v>7</v>
      </c>
      <c r="N634" s="41">
        <f t="shared" si="446"/>
        <v>48400</v>
      </c>
      <c r="O634" s="41">
        <v>338800</v>
      </c>
      <c r="P634" s="24"/>
      <c r="Q634" s="24"/>
      <c r="R634" s="24"/>
      <c r="S634" s="41">
        <f t="shared" si="447"/>
        <v>338800</v>
      </c>
      <c r="T634" s="24">
        <v>5</v>
      </c>
      <c r="U634" s="41"/>
      <c r="V634" s="24">
        <v>0.5</v>
      </c>
      <c r="W634" s="41">
        <f t="shared" si="452"/>
        <v>0</v>
      </c>
      <c r="X634" s="24"/>
      <c r="Y634" s="41">
        <f t="shared" si="448"/>
        <v>0</v>
      </c>
      <c r="Z634" s="41">
        <f t="shared" si="449"/>
        <v>0</v>
      </c>
      <c r="AA634" s="24">
        <v>5</v>
      </c>
      <c r="AB634" s="41">
        <v>338800</v>
      </c>
      <c r="AC634" s="41">
        <f t="shared" si="453"/>
        <v>0</v>
      </c>
      <c r="AD634" s="70" t="s">
        <v>597</v>
      </c>
      <c r="AE634" s="70"/>
      <c r="AF634" s="1">
        <v>338800</v>
      </c>
      <c r="AG634" s="5">
        <f t="shared" si="410"/>
        <v>0</v>
      </c>
      <c r="AH634" s="5"/>
    </row>
    <row r="635" spans="1:34" s="1" customFormat="1" ht="10.5" x14ac:dyDescent="0.25">
      <c r="A635" s="49">
        <v>138</v>
      </c>
      <c r="B635" s="22" t="s">
        <v>1723</v>
      </c>
      <c r="C635" s="22" t="s">
        <v>598</v>
      </c>
      <c r="D635" s="51" t="s">
        <v>593</v>
      </c>
      <c r="E635" s="24" t="s">
        <v>594</v>
      </c>
      <c r="F635" s="24"/>
      <c r="G635" s="24" t="s">
        <v>201</v>
      </c>
      <c r="H635" s="24" t="s">
        <v>62</v>
      </c>
      <c r="I635" s="24">
        <v>2012</v>
      </c>
      <c r="J635" s="24"/>
      <c r="K635" s="24" t="s">
        <v>63</v>
      </c>
      <c r="L635" s="24" t="s">
        <v>64</v>
      </c>
      <c r="M635" s="24">
        <v>7</v>
      </c>
      <c r="N635" s="41">
        <f t="shared" si="446"/>
        <v>48400</v>
      </c>
      <c r="O635" s="41">
        <v>338800</v>
      </c>
      <c r="P635" s="24"/>
      <c r="Q635" s="24"/>
      <c r="R635" s="24"/>
      <c r="S635" s="41">
        <f t="shared" si="447"/>
        <v>338800</v>
      </c>
      <c r="T635" s="24">
        <v>5</v>
      </c>
      <c r="U635" s="41"/>
      <c r="V635" s="24">
        <v>0.5</v>
      </c>
      <c r="W635" s="41">
        <f t="shared" si="452"/>
        <v>0</v>
      </c>
      <c r="X635" s="24"/>
      <c r="Y635" s="41">
        <f t="shared" si="448"/>
        <v>0</v>
      </c>
      <c r="Z635" s="41">
        <f t="shared" si="449"/>
        <v>0</v>
      </c>
      <c r="AA635" s="72">
        <v>5</v>
      </c>
      <c r="AB635" s="41">
        <v>338800</v>
      </c>
      <c r="AC635" s="41">
        <f t="shared" si="453"/>
        <v>0</v>
      </c>
      <c r="AD635" s="70" t="s">
        <v>540</v>
      </c>
      <c r="AE635" s="70"/>
      <c r="AF635" s="1">
        <v>338800</v>
      </c>
      <c r="AG635" s="5">
        <f t="shared" si="410"/>
        <v>0</v>
      </c>
      <c r="AH635" s="5"/>
    </row>
    <row r="636" spans="1:34" s="1" customFormat="1" ht="10.5" x14ac:dyDescent="0.25">
      <c r="A636" s="49">
        <v>139</v>
      </c>
      <c r="B636" s="22" t="s">
        <v>1723</v>
      </c>
      <c r="C636" s="22" t="s">
        <v>599</v>
      </c>
      <c r="D636" s="51" t="s">
        <v>593</v>
      </c>
      <c r="E636" s="24" t="s">
        <v>594</v>
      </c>
      <c r="F636" s="24"/>
      <c r="G636" s="24" t="s">
        <v>201</v>
      </c>
      <c r="H636" s="24" t="s">
        <v>62</v>
      </c>
      <c r="I636" s="24">
        <v>2012</v>
      </c>
      <c r="J636" s="24"/>
      <c r="K636" s="24" t="s">
        <v>63</v>
      </c>
      <c r="L636" s="24" t="s">
        <v>64</v>
      </c>
      <c r="M636" s="24">
        <v>7</v>
      </c>
      <c r="N636" s="41">
        <f t="shared" si="446"/>
        <v>48400</v>
      </c>
      <c r="O636" s="41">
        <v>338800</v>
      </c>
      <c r="P636" s="24"/>
      <c r="Q636" s="24"/>
      <c r="R636" s="24"/>
      <c r="S636" s="41">
        <f t="shared" si="447"/>
        <v>338800</v>
      </c>
      <c r="T636" s="24">
        <v>5</v>
      </c>
      <c r="U636" s="41"/>
      <c r="V636" s="24">
        <v>0.5</v>
      </c>
      <c r="W636" s="41">
        <f t="shared" si="452"/>
        <v>0</v>
      </c>
      <c r="X636" s="24"/>
      <c r="Y636" s="41">
        <f t="shared" si="448"/>
        <v>0</v>
      </c>
      <c r="Z636" s="41">
        <f t="shared" si="449"/>
        <v>0</v>
      </c>
      <c r="AA636" s="72">
        <v>5</v>
      </c>
      <c r="AB636" s="41">
        <v>338800</v>
      </c>
      <c r="AC636" s="41">
        <f t="shared" si="453"/>
        <v>0</v>
      </c>
      <c r="AD636" s="70" t="s">
        <v>351</v>
      </c>
      <c r="AE636" s="70"/>
      <c r="AF636" s="1">
        <v>338800</v>
      </c>
      <c r="AG636" s="5">
        <f t="shared" si="410"/>
        <v>0</v>
      </c>
      <c r="AH636" s="5"/>
    </row>
    <row r="637" spans="1:34" s="1" customFormat="1" ht="10.5" x14ac:dyDescent="0.25">
      <c r="A637" s="49">
        <v>140</v>
      </c>
      <c r="B637" s="22" t="s">
        <v>1723</v>
      </c>
      <c r="C637" s="22" t="s">
        <v>600</v>
      </c>
      <c r="D637" s="51" t="s">
        <v>593</v>
      </c>
      <c r="E637" s="24" t="s">
        <v>594</v>
      </c>
      <c r="F637" s="24"/>
      <c r="G637" s="24" t="s">
        <v>201</v>
      </c>
      <c r="H637" s="24" t="s">
        <v>62</v>
      </c>
      <c r="I637" s="24">
        <v>2012</v>
      </c>
      <c r="J637" s="24"/>
      <c r="K637" s="24" t="s">
        <v>63</v>
      </c>
      <c r="L637" s="24" t="s">
        <v>64</v>
      </c>
      <c r="M637" s="24">
        <v>7</v>
      </c>
      <c r="N637" s="41">
        <f t="shared" si="446"/>
        <v>48400</v>
      </c>
      <c r="O637" s="41">
        <v>338800</v>
      </c>
      <c r="P637" s="24"/>
      <c r="Q637" s="24"/>
      <c r="R637" s="24"/>
      <c r="S637" s="41">
        <f t="shared" si="447"/>
        <v>338800</v>
      </c>
      <c r="T637" s="24">
        <v>5</v>
      </c>
      <c r="U637" s="41"/>
      <c r="V637" s="24">
        <v>0.5</v>
      </c>
      <c r="W637" s="41">
        <f t="shared" si="452"/>
        <v>0</v>
      </c>
      <c r="X637" s="24"/>
      <c r="Y637" s="41">
        <f t="shared" si="448"/>
        <v>0</v>
      </c>
      <c r="Z637" s="41">
        <f t="shared" si="449"/>
        <v>0</v>
      </c>
      <c r="AA637" s="24">
        <v>5</v>
      </c>
      <c r="AB637" s="41">
        <v>338800</v>
      </c>
      <c r="AC637" s="41">
        <f t="shared" si="453"/>
        <v>0</v>
      </c>
      <c r="AD637" s="70" t="s">
        <v>601</v>
      </c>
      <c r="AE637" s="70"/>
      <c r="AF637" s="1">
        <v>338800</v>
      </c>
      <c r="AG637" s="5">
        <f t="shared" si="410"/>
        <v>0</v>
      </c>
      <c r="AH637" s="5"/>
    </row>
    <row r="638" spans="1:34" s="1" customFormat="1" ht="10.5" x14ac:dyDescent="0.25">
      <c r="A638" s="49">
        <v>141</v>
      </c>
      <c r="B638" s="22" t="s">
        <v>1723</v>
      </c>
      <c r="C638" s="22" t="s">
        <v>602</v>
      </c>
      <c r="D638" s="51" t="s">
        <v>593</v>
      </c>
      <c r="E638" s="24" t="s">
        <v>594</v>
      </c>
      <c r="F638" s="24"/>
      <c r="G638" s="24" t="s">
        <v>201</v>
      </c>
      <c r="H638" s="24" t="s">
        <v>62</v>
      </c>
      <c r="I638" s="24">
        <v>2012</v>
      </c>
      <c r="J638" s="24"/>
      <c r="K638" s="24" t="s">
        <v>63</v>
      </c>
      <c r="L638" s="24" t="s">
        <v>64</v>
      </c>
      <c r="M638" s="24">
        <v>7</v>
      </c>
      <c r="N638" s="41">
        <f t="shared" si="446"/>
        <v>48400</v>
      </c>
      <c r="O638" s="41">
        <v>338800</v>
      </c>
      <c r="P638" s="24"/>
      <c r="Q638" s="24"/>
      <c r="R638" s="24"/>
      <c r="S638" s="41">
        <f t="shared" si="447"/>
        <v>338800</v>
      </c>
      <c r="T638" s="24">
        <v>5</v>
      </c>
      <c r="U638" s="41"/>
      <c r="V638" s="24">
        <v>0.5</v>
      </c>
      <c r="W638" s="41">
        <f t="shared" si="452"/>
        <v>0</v>
      </c>
      <c r="X638" s="24"/>
      <c r="Y638" s="41">
        <f t="shared" si="448"/>
        <v>0</v>
      </c>
      <c r="Z638" s="41">
        <f t="shared" si="449"/>
        <v>0</v>
      </c>
      <c r="AA638" s="24">
        <v>5</v>
      </c>
      <c r="AB638" s="41">
        <v>338800</v>
      </c>
      <c r="AC638" s="41">
        <f t="shared" si="453"/>
        <v>0</v>
      </c>
      <c r="AD638" s="70" t="s">
        <v>603</v>
      </c>
      <c r="AE638" s="70"/>
      <c r="AF638" s="1">
        <v>338800</v>
      </c>
      <c r="AG638" s="5">
        <f t="shared" si="410"/>
        <v>0</v>
      </c>
      <c r="AH638" s="5"/>
    </row>
    <row r="639" spans="1:34" s="1" customFormat="1" ht="10.5" x14ac:dyDescent="0.25">
      <c r="A639" s="49">
        <v>142</v>
      </c>
      <c r="B639" s="22" t="s">
        <v>1723</v>
      </c>
      <c r="C639" s="22" t="s">
        <v>604</v>
      </c>
      <c r="D639" s="51" t="s">
        <v>593</v>
      </c>
      <c r="E639" s="24" t="s">
        <v>594</v>
      </c>
      <c r="F639" s="24"/>
      <c r="G639" s="24" t="s">
        <v>201</v>
      </c>
      <c r="H639" s="24" t="s">
        <v>62</v>
      </c>
      <c r="I639" s="24">
        <v>2012</v>
      </c>
      <c r="J639" s="24"/>
      <c r="K639" s="24" t="s">
        <v>63</v>
      </c>
      <c r="L639" s="24" t="s">
        <v>64</v>
      </c>
      <c r="M639" s="24">
        <v>7</v>
      </c>
      <c r="N639" s="41">
        <f t="shared" si="446"/>
        <v>48400</v>
      </c>
      <c r="O639" s="41">
        <v>338800</v>
      </c>
      <c r="P639" s="24"/>
      <c r="Q639" s="24"/>
      <c r="R639" s="24"/>
      <c r="S639" s="41">
        <f t="shared" si="447"/>
        <v>338800</v>
      </c>
      <c r="T639" s="24">
        <v>5</v>
      </c>
      <c r="U639" s="41"/>
      <c r="V639" s="24">
        <v>0.5</v>
      </c>
      <c r="W639" s="41">
        <f t="shared" si="452"/>
        <v>0</v>
      </c>
      <c r="X639" s="24"/>
      <c r="Y639" s="41">
        <f t="shared" si="448"/>
        <v>0</v>
      </c>
      <c r="Z639" s="41">
        <f t="shared" si="449"/>
        <v>0</v>
      </c>
      <c r="AA639" s="24">
        <v>5</v>
      </c>
      <c r="AB639" s="41">
        <v>338800</v>
      </c>
      <c r="AC639" s="41">
        <f t="shared" si="453"/>
        <v>0</v>
      </c>
      <c r="AD639" s="70" t="s">
        <v>605</v>
      </c>
      <c r="AE639" s="70"/>
      <c r="AF639" s="1">
        <v>338800</v>
      </c>
      <c r="AG639" s="5">
        <f t="shared" si="410"/>
        <v>0</v>
      </c>
      <c r="AH639" s="5"/>
    </row>
    <row r="640" spans="1:34" s="1" customFormat="1" ht="10.5" x14ac:dyDescent="0.25">
      <c r="A640" s="49">
        <v>143</v>
      </c>
      <c r="B640" s="22" t="s">
        <v>1723</v>
      </c>
      <c r="C640" s="22" t="s">
        <v>606</v>
      </c>
      <c r="D640" s="51" t="s">
        <v>593</v>
      </c>
      <c r="E640" s="24" t="s">
        <v>594</v>
      </c>
      <c r="F640" s="24"/>
      <c r="G640" s="24" t="s">
        <v>201</v>
      </c>
      <c r="H640" s="24" t="s">
        <v>62</v>
      </c>
      <c r="I640" s="24">
        <v>2012</v>
      </c>
      <c r="J640" s="24"/>
      <c r="K640" s="24" t="s">
        <v>63</v>
      </c>
      <c r="L640" s="24" t="s">
        <v>64</v>
      </c>
      <c r="M640" s="24">
        <v>36</v>
      </c>
      <c r="N640" s="41">
        <f t="shared" si="446"/>
        <v>48400</v>
      </c>
      <c r="O640" s="41">
        <v>1742400</v>
      </c>
      <c r="P640" s="24"/>
      <c r="Q640" s="24"/>
      <c r="R640" s="24"/>
      <c r="S640" s="41">
        <f t="shared" si="447"/>
        <v>1742400</v>
      </c>
      <c r="T640" s="24">
        <v>5</v>
      </c>
      <c r="U640" s="41"/>
      <c r="V640" s="24">
        <v>0.5</v>
      </c>
      <c r="W640" s="41">
        <f t="shared" si="452"/>
        <v>0</v>
      </c>
      <c r="X640" s="24"/>
      <c r="Y640" s="41">
        <f t="shared" si="448"/>
        <v>0</v>
      </c>
      <c r="Z640" s="41">
        <f t="shared" si="449"/>
        <v>0</v>
      </c>
      <c r="AA640" s="24">
        <v>5</v>
      </c>
      <c r="AB640" s="41">
        <v>1742400</v>
      </c>
      <c r="AC640" s="41">
        <f t="shared" si="453"/>
        <v>0</v>
      </c>
      <c r="AD640" s="70" t="s">
        <v>354</v>
      </c>
      <c r="AE640" s="70"/>
      <c r="AF640" s="1">
        <v>1742400</v>
      </c>
      <c r="AG640" s="5">
        <f t="shared" si="410"/>
        <v>0</v>
      </c>
      <c r="AH640" s="5"/>
    </row>
    <row r="641" spans="1:34" s="1" customFormat="1" ht="10.5" x14ac:dyDescent="0.25">
      <c r="A641" s="49">
        <v>144</v>
      </c>
      <c r="B641" s="22" t="s">
        <v>1723</v>
      </c>
      <c r="C641" s="22" t="s">
        <v>607</v>
      </c>
      <c r="D641" s="51" t="s">
        <v>593</v>
      </c>
      <c r="E641" s="24" t="s">
        <v>594</v>
      </c>
      <c r="F641" s="24"/>
      <c r="G641" s="24" t="s">
        <v>201</v>
      </c>
      <c r="H641" s="24" t="s">
        <v>62</v>
      </c>
      <c r="I641" s="24">
        <v>2012</v>
      </c>
      <c r="J641" s="24"/>
      <c r="K641" s="24" t="s">
        <v>63</v>
      </c>
      <c r="L641" s="24" t="s">
        <v>64</v>
      </c>
      <c r="M641" s="24">
        <v>7</v>
      </c>
      <c r="N641" s="41">
        <f t="shared" si="446"/>
        <v>48400</v>
      </c>
      <c r="O641" s="41">
        <v>338800</v>
      </c>
      <c r="P641" s="24"/>
      <c r="Q641" s="24"/>
      <c r="R641" s="24"/>
      <c r="S641" s="41">
        <f t="shared" si="447"/>
        <v>338800</v>
      </c>
      <c r="T641" s="24">
        <v>5</v>
      </c>
      <c r="U641" s="41"/>
      <c r="V641" s="24">
        <v>0.5</v>
      </c>
      <c r="W641" s="41">
        <f t="shared" si="452"/>
        <v>0</v>
      </c>
      <c r="X641" s="24"/>
      <c r="Y641" s="41">
        <f t="shared" si="448"/>
        <v>0</v>
      </c>
      <c r="Z641" s="41">
        <f t="shared" si="449"/>
        <v>0</v>
      </c>
      <c r="AA641" s="24">
        <v>5</v>
      </c>
      <c r="AB641" s="41">
        <v>338800</v>
      </c>
      <c r="AC641" s="41">
        <f t="shared" si="453"/>
        <v>0</v>
      </c>
      <c r="AD641" s="70" t="s">
        <v>608</v>
      </c>
      <c r="AE641" s="70"/>
      <c r="AF641" s="1">
        <v>338800</v>
      </c>
      <c r="AG641" s="5">
        <f t="shared" si="410"/>
        <v>0</v>
      </c>
      <c r="AH641" s="5"/>
    </row>
    <row r="642" spans="1:34" s="1" customFormat="1" ht="10.5" x14ac:dyDescent="0.25">
      <c r="A642" s="49">
        <v>145</v>
      </c>
      <c r="B642" s="22" t="s">
        <v>1723</v>
      </c>
      <c r="C642" s="22" t="s">
        <v>609</v>
      </c>
      <c r="D642" s="51" t="s">
        <v>593</v>
      </c>
      <c r="E642" s="24" t="s">
        <v>594</v>
      </c>
      <c r="F642" s="24"/>
      <c r="G642" s="24" t="s">
        <v>201</v>
      </c>
      <c r="H642" s="24" t="s">
        <v>62</v>
      </c>
      <c r="I642" s="24">
        <v>2012</v>
      </c>
      <c r="J642" s="24"/>
      <c r="K642" s="24" t="s">
        <v>63</v>
      </c>
      <c r="L642" s="24" t="s">
        <v>64</v>
      </c>
      <c r="M642" s="24">
        <v>40</v>
      </c>
      <c r="N642" s="41">
        <f t="shared" si="446"/>
        <v>48400</v>
      </c>
      <c r="O642" s="41">
        <v>1936000</v>
      </c>
      <c r="P642" s="24"/>
      <c r="Q642" s="24"/>
      <c r="R642" s="24"/>
      <c r="S642" s="41">
        <f t="shared" si="447"/>
        <v>1936000</v>
      </c>
      <c r="T642" s="24">
        <v>5</v>
      </c>
      <c r="U642" s="41"/>
      <c r="V642" s="24">
        <v>0.5</v>
      </c>
      <c r="W642" s="41">
        <f t="shared" si="452"/>
        <v>0</v>
      </c>
      <c r="X642" s="24"/>
      <c r="Y642" s="41">
        <f t="shared" si="448"/>
        <v>0</v>
      </c>
      <c r="Z642" s="41">
        <f t="shared" si="449"/>
        <v>0</v>
      </c>
      <c r="AA642" s="24">
        <v>5</v>
      </c>
      <c r="AB642" s="41">
        <v>1936000</v>
      </c>
      <c r="AC642" s="41">
        <f t="shared" si="453"/>
        <v>0</v>
      </c>
      <c r="AD642" s="70" t="s">
        <v>610</v>
      </c>
      <c r="AE642" s="70"/>
      <c r="AF642" s="1">
        <v>1936000</v>
      </c>
      <c r="AG642" s="5">
        <f t="shared" si="410"/>
        <v>0</v>
      </c>
      <c r="AH642" s="5"/>
    </row>
    <row r="643" spans="1:34" s="1" customFormat="1" ht="10.5" x14ac:dyDescent="0.25">
      <c r="A643" s="49">
        <v>146</v>
      </c>
      <c r="B643" s="22" t="s">
        <v>1723</v>
      </c>
      <c r="C643" s="22" t="s">
        <v>611</v>
      </c>
      <c r="D643" s="51" t="s">
        <v>593</v>
      </c>
      <c r="E643" s="24" t="s">
        <v>594</v>
      </c>
      <c r="F643" s="24"/>
      <c r="G643" s="24" t="s">
        <v>201</v>
      </c>
      <c r="H643" s="24" t="s">
        <v>62</v>
      </c>
      <c r="I643" s="24">
        <v>2012</v>
      </c>
      <c r="J643" s="24"/>
      <c r="K643" s="24" t="s">
        <v>63</v>
      </c>
      <c r="L643" s="24" t="s">
        <v>64</v>
      </c>
      <c r="M643" s="24">
        <v>40</v>
      </c>
      <c r="N643" s="41">
        <f t="shared" si="446"/>
        <v>48400</v>
      </c>
      <c r="O643" s="41">
        <v>1936000</v>
      </c>
      <c r="P643" s="24"/>
      <c r="Q643" s="24"/>
      <c r="R643" s="24"/>
      <c r="S643" s="41">
        <f t="shared" si="447"/>
        <v>1936000</v>
      </c>
      <c r="T643" s="24">
        <v>5</v>
      </c>
      <c r="U643" s="41"/>
      <c r="V643" s="24">
        <v>0.5</v>
      </c>
      <c r="W643" s="41">
        <f t="shared" si="452"/>
        <v>0</v>
      </c>
      <c r="X643" s="24"/>
      <c r="Y643" s="41">
        <f t="shared" si="448"/>
        <v>0</v>
      </c>
      <c r="Z643" s="41">
        <f t="shared" si="449"/>
        <v>0</v>
      </c>
      <c r="AA643" s="72">
        <v>5</v>
      </c>
      <c r="AB643" s="41">
        <v>1936000</v>
      </c>
      <c r="AC643" s="41">
        <f t="shared" si="453"/>
        <v>0</v>
      </c>
      <c r="AD643" s="70" t="s">
        <v>612</v>
      </c>
      <c r="AE643" s="70"/>
      <c r="AF643" s="1">
        <v>1936000</v>
      </c>
      <c r="AG643" s="5">
        <f t="shared" si="410"/>
        <v>0</v>
      </c>
      <c r="AH643" s="5"/>
    </row>
    <row r="644" spans="1:34" s="1" customFormat="1" ht="10.5" x14ac:dyDescent="0.25">
      <c r="A644" s="49">
        <v>147</v>
      </c>
      <c r="B644" s="22" t="s">
        <v>1723</v>
      </c>
      <c r="C644" s="22" t="s">
        <v>613</v>
      </c>
      <c r="D644" s="51" t="s">
        <v>593</v>
      </c>
      <c r="E644" s="24" t="s">
        <v>594</v>
      </c>
      <c r="F644" s="24"/>
      <c r="G644" s="24" t="s">
        <v>201</v>
      </c>
      <c r="H644" s="24" t="s">
        <v>62</v>
      </c>
      <c r="I644" s="24">
        <v>2012</v>
      </c>
      <c r="J644" s="24"/>
      <c r="K644" s="24" t="s">
        <v>63</v>
      </c>
      <c r="L644" s="24" t="s">
        <v>64</v>
      </c>
      <c r="M644" s="24">
        <v>105</v>
      </c>
      <c r="N644" s="41">
        <f t="shared" si="446"/>
        <v>48400</v>
      </c>
      <c r="O644" s="41">
        <v>5082000</v>
      </c>
      <c r="P644" s="24"/>
      <c r="Q644" s="24"/>
      <c r="R644" s="24"/>
      <c r="S644" s="41">
        <f t="shared" si="447"/>
        <v>5082000</v>
      </c>
      <c r="T644" s="24">
        <v>5</v>
      </c>
      <c r="U644" s="41"/>
      <c r="V644" s="24">
        <v>0.5</v>
      </c>
      <c r="W644" s="41">
        <f t="shared" si="452"/>
        <v>0</v>
      </c>
      <c r="X644" s="24"/>
      <c r="Y644" s="41">
        <f t="shared" si="448"/>
        <v>0</v>
      </c>
      <c r="Z644" s="41">
        <f t="shared" si="449"/>
        <v>0</v>
      </c>
      <c r="AA644" s="72">
        <v>5</v>
      </c>
      <c r="AB644" s="41">
        <v>5082000</v>
      </c>
      <c r="AC644" s="41">
        <f t="shared" si="453"/>
        <v>0</v>
      </c>
      <c r="AD644" s="70" t="s">
        <v>250</v>
      </c>
      <c r="AE644" s="70"/>
      <c r="AF644" s="1">
        <v>5082000</v>
      </c>
      <c r="AG644" s="5">
        <f t="shared" si="410"/>
        <v>0</v>
      </c>
      <c r="AH644" s="5"/>
    </row>
    <row r="645" spans="1:34" s="1" customFormat="1" ht="10.5" x14ac:dyDescent="0.25">
      <c r="A645" s="49">
        <v>148</v>
      </c>
      <c r="B645" s="22" t="s">
        <v>1723</v>
      </c>
      <c r="C645" s="22" t="s">
        <v>614</v>
      </c>
      <c r="D645" s="51" t="s">
        <v>615</v>
      </c>
      <c r="E645" s="24" t="s">
        <v>166</v>
      </c>
      <c r="F645" s="24"/>
      <c r="G645" s="24" t="s">
        <v>201</v>
      </c>
      <c r="H645" s="24" t="s">
        <v>62</v>
      </c>
      <c r="I645" s="24">
        <v>2011</v>
      </c>
      <c r="J645" s="24"/>
      <c r="K645" s="24" t="s">
        <v>63</v>
      </c>
      <c r="L645" s="24" t="s">
        <v>64</v>
      </c>
      <c r="M645" s="24">
        <v>200</v>
      </c>
      <c r="N645" s="41">
        <f t="shared" si="446"/>
        <v>35000</v>
      </c>
      <c r="O645" s="41">
        <v>7000000</v>
      </c>
      <c r="P645" s="24"/>
      <c r="Q645" s="24"/>
      <c r="R645" s="24"/>
      <c r="S645" s="41">
        <f t="shared" si="447"/>
        <v>7000000</v>
      </c>
      <c r="T645" s="24">
        <v>5</v>
      </c>
      <c r="U645" s="41"/>
      <c r="V645" s="24">
        <v>0.5</v>
      </c>
      <c r="W645" s="41">
        <f t="shared" si="452"/>
        <v>0</v>
      </c>
      <c r="X645" s="52"/>
      <c r="Y645" s="53">
        <f t="shared" si="448"/>
        <v>0</v>
      </c>
      <c r="Z645" s="53">
        <f t="shared" si="449"/>
        <v>0</v>
      </c>
      <c r="AA645" s="57">
        <v>5</v>
      </c>
      <c r="AB645" s="53">
        <v>7000000</v>
      </c>
      <c r="AC645" s="53">
        <f t="shared" si="453"/>
        <v>0</v>
      </c>
      <c r="AD645" s="56" t="s">
        <v>616</v>
      </c>
      <c r="AE645" s="70"/>
      <c r="AF645" s="1">
        <v>7000000</v>
      </c>
      <c r="AG645" s="5">
        <f t="shared" si="410"/>
        <v>0</v>
      </c>
      <c r="AH645" s="5"/>
    </row>
    <row r="646" spans="1:34" s="1" customFormat="1" ht="10.5" x14ac:dyDescent="0.25">
      <c r="A646" s="49">
        <v>149</v>
      </c>
      <c r="B646" s="22" t="s">
        <v>1723</v>
      </c>
      <c r="C646" s="22" t="s">
        <v>617</v>
      </c>
      <c r="D646" s="51" t="s">
        <v>615</v>
      </c>
      <c r="E646" s="24" t="s">
        <v>166</v>
      </c>
      <c r="F646" s="24"/>
      <c r="G646" s="24" t="s">
        <v>201</v>
      </c>
      <c r="H646" s="24" t="s">
        <v>62</v>
      </c>
      <c r="I646" s="24">
        <v>2012</v>
      </c>
      <c r="J646" s="24"/>
      <c r="K646" s="24" t="s">
        <v>63</v>
      </c>
      <c r="L646" s="24" t="s">
        <v>64</v>
      </c>
      <c r="M646" s="24">
        <v>40</v>
      </c>
      <c r="N646" s="41">
        <f t="shared" si="446"/>
        <v>74800</v>
      </c>
      <c r="O646" s="41">
        <v>2992000</v>
      </c>
      <c r="P646" s="24"/>
      <c r="Q646" s="24"/>
      <c r="R646" s="24"/>
      <c r="S646" s="41">
        <f t="shared" si="447"/>
        <v>2992000</v>
      </c>
      <c r="T646" s="24">
        <v>5</v>
      </c>
      <c r="U646" s="41"/>
      <c r="V646" s="24">
        <v>0.5</v>
      </c>
      <c r="W646" s="41">
        <f t="shared" si="452"/>
        <v>0</v>
      </c>
      <c r="X646" s="24"/>
      <c r="Y646" s="41">
        <f t="shared" si="448"/>
        <v>0</v>
      </c>
      <c r="Z646" s="41">
        <f t="shared" si="449"/>
        <v>0</v>
      </c>
      <c r="AA646" s="72">
        <v>5</v>
      </c>
      <c r="AB646" s="41">
        <v>2992000</v>
      </c>
      <c r="AC646" s="41">
        <f t="shared" si="453"/>
        <v>0</v>
      </c>
      <c r="AD646" s="70" t="s">
        <v>618</v>
      </c>
      <c r="AE646" s="70"/>
      <c r="AF646" s="1">
        <v>2992000</v>
      </c>
      <c r="AG646" s="5">
        <f t="shared" si="410"/>
        <v>0</v>
      </c>
      <c r="AH646" s="5"/>
    </row>
    <row r="647" spans="1:34" s="1" customFormat="1" ht="10.5" x14ac:dyDescent="0.25">
      <c r="A647" s="49">
        <v>150</v>
      </c>
      <c r="B647" s="22" t="s">
        <v>1724</v>
      </c>
      <c r="C647" s="22" t="s">
        <v>960</v>
      </c>
      <c r="D647" s="51" t="s">
        <v>961</v>
      </c>
      <c r="E647" s="24" t="s">
        <v>166</v>
      </c>
      <c r="F647" s="24"/>
      <c r="G647" s="24" t="s">
        <v>201</v>
      </c>
      <c r="H647" s="24" t="s">
        <v>62</v>
      </c>
      <c r="I647" s="24">
        <v>2011</v>
      </c>
      <c r="J647" s="24"/>
      <c r="K647" s="24" t="s">
        <v>63</v>
      </c>
      <c r="L647" s="24" t="s">
        <v>64</v>
      </c>
      <c r="M647" s="24">
        <v>120</v>
      </c>
      <c r="N647" s="41">
        <f t="shared" ref="N647:N665" si="454">SUM(O647/M647)</f>
        <v>148000</v>
      </c>
      <c r="O647" s="41">
        <v>17760000</v>
      </c>
      <c r="P647" s="24"/>
      <c r="Q647" s="24"/>
      <c r="R647" s="24"/>
      <c r="S647" s="41">
        <f t="shared" ref="S647:S665" si="455">SUM(O647-R647)</f>
        <v>17760000</v>
      </c>
      <c r="T647" s="24">
        <v>5</v>
      </c>
      <c r="U647" s="41"/>
      <c r="V647" s="24">
        <v>0.5</v>
      </c>
      <c r="W647" s="41">
        <f t="shared" ref="W647:W665" si="456">SUM(U647*V647)</f>
        <v>0</v>
      </c>
      <c r="X647" s="24"/>
      <c r="Y647" s="41">
        <f t="shared" ref="Y647:Y665" si="457">SUM(U647*X647)</f>
        <v>0</v>
      </c>
      <c r="Z647" s="41">
        <f t="shared" ref="Z647:Z665" si="458">SUM(W647+Y647)</f>
        <v>0</v>
      </c>
      <c r="AA647" s="24">
        <v>5</v>
      </c>
      <c r="AB647" s="41">
        <v>17760000</v>
      </c>
      <c r="AC647" s="41">
        <f t="shared" si="453"/>
        <v>0</v>
      </c>
      <c r="AD647" s="70" t="s">
        <v>962</v>
      </c>
      <c r="AE647" s="70"/>
      <c r="AF647" s="1">
        <v>17760000</v>
      </c>
      <c r="AG647" s="5">
        <f t="shared" si="410"/>
        <v>0</v>
      </c>
      <c r="AH647" s="5"/>
    </row>
    <row r="648" spans="1:34" s="1" customFormat="1" ht="10.5" x14ac:dyDescent="0.25">
      <c r="A648" s="49">
        <v>151</v>
      </c>
      <c r="B648" s="22" t="s">
        <v>1724</v>
      </c>
      <c r="C648" s="22" t="s">
        <v>963</v>
      </c>
      <c r="D648" s="51" t="s">
        <v>961</v>
      </c>
      <c r="E648" s="24" t="s">
        <v>166</v>
      </c>
      <c r="F648" s="24"/>
      <c r="G648" s="24" t="s">
        <v>201</v>
      </c>
      <c r="H648" s="24" t="s">
        <v>62</v>
      </c>
      <c r="I648" s="24">
        <v>2012</v>
      </c>
      <c r="J648" s="24"/>
      <c r="K648" s="24" t="s">
        <v>63</v>
      </c>
      <c r="L648" s="24" t="s">
        <v>64</v>
      </c>
      <c r="M648" s="24">
        <v>40</v>
      </c>
      <c r="N648" s="41">
        <f t="shared" si="454"/>
        <v>176000</v>
      </c>
      <c r="O648" s="41">
        <v>7040000</v>
      </c>
      <c r="P648" s="24"/>
      <c r="Q648" s="24"/>
      <c r="R648" s="24"/>
      <c r="S648" s="41">
        <f t="shared" si="455"/>
        <v>7040000</v>
      </c>
      <c r="T648" s="24">
        <v>5</v>
      </c>
      <c r="U648" s="41"/>
      <c r="V648" s="24">
        <v>0.5</v>
      </c>
      <c r="W648" s="41">
        <f t="shared" si="456"/>
        <v>0</v>
      </c>
      <c r="X648" s="24"/>
      <c r="Y648" s="41">
        <f t="shared" si="457"/>
        <v>0</v>
      </c>
      <c r="Z648" s="41">
        <f t="shared" si="458"/>
        <v>0</v>
      </c>
      <c r="AA648" s="24">
        <v>5</v>
      </c>
      <c r="AB648" s="41">
        <v>7040000</v>
      </c>
      <c r="AC648" s="41">
        <f t="shared" si="453"/>
        <v>0</v>
      </c>
      <c r="AD648" s="70" t="s">
        <v>964</v>
      </c>
      <c r="AE648" s="70"/>
      <c r="AF648" s="1">
        <v>7040000</v>
      </c>
      <c r="AG648" s="5">
        <f t="shared" si="410"/>
        <v>0</v>
      </c>
      <c r="AH648" s="5"/>
    </row>
    <row r="649" spans="1:34" s="1" customFormat="1" ht="10.5" x14ac:dyDescent="0.25">
      <c r="A649" s="49">
        <v>152</v>
      </c>
      <c r="B649" s="22" t="s">
        <v>1724</v>
      </c>
      <c r="C649" s="22" t="s">
        <v>965</v>
      </c>
      <c r="D649" s="51" t="s">
        <v>966</v>
      </c>
      <c r="E649" s="24" t="s">
        <v>166</v>
      </c>
      <c r="F649" s="24"/>
      <c r="G649" s="24" t="s">
        <v>201</v>
      </c>
      <c r="H649" s="24" t="s">
        <v>62</v>
      </c>
      <c r="I649" s="24">
        <v>2012</v>
      </c>
      <c r="J649" s="24"/>
      <c r="K649" s="24" t="s">
        <v>63</v>
      </c>
      <c r="L649" s="24" t="s">
        <v>64</v>
      </c>
      <c r="M649" s="24">
        <v>20</v>
      </c>
      <c r="N649" s="41">
        <f t="shared" si="454"/>
        <v>148500</v>
      </c>
      <c r="O649" s="41">
        <v>2970000</v>
      </c>
      <c r="P649" s="24"/>
      <c r="Q649" s="24"/>
      <c r="R649" s="24"/>
      <c r="S649" s="41">
        <f t="shared" si="455"/>
        <v>2970000</v>
      </c>
      <c r="T649" s="24">
        <v>5</v>
      </c>
      <c r="U649" s="41"/>
      <c r="V649" s="24">
        <v>0.5</v>
      </c>
      <c r="W649" s="41">
        <f t="shared" si="456"/>
        <v>0</v>
      </c>
      <c r="X649" s="24"/>
      <c r="Y649" s="41">
        <f t="shared" si="457"/>
        <v>0</v>
      </c>
      <c r="Z649" s="41">
        <f t="shared" si="458"/>
        <v>0</v>
      </c>
      <c r="AA649" s="24">
        <v>5</v>
      </c>
      <c r="AB649" s="41">
        <v>2970000</v>
      </c>
      <c r="AC649" s="41">
        <f t="shared" si="453"/>
        <v>0</v>
      </c>
      <c r="AD649" s="70" t="s">
        <v>942</v>
      </c>
      <c r="AE649" s="70"/>
      <c r="AF649" s="1">
        <v>2970000</v>
      </c>
      <c r="AG649" s="5">
        <f t="shared" si="410"/>
        <v>0</v>
      </c>
      <c r="AH649" s="5"/>
    </row>
    <row r="650" spans="1:34" s="1" customFormat="1" ht="10.5" x14ac:dyDescent="0.25">
      <c r="A650" s="49">
        <v>153</v>
      </c>
      <c r="B650" s="22" t="s">
        <v>1724</v>
      </c>
      <c r="C650" s="22" t="s">
        <v>967</v>
      </c>
      <c r="D650" s="51" t="s">
        <v>966</v>
      </c>
      <c r="E650" s="24" t="s">
        <v>166</v>
      </c>
      <c r="F650" s="24"/>
      <c r="G650" s="24" t="s">
        <v>201</v>
      </c>
      <c r="H650" s="24" t="s">
        <v>62</v>
      </c>
      <c r="I650" s="24">
        <v>2012</v>
      </c>
      <c r="J650" s="24"/>
      <c r="K650" s="24" t="s">
        <v>63</v>
      </c>
      <c r="L650" s="24" t="s">
        <v>64</v>
      </c>
      <c r="M650" s="24">
        <v>20</v>
      </c>
      <c r="N650" s="41">
        <f t="shared" si="454"/>
        <v>148500</v>
      </c>
      <c r="O650" s="41">
        <v>2970000</v>
      </c>
      <c r="P650" s="24"/>
      <c r="Q650" s="24"/>
      <c r="R650" s="24"/>
      <c r="S650" s="41">
        <f t="shared" si="455"/>
        <v>2970000</v>
      </c>
      <c r="T650" s="24">
        <v>5</v>
      </c>
      <c r="U650" s="41"/>
      <c r="V650" s="24">
        <v>0.5</v>
      </c>
      <c r="W650" s="41">
        <f t="shared" si="456"/>
        <v>0</v>
      </c>
      <c r="X650" s="24"/>
      <c r="Y650" s="41">
        <f t="shared" si="457"/>
        <v>0</v>
      </c>
      <c r="Z650" s="41">
        <f t="shared" si="458"/>
        <v>0</v>
      </c>
      <c r="AA650" s="24">
        <v>5</v>
      </c>
      <c r="AB650" s="41">
        <v>2970000</v>
      </c>
      <c r="AC650" s="41">
        <f t="shared" si="453"/>
        <v>0</v>
      </c>
      <c r="AD650" s="70" t="s">
        <v>597</v>
      </c>
      <c r="AE650" s="70"/>
      <c r="AF650" s="1">
        <v>2970000</v>
      </c>
      <c r="AG650" s="5">
        <f t="shared" si="410"/>
        <v>0</v>
      </c>
      <c r="AH650" s="5"/>
    </row>
    <row r="651" spans="1:34" s="1" customFormat="1" ht="10.5" x14ac:dyDescent="0.25">
      <c r="A651" s="49">
        <v>154</v>
      </c>
      <c r="B651" s="22" t="s">
        <v>1724</v>
      </c>
      <c r="C651" s="22" t="s">
        <v>968</v>
      </c>
      <c r="D651" s="51" t="s">
        <v>966</v>
      </c>
      <c r="E651" s="24" t="s">
        <v>166</v>
      </c>
      <c r="F651" s="24"/>
      <c r="G651" s="24" t="s">
        <v>201</v>
      </c>
      <c r="H651" s="24" t="s">
        <v>62</v>
      </c>
      <c r="I651" s="24">
        <v>2012</v>
      </c>
      <c r="J651" s="24"/>
      <c r="K651" s="24" t="s">
        <v>63</v>
      </c>
      <c r="L651" s="24" t="s">
        <v>64</v>
      </c>
      <c r="M651" s="24">
        <v>10</v>
      </c>
      <c r="N651" s="41">
        <f t="shared" si="454"/>
        <v>148500</v>
      </c>
      <c r="O651" s="41">
        <v>1485000</v>
      </c>
      <c r="P651" s="24"/>
      <c r="Q651" s="24"/>
      <c r="R651" s="24"/>
      <c r="S651" s="41">
        <f t="shared" si="455"/>
        <v>1485000</v>
      </c>
      <c r="T651" s="24">
        <v>5</v>
      </c>
      <c r="U651" s="41"/>
      <c r="V651" s="24">
        <v>0.5</v>
      </c>
      <c r="W651" s="41">
        <f t="shared" si="456"/>
        <v>0</v>
      </c>
      <c r="X651" s="24"/>
      <c r="Y651" s="41">
        <f t="shared" si="457"/>
        <v>0</v>
      </c>
      <c r="Z651" s="41">
        <f t="shared" si="458"/>
        <v>0</v>
      </c>
      <c r="AA651" s="24">
        <v>5</v>
      </c>
      <c r="AB651" s="41">
        <v>1485000</v>
      </c>
      <c r="AC651" s="41">
        <f t="shared" si="453"/>
        <v>0</v>
      </c>
      <c r="AD651" s="70" t="s">
        <v>540</v>
      </c>
      <c r="AE651" s="70"/>
      <c r="AF651" s="1">
        <v>1485000</v>
      </c>
      <c r="AG651" s="5">
        <f t="shared" si="410"/>
        <v>0</v>
      </c>
      <c r="AH651" s="5"/>
    </row>
    <row r="652" spans="1:34" s="1" customFormat="1" ht="10.5" x14ac:dyDescent="0.25">
      <c r="A652" s="49">
        <v>155</v>
      </c>
      <c r="B652" s="22" t="s">
        <v>1724</v>
      </c>
      <c r="C652" s="22" t="s">
        <v>969</v>
      </c>
      <c r="D652" s="51" t="s">
        <v>966</v>
      </c>
      <c r="E652" s="24" t="s">
        <v>166</v>
      </c>
      <c r="F652" s="24"/>
      <c r="G652" s="24" t="s">
        <v>201</v>
      </c>
      <c r="H652" s="24" t="s">
        <v>62</v>
      </c>
      <c r="I652" s="24">
        <v>2012</v>
      </c>
      <c r="J652" s="24"/>
      <c r="K652" s="24" t="s">
        <v>63</v>
      </c>
      <c r="L652" s="24" t="s">
        <v>64</v>
      </c>
      <c r="M652" s="24">
        <v>20</v>
      </c>
      <c r="N652" s="41">
        <f t="shared" si="454"/>
        <v>148500</v>
      </c>
      <c r="O652" s="41">
        <v>2970000</v>
      </c>
      <c r="P652" s="24"/>
      <c r="Q652" s="24"/>
      <c r="R652" s="24"/>
      <c r="S652" s="41">
        <f t="shared" si="455"/>
        <v>2970000</v>
      </c>
      <c r="T652" s="24">
        <v>5</v>
      </c>
      <c r="U652" s="41"/>
      <c r="V652" s="24">
        <v>0.5</v>
      </c>
      <c r="W652" s="41">
        <f t="shared" si="456"/>
        <v>0</v>
      </c>
      <c r="X652" s="24"/>
      <c r="Y652" s="41">
        <f t="shared" si="457"/>
        <v>0</v>
      </c>
      <c r="Z652" s="41">
        <f t="shared" si="458"/>
        <v>0</v>
      </c>
      <c r="AA652" s="24">
        <v>5</v>
      </c>
      <c r="AB652" s="41">
        <v>2970000</v>
      </c>
      <c r="AC652" s="41">
        <f t="shared" si="453"/>
        <v>0</v>
      </c>
      <c r="AD652" s="70" t="s">
        <v>351</v>
      </c>
      <c r="AE652" s="70"/>
      <c r="AF652" s="1">
        <v>2970000</v>
      </c>
      <c r="AG652" s="5">
        <f t="shared" si="410"/>
        <v>0</v>
      </c>
      <c r="AH652" s="5"/>
    </row>
    <row r="653" spans="1:34" s="1" customFormat="1" ht="10.5" x14ac:dyDescent="0.25">
      <c r="A653" s="49">
        <v>156</v>
      </c>
      <c r="B653" s="22" t="s">
        <v>1724</v>
      </c>
      <c r="C653" s="22" t="s">
        <v>970</v>
      </c>
      <c r="D653" s="51" t="s">
        <v>966</v>
      </c>
      <c r="E653" s="24" t="s">
        <v>166</v>
      </c>
      <c r="F653" s="24"/>
      <c r="G653" s="24" t="s">
        <v>201</v>
      </c>
      <c r="H653" s="24" t="s">
        <v>62</v>
      </c>
      <c r="I653" s="24">
        <v>2012</v>
      </c>
      <c r="J653" s="24"/>
      <c r="K653" s="24" t="s">
        <v>63</v>
      </c>
      <c r="L653" s="24" t="s">
        <v>64</v>
      </c>
      <c r="M653" s="24">
        <v>20</v>
      </c>
      <c r="N653" s="41">
        <f t="shared" si="454"/>
        <v>148500</v>
      </c>
      <c r="O653" s="41">
        <v>2970000</v>
      </c>
      <c r="P653" s="24"/>
      <c r="Q653" s="24"/>
      <c r="R653" s="24"/>
      <c r="S653" s="41">
        <f t="shared" si="455"/>
        <v>2970000</v>
      </c>
      <c r="T653" s="24">
        <v>5</v>
      </c>
      <c r="U653" s="41"/>
      <c r="V653" s="24">
        <v>0.5</v>
      </c>
      <c r="W653" s="41">
        <f t="shared" si="456"/>
        <v>0</v>
      </c>
      <c r="X653" s="24"/>
      <c r="Y653" s="41">
        <f t="shared" si="457"/>
        <v>0</v>
      </c>
      <c r="Z653" s="41">
        <f t="shared" si="458"/>
        <v>0</v>
      </c>
      <c r="AA653" s="24">
        <v>5</v>
      </c>
      <c r="AB653" s="41">
        <v>2970000</v>
      </c>
      <c r="AC653" s="41">
        <f t="shared" si="453"/>
        <v>0</v>
      </c>
      <c r="AD653" s="70" t="s">
        <v>601</v>
      </c>
      <c r="AE653" s="70"/>
      <c r="AF653" s="1">
        <v>2970000</v>
      </c>
      <c r="AG653" s="5">
        <f t="shared" si="410"/>
        <v>0</v>
      </c>
      <c r="AH653" s="5"/>
    </row>
    <row r="654" spans="1:34" s="1" customFormat="1" ht="10.5" x14ac:dyDescent="0.25">
      <c r="A654" s="49">
        <v>157</v>
      </c>
      <c r="B654" s="22" t="s">
        <v>1724</v>
      </c>
      <c r="C654" s="22" t="s">
        <v>971</v>
      </c>
      <c r="D654" s="51" t="s">
        <v>966</v>
      </c>
      <c r="E654" s="24" t="s">
        <v>166</v>
      </c>
      <c r="F654" s="24"/>
      <c r="G654" s="24" t="s">
        <v>201</v>
      </c>
      <c r="H654" s="24" t="s">
        <v>62</v>
      </c>
      <c r="I654" s="24">
        <v>2012</v>
      </c>
      <c r="J654" s="24"/>
      <c r="K654" s="24" t="s">
        <v>63</v>
      </c>
      <c r="L654" s="24" t="s">
        <v>64</v>
      </c>
      <c r="M654" s="24">
        <v>20</v>
      </c>
      <c r="N654" s="41">
        <f t="shared" si="454"/>
        <v>148500</v>
      </c>
      <c r="O654" s="41">
        <v>2970000</v>
      </c>
      <c r="P654" s="24"/>
      <c r="Q654" s="24"/>
      <c r="R654" s="24"/>
      <c r="S654" s="41">
        <f t="shared" si="455"/>
        <v>2970000</v>
      </c>
      <c r="T654" s="24">
        <v>5</v>
      </c>
      <c r="U654" s="41"/>
      <c r="V654" s="24">
        <v>0.5</v>
      </c>
      <c r="W654" s="41">
        <f t="shared" si="456"/>
        <v>0</v>
      </c>
      <c r="X654" s="24"/>
      <c r="Y654" s="41">
        <f t="shared" si="457"/>
        <v>0</v>
      </c>
      <c r="Z654" s="41">
        <f t="shared" si="458"/>
        <v>0</v>
      </c>
      <c r="AA654" s="24">
        <v>5</v>
      </c>
      <c r="AB654" s="41">
        <v>2970000</v>
      </c>
      <c r="AC654" s="41">
        <f t="shared" si="453"/>
        <v>0</v>
      </c>
      <c r="AD654" s="70" t="s">
        <v>603</v>
      </c>
      <c r="AE654" s="70"/>
      <c r="AF654" s="1">
        <v>2970000</v>
      </c>
      <c r="AG654" s="5">
        <f t="shared" si="410"/>
        <v>0</v>
      </c>
      <c r="AH654" s="5"/>
    </row>
    <row r="655" spans="1:34" s="1" customFormat="1" ht="10.5" x14ac:dyDescent="0.25">
      <c r="A655" s="49">
        <v>158</v>
      </c>
      <c r="B655" s="22" t="s">
        <v>1724</v>
      </c>
      <c r="C655" s="22" t="s">
        <v>972</v>
      </c>
      <c r="D655" s="51" t="s">
        <v>966</v>
      </c>
      <c r="E655" s="24" t="s">
        <v>166</v>
      </c>
      <c r="F655" s="24"/>
      <c r="G655" s="24" t="s">
        <v>201</v>
      </c>
      <c r="H655" s="24" t="s">
        <v>62</v>
      </c>
      <c r="I655" s="24">
        <v>2012</v>
      </c>
      <c r="J655" s="24"/>
      <c r="K655" s="24" t="s">
        <v>63</v>
      </c>
      <c r="L655" s="24" t="s">
        <v>64</v>
      </c>
      <c r="M655" s="24">
        <v>20</v>
      </c>
      <c r="N655" s="41">
        <f t="shared" si="454"/>
        <v>148500</v>
      </c>
      <c r="O655" s="41">
        <v>2970000</v>
      </c>
      <c r="P655" s="24"/>
      <c r="Q655" s="24"/>
      <c r="R655" s="24"/>
      <c r="S655" s="41">
        <f t="shared" si="455"/>
        <v>2970000</v>
      </c>
      <c r="T655" s="24">
        <v>5</v>
      </c>
      <c r="U655" s="41"/>
      <c r="V655" s="24">
        <v>0.5</v>
      </c>
      <c r="W655" s="41">
        <f t="shared" si="456"/>
        <v>0</v>
      </c>
      <c r="X655" s="24"/>
      <c r="Y655" s="41">
        <f t="shared" si="457"/>
        <v>0</v>
      </c>
      <c r="Z655" s="41">
        <f t="shared" si="458"/>
        <v>0</v>
      </c>
      <c r="AA655" s="24">
        <v>5</v>
      </c>
      <c r="AB655" s="41">
        <v>2970000</v>
      </c>
      <c r="AC655" s="41">
        <f t="shared" si="453"/>
        <v>0</v>
      </c>
      <c r="AD655" s="70" t="s">
        <v>605</v>
      </c>
      <c r="AE655" s="70"/>
      <c r="AF655" s="1">
        <v>2970000</v>
      </c>
      <c r="AG655" s="5">
        <f t="shared" si="410"/>
        <v>0</v>
      </c>
      <c r="AH655" s="5"/>
    </row>
    <row r="656" spans="1:34" s="1" customFormat="1" ht="10.5" x14ac:dyDescent="0.25">
      <c r="A656" s="49">
        <v>159</v>
      </c>
      <c r="B656" s="22" t="s">
        <v>1724</v>
      </c>
      <c r="C656" s="22" t="s">
        <v>973</v>
      </c>
      <c r="D656" s="51" t="s">
        <v>966</v>
      </c>
      <c r="E656" s="24" t="s">
        <v>166</v>
      </c>
      <c r="F656" s="24"/>
      <c r="G656" s="24" t="s">
        <v>201</v>
      </c>
      <c r="H656" s="24" t="s">
        <v>62</v>
      </c>
      <c r="I656" s="24">
        <v>2012</v>
      </c>
      <c r="J656" s="24"/>
      <c r="K656" s="24" t="s">
        <v>63</v>
      </c>
      <c r="L656" s="24" t="s">
        <v>64</v>
      </c>
      <c r="M656" s="24">
        <v>20</v>
      </c>
      <c r="N656" s="41">
        <f t="shared" si="454"/>
        <v>148500</v>
      </c>
      <c r="O656" s="41">
        <v>2970000</v>
      </c>
      <c r="P656" s="24"/>
      <c r="Q656" s="24"/>
      <c r="R656" s="24"/>
      <c r="S656" s="41">
        <f t="shared" si="455"/>
        <v>2970000</v>
      </c>
      <c r="T656" s="24">
        <v>5</v>
      </c>
      <c r="U656" s="41"/>
      <c r="V656" s="24">
        <v>0.5</v>
      </c>
      <c r="W656" s="41">
        <f t="shared" si="456"/>
        <v>0</v>
      </c>
      <c r="X656" s="24"/>
      <c r="Y656" s="41">
        <f t="shared" si="457"/>
        <v>0</v>
      </c>
      <c r="Z656" s="41">
        <f t="shared" si="458"/>
        <v>0</v>
      </c>
      <c r="AA656" s="24">
        <v>5</v>
      </c>
      <c r="AB656" s="41">
        <v>2970000</v>
      </c>
      <c r="AC656" s="41">
        <f t="shared" si="453"/>
        <v>0</v>
      </c>
      <c r="AD656" s="70" t="s">
        <v>354</v>
      </c>
      <c r="AE656" s="70"/>
      <c r="AF656" s="1">
        <v>2970000</v>
      </c>
      <c r="AG656" s="5">
        <f t="shared" si="410"/>
        <v>0</v>
      </c>
      <c r="AH656" s="5"/>
    </row>
    <row r="657" spans="1:34" s="1" customFormat="1" ht="10.5" x14ac:dyDescent="0.25">
      <c r="A657" s="49">
        <v>160</v>
      </c>
      <c r="B657" s="22" t="s">
        <v>1724</v>
      </c>
      <c r="C657" s="22" t="s">
        <v>974</v>
      </c>
      <c r="D657" s="51" t="s">
        <v>966</v>
      </c>
      <c r="E657" s="24" t="s">
        <v>166</v>
      </c>
      <c r="F657" s="24"/>
      <c r="G657" s="24" t="s">
        <v>201</v>
      </c>
      <c r="H657" s="24" t="s">
        <v>62</v>
      </c>
      <c r="I657" s="24">
        <v>2012</v>
      </c>
      <c r="J657" s="24"/>
      <c r="K657" s="24" t="s">
        <v>63</v>
      </c>
      <c r="L657" s="24" t="s">
        <v>64</v>
      </c>
      <c r="M657" s="24">
        <v>40</v>
      </c>
      <c r="N657" s="41">
        <f t="shared" si="454"/>
        <v>148500</v>
      </c>
      <c r="O657" s="41">
        <v>5940000</v>
      </c>
      <c r="P657" s="24"/>
      <c r="Q657" s="24"/>
      <c r="R657" s="24"/>
      <c r="S657" s="41">
        <f t="shared" si="455"/>
        <v>5940000</v>
      </c>
      <c r="T657" s="24">
        <v>5</v>
      </c>
      <c r="U657" s="41"/>
      <c r="V657" s="24">
        <v>0.5</v>
      </c>
      <c r="W657" s="41">
        <f t="shared" si="456"/>
        <v>0</v>
      </c>
      <c r="X657" s="24"/>
      <c r="Y657" s="41">
        <f t="shared" si="457"/>
        <v>0</v>
      </c>
      <c r="Z657" s="41">
        <f t="shared" si="458"/>
        <v>0</v>
      </c>
      <c r="AA657" s="24">
        <v>5</v>
      </c>
      <c r="AB657" s="41">
        <v>5940000</v>
      </c>
      <c r="AC657" s="41">
        <f t="shared" si="453"/>
        <v>0</v>
      </c>
      <c r="AD657" s="70" t="s">
        <v>610</v>
      </c>
      <c r="AE657" s="70"/>
      <c r="AF657" s="1">
        <v>5940000</v>
      </c>
      <c r="AG657" s="5">
        <f t="shared" si="410"/>
        <v>0</v>
      </c>
      <c r="AH657" s="5"/>
    </row>
    <row r="658" spans="1:34" s="1" customFormat="1" ht="10.5" x14ac:dyDescent="0.25">
      <c r="A658" s="49">
        <v>161</v>
      </c>
      <c r="B658" s="22" t="s">
        <v>1724</v>
      </c>
      <c r="C658" s="22" t="s">
        <v>975</v>
      </c>
      <c r="D658" s="51" t="s">
        <v>966</v>
      </c>
      <c r="E658" s="24" t="s">
        <v>166</v>
      </c>
      <c r="F658" s="24"/>
      <c r="G658" s="24" t="s">
        <v>201</v>
      </c>
      <c r="H658" s="24" t="s">
        <v>62</v>
      </c>
      <c r="I658" s="24">
        <v>2012</v>
      </c>
      <c r="J658" s="24"/>
      <c r="K658" s="24" t="s">
        <v>63</v>
      </c>
      <c r="L658" s="24" t="s">
        <v>64</v>
      </c>
      <c r="M658" s="24">
        <v>40</v>
      </c>
      <c r="N658" s="41">
        <f t="shared" si="454"/>
        <v>148500</v>
      </c>
      <c r="O658" s="41">
        <v>5940000</v>
      </c>
      <c r="P658" s="24"/>
      <c r="Q658" s="24"/>
      <c r="R658" s="24"/>
      <c r="S658" s="41">
        <f t="shared" si="455"/>
        <v>5940000</v>
      </c>
      <c r="T658" s="24">
        <v>5</v>
      </c>
      <c r="U658" s="41"/>
      <c r="V658" s="24">
        <v>0.5</v>
      </c>
      <c r="W658" s="41">
        <f t="shared" si="456"/>
        <v>0</v>
      </c>
      <c r="X658" s="24"/>
      <c r="Y658" s="41">
        <f t="shared" si="457"/>
        <v>0</v>
      </c>
      <c r="Z658" s="41">
        <f t="shared" si="458"/>
        <v>0</v>
      </c>
      <c r="AA658" s="24">
        <v>5</v>
      </c>
      <c r="AB658" s="41">
        <v>5940000</v>
      </c>
      <c r="AC658" s="41">
        <f t="shared" si="453"/>
        <v>0</v>
      </c>
      <c r="AD658" s="70" t="s">
        <v>612</v>
      </c>
      <c r="AE658" s="70"/>
      <c r="AF658" s="1">
        <v>5940000</v>
      </c>
      <c r="AG658" s="5">
        <f t="shared" si="410"/>
        <v>0</v>
      </c>
      <c r="AH658" s="5"/>
    </row>
    <row r="659" spans="1:34" s="1" customFormat="1" ht="10.5" x14ac:dyDescent="0.25">
      <c r="A659" s="49">
        <v>162</v>
      </c>
      <c r="B659" s="22" t="s">
        <v>1724</v>
      </c>
      <c r="C659" s="22" t="s">
        <v>718</v>
      </c>
      <c r="D659" s="51" t="s">
        <v>976</v>
      </c>
      <c r="E659" s="24" t="s">
        <v>166</v>
      </c>
      <c r="F659" s="24"/>
      <c r="G659" s="24" t="s">
        <v>712</v>
      </c>
      <c r="H659" s="24" t="s">
        <v>62</v>
      </c>
      <c r="I659" s="24">
        <v>2005</v>
      </c>
      <c r="J659" s="24"/>
      <c r="K659" s="24" t="s">
        <v>63</v>
      </c>
      <c r="L659" s="24" t="s">
        <v>212</v>
      </c>
      <c r="M659" s="24">
        <v>40</v>
      </c>
      <c r="N659" s="41">
        <f t="shared" si="454"/>
        <v>1395000</v>
      </c>
      <c r="O659" s="41">
        <v>55800000</v>
      </c>
      <c r="P659" s="24"/>
      <c r="Q659" s="24"/>
      <c r="R659" s="24"/>
      <c r="S659" s="41">
        <f t="shared" si="455"/>
        <v>55800000</v>
      </c>
      <c r="T659" s="24">
        <v>5</v>
      </c>
      <c r="U659" s="41"/>
      <c r="V659" s="24">
        <v>0.5</v>
      </c>
      <c r="W659" s="41">
        <f t="shared" si="456"/>
        <v>0</v>
      </c>
      <c r="X659" s="24"/>
      <c r="Y659" s="41">
        <f t="shared" si="457"/>
        <v>0</v>
      </c>
      <c r="Z659" s="41">
        <f t="shared" si="458"/>
        <v>0</v>
      </c>
      <c r="AA659" s="24">
        <v>5</v>
      </c>
      <c r="AB659" s="41">
        <v>55800000</v>
      </c>
      <c r="AC659" s="41">
        <f t="shared" si="453"/>
        <v>0</v>
      </c>
      <c r="AD659" s="70" t="s">
        <v>962</v>
      </c>
      <c r="AE659" s="70"/>
      <c r="AF659" s="1">
        <v>55800000</v>
      </c>
      <c r="AG659" s="5">
        <f t="shared" si="410"/>
        <v>0</v>
      </c>
      <c r="AH659" s="5"/>
    </row>
    <row r="660" spans="1:34" s="1" customFormat="1" ht="10.5" x14ac:dyDescent="0.25">
      <c r="A660" s="49">
        <v>163</v>
      </c>
      <c r="B660" s="22" t="s">
        <v>1724</v>
      </c>
      <c r="C660" s="22" t="s">
        <v>896</v>
      </c>
      <c r="D660" s="51" t="s">
        <v>977</v>
      </c>
      <c r="E660" s="24" t="s">
        <v>978</v>
      </c>
      <c r="F660" s="24"/>
      <c r="G660" s="24" t="s">
        <v>712</v>
      </c>
      <c r="H660" s="24" t="s">
        <v>62</v>
      </c>
      <c r="I660" s="24">
        <v>2012</v>
      </c>
      <c r="J660" s="24"/>
      <c r="K660" s="24" t="s">
        <v>63</v>
      </c>
      <c r="L660" s="24" t="s">
        <v>64</v>
      </c>
      <c r="M660" s="24">
        <v>2</v>
      </c>
      <c r="N660" s="41">
        <f t="shared" si="454"/>
        <v>2475000</v>
      </c>
      <c r="O660" s="41">
        <v>4950000</v>
      </c>
      <c r="P660" s="24"/>
      <c r="Q660" s="24"/>
      <c r="R660" s="24"/>
      <c r="S660" s="41">
        <f t="shared" si="455"/>
        <v>4950000</v>
      </c>
      <c r="T660" s="24">
        <v>5</v>
      </c>
      <c r="U660" s="41"/>
      <c r="V660" s="24">
        <v>0.5</v>
      </c>
      <c r="W660" s="41">
        <f t="shared" si="456"/>
        <v>0</v>
      </c>
      <c r="X660" s="24"/>
      <c r="Y660" s="41">
        <f t="shared" si="457"/>
        <v>0</v>
      </c>
      <c r="Z660" s="41">
        <f t="shared" si="458"/>
        <v>0</v>
      </c>
      <c r="AA660" s="24">
        <v>5</v>
      </c>
      <c r="AB660" s="41">
        <v>4950000</v>
      </c>
      <c r="AC660" s="41">
        <f t="shared" si="453"/>
        <v>0</v>
      </c>
      <c r="AD660" s="70" t="s">
        <v>348</v>
      </c>
      <c r="AE660" s="70"/>
      <c r="AF660" s="1">
        <v>4950000</v>
      </c>
      <c r="AG660" s="5">
        <f t="shared" si="410"/>
        <v>0</v>
      </c>
      <c r="AH660" s="5"/>
    </row>
    <row r="661" spans="1:34" s="1" customFormat="1" ht="10.5" x14ac:dyDescent="0.25">
      <c r="A661" s="49">
        <v>164</v>
      </c>
      <c r="B661" s="22" t="s">
        <v>1724</v>
      </c>
      <c r="C661" s="22" t="s">
        <v>979</v>
      </c>
      <c r="D661" s="51" t="s">
        <v>977</v>
      </c>
      <c r="E661" s="24" t="s">
        <v>978</v>
      </c>
      <c r="F661" s="24"/>
      <c r="G661" s="24" t="s">
        <v>712</v>
      </c>
      <c r="H661" s="24" t="s">
        <v>62</v>
      </c>
      <c r="I661" s="24">
        <v>2012</v>
      </c>
      <c r="J661" s="24"/>
      <c r="K661" s="24" t="s">
        <v>63</v>
      </c>
      <c r="L661" s="24" t="s">
        <v>64</v>
      </c>
      <c r="M661" s="24">
        <v>28</v>
      </c>
      <c r="N661" s="41">
        <f t="shared" si="454"/>
        <v>2475000</v>
      </c>
      <c r="O661" s="41">
        <v>69300000</v>
      </c>
      <c r="P661" s="24"/>
      <c r="Q661" s="24"/>
      <c r="R661" s="24"/>
      <c r="S661" s="41">
        <f t="shared" si="455"/>
        <v>69300000</v>
      </c>
      <c r="T661" s="24">
        <v>5</v>
      </c>
      <c r="U661" s="41"/>
      <c r="V661" s="24">
        <v>0.5</v>
      </c>
      <c r="W661" s="41">
        <f t="shared" si="456"/>
        <v>0</v>
      </c>
      <c r="X661" s="24"/>
      <c r="Y661" s="41">
        <f t="shared" si="457"/>
        <v>0</v>
      </c>
      <c r="Z661" s="41">
        <f t="shared" si="458"/>
        <v>0</v>
      </c>
      <c r="AA661" s="24">
        <v>5</v>
      </c>
      <c r="AB661" s="41">
        <v>69300000</v>
      </c>
      <c r="AC661" s="41">
        <f t="shared" si="453"/>
        <v>0</v>
      </c>
      <c r="AD661" s="70" t="s">
        <v>942</v>
      </c>
      <c r="AE661" s="70"/>
      <c r="AF661" s="1">
        <v>69300000</v>
      </c>
      <c r="AG661" s="5">
        <f t="shared" si="410"/>
        <v>0</v>
      </c>
      <c r="AH661" s="5"/>
    </row>
    <row r="662" spans="1:34" s="1" customFormat="1" ht="10.5" x14ac:dyDescent="0.25">
      <c r="A662" s="49">
        <v>165</v>
      </c>
      <c r="B662" s="22" t="s">
        <v>1724</v>
      </c>
      <c r="C662" s="22" t="s">
        <v>980</v>
      </c>
      <c r="D662" s="51" t="s">
        <v>977</v>
      </c>
      <c r="E662" s="24" t="s">
        <v>978</v>
      </c>
      <c r="F662" s="24"/>
      <c r="G662" s="24" t="s">
        <v>712</v>
      </c>
      <c r="H662" s="24" t="s">
        <v>62</v>
      </c>
      <c r="I662" s="24">
        <v>2012</v>
      </c>
      <c r="J662" s="24"/>
      <c r="K662" s="24" t="s">
        <v>63</v>
      </c>
      <c r="L662" s="24" t="s">
        <v>64</v>
      </c>
      <c r="M662" s="24">
        <v>2</v>
      </c>
      <c r="N662" s="41">
        <f t="shared" si="454"/>
        <v>2475000</v>
      </c>
      <c r="O662" s="41">
        <v>4950000</v>
      </c>
      <c r="P662" s="24"/>
      <c r="Q662" s="24"/>
      <c r="R662" s="24"/>
      <c r="S662" s="41">
        <f t="shared" si="455"/>
        <v>4950000</v>
      </c>
      <c r="T662" s="24">
        <v>5</v>
      </c>
      <c r="U662" s="41"/>
      <c r="V662" s="24">
        <v>0.5</v>
      </c>
      <c r="W662" s="41">
        <f t="shared" si="456"/>
        <v>0</v>
      </c>
      <c r="X662" s="24"/>
      <c r="Y662" s="41">
        <f t="shared" si="457"/>
        <v>0</v>
      </c>
      <c r="Z662" s="41">
        <f t="shared" si="458"/>
        <v>0</v>
      </c>
      <c r="AA662" s="24">
        <v>5</v>
      </c>
      <c r="AB662" s="41">
        <v>4950000</v>
      </c>
      <c r="AC662" s="41">
        <f t="shared" si="453"/>
        <v>0</v>
      </c>
      <c r="AD662" s="70" t="s">
        <v>351</v>
      </c>
      <c r="AE662" s="70"/>
      <c r="AF662" s="1">
        <v>4950000</v>
      </c>
      <c r="AG662" s="5">
        <f t="shared" si="410"/>
        <v>0</v>
      </c>
      <c r="AH662" s="5"/>
    </row>
    <row r="663" spans="1:34" s="1" customFormat="1" ht="10.5" x14ac:dyDescent="0.25">
      <c r="A663" s="49">
        <v>166</v>
      </c>
      <c r="B663" s="22" t="s">
        <v>1724</v>
      </c>
      <c r="C663" s="22" t="s">
        <v>981</v>
      </c>
      <c r="D663" s="51" t="s">
        <v>977</v>
      </c>
      <c r="E663" s="24" t="s">
        <v>978</v>
      </c>
      <c r="F663" s="24"/>
      <c r="G663" s="24" t="s">
        <v>712</v>
      </c>
      <c r="H663" s="24" t="s">
        <v>62</v>
      </c>
      <c r="I663" s="24">
        <v>2012</v>
      </c>
      <c r="J663" s="24"/>
      <c r="K663" s="24" t="s">
        <v>63</v>
      </c>
      <c r="L663" s="24" t="s">
        <v>64</v>
      </c>
      <c r="M663" s="24">
        <v>36</v>
      </c>
      <c r="N663" s="41">
        <f t="shared" si="454"/>
        <v>2475000</v>
      </c>
      <c r="O663" s="41">
        <v>89100000</v>
      </c>
      <c r="P663" s="24"/>
      <c r="Q663" s="24"/>
      <c r="R663" s="24"/>
      <c r="S663" s="41">
        <f t="shared" si="455"/>
        <v>89100000</v>
      </c>
      <c r="T663" s="24">
        <v>5</v>
      </c>
      <c r="U663" s="41"/>
      <c r="V663" s="24">
        <v>0.5</v>
      </c>
      <c r="W663" s="41">
        <f t="shared" si="456"/>
        <v>0</v>
      </c>
      <c r="X663" s="24"/>
      <c r="Y663" s="41">
        <f t="shared" si="457"/>
        <v>0</v>
      </c>
      <c r="Z663" s="41">
        <f t="shared" si="458"/>
        <v>0</v>
      </c>
      <c r="AA663" s="24">
        <v>5</v>
      </c>
      <c r="AB663" s="41">
        <v>89100000</v>
      </c>
      <c r="AC663" s="41">
        <f t="shared" si="453"/>
        <v>0</v>
      </c>
      <c r="AD663" s="70" t="s">
        <v>354</v>
      </c>
      <c r="AE663" s="70"/>
      <c r="AF663" s="1">
        <v>89100000</v>
      </c>
      <c r="AG663" s="5">
        <f t="shared" si="410"/>
        <v>0</v>
      </c>
      <c r="AH663" s="5"/>
    </row>
    <row r="664" spans="1:34" s="1" customFormat="1" ht="10.5" x14ac:dyDescent="0.25">
      <c r="A664" s="49">
        <v>167</v>
      </c>
      <c r="B664" s="22" t="s">
        <v>1725</v>
      </c>
      <c r="C664" s="22" t="s">
        <v>58</v>
      </c>
      <c r="D664" s="51" t="s">
        <v>836</v>
      </c>
      <c r="E664" s="24" t="s">
        <v>166</v>
      </c>
      <c r="F664" s="24"/>
      <c r="G664" s="24" t="s">
        <v>319</v>
      </c>
      <c r="H664" s="24" t="s">
        <v>62</v>
      </c>
      <c r="I664" s="24">
        <v>2012</v>
      </c>
      <c r="J664" s="24"/>
      <c r="K664" s="24" t="s">
        <v>63</v>
      </c>
      <c r="L664" s="24" t="s">
        <v>64</v>
      </c>
      <c r="M664" s="24">
        <v>1</v>
      </c>
      <c r="N664" s="41">
        <f t="shared" si="454"/>
        <v>6010300</v>
      </c>
      <c r="O664" s="41">
        <v>6010300</v>
      </c>
      <c r="P664" s="24"/>
      <c r="Q664" s="24"/>
      <c r="R664" s="24"/>
      <c r="S664" s="41">
        <f t="shared" si="455"/>
        <v>6010300</v>
      </c>
      <c r="T664" s="24">
        <v>5</v>
      </c>
      <c r="U664" s="41"/>
      <c r="V664" s="24">
        <v>0.5</v>
      </c>
      <c r="W664" s="41">
        <f t="shared" si="456"/>
        <v>0</v>
      </c>
      <c r="X664" s="24"/>
      <c r="Y664" s="41">
        <f t="shared" si="457"/>
        <v>0</v>
      </c>
      <c r="Z664" s="41">
        <f t="shared" si="458"/>
        <v>0</v>
      </c>
      <c r="AA664" s="24">
        <v>5</v>
      </c>
      <c r="AB664" s="41">
        <v>6010300</v>
      </c>
      <c r="AC664" s="41">
        <f t="shared" si="453"/>
        <v>0</v>
      </c>
      <c r="AD664" s="70" t="s">
        <v>630</v>
      </c>
      <c r="AE664" s="70"/>
      <c r="AF664" s="1">
        <v>6010300</v>
      </c>
      <c r="AG664" s="5">
        <f t="shared" si="410"/>
        <v>0</v>
      </c>
      <c r="AH664" s="5"/>
    </row>
    <row r="665" spans="1:34" s="1" customFormat="1" ht="10.5" x14ac:dyDescent="0.25">
      <c r="A665" s="49">
        <v>168</v>
      </c>
      <c r="B665" s="22" t="s">
        <v>1725</v>
      </c>
      <c r="C665" s="22" t="s">
        <v>837</v>
      </c>
      <c r="D665" s="51" t="s">
        <v>836</v>
      </c>
      <c r="E665" s="24" t="s">
        <v>166</v>
      </c>
      <c r="F665" s="24"/>
      <c r="G665" s="24" t="s">
        <v>319</v>
      </c>
      <c r="H665" s="24" t="s">
        <v>62</v>
      </c>
      <c r="I665" s="24">
        <v>2012</v>
      </c>
      <c r="J665" s="24"/>
      <c r="K665" s="24" t="s">
        <v>63</v>
      </c>
      <c r="L665" s="24" t="s">
        <v>64</v>
      </c>
      <c r="M665" s="24">
        <v>20</v>
      </c>
      <c r="N665" s="41">
        <f t="shared" si="454"/>
        <v>2005975</v>
      </c>
      <c r="O665" s="41">
        <v>40119500</v>
      </c>
      <c r="P665" s="24"/>
      <c r="Q665" s="24"/>
      <c r="R665" s="24"/>
      <c r="S665" s="41">
        <f t="shared" si="455"/>
        <v>40119500</v>
      </c>
      <c r="T665" s="24">
        <v>5</v>
      </c>
      <c r="U665" s="41"/>
      <c r="V665" s="24">
        <v>0.5</v>
      </c>
      <c r="W665" s="41">
        <f t="shared" si="456"/>
        <v>0</v>
      </c>
      <c r="X665" s="24"/>
      <c r="Y665" s="41">
        <f t="shared" si="457"/>
        <v>0</v>
      </c>
      <c r="Z665" s="41">
        <f t="shared" si="458"/>
        <v>0</v>
      </c>
      <c r="AA665" s="24">
        <v>5</v>
      </c>
      <c r="AB665" s="41">
        <v>40119500</v>
      </c>
      <c r="AC665" s="41">
        <f t="shared" si="453"/>
        <v>0</v>
      </c>
      <c r="AD665" s="70" t="s">
        <v>357</v>
      </c>
      <c r="AE665" s="70"/>
      <c r="AF665" s="1">
        <v>40119500</v>
      </c>
      <c r="AG665" s="5">
        <f t="shared" si="410"/>
        <v>0</v>
      </c>
      <c r="AH665" s="5"/>
    </row>
    <row r="666" spans="1:34" s="1" customFormat="1" ht="10.5" x14ac:dyDescent="0.25">
      <c r="A666" s="49">
        <v>169</v>
      </c>
      <c r="B666" s="22" t="s">
        <v>1726</v>
      </c>
      <c r="C666" s="22" t="s">
        <v>58</v>
      </c>
      <c r="D666" s="51" t="s">
        <v>587</v>
      </c>
      <c r="E666" s="24" t="s">
        <v>471</v>
      </c>
      <c r="F666" s="24"/>
      <c r="G666" s="24" t="s">
        <v>194</v>
      </c>
      <c r="H666" s="24" t="s">
        <v>62</v>
      </c>
      <c r="I666" s="24">
        <v>2015</v>
      </c>
      <c r="J666" s="24"/>
      <c r="K666" s="24" t="s">
        <v>63</v>
      </c>
      <c r="L666" s="24" t="s">
        <v>64</v>
      </c>
      <c r="M666" s="24">
        <v>1</v>
      </c>
      <c r="N666" s="41">
        <f t="shared" ref="N666:N672" si="459">SUM(O666/M666)</f>
        <v>3000000</v>
      </c>
      <c r="O666" s="41">
        <v>3000000</v>
      </c>
      <c r="P666" s="24"/>
      <c r="Q666" s="24"/>
      <c r="R666" s="24"/>
      <c r="S666" s="41">
        <f t="shared" ref="S666:S672" si="460">SUM(O666-R666)</f>
        <v>3000000</v>
      </c>
      <c r="T666" s="24">
        <v>5</v>
      </c>
      <c r="U666" s="41">
        <f t="shared" ref="U666:U668" si="461">SUM(S666/T666)</f>
        <v>600000</v>
      </c>
      <c r="V666" s="24">
        <v>0.5</v>
      </c>
      <c r="W666" s="41"/>
      <c r="X666" s="24"/>
      <c r="Y666" s="41">
        <f t="shared" ref="Y666:Y672" si="462">SUM(U666*X666)</f>
        <v>0</v>
      </c>
      <c r="Z666" s="41"/>
      <c r="AA666" s="72">
        <v>5</v>
      </c>
      <c r="AB666" s="41">
        <f t="shared" ref="AB666:AB668" si="463">SUM(U666*AA666)</f>
        <v>3000000</v>
      </c>
      <c r="AC666" s="41">
        <f t="shared" si="453"/>
        <v>0</v>
      </c>
      <c r="AD666" s="70" t="s">
        <v>588</v>
      </c>
      <c r="AE666" s="70"/>
      <c r="AF666" s="1">
        <v>3000000</v>
      </c>
      <c r="AG666" s="5">
        <f t="shared" si="410"/>
        <v>0</v>
      </c>
      <c r="AH666" s="5"/>
    </row>
    <row r="667" spans="1:34" s="1" customFormat="1" ht="10.5" x14ac:dyDescent="0.25">
      <c r="A667" s="49">
        <v>170</v>
      </c>
      <c r="B667" s="22" t="s">
        <v>1726</v>
      </c>
      <c r="C667" s="22" t="s">
        <v>75</v>
      </c>
      <c r="D667" s="51" t="s">
        <v>587</v>
      </c>
      <c r="E667" s="24" t="s">
        <v>471</v>
      </c>
      <c r="F667" s="24"/>
      <c r="G667" s="24" t="s">
        <v>194</v>
      </c>
      <c r="H667" s="24" t="s">
        <v>62</v>
      </c>
      <c r="I667" s="24">
        <v>2015</v>
      </c>
      <c r="J667" s="24"/>
      <c r="K667" s="24" t="s">
        <v>63</v>
      </c>
      <c r="L667" s="24" t="s">
        <v>64</v>
      </c>
      <c r="M667" s="24">
        <v>1</v>
      </c>
      <c r="N667" s="41">
        <f t="shared" si="459"/>
        <v>3000000</v>
      </c>
      <c r="O667" s="41">
        <v>3000000</v>
      </c>
      <c r="P667" s="24"/>
      <c r="Q667" s="24"/>
      <c r="R667" s="24"/>
      <c r="S667" s="41">
        <f t="shared" si="460"/>
        <v>3000000</v>
      </c>
      <c r="T667" s="24">
        <v>5</v>
      </c>
      <c r="U667" s="41">
        <f t="shared" si="461"/>
        <v>600000</v>
      </c>
      <c r="V667" s="24">
        <v>0.5</v>
      </c>
      <c r="W667" s="41"/>
      <c r="X667" s="24"/>
      <c r="Y667" s="41">
        <f t="shared" si="462"/>
        <v>0</v>
      </c>
      <c r="Z667" s="41"/>
      <c r="AA667" s="72">
        <v>5</v>
      </c>
      <c r="AB667" s="41">
        <f t="shared" si="463"/>
        <v>3000000</v>
      </c>
      <c r="AC667" s="41">
        <f t="shared" si="453"/>
        <v>0</v>
      </c>
      <c r="AD667" s="70" t="s">
        <v>237</v>
      </c>
      <c r="AE667" s="70"/>
      <c r="AF667" s="1">
        <v>3000000</v>
      </c>
      <c r="AG667" s="5">
        <f t="shared" si="410"/>
        <v>0</v>
      </c>
      <c r="AH667" s="5"/>
    </row>
    <row r="668" spans="1:34" s="1" customFormat="1" ht="10.5" x14ac:dyDescent="0.25">
      <c r="A668" s="49">
        <v>171</v>
      </c>
      <c r="B668" s="22" t="s">
        <v>1726</v>
      </c>
      <c r="C668" s="22" t="s">
        <v>79</v>
      </c>
      <c r="D668" s="51" t="s">
        <v>587</v>
      </c>
      <c r="E668" s="24" t="s">
        <v>471</v>
      </c>
      <c r="F668" s="24"/>
      <c r="G668" s="24" t="s">
        <v>194</v>
      </c>
      <c r="H668" s="24" t="s">
        <v>62</v>
      </c>
      <c r="I668" s="24">
        <v>2015</v>
      </c>
      <c r="J668" s="24"/>
      <c r="K668" s="24" t="s">
        <v>63</v>
      </c>
      <c r="L668" s="24" t="s">
        <v>64</v>
      </c>
      <c r="M668" s="24">
        <v>1</v>
      </c>
      <c r="N668" s="41">
        <f t="shared" si="459"/>
        <v>3000000</v>
      </c>
      <c r="O668" s="41">
        <v>3000000</v>
      </c>
      <c r="P668" s="24"/>
      <c r="Q668" s="24"/>
      <c r="R668" s="24"/>
      <c r="S668" s="41">
        <f t="shared" si="460"/>
        <v>3000000</v>
      </c>
      <c r="T668" s="24">
        <v>5</v>
      </c>
      <c r="U668" s="41">
        <f t="shared" si="461"/>
        <v>600000</v>
      </c>
      <c r="V668" s="24">
        <v>0.5</v>
      </c>
      <c r="W668" s="41"/>
      <c r="X668" s="24"/>
      <c r="Y668" s="41">
        <f t="shared" si="462"/>
        <v>0</v>
      </c>
      <c r="Z668" s="41"/>
      <c r="AA668" s="72">
        <v>5</v>
      </c>
      <c r="AB668" s="41">
        <f t="shared" si="463"/>
        <v>3000000</v>
      </c>
      <c r="AC668" s="41">
        <f t="shared" si="453"/>
        <v>0</v>
      </c>
      <c r="AD668" s="70" t="s">
        <v>239</v>
      </c>
      <c r="AE668" s="70"/>
      <c r="AF668" s="1">
        <v>3000000</v>
      </c>
      <c r="AG668" s="5">
        <f t="shared" si="410"/>
        <v>0</v>
      </c>
      <c r="AH668" s="5"/>
    </row>
    <row r="669" spans="1:34" s="1" customFormat="1" ht="10.5" x14ac:dyDescent="0.25">
      <c r="A669" s="49">
        <v>172</v>
      </c>
      <c r="B669" s="22" t="s">
        <v>1727</v>
      </c>
      <c r="C669" s="22" t="s">
        <v>619</v>
      </c>
      <c r="D669" s="51" t="s">
        <v>620</v>
      </c>
      <c r="E669" s="24" t="s">
        <v>166</v>
      </c>
      <c r="F669" s="24"/>
      <c r="G669" s="24" t="s">
        <v>201</v>
      </c>
      <c r="H669" s="24" t="s">
        <v>62</v>
      </c>
      <c r="I669" s="24">
        <v>2012</v>
      </c>
      <c r="J669" s="24"/>
      <c r="K669" s="24" t="s">
        <v>63</v>
      </c>
      <c r="L669" s="24" t="s">
        <v>64</v>
      </c>
      <c r="M669" s="24">
        <v>64</v>
      </c>
      <c r="N669" s="41">
        <f t="shared" si="459"/>
        <v>247500</v>
      </c>
      <c r="O669" s="41">
        <v>15840000</v>
      </c>
      <c r="P669" s="24"/>
      <c r="Q669" s="24"/>
      <c r="R669" s="24"/>
      <c r="S669" s="41">
        <f t="shared" si="460"/>
        <v>15840000</v>
      </c>
      <c r="T669" s="24">
        <v>5</v>
      </c>
      <c r="U669" s="41"/>
      <c r="V669" s="24">
        <v>0.5</v>
      </c>
      <c r="W669" s="41">
        <f t="shared" ref="W669:W672" si="464">SUM(U669*V669)</f>
        <v>0</v>
      </c>
      <c r="X669" s="24"/>
      <c r="Y669" s="41">
        <f t="shared" si="462"/>
        <v>0</v>
      </c>
      <c r="Z669" s="41">
        <f t="shared" ref="Z669:Z672" si="465">SUM(W669+Y669)</f>
        <v>0</v>
      </c>
      <c r="AA669" s="24">
        <v>5</v>
      </c>
      <c r="AB669" s="41">
        <v>15840000</v>
      </c>
      <c r="AC669" s="41">
        <f t="shared" si="453"/>
        <v>0</v>
      </c>
      <c r="AD669" s="70" t="s">
        <v>350</v>
      </c>
      <c r="AE669" s="70"/>
      <c r="AF669" s="1">
        <v>15840000</v>
      </c>
      <c r="AG669" s="5">
        <f t="shared" si="410"/>
        <v>0</v>
      </c>
      <c r="AH669" s="5"/>
    </row>
    <row r="670" spans="1:34" s="1" customFormat="1" ht="10.5" x14ac:dyDescent="0.25">
      <c r="A670" s="49">
        <v>173</v>
      </c>
      <c r="B670" s="22" t="s">
        <v>1727</v>
      </c>
      <c r="C670" s="22" t="s">
        <v>621</v>
      </c>
      <c r="D670" s="51" t="s">
        <v>620</v>
      </c>
      <c r="E670" s="24" t="s">
        <v>166</v>
      </c>
      <c r="F670" s="24"/>
      <c r="G670" s="24" t="s">
        <v>201</v>
      </c>
      <c r="H670" s="24" t="s">
        <v>62</v>
      </c>
      <c r="I670" s="24">
        <v>2012</v>
      </c>
      <c r="J670" s="24"/>
      <c r="K670" s="24" t="s">
        <v>63</v>
      </c>
      <c r="L670" s="24" t="s">
        <v>64</v>
      </c>
      <c r="M670" s="24">
        <v>80</v>
      </c>
      <c r="N670" s="41">
        <f t="shared" si="459"/>
        <v>247500</v>
      </c>
      <c r="O670" s="41">
        <v>19800000</v>
      </c>
      <c r="P670" s="24"/>
      <c r="Q670" s="24"/>
      <c r="R670" s="24"/>
      <c r="S670" s="41">
        <f t="shared" si="460"/>
        <v>19800000</v>
      </c>
      <c r="T670" s="24">
        <v>5</v>
      </c>
      <c r="U670" s="41"/>
      <c r="V670" s="24">
        <v>0.5</v>
      </c>
      <c r="W670" s="41">
        <f t="shared" si="464"/>
        <v>0</v>
      </c>
      <c r="X670" s="24"/>
      <c r="Y670" s="41">
        <f t="shared" si="462"/>
        <v>0</v>
      </c>
      <c r="Z670" s="41">
        <f t="shared" si="465"/>
        <v>0</v>
      </c>
      <c r="AA670" s="72">
        <v>5</v>
      </c>
      <c r="AB670" s="41">
        <v>19800000</v>
      </c>
      <c r="AC670" s="41">
        <f t="shared" si="453"/>
        <v>0</v>
      </c>
      <c r="AD670" s="70" t="s">
        <v>618</v>
      </c>
      <c r="AE670" s="70"/>
      <c r="AF670" s="1">
        <v>19800000</v>
      </c>
      <c r="AG670" s="5">
        <f t="shared" si="410"/>
        <v>0</v>
      </c>
      <c r="AH670" s="5"/>
    </row>
    <row r="671" spans="1:34" s="1" customFormat="1" ht="10.5" x14ac:dyDescent="0.25">
      <c r="A671" s="49">
        <v>174</v>
      </c>
      <c r="B671" s="22" t="s">
        <v>1727</v>
      </c>
      <c r="C671" s="22" t="s">
        <v>622</v>
      </c>
      <c r="D671" s="51" t="s">
        <v>620</v>
      </c>
      <c r="E671" s="24" t="s">
        <v>166</v>
      </c>
      <c r="F671" s="24"/>
      <c r="G671" s="24" t="s">
        <v>201</v>
      </c>
      <c r="H671" s="24" t="s">
        <v>62</v>
      </c>
      <c r="I671" s="24">
        <v>2012</v>
      </c>
      <c r="J671" s="24"/>
      <c r="K671" s="24" t="s">
        <v>63</v>
      </c>
      <c r="L671" s="24" t="s">
        <v>64</v>
      </c>
      <c r="M671" s="24">
        <v>72</v>
      </c>
      <c r="N671" s="41">
        <f t="shared" si="459"/>
        <v>247500</v>
      </c>
      <c r="O671" s="41">
        <v>17820000</v>
      </c>
      <c r="P671" s="24"/>
      <c r="Q671" s="24"/>
      <c r="R671" s="24"/>
      <c r="S671" s="41">
        <f t="shared" si="460"/>
        <v>17820000</v>
      </c>
      <c r="T671" s="24">
        <v>5</v>
      </c>
      <c r="U671" s="41"/>
      <c r="V671" s="24">
        <v>0.5</v>
      </c>
      <c r="W671" s="41">
        <f t="shared" si="464"/>
        <v>0</v>
      </c>
      <c r="X671" s="24"/>
      <c r="Y671" s="53">
        <f t="shared" si="462"/>
        <v>0</v>
      </c>
      <c r="Z671" s="53">
        <f t="shared" si="465"/>
        <v>0</v>
      </c>
      <c r="AA671" s="57">
        <v>5</v>
      </c>
      <c r="AB671" s="53">
        <v>17820000</v>
      </c>
      <c r="AC671" s="53">
        <f t="shared" si="453"/>
        <v>0</v>
      </c>
      <c r="AD671" s="56" t="s">
        <v>354</v>
      </c>
      <c r="AE671" s="70"/>
      <c r="AF671" s="1">
        <v>17820000</v>
      </c>
      <c r="AG671" s="5">
        <f t="shared" si="410"/>
        <v>0</v>
      </c>
      <c r="AH671" s="5"/>
    </row>
    <row r="672" spans="1:34" s="1" customFormat="1" ht="10.5" x14ac:dyDescent="0.25">
      <c r="A672" s="49">
        <v>175</v>
      </c>
      <c r="B672" s="50" t="s">
        <v>1728</v>
      </c>
      <c r="C672" s="22" t="s">
        <v>58</v>
      </c>
      <c r="D672" s="51" t="s">
        <v>193</v>
      </c>
      <c r="E672" s="24" t="s">
        <v>166</v>
      </c>
      <c r="F672" s="24"/>
      <c r="G672" s="24" t="s">
        <v>194</v>
      </c>
      <c r="H672" s="24" t="s">
        <v>62</v>
      </c>
      <c r="I672" s="24">
        <v>2014</v>
      </c>
      <c r="J672" s="24"/>
      <c r="K672" s="24" t="s">
        <v>63</v>
      </c>
      <c r="L672" s="24" t="s">
        <v>64</v>
      </c>
      <c r="M672" s="24">
        <v>1</v>
      </c>
      <c r="N672" s="41">
        <f t="shared" si="459"/>
        <v>193600000</v>
      </c>
      <c r="O672" s="41">
        <v>193600000</v>
      </c>
      <c r="P672" s="24"/>
      <c r="Q672" s="24"/>
      <c r="R672" s="24"/>
      <c r="S672" s="41">
        <f t="shared" si="460"/>
        <v>193600000</v>
      </c>
      <c r="T672" s="24">
        <v>5</v>
      </c>
      <c r="U672" s="41"/>
      <c r="V672" s="24">
        <v>0.5</v>
      </c>
      <c r="W672" s="41">
        <f t="shared" si="464"/>
        <v>0</v>
      </c>
      <c r="X672" s="52"/>
      <c r="Y672" s="53">
        <f t="shared" si="462"/>
        <v>0</v>
      </c>
      <c r="Z672" s="53">
        <f t="shared" si="465"/>
        <v>0</v>
      </c>
      <c r="AA672" s="57">
        <v>5</v>
      </c>
      <c r="AB672" s="53">
        <v>193600000</v>
      </c>
      <c r="AC672" s="53">
        <f t="shared" si="453"/>
        <v>0</v>
      </c>
      <c r="AD672" s="56" t="s">
        <v>195</v>
      </c>
      <c r="AE672" s="70"/>
      <c r="AF672" s="1">
        <v>193600000</v>
      </c>
      <c r="AG672" s="5">
        <f t="shared" si="410"/>
        <v>0</v>
      </c>
      <c r="AH672" s="5"/>
    </row>
    <row r="673" spans="1:34" s="1" customFormat="1" ht="10.5" x14ac:dyDescent="0.25">
      <c r="A673" s="49">
        <v>176</v>
      </c>
      <c r="B673" s="22" t="s">
        <v>1729</v>
      </c>
      <c r="C673" s="22" t="s">
        <v>209</v>
      </c>
      <c r="D673" s="51" t="s">
        <v>927</v>
      </c>
      <c r="E673" s="24" t="s">
        <v>928</v>
      </c>
      <c r="F673" s="24"/>
      <c r="G673" s="24" t="s">
        <v>61</v>
      </c>
      <c r="H673" s="24" t="s">
        <v>62</v>
      </c>
      <c r="I673" s="24">
        <v>2011</v>
      </c>
      <c r="J673" s="24"/>
      <c r="K673" s="24" t="s">
        <v>63</v>
      </c>
      <c r="L673" s="24" t="s">
        <v>64</v>
      </c>
      <c r="M673" s="24">
        <v>2</v>
      </c>
      <c r="N673" s="41">
        <f t="shared" ref="N673:N674" si="466">SUM(O673/M673)</f>
        <v>2500000</v>
      </c>
      <c r="O673" s="41">
        <v>5000000</v>
      </c>
      <c r="P673" s="24"/>
      <c r="Q673" s="24"/>
      <c r="R673" s="24"/>
      <c r="S673" s="41">
        <f t="shared" ref="S673:S674" si="467">SUM(O673-R673)</f>
        <v>5000000</v>
      </c>
      <c r="T673" s="24">
        <v>5</v>
      </c>
      <c r="U673" s="41"/>
      <c r="V673" s="24">
        <v>0.5</v>
      </c>
      <c r="W673" s="41">
        <f t="shared" ref="W673:W674" si="468">SUM(U673*V673)</f>
        <v>0</v>
      </c>
      <c r="X673" s="24"/>
      <c r="Y673" s="41">
        <f t="shared" ref="Y673:Y674" si="469">SUM(U673*X673)</f>
        <v>0</v>
      </c>
      <c r="Z673" s="41">
        <f t="shared" ref="Z673:Z674" si="470">SUM(W673+Y673)</f>
        <v>0</v>
      </c>
      <c r="AA673" s="72">
        <v>5</v>
      </c>
      <c r="AB673" s="41">
        <v>5000000</v>
      </c>
      <c r="AC673" s="41">
        <f t="shared" si="453"/>
        <v>0</v>
      </c>
      <c r="AD673" s="70" t="s">
        <v>295</v>
      </c>
      <c r="AE673" s="70"/>
      <c r="AF673" s="1">
        <v>5000000</v>
      </c>
      <c r="AG673" s="5">
        <f t="shared" ref="AG673:AG683" si="471">AF673+Z673-AB673</f>
        <v>0</v>
      </c>
      <c r="AH673" s="5"/>
    </row>
    <row r="674" spans="1:34" s="1" customFormat="1" ht="10.5" x14ac:dyDescent="0.25">
      <c r="A674" s="49">
        <v>177</v>
      </c>
      <c r="B674" s="22" t="s">
        <v>1729</v>
      </c>
      <c r="C674" s="22" t="s">
        <v>84</v>
      </c>
      <c r="D674" s="51" t="s">
        <v>927</v>
      </c>
      <c r="E674" s="24" t="s">
        <v>928</v>
      </c>
      <c r="F674" s="24"/>
      <c r="G674" s="24" t="s">
        <v>61</v>
      </c>
      <c r="H674" s="24" t="s">
        <v>62</v>
      </c>
      <c r="I674" s="24">
        <v>2011</v>
      </c>
      <c r="J674" s="24"/>
      <c r="K674" s="24" t="s">
        <v>63</v>
      </c>
      <c r="L674" s="24" t="s">
        <v>64</v>
      </c>
      <c r="M674" s="24">
        <v>1</v>
      </c>
      <c r="N674" s="41">
        <f t="shared" si="466"/>
        <v>2500000</v>
      </c>
      <c r="O674" s="41">
        <v>2500000</v>
      </c>
      <c r="P674" s="24"/>
      <c r="Q674" s="24"/>
      <c r="R674" s="24"/>
      <c r="S674" s="41">
        <f t="shared" si="467"/>
        <v>2500000</v>
      </c>
      <c r="T674" s="24">
        <v>5</v>
      </c>
      <c r="U674" s="41"/>
      <c r="V674" s="24">
        <v>0.5</v>
      </c>
      <c r="W674" s="41">
        <f t="shared" si="468"/>
        <v>0</v>
      </c>
      <c r="X674" s="24"/>
      <c r="Y674" s="41">
        <f t="shared" si="469"/>
        <v>0</v>
      </c>
      <c r="Z674" s="41">
        <f t="shared" si="470"/>
        <v>0</v>
      </c>
      <c r="AA674" s="72">
        <v>5</v>
      </c>
      <c r="AB674" s="41">
        <v>2500000</v>
      </c>
      <c r="AC674" s="41">
        <f t="shared" si="453"/>
        <v>0</v>
      </c>
      <c r="AD674" s="70" t="s">
        <v>297</v>
      </c>
      <c r="AE674" s="70"/>
      <c r="AF674" s="1">
        <v>2500000</v>
      </c>
      <c r="AG674" s="5">
        <f t="shared" si="471"/>
        <v>0</v>
      </c>
      <c r="AH674" s="5"/>
    </row>
    <row r="675" spans="1:34" s="1" customFormat="1" ht="10.5" x14ac:dyDescent="0.25">
      <c r="A675" s="21"/>
      <c r="B675" s="22"/>
      <c r="C675" s="22"/>
      <c r="D675" s="51"/>
      <c r="E675" s="24"/>
      <c r="F675" s="24"/>
      <c r="G675" s="24"/>
      <c r="H675" s="24"/>
      <c r="I675" s="24"/>
      <c r="J675" s="24"/>
      <c r="K675" s="24"/>
      <c r="L675" s="24"/>
      <c r="M675" s="24"/>
      <c r="N675" s="41"/>
      <c r="O675" s="41"/>
      <c r="P675" s="24"/>
      <c r="Q675" s="24"/>
      <c r="R675" s="24"/>
      <c r="S675" s="41"/>
      <c r="T675" s="24"/>
      <c r="U675" s="41"/>
      <c r="V675" s="24"/>
      <c r="W675" s="41"/>
      <c r="X675" s="24"/>
      <c r="Y675" s="41"/>
      <c r="Z675" s="41"/>
      <c r="AA675" s="72"/>
      <c r="AB675" s="41"/>
      <c r="AC675" s="41"/>
      <c r="AD675" s="70"/>
      <c r="AE675" s="70"/>
      <c r="AG675" s="5">
        <f t="shared" si="471"/>
        <v>0</v>
      </c>
      <c r="AH675" s="5"/>
    </row>
    <row r="676" spans="1:34" s="1" customFormat="1" ht="10.5" x14ac:dyDescent="0.25">
      <c r="A676" s="25"/>
      <c r="B676" s="26" t="s">
        <v>1730</v>
      </c>
      <c r="C676" s="26"/>
      <c r="D676" s="27" t="s">
        <v>1731</v>
      </c>
      <c r="E676" s="28"/>
      <c r="F676" s="28"/>
      <c r="G676" s="28"/>
      <c r="H676" s="28"/>
      <c r="I676" s="28"/>
      <c r="J676" s="28"/>
      <c r="K676" s="28"/>
      <c r="L676" s="28"/>
      <c r="M676" s="28">
        <f>SUM(M677:M683)</f>
        <v>10</v>
      </c>
      <c r="N676" s="40"/>
      <c r="O676" s="40">
        <f>SUM(O677:O683)</f>
        <v>15066000</v>
      </c>
      <c r="P676" s="28"/>
      <c r="Q676" s="28"/>
      <c r="R676" s="28"/>
      <c r="S676" s="40">
        <f>SUM(S677:S683)</f>
        <v>15066000</v>
      </c>
      <c r="T676" s="28"/>
      <c r="U676" s="40">
        <f>SUM(U677:U683)</f>
        <v>3013200</v>
      </c>
      <c r="V676" s="28"/>
      <c r="W676" s="40">
        <f>SUM(W677)</f>
        <v>0</v>
      </c>
      <c r="X676" s="28"/>
      <c r="Y676" s="40"/>
      <c r="Z676" s="40">
        <f>SUM(Z677:Z683)</f>
        <v>0</v>
      </c>
      <c r="AA676" s="153"/>
      <c r="AB676" s="40">
        <f>SUM(AB677:AB683)</f>
        <v>15066000</v>
      </c>
      <c r="AC676" s="40">
        <f>SUM(AC677:AC683)</f>
        <v>0</v>
      </c>
      <c r="AD676" s="167"/>
      <c r="AE676" s="167"/>
      <c r="AG676" s="5">
        <f t="shared" si="471"/>
        <v>-15066000</v>
      </c>
      <c r="AH676" s="5"/>
    </row>
    <row r="677" spans="1:34" s="1" customFormat="1" ht="10.5" x14ac:dyDescent="0.25">
      <c r="A677" s="49">
        <v>1</v>
      </c>
      <c r="B677" s="22" t="s">
        <v>1732</v>
      </c>
      <c r="C677" s="22" t="s">
        <v>75</v>
      </c>
      <c r="D677" s="51" t="s">
        <v>929</v>
      </c>
      <c r="E677" s="24" t="s">
        <v>930</v>
      </c>
      <c r="F677" s="24"/>
      <c r="G677" s="24" t="s">
        <v>61</v>
      </c>
      <c r="H677" s="24" t="s">
        <v>62</v>
      </c>
      <c r="I677" s="24">
        <v>2015</v>
      </c>
      <c r="J677" s="24"/>
      <c r="K677" s="24" t="s">
        <v>63</v>
      </c>
      <c r="L677" s="24" t="s">
        <v>64</v>
      </c>
      <c r="M677" s="24">
        <v>1</v>
      </c>
      <c r="N677" s="41">
        <f t="shared" ref="N677:N683" si="472">SUM(O677/M677)</f>
        <v>1506600</v>
      </c>
      <c r="O677" s="41">
        <v>1506600</v>
      </c>
      <c r="P677" s="24"/>
      <c r="Q677" s="24"/>
      <c r="R677" s="24"/>
      <c r="S677" s="41">
        <f t="shared" ref="S677:S683" si="473">SUM(O677-R677)</f>
        <v>1506600</v>
      </c>
      <c r="T677" s="24">
        <v>5</v>
      </c>
      <c r="U677" s="41">
        <f t="shared" ref="U677:U683" si="474">SUM(S677/T677)</f>
        <v>301320</v>
      </c>
      <c r="V677" s="24">
        <v>0.5</v>
      </c>
      <c r="W677" s="41"/>
      <c r="X677" s="24"/>
      <c r="Y677" s="41">
        <f t="shared" ref="Y677:Y683" si="475">SUM(U677*X677)</f>
        <v>0</v>
      </c>
      <c r="Z677" s="41"/>
      <c r="AA677" s="72">
        <v>5</v>
      </c>
      <c r="AB677" s="41">
        <f t="shared" ref="AB677:AB683" si="476">SUM(U677*AA677)</f>
        <v>1506600</v>
      </c>
      <c r="AC677" s="41">
        <f t="shared" ref="AC677:AC683" si="477">SUM(O677-AB677)</f>
        <v>0</v>
      </c>
      <c r="AD677" s="70" t="s">
        <v>195</v>
      </c>
      <c r="AE677" s="70"/>
      <c r="AF677" s="1">
        <v>1506600</v>
      </c>
      <c r="AG677" s="5">
        <f t="shared" si="471"/>
        <v>0</v>
      </c>
      <c r="AH677" s="5"/>
    </row>
    <row r="678" spans="1:34" s="1" customFormat="1" ht="10.5" x14ac:dyDescent="0.25">
      <c r="A678" s="49">
        <v>2</v>
      </c>
      <c r="B678" s="22" t="s">
        <v>1732</v>
      </c>
      <c r="C678" s="22" t="s">
        <v>79</v>
      </c>
      <c r="D678" s="51" t="s">
        <v>929</v>
      </c>
      <c r="E678" s="24" t="s">
        <v>930</v>
      </c>
      <c r="F678" s="24"/>
      <c r="G678" s="24" t="s">
        <v>61</v>
      </c>
      <c r="H678" s="24" t="s">
        <v>62</v>
      </c>
      <c r="I678" s="24">
        <v>2015</v>
      </c>
      <c r="J678" s="24"/>
      <c r="K678" s="24" t="s">
        <v>63</v>
      </c>
      <c r="L678" s="24" t="s">
        <v>64</v>
      </c>
      <c r="M678" s="24">
        <v>1</v>
      </c>
      <c r="N678" s="41">
        <f t="shared" si="472"/>
        <v>1506600</v>
      </c>
      <c r="O678" s="41">
        <v>1506600</v>
      </c>
      <c r="P678" s="24"/>
      <c r="Q678" s="24"/>
      <c r="R678" s="24"/>
      <c r="S678" s="41">
        <f t="shared" si="473"/>
        <v>1506600</v>
      </c>
      <c r="T678" s="24">
        <v>5</v>
      </c>
      <c r="U678" s="41">
        <f t="shared" si="474"/>
        <v>301320</v>
      </c>
      <c r="V678" s="24">
        <v>0.5</v>
      </c>
      <c r="W678" s="41"/>
      <c r="X678" s="24"/>
      <c r="Y678" s="41">
        <f t="shared" si="475"/>
        <v>0</v>
      </c>
      <c r="Z678" s="41"/>
      <c r="AA678" s="72">
        <v>5</v>
      </c>
      <c r="AB678" s="41">
        <f t="shared" si="476"/>
        <v>1506600</v>
      </c>
      <c r="AC678" s="41">
        <f t="shared" si="477"/>
        <v>0</v>
      </c>
      <c r="AD678" s="70" t="s">
        <v>295</v>
      </c>
      <c r="AE678" s="70"/>
      <c r="AF678" s="1">
        <v>1506600</v>
      </c>
      <c r="AG678" s="5">
        <f t="shared" si="471"/>
        <v>0</v>
      </c>
      <c r="AH678" s="5"/>
    </row>
    <row r="679" spans="1:34" s="1" customFormat="1" ht="10.5" x14ac:dyDescent="0.25">
      <c r="A679" s="49">
        <v>3</v>
      </c>
      <c r="B679" s="22" t="s">
        <v>1732</v>
      </c>
      <c r="C679" s="22" t="s">
        <v>84</v>
      </c>
      <c r="D679" s="51" t="s">
        <v>929</v>
      </c>
      <c r="E679" s="24" t="s">
        <v>930</v>
      </c>
      <c r="F679" s="24"/>
      <c r="G679" s="24" t="s">
        <v>61</v>
      </c>
      <c r="H679" s="24" t="s">
        <v>62</v>
      </c>
      <c r="I679" s="24">
        <v>2015</v>
      </c>
      <c r="J679" s="24"/>
      <c r="K679" s="24" t="s">
        <v>63</v>
      </c>
      <c r="L679" s="24" t="s">
        <v>64</v>
      </c>
      <c r="M679" s="24">
        <v>1</v>
      </c>
      <c r="N679" s="41">
        <f t="shared" si="472"/>
        <v>1506600</v>
      </c>
      <c r="O679" s="41">
        <v>1506600</v>
      </c>
      <c r="P679" s="24"/>
      <c r="Q679" s="24"/>
      <c r="R679" s="24"/>
      <c r="S679" s="41">
        <f t="shared" si="473"/>
        <v>1506600</v>
      </c>
      <c r="T679" s="24">
        <v>5</v>
      </c>
      <c r="U679" s="41">
        <f t="shared" si="474"/>
        <v>301320</v>
      </c>
      <c r="V679" s="24">
        <v>0.5</v>
      </c>
      <c r="W679" s="41"/>
      <c r="X679" s="24"/>
      <c r="Y679" s="41">
        <f t="shared" si="475"/>
        <v>0</v>
      </c>
      <c r="Z679" s="41"/>
      <c r="AA679" s="72">
        <v>5</v>
      </c>
      <c r="AB679" s="41">
        <f t="shared" si="476"/>
        <v>1506600</v>
      </c>
      <c r="AC679" s="41">
        <f t="shared" si="477"/>
        <v>0</v>
      </c>
      <c r="AD679" s="70" t="s">
        <v>245</v>
      </c>
      <c r="AE679" s="70"/>
      <c r="AF679" s="1">
        <v>1506600</v>
      </c>
      <c r="AG679" s="5">
        <f t="shared" si="471"/>
        <v>0</v>
      </c>
      <c r="AH679" s="5"/>
    </row>
    <row r="680" spans="1:34" s="1" customFormat="1" ht="10.5" x14ac:dyDescent="0.25">
      <c r="A680" s="49">
        <v>4</v>
      </c>
      <c r="B680" s="22" t="s">
        <v>1732</v>
      </c>
      <c r="C680" s="22" t="s">
        <v>88</v>
      </c>
      <c r="D680" s="51" t="s">
        <v>929</v>
      </c>
      <c r="E680" s="24" t="s">
        <v>930</v>
      </c>
      <c r="F680" s="24"/>
      <c r="G680" s="24" t="s">
        <v>61</v>
      </c>
      <c r="H680" s="24" t="s">
        <v>62</v>
      </c>
      <c r="I680" s="24">
        <v>2015</v>
      </c>
      <c r="J680" s="24"/>
      <c r="K680" s="24" t="s">
        <v>63</v>
      </c>
      <c r="L680" s="24" t="s">
        <v>64</v>
      </c>
      <c r="M680" s="24">
        <v>1</v>
      </c>
      <c r="N680" s="41">
        <f t="shared" si="472"/>
        <v>1506600</v>
      </c>
      <c r="O680" s="41">
        <v>1506600</v>
      </c>
      <c r="P680" s="24"/>
      <c r="Q680" s="24"/>
      <c r="R680" s="24"/>
      <c r="S680" s="41">
        <f t="shared" si="473"/>
        <v>1506600</v>
      </c>
      <c r="T680" s="24">
        <v>5</v>
      </c>
      <c r="U680" s="41">
        <f t="shared" si="474"/>
        <v>301320</v>
      </c>
      <c r="V680" s="24">
        <v>0.5</v>
      </c>
      <c r="W680" s="41"/>
      <c r="X680" s="24"/>
      <c r="Y680" s="41">
        <f t="shared" si="475"/>
        <v>0</v>
      </c>
      <c r="Z680" s="41"/>
      <c r="AA680" s="72">
        <v>5</v>
      </c>
      <c r="AB680" s="41">
        <f t="shared" si="476"/>
        <v>1506600</v>
      </c>
      <c r="AC680" s="41">
        <f t="shared" si="477"/>
        <v>0</v>
      </c>
      <c r="AD680" s="70" t="s">
        <v>931</v>
      </c>
      <c r="AE680" s="70"/>
      <c r="AF680" s="1">
        <v>1506600</v>
      </c>
      <c r="AG680" s="5">
        <f t="shared" si="471"/>
        <v>0</v>
      </c>
      <c r="AH680" s="5"/>
    </row>
    <row r="681" spans="1:34" s="1" customFormat="1" ht="10.5" x14ac:dyDescent="0.25">
      <c r="A681" s="49">
        <v>5</v>
      </c>
      <c r="B681" s="22" t="s">
        <v>1732</v>
      </c>
      <c r="C681" s="22" t="s">
        <v>337</v>
      </c>
      <c r="D681" s="51" t="s">
        <v>929</v>
      </c>
      <c r="E681" s="24" t="s">
        <v>930</v>
      </c>
      <c r="F681" s="24"/>
      <c r="G681" s="24" t="s">
        <v>61</v>
      </c>
      <c r="H681" s="24" t="s">
        <v>62</v>
      </c>
      <c r="I681" s="24">
        <v>2015</v>
      </c>
      <c r="J681" s="24"/>
      <c r="K681" s="24" t="s">
        <v>63</v>
      </c>
      <c r="L681" s="24" t="s">
        <v>64</v>
      </c>
      <c r="M681" s="24">
        <v>2</v>
      </c>
      <c r="N681" s="41">
        <f t="shared" si="472"/>
        <v>1506600</v>
      </c>
      <c r="O681" s="41">
        <v>3013200</v>
      </c>
      <c r="P681" s="24"/>
      <c r="Q681" s="24"/>
      <c r="R681" s="24"/>
      <c r="S681" s="41">
        <f t="shared" si="473"/>
        <v>3013200</v>
      </c>
      <c r="T681" s="24">
        <v>5</v>
      </c>
      <c r="U681" s="41">
        <f t="shared" si="474"/>
        <v>602640</v>
      </c>
      <c r="V681" s="24">
        <v>0.5</v>
      </c>
      <c r="W681" s="41"/>
      <c r="X681" s="24"/>
      <c r="Y681" s="41">
        <f t="shared" si="475"/>
        <v>0</v>
      </c>
      <c r="Z681" s="41"/>
      <c r="AA681" s="72">
        <v>5</v>
      </c>
      <c r="AB681" s="41">
        <f t="shared" si="476"/>
        <v>3013200</v>
      </c>
      <c r="AC681" s="41">
        <f t="shared" si="477"/>
        <v>0</v>
      </c>
      <c r="AD681" s="70" t="s">
        <v>932</v>
      </c>
      <c r="AE681" s="70"/>
      <c r="AF681" s="1">
        <v>3013200</v>
      </c>
      <c r="AG681" s="5">
        <f t="shared" si="471"/>
        <v>0</v>
      </c>
      <c r="AH681" s="5"/>
    </row>
    <row r="682" spans="1:34" s="1" customFormat="1" ht="10.5" x14ac:dyDescent="0.25">
      <c r="A682" s="49">
        <v>6</v>
      </c>
      <c r="B682" s="22" t="s">
        <v>1732</v>
      </c>
      <c r="C682" s="22" t="s">
        <v>338</v>
      </c>
      <c r="D682" s="51" t="s">
        <v>929</v>
      </c>
      <c r="E682" s="24" t="s">
        <v>930</v>
      </c>
      <c r="F682" s="24"/>
      <c r="G682" s="24" t="s">
        <v>61</v>
      </c>
      <c r="H682" s="24" t="s">
        <v>62</v>
      </c>
      <c r="I682" s="24">
        <v>2015</v>
      </c>
      <c r="J682" s="24"/>
      <c r="K682" s="24" t="s">
        <v>63</v>
      </c>
      <c r="L682" s="24" t="s">
        <v>64</v>
      </c>
      <c r="M682" s="24">
        <v>2</v>
      </c>
      <c r="N682" s="41">
        <f t="shared" si="472"/>
        <v>1506600</v>
      </c>
      <c r="O682" s="41">
        <v>3013200</v>
      </c>
      <c r="P682" s="24"/>
      <c r="Q682" s="24"/>
      <c r="R682" s="24"/>
      <c r="S682" s="41">
        <f t="shared" si="473"/>
        <v>3013200</v>
      </c>
      <c r="T682" s="24">
        <v>5</v>
      </c>
      <c r="U682" s="41">
        <f t="shared" si="474"/>
        <v>602640</v>
      </c>
      <c r="V682" s="24">
        <v>0.5</v>
      </c>
      <c r="W682" s="41"/>
      <c r="X682" s="24"/>
      <c r="Y682" s="41">
        <f t="shared" si="475"/>
        <v>0</v>
      </c>
      <c r="Z682" s="41"/>
      <c r="AA682" s="72">
        <v>5</v>
      </c>
      <c r="AB682" s="41">
        <f t="shared" si="476"/>
        <v>3013200</v>
      </c>
      <c r="AC682" s="41">
        <f t="shared" si="477"/>
        <v>0</v>
      </c>
      <c r="AD682" s="70" t="s">
        <v>933</v>
      </c>
      <c r="AE682" s="70"/>
      <c r="AF682" s="1">
        <v>3013200</v>
      </c>
      <c r="AG682" s="5">
        <f t="shared" si="471"/>
        <v>0</v>
      </c>
      <c r="AH682" s="5"/>
    </row>
    <row r="683" spans="1:34" s="1" customFormat="1" ht="10.5" x14ac:dyDescent="0.25">
      <c r="A683" s="49">
        <v>7</v>
      </c>
      <c r="B683" s="22" t="s">
        <v>1732</v>
      </c>
      <c r="C683" s="22" t="s">
        <v>339</v>
      </c>
      <c r="D683" s="51" t="s">
        <v>929</v>
      </c>
      <c r="E683" s="24" t="s">
        <v>930</v>
      </c>
      <c r="F683" s="24"/>
      <c r="G683" s="24" t="s">
        <v>61</v>
      </c>
      <c r="H683" s="24" t="s">
        <v>62</v>
      </c>
      <c r="I683" s="24">
        <v>2015</v>
      </c>
      <c r="J683" s="24"/>
      <c r="K683" s="24" t="s">
        <v>63</v>
      </c>
      <c r="L683" s="24" t="s">
        <v>64</v>
      </c>
      <c r="M683" s="24">
        <v>2</v>
      </c>
      <c r="N683" s="41">
        <f t="shared" si="472"/>
        <v>1506600</v>
      </c>
      <c r="O683" s="41">
        <v>3013200</v>
      </c>
      <c r="P683" s="24"/>
      <c r="Q683" s="24"/>
      <c r="R683" s="24"/>
      <c r="S683" s="41">
        <f t="shared" si="473"/>
        <v>3013200</v>
      </c>
      <c r="T683" s="24">
        <v>5</v>
      </c>
      <c r="U683" s="41">
        <f t="shared" si="474"/>
        <v>602640</v>
      </c>
      <c r="V683" s="24">
        <v>0.5</v>
      </c>
      <c r="W683" s="41"/>
      <c r="X683" s="24"/>
      <c r="Y683" s="41">
        <f t="shared" si="475"/>
        <v>0</v>
      </c>
      <c r="Z683" s="41"/>
      <c r="AA683" s="72">
        <v>5</v>
      </c>
      <c r="AB683" s="41">
        <f t="shared" si="476"/>
        <v>3013200</v>
      </c>
      <c r="AC683" s="41">
        <f t="shared" si="477"/>
        <v>0</v>
      </c>
      <c r="AD683" s="70" t="s">
        <v>787</v>
      </c>
      <c r="AE683" s="70"/>
      <c r="AF683" s="1">
        <v>3013200</v>
      </c>
      <c r="AG683" s="5">
        <f t="shared" si="471"/>
        <v>0</v>
      </c>
      <c r="AH683" s="5"/>
    </row>
    <row r="684" spans="1:34" s="1" customFormat="1" ht="10.5" x14ac:dyDescent="0.25">
      <c r="A684" s="21"/>
      <c r="B684" s="22"/>
      <c r="C684" s="73"/>
      <c r="D684" s="51"/>
      <c r="E684" s="52"/>
      <c r="F684" s="52"/>
      <c r="G684" s="52"/>
      <c r="H684" s="52"/>
      <c r="I684" s="52"/>
      <c r="J684" s="52"/>
      <c r="K684" s="52"/>
      <c r="L684" s="52"/>
      <c r="M684" s="52"/>
      <c r="N684" s="53"/>
      <c r="O684" s="53"/>
      <c r="P684" s="52"/>
      <c r="Q684" s="52"/>
      <c r="R684" s="52"/>
      <c r="S684" s="53"/>
      <c r="T684" s="52"/>
      <c r="U684" s="53"/>
      <c r="V684" s="52"/>
      <c r="W684" s="53"/>
      <c r="X684" s="57"/>
      <c r="Y684" s="53"/>
      <c r="Z684" s="53"/>
      <c r="AA684" s="57"/>
      <c r="AB684" s="53"/>
      <c r="AC684" s="53"/>
      <c r="AD684" s="56"/>
      <c r="AE684" s="70"/>
      <c r="AG684" s="5"/>
    </row>
    <row r="685" spans="1:34" s="160" customFormat="1" ht="10.5" x14ac:dyDescent="0.25">
      <c r="A685" s="138"/>
      <c r="B685" s="139" t="s">
        <v>1062</v>
      </c>
      <c r="C685" s="139"/>
      <c r="D685" s="140" t="s">
        <v>1063</v>
      </c>
      <c r="E685" s="141"/>
      <c r="F685" s="141"/>
      <c r="G685" s="141"/>
      <c r="H685" s="141"/>
      <c r="I685" s="141"/>
      <c r="J685" s="141"/>
      <c r="K685" s="141"/>
      <c r="L685" s="141"/>
      <c r="M685" s="141">
        <f>SUM(M686)</f>
        <v>453</v>
      </c>
      <c r="N685" s="141"/>
      <c r="O685" s="142">
        <f>SUM(O686)</f>
        <v>661775837.99000001</v>
      </c>
      <c r="P685" s="141">
        <f>SUM(P705:P740)</f>
        <v>0</v>
      </c>
      <c r="Q685" s="141">
        <f>SUM(Q705:Q740)</f>
        <v>0</v>
      </c>
      <c r="R685" s="141">
        <f>SUM(R705:R740)</f>
        <v>0</v>
      </c>
      <c r="S685" s="142">
        <f>SUM(S686)</f>
        <v>661775837.99000001</v>
      </c>
      <c r="T685" s="141"/>
      <c r="U685" s="142">
        <f>SUM(U686)</f>
        <v>7449391.5999999996</v>
      </c>
      <c r="V685" s="141"/>
      <c r="W685" s="142">
        <f>SUM(W686)</f>
        <v>358966.66666666791</v>
      </c>
      <c r="X685" s="141"/>
      <c r="Y685" s="142">
        <f>SUM(Y686)</f>
        <v>2356343.7000000002</v>
      </c>
      <c r="Z685" s="142">
        <f>SUM(Z686)</f>
        <v>2715310.3666666681</v>
      </c>
      <c r="AA685" s="141"/>
      <c r="AB685" s="142">
        <f>SUM(AB686)</f>
        <v>648423223.95000005</v>
      </c>
      <c r="AC685" s="142">
        <f>SUM(AC686)</f>
        <v>13352614.040000001</v>
      </c>
      <c r="AD685" s="141"/>
      <c r="AE685" s="173"/>
      <c r="AF685" s="181">
        <v>652496519.75</v>
      </c>
      <c r="AG685" s="182">
        <f>AB685+AC685-S685</f>
        <v>0</v>
      </c>
    </row>
    <row r="686" spans="1:34" s="1" customFormat="1" ht="10.5" x14ac:dyDescent="0.25">
      <c r="A686" s="25"/>
      <c r="B686" s="26" t="s">
        <v>1733</v>
      </c>
      <c r="C686" s="26"/>
      <c r="D686" s="27" t="s">
        <v>1734</v>
      </c>
      <c r="E686" s="28"/>
      <c r="F686" s="28"/>
      <c r="G686" s="28"/>
      <c r="H686" s="28"/>
      <c r="I686" s="28"/>
      <c r="J686" s="28"/>
      <c r="K686" s="28"/>
      <c r="L686" s="28"/>
      <c r="M686" s="28">
        <f>SUM(M687:M740)</f>
        <v>453</v>
      </c>
      <c r="N686" s="28"/>
      <c r="O686" s="40">
        <f>SUM(O687:O740)</f>
        <v>661775837.99000001</v>
      </c>
      <c r="P686" s="28"/>
      <c r="Q686" s="28"/>
      <c r="R686" s="28"/>
      <c r="S686" s="40">
        <f>SUM(S687:S740)</f>
        <v>661775837.99000001</v>
      </c>
      <c r="T686" s="28"/>
      <c r="U686" s="40">
        <f>SUM(U687:U740)</f>
        <v>7449391.5999999996</v>
      </c>
      <c r="V686" s="28"/>
      <c r="W686" s="40">
        <f>SUM(W687:W740)</f>
        <v>358966.66666666791</v>
      </c>
      <c r="X686" s="28"/>
      <c r="Y686" s="40">
        <f>SUM(Y687:Y740)</f>
        <v>2356343.7000000002</v>
      </c>
      <c r="Z686" s="40">
        <f>SUM(Z687:Z740)</f>
        <v>2715310.3666666681</v>
      </c>
      <c r="AA686" s="28"/>
      <c r="AB686" s="40">
        <f>SUM(AB687:AB740)</f>
        <v>648423223.95000005</v>
      </c>
      <c r="AC686" s="302">
        <f>SUM(AC687:AC740)-0.26</f>
        <v>13352614.040000001</v>
      </c>
      <c r="AD686" s="28"/>
      <c r="AE686" s="70"/>
      <c r="AF686" s="5">
        <f>AB686-AF685</f>
        <v>-4073295.7999999523</v>
      </c>
      <c r="AG686" s="301">
        <f>AB686+AC686-S686</f>
        <v>0</v>
      </c>
    </row>
    <row r="687" spans="1:34" s="1" customFormat="1" ht="10.5" x14ac:dyDescent="0.25">
      <c r="A687" s="49">
        <v>1</v>
      </c>
      <c r="B687" s="22" t="s">
        <v>1735</v>
      </c>
      <c r="C687" s="22" t="s">
        <v>58</v>
      </c>
      <c r="D687" s="51" t="s">
        <v>1113</v>
      </c>
      <c r="E687" s="24" t="s">
        <v>166</v>
      </c>
      <c r="F687" s="24"/>
      <c r="G687" s="24" t="s">
        <v>319</v>
      </c>
      <c r="H687" s="24" t="s">
        <v>62</v>
      </c>
      <c r="I687" s="24">
        <v>2011</v>
      </c>
      <c r="J687" s="24"/>
      <c r="K687" s="24" t="s">
        <v>1114</v>
      </c>
      <c r="L687" s="24" t="s">
        <v>64</v>
      </c>
      <c r="M687" s="24">
        <v>1</v>
      </c>
      <c r="N687" s="41">
        <f t="shared" ref="N687:N740" si="478">SUM(O687/M687)</f>
        <v>9878000</v>
      </c>
      <c r="O687" s="41">
        <v>9878000</v>
      </c>
      <c r="P687" s="24"/>
      <c r="Q687" s="24"/>
      <c r="R687" s="24"/>
      <c r="S687" s="41">
        <f t="shared" ref="S687:S740" si="479">SUM(O687-R687)</f>
        <v>9878000</v>
      </c>
      <c r="T687" s="24">
        <v>5</v>
      </c>
      <c r="U687" s="41"/>
      <c r="V687" s="24">
        <v>0.5</v>
      </c>
      <c r="W687" s="41">
        <f t="shared" ref="W687:W699" si="480">SUM(U687*V687)</f>
        <v>0</v>
      </c>
      <c r="X687" s="24"/>
      <c r="Y687" s="41">
        <f t="shared" ref="Y687:Y699" si="481">SUM(U687*X687)</f>
        <v>0</v>
      </c>
      <c r="Z687" s="41">
        <f t="shared" ref="Z687:Z740" si="482">SUM(W687+Y687)</f>
        <v>0</v>
      </c>
      <c r="AA687" s="24">
        <v>5</v>
      </c>
      <c r="AB687" s="41">
        <v>9878000</v>
      </c>
      <c r="AC687" s="41">
        <f t="shared" ref="AC687:AC697" si="483">SUM(O687-AB687)</f>
        <v>0</v>
      </c>
      <c r="AD687" s="70" t="s">
        <v>616</v>
      </c>
      <c r="AE687" s="70"/>
      <c r="AG687" s="80"/>
    </row>
    <row r="688" spans="1:34" s="1" customFormat="1" ht="10.5" x14ac:dyDescent="0.25">
      <c r="A688" s="49">
        <v>2</v>
      </c>
      <c r="B688" s="22" t="s">
        <v>1735</v>
      </c>
      <c r="C688" s="22" t="s">
        <v>277</v>
      </c>
      <c r="D688" s="51" t="s">
        <v>1113</v>
      </c>
      <c r="E688" s="24" t="s">
        <v>166</v>
      </c>
      <c r="F688" s="24"/>
      <c r="G688" s="24" t="s">
        <v>319</v>
      </c>
      <c r="H688" s="24" t="s">
        <v>62</v>
      </c>
      <c r="I688" s="24">
        <v>2013</v>
      </c>
      <c r="J688" s="24"/>
      <c r="K688" s="24" t="s">
        <v>1114</v>
      </c>
      <c r="L688" s="24" t="s">
        <v>64</v>
      </c>
      <c r="M688" s="24">
        <v>2</v>
      </c>
      <c r="N688" s="41">
        <f t="shared" si="478"/>
        <v>4838900</v>
      </c>
      <c r="O688" s="41">
        <v>9677800</v>
      </c>
      <c r="P688" s="24"/>
      <c r="Q688" s="24"/>
      <c r="R688" s="24"/>
      <c r="S688" s="41">
        <f t="shared" si="479"/>
        <v>9677800</v>
      </c>
      <c r="T688" s="24">
        <v>5</v>
      </c>
      <c r="U688" s="41"/>
      <c r="V688" s="24">
        <v>0.5</v>
      </c>
      <c r="W688" s="41">
        <f t="shared" si="480"/>
        <v>0</v>
      </c>
      <c r="X688" s="24"/>
      <c r="Y688" s="41">
        <f t="shared" si="481"/>
        <v>0</v>
      </c>
      <c r="Z688" s="41">
        <f t="shared" si="482"/>
        <v>0</v>
      </c>
      <c r="AA688" s="24">
        <v>5</v>
      </c>
      <c r="AB688" s="41">
        <v>9677800</v>
      </c>
      <c r="AC688" s="41">
        <f t="shared" si="483"/>
        <v>0</v>
      </c>
      <c r="AD688" s="70" t="s">
        <v>540</v>
      </c>
      <c r="AE688" s="70"/>
      <c r="AG688" s="80"/>
    </row>
    <row r="689" spans="1:33" s="1" customFormat="1" ht="10.5" x14ac:dyDescent="0.25">
      <c r="A689" s="49">
        <v>3</v>
      </c>
      <c r="B689" s="22" t="s">
        <v>1735</v>
      </c>
      <c r="C689" s="22" t="s">
        <v>280</v>
      </c>
      <c r="D689" s="51" t="s">
        <v>1113</v>
      </c>
      <c r="E689" s="24" t="s">
        <v>166</v>
      </c>
      <c r="F689" s="24"/>
      <c r="G689" s="24" t="s">
        <v>319</v>
      </c>
      <c r="H689" s="24" t="s">
        <v>62</v>
      </c>
      <c r="I689" s="24">
        <v>2013</v>
      </c>
      <c r="J689" s="24"/>
      <c r="K689" s="24" t="s">
        <v>63</v>
      </c>
      <c r="L689" s="24" t="s">
        <v>64</v>
      </c>
      <c r="M689" s="24">
        <v>6</v>
      </c>
      <c r="N689" s="41">
        <f t="shared" si="478"/>
        <v>1500000</v>
      </c>
      <c r="O689" s="41">
        <v>9000000</v>
      </c>
      <c r="P689" s="24"/>
      <c r="Q689" s="24"/>
      <c r="R689" s="24"/>
      <c r="S689" s="41">
        <f t="shared" si="479"/>
        <v>9000000</v>
      </c>
      <c r="T689" s="24">
        <v>5</v>
      </c>
      <c r="U689" s="41"/>
      <c r="V689" s="24">
        <v>0.5</v>
      </c>
      <c r="W689" s="41">
        <f t="shared" si="480"/>
        <v>0</v>
      </c>
      <c r="X689" s="24"/>
      <c r="Y689" s="41">
        <f t="shared" si="481"/>
        <v>0</v>
      </c>
      <c r="Z689" s="41">
        <f t="shared" si="482"/>
        <v>0</v>
      </c>
      <c r="AA689" s="24">
        <v>5</v>
      </c>
      <c r="AB689" s="41">
        <v>9000000</v>
      </c>
      <c r="AC689" s="41">
        <f t="shared" si="483"/>
        <v>0</v>
      </c>
      <c r="AD689" s="70" t="s">
        <v>540</v>
      </c>
      <c r="AE689" s="70"/>
      <c r="AG689" s="80"/>
    </row>
    <row r="690" spans="1:33" s="1" customFormat="1" ht="10.5" x14ac:dyDescent="0.25">
      <c r="A690" s="49">
        <v>4</v>
      </c>
      <c r="B690" s="22" t="s">
        <v>1735</v>
      </c>
      <c r="C690" s="22" t="s">
        <v>832</v>
      </c>
      <c r="D690" s="51" t="s">
        <v>1115</v>
      </c>
      <c r="E690" s="24" t="s">
        <v>166</v>
      </c>
      <c r="F690" s="24"/>
      <c r="G690" s="24" t="s">
        <v>319</v>
      </c>
      <c r="H690" s="24" t="s">
        <v>62</v>
      </c>
      <c r="I690" s="24">
        <v>2014</v>
      </c>
      <c r="J690" s="24"/>
      <c r="K690" s="24" t="s">
        <v>63</v>
      </c>
      <c r="L690" s="24" t="s">
        <v>64</v>
      </c>
      <c r="M690" s="24">
        <v>3</v>
      </c>
      <c r="N690" s="41">
        <f t="shared" si="478"/>
        <v>5500000</v>
      </c>
      <c r="O690" s="41">
        <v>16500000</v>
      </c>
      <c r="P690" s="24"/>
      <c r="Q690" s="24"/>
      <c r="R690" s="24"/>
      <c r="S690" s="41">
        <f t="shared" si="479"/>
        <v>16500000</v>
      </c>
      <c r="T690" s="24">
        <v>5</v>
      </c>
      <c r="U690" s="41"/>
      <c r="V690" s="24">
        <v>0.5</v>
      </c>
      <c r="W690" s="41">
        <f t="shared" si="480"/>
        <v>0</v>
      </c>
      <c r="X690" s="24"/>
      <c r="Y690" s="41">
        <f t="shared" si="481"/>
        <v>0</v>
      </c>
      <c r="Z690" s="41">
        <f t="shared" si="482"/>
        <v>0</v>
      </c>
      <c r="AA690" s="24">
        <v>5</v>
      </c>
      <c r="AB690" s="41">
        <v>16500000</v>
      </c>
      <c r="AC690" s="41">
        <f t="shared" si="483"/>
        <v>0</v>
      </c>
      <c r="AD690" s="70" t="s">
        <v>218</v>
      </c>
      <c r="AE690" s="70"/>
      <c r="AG690" s="80"/>
    </row>
    <row r="691" spans="1:33" s="1" customFormat="1" ht="10.5" x14ac:dyDescent="0.25">
      <c r="A691" s="49">
        <v>5</v>
      </c>
      <c r="B691" s="22" t="s">
        <v>1735</v>
      </c>
      <c r="C691" s="22" t="s">
        <v>1116</v>
      </c>
      <c r="D691" s="51" t="s">
        <v>1115</v>
      </c>
      <c r="E691" s="24" t="s">
        <v>166</v>
      </c>
      <c r="F691" s="24"/>
      <c r="G691" s="24" t="s">
        <v>319</v>
      </c>
      <c r="H691" s="24" t="s">
        <v>62</v>
      </c>
      <c r="I691" s="24">
        <v>2014</v>
      </c>
      <c r="J691" s="24"/>
      <c r="K691" s="24" t="s">
        <v>63</v>
      </c>
      <c r="L691" s="24" t="s">
        <v>64</v>
      </c>
      <c r="M691" s="24">
        <v>3</v>
      </c>
      <c r="N691" s="41">
        <f t="shared" si="478"/>
        <v>5500000</v>
      </c>
      <c r="O691" s="41">
        <v>16500000</v>
      </c>
      <c r="P691" s="24"/>
      <c r="Q691" s="24"/>
      <c r="R691" s="24"/>
      <c r="S691" s="41">
        <f t="shared" si="479"/>
        <v>16500000</v>
      </c>
      <c r="T691" s="24">
        <v>5</v>
      </c>
      <c r="U691" s="41"/>
      <c r="V691" s="24">
        <v>0.5</v>
      </c>
      <c r="W691" s="41">
        <f t="shared" si="480"/>
        <v>0</v>
      </c>
      <c r="X691" s="24"/>
      <c r="Y691" s="41">
        <f t="shared" si="481"/>
        <v>0</v>
      </c>
      <c r="Z691" s="41">
        <f t="shared" si="482"/>
        <v>0</v>
      </c>
      <c r="AA691" s="24">
        <v>5</v>
      </c>
      <c r="AB691" s="41">
        <v>16500000</v>
      </c>
      <c r="AC691" s="41">
        <f t="shared" si="483"/>
        <v>0</v>
      </c>
      <c r="AD691" s="70" t="s">
        <v>322</v>
      </c>
      <c r="AE691" s="70"/>
      <c r="AG691" s="80"/>
    </row>
    <row r="692" spans="1:33" s="1" customFormat="1" ht="10.5" x14ac:dyDescent="0.25">
      <c r="A692" s="49">
        <v>6</v>
      </c>
      <c r="B692" s="22" t="s">
        <v>1735</v>
      </c>
      <c r="C692" s="22" t="s">
        <v>1117</v>
      </c>
      <c r="D692" s="51" t="s">
        <v>1115</v>
      </c>
      <c r="E692" s="24" t="s">
        <v>166</v>
      </c>
      <c r="F692" s="24"/>
      <c r="G692" s="24" t="s">
        <v>319</v>
      </c>
      <c r="H692" s="24" t="s">
        <v>62</v>
      </c>
      <c r="I692" s="24">
        <v>2014</v>
      </c>
      <c r="J692" s="24"/>
      <c r="K692" s="24" t="s">
        <v>63</v>
      </c>
      <c r="L692" s="24" t="s">
        <v>64</v>
      </c>
      <c r="M692" s="24">
        <v>3</v>
      </c>
      <c r="N692" s="41">
        <f t="shared" si="478"/>
        <v>5500000</v>
      </c>
      <c r="O692" s="41">
        <v>16500000</v>
      </c>
      <c r="P692" s="24"/>
      <c r="Q692" s="24"/>
      <c r="R692" s="24"/>
      <c r="S692" s="41">
        <f t="shared" si="479"/>
        <v>16500000</v>
      </c>
      <c r="T692" s="24">
        <v>5</v>
      </c>
      <c r="U692" s="41"/>
      <c r="V692" s="24">
        <v>0.5</v>
      </c>
      <c r="W692" s="41">
        <f t="shared" si="480"/>
        <v>0</v>
      </c>
      <c r="X692" s="24"/>
      <c r="Y692" s="41">
        <f t="shared" si="481"/>
        <v>0</v>
      </c>
      <c r="Z692" s="41">
        <f t="shared" si="482"/>
        <v>0</v>
      </c>
      <c r="AA692" s="24">
        <v>5</v>
      </c>
      <c r="AB692" s="41">
        <v>16500000</v>
      </c>
      <c r="AC692" s="41">
        <f t="shared" si="483"/>
        <v>0</v>
      </c>
      <c r="AD692" s="70" t="s">
        <v>324</v>
      </c>
      <c r="AE692" s="70"/>
      <c r="AG692" s="80"/>
    </row>
    <row r="693" spans="1:33" s="1" customFormat="1" ht="10.5" x14ac:dyDescent="0.25">
      <c r="A693" s="49">
        <v>7</v>
      </c>
      <c r="B693" s="22" t="s">
        <v>1735</v>
      </c>
      <c r="C693" s="22" t="s">
        <v>554</v>
      </c>
      <c r="D693" s="51" t="s">
        <v>1115</v>
      </c>
      <c r="E693" s="24" t="s">
        <v>166</v>
      </c>
      <c r="F693" s="24"/>
      <c r="G693" s="24" t="s">
        <v>319</v>
      </c>
      <c r="H693" s="24" t="s">
        <v>62</v>
      </c>
      <c r="I693" s="24">
        <v>2014</v>
      </c>
      <c r="J693" s="24"/>
      <c r="K693" s="24" t="s">
        <v>63</v>
      </c>
      <c r="L693" s="24" t="s">
        <v>64</v>
      </c>
      <c r="M693" s="24">
        <v>3</v>
      </c>
      <c r="N693" s="41">
        <f t="shared" si="478"/>
        <v>5500000</v>
      </c>
      <c r="O693" s="41">
        <v>16500000</v>
      </c>
      <c r="P693" s="24"/>
      <c r="Q693" s="24"/>
      <c r="R693" s="24"/>
      <c r="S693" s="41">
        <f t="shared" si="479"/>
        <v>16500000</v>
      </c>
      <c r="T693" s="24">
        <v>5</v>
      </c>
      <c r="U693" s="41"/>
      <c r="V693" s="24">
        <v>0.5</v>
      </c>
      <c r="W693" s="41">
        <f t="shared" si="480"/>
        <v>0</v>
      </c>
      <c r="X693" s="24"/>
      <c r="Y693" s="41">
        <f t="shared" si="481"/>
        <v>0</v>
      </c>
      <c r="Z693" s="41">
        <f t="shared" si="482"/>
        <v>0</v>
      </c>
      <c r="AA693" s="24">
        <v>5</v>
      </c>
      <c r="AB693" s="41">
        <v>16500000</v>
      </c>
      <c r="AC693" s="41">
        <f t="shared" si="483"/>
        <v>0</v>
      </c>
      <c r="AD693" s="70" t="s">
        <v>326</v>
      </c>
      <c r="AE693" s="70"/>
      <c r="AG693" s="80"/>
    </row>
    <row r="694" spans="1:33" s="1" customFormat="1" ht="10.5" x14ac:dyDescent="0.25">
      <c r="A694" s="49">
        <v>8</v>
      </c>
      <c r="B694" s="22" t="s">
        <v>1735</v>
      </c>
      <c r="C694" s="22" t="s">
        <v>312</v>
      </c>
      <c r="D694" s="51" t="s">
        <v>1115</v>
      </c>
      <c r="E694" s="24" t="s">
        <v>166</v>
      </c>
      <c r="F694" s="24"/>
      <c r="G694" s="24" t="s">
        <v>319</v>
      </c>
      <c r="H694" s="24" t="s">
        <v>62</v>
      </c>
      <c r="I694" s="24">
        <v>2014</v>
      </c>
      <c r="J694" s="24"/>
      <c r="K694" s="24" t="s">
        <v>63</v>
      </c>
      <c r="L694" s="24" t="s">
        <v>64</v>
      </c>
      <c r="M694" s="24">
        <v>1</v>
      </c>
      <c r="N694" s="41">
        <f t="shared" si="478"/>
        <v>5500000</v>
      </c>
      <c r="O694" s="41">
        <v>5500000</v>
      </c>
      <c r="P694" s="24"/>
      <c r="Q694" s="24"/>
      <c r="R694" s="24"/>
      <c r="S694" s="41">
        <f t="shared" si="479"/>
        <v>5500000</v>
      </c>
      <c r="T694" s="24">
        <v>5</v>
      </c>
      <c r="U694" s="41"/>
      <c r="V694" s="24">
        <v>0.5</v>
      </c>
      <c r="W694" s="41">
        <f t="shared" si="480"/>
        <v>0</v>
      </c>
      <c r="X694" s="24"/>
      <c r="Y694" s="41">
        <f t="shared" si="481"/>
        <v>0</v>
      </c>
      <c r="Z694" s="41">
        <f t="shared" si="482"/>
        <v>0</v>
      </c>
      <c r="AA694" s="24">
        <v>5</v>
      </c>
      <c r="AB694" s="41">
        <v>5500000</v>
      </c>
      <c r="AC694" s="41">
        <f t="shared" si="483"/>
        <v>0</v>
      </c>
      <c r="AD694" s="70" t="s">
        <v>328</v>
      </c>
      <c r="AE694" s="70"/>
      <c r="AG694" s="80"/>
    </row>
    <row r="695" spans="1:33" s="1" customFormat="1" ht="10.5" x14ac:dyDescent="0.25">
      <c r="A695" s="49">
        <v>9</v>
      </c>
      <c r="B695" s="22" t="s">
        <v>1735</v>
      </c>
      <c r="C695" s="22" t="s">
        <v>313</v>
      </c>
      <c r="D695" s="51" t="s">
        <v>1115</v>
      </c>
      <c r="E695" s="24" t="s">
        <v>166</v>
      </c>
      <c r="F695" s="24"/>
      <c r="G695" s="24" t="s">
        <v>319</v>
      </c>
      <c r="H695" s="24" t="s">
        <v>62</v>
      </c>
      <c r="I695" s="24">
        <v>2014</v>
      </c>
      <c r="J695" s="24"/>
      <c r="K695" s="24" t="s">
        <v>63</v>
      </c>
      <c r="L695" s="24" t="s">
        <v>64</v>
      </c>
      <c r="M695" s="24">
        <v>1</v>
      </c>
      <c r="N695" s="41">
        <f t="shared" si="478"/>
        <v>5500000</v>
      </c>
      <c r="O695" s="41">
        <v>5500000</v>
      </c>
      <c r="P695" s="24"/>
      <c r="Q695" s="24"/>
      <c r="R695" s="24"/>
      <c r="S695" s="41">
        <f t="shared" si="479"/>
        <v>5500000</v>
      </c>
      <c r="T695" s="24">
        <v>5</v>
      </c>
      <c r="U695" s="41"/>
      <c r="V695" s="24">
        <v>0.5</v>
      </c>
      <c r="W695" s="41">
        <f t="shared" si="480"/>
        <v>0</v>
      </c>
      <c r="X695" s="24"/>
      <c r="Y695" s="41">
        <f t="shared" si="481"/>
        <v>0</v>
      </c>
      <c r="Z695" s="41">
        <f t="shared" si="482"/>
        <v>0</v>
      </c>
      <c r="AA695" s="24">
        <v>5</v>
      </c>
      <c r="AB695" s="41">
        <v>5500000</v>
      </c>
      <c r="AC695" s="41">
        <f t="shared" si="483"/>
        <v>0</v>
      </c>
      <c r="AD695" s="70" t="s">
        <v>276</v>
      </c>
      <c r="AE695" s="70"/>
      <c r="AG695" s="80"/>
    </row>
    <row r="696" spans="1:33" s="1" customFormat="1" ht="10.5" x14ac:dyDescent="0.25">
      <c r="A696" s="49">
        <v>10</v>
      </c>
      <c r="B696" s="22" t="s">
        <v>1735</v>
      </c>
      <c r="C696" s="22" t="s">
        <v>559</v>
      </c>
      <c r="D696" s="51" t="s">
        <v>1115</v>
      </c>
      <c r="E696" s="24" t="s">
        <v>166</v>
      </c>
      <c r="F696" s="24"/>
      <c r="G696" s="24" t="s">
        <v>319</v>
      </c>
      <c r="H696" s="24" t="s">
        <v>62</v>
      </c>
      <c r="I696" s="24">
        <v>2014</v>
      </c>
      <c r="J696" s="24"/>
      <c r="K696" s="24" t="s">
        <v>63</v>
      </c>
      <c r="L696" s="24" t="s">
        <v>64</v>
      </c>
      <c r="M696" s="24">
        <v>1</v>
      </c>
      <c r="N696" s="41">
        <f t="shared" si="478"/>
        <v>5500000</v>
      </c>
      <c r="O696" s="41">
        <v>5500000</v>
      </c>
      <c r="P696" s="24"/>
      <c r="Q696" s="24"/>
      <c r="R696" s="24"/>
      <c r="S696" s="41">
        <f t="shared" si="479"/>
        <v>5500000</v>
      </c>
      <c r="T696" s="24">
        <v>5</v>
      </c>
      <c r="U696" s="41"/>
      <c r="V696" s="24">
        <v>0.5</v>
      </c>
      <c r="W696" s="41">
        <f t="shared" si="480"/>
        <v>0</v>
      </c>
      <c r="X696" s="24"/>
      <c r="Y696" s="41">
        <f t="shared" si="481"/>
        <v>0</v>
      </c>
      <c r="Z696" s="41">
        <f t="shared" si="482"/>
        <v>0</v>
      </c>
      <c r="AA696" s="24">
        <v>5</v>
      </c>
      <c r="AB696" s="41">
        <v>5500000</v>
      </c>
      <c r="AC696" s="41">
        <f t="shared" si="483"/>
        <v>0</v>
      </c>
      <c r="AD696" s="70" t="s">
        <v>331</v>
      </c>
      <c r="AE696" s="70"/>
      <c r="AG696" s="80"/>
    </row>
    <row r="697" spans="1:33" s="1" customFormat="1" ht="10.5" x14ac:dyDescent="0.25">
      <c r="A697" s="49">
        <v>11</v>
      </c>
      <c r="B697" s="22" t="s">
        <v>1735</v>
      </c>
      <c r="C697" s="22" t="s">
        <v>561</v>
      </c>
      <c r="D697" s="51" t="s">
        <v>1115</v>
      </c>
      <c r="E697" s="24" t="s">
        <v>166</v>
      </c>
      <c r="F697" s="24"/>
      <c r="G697" s="24" t="s">
        <v>319</v>
      </c>
      <c r="H697" s="24" t="s">
        <v>62</v>
      </c>
      <c r="I697" s="24">
        <v>2014</v>
      </c>
      <c r="J697" s="24"/>
      <c r="K697" s="24" t="s">
        <v>63</v>
      </c>
      <c r="L697" s="24" t="s">
        <v>64</v>
      </c>
      <c r="M697" s="24">
        <v>1</v>
      </c>
      <c r="N697" s="41">
        <f t="shared" si="478"/>
        <v>5500000</v>
      </c>
      <c r="O697" s="41">
        <v>5500000</v>
      </c>
      <c r="P697" s="24"/>
      <c r="Q697" s="24"/>
      <c r="R697" s="24"/>
      <c r="S697" s="41">
        <f t="shared" si="479"/>
        <v>5500000</v>
      </c>
      <c r="T697" s="24">
        <v>5</v>
      </c>
      <c r="U697" s="41"/>
      <c r="V697" s="24">
        <v>0.5</v>
      </c>
      <c r="W697" s="41">
        <f t="shared" si="480"/>
        <v>0</v>
      </c>
      <c r="X697" s="24"/>
      <c r="Y697" s="41">
        <f t="shared" si="481"/>
        <v>0</v>
      </c>
      <c r="Z697" s="41">
        <f t="shared" si="482"/>
        <v>0</v>
      </c>
      <c r="AA697" s="24">
        <v>5</v>
      </c>
      <c r="AB697" s="41">
        <v>5500000</v>
      </c>
      <c r="AC697" s="41">
        <f t="shared" si="483"/>
        <v>0</v>
      </c>
      <c r="AD697" s="70" t="s">
        <v>333</v>
      </c>
      <c r="AE697" s="70"/>
      <c r="AG697" s="80"/>
    </row>
    <row r="698" spans="1:33" s="1" customFormat="1" ht="10.5" x14ac:dyDescent="0.25">
      <c r="A698" s="49">
        <v>12</v>
      </c>
      <c r="B698" s="22" t="s">
        <v>1735</v>
      </c>
      <c r="C698" s="22" t="s">
        <v>1118</v>
      </c>
      <c r="D698" s="76" t="s">
        <v>1119</v>
      </c>
      <c r="E698" s="24" t="s">
        <v>166</v>
      </c>
      <c r="F698" s="24"/>
      <c r="G698" s="24" t="s">
        <v>319</v>
      </c>
      <c r="H698" s="24" t="s">
        <v>62</v>
      </c>
      <c r="I698" s="24">
        <v>2014</v>
      </c>
      <c r="J698" s="24"/>
      <c r="K698" s="24" t="s">
        <v>63</v>
      </c>
      <c r="L698" s="24" t="s">
        <v>64</v>
      </c>
      <c r="M698" s="24">
        <v>51</v>
      </c>
      <c r="N698" s="41">
        <f t="shared" si="478"/>
        <v>5484609.9017647058</v>
      </c>
      <c r="O698" s="41">
        <v>279715104.99000001</v>
      </c>
      <c r="P698" s="24"/>
      <c r="Q698" s="24"/>
      <c r="R698" s="24"/>
      <c r="S698" s="41">
        <f t="shared" si="479"/>
        <v>279715104.99000001</v>
      </c>
      <c r="T698" s="24">
        <v>5</v>
      </c>
      <c r="U698" s="41"/>
      <c r="V698" s="24">
        <v>0.5</v>
      </c>
      <c r="W698" s="41">
        <f t="shared" si="480"/>
        <v>0</v>
      </c>
      <c r="X698" s="24"/>
      <c r="Y698" s="41">
        <f t="shared" si="481"/>
        <v>0</v>
      </c>
      <c r="Z698" s="41">
        <f t="shared" si="482"/>
        <v>0</v>
      </c>
      <c r="AA698" s="24">
        <v>5</v>
      </c>
      <c r="AB698" s="41">
        <v>279715105.25</v>
      </c>
      <c r="AC698" s="82" t="s">
        <v>263</v>
      </c>
      <c r="AD698" s="70" t="s">
        <v>1120</v>
      </c>
      <c r="AE698" s="70"/>
      <c r="AG698" s="80"/>
    </row>
    <row r="699" spans="1:33" s="1" customFormat="1" ht="10.5" x14ac:dyDescent="0.25">
      <c r="A699" s="49">
        <v>13</v>
      </c>
      <c r="B699" s="22" t="s">
        <v>1735</v>
      </c>
      <c r="C699" s="22" t="s">
        <v>575</v>
      </c>
      <c r="D699" s="51" t="s">
        <v>1121</v>
      </c>
      <c r="E699" s="24" t="s">
        <v>166</v>
      </c>
      <c r="F699" s="24"/>
      <c r="G699" s="24" t="s">
        <v>319</v>
      </c>
      <c r="H699" s="24" t="s">
        <v>62</v>
      </c>
      <c r="I699" s="24">
        <v>2011</v>
      </c>
      <c r="J699" s="24"/>
      <c r="K699" s="24" t="s">
        <v>202</v>
      </c>
      <c r="L699" s="24" t="s">
        <v>64</v>
      </c>
      <c r="M699" s="24">
        <v>1</v>
      </c>
      <c r="N699" s="41">
        <f t="shared" si="478"/>
        <v>11886000</v>
      </c>
      <c r="O699" s="41">
        <v>11886000</v>
      </c>
      <c r="P699" s="24"/>
      <c r="Q699" s="24"/>
      <c r="R699" s="24"/>
      <c r="S699" s="41">
        <f t="shared" si="479"/>
        <v>11886000</v>
      </c>
      <c r="T699" s="24">
        <v>5</v>
      </c>
      <c r="U699" s="41"/>
      <c r="V699" s="24">
        <v>0.5</v>
      </c>
      <c r="W699" s="41">
        <f t="shared" si="480"/>
        <v>0</v>
      </c>
      <c r="X699" s="24"/>
      <c r="Y699" s="41">
        <f t="shared" si="481"/>
        <v>0</v>
      </c>
      <c r="Z699" s="41">
        <f t="shared" si="482"/>
        <v>0</v>
      </c>
      <c r="AA699" s="24">
        <v>5</v>
      </c>
      <c r="AB699" s="41">
        <v>11886000</v>
      </c>
      <c r="AC699" s="41">
        <f t="shared" ref="AC699:AC740" si="484">SUM(O699-AB699)</f>
        <v>0</v>
      </c>
      <c r="AD699" s="70" t="s">
        <v>311</v>
      </c>
      <c r="AE699" s="70"/>
      <c r="AG699" s="80"/>
    </row>
    <row r="700" spans="1:33" s="1" customFormat="1" ht="10.5" x14ac:dyDescent="0.25">
      <c r="A700" s="49">
        <v>14</v>
      </c>
      <c r="B700" s="22" t="s">
        <v>1735</v>
      </c>
      <c r="C700" s="22" t="s">
        <v>159</v>
      </c>
      <c r="D700" s="51" t="s">
        <v>1122</v>
      </c>
      <c r="E700" s="24" t="s">
        <v>166</v>
      </c>
      <c r="F700" s="24"/>
      <c r="G700" s="24" t="s">
        <v>319</v>
      </c>
      <c r="H700" s="24" t="s">
        <v>62</v>
      </c>
      <c r="I700" s="24">
        <v>2017</v>
      </c>
      <c r="J700" s="24"/>
      <c r="K700" s="24" t="s">
        <v>63</v>
      </c>
      <c r="L700" s="24" t="s">
        <v>64</v>
      </c>
      <c r="M700" s="24">
        <v>1</v>
      </c>
      <c r="N700" s="41">
        <f t="shared" si="478"/>
        <v>5384500</v>
      </c>
      <c r="O700" s="41">
        <v>5384500</v>
      </c>
      <c r="P700" s="24"/>
      <c r="Q700" s="24"/>
      <c r="R700" s="24"/>
      <c r="S700" s="41">
        <f t="shared" si="479"/>
        <v>5384500</v>
      </c>
      <c r="T700" s="24">
        <v>5</v>
      </c>
      <c r="U700" s="41">
        <f>SUM(S700/T700)</f>
        <v>1076900</v>
      </c>
      <c r="V700" s="24">
        <v>0.5</v>
      </c>
      <c r="W700" s="41">
        <f>SUM(U700*V700)-448708.333333333</f>
        <v>89741.666666666977</v>
      </c>
      <c r="X700" s="24"/>
      <c r="Y700" s="41">
        <f>SUM(U700*X700)</f>
        <v>0</v>
      </c>
      <c r="Z700" s="41">
        <f t="shared" si="482"/>
        <v>89741.666666666977</v>
      </c>
      <c r="AA700" s="72">
        <f>2022-I700+V700+X700-1/12-5/12</f>
        <v>5</v>
      </c>
      <c r="AB700" s="41">
        <f>SUM(U700*AA700)</f>
        <v>5384500</v>
      </c>
      <c r="AC700" s="41">
        <f t="shared" si="484"/>
        <v>0</v>
      </c>
      <c r="AD700" s="70" t="s">
        <v>439</v>
      </c>
      <c r="AE700" s="70"/>
      <c r="AG700" s="80"/>
    </row>
    <row r="701" spans="1:33" s="1" customFormat="1" ht="10.5" x14ac:dyDescent="0.25">
      <c r="A701" s="49">
        <v>15</v>
      </c>
      <c r="B701" s="22" t="s">
        <v>1735</v>
      </c>
      <c r="C701" s="22" t="s">
        <v>162</v>
      </c>
      <c r="D701" s="51" t="s">
        <v>1122</v>
      </c>
      <c r="E701" s="24" t="s">
        <v>166</v>
      </c>
      <c r="F701" s="24"/>
      <c r="G701" s="24" t="s">
        <v>319</v>
      </c>
      <c r="H701" s="24" t="s">
        <v>62</v>
      </c>
      <c r="I701" s="24">
        <v>2017</v>
      </c>
      <c r="J701" s="24"/>
      <c r="K701" s="24" t="s">
        <v>63</v>
      </c>
      <c r="L701" s="24" t="s">
        <v>64</v>
      </c>
      <c r="M701" s="24">
        <v>1</v>
      </c>
      <c r="N701" s="41">
        <f t="shared" si="478"/>
        <v>5384500</v>
      </c>
      <c r="O701" s="41">
        <v>5384500</v>
      </c>
      <c r="P701" s="24"/>
      <c r="Q701" s="24"/>
      <c r="R701" s="24"/>
      <c r="S701" s="41">
        <f t="shared" si="479"/>
        <v>5384500</v>
      </c>
      <c r="T701" s="24">
        <v>5</v>
      </c>
      <c r="U701" s="41">
        <f>SUM(S701/T701)</f>
        <v>1076900</v>
      </c>
      <c r="V701" s="24">
        <v>0.5</v>
      </c>
      <c r="W701" s="41">
        <f>SUM(U701*V701)-448708.333333333</f>
        <v>89741.666666666977</v>
      </c>
      <c r="X701" s="24"/>
      <c r="Y701" s="41">
        <f>SUM(U701*X701)</f>
        <v>0</v>
      </c>
      <c r="Z701" s="41">
        <f t="shared" si="482"/>
        <v>89741.666666666977</v>
      </c>
      <c r="AA701" s="72">
        <f t="shared" ref="AA701:AA703" si="485">2022-I701+V701+X701-1/12-5/12</f>
        <v>5</v>
      </c>
      <c r="AB701" s="41">
        <f>SUM(U701*AA701)</f>
        <v>5384500</v>
      </c>
      <c r="AC701" s="41">
        <f t="shared" si="484"/>
        <v>0</v>
      </c>
      <c r="AD701" s="70" t="s">
        <v>326</v>
      </c>
      <c r="AE701" s="70"/>
      <c r="AG701" s="80"/>
    </row>
    <row r="702" spans="1:33" s="1" customFormat="1" ht="10.5" x14ac:dyDescent="0.25">
      <c r="A702" s="49">
        <v>16</v>
      </c>
      <c r="B702" s="22" t="s">
        <v>1735</v>
      </c>
      <c r="C702" s="22" t="s">
        <v>312</v>
      </c>
      <c r="D702" s="51" t="s">
        <v>1122</v>
      </c>
      <c r="E702" s="24" t="s">
        <v>166</v>
      </c>
      <c r="F702" s="24"/>
      <c r="G702" s="24" t="s">
        <v>319</v>
      </c>
      <c r="H702" s="24" t="s">
        <v>62</v>
      </c>
      <c r="I702" s="24">
        <v>2017</v>
      </c>
      <c r="J702" s="24"/>
      <c r="K702" s="24" t="s">
        <v>63</v>
      </c>
      <c r="L702" s="24" t="s">
        <v>64</v>
      </c>
      <c r="M702" s="24">
        <v>1</v>
      </c>
      <c r="N702" s="41">
        <f t="shared" si="478"/>
        <v>5384500</v>
      </c>
      <c r="O702" s="41">
        <v>5384500</v>
      </c>
      <c r="P702" s="24"/>
      <c r="Q702" s="24"/>
      <c r="R702" s="24"/>
      <c r="S702" s="41">
        <f t="shared" si="479"/>
        <v>5384500</v>
      </c>
      <c r="T702" s="24">
        <v>5</v>
      </c>
      <c r="U702" s="41">
        <f>SUM(S702/T702)</f>
        <v>1076900</v>
      </c>
      <c r="V702" s="24">
        <v>0.5</v>
      </c>
      <c r="W702" s="41">
        <f>SUM(U702*V702)-448708.333333333</f>
        <v>89741.666666666977</v>
      </c>
      <c r="X702" s="24"/>
      <c r="Y702" s="41">
        <f>SUM(U702*X702)</f>
        <v>0</v>
      </c>
      <c r="Z702" s="41">
        <f t="shared" si="482"/>
        <v>89741.666666666977</v>
      </c>
      <c r="AA702" s="72">
        <f t="shared" si="485"/>
        <v>5</v>
      </c>
      <c r="AB702" s="41">
        <f>SUM(U702*AA702)</f>
        <v>5384500</v>
      </c>
      <c r="AC702" s="41">
        <f t="shared" si="484"/>
        <v>0</v>
      </c>
      <c r="AD702" s="70" t="s">
        <v>218</v>
      </c>
      <c r="AE702" s="70"/>
      <c r="AG702" s="80"/>
    </row>
    <row r="703" spans="1:33" s="1" customFormat="1" ht="10.5" x14ac:dyDescent="0.25">
      <c r="A703" s="49">
        <v>17</v>
      </c>
      <c r="B703" s="22" t="s">
        <v>1735</v>
      </c>
      <c r="C703" s="22" t="s">
        <v>313</v>
      </c>
      <c r="D703" s="51" t="s">
        <v>1122</v>
      </c>
      <c r="E703" s="24" t="s">
        <v>166</v>
      </c>
      <c r="F703" s="24"/>
      <c r="G703" s="24" t="s">
        <v>319</v>
      </c>
      <c r="H703" s="24" t="s">
        <v>62</v>
      </c>
      <c r="I703" s="24">
        <v>2017</v>
      </c>
      <c r="J703" s="24"/>
      <c r="K703" s="24" t="s">
        <v>63</v>
      </c>
      <c r="L703" s="24" t="s">
        <v>64</v>
      </c>
      <c r="M703" s="24">
        <v>1</v>
      </c>
      <c r="N703" s="41">
        <f t="shared" si="478"/>
        <v>5384500</v>
      </c>
      <c r="O703" s="41">
        <v>5384500</v>
      </c>
      <c r="P703" s="24"/>
      <c r="Q703" s="24"/>
      <c r="R703" s="24"/>
      <c r="S703" s="41">
        <f t="shared" si="479"/>
        <v>5384500</v>
      </c>
      <c r="T703" s="24">
        <v>5</v>
      </c>
      <c r="U703" s="41">
        <f>SUM(S703/T703)</f>
        <v>1076900</v>
      </c>
      <c r="V703" s="24">
        <v>0.5</v>
      </c>
      <c r="W703" s="41">
        <f>SUM(U703*V703)-448708.333333333</f>
        <v>89741.666666666977</v>
      </c>
      <c r="X703" s="24"/>
      <c r="Y703" s="41">
        <f>SUM(U703*X703)</f>
        <v>0</v>
      </c>
      <c r="Z703" s="41">
        <f t="shared" si="482"/>
        <v>89741.666666666977</v>
      </c>
      <c r="AA703" s="72">
        <f t="shared" si="485"/>
        <v>5</v>
      </c>
      <c r="AB703" s="41">
        <f>SUM(U703*AA703)</f>
        <v>5384500</v>
      </c>
      <c r="AC703" s="41">
        <f t="shared" si="484"/>
        <v>0</v>
      </c>
      <c r="AD703" s="70" t="s">
        <v>324</v>
      </c>
      <c r="AE703" s="70"/>
      <c r="AG703" s="80"/>
    </row>
    <row r="704" spans="1:33" s="1" customFormat="1" ht="10.5" x14ac:dyDescent="0.25">
      <c r="A704" s="49">
        <v>18</v>
      </c>
      <c r="B704" s="22" t="s">
        <v>1735</v>
      </c>
      <c r="C704" s="22"/>
      <c r="D704" s="51" t="s">
        <v>1123</v>
      </c>
      <c r="E704" s="52" t="s">
        <v>166</v>
      </c>
      <c r="F704" s="52"/>
      <c r="G704" s="52" t="s">
        <v>319</v>
      </c>
      <c r="H704" s="52" t="s">
        <v>62</v>
      </c>
      <c r="I704" s="52">
        <v>2022</v>
      </c>
      <c r="J704" s="52"/>
      <c r="K704" s="52" t="s">
        <v>202</v>
      </c>
      <c r="L704" s="52" t="s">
        <v>64</v>
      </c>
      <c r="M704" s="52">
        <v>5</v>
      </c>
      <c r="N704" s="53">
        <f t="shared" si="478"/>
        <v>3141791.6</v>
      </c>
      <c r="O704" s="53">
        <v>15708958</v>
      </c>
      <c r="P704" s="52"/>
      <c r="Q704" s="52"/>
      <c r="R704" s="52"/>
      <c r="S704" s="53">
        <f t="shared" si="479"/>
        <v>15708958</v>
      </c>
      <c r="T704" s="52">
        <v>5</v>
      </c>
      <c r="U704" s="53">
        <f>SUM(S704/T704)</f>
        <v>3141791.6</v>
      </c>
      <c r="V704" s="52"/>
      <c r="W704" s="53"/>
      <c r="X704" s="52">
        <f>9/12</f>
        <v>0.75</v>
      </c>
      <c r="Y704" s="53">
        <f>SUM(U704*X704)</f>
        <v>2356343.7000000002</v>
      </c>
      <c r="Z704" s="53">
        <f t="shared" si="482"/>
        <v>2356343.7000000002</v>
      </c>
      <c r="AA704" s="57">
        <f>9/12</f>
        <v>0.75</v>
      </c>
      <c r="AB704" s="53">
        <f>SUM(U704*AA704)</f>
        <v>2356343.7000000002</v>
      </c>
      <c r="AC704" s="53">
        <f t="shared" si="484"/>
        <v>13352614.300000001</v>
      </c>
      <c r="AD704" s="56"/>
      <c r="AE704" s="70"/>
      <c r="AG704" s="80"/>
    </row>
    <row r="705" spans="1:33" s="1" customFormat="1" ht="10.5" x14ac:dyDescent="0.25">
      <c r="A705" s="49">
        <v>19</v>
      </c>
      <c r="B705" s="22" t="s">
        <v>1736</v>
      </c>
      <c r="C705" s="22" t="s">
        <v>1064</v>
      </c>
      <c r="D705" s="51" t="s">
        <v>1065</v>
      </c>
      <c r="E705" s="24" t="s">
        <v>1066</v>
      </c>
      <c r="F705" s="24"/>
      <c r="G705" s="24" t="s">
        <v>737</v>
      </c>
      <c r="H705" s="24" t="s">
        <v>62</v>
      </c>
      <c r="I705" s="24">
        <v>2012</v>
      </c>
      <c r="J705" s="24"/>
      <c r="K705" s="24" t="s">
        <v>63</v>
      </c>
      <c r="L705" s="24" t="s">
        <v>64</v>
      </c>
      <c r="M705" s="24">
        <v>14</v>
      </c>
      <c r="N705" s="41">
        <f t="shared" si="478"/>
        <v>499400</v>
      </c>
      <c r="O705" s="41">
        <v>6991600</v>
      </c>
      <c r="P705" s="24"/>
      <c r="Q705" s="24"/>
      <c r="R705" s="24"/>
      <c r="S705" s="41">
        <f t="shared" si="479"/>
        <v>6991600</v>
      </c>
      <c r="T705" s="24">
        <v>5</v>
      </c>
      <c r="U705" s="41"/>
      <c r="V705" s="24">
        <v>0.5</v>
      </c>
      <c r="W705" s="41">
        <f t="shared" ref="W705:W740" si="486">SUM(U705*V705)</f>
        <v>0</v>
      </c>
      <c r="X705" s="24"/>
      <c r="Y705" s="41">
        <f t="shared" ref="Y705:Y740" si="487">SUM(U705*X705)</f>
        <v>0</v>
      </c>
      <c r="Z705" s="41">
        <f t="shared" si="482"/>
        <v>0</v>
      </c>
      <c r="AA705" s="24">
        <v>5</v>
      </c>
      <c r="AB705" s="41">
        <v>6991600</v>
      </c>
      <c r="AC705" s="41">
        <f t="shared" si="484"/>
        <v>0</v>
      </c>
      <c r="AD705" s="70" t="s">
        <v>350</v>
      </c>
      <c r="AE705" s="70"/>
      <c r="AG705" s="81"/>
    </row>
    <row r="706" spans="1:33" s="1" customFormat="1" ht="12" customHeight="1" x14ac:dyDescent="0.25">
      <c r="A706" s="49">
        <v>20</v>
      </c>
      <c r="B706" s="22" t="s">
        <v>1736</v>
      </c>
      <c r="C706" s="22" t="s">
        <v>1067</v>
      </c>
      <c r="D706" s="51" t="s">
        <v>1065</v>
      </c>
      <c r="E706" s="24" t="s">
        <v>1066</v>
      </c>
      <c r="F706" s="24"/>
      <c r="G706" s="24" t="s">
        <v>737</v>
      </c>
      <c r="H706" s="24" t="s">
        <v>62</v>
      </c>
      <c r="I706" s="24">
        <v>2012</v>
      </c>
      <c r="J706" s="24"/>
      <c r="K706" s="24" t="s">
        <v>63</v>
      </c>
      <c r="L706" s="24" t="s">
        <v>64</v>
      </c>
      <c r="M706" s="24">
        <v>18</v>
      </c>
      <c r="N706" s="41">
        <f t="shared" si="478"/>
        <v>499400</v>
      </c>
      <c r="O706" s="41">
        <v>8989200</v>
      </c>
      <c r="P706" s="24"/>
      <c r="Q706" s="24"/>
      <c r="R706" s="24"/>
      <c r="S706" s="41">
        <f t="shared" si="479"/>
        <v>8989200</v>
      </c>
      <c r="T706" s="24">
        <v>5</v>
      </c>
      <c r="U706" s="41"/>
      <c r="V706" s="24">
        <v>0.5</v>
      </c>
      <c r="W706" s="41">
        <f t="shared" si="486"/>
        <v>0</v>
      </c>
      <c r="X706" s="24"/>
      <c r="Y706" s="41">
        <f t="shared" si="487"/>
        <v>0</v>
      </c>
      <c r="Z706" s="41">
        <f t="shared" si="482"/>
        <v>0</v>
      </c>
      <c r="AA706" s="24">
        <v>5</v>
      </c>
      <c r="AB706" s="41">
        <v>8989200</v>
      </c>
      <c r="AC706" s="41">
        <f t="shared" si="484"/>
        <v>0</v>
      </c>
      <c r="AD706" s="70" t="s">
        <v>354</v>
      </c>
      <c r="AE706" s="70"/>
      <c r="AG706" s="81"/>
    </row>
    <row r="707" spans="1:33" s="1" customFormat="1" ht="12" customHeight="1" x14ac:dyDescent="0.25">
      <c r="A707" s="49">
        <v>21</v>
      </c>
      <c r="B707" s="22" t="s">
        <v>1736</v>
      </c>
      <c r="C707" s="22" t="s">
        <v>404</v>
      </c>
      <c r="D707" s="51" t="s">
        <v>1065</v>
      </c>
      <c r="E707" s="24" t="s">
        <v>1066</v>
      </c>
      <c r="F707" s="24"/>
      <c r="G707" s="24" t="s">
        <v>737</v>
      </c>
      <c r="H707" s="24" t="s">
        <v>62</v>
      </c>
      <c r="I707" s="24">
        <v>2012</v>
      </c>
      <c r="J707" s="24"/>
      <c r="K707" s="24" t="s">
        <v>63</v>
      </c>
      <c r="L707" s="24" t="s">
        <v>64</v>
      </c>
      <c r="M707" s="24">
        <v>2</v>
      </c>
      <c r="N707" s="41">
        <f t="shared" si="478"/>
        <v>499400</v>
      </c>
      <c r="O707" s="41">
        <v>998800</v>
      </c>
      <c r="P707" s="24"/>
      <c r="Q707" s="24"/>
      <c r="R707" s="24"/>
      <c r="S707" s="41">
        <f t="shared" si="479"/>
        <v>998800</v>
      </c>
      <c r="T707" s="24">
        <v>5</v>
      </c>
      <c r="U707" s="41"/>
      <c r="V707" s="24">
        <v>0.5</v>
      </c>
      <c r="W707" s="41">
        <f t="shared" si="486"/>
        <v>0</v>
      </c>
      <c r="X707" s="24"/>
      <c r="Y707" s="41">
        <f t="shared" si="487"/>
        <v>0</v>
      </c>
      <c r="Z707" s="41">
        <f t="shared" si="482"/>
        <v>0</v>
      </c>
      <c r="AA707" s="24">
        <v>5</v>
      </c>
      <c r="AB707" s="41">
        <v>998800</v>
      </c>
      <c r="AC707" s="41">
        <f t="shared" si="484"/>
        <v>0</v>
      </c>
      <c r="AD707" s="70" t="s">
        <v>259</v>
      </c>
      <c r="AE707" s="70"/>
      <c r="AG707" s="81"/>
    </row>
    <row r="708" spans="1:33" s="1" customFormat="1" ht="12" customHeight="1" x14ac:dyDescent="0.25">
      <c r="A708" s="49">
        <v>22</v>
      </c>
      <c r="B708" s="22" t="s">
        <v>1736</v>
      </c>
      <c r="C708" s="22" t="s">
        <v>1068</v>
      </c>
      <c r="D708" s="51" t="s">
        <v>1069</v>
      </c>
      <c r="E708" s="24" t="s">
        <v>166</v>
      </c>
      <c r="F708" s="24"/>
      <c r="G708" s="24" t="s">
        <v>737</v>
      </c>
      <c r="H708" s="24" t="s">
        <v>62</v>
      </c>
      <c r="I708" s="24">
        <v>2013</v>
      </c>
      <c r="J708" s="24"/>
      <c r="K708" s="24" t="s">
        <v>63</v>
      </c>
      <c r="L708" s="24" t="s">
        <v>64</v>
      </c>
      <c r="M708" s="24">
        <v>4</v>
      </c>
      <c r="N708" s="41">
        <f t="shared" si="478"/>
        <v>6533100</v>
      </c>
      <c r="O708" s="41">
        <v>26132400</v>
      </c>
      <c r="P708" s="24"/>
      <c r="Q708" s="24"/>
      <c r="R708" s="24"/>
      <c r="S708" s="41">
        <f t="shared" si="479"/>
        <v>26132400</v>
      </c>
      <c r="T708" s="24">
        <v>5</v>
      </c>
      <c r="U708" s="41"/>
      <c r="V708" s="24">
        <v>0.5</v>
      </c>
      <c r="W708" s="41">
        <f t="shared" si="486"/>
        <v>0</v>
      </c>
      <c r="X708" s="24"/>
      <c r="Y708" s="41">
        <f t="shared" si="487"/>
        <v>0</v>
      </c>
      <c r="Z708" s="41">
        <f t="shared" si="482"/>
        <v>0</v>
      </c>
      <c r="AA708" s="24">
        <v>5</v>
      </c>
      <c r="AB708" s="41">
        <v>26132400</v>
      </c>
      <c r="AC708" s="41">
        <f t="shared" si="484"/>
        <v>0</v>
      </c>
      <c r="AD708" s="70" t="s">
        <v>1070</v>
      </c>
      <c r="AE708" s="70"/>
      <c r="AG708" s="81"/>
    </row>
    <row r="709" spans="1:33" s="1" customFormat="1" ht="12" customHeight="1" x14ac:dyDescent="0.25">
      <c r="A709" s="49">
        <v>23</v>
      </c>
      <c r="B709" s="22" t="s">
        <v>1736</v>
      </c>
      <c r="C709" s="22" t="s">
        <v>1071</v>
      </c>
      <c r="D709" s="50" t="s">
        <v>1072</v>
      </c>
      <c r="E709" s="24" t="s">
        <v>166</v>
      </c>
      <c r="F709" s="24"/>
      <c r="G709" s="24" t="s">
        <v>767</v>
      </c>
      <c r="H709" s="24" t="s">
        <v>62</v>
      </c>
      <c r="I709" s="24">
        <v>2014</v>
      </c>
      <c r="J709" s="24"/>
      <c r="K709" s="24" t="s">
        <v>63</v>
      </c>
      <c r="L709" s="24" t="s">
        <v>64</v>
      </c>
      <c r="M709" s="24">
        <v>5</v>
      </c>
      <c r="N709" s="41">
        <f t="shared" si="478"/>
        <v>999955</v>
      </c>
      <c r="O709" s="41">
        <v>4999775</v>
      </c>
      <c r="P709" s="24"/>
      <c r="Q709" s="24"/>
      <c r="R709" s="24"/>
      <c r="S709" s="41">
        <f t="shared" si="479"/>
        <v>4999775</v>
      </c>
      <c r="T709" s="24">
        <v>5</v>
      </c>
      <c r="U709" s="41"/>
      <c r="V709" s="24">
        <v>0.5</v>
      </c>
      <c r="W709" s="41">
        <f t="shared" si="486"/>
        <v>0</v>
      </c>
      <c r="X709" s="24"/>
      <c r="Y709" s="41">
        <f t="shared" si="487"/>
        <v>0</v>
      </c>
      <c r="Z709" s="41">
        <f t="shared" si="482"/>
        <v>0</v>
      </c>
      <c r="AA709" s="72">
        <v>5</v>
      </c>
      <c r="AB709" s="41">
        <v>4999775</v>
      </c>
      <c r="AC709" s="41">
        <f t="shared" si="484"/>
        <v>0</v>
      </c>
      <c r="AD709" s="70" t="s">
        <v>1073</v>
      </c>
      <c r="AE709" s="70"/>
      <c r="AG709" s="81"/>
    </row>
    <row r="710" spans="1:33" s="1" customFormat="1" ht="12" customHeight="1" x14ac:dyDescent="0.25">
      <c r="A710" s="49">
        <v>24</v>
      </c>
      <c r="B710" s="22" t="s">
        <v>1736</v>
      </c>
      <c r="C710" s="22" t="s">
        <v>1074</v>
      </c>
      <c r="D710" s="50" t="s">
        <v>1072</v>
      </c>
      <c r="E710" s="24" t="s">
        <v>166</v>
      </c>
      <c r="F710" s="24"/>
      <c r="G710" s="24" t="s">
        <v>767</v>
      </c>
      <c r="H710" s="24" t="s">
        <v>62</v>
      </c>
      <c r="I710" s="24">
        <v>2014</v>
      </c>
      <c r="J710" s="24"/>
      <c r="K710" s="24" t="s">
        <v>63</v>
      </c>
      <c r="L710" s="24" t="s">
        <v>64</v>
      </c>
      <c r="M710" s="24">
        <v>6</v>
      </c>
      <c r="N710" s="41">
        <f t="shared" si="478"/>
        <v>999955</v>
      </c>
      <c r="O710" s="41">
        <v>5999730</v>
      </c>
      <c r="P710" s="24"/>
      <c r="Q710" s="24"/>
      <c r="R710" s="24"/>
      <c r="S710" s="41">
        <f t="shared" si="479"/>
        <v>5999730</v>
      </c>
      <c r="T710" s="24">
        <v>5</v>
      </c>
      <c r="U710" s="41"/>
      <c r="V710" s="24">
        <v>0.5</v>
      </c>
      <c r="W710" s="41">
        <f t="shared" si="486"/>
        <v>0</v>
      </c>
      <c r="X710" s="24"/>
      <c r="Y710" s="41">
        <f t="shared" si="487"/>
        <v>0</v>
      </c>
      <c r="Z710" s="41">
        <f t="shared" si="482"/>
        <v>0</v>
      </c>
      <c r="AA710" s="72">
        <v>5</v>
      </c>
      <c r="AB710" s="41">
        <v>5999730</v>
      </c>
      <c r="AC710" s="41">
        <f t="shared" si="484"/>
        <v>0</v>
      </c>
      <c r="AD710" s="70" t="s">
        <v>220</v>
      </c>
      <c r="AE710" s="70"/>
      <c r="AG710" s="81"/>
    </row>
    <row r="711" spans="1:33" s="1" customFormat="1" ht="12" customHeight="1" x14ac:dyDescent="0.25">
      <c r="A711" s="49">
        <v>25</v>
      </c>
      <c r="B711" s="22" t="s">
        <v>1736</v>
      </c>
      <c r="C711" s="22" t="s">
        <v>1075</v>
      </c>
      <c r="D711" s="50" t="s">
        <v>1072</v>
      </c>
      <c r="E711" s="24" t="s">
        <v>166</v>
      </c>
      <c r="F711" s="24"/>
      <c r="G711" s="24" t="s">
        <v>767</v>
      </c>
      <c r="H711" s="24" t="s">
        <v>62</v>
      </c>
      <c r="I711" s="24">
        <v>2014</v>
      </c>
      <c r="J711" s="24"/>
      <c r="K711" s="24" t="s">
        <v>63</v>
      </c>
      <c r="L711" s="24" t="s">
        <v>64</v>
      </c>
      <c r="M711" s="24">
        <v>5</v>
      </c>
      <c r="N711" s="41">
        <f t="shared" si="478"/>
        <v>999955</v>
      </c>
      <c r="O711" s="41">
        <v>4999775</v>
      </c>
      <c r="P711" s="24"/>
      <c r="Q711" s="24"/>
      <c r="R711" s="24"/>
      <c r="S711" s="41">
        <f t="shared" si="479"/>
        <v>4999775</v>
      </c>
      <c r="T711" s="24">
        <v>5</v>
      </c>
      <c r="U711" s="41"/>
      <c r="V711" s="24">
        <v>0.5</v>
      </c>
      <c r="W711" s="41">
        <f t="shared" si="486"/>
        <v>0</v>
      </c>
      <c r="X711" s="24"/>
      <c r="Y711" s="41">
        <f t="shared" si="487"/>
        <v>0</v>
      </c>
      <c r="Z711" s="41">
        <f t="shared" si="482"/>
        <v>0</v>
      </c>
      <c r="AA711" s="72">
        <v>5</v>
      </c>
      <c r="AB711" s="41">
        <v>4999775</v>
      </c>
      <c r="AC711" s="41">
        <f t="shared" si="484"/>
        <v>0</v>
      </c>
      <c r="AD711" s="70" t="s">
        <v>221</v>
      </c>
      <c r="AE711" s="70"/>
      <c r="AG711" s="81"/>
    </row>
    <row r="712" spans="1:33" s="1" customFormat="1" ht="12" customHeight="1" x14ac:dyDescent="0.25">
      <c r="A712" s="49">
        <v>26</v>
      </c>
      <c r="B712" s="22" t="s">
        <v>1736</v>
      </c>
      <c r="C712" s="22" t="s">
        <v>1076</v>
      </c>
      <c r="D712" s="50" t="s">
        <v>1072</v>
      </c>
      <c r="E712" s="24" t="s">
        <v>166</v>
      </c>
      <c r="F712" s="24"/>
      <c r="G712" s="24" t="s">
        <v>767</v>
      </c>
      <c r="H712" s="24" t="s">
        <v>62</v>
      </c>
      <c r="I712" s="24">
        <v>2014</v>
      </c>
      <c r="J712" s="24"/>
      <c r="K712" s="24" t="s">
        <v>63</v>
      </c>
      <c r="L712" s="24" t="s">
        <v>64</v>
      </c>
      <c r="M712" s="24">
        <v>5</v>
      </c>
      <c r="N712" s="41">
        <f t="shared" si="478"/>
        <v>999955</v>
      </c>
      <c r="O712" s="41">
        <v>4999775</v>
      </c>
      <c r="P712" s="24"/>
      <c r="Q712" s="24"/>
      <c r="R712" s="24"/>
      <c r="S712" s="41">
        <f t="shared" si="479"/>
        <v>4999775</v>
      </c>
      <c r="T712" s="24">
        <v>5</v>
      </c>
      <c r="U712" s="41"/>
      <c r="V712" s="24">
        <v>0.5</v>
      </c>
      <c r="W712" s="41">
        <f t="shared" si="486"/>
        <v>0</v>
      </c>
      <c r="X712" s="24"/>
      <c r="Y712" s="41">
        <f t="shared" si="487"/>
        <v>0</v>
      </c>
      <c r="Z712" s="41">
        <f t="shared" si="482"/>
        <v>0</v>
      </c>
      <c r="AA712" s="72">
        <v>5</v>
      </c>
      <c r="AB712" s="41">
        <v>4999775</v>
      </c>
      <c r="AC712" s="41">
        <f t="shared" si="484"/>
        <v>0</v>
      </c>
      <c r="AD712" s="70" t="s">
        <v>218</v>
      </c>
      <c r="AE712" s="70"/>
      <c r="AG712" s="81"/>
    </row>
    <row r="713" spans="1:33" s="1" customFormat="1" ht="12" customHeight="1" x14ac:dyDescent="0.25">
      <c r="A713" s="49">
        <v>27</v>
      </c>
      <c r="B713" s="22" t="s">
        <v>1736</v>
      </c>
      <c r="C713" s="22" t="s">
        <v>1077</v>
      </c>
      <c r="D713" s="50" t="s">
        <v>1072</v>
      </c>
      <c r="E713" s="24" t="s">
        <v>166</v>
      </c>
      <c r="F713" s="24"/>
      <c r="G713" s="24" t="s">
        <v>767</v>
      </c>
      <c r="H713" s="24" t="s">
        <v>62</v>
      </c>
      <c r="I713" s="24">
        <v>2014</v>
      </c>
      <c r="J713" s="24"/>
      <c r="K713" s="24" t="s">
        <v>63</v>
      </c>
      <c r="L713" s="24" t="s">
        <v>64</v>
      </c>
      <c r="M713" s="24">
        <v>5</v>
      </c>
      <c r="N713" s="41">
        <f t="shared" si="478"/>
        <v>999955</v>
      </c>
      <c r="O713" s="41">
        <v>4999775</v>
      </c>
      <c r="P713" s="24"/>
      <c r="Q713" s="24"/>
      <c r="R713" s="24"/>
      <c r="S713" s="41">
        <f t="shared" si="479"/>
        <v>4999775</v>
      </c>
      <c r="T713" s="24">
        <v>5</v>
      </c>
      <c r="U713" s="41"/>
      <c r="V713" s="24">
        <v>0.5</v>
      </c>
      <c r="W713" s="41">
        <f t="shared" si="486"/>
        <v>0</v>
      </c>
      <c r="X713" s="24"/>
      <c r="Y713" s="41">
        <f t="shared" si="487"/>
        <v>0</v>
      </c>
      <c r="Z713" s="41">
        <f t="shared" si="482"/>
        <v>0</v>
      </c>
      <c r="AA713" s="24">
        <v>5</v>
      </c>
      <c r="AB713" s="41">
        <v>4999775</v>
      </c>
      <c r="AC713" s="41">
        <f t="shared" si="484"/>
        <v>0</v>
      </c>
      <c r="AD713" s="70" t="s">
        <v>217</v>
      </c>
      <c r="AE713" s="70"/>
      <c r="AG713" s="81"/>
    </row>
    <row r="714" spans="1:33" s="1" customFormat="1" ht="12" customHeight="1" x14ac:dyDescent="0.25">
      <c r="A714" s="49">
        <v>28</v>
      </c>
      <c r="B714" s="22" t="s">
        <v>1736</v>
      </c>
      <c r="C714" s="22" t="s">
        <v>1078</v>
      </c>
      <c r="D714" s="50" t="s">
        <v>1072</v>
      </c>
      <c r="E714" s="24" t="s">
        <v>166</v>
      </c>
      <c r="F714" s="24"/>
      <c r="G714" s="24" t="s">
        <v>767</v>
      </c>
      <c r="H714" s="24" t="s">
        <v>62</v>
      </c>
      <c r="I714" s="24">
        <v>2014</v>
      </c>
      <c r="J714" s="24"/>
      <c r="K714" s="24" t="s">
        <v>63</v>
      </c>
      <c r="L714" s="24" t="s">
        <v>64</v>
      </c>
      <c r="M714" s="24">
        <v>2</v>
      </c>
      <c r="N714" s="41">
        <f t="shared" si="478"/>
        <v>999955</v>
      </c>
      <c r="O714" s="41">
        <v>1999910</v>
      </c>
      <c r="P714" s="24"/>
      <c r="Q714" s="24"/>
      <c r="R714" s="24"/>
      <c r="S714" s="41">
        <f t="shared" si="479"/>
        <v>1999910</v>
      </c>
      <c r="T714" s="24">
        <v>5</v>
      </c>
      <c r="U714" s="41"/>
      <c r="V714" s="24">
        <v>0.5</v>
      </c>
      <c r="W714" s="41">
        <f t="shared" si="486"/>
        <v>0</v>
      </c>
      <c r="X714" s="24"/>
      <c r="Y714" s="41">
        <f t="shared" si="487"/>
        <v>0</v>
      </c>
      <c r="Z714" s="41">
        <f t="shared" si="482"/>
        <v>0</v>
      </c>
      <c r="AA714" s="24">
        <v>5</v>
      </c>
      <c r="AB714" s="41">
        <v>1999910</v>
      </c>
      <c r="AC714" s="41">
        <f t="shared" si="484"/>
        <v>0</v>
      </c>
      <c r="AD714" s="70" t="s">
        <v>224</v>
      </c>
      <c r="AE714" s="70"/>
      <c r="AG714" s="81"/>
    </row>
    <row r="715" spans="1:33" s="1" customFormat="1" ht="12" customHeight="1" x14ac:dyDescent="0.25">
      <c r="A715" s="49">
        <v>29</v>
      </c>
      <c r="B715" s="22" t="s">
        <v>1736</v>
      </c>
      <c r="C715" s="22" t="s">
        <v>1079</v>
      </c>
      <c r="D715" s="50" t="s">
        <v>1072</v>
      </c>
      <c r="E715" s="24" t="s">
        <v>166</v>
      </c>
      <c r="F715" s="24"/>
      <c r="G715" s="24" t="s">
        <v>767</v>
      </c>
      <c r="H715" s="24" t="s">
        <v>62</v>
      </c>
      <c r="I715" s="24">
        <v>2014</v>
      </c>
      <c r="J715" s="24"/>
      <c r="K715" s="24" t="s">
        <v>63</v>
      </c>
      <c r="L715" s="24" t="s">
        <v>64</v>
      </c>
      <c r="M715" s="24">
        <v>9</v>
      </c>
      <c r="N715" s="41">
        <f t="shared" si="478"/>
        <v>999955</v>
      </c>
      <c r="O715" s="41">
        <v>8999595</v>
      </c>
      <c r="P715" s="24"/>
      <c r="Q715" s="24"/>
      <c r="R715" s="24"/>
      <c r="S715" s="41">
        <f t="shared" si="479"/>
        <v>8999595</v>
      </c>
      <c r="T715" s="24">
        <v>5</v>
      </c>
      <c r="U715" s="41"/>
      <c r="V715" s="24">
        <v>0.5</v>
      </c>
      <c r="W715" s="41">
        <f t="shared" si="486"/>
        <v>0</v>
      </c>
      <c r="X715" s="24"/>
      <c r="Y715" s="41">
        <f t="shared" si="487"/>
        <v>0</v>
      </c>
      <c r="Z715" s="41">
        <f t="shared" si="482"/>
        <v>0</v>
      </c>
      <c r="AA715" s="24">
        <v>5</v>
      </c>
      <c r="AB715" s="41">
        <v>8999595</v>
      </c>
      <c r="AC715" s="41">
        <f t="shared" si="484"/>
        <v>0</v>
      </c>
      <c r="AD715" s="70" t="s">
        <v>276</v>
      </c>
      <c r="AE715" s="70"/>
      <c r="AG715" s="81"/>
    </row>
    <row r="716" spans="1:33" s="1" customFormat="1" ht="12" customHeight="1" x14ac:dyDescent="0.25">
      <c r="A716" s="49">
        <v>30</v>
      </c>
      <c r="B716" s="22" t="s">
        <v>1736</v>
      </c>
      <c r="C716" s="22" t="s">
        <v>1080</v>
      </c>
      <c r="D716" s="50" t="s">
        <v>1072</v>
      </c>
      <c r="E716" s="24" t="s">
        <v>166</v>
      </c>
      <c r="F716" s="24"/>
      <c r="G716" s="24" t="s">
        <v>767</v>
      </c>
      <c r="H716" s="24" t="s">
        <v>62</v>
      </c>
      <c r="I716" s="24">
        <v>2014</v>
      </c>
      <c r="J716" s="24"/>
      <c r="K716" s="24" t="s">
        <v>63</v>
      </c>
      <c r="L716" s="24" t="s">
        <v>64</v>
      </c>
      <c r="M716" s="24">
        <v>2</v>
      </c>
      <c r="N716" s="41">
        <f t="shared" si="478"/>
        <v>999955</v>
      </c>
      <c r="O716" s="41">
        <v>1999910</v>
      </c>
      <c r="P716" s="24"/>
      <c r="Q716" s="24"/>
      <c r="R716" s="24"/>
      <c r="S716" s="41">
        <f t="shared" si="479"/>
        <v>1999910</v>
      </c>
      <c r="T716" s="24">
        <v>5</v>
      </c>
      <c r="U716" s="41"/>
      <c r="V716" s="24">
        <v>0.5</v>
      </c>
      <c r="W716" s="41">
        <f t="shared" si="486"/>
        <v>0</v>
      </c>
      <c r="X716" s="24"/>
      <c r="Y716" s="41">
        <f t="shared" si="487"/>
        <v>0</v>
      </c>
      <c r="Z716" s="41">
        <f t="shared" si="482"/>
        <v>0</v>
      </c>
      <c r="AA716" s="24">
        <v>5</v>
      </c>
      <c r="AB716" s="41">
        <v>1999910</v>
      </c>
      <c r="AC716" s="41">
        <f t="shared" si="484"/>
        <v>0</v>
      </c>
      <c r="AD716" s="70" t="s">
        <v>331</v>
      </c>
      <c r="AE716" s="70"/>
      <c r="AG716" s="81"/>
    </row>
    <row r="717" spans="1:33" s="1" customFormat="1" ht="12" customHeight="1" x14ac:dyDescent="0.25">
      <c r="A717" s="49">
        <v>31</v>
      </c>
      <c r="B717" s="22" t="s">
        <v>1736</v>
      </c>
      <c r="C717" s="22" t="s">
        <v>1081</v>
      </c>
      <c r="D717" s="50" t="s">
        <v>1072</v>
      </c>
      <c r="E717" s="24" t="s">
        <v>166</v>
      </c>
      <c r="F717" s="24"/>
      <c r="G717" s="24" t="s">
        <v>767</v>
      </c>
      <c r="H717" s="24" t="s">
        <v>62</v>
      </c>
      <c r="I717" s="24">
        <v>2014</v>
      </c>
      <c r="J717" s="24"/>
      <c r="K717" s="24" t="s">
        <v>63</v>
      </c>
      <c r="L717" s="24" t="s">
        <v>64</v>
      </c>
      <c r="M717" s="24">
        <v>3</v>
      </c>
      <c r="N717" s="41">
        <f t="shared" si="478"/>
        <v>999955</v>
      </c>
      <c r="O717" s="41">
        <v>2999865</v>
      </c>
      <c r="P717" s="24"/>
      <c r="Q717" s="24"/>
      <c r="R717" s="24"/>
      <c r="S717" s="41">
        <f t="shared" si="479"/>
        <v>2999865</v>
      </c>
      <c r="T717" s="24">
        <v>5</v>
      </c>
      <c r="U717" s="41"/>
      <c r="V717" s="24">
        <v>0.5</v>
      </c>
      <c r="W717" s="41">
        <f t="shared" si="486"/>
        <v>0</v>
      </c>
      <c r="X717" s="24"/>
      <c r="Y717" s="41">
        <f t="shared" si="487"/>
        <v>0</v>
      </c>
      <c r="Z717" s="41">
        <f t="shared" si="482"/>
        <v>0</v>
      </c>
      <c r="AA717" s="24">
        <v>5</v>
      </c>
      <c r="AB717" s="41">
        <v>2999865</v>
      </c>
      <c r="AC717" s="41">
        <f t="shared" si="484"/>
        <v>0</v>
      </c>
      <c r="AD717" s="70" t="s">
        <v>352</v>
      </c>
      <c r="AE717" s="70"/>
      <c r="AG717" s="81"/>
    </row>
    <row r="718" spans="1:33" s="1" customFormat="1" ht="12" customHeight="1" x14ac:dyDescent="0.25">
      <c r="A718" s="49">
        <v>32</v>
      </c>
      <c r="B718" s="22" t="s">
        <v>1736</v>
      </c>
      <c r="C718" s="22" t="s">
        <v>1082</v>
      </c>
      <c r="D718" s="50" t="s">
        <v>1072</v>
      </c>
      <c r="E718" s="24" t="s">
        <v>166</v>
      </c>
      <c r="F718" s="24"/>
      <c r="G718" s="24" t="s">
        <v>767</v>
      </c>
      <c r="H718" s="24" t="s">
        <v>62</v>
      </c>
      <c r="I718" s="24">
        <v>2014</v>
      </c>
      <c r="J718" s="24"/>
      <c r="K718" s="24" t="s">
        <v>63</v>
      </c>
      <c r="L718" s="24" t="s">
        <v>64</v>
      </c>
      <c r="M718" s="24">
        <v>2</v>
      </c>
      <c r="N718" s="41">
        <f t="shared" si="478"/>
        <v>999955</v>
      </c>
      <c r="O718" s="41">
        <v>1999910</v>
      </c>
      <c r="P718" s="24"/>
      <c r="Q718" s="24"/>
      <c r="R718" s="24"/>
      <c r="S718" s="41">
        <f t="shared" si="479"/>
        <v>1999910</v>
      </c>
      <c r="T718" s="24">
        <v>5</v>
      </c>
      <c r="U718" s="41"/>
      <c r="V718" s="24">
        <v>0.5</v>
      </c>
      <c r="W718" s="41">
        <f t="shared" si="486"/>
        <v>0</v>
      </c>
      <c r="X718" s="24"/>
      <c r="Y718" s="41">
        <f t="shared" si="487"/>
        <v>0</v>
      </c>
      <c r="Z718" s="41">
        <f t="shared" si="482"/>
        <v>0</v>
      </c>
      <c r="AA718" s="24">
        <v>5</v>
      </c>
      <c r="AB718" s="41">
        <v>1999910</v>
      </c>
      <c r="AC718" s="41">
        <f t="shared" si="484"/>
        <v>0</v>
      </c>
      <c r="AD718" s="70" t="s">
        <v>311</v>
      </c>
      <c r="AE718" s="70"/>
      <c r="AG718" s="81"/>
    </row>
    <row r="719" spans="1:33" s="1" customFormat="1" ht="12" customHeight="1" x14ac:dyDescent="0.25">
      <c r="A719" s="49">
        <v>33</v>
      </c>
      <c r="B719" s="22" t="s">
        <v>1736</v>
      </c>
      <c r="C719" s="22" t="s">
        <v>1083</v>
      </c>
      <c r="D719" s="50" t="s">
        <v>1072</v>
      </c>
      <c r="E719" s="24" t="s">
        <v>166</v>
      </c>
      <c r="F719" s="24"/>
      <c r="G719" s="24" t="s">
        <v>767</v>
      </c>
      <c r="H719" s="24" t="s">
        <v>62</v>
      </c>
      <c r="I719" s="24">
        <v>2014</v>
      </c>
      <c r="J719" s="24"/>
      <c r="K719" s="24" t="s">
        <v>63</v>
      </c>
      <c r="L719" s="24" t="s">
        <v>64</v>
      </c>
      <c r="M719" s="24">
        <v>1</v>
      </c>
      <c r="N719" s="41">
        <f t="shared" si="478"/>
        <v>999955</v>
      </c>
      <c r="O719" s="41">
        <v>999955</v>
      </c>
      <c r="P719" s="24"/>
      <c r="Q719" s="24"/>
      <c r="R719" s="24"/>
      <c r="S719" s="41">
        <f t="shared" si="479"/>
        <v>999955</v>
      </c>
      <c r="T719" s="24">
        <v>5</v>
      </c>
      <c r="U719" s="41"/>
      <c r="V719" s="24">
        <v>0.5</v>
      </c>
      <c r="W719" s="41">
        <f t="shared" si="486"/>
        <v>0</v>
      </c>
      <c r="X719" s="24"/>
      <c r="Y719" s="41">
        <f t="shared" si="487"/>
        <v>0</v>
      </c>
      <c r="Z719" s="41">
        <f t="shared" si="482"/>
        <v>0</v>
      </c>
      <c r="AA719" s="24">
        <v>5</v>
      </c>
      <c r="AB719" s="41">
        <v>999955</v>
      </c>
      <c r="AC719" s="41">
        <f t="shared" si="484"/>
        <v>0</v>
      </c>
      <c r="AD719" s="70" t="s">
        <v>1084</v>
      </c>
      <c r="AE719" s="70"/>
      <c r="AG719" s="81"/>
    </row>
    <row r="720" spans="1:33" s="1" customFormat="1" ht="12" customHeight="1" x14ac:dyDescent="0.25">
      <c r="A720" s="49">
        <v>34</v>
      </c>
      <c r="B720" s="22" t="s">
        <v>1736</v>
      </c>
      <c r="C720" s="22" t="s">
        <v>1085</v>
      </c>
      <c r="D720" s="51" t="s">
        <v>1086</v>
      </c>
      <c r="E720" s="24" t="s">
        <v>166</v>
      </c>
      <c r="F720" s="24"/>
      <c r="G720" s="24" t="s">
        <v>767</v>
      </c>
      <c r="H720" s="24" t="s">
        <v>62</v>
      </c>
      <c r="I720" s="24">
        <v>2014</v>
      </c>
      <c r="J720" s="24"/>
      <c r="K720" s="24" t="s">
        <v>63</v>
      </c>
      <c r="L720" s="24" t="s">
        <v>64</v>
      </c>
      <c r="M720" s="24">
        <v>3</v>
      </c>
      <c r="N720" s="41">
        <f t="shared" si="478"/>
        <v>2486000</v>
      </c>
      <c r="O720" s="41">
        <v>7458000</v>
      </c>
      <c r="P720" s="24"/>
      <c r="Q720" s="24"/>
      <c r="R720" s="24"/>
      <c r="S720" s="41">
        <f t="shared" si="479"/>
        <v>7458000</v>
      </c>
      <c r="T720" s="24">
        <v>5</v>
      </c>
      <c r="U720" s="41"/>
      <c r="V720" s="24">
        <v>0.5</v>
      </c>
      <c r="W720" s="41">
        <f t="shared" si="486"/>
        <v>0</v>
      </c>
      <c r="X720" s="24"/>
      <c r="Y720" s="41">
        <f t="shared" si="487"/>
        <v>0</v>
      </c>
      <c r="Z720" s="41">
        <f t="shared" si="482"/>
        <v>0</v>
      </c>
      <c r="AA720" s="24">
        <v>5</v>
      </c>
      <c r="AB720" s="41">
        <v>7458000</v>
      </c>
      <c r="AC720" s="41">
        <f t="shared" si="484"/>
        <v>0</v>
      </c>
      <c r="AD720" s="70" t="s">
        <v>218</v>
      </c>
      <c r="AE720" s="70"/>
      <c r="AG720" s="81"/>
    </row>
    <row r="721" spans="1:33" s="1" customFormat="1" ht="12" customHeight="1" x14ac:dyDescent="0.25">
      <c r="A721" s="49">
        <v>35</v>
      </c>
      <c r="B721" s="22" t="s">
        <v>1736</v>
      </c>
      <c r="C721" s="22" t="s">
        <v>1087</v>
      </c>
      <c r="D721" s="51" t="s">
        <v>1086</v>
      </c>
      <c r="E721" s="24" t="s">
        <v>166</v>
      </c>
      <c r="F721" s="24"/>
      <c r="G721" s="24" t="s">
        <v>767</v>
      </c>
      <c r="H721" s="24" t="s">
        <v>62</v>
      </c>
      <c r="I721" s="24">
        <v>2014</v>
      </c>
      <c r="J721" s="24"/>
      <c r="K721" s="24" t="s">
        <v>63</v>
      </c>
      <c r="L721" s="24" t="s">
        <v>64</v>
      </c>
      <c r="M721" s="24">
        <v>3</v>
      </c>
      <c r="N721" s="41">
        <f t="shared" si="478"/>
        <v>2486000</v>
      </c>
      <c r="O721" s="41">
        <v>7458000</v>
      </c>
      <c r="P721" s="24"/>
      <c r="Q721" s="24"/>
      <c r="R721" s="24"/>
      <c r="S721" s="41">
        <f t="shared" si="479"/>
        <v>7458000</v>
      </c>
      <c r="T721" s="24">
        <v>5</v>
      </c>
      <c r="U721" s="41"/>
      <c r="V721" s="24">
        <v>0.5</v>
      </c>
      <c r="W721" s="41">
        <f t="shared" si="486"/>
        <v>0</v>
      </c>
      <c r="X721" s="24"/>
      <c r="Y721" s="41">
        <f t="shared" si="487"/>
        <v>0</v>
      </c>
      <c r="Z721" s="41">
        <f t="shared" si="482"/>
        <v>0</v>
      </c>
      <c r="AA721" s="24">
        <v>5</v>
      </c>
      <c r="AB721" s="41">
        <v>7458000</v>
      </c>
      <c r="AC721" s="41">
        <f t="shared" si="484"/>
        <v>0</v>
      </c>
      <c r="AD721" s="70" t="s">
        <v>219</v>
      </c>
      <c r="AE721" s="70"/>
      <c r="AG721" s="81"/>
    </row>
    <row r="722" spans="1:33" s="1" customFormat="1" ht="12" customHeight="1" x14ac:dyDescent="0.25">
      <c r="A722" s="49">
        <v>36</v>
      </c>
      <c r="B722" s="22" t="s">
        <v>1736</v>
      </c>
      <c r="C722" s="22" t="s">
        <v>1088</v>
      </c>
      <c r="D722" s="51" t="s">
        <v>1086</v>
      </c>
      <c r="E722" s="24" t="s">
        <v>166</v>
      </c>
      <c r="F722" s="24"/>
      <c r="G722" s="24" t="s">
        <v>767</v>
      </c>
      <c r="H722" s="24" t="s">
        <v>62</v>
      </c>
      <c r="I722" s="24">
        <v>2014</v>
      </c>
      <c r="J722" s="24"/>
      <c r="K722" s="24" t="s">
        <v>63</v>
      </c>
      <c r="L722" s="24" t="s">
        <v>64</v>
      </c>
      <c r="M722" s="24">
        <v>3</v>
      </c>
      <c r="N722" s="41">
        <f t="shared" si="478"/>
        <v>2486000</v>
      </c>
      <c r="O722" s="41">
        <v>7458000</v>
      </c>
      <c r="P722" s="24"/>
      <c r="Q722" s="24"/>
      <c r="R722" s="24"/>
      <c r="S722" s="41">
        <f t="shared" si="479"/>
        <v>7458000</v>
      </c>
      <c r="T722" s="24">
        <v>5</v>
      </c>
      <c r="U722" s="41"/>
      <c r="V722" s="24">
        <v>0.5</v>
      </c>
      <c r="W722" s="41">
        <f t="shared" si="486"/>
        <v>0</v>
      </c>
      <c r="X722" s="24"/>
      <c r="Y722" s="41">
        <f t="shared" si="487"/>
        <v>0</v>
      </c>
      <c r="Z722" s="41">
        <f t="shared" si="482"/>
        <v>0</v>
      </c>
      <c r="AA722" s="24">
        <v>5</v>
      </c>
      <c r="AB722" s="41">
        <v>7458000</v>
      </c>
      <c r="AC722" s="41">
        <f t="shared" si="484"/>
        <v>0</v>
      </c>
      <c r="AD722" s="70" t="s">
        <v>220</v>
      </c>
      <c r="AE722" s="70"/>
      <c r="AG722" s="81"/>
    </row>
    <row r="723" spans="1:33" s="1" customFormat="1" ht="12" customHeight="1" x14ac:dyDescent="0.25">
      <c r="A723" s="49">
        <v>37</v>
      </c>
      <c r="B723" s="22" t="s">
        <v>1736</v>
      </c>
      <c r="C723" s="22" t="s">
        <v>1089</v>
      </c>
      <c r="D723" s="51" t="s">
        <v>1086</v>
      </c>
      <c r="E723" s="24" t="s">
        <v>166</v>
      </c>
      <c r="F723" s="24"/>
      <c r="G723" s="24" t="s">
        <v>767</v>
      </c>
      <c r="H723" s="24" t="s">
        <v>62</v>
      </c>
      <c r="I723" s="24">
        <v>2014</v>
      </c>
      <c r="J723" s="24"/>
      <c r="K723" s="24" t="s">
        <v>63</v>
      </c>
      <c r="L723" s="24" t="s">
        <v>64</v>
      </c>
      <c r="M723" s="24">
        <v>3</v>
      </c>
      <c r="N723" s="41">
        <f t="shared" si="478"/>
        <v>2486000</v>
      </c>
      <c r="O723" s="41">
        <v>7458000</v>
      </c>
      <c r="P723" s="24"/>
      <c r="Q723" s="24"/>
      <c r="R723" s="24"/>
      <c r="S723" s="41">
        <f t="shared" si="479"/>
        <v>7458000</v>
      </c>
      <c r="T723" s="24">
        <v>5</v>
      </c>
      <c r="U723" s="41"/>
      <c r="V723" s="24">
        <v>0.5</v>
      </c>
      <c r="W723" s="41">
        <f t="shared" si="486"/>
        <v>0</v>
      </c>
      <c r="X723" s="24"/>
      <c r="Y723" s="41">
        <f t="shared" si="487"/>
        <v>0</v>
      </c>
      <c r="Z723" s="41">
        <f t="shared" si="482"/>
        <v>0</v>
      </c>
      <c r="AA723" s="24">
        <v>5</v>
      </c>
      <c r="AB723" s="41">
        <v>7458000</v>
      </c>
      <c r="AC723" s="41">
        <f t="shared" si="484"/>
        <v>0</v>
      </c>
      <c r="AD723" s="70" t="s">
        <v>221</v>
      </c>
      <c r="AE723" s="70"/>
      <c r="AG723" s="81"/>
    </row>
    <row r="724" spans="1:33" s="1" customFormat="1" ht="12" customHeight="1" x14ac:dyDescent="0.25">
      <c r="A724" s="49">
        <v>38</v>
      </c>
      <c r="B724" s="22" t="s">
        <v>1736</v>
      </c>
      <c r="C724" s="22" t="s">
        <v>1090</v>
      </c>
      <c r="D724" s="51" t="s">
        <v>1086</v>
      </c>
      <c r="E724" s="24" t="s">
        <v>166</v>
      </c>
      <c r="F724" s="24"/>
      <c r="G724" s="24" t="s">
        <v>767</v>
      </c>
      <c r="H724" s="24" t="s">
        <v>62</v>
      </c>
      <c r="I724" s="24">
        <v>2014</v>
      </c>
      <c r="J724" s="24"/>
      <c r="K724" s="24" t="s">
        <v>63</v>
      </c>
      <c r="L724" s="24" t="s">
        <v>64</v>
      </c>
      <c r="M724" s="24">
        <v>1</v>
      </c>
      <c r="N724" s="41">
        <f t="shared" si="478"/>
        <v>2486000</v>
      </c>
      <c r="O724" s="41">
        <v>2486000</v>
      </c>
      <c r="P724" s="24"/>
      <c r="Q724" s="24"/>
      <c r="R724" s="24"/>
      <c r="S724" s="41">
        <f t="shared" si="479"/>
        <v>2486000</v>
      </c>
      <c r="T724" s="24">
        <v>5</v>
      </c>
      <c r="U724" s="41"/>
      <c r="V724" s="24">
        <v>0.5</v>
      </c>
      <c r="W724" s="41">
        <f t="shared" si="486"/>
        <v>0</v>
      </c>
      <c r="X724" s="24"/>
      <c r="Y724" s="41">
        <f t="shared" si="487"/>
        <v>0</v>
      </c>
      <c r="Z724" s="41">
        <f t="shared" si="482"/>
        <v>0</v>
      </c>
      <c r="AA724" s="24">
        <v>5</v>
      </c>
      <c r="AB724" s="41">
        <v>2486000</v>
      </c>
      <c r="AC724" s="41">
        <f t="shared" si="484"/>
        <v>0</v>
      </c>
      <c r="AD724" s="70" t="s">
        <v>276</v>
      </c>
      <c r="AE724" s="70"/>
      <c r="AG724" s="81"/>
    </row>
    <row r="725" spans="1:33" s="1" customFormat="1" ht="12" customHeight="1" x14ac:dyDescent="0.25">
      <c r="A725" s="49">
        <v>39</v>
      </c>
      <c r="B725" s="22" t="s">
        <v>1736</v>
      </c>
      <c r="C725" s="22" t="s">
        <v>1091</v>
      </c>
      <c r="D725" s="51" t="s">
        <v>1086</v>
      </c>
      <c r="E725" s="24" t="s">
        <v>166</v>
      </c>
      <c r="F725" s="24"/>
      <c r="G725" s="24" t="s">
        <v>767</v>
      </c>
      <c r="H725" s="24" t="s">
        <v>62</v>
      </c>
      <c r="I725" s="24">
        <v>2014</v>
      </c>
      <c r="J725" s="24"/>
      <c r="K725" s="24" t="s">
        <v>63</v>
      </c>
      <c r="L725" s="24" t="s">
        <v>64</v>
      </c>
      <c r="M725" s="24">
        <v>1</v>
      </c>
      <c r="N725" s="41">
        <f t="shared" si="478"/>
        <v>2486000</v>
      </c>
      <c r="O725" s="41">
        <v>2486000</v>
      </c>
      <c r="P725" s="24"/>
      <c r="Q725" s="24"/>
      <c r="R725" s="24"/>
      <c r="S725" s="41">
        <f t="shared" si="479"/>
        <v>2486000</v>
      </c>
      <c r="T725" s="24">
        <v>5</v>
      </c>
      <c r="U725" s="41"/>
      <c r="V725" s="24">
        <v>0.5</v>
      </c>
      <c r="W725" s="41">
        <f t="shared" si="486"/>
        <v>0</v>
      </c>
      <c r="X725" s="24"/>
      <c r="Y725" s="41">
        <f t="shared" si="487"/>
        <v>0</v>
      </c>
      <c r="Z725" s="41">
        <f t="shared" si="482"/>
        <v>0</v>
      </c>
      <c r="AA725" s="24">
        <v>5</v>
      </c>
      <c r="AB725" s="41">
        <v>2486000</v>
      </c>
      <c r="AC725" s="41">
        <f t="shared" si="484"/>
        <v>0</v>
      </c>
      <c r="AD725" s="70" t="s">
        <v>328</v>
      </c>
      <c r="AE725" s="70"/>
      <c r="AG725" s="81"/>
    </row>
    <row r="726" spans="1:33" s="1" customFormat="1" ht="12" customHeight="1" x14ac:dyDescent="0.25">
      <c r="A726" s="49">
        <v>40</v>
      </c>
      <c r="B726" s="22" t="s">
        <v>1736</v>
      </c>
      <c r="C726" s="22" t="s">
        <v>1092</v>
      </c>
      <c r="D726" s="51" t="s">
        <v>1086</v>
      </c>
      <c r="E726" s="24" t="s">
        <v>166</v>
      </c>
      <c r="F726" s="24"/>
      <c r="G726" s="24" t="s">
        <v>767</v>
      </c>
      <c r="H726" s="24" t="s">
        <v>62</v>
      </c>
      <c r="I726" s="24">
        <v>2014</v>
      </c>
      <c r="J726" s="24"/>
      <c r="K726" s="24" t="s">
        <v>63</v>
      </c>
      <c r="L726" s="24" t="s">
        <v>64</v>
      </c>
      <c r="M726" s="24">
        <v>1</v>
      </c>
      <c r="N726" s="41">
        <f t="shared" si="478"/>
        <v>2486000</v>
      </c>
      <c r="O726" s="41">
        <v>2486000</v>
      </c>
      <c r="P726" s="24"/>
      <c r="Q726" s="24"/>
      <c r="R726" s="24"/>
      <c r="S726" s="41">
        <f t="shared" si="479"/>
        <v>2486000</v>
      </c>
      <c r="T726" s="24">
        <v>5</v>
      </c>
      <c r="U726" s="41"/>
      <c r="V726" s="24">
        <v>0.5</v>
      </c>
      <c r="W726" s="41">
        <f t="shared" si="486"/>
        <v>0</v>
      </c>
      <c r="X726" s="24"/>
      <c r="Y726" s="41">
        <f t="shared" si="487"/>
        <v>0</v>
      </c>
      <c r="Z726" s="41">
        <f t="shared" si="482"/>
        <v>0</v>
      </c>
      <c r="AA726" s="24">
        <v>5</v>
      </c>
      <c r="AB726" s="41">
        <v>2486000</v>
      </c>
      <c r="AC726" s="41">
        <f t="shared" si="484"/>
        <v>0</v>
      </c>
      <c r="AD726" s="70" t="s">
        <v>331</v>
      </c>
      <c r="AE726" s="70"/>
      <c r="AG726" s="81"/>
    </row>
    <row r="727" spans="1:33" s="1" customFormat="1" ht="12" customHeight="1" x14ac:dyDescent="0.25">
      <c r="A727" s="49">
        <v>41</v>
      </c>
      <c r="B727" s="22" t="s">
        <v>1736</v>
      </c>
      <c r="C727" s="22" t="s">
        <v>1093</v>
      </c>
      <c r="D727" s="51" t="s">
        <v>1086</v>
      </c>
      <c r="E727" s="24" t="s">
        <v>166</v>
      </c>
      <c r="F727" s="24"/>
      <c r="G727" s="24" t="s">
        <v>767</v>
      </c>
      <c r="H727" s="24" t="s">
        <v>62</v>
      </c>
      <c r="I727" s="24">
        <v>2014</v>
      </c>
      <c r="J727" s="24"/>
      <c r="K727" s="24" t="s">
        <v>63</v>
      </c>
      <c r="L727" s="24" t="s">
        <v>64</v>
      </c>
      <c r="M727" s="24">
        <v>1</v>
      </c>
      <c r="N727" s="41">
        <f t="shared" si="478"/>
        <v>2486000</v>
      </c>
      <c r="O727" s="41">
        <v>2486000</v>
      </c>
      <c r="P727" s="24"/>
      <c r="Q727" s="24"/>
      <c r="R727" s="24"/>
      <c r="S727" s="41">
        <f t="shared" si="479"/>
        <v>2486000</v>
      </c>
      <c r="T727" s="24">
        <v>5</v>
      </c>
      <c r="U727" s="41"/>
      <c r="V727" s="24">
        <v>0.5</v>
      </c>
      <c r="W727" s="41">
        <f t="shared" si="486"/>
        <v>0</v>
      </c>
      <c r="X727" s="24"/>
      <c r="Y727" s="41">
        <f t="shared" si="487"/>
        <v>0</v>
      </c>
      <c r="Z727" s="41">
        <f t="shared" si="482"/>
        <v>0</v>
      </c>
      <c r="AA727" s="24">
        <v>5</v>
      </c>
      <c r="AB727" s="41">
        <v>2486000</v>
      </c>
      <c r="AC727" s="41">
        <f t="shared" si="484"/>
        <v>0</v>
      </c>
      <c r="AD727" s="70" t="s">
        <v>208</v>
      </c>
      <c r="AE727" s="70"/>
      <c r="AG727" s="81"/>
    </row>
    <row r="728" spans="1:33" s="1" customFormat="1" ht="12" customHeight="1" x14ac:dyDescent="0.25">
      <c r="A728" s="49">
        <v>42</v>
      </c>
      <c r="B728" s="22" t="s">
        <v>1736</v>
      </c>
      <c r="C728" s="22" t="s">
        <v>1094</v>
      </c>
      <c r="D728" s="51" t="s">
        <v>1086</v>
      </c>
      <c r="E728" s="24" t="s">
        <v>166</v>
      </c>
      <c r="F728" s="24"/>
      <c r="G728" s="24" t="s">
        <v>767</v>
      </c>
      <c r="H728" s="24" t="s">
        <v>62</v>
      </c>
      <c r="I728" s="24">
        <v>2014</v>
      </c>
      <c r="J728" s="24"/>
      <c r="K728" s="24" t="s">
        <v>63</v>
      </c>
      <c r="L728" s="24" t="s">
        <v>64</v>
      </c>
      <c r="M728" s="24">
        <v>6</v>
      </c>
      <c r="N728" s="41">
        <f t="shared" si="478"/>
        <v>2486000</v>
      </c>
      <c r="O728" s="41">
        <v>14916000</v>
      </c>
      <c r="P728" s="24"/>
      <c r="Q728" s="24"/>
      <c r="R728" s="24"/>
      <c r="S728" s="41">
        <f t="shared" si="479"/>
        <v>14916000</v>
      </c>
      <c r="T728" s="24">
        <v>5</v>
      </c>
      <c r="U728" s="41"/>
      <c r="V728" s="24">
        <v>0.5</v>
      </c>
      <c r="W728" s="41">
        <f t="shared" si="486"/>
        <v>0</v>
      </c>
      <c r="X728" s="24"/>
      <c r="Y728" s="41">
        <f t="shared" si="487"/>
        <v>0</v>
      </c>
      <c r="Z728" s="41">
        <f t="shared" si="482"/>
        <v>0</v>
      </c>
      <c r="AA728" s="24">
        <v>5</v>
      </c>
      <c r="AB728" s="41">
        <v>14916000</v>
      </c>
      <c r="AC728" s="41">
        <f t="shared" si="484"/>
        <v>0</v>
      </c>
      <c r="AD728" s="70" t="s">
        <v>608</v>
      </c>
      <c r="AE728" s="70"/>
      <c r="AG728" s="81"/>
    </row>
    <row r="729" spans="1:33" s="1" customFormat="1" ht="12" customHeight="1" x14ac:dyDescent="0.25">
      <c r="A729" s="49">
        <v>43</v>
      </c>
      <c r="B729" s="22" t="s">
        <v>1736</v>
      </c>
      <c r="C729" s="22" t="s">
        <v>1095</v>
      </c>
      <c r="D729" s="51" t="s">
        <v>1096</v>
      </c>
      <c r="E729" s="24" t="s">
        <v>166</v>
      </c>
      <c r="F729" s="24"/>
      <c r="G729" s="24" t="s">
        <v>767</v>
      </c>
      <c r="H729" s="24" t="s">
        <v>62</v>
      </c>
      <c r="I729" s="24">
        <v>2014</v>
      </c>
      <c r="J729" s="24"/>
      <c r="K729" s="24" t="s">
        <v>63</v>
      </c>
      <c r="L729" s="24" t="s">
        <v>64</v>
      </c>
      <c r="M729" s="24">
        <v>1</v>
      </c>
      <c r="N729" s="41">
        <f t="shared" si="478"/>
        <v>4950000</v>
      </c>
      <c r="O729" s="41">
        <v>4950000</v>
      </c>
      <c r="P729" s="24"/>
      <c r="Q729" s="24"/>
      <c r="R729" s="24"/>
      <c r="S729" s="41">
        <f t="shared" si="479"/>
        <v>4950000</v>
      </c>
      <c r="T729" s="24">
        <v>5</v>
      </c>
      <c r="U729" s="41"/>
      <c r="V729" s="24">
        <v>0.5</v>
      </c>
      <c r="W729" s="41">
        <f t="shared" si="486"/>
        <v>0</v>
      </c>
      <c r="X729" s="24"/>
      <c r="Y729" s="41">
        <f t="shared" si="487"/>
        <v>0</v>
      </c>
      <c r="Z729" s="41">
        <f t="shared" si="482"/>
        <v>0</v>
      </c>
      <c r="AA729" s="24">
        <v>5</v>
      </c>
      <c r="AB729" s="41">
        <v>4950000</v>
      </c>
      <c r="AC729" s="41">
        <f t="shared" si="484"/>
        <v>0</v>
      </c>
      <c r="AD729" s="70" t="s">
        <v>311</v>
      </c>
      <c r="AE729" s="70"/>
      <c r="AG729" s="81"/>
    </row>
    <row r="730" spans="1:33" s="1" customFormat="1" ht="12" customHeight="1" x14ac:dyDescent="0.25">
      <c r="A730" s="49">
        <v>44</v>
      </c>
      <c r="B730" s="22" t="s">
        <v>1736</v>
      </c>
      <c r="C730" s="22" t="s">
        <v>1097</v>
      </c>
      <c r="D730" s="51" t="s">
        <v>1096</v>
      </c>
      <c r="E730" s="24" t="s">
        <v>166</v>
      </c>
      <c r="F730" s="24"/>
      <c r="G730" s="24" t="s">
        <v>767</v>
      </c>
      <c r="H730" s="24" t="s">
        <v>62</v>
      </c>
      <c r="I730" s="24">
        <v>2014</v>
      </c>
      <c r="J730" s="24"/>
      <c r="K730" s="24" t="s">
        <v>63</v>
      </c>
      <c r="L730" s="24" t="s">
        <v>64</v>
      </c>
      <c r="M730" s="24">
        <v>1</v>
      </c>
      <c r="N730" s="41">
        <f t="shared" si="478"/>
        <v>4950000</v>
      </c>
      <c r="O730" s="41">
        <v>4950000</v>
      </c>
      <c r="P730" s="24"/>
      <c r="Q730" s="24"/>
      <c r="R730" s="24"/>
      <c r="S730" s="41">
        <f t="shared" si="479"/>
        <v>4950000</v>
      </c>
      <c r="T730" s="24">
        <v>5</v>
      </c>
      <c r="U730" s="41"/>
      <c r="V730" s="24">
        <v>0.5</v>
      </c>
      <c r="W730" s="41">
        <f t="shared" si="486"/>
        <v>0</v>
      </c>
      <c r="X730" s="24"/>
      <c r="Y730" s="41">
        <f t="shared" si="487"/>
        <v>0</v>
      </c>
      <c r="Z730" s="41">
        <f t="shared" si="482"/>
        <v>0</v>
      </c>
      <c r="AA730" s="24">
        <v>5</v>
      </c>
      <c r="AB730" s="41">
        <v>4950000</v>
      </c>
      <c r="AC730" s="41">
        <f t="shared" si="484"/>
        <v>0</v>
      </c>
      <c r="AD730" s="70" t="s">
        <v>352</v>
      </c>
      <c r="AE730" s="70"/>
      <c r="AG730" s="81"/>
    </row>
    <row r="731" spans="1:33" s="1" customFormat="1" ht="12" customHeight="1" x14ac:dyDescent="0.25">
      <c r="A731" s="49">
        <v>45</v>
      </c>
      <c r="B731" s="22" t="s">
        <v>1737</v>
      </c>
      <c r="C731" s="22" t="s">
        <v>1098</v>
      </c>
      <c r="D731" s="51" t="s">
        <v>1099</v>
      </c>
      <c r="E731" s="24" t="s">
        <v>1100</v>
      </c>
      <c r="F731" s="24"/>
      <c r="G731" s="24" t="s">
        <v>737</v>
      </c>
      <c r="H731" s="24" t="s">
        <v>62</v>
      </c>
      <c r="I731" s="24">
        <v>2007</v>
      </c>
      <c r="J731" s="24"/>
      <c r="K731" s="24" t="s">
        <v>63</v>
      </c>
      <c r="L731" s="24" t="s">
        <v>64</v>
      </c>
      <c r="M731" s="24">
        <v>6</v>
      </c>
      <c r="N731" s="41">
        <f t="shared" si="478"/>
        <v>370000</v>
      </c>
      <c r="O731" s="41">
        <v>2220000</v>
      </c>
      <c r="P731" s="24"/>
      <c r="Q731" s="24"/>
      <c r="R731" s="24"/>
      <c r="S731" s="41">
        <f t="shared" si="479"/>
        <v>2220000</v>
      </c>
      <c r="T731" s="24">
        <v>5</v>
      </c>
      <c r="U731" s="41"/>
      <c r="V731" s="24">
        <v>0.5</v>
      </c>
      <c r="W731" s="41">
        <f t="shared" si="486"/>
        <v>0</v>
      </c>
      <c r="X731" s="24"/>
      <c r="Y731" s="41">
        <f t="shared" si="487"/>
        <v>0</v>
      </c>
      <c r="Z731" s="41">
        <f t="shared" si="482"/>
        <v>0</v>
      </c>
      <c r="AA731" s="24">
        <v>5</v>
      </c>
      <c r="AB731" s="41">
        <v>2220000</v>
      </c>
      <c r="AC731" s="41">
        <f t="shared" si="484"/>
        <v>0</v>
      </c>
      <c r="AD731" s="70" t="s">
        <v>208</v>
      </c>
      <c r="AE731" s="70"/>
      <c r="AG731" s="81"/>
    </row>
    <row r="732" spans="1:33" s="1" customFormat="1" ht="12" customHeight="1" x14ac:dyDescent="0.25">
      <c r="A732" s="49">
        <v>46</v>
      </c>
      <c r="B732" s="22" t="s">
        <v>1737</v>
      </c>
      <c r="C732" s="22" t="s">
        <v>1101</v>
      </c>
      <c r="D732" s="51" t="s">
        <v>1099</v>
      </c>
      <c r="E732" s="24" t="s">
        <v>1100</v>
      </c>
      <c r="F732" s="24"/>
      <c r="G732" s="24" t="s">
        <v>737</v>
      </c>
      <c r="H732" s="24" t="s">
        <v>62</v>
      </c>
      <c r="I732" s="24">
        <v>2007</v>
      </c>
      <c r="J732" s="24"/>
      <c r="K732" s="24" t="s">
        <v>63</v>
      </c>
      <c r="L732" s="24" t="s">
        <v>64</v>
      </c>
      <c r="M732" s="24">
        <v>13</v>
      </c>
      <c r="N732" s="41">
        <f t="shared" si="478"/>
        <v>370000</v>
      </c>
      <c r="O732" s="41">
        <v>4810000</v>
      </c>
      <c r="P732" s="24"/>
      <c r="Q732" s="24"/>
      <c r="R732" s="24"/>
      <c r="S732" s="41">
        <f t="shared" si="479"/>
        <v>4810000</v>
      </c>
      <c r="T732" s="24">
        <v>5</v>
      </c>
      <c r="U732" s="41"/>
      <c r="V732" s="24">
        <v>0.5</v>
      </c>
      <c r="W732" s="41">
        <f t="shared" si="486"/>
        <v>0</v>
      </c>
      <c r="X732" s="24"/>
      <c r="Y732" s="41">
        <f t="shared" si="487"/>
        <v>0</v>
      </c>
      <c r="Z732" s="41">
        <f t="shared" si="482"/>
        <v>0</v>
      </c>
      <c r="AA732" s="24">
        <v>5</v>
      </c>
      <c r="AB732" s="41">
        <v>4810000</v>
      </c>
      <c r="AC732" s="41">
        <f t="shared" si="484"/>
        <v>0</v>
      </c>
      <c r="AD732" s="70" t="s">
        <v>311</v>
      </c>
      <c r="AE732" s="70"/>
      <c r="AG732" s="81"/>
    </row>
    <row r="733" spans="1:33" s="1" customFormat="1" ht="12" customHeight="1" x14ac:dyDescent="0.25">
      <c r="A733" s="49">
        <v>47</v>
      </c>
      <c r="B733" s="22" t="s">
        <v>1737</v>
      </c>
      <c r="C733" s="22" t="s">
        <v>1102</v>
      </c>
      <c r="D733" s="51" t="s">
        <v>1099</v>
      </c>
      <c r="E733" s="24" t="s">
        <v>1100</v>
      </c>
      <c r="F733" s="24"/>
      <c r="G733" s="24" t="s">
        <v>737</v>
      </c>
      <c r="H733" s="24" t="s">
        <v>62</v>
      </c>
      <c r="I733" s="24">
        <v>2007</v>
      </c>
      <c r="J733" s="24"/>
      <c r="K733" s="24" t="s">
        <v>63</v>
      </c>
      <c r="L733" s="24" t="s">
        <v>64</v>
      </c>
      <c r="M733" s="24">
        <v>2</v>
      </c>
      <c r="N733" s="41">
        <f t="shared" si="478"/>
        <v>370000</v>
      </c>
      <c r="O733" s="41">
        <v>740000</v>
      </c>
      <c r="P733" s="24"/>
      <c r="Q733" s="24"/>
      <c r="R733" s="24"/>
      <c r="S733" s="41">
        <f t="shared" si="479"/>
        <v>740000</v>
      </c>
      <c r="T733" s="24">
        <v>5</v>
      </c>
      <c r="U733" s="41"/>
      <c r="V733" s="24">
        <v>0.5</v>
      </c>
      <c r="W733" s="41">
        <f t="shared" si="486"/>
        <v>0</v>
      </c>
      <c r="X733" s="24"/>
      <c r="Y733" s="41">
        <f t="shared" si="487"/>
        <v>0</v>
      </c>
      <c r="Z733" s="41">
        <f t="shared" si="482"/>
        <v>0</v>
      </c>
      <c r="AA733" s="24">
        <v>5</v>
      </c>
      <c r="AB733" s="41">
        <v>740000</v>
      </c>
      <c r="AC733" s="41">
        <f t="shared" si="484"/>
        <v>0</v>
      </c>
      <c r="AD733" s="70" t="s">
        <v>1103</v>
      </c>
      <c r="AE733" s="70"/>
      <c r="AG733" s="81"/>
    </row>
    <row r="734" spans="1:33" s="1" customFormat="1" ht="12" customHeight="1" x14ac:dyDescent="0.25">
      <c r="A734" s="49">
        <v>48</v>
      </c>
      <c r="B734" s="22" t="s">
        <v>1737</v>
      </c>
      <c r="C734" s="22" t="s">
        <v>1104</v>
      </c>
      <c r="D734" s="51" t="s">
        <v>1099</v>
      </c>
      <c r="E734" s="24" t="s">
        <v>1100</v>
      </c>
      <c r="F734" s="24"/>
      <c r="G734" s="24" t="s">
        <v>737</v>
      </c>
      <c r="H734" s="24" t="s">
        <v>62</v>
      </c>
      <c r="I734" s="24">
        <v>2007</v>
      </c>
      <c r="J734" s="24"/>
      <c r="K734" s="24" t="s">
        <v>63</v>
      </c>
      <c r="L734" s="24" t="s">
        <v>64</v>
      </c>
      <c r="M734" s="24">
        <v>3</v>
      </c>
      <c r="N734" s="41">
        <f t="shared" si="478"/>
        <v>370000</v>
      </c>
      <c r="O734" s="41">
        <v>1110000</v>
      </c>
      <c r="P734" s="24"/>
      <c r="Q734" s="24"/>
      <c r="R734" s="24"/>
      <c r="S734" s="41">
        <f t="shared" si="479"/>
        <v>1110000</v>
      </c>
      <c r="T734" s="24">
        <v>5</v>
      </c>
      <c r="U734" s="41"/>
      <c r="V734" s="24">
        <v>0.5</v>
      </c>
      <c r="W734" s="41">
        <f t="shared" si="486"/>
        <v>0</v>
      </c>
      <c r="X734" s="24"/>
      <c r="Y734" s="41">
        <f t="shared" si="487"/>
        <v>0</v>
      </c>
      <c r="Z734" s="41">
        <f t="shared" si="482"/>
        <v>0</v>
      </c>
      <c r="AA734" s="72">
        <v>5</v>
      </c>
      <c r="AB734" s="41">
        <v>1110000</v>
      </c>
      <c r="AC734" s="41">
        <f t="shared" si="484"/>
        <v>0</v>
      </c>
      <c r="AD734" s="70" t="s">
        <v>1105</v>
      </c>
      <c r="AE734" s="70"/>
      <c r="AG734" s="81"/>
    </row>
    <row r="735" spans="1:33" s="1" customFormat="1" ht="12" customHeight="1" x14ac:dyDescent="0.25">
      <c r="A735" s="49">
        <v>49</v>
      </c>
      <c r="B735" s="22" t="s">
        <v>1737</v>
      </c>
      <c r="C735" s="22" t="s">
        <v>1106</v>
      </c>
      <c r="D735" s="51" t="s">
        <v>1099</v>
      </c>
      <c r="E735" s="24" t="s">
        <v>1100</v>
      </c>
      <c r="F735" s="24"/>
      <c r="G735" s="24" t="s">
        <v>737</v>
      </c>
      <c r="H735" s="24" t="s">
        <v>62</v>
      </c>
      <c r="I735" s="24">
        <v>2007</v>
      </c>
      <c r="J735" s="24"/>
      <c r="K735" s="24" t="s">
        <v>63</v>
      </c>
      <c r="L735" s="24" t="s">
        <v>64</v>
      </c>
      <c r="M735" s="24">
        <v>6</v>
      </c>
      <c r="N735" s="41">
        <f t="shared" si="478"/>
        <v>370000</v>
      </c>
      <c r="O735" s="41">
        <v>2220000</v>
      </c>
      <c r="P735" s="24"/>
      <c r="Q735" s="24"/>
      <c r="R735" s="24"/>
      <c r="S735" s="41">
        <f t="shared" si="479"/>
        <v>2220000</v>
      </c>
      <c r="T735" s="24">
        <v>5</v>
      </c>
      <c r="U735" s="41"/>
      <c r="V735" s="24">
        <v>0.5</v>
      </c>
      <c r="W735" s="41">
        <f t="shared" si="486"/>
        <v>0</v>
      </c>
      <c r="X735" s="24"/>
      <c r="Y735" s="41">
        <f t="shared" si="487"/>
        <v>0</v>
      </c>
      <c r="Z735" s="41">
        <f t="shared" si="482"/>
        <v>0</v>
      </c>
      <c r="AA735" s="24">
        <v>5</v>
      </c>
      <c r="AB735" s="41">
        <v>2220000</v>
      </c>
      <c r="AC735" s="41">
        <f t="shared" si="484"/>
        <v>0</v>
      </c>
      <c r="AD735" s="70" t="s">
        <v>259</v>
      </c>
      <c r="AE735" s="70"/>
      <c r="AG735" s="81"/>
    </row>
    <row r="736" spans="1:33" s="1" customFormat="1" ht="12" customHeight="1" x14ac:dyDescent="0.25">
      <c r="A736" s="49">
        <v>50</v>
      </c>
      <c r="B736" s="22" t="s">
        <v>1737</v>
      </c>
      <c r="C736" s="22" t="s">
        <v>1107</v>
      </c>
      <c r="D736" s="51" t="s">
        <v>1099</v>
      </c>
      <c r="E736" s="24" t="s">
        <v>1100</v>
      </c>
      <c r="F736" s="24"/>
      <c r="G736" s="24" t="s">
        <v>737</v>
      </c>
      <c r="H736" s="24" t="s">
        <v>62</v>
      </c>
      <c r="I736" s="24">
        <v>2007</v>
      </c>
      <c r="J736" s="24"/>
      <c r="K736" s="24" t="s">
        <v>63</v>
      </c>
      <c r="L736" s="24" t="s">
        <v>64</v>
      </c>
      <c r="M736" s="24">
        <v>8</v>
      </c>
      <c r="N736" s="41">
        <f t="shared" si="478"/>
        <v>370000</v>
      </c>
      <c r="O736" s="41">
        <v>2960000</v>
      </c>
      <c r="P736" s="24"/>
      <c r="Q736" s="24"/>
      <c r="R736" s="24"/>
      <c r="S736" s="41">
        <f t="shared" si="479"/>
        <v>2960000</v>
      </c>
      <c r="T736" s="24">
        <v>5</v>
      </c>
      <c r="U736" s="41"/>
      <c r="V736" s="24">
        <v>0.5</v>
      </c>
      <c r="W736" s="41">
        <f t="shared" si="486"/>
        <v>0</v>
      </c>
      <c r="X736" s="24"/>
      <c r="Y736" s="41">
        <f t="shared" si="487"/>
        <v>0</v>
      </c>
      <c r="Z736" s="41">
        <f t="shared" si="482"/>
        <v>0</v>
      </c>
      <c r="AA736" s="24">
        <v>5</v>
      </c>
      <c r="AB736" s="41">
        <v>2960000</v>
      </c>
      <c r="AC736" s="41">
        <f t="shared" si="484"/>
        <v>0</v>
      </c>
      <c r="AD736" s="70" t="s">
        <v>385</v>
      </c>
      <c r="AE736" s="70"/>
      <c r="AG736" s="81"/>
    </row>
    <row r="737" spans="1:33" s="1" customFormat="1" ht="12" customHeight="1" x14ac:dyDescent="0.25">
      <c r="A737" s="49">
        <v>51</v>
      </c>
      <c r="B737" s="22" t="s">
        <v>1737</v>
      </c>
      <c r="C737" s="22" t="s">
        <v>1108</v>
      </c>
      <c r="D737" s="51" t="s">
        <v>1099</v>
      </c>
      <c r="E737" s="24" t="s">
        <v>1100</v>
      </c>
      <c r="F737" s="24"/>
      <c r="G737" s="24" t="s">
        <v>737</v>
      </c>
      <c r="H737" s="24" t="s">
        <v>62</v>
      </c>
      <c r="I737" s="24">
        <v>2007</v>
      </c>
      <c r="J737" s="24"/>
      <c r="K737" s="24" t="s">
        <v>63</v>
      </c>
      <c r="L737" s="24" t="s">
        <v>64</v>
      </c>
      <c r="M737" s="24">
        <v>2</v>
      </c>
      <c r="N737" s="41">
        <f t="shared" si="478"/>
        <v>370000</v>
      </c>
      <c r="O737" s="41">
        <v>740000</v>
      </c>
      <c r="P737" s="24"/>
      <c r="Q737" s="24"/>
      <c r="R737" s="24"/>
      <c r="S737" s="41">
        <f t="shared" si="479"/>
        <v>740000</v>
      </c>
      <c r="T737" s="24">
        <v>5</v>
      </c>
      <c r="U737" s="41"/>
      <c r="V737" s="24">
        <v>0.5</v>
      </c>
      <c r="W737" s="41">
        <f t="shared" si="486"/>
        <v>0</v>
      </c>
      <c r="X737" s="24"/>
      <c r="Y737" s="41">
        <f t="shared" si="487"/>
        <v>0</v>
      </c>
      <c r="Z737" s="41">
        <f t="shared" si="482"/>
        <v>0</v>
      </c>
      <c r="AA737" s="24">
        <v>5</v>
      </c>
      <c r="AB737" s="41">
        <v>740000</v>
      </c>
      <c r="AC737" s="41">
        <f t="shared" si="484"/>
        <v>0</v>
      </c>
      <c r="AD737" s="70" t="s">
        <v>479</v>
      </c>
      <c r="AE737" s="70"/>
      <c r="AG737" s="81"/>
    </row>
    <row r="738" spans="1:33" s="1" customFormat="1" ht="12" customHeight="1" x14ac:dyDescent="0.25">
      <c r="A738" s="49">
        <v>52</v>
      </c>
      <c r="B738" s="22" t="s">
        <v>1737</v>
      </c>
      <c r="C738" s="22" t="s">
        <v>1109</v>
      </c>
      <c r="D738" s="51" t="s">
        <v>1099</v>
      </c>
      <c r="E738" s="24" t="s">
        <v>1100</v>
      </c>
      <c r="F738" s="24"/>
      <c r="G738" s="24" t="s">
        <v>737</v>
      </c>
      <c r="H738" s="24" t="s">
        <v>62</v>
      </c>
      <c r="I738" s="24">
        <v>2009</v>
      </c>
      <c r="J738" s="24"/>
      <c r="K738" s="24" t="s">
        <v>63</v>
      </c>
      <c r="L738" s="24" t="s">
        <v>64</v>
      </c>
      <c r="M738" s="24">
        <v>200</v>
      </c>
      <c r="N738" s="41">
        <f t="shared" si="478"/>
        <v>194350</v>
      </c>
      <c r="O738" s="41">
        <v>38870000</v>
      </c>
      <c r="P738" s="24"/>
      <c r="Q738" s="24"/>
      <c r="R738" s="24"/>
      <c r="S738" s="41">
        <f t="shared" si="479"/>
        <v>38870000</v>
      </c>
      <c r="T738" s="24">
        <v>5</v>
      </c>
      <c r="U738" s="41"/>
      <c r="V738" s="24">
        <v>0.5</v>
      </c>
      <c r="W738" s="41">
        <f t="shared" si="486"/>
        <v>0</v>
      </c>
      <c r="X738" s="24"/>
      <c r="Y738" s="41">
        <f t="shared" si="487"/>
        <v>0</v>
      </c>
      <c r="Z738" s="41">
        <f t="shared" si="482"/>
        <v>0</v>
      </c>
      <c r="AA738" s="24">
        <v>5</v>
      </c>
      <c r="AB738" s="41">
        <v>38870000</v>
      </c>
      <c r="AC738" s="41">
        <f t="shared" si="484"/>
        <v>0</v>
      </c>
      <c r="AD738" s="70" t="s">
        <v>295</v>
      </c>
      <c r="AE738" s="70"/>
      <c r="AG738" s="81"/>
    </row>
    <row r="739" spans="1:33" s="1" customFormat="1" ht="12" customHeight="1" x14ac:dyDescent="0.25">
      <c r="A739" s="49">
        <v>53</v>
      </c>
      <c r="B739" s="22" t="s">
        <v>1737</v>
      </c>
      <c r="C739" s="22" t="s">
        <v>1110</v>
      </c>
      <c r="D739" s="51" t="s">
        <v>1099</v>
      </c>
      <c r="E739" s="24" t="s">
        <v>1111</v>
      </c>
      <c r="F739" s="24"/>
      <c r="G739" s="24" t="s">
        <v>737</v>
      </c>
      <c r="H739" s="24" t="s">
        <v>62</v>
      </c>
      <c r="I739" s="24">
        <v>2011</v>
      </c>
      <c r="J739" s="24"/>
      <c r="K739" s="24" t="s">
        <v>63</v>
      </c>
      <c r="L739" s="24" t="s">
        <v>64</v>
      </c>
      <c r="M739" s="24">
        <v>18</v>
      </c>
      <c r="N739" s="41">
        <f t="shared" si="478"/>
        <v>500000</v>
      </c>
      <c r="O739" s="41">
        <v>9000000</v>
      </c>
      <c r="P739" s="24"/>
      <c r="Q739" s="24"/>
      <c r="R739" s="24"/>
      <c r="S739" s="41">
        <f t="shared" si="479"/>
        <v>9000000</v>
      </c>
      <c r="T739" s="24">
        <v>5</v>
      </c>
      <c r="U739" s="41"/>
      <c r="V739" s="24">
        <v>0.5</v>
      </c>
      <c r="W739" s="41">
        <f t="shared" si="486"/>
        <v>0</v>
      </c>
      <c r="X739" s="24"/>
      <c r="Y739" s="41">
        <f t="shared" si="487"/>
        <v>0</v>
      </c>
      <c r="Z739" s="41">
        <f t="shared" si="482"/>
        <v>0</v>
      </c>
      <c r="AA739" s="24">
        <v>5</v>
      </c>
      <c r="AB739" s="41">
        <v>9000000</v>
      </c>
      <c r="AC739" s="41">
        <f t="shared" si="484"/>
        <v>0</v>
      </c>
      <c r="AD739" s="70" t="s">
        <v>616</v>
      </c>
      <c r="AE739" s="70"/>
      <c r="AG739" s="81"/>
    </row>
    <row r="740" spans="1:33" s="1" customFormat="1" ht="12" customHeight="1" x14ac:dyDescent="0.25">
      <c r="A740" s="49">
        <v>54</v>
      </c>
      <c r="B740" s="22" t="s">
        <v>1737</v>
      </c>
      <c r="C740" s="22" t="s">
        <v>1112</v>
      </c>
      <c r="D740" s="51" t="s">
        <v>1099</v>
      </c>
      <c r="E740" s="24" t="s">
        <v>1111</v>
      </c>
      <c r="F740" s="24"/>
      <c r="G740" s="24" t="s">
        <v>737</v>
      </c>
      <c r="H740" s="24" t="s">
        <v>62</v>
      </c>
      <c r="I740" s="24">
        <v>2011</v>
      </c>
      <c r="J740" s="24"/>
      <c r="K740" s="24" t="s">
        <v>63</v>
      </c>
      <c r="L740" s="24" t="s">
        <v>64</v>
      </c>
      <c r="M740" s="24">
        <v>2</v>
      </c>
      <c r="N740" s="41">
        <f t="shared" si="478"/>
        <v>500000</v>
      </c>
      <c r="O740" s="41">
        <v>1000000</v>
      </c>
      <c r="P740" s="24"/>
      <c r="Q740" s="24"/>
      <c r="R740" s="24"/>
      <c r="S740" s="41">
        <f t="shared" si="479"/>
        <v>1000000</v>
      </c>
      <c r="T740" s="24">
        <v>5</v>
      </c>
      <c r="U740" s="41"/>
      <c r="V740" s="24">
        <v>0.5</v>
      </c>
      <c r="W740" s="41">
        <f t="shared" si="486"/>
        <v>0</v>
      </c>
      <c r="X740" s="24"/>
      <c r="Y740" s="41">
        <f t="shared" si="487"/>
        <v>0</v>
      </c>
      <c r="Z740" s="41">
        <f t="shared" si="482"/>
        <v>0</v>
      </c>
      <c r="AA740" s="24">
        <v>5</v>
      </c>
      <c r="AB740" s="41">
        <v>1000000</v>
      </c>
      <c r="AC740" s="41">
        <f t="shared" si="484"/>
        <v>0</v>
      </c>
      <c r="AD740" s="70" t="s">
        <v>335</v>
      </c>
      <c r="AE740" s="70"/>
      <c r="AG740" s="81"/>
    </row>
    <row r="741" spans="1:33" s="1" customFormat="1" ht="10.5" x14ac:dyDescent="0.25">
      <c r="A741" s="21"/>
      <c r="B741" s="22"/>
      <c r="C741" s="22"/>
      <c r="D741" s="23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  <c r="AA741" s="24"/>
      <c r="AB741" s="24"/>
      <c r="AC741" s="24"/>
      <c r="AD741" s="24"/>
      <c r="AE741" s="70"/>
      <c r="AG741" s="83"/>
    </row>
    <row r="742" spans="1:33" s="1" customFormat="1" ht="21" x14ac:dyDescent="0.25">
      <c r="A742" s="17"/>
      <c r="B742" s="18" t="s">
        <v>1124</v>
      </c>
      <c r="C742" s="18"/>
      <c r="D742" s="84" t="s">
        <v>1125</v>
      </c>
      <c r="E742" s="20"/>
      <c r="F742" s="20"/>
      <c r="G742" s="20"/>
      <c r="H742" s="20"/>
      <c r="I742" s="20"/>
      <c r="J742" s="20"/>
      <c r="K742" s="20"/>
      <c r="L742" s="20"/>
      <c r="M742" s="20">
        <f>SUM(M743+M750+M759)</f>
        <v>91</v>
      </c>
      <c r="N742" s="20"/>
      <c r="O742" s="37">
        <f>SUM(O743+O750+O759)</f>
        <v>188450500</v>
      </c>
      <c r="P742" s="20">
        <f>P743+P750+P759+P762</f>
        <v>0</v>
      </c>
      <c r="Q742" s="20">
        <f>Q743+Q750+Q759+Q762</f>
        <v>0</v>
      </c>
      <c r="R742" s="20">
        <f>R743+R750+R759+R762</f>
        <v>0</v>
      </c>
      <c r="S742" s="37">
        <f>SUM(S743+S750+S759)</f>
        <v>188450500</v>
      </c>
      <c r="T742" s="20"/>
      <c r="U742" s="183">
        <f>SUM(U743+U750+U759)</f>
        <v>2290000</v>
      </c>
      <c r="V742" s="183"/>
      <c r="W742" s="183">
        <f>SUM(W743+W750+W759)</f>
        <v>400000</v>
      </c>
      <c r="X742" s="183"/>
      <c r="Y742" s="183">
        <f>Y743+Y750+Y759+Y762</f>
        <v>400000</v>
      </c>
      <c r="Z742" s="37">
        <f>SUM(Z743+Z750+Z759)</f>
        <v>800000</v>
      </c>
      <c r="AA742" s="183"/>
      <c r="AB742" s="37">
        <f>SUM(AB743+AB750+AB759)</f>
        <v>187050500</v>
      </c>
      <c r="AC742" s="37">
        <f>SUM(AC743+AC750+AC759)</f>
        <v>1400000</v>
      </c>
      <c r="AD742" s="20"/>
      <c r="AE742" s="70"/>
      <c r="AF742" s="1">
        <v>120850500</v>
      </c>
      <c r="AG742" s="83"/>
    </row>
    <row r="743" spans="1:33" s="1" customFormat="1" ht="10.5" x14ac:dyDescent="0.25">
      <c r="A743" s="25"/>
      <c r="B743" s="26" t="s">
        <v>1126</v>
      </c>
      <c r="C743" s="26"/>
      <c r="D743" s="64" t="s">
        <v>1127</v>
      </c>
      <c r="E743" s="28"/>
      <c r="F743" s="28"/>
      <c r="G743" s="28"/>
      <c r="H743" s="28"/>
      <c r="I743" s="28"/>
      <c r="J743" s="28"/>
      <c r="K743" s="28"/>
      <c r="L743" s="28"/>
      <c r="M743" s="28">
        <f>SUM(M744:M748)</f>
        <v>81</v>
      </c>
      <c r="N743" s="28"/>
      <c r="O743" s="86">
        <f>SUM(O744:O748)</f>
        <v>10503000</v>
      </c>
      <c r="P743" s="28">
        <f>SUM(P744:P748)</f>
        <v>0</v>
      </c>
      <c r="Q743" s="28">
        <f>SUM(Q744:Q748)</f>
        <v>0</v>
      </c>
      <c r="R743" s="28">
        <f>SUM(R744:R748)</f>
        <v>0</v>
      </c>
      <c r="S743" s="40">
        <f>SUM(S744:S748)</f>
        <v>10503000</v>
      </c>
      <c r="T743" s="28"/>
      <c r="U743" s="86">
        <f>SUM(U744:U748)</f>
        <v>1300000</v>
      </c>
      <c r="V743" s="86"/>
      <c r="W743" s="86">
        <f>SUM(W744:W748)</f>
        <v>400000</v>
      </c>
      <c r="X743" s="86"/>
      <c r="Y743" s="86">
        <f>SUM(Y744:Y748)</f>
        <v>400000</v>
      </c>
      <c r="Z743" s="40">
        <f>SUM(Z744:Z748)</f>
        <v>800000</v>
      </c>
      <c r="AA743" s="86"/>
      <c r="AB743" s="86">
        <f>SUM(AB744:AB748)</f>
        <v>9103000</v>
      </c>
      <c r="AC743" s="40">
        <f>SUM(AC744:AC748)</f>
        <v>1400000</v>
      </c>
      <c r="AD743" s="28"/>
      <c r="AE743" s="70"/>
      <c r="AF743" s="5">
        <f>AB742-AF742</f>
        <v>66200000</v>
      </c>
      <c r="AG743" s="83"/>
    </row>
    <row r="744" spans="1:33" s="1" customFormat="1" ht="10.5" x14ac:dyDescent="0.25">
      <c r="A744" s="21">
        <v>1</v>
      </c>
      <c r="B744" s="22" t="s">
        <v>1738</v>
      </c>
      <c r="C744" s="22" t="s">
        <v>58</v>
      </c>
      <c r="D744" s="51" t="s">
        <v>623</v>
      </c>
      <c r="E744" s="24" t="s">
        <v>624</v>
      </c>
      <c r="F744" s="24"/>
      <c r="G744" s="24" t="s">
        <v>194</v>
      </c>
      <c r="H744" s="24" t="s">
        <v>62</v>
      </c>
      <c r="I744" s="24">
        <v>2012</v>
      </c>
      <c r="J744" s="24"/>
      <c r="K744" s="24" t="s">
        <v>63</v>
      </c>
      <c r="L744" s="24" t="s">
        <v>64</v>
      </c>
      <c r="M744" s="24">
        <v>1</v>
      </c>
      <c r="N744" s="41">
        <f t="shared" ref="N744:N746" si="488">SUM(O744/M744)</f>
        <v>2903000</v>
      </c>
      <c r="O744" s="41">
        <v>2903000</v>
      </c>
      <c r="P744" s="24"/>
      <c r="Q744" s="24"/>
      <c r="R744" s="24"/>
      <c r="S744" s="41">
        <f t="shared" ref="S744:S746" si="489">SUM(O744-R744)</f>
        <v>2903000</v>
      </c>
      <c r="T744" s="24">
        <v>5</v>
      </c>
      <c r="U744" s="41"/>
      <c r="V744" s="24">
        <v>0.5</v>
      </c>
      <c r="W744" s="41">
        <f t="shared" ref="W744:W745" si="490">SUM(U744*V744)</f>
        <v>0</v>
      </c>
      <c r="X744" s="24"/>
      <c r="Y744" s="41">
        <f t="shared" ref="Y744:Y746" si="491">SUM(U744*X744)</f>
        <v>0</v>
      </c>
      <c r="Z744" s="41">
        <f t="shared" ref="Z744:Z745" si="492">SUM(W744+Y744)</f>
        <v>0</v>
      </c>
      <c r="AA744" s="72">
        <v>5</v>
      </c>
      <c r="AB744" s="41">
        <v>2903000</v>
      </c>
      <c r="AC744" s="41">
        <f t="shared" ref="AC744:AC746" si="493">SUM(O744-AB744)</f>
        <v>0</v>
      </c>
      <c r="AD744" s="70" t="s">
        <v>295</v>
      </c>
      <c r="AE744" s="70"/>
      <c r="AG744" s="83"/>
    </row>
    <row r="745" spans="1:33" s="1" customFormat="1" ht="10.5" x14ac:dyDescent="0.25">
      <c r="A745" s="21">
        <v>2</v>
      </c>
      <c r="B745" s="22" t="s">
        <v>1739</v>
      </c>
      <c r="C745" s="22" t="s">
        <v>868</v>
      </c>
      <c r="D745" s="85" t="s">
        <v>628</v>
      </c>
      <c r="E745" s="24" t="s">
        <v>166</v>
      </c>
      <c r="F745" s="24"/>
      <c r="G745" s="24" t="s">
        <v>194</v>
      </c>
      <c r="H745" s="24" t="s">
        <v>62</v>
      </c>
      <c r="I745" s="24">
        <v>2019</v>
      </c>
      <c r="J745" s="24"/>
      <c r="K745" s="24" t="s">
        <v>63</v>
      </c>
      <c r="L745" s="24" t="s">
        <v>64</v>
      </c>
      <c r="M745" s="24">
        <v>4</v>
      </c>
      <c r="N745" s="41">
        <f t="shared" si="488"/>
        <v>1000000</v>
      </c>
      <c r="O745" s="41">
        <v>4000000</v>
      </c>
      <c r="P745" s="24"/>
      <c r="Q745" s="24"/>
      <c r="R745" s="24"/>
      <c r="S745" s="41">
        <f t="shared" si="489"/>
        <v>4000000</v>
      </c>
      <c r="T745" s="24">
        <v>5</v>
      </c>
      <c r="U745" s="41">
        <f t="shared" ref="U745:U746" si="494">SUM(S745/T745)</f>
        <v>800000</v>
      </c>
      <c r="V745" s="24">
        <v>0.5</v>
      </c>
      <c r="W745" s="41">
        <f t="shared" si="490"/>
        <v>400000</v>
      </c>
      <c r="X745" s="24">
        <v>0.5</v>
      </c>
      <c r="Y745" s="24">
        <f t="shared" si="491"/>
        <v>400000</v>
      </c>
      <c r="Z745" s="41">
        <f t="shared" si="492"/>
        <v>800000</v>
      </c>
      <c r="AA745" s="24">
        <f>2022-I745+V745+X745-9/12</f>
        <v>3.25</v>
      </c>
      <c r="AB745" s="24">
        <f t="shared" ref="AB745:AB746" si="495">SUM(U745*AA745)</f>
        <v>2600000</v>
      </c>
      <c r="AC745" s="41">
        <f t="shared" si="493"/>
        <v>1400000</v>
      </c>
      <c r="AD745" s="24"/>
      <c r="AE745" s="70"/>
      <c r="AG745" s="83"/>
    </row>
    <row r="746" spans="1:33" s="1" customFormat="1" ht="10.5" x14ac:dyDescent="0.25">
      <c r="A746" s="21">
        <v>3</v>
      </c>
      <c r="B746" s="22" t="s">
        <v>1740</v>
      </c>
      <c r="C746" s="22" t="s">
        <v>625</v>
      </c>
      <c r="D746" s="51" t="s">
        <v>626</v>
      </c>
      <c r="E746" s="24" t="s">
        <v>627</v>
      </c>
      <c r="F746" s="24"/>
      <c r="G746" s="24" t="s">
        <v>194</v>
      </c>
      <c r="H746" s="24" t="s">
        <v>62</v>
      </c>
      <c r="I746" s="24">
        <v>2015</v>
      </c>
      <c r="J746" s="24"/>
      <c r="K746" s="24" t="s">
        <v>63</v>
      </c>
      <c r="L746" s="24" t="s">
        <v>64</v>
      </c>
      <c r="M746" s="24">
        <v>50</v>
      </c>
      <c r="N746" s="41">
        <f t="shared" si="488"/>
        <v>50000</v>
      </c>
      <c r="O746" s="41">
        <v>2500000</v>
      </c>
      <c r="P746" s="24"/>
      <c r="Q746" s="24"/>
      <c r="R746" s="24"/>
      <c r="S746" s="41">
        <f t="shared" si="489"/>
        <v>2500000</v>
      </c>
      <c r="T746" s="24">
        <v>5</v>
      </c>
      <c r="U746" s="41">
        <f t="shared" si="494"/>
        <v>500000</v>
      </c>
      <c r="V746" s="24">
        <v>0.5</v>
      </c>
      <c r="W746" s="41"/>
      <c r="X746" s="24"/>
      <c r="Y746" s="41">
        <f t="shared" si="491"/>
        <v>0</v>
      </c>
      <c r="Z746" s="41"/>
      <c r="AA746" s="72">
        <v>5</v>
      </c>
      <c r="AB746" s="41">
        <f t="shared" si="495"/>
        <v>2500000</v>
      </c>
      <c r="AC746" s="41">
        <f t="shared" si="493"/>
        <v>0</v>
      </c>
      <c r="AD746" s="70" t="s">
        <v>199</v>
      </c>
      <c r="AE746" s="70"/>
      <c r="AG746" s="83"/>
    </row>
    <row r="747" spans="1:33" s="1" customFormat="1" ht="10.5" x14ac:dyDescent="0.25">
      <c r="A747" s="21">
        <v>4</v>
      </c>
      <c r="B747" s="22" t="s">
        <v>1740</v>
      </c>
      <c r="C747" s="22" t="s">
        <v>317</v>
      </c>
      <c r="D747" s="51" t="s">
        <v>676</v>
      </c>
      <c r="E747" s="24" t="s">
        <v>677</v>
      </c>
      <c r="F747" s="24"/>
      <c r="G747" s="24" t="s">
        <v>61</v>
      </c>
      <c r="H747" s="24" t="s">
        <v>62</v>
      </c>
      <c r="I747" s="24">
        <v>2012</v>
      </c>
      <c r="J747" s="24"/>
      <c r="K747" s="24" t="s">
        <v>63</v>
      </c>
      <c r="L747" s="24" t="s">
        <v>64</v>
      </c>
      <c r="M747" s="24">
        <v>16</v>
      </c>
      <c r="N747" s="41">
        <f t="shared" ref="N747:N748" si="496">SUM(O747/M747)</f>
        <v>45000</v>
      </c>
      <c r="O747" s="41">
        <v>720000</v>
      </c>
      <c r="P747" s="24"/>
      <c r="Q747" s="24"/>
      <c r="R747" s="24"/>
      <c r="S747" s="41">
        <f t="shared" ref="S747:S748" si="497">SUM(O747-R747)</f>
        <v>720000</v>
      </c>
      <c r="T747" s="24">
        <v>5</v>
      </c>
      <c r="U747" s="41"/>
      <c r="V747" s="24">
        <v>0.5</v>
      </c>
      <c r="W747" s="41">
        <f t="shared" ref="W747:W748" si="498">SUM(U747*V747)</f>
        <v>0</v>
      </c>
      <c r="X747" s="24"/>
      <c r="Y747" s="41">
        <f t="shared" ref="Y747:Y748" si="499">SUM(U747*X747)</f>
        <v>0</v>
      </c>
      <c r="Z747" s="41">
        <f t="shared" ref="Z747:Z748" si="500">SUM(W747+Y747)</f>
        <v>0</v>
      </c>
      <c r="AA747" s="24">
        <v>5</v>
      </c>
      <c r="AB747" s="41">
        <v>720000</v>
      </c>
      <c r="AC747" s="41">
        <f t="shared" ref="AC747:AC748" si="501">SUM(O747-AB747)</f>
        <v>0</v>
      </c>
      <c r="AD747" s="70" t="s">
        <v>630</v>
      </c>
      <c r="AE747" s="70"/>
      <c r="AG747" s="83"/>
    </row>
    <row r="748" spans="1:33" s="1" customFormat="1" ht="10.5" x14ac:dyDescent="0.25">
      <c r="A748" s="21">
        <v>5</v>
      </c>
      <c r="B748" s="22" t="s">
        <v>1740</v>
      </c>
      <c r="C748" s="22" t="s">
        <v>678</v>
      </c>
      <c r="D748" s="51" t="s">
        <v>679</v>
      </c>
      <c r="E748" s="24" t="s">
        <v>680</v>
      </c>
      <c r="F748" s="24"/>
      <c r="G748" s="24" t="s">
        <v>61</v>
      </c>
      <c r="H748" s="24" t="s">
        <v>62</v>
      </c>
      <c r="I748" s="24">
        <v>2012</v>
      </c>
      <c r="J748" s="24"/>
      <c r="K748" s="24" t="s">
        <v>63</v>
      </c>
      <c r="L748" s="24" t="s">
        <v>64</v>
      </c>
      <c r="M748" s="24">
        <v>10</v>
      </c>
      <c r="N748" s="41">
        <f t="shared" si="496"/>
        <v>38000</v>
      </c>
      <c r="O748" s="41">
        <v>380000</v>
      </c>
      <c r="P748" s="24"/>
      <c r="Q748" s="24"/>
      <c r="R748" s="24"/>
      <c r="S748" s="41">
        <f t="shared" si="497"/>
        <v>380000</v>
      </c>
      <c r="T748" s="24">
        <v>5</v>
      </c>
      <c r="U748" s="41"/>
      <c r="V748" s="24">
        <v>0.5</v>
      </c>
      <c r="W748" s="41">
        <f t="shared" si="498"/>
        <v>0</v>
      </c>
      <c r="X748" s="24"/>
      <c r="Y748" s="41">
        <f t="shared" si="499"/>
        <v>0</v>
      </c>
      <c r="Z748" s="41">
        <f t="shared" si="500"/>
        <v>0</v>
      </c>
      <c r="AA748" s="24">
        <v>5</v>
      </c>
      <c r="AB748" s="41">
        <v>380000</v>
      </c>
      <c r="AC748" s="41">
        <f t="shared" si="501"/>
        <v>0</v>
      </c>
      <c r="AD748" s="70" t="s">
        <v>288</v>
      </c>
      <c r="AE748" s="70"/>
      <c r="AG748" s="83"/>
    </row>
    <row r="749" spans="1:33" s="1" customFormat="1" ht="10.5" x14ac:dyDescent="0.25">
      <c r="A749" s="21"/>
      <c r="B749" s="22"/>
      <c r="C749" s="22"/>
      <c r="D749" s="85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  <c r="AA749" s="24"/>
      <c r="AB749" s="24"/>
      <c r="AC749" s="24"/>
      <c r="AD749" s="24"/>
      <c r="AE749" s="70"/>
      <c r="AG749" s="83"/>
    </row>
    <row r="750" spans="1:33" s="1" customFormat="1" ht="10.5" x14ac:dyDescent="0.25">
      <c r="A750" s="25"/>
      <c r="B750" s="26" t="s">
        <v>1128</v>
      </c>
      <c r="C750" s="26"/>
      <c r="D750" s="64" t="s">
        <v>1129</v>
      </c>
      <c r="E750" s="28"/>
      <c r="F750" s="28"/>
      <c r="G750" s="28"/>
      <c r="H750" s="28"/>
      <c r="I750" s="28"/>
      <c r="J750" s="28"/>
      <c r="K750" s="28"/>
      <c r="L750" s="28"/>
      <c r="M750" s="28">
        <f>SUM(M751:M757)</f>
        <v>9</v>
      </c>
      <c r="N750" s="40"/>
      <c r="O750" s="40">
        <f>SUM(O751:O757)</f>
        <v>111347500</v>
      </c>
      <c r="P750" s="28">
        <f>SUM(P756:P757)</f>
        <v>0</v>
      </c>
      <c r="Q750" s="28">
        <f>SUM(Q756:Q757)</f>
        <v>0</v>
      </c>
      <c r="R750" s="28">
        <f>SUM(R756:R757)</f>
        <v>0</v>
      </c>
      <c r="S750" s="40">
        <f>SUM(S751:S757)</f>
        <v>111347500</v>
      </c>
      <c r="T750" s="28"/>
      <c r="U750" s="40">
        <f>SUM(U751:U757)</f>
        <v>990000</v>
      </c>
      <c r="V750" s="28"/>
      <c r="W750" s="28">
        <f>SUM(W756:W757)</f>
        <v>0</v>
      </c>
      <c r="X750" s="28"/>
      <c r="Y750" s="28">
        <f>SUM(Y756:Y757)</f>
        <v>0</v>
      </c>
      <c r="Z750" s="28">
        <f>SUM(Z756:Z757)</f>
        <v>0</v>
      </c>
      <c r="AA750" s="28"/>
      <c r="AB750" s="40">
        <f>SUM(AB751:AB757)</f>
        <v>111347500</v>
      </c>
      <c r="AC750" s="28">
        <f>SUM(AC756:AC757)</f>
        <v>0</v>
      </c>
      <c r="AD750" s="28"/>
      <c r="AE750" s="70"/>
      <c r="AG750" s="83"/>
    </row>
    <row r="751" spans="1:33" s="1" customFormat="1" ht="10.5" x14ac:dyDescent="0.25">
      <c r="A751" s="49">
        <v>1</v>
      </c>
      <c r="B751" s="22" t="s">
        <v>1741</v>
      </c>
      <c r="C751" s="22" t="s">
        <v>657</v>
      </c>
      <c r="D751" s="51" t="s">
        <v>1132</v>
      </c>
      <c r="E751" s="24" t="s">
        <v>1133</v>
      </c>
      <c r="F751" s="24"/>
      <c r="G751" s="24" t="s">
        <v>194</v>
      </c>
      <c r="H751" s="24" t="s">
        <v>62</v>
      </c>
      <c r="I751" s="24">
        <v>2014</v>
      </c>
      <c r="J751" s="24"/>
      <c r="K751" s="24" t="s">
        <v>63</v>
      </c>
      <c r="L751" s="24" t="s">
        <v>64</v>
      </c>
      <c r="M751" s="24">
        <v>3</v>
      </c>
      <c r="N751" s="41">
        <f t="shared" ref="N751:N754" si="502">SUM(O751/M751)</f>
        <v>1993750</v>
      </c>
      <c r="O751" s="41">
        <v>5981250</v>
      </c>
      <c r="P751" s="24"/>
      <c r="Q751" s="24"/>
      <c r="R751" s="24"/>
      <c r="S751" s="41">
        <f t="shared" ref="S751:S754" si="503">SUM(O751-R751)</f>
        <v>5981250</v>
      </c>
      <c r="T751" s="24">
        <v>5</v>
      </c>
      <c r="U751" s="41"/>
      <c r="V751" s="24">
        <v>0.5</v>
      </c>
      <c r="W751" s="41">
        <f t="shared" ref="W751:W754" si="504">SUM(U751*V751)</f>
        <v>0</v>
      </c>
      <c r="X751" s="24"/>
      <c r="Y751" s="41">
        <f t="shared" ref="Y751:Y754" si="505">SUM(U751*X751)</f>
        <v>0</v>
      </c>
      <c r="Z751" s="41">
        <f t="shared" ref="Z751:Z754" si="506">SUM(W751+Y751)</f>
        <v>0</v>
      </c>
      <c r="AA751" s="72">
        <v>5</v>
      </c>
      <c r="AB751" s="41">
        <v>5981250</v>
      </c>
      <c r="AC751" s="41">
        <f t="shared" ref="AC751:AC754" si="507">SUM(O751-AB751)</f>
        <v>0</v>
      </c>
      <c r="AD751" s="70" t="s">
        <v>225</v>
      </c>
      <c r="AE751" s="70"/>
      <c r="AG751" s="83"/>
    </row>
    <row r="752" spans="1:33" s="1" customFormat="1" ht="10.5" x14ac:dyDescent="0.25">
      <c r="A752" s="49">
        <v>2</v>
      </c>
      <c r="B752" s="22" t="s">
        <v>1741</v>
      </c>
      <c r="C752" s="22" t="s">
        <v>84</v>
      </c>
      <c r="D752" s="51" t="s">
        <v>1132</v>
      </c>
      <c r="E752" s="24" t="s">
        <v>1133</v>
      </c>
      <c r="F752" s="24"/>
      <c r="G752" s="24" t="s">
        <v>194</v>
      </c>
      <c r="H752" s="24" t="s">
        <v>62</v>
      </c>
      <c r="I752" s="24">
        <v>2014</v>
      </c>
      <c r="J752" s="24"/>
      <c r="K752" s="24" t="s">
        <v>63</v>
      </c>
      <c r="L752" s="24" t="s">
        <v>64</v>
      </c>
      <c r="M752" s="24">
        <v>1</v>
      </c>
      <c r="N752" s="41">
        <f t="shared" si="502"/>
        <v>1993750</v>
      </c>
      <c r="O752" s="41">
        <v>1993750</v>
      </c>
      <c r="P752" s="24"/>
      <c r="Q752" s="24"/>
      <c r="R752" s="24"/>
      <c r="S752" s="41">
        <f t="shared" si="503"/>
        <v>1993750</v>
      </c>
      <c r="T752" s="24">
        <v>5</v>
      </c>
      <c r="U752" s="41"/>
      <c r="V752" s="24">
        <v>0.5</v>
      </c>
      <c r="W752" s="41">
        <f t="shared" si="504"/>
        <v>0</v>
      </c>
      <c r="X752" s="24"/>
      <c r="Y752" s="41">
        <f t="shared" si="505"/>
        <v>0</v>
      </c>
      <c r="Z752" s="41">
        <f t="shared" si="506"/>
        <v>0</v>
      </c>
      <c r="AA752" s="72">
        <v>5</v>
      </c>
      <c r="AB752" s="41">
        <v>1993750</v>
      </c>
      <c r="AC752" s="41">
        <f t="shared" si="507"/>
        <v>0</v>
      </c>
      <c r="AD752" s="70" t="s">
        <v>480</v>
      </c>
      <c r="AE752" s="70"/>
      <c r="AG752" s="83"/>
    </row>
    <row r="753" spans="1:33" s="1" customFormat="1" ht="10.5" x14ac:dyDescent="0.25">
      <c r="A753" s="49">
        <v>3</v>
      </c>
      <c r="B753" s="22" t="s">
        <v>1741</v>
      </c>
      <c r="C753" s="22" t="s">
        <v>88</v>
      </c>
      <c r="D753" s="51" t="s">
        <v>1132</v>
      </c>
      <c r="E753" s="24" t="s">
        <v>1133</v>
      </c>
      <c r="F753" s="24"/>
      <c r="G753" s="24" t="s">
        <v>194</v>
      </c>
      <c r="H753" s="24" t="s">
        <v>62</v>
      </c>
      <c r="I753" s="24">
        <v>2014</v>
      </c>
      <c r="J753" s="24"/>
      <c r="K753" s="24" t="s">
        <v>63</v>
      </c>
      <c r="L753" s="24" t="s">
        <v>64</v>
      </c>
      <c r="M753" s="24">
        <v>1</v>
      </c>
      <c r="N753" s="41">
        <f t="shared" si="502"/>
        <v>1993750</v>
      </c>
      <c r="O753" s="41">
        <v>1993750</v>
      </c>
      <c r="P753" s="24"/>
      <c r="Q753" s="24"/>
      <c r="R753" s="24"/>
      <c r="S753" s="41">
        <f t="shared" si="503"/>
        <v>1993750</v>
      </c>
      <c r="T753" s="24">
        <v>5</v>
      </c>
      <c r="U753" s="41"/>
      <c r="V753" s="24">
        <v>0.5</v>
      </c>
      <c r="W753" s="41">
        <f t="shared" si="504"/>
        <v>0</v>
      </c>
      <c r="X753" s="24"/>
      <c r="Y753" s="41">
        <f t="shared" si="505"/>
        <v>0</v>
      </c>
      <c r="Z753" s="41">
        <f t="shared" si="506"/>
        <v>0</v>
      </c>
      <c r="AA753" s="72">
        <v>5</v>
      </c>
      <c r="AB753" s="41">
        <v>1993750</v>
      </c>
      <c r="AC753" s="41">
        <f t="shared" si="507"/>
        <v>0</v>
      </c>
      <c r="AD753" s="70" t="s">
        <v>558</v>
      </c>
      <c r="AE753" s="70"/>
      <c r="AG753" s="83"/>
    </row>
    <row r="754" spans="1:33" s="1" customFormat="1" ht="10.5" x14ac:dyDescent="0.25">
      <c r="A754" s="49">
        <v>4</v>
      </c>
      <c r="B754" s="22" t="s">
        <v>1741</v>
      </c>
      <c r="C754" s="22" t="s">
        <v>92</v>
      </c>
      <c r="D754" s="51" t="s">
        <v>1132</v>
      </c>
      <c r="E754" s="24" t="s">
        <v>1133</v>
      </c>
      <c r="F754" s="24"/>
      <c r="G754" s="24" t="s">
        <v>194</v>
      </c>
      <c r="H754" s="24" t="s">
        <v>62</v>
      </c>
      <c r="I754" s="24">
        <v>2014</v>
      </c>
      <c r="J754" s="24"/>
      <c r="K754" s="24" t="s">
        <v>63</v>
      </c>
      <c r="L754" s="24" t="s">
        <v>64</v>
      </c>
      <c r="M754" s="24">
        <v>1</v>
      </c>
      <c r="N754" s="41">
        <f t="shared" si="502"/>
        <v>1993750</v>
      </c>
      <c r="O754" s="41">
        <v>1993750</v>
      </c>
      <c r="P754" s="24"/>
      <c r="Q754" s="24"/>
      <c r="R754" s="24"/>
      <c r="S754" s="41">
        <f t="shared" si="503"/>
        <v>1993750</v>
      </c>
      <c r="T754" s="24">
        <v>5</v>
      </c>
      <c r="U754" s="41"/>
      <c r="V754" s="24">
        <v>0.5</v>
      </c>
      <c r="W754" s="41">
        <f t="shared" si="504"/>
        <v>0</v>
      </c>
      <c r="X754" s="24"/>
      <c r="Y754" s="41">
        <f t="shared" si="505"/>
        <v>0</v>
      </c>
      <c r="Z754" s="41">
        <f t="shared" si="506"/>
        <v>0</v>
      </c>
      <c r="AA754" s="72">
        <v>5</v>
      </c>
      <c r="AB754" s="41">
        <v>1993750</v>
      </c>
      <c r="AC754" s="41">
        <f t="shared" si="507"/>
        <v>0</v>
      </c>
      <c r="AD754" s="70" t="s">
        <v>1134</v>
      </c>
      <c r="AE754" s="70"/>
      <c r="AG754" s="83"/>
    </row>
    <row r="755" spans="1:33" s="1" customFormat="1" ht="10.5" x14ac:dyDescent="0.25">
      <c r="A755" s="49">
        <v>5</v>
      </c>
      <c r="B755" s="22" t="s">
        <v>1742</v>
      </c>
      <c r="C755" s="50" t="s">
        <v>58</v>
      </c>
      <c r="D755" s="51" t="s">
        <v>375</v>
      </c>
      <c r="E755" s="52" t="s">
        <v>376</v>
      </c>
      <c r="F755" s="52"/>
      <c r="G755" s="52" t="s">
        <v>194</v>
      </c>
      <c r="H755" s="52" t="s">
        <v>62</v>
      </c>
      <c r="I755" s="52">
        <v>2016</v>
      </c>
      <c r="J755" s="52"/>
      <c r="K755" s="52" t="s">
        <v>63</v>
      </c>
      <c r="L755" s="52" t="s">
        <v>64</v>
      </c>
      <c r="M755" s="52">
        <v>1</v>
      </c>
      <c r="N755" s="53">
        <f t="shared" ref="N755" si="508">SUM(O755/M755)</f>
        <v>4950000</v>
      </c>
      <c r="O755" s="53">
        <v>4950000</v>
      </c>
      <c r="P755" s="52"/>
      <c r="Q755" s="52"/>
      <c r="R755" s="52"/>
      <c r="S755" s="53">
        <f t="shared" ref="S755" si="509">SUM(O755-R755)</f>
        <v>4950000</v>
      </c>
      <c r="T755" s="52">
        <v>5</v>
      </c>
      <c r="U755" s="53">
        <f t="shared" ref="U755" si="510">SUM(S755/T755)</f>
        <v>990000</v>
      </c>
      <c r="V755" s="52">
        <v>0.5</v>
      </c>
      <c r="W755" s="53"/>
      <c r="X755" s="52"/>
      <c r="Y755" s="53">
        <f t="shared" ref="Y755" si="511">SUM(U755*X755)</f>
        <v>0</v>
      </c>
      <c r="Z755" s="53"/>
      <c r="AA755" s="52">
        <v>5</v>
      </c>
      <c r="AB755" s="53">
        <f t="shared" ref="AB755" si="512">SUM(U755*AA755)</f>
        <v>4950000</v>
      </c>
      <c r="AC755" s="53">
        <f t="shared" ref="AC755" si="513">SUM(O755-AB755)</f>
        <v>0</v>
      </c>
      <c r="AD755" s="56" t="s">
        <v>377</v>
      </c>
      <c r="AE755" s="70"/>
      <c r="AG755" s="83"/>
    </row>
    <row r="756" spans="1:33" s="1" customFormat="1" ht="10.5" x14ac:dyDescent="0.25">
      <c r="A756" s="49">
        <v>6</v>
      </c>
      <c r="B756" s="22" t="s">
        <v>1743</v>
      </c>
      <c r="C756" s="52" t="s">
        <v>58</v>
      </c>
      <c r="D756" s="52" t="s">
        <v>1130</v>
      </c>
      <c r="E756" s="52"/>
      <c r="F756" s="52"/>
      <c r="G756" s="52" t="s">
        <v>260</v>
      </c>
      <c r="H756" s="52" t="s">
        <v>62</v>
      </c>
      <c r="I756" s="52">
        <v>2013</v>
      </c>
      <c r="J756" s="52"/>
      <c r="K756" s="52" t="s">
        <v>63</v>
      </c>
      <c r="L756" s="52" t="s">
        <v>64</v>
      </c>
      <c r="M756" s="52">
        <v>1</v>
      </c>
      <c r="N756" s="53">
        <f t="shared" ref="N756:N757" si="514">SUM(O756/M756)</f>
        <v>65092500</v>
      </c>
      <c r="O756" s="41">
        <v>65092500</v>
      </c>
      <c r="P756" s="24"/>
      <c r="Q756" s="24"/>
      <c r="R756" s="24"/>
      <c r="S756" s="41">
        <f t="shared" ref="S756:S757" si="515">SUM(O756-R756)</f>
        <v>65092500</v>
      </c>
      <c r="T756" s="24">
        <v>5</v>
      </c>
      <c r="U756" s="41"/>
      <c r="V756" s="24">
        <v>0.5</v>
      </c>
      <c r="W756" s="41">
        <f t="shared" ref="W756:W757" si="516">SUM(U756*V756)</f>
        <v>0</v>
      </c>
      <c r="X756" s="24"/>
      <c r="Y756" s="41">
        <f t="shared" ref="Y756:Y757" si="517">SUM(U756*X756)</f>
        <v>0</v>
      </c>
      <c r="Z756" s="41">
        <f t="shared" ref="Z756:Z757" si="518">SUM(W756+Y756)</f>
        <v>0</v>
      </c>
      <c r="AA756" s="24">
        <v>5</v>
      </c>
      <c r="AB756" s="41">
        <v>65092500</v>
      </c>
      <c r="AC756" s="24">
        <f t="shared" ref="AC756:AC757" si="519">SUM(O756-AB756)</f>
        <v>0</v>
      </c>
      <c r="AD756" s="24"/>
      <c r="AE756" s="70"/>
      <c r="AG756" s="83"/>
    </row>
    <row r="757" spans="1:33" s="1" customFormat="1" ht="10.5" x14ac:dyDescent="0.25">
      <c r="A757" s="49">
        <v>7</v>
      </c>
      <c r="B757" s="22" t="s">
        <v>1743</v>
      </c>
      <c r="C757" s="52" t="s">
        <v>75</v>
      </c>
      <c r="D757" s="52" t="s">
        <v>1131</v>
      </c>
      <c r="E757" s="52"/>
      <c r="F757" s="52"/>
      <c r="G757" s="52" t="s">
        <v>260</v>
      </c>
      <c r="H757" s="52" t="s">
        <v>62</v>
      </c>
      <c r="I757" s="52">
        <v>2013</v>
      </c>
      <c r="J757" s="52"/>
      <c r="K757" s="52" t="s">
        <v>63</v>
      </c>
      <c r="L757" s="52" t="s">
        <v>64</v>
      </c>
      <c r="M757" s="52">
        <v>1</v>
      </c>
      <c r="N757" s="53">
        <f t="shared" si="514"/>
        <v>29342500</v>
      </c>
      <c r="O757" s="41">
        <v>29342500</v>
      </c>
      <c r="P757" s="24"/>
      <c r="Q757" s="24"/>
      <c r="R757" s="24"/>
      <c r="S757" s="41">
        <f t="shared" si="515"/>
        <v>29342500</v>
      </c>
      <c r="T757" s="24">
        <v>5</v>
      </c>
      <c r="U757" s="41"/>
      <c r="V757" s="24">
        <v>0.5</v>
      </c>
      <c r="W757" s="41">
        <f t="shared" si="516"/>
        <v>0</v>
      </c>
      <c r="X757" s="24"/>
      <c r="Y757" s="41">
        <f t="shared" si="517"/>
        <v>0</v>
      </c>
      <c r="Z757" s="41">
        <f t="shared" si="518"/>
        <v>0</v>
      </c>
      <c r="AA757" s="24">
        <v>5</v>
      </c>
      <c r="AB757" s="41">
        <v>29342500</v>
      </c>
      <c r="AC757" s="24">
        <f t="shared" si="519"/>
        <v>0</v>
      </c>
      <c r="AD757" s="24"/>
      <c r="AE757" s="70"/>
      <c r="AG757" s="83"/>
    </row>
    <row r="758" spans="1:33" s="1" customFormat="1" ht="10.5" x14ac:dyDescent="0.25">
      <c r="A758" s="21"/>
      <c r="B758" s="22"/>
      <c r="C758" s="22"/>
      <c r="D758" s="65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  <c r="AA758" s="24"/>
      <c r="AB758" s="24"/>
      <c r="AC758" s="24"/>
      <c r="AD758" s="24"/>
      <c r="AE758" s="24"/>
      <c r="AG758" s="83"/>
    </row>
    <row r="759" spans="1:33" s="1" customFormat="1" ht="10.5" x14ac:dyDescent="0.25">
      <c r="A759" s="25"/>
      <c r="B759" s="26" t="s">
        <v>1135</v>
      </c>
      <c r="C759" s="26"/>
      <c r="D759" s="64" t="s">
        <v>1136</v>
      </c>
      <c r="E759" s="28"/>
      <c r="F759" s="28"/>
      <c r="G759" s="28"/>
      <c r="H759" s="28"/>
      <c r="I759" s="28"/>
      <c r="J759" s="28"/>
      <c r="K759" s="28"/>
      <c r="L759" s="28"/>
      <c r="M759" s="28">
        <f>SUM(M760)</f>
        <v>1</v>
      </c>
      <c r="N759" s="28"/>
      <c r="O759" s="86">
        <f>SUM(O760)</f>
        <v>66600000</v>
      </c>
      <c r="P759" s="28">
        <f>SUM(P760:P761)</f>
        <v>0</v>
      </c>
      <c r="Q759" s="28">
        <f>SUM(Q760:Q761)</f>
        <v>0</v>
      </c>
      <c r="R759" s="28">
        <f>SUM(R760:R761)</f>
        <v>0</v>
      </c>
      <c r="S759" s="40">
        <f>SUM(S760)</f>
        <v>66600000</v>
      </c>
      <c r="T759" s="28"/>
      <c r="U759" s="28">
        <f>SUM(U760:U761)</f>
        <v>0</v>
      </c>
      <c r="V759" s="28"/>
      <c r="W759" s="28">
        <f>SUM(W760:W761)</f>
        <v>0</v>
      </c>
      <c r="X759" s="28"/>
      <c r="Y759" s="28">
        <f>SUM(Y760:Y761)</f>
        <v>0</v>
      </c>
      <c r="Z759" s="28">
        <f>SUM(Z760:Z761)</f>
        <v>0</v>
      </c>
      <c r="AA759" s="28"/>
      <c r="AB759" s="86">
        <f>SUM(AB760)</f>
        <v>66600000</v>
      </c>
      <c r="AC759" s="28">
        <f>SUM(AC760:AC761)</f>
        <v>0</v>
      </c>
      <c r="AD759" s="28"/>
      <c r="AE759" s="28"/>
      <c r="AG759" s="83"/>
    </row>
    <row r="760" spans="1:33" s="1" customFormat="1" ht="10.5" x14ac:dyDescent="0.25">
      <c r="A760" s="21"/>
      <c r="B760" s="50" t="s">
        <v>3714</v>
      </c>
      <c r="C760" s="50" t="s">
        <v>58</v>
      </c>
      <c r="D760" s="51" t="s">
        <v>401</v>
      </c>
      <c r="E760" s="52" t="s">
        <v>263</v>
      </c>
      <c r="F760" s="52"/>
      <c r="G760" s="52" t="s">
        <v>263</v>
      </c>
      <c r="H760" s="52" t="s">
        <v>62</v>
      </c>
      <c r="I760" s="52">
        <v>2012</v>
      </c>
      <c r="J760" s="52"/>
      <c r="K760" s="52" t="s">
        <v>261</v>
      </c>
      <c r="L760" s="52" t="s">
        <v>64</v>
      </c>
      <c r="M760" s="52">
        <v>1</v>
      </c>
      <c r="N760" s="53">
        <f t="shared" ref="N760" si="520">SUM(O760/M760)</f>
        <v>66600000</v>
      </c>
      <c r="O760" s="53">
        <v>66600000</v>
      </c>
      <c r="P760" s="52"/>
      <c r="Q760" s="52"/>
      <c r="R760" s="52"/>
      <c r="S760" s="53">
        <f t="shared" ref="S760" si="521">SUM(O760-R760)</f>
        <v>66600000</v>
      </c>
      <c r="T760" s="52">
        <v>5</v>
      </c>
      <c r="U760" s="53"/>
      <c r="V760" s="52">
        <v>0.5</v>
      </c>
      <c r="W760" s="53">
        <f t="shared" ref="W760" si="522">SUM(U760*V760)</f>
        <v>0</v>
      </c>
      <c r="X760" s="52"/>
      <c r="Y760" s="53">
        <f t="shared" ref="Y760" si="523">SUM(U760*X760)</f>
        <v>0</v>
      </c>
      <c r="Z760" s="53">
        <f t="shared" ref="Z760" si="524">SUM(W760+Y760)</f>
        <v>0</v>
      </c>
      <c r="AA760" s="52">
        <v>5</v>
      </c>
      <c r="AB760" s="53">
        <v>66600000</v>
      </c>
      <c r="AC760" s="53">
        <f t="shared" ref="AC760" si="525">SUM(O760-AB760)</f>
        <v>0</v>
      </c>
      <c r="AD760" s="56" t="s">
        <v>195</v>
      </c>
      <c r="AE760" s="52"/>
      <c r="AG760" s="83"/>
    </row>
    <row r="761" spans="1:33" s="1" customFormat="1" ht="10.5" x14ac:dyDescent="0.25">
      <c r="A761" s="21"/>
      <c r="B761" s="22"/>
      <c r="C761" s="22"/>
      <c r="D761" s="65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  <c r="AA761" s="24"/>
      <c r="AB761" s="24"/>
      <c r="AC761" s="24"/>
      <c r="AD761" s="24"/>
      <c r="AE761" s="24"/>
      <c r="AG761" s="83"/>
    </row>
    <row r="762" spans="1:33" s="1" customFormat="1" ht="10.5" x14ac:dyDescent="0.25">
      <c r="A762" s="25"/>
      <c r="B762" s="26" t="s">
        <v>1137</v>
      </c>
      <c r="C762" s="26"/>
      <c r="D762" s="27" t="s">
        <v>1138</v>
      </c>
      <c r="E762" s="28"/>
      <c r="F762" s="28"/>
      <c r="G762" s="28"/>
      <c r="H762" s="28"/>
      <c r="I762" s="28"/>
      <c r="J762" s="28"/>
      <c r="K762" s="28"/>
      <c r="L762" s="28"/>
      <c r="M762" s="28">
        <f>SUM(M763:M763)</f>
        <v>0</v>
      </c>
      <c r="N762" s="28"/>
      <c r="O762" s="28">
        <f>SUM(O763:O763)</f>
        <v>0</v>
      </c>
      <c r="P762" s="28">
        <f>SUM(P763:P763)</f>
        <v>0</v>
      </c>
      <c r="Q762" s="28">
        <f>SUM(Q763:Q763)</f>
        <v>0</v>
      </c>
      <c r="R762" s="28">
        <f>SUM(R763:R763)</f>
        <v>0</v>
      </c>
      <c r="S762" s="28">
        <f>SUM(S763:S763)</f>
        <v>0</v>
      </c>
      <c r="T762" s="28"/>
      <c r="U762" s="28">
        <f>SUM(U763:U763)</f>
        <v>0</v>
      </c>
      <c r="V762" s="28"/>
      <c r="W762" s="28">
        <f>SUM(W763:W763)</f>
        <v>0</v>
      </c>
      <c r="X762" s="28"/>
      <c r="Y762" s="28">
        <f>SUM(Y763:Y763)</f>
        <v>0</v>
      </c>
      <c r="Z762" s="28">
        <f>SUM(Z763:Z763)</f>
        <v>0</v>
      </c>
      <c r="AA762" s="28"/>
      <c r="AB762" s="28">
        <f>SUM(AB763:AB763)</f>
        <v>0</v>
      </c>
      <c r="AC762" s="28">
        <f>SUM(AC763:AC763)</f>
        <v>0</v>
      </c>
      <c r="AD762" s="28"/>
      <c r="AE762" s="28"/>
      <c r="AG762" s="83"/>
    </row>
    <row r="763" spans="1:33" s="1" customFormat="1" ht="10.5" x14ac:dyDescent="0.25">
      <c r="A763" s="21"/>
      <c r="B763" s="22"/>
      <c r="C763" s="22"/>
      <c r="D763" s="23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  <c r="AA763" s="24"/>
      <c r="AB763" s="24"/>
      <c r="AC763" s="24"/>
      <c r="AD763" s="24"/>
      <c r="AE763" s="24"/>
      <c r="AG763" s="83"/>
    </row>
    <row r="764" spans="1:33" s="1" customFormat="1" ht="10.5" x14ac:dyDescent="0.25">
      <c r="A764" s="17"/>
      <c r="B764" s="18" t="s">
        <v>1139</v>
      </c>
      <c r="C764" s="18"/>
      <c r="D764" s="84" t="s">
        <v>1140</v>
      </c>
      <c r="E764" s="20"/>
      <c r="F764" s="20"/>
      <c r="G764" s="20"/>
      <c r="H764" s="20"/>
      <c r="I764" s="20"/>
      <c r="J764" s="20"/>
      <c r="K764" s="20"/>
      <c r="L764" s="20"/>
      <c r="M764" s="20">
        <f>SUM(M765+M768)</f>
        <v>2</v>
      </c>
      <c r="N764" s="20"/>
      <c r="O764" s="37">
        <f>O765+O768</f>
        <v>2600000</v>
      </c>
      <c r="P764" s="20">
        <f>P765+P768</f>
        <v>0</v>
      </c>
      <c r="Q764" s="20">
        <f>Q765+Q768</f>
        <v>0</v>
      </c>
      <c r="R764" s="20">
        <f>R765+R768</f>
        <v>0</v>
      </c>
      <c r="S764" s="37">
        <f>S765+S768</f>
        <v>2600000</v>
      </c>
      <c r="T764" s="20"/>
      <c r="U764" s="37">
        <f>U765+U768</f>
        <v>520000</v>
      </c>
      <c r="V764" s="20"/>
      <c r="W764" s="37">
        <f>W765+W768</f>
        <v>260000</v>
      </c>
      <c r="X764" s="20"/>
      <c r="Y764" s="37">
        <f>Y765+Y768</f>
        <v>260000</v>
      </c>
      <c r="Z764" s="37">
        <f>Z765+Z768</f>
        <v>520000</v>
      </c>
      <c r="AA764" s="20"/>
      <c r="AB764" s="37">
        <f>AB765+AB768</f>
        <v>1473333.3333333335</v>
      </c>
      <c r="AC764" s="37">
        <f>AC765+AC768+0.3</f>
        <v>1126666.9666666666</v>
      </c>
      <c r="AD764" s="20"/>
      <c r="AE764" s="20"/>
      <c r="AF764" s="1">
        <v>1733333.3333333335</v>
      </c>
      <c r="AG764" s="83"/>
    </row>
    <row r="765" spans="1:33" s="1" customFormat="1" ht="10.5" x14ac:dyDescent="0.25">
      <c r="A765" s="25"/>
      <c r="B765" s="26" t="s">
        <v>1141</v>
      </c>
      <c r="C765" s="26"/>
      <c r="D765" s="64" t="s">
        <v>1142</v>
      </c>
      <c r="E765" s="28"/>
      <c r="F765" s="28"/>
      <c r="G765" s="28"/>
      <c r="H765" s="28"/>
      <c r="I765" s="28"/>
      <c r="J765" s="28"/>
      <c r="K765" s="28"/>
      <c r="L765" s="28"/>
      <c r="M765" s="28">
        <f>SUM(M766:M767)</f>
        <v>2</v>
      </c>
      <c r="N765" s="28"/>
      <c r="O765" s="40">
        <f>SUM(O766:O767)</f>
        <v>2600000</v>
      </c>
      <c r="P765" s="28">
        <f>SUM(P766:P767)</f>
        <v>0</v>
      </c>
      <c r="Q765" s="28">
        <f>SUM(Q766:Q767)</f>
        <v>0</v>
      </c>
      <c r="R765" s="28">
        <f>SUM(R766:R767)</f>
        <v>0</v>
      </c>
      <c r="S765" s="40">
        <f>SUM(S766:S767)</f>
        <v>2600000</v>
      </c>
      <c r="T765" s="28"/>
      <c r="U765" s="40">
        <f>SUM(U766:U767)</f>
        <v>520000</v>
      </c>
      <c r="V765" s="28"/>
      <c r="W765" s="40">
        <f>SUM(W766:W767)</f>
        <v>260000</v>
      </c>
      <c r="X765" s="28"/>
      <c r="Y765" s="40">
        <f>SUM(Y766:Y767)</f>
        <v>260000</v>
      </c>
      <c r="Z765" s="40">
        <f>SUM(Z766:Z767)</f>
        <v>520000</v>
      </c>
      <c r="AA765" s="28"/>
      <c r="AB765" s="40">
        <f>SUM(AB766:AB767)</f>
        <v>1473333.3333333335</v>
      </c>
      <c r="AC765" s="40">
        <f>SUM(AC766:AC767)</f>
        <v>1126666.6666666665</v>
      </c>
      <c r="AD765" s="28"/>
      <c r="AE765" s="28"/>
      <c r="AF765" s="5">
        <f>AB764-AF764</f>
        <v>-260000</v>
      </c>
      <c r="AG765" s="83"/>
    </row>
    <row r="766" spans="1:33" s="1" customFormat="1" ht="10.5" x14ac:dyDescent="0.25">
      <c r="A766" s="21"/>
      <c r="B766" s="22" t="s">
        <v>1745</v>
      </c>
      <c r="C766" s="50" t="s">
        <v>209</v>
      </c>
      <c r="D766" s="85" t="s">
        <v>1143</v>
      </c>
      <c r="E766" s="52" t="s">
        <v>166</v>
      </c>
      <c r="F766" s="52"/>
      <c r="G766" s="52" t="s">
        <v>194</v>
      </c>
      <c r="H766" s="52" t="s">
        <v>62</v>
      </c>
      <c r="I766" s="52">
        <v>2020</v>
      </c>
      <c r="J766" s="52"/>
      <c r="K766" s="52" t="s">
        <v>63</v>
      </c>
      <c r="L766" s="52" t="s">
        <v>64</v>
      </c>
      <c r="M766" s="52">
        <v>2</v>
      </c>
      <c r="N766" s="53">
        <v>1300000</v>
      </c>
      <c r="O766" s="53">
        <v>2600000</v>
      </c>
      <c r="P766" s="52"/>
      <c r="Q766" s="52"/>
      <c r="R766" s="52"/>
      <c r="S766" s="53">
        <f>SUM(O766-R766)</f>
        <v>2600000</v>
      </c>
      <c r="T766" s="52">
        <v>5</v>
      </c>
      <c r="U766" s="53">
        <f>SUM(S766/T766)</f>
        <v>520000</v>
      </c>
      <c r="V766" s="57">
        <v>0.5</v>
      </c>
      <c r="W766" s="53">
        <f>SUM(U766*V766)</f>
        <v>260000</v>
      </c>
      <c r="X766" s="52">
        <v>0.5</v>
      </c>
      <c r="Y766" s="53">
        <f>SUM(U766*X766)</f>
        <v>260000</v>
      </c>
      <c r="Z766" s="53">
        <f>SUM(W766+Y766)</f>
        <v>520000</v>
      </c>
      <c r="AA766" s="57">
        <f>2022-I766+V766+X766-2/12</f>
        <v>2.8333333333333335</v>
      </c>
      <c r="AB766" s="53">
        <f>SUM(U766*AA766)</f>
        <v>1473333.3333333335</v>
      </c>
      <c r="AC766" s="53">
        <f>SUM(O766-AB766)</f>
        <v>1126666.6666666665</v>
      </c>
      <c r="AD766" s="52" t="s">
        <v>1144</v>
      </c>
      <c r="AE766" s="52" t="s">
        <v>1145</v>
      </c>
      <c r="AG766" s="45"/>
    </row>
    <row r="767" spans="1:33" s="1" customFormat="1" ht="10.5" x14ac:dyDescent="0.25">
      <c r="A767" s="21"/>
      <c r="B767" s="22"/>
      <c r="C767" s="22"/>
      <c r="D767" s="65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  <c r="AA767" s="24"/>
      <c r="AB767" s="24"/>
      <c r="AC767" s="24"/>
      <c r="AD767" s="24"/>
      <c r="AE767" s="24"/>
    </row>
    <row r="768" spans="1:33" s="1" customFormat="1" ht="10.5" x14ac:dyDescent="0.25">
      <c r="A768" s="25"/>
      <c r="B768" s="26" t="s">
        <v>1146</v>
      </c>
      <c r="C768" s="26"/>
      <c r="D768" s="64" t="s">
        <v>1147</v>
      </c>
      <c r="E768" s="28"/>
      <c r="F768" s="28"/>
      <c r="G768" s="28"/>
      <c r="H768" s="28"/>
      <c r="I768" s="28"/>
      <c r="J768" s="28"/>
      <c r="K768" s="28"/>
      <c r="L768" s="28"/>
      <c r="M768" s="28">
        <f>SUM(M769:M771)</f>
        <v>0</v>
      </c>
      <c r="N768" s="28"/>
      <c r="O768" s="28">
        <f t="shared" ref="O768:AC768" si="526">SUM(O769:O771)</f>
        <v>0</v>
      </c>
      <c r="P768" s="28">
        <f t="shared" si="526"/>
        <v>0</v>
      </c>
      <c r="Q768" s="28">
        <f t="shared" si="526"/>
        <v>0</v>
      </c>
      <c r="R768" s="28">
        <f t="shared" si="526"/>
        <v>0</v>
      </c>
      <c r="S768" s="28">
        <f t="shared" si="526"/>
        <v>0</v>
      </c>
      <c r="T768" s="28"/>
      <c r="U768" s="28">
        <f t="shared" si="526"/>
        <v>0</v>
      </c>
      <c r="V768" s="28"/>
      <c r="W768" s="28">
        <f t="shared" si="526"/>
        <v>0</v>
      </c>
      <c r="X768" s="28"/>
      <c r="Y768" s="28">
        <f t="shared" si="526"/>
        <v>0</v>
      </c>
      <c r="Z768" s="28">
        <f t="shared" si="526"/>
        <v>0</v>
      </c>
      <c r="AA768" s="28"/>
      <c r="AB768" s="28">
        <f t="shared" si="526"/>
        <v>0</v>
      </c>
      <c r="AC768" s="28">
        <f t="shared" si="526"/>
        <v>0</v>
      </c>
      <c r="AD768" s="28"/>
      <c r="AE768" s="28"/>
    </row>
    <row r="769" spans="1:31" s="1" customFormat="1" ht="10.5" x14ac:dyDescent="0.25">
      <c r="A769" s="21"/>
      <c r="B769" s="22"/>
      <c r="C769" s="22"/>
      <c r="D769" s="65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  <c r="AA769" s="24"/>
      <c r="AB769" s="24"/>
      <c r="AC769" s="24"/>
      <c r="AD769" s="24"/>
      <c r="AE769" s="24"/>
    </row>
    <row r="770" spans="1:31" s="1" customFormat="1" ht="10.5" x14ac:dyDescent="0.25">
      <c r="A770" s="21"/>
      <c r="B770" s="22"/>
      <c r="C770" s="22"/>
      <c r="D770" s="65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  <c r="AA770" s="24"/>
      <c r="AB770" s="24"/>
      <c r="AC770" s="24"/>
      <c r="AD770" s="24"/>
      <c r="AE770" s="24"/>
    </row>
    <row r="771" spans="1:31" s="1" customFormat="1" ht="10.5" x14ac:dyDescent="0.25">
      <c r="A771" s="21"/>
      <c r="B771" s="22"/>
      <c r="C771" s="22"/>
      <c r="D771" s="65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  <c r="AA771" s="24"/>
      <c r="AB771" s="24"/>
      <c r="AC771" s="24"/>
      <c r="AD771" s="24"/>
      <c r="AE771" s="24"/>
    </row>
    <row r="772" spans="1:31" s="1" customFormat="1" ht="10.5" x14ac:dyDescent="0.25">
      <c r="A772" s="17"/>
      <c r="B772" s="18" t="s">
        <v>1148</v>
      </c>
      <c r="C772" s="18"/>
      <c r="D772" s="84" t="s">
        <v>1149</v>
      </c>
      <c r="E772" s="20"/>
      <c r="F772" s="20"/>
      <c r="G772" s="20"/>
      <c r="H772" s="20"/>
      <c r="I772" s="20"/>
      <c r="J772" s="20"/>
      <c r="K772" s="20"/>
      <c r="L772" s="20"/>
      <c r="M772" s="20">
        <f>SUM(M773+M775+M777+M779+M781+M783+M785+M787+M791)</f>
        <v>0</v>
      </c>
      <c r="N772" s="20"/>
      <c r="O772" s="37">
        <f>O773+O775+O777+O779+O781+O783+O785+O787+O791</f>
        <v>0</v>
      </c>
      <c r="P772" s="20">
        <f>P773+P775+P777+P779+P781+P783+P785+P787+P791</f>
        <v>0</v>
      </c>
      <c r="Q772" s="20">
        <f>Q773+Q775+Q777+Q779+Q781+Q783+Q785+Q787+Q791</f>
        <v>0</v>
      </c>
      <c r="R772" s="20">
        <f>R773+R775+R777+R779+R781+R783+R785+R787+R791</f>
        <v>0</v>
      </c>
      <c r="S772" s="37">
        <f>S773+S775+S777+S779+S781+S783+S785+S787+S791</f>
        <v>0</v>
      </c>
      <c r="T772" s="37"/>
      <c r="U772" s="37">
        <f>U773+U775+U777+U779+U781+U783+U785+U787+U791</f>
        <v>0</v>
      </c>
      <c r="V772" s="37"/>
      <c r="W772" s="37">
        <f>W773+W775+W777+W779+W781+W783+W785+W787+W791</f>
        <v>0</v>
      </c>
      <c r="X772" s="37"/>
      <c r="Y772" s="37">
        <f>Y773+Y775+Y777+Y779+Y781+Y783+Y785+Y787+Y791</f>
        <v>0</v>
      </c>
      <c r="Z772" s="37">
        <f>Z773+Z775+Z777+Z779+Z781+Z783+Z785+Z787+Z791</f>
        <v>0</v>
      </c>
      <c r="AA772" s="37"/>
      <c r="AB772" s="37">
        <f>AB773+AB775+AB777+AB779+AB781+AB783+AB785+AB787+AB791</f>
        <v>0</v>
      </c>
      <c r="AC772" s="37">
        <f>AC773+AC775+AC777+AC779+AC781+AC783+AC785+AC787+AC791</f>
        <v>0</v>
      </c>
      <c r="AD772" s="20"/>
      <c r="AE772" s="20"/>
    </row>
    <row r="773" spans="1:31" s="1" customFormat="1" ht="10.5" x14ac:dyDescent="0.25">
      <c r="A773" s="25"/>
      <c r="B773" s="26" t="s">
        <v>1150</v>
      </c>
      <c r="C773" s="26"/>
      <c r="D773" s="64" t="s">
        <v>1151</v>
      </c>
      <c r="E773" s="28"/>
      <c r="F773" s="28"/>
      <c r="G773" s="28"/>
      <c r="H773" s="28"/>
      <c r="I773" s="28"/>
      <c r="J773" s="28"/>
      <c r="K773" s="28"/>
      <c r="L773" s="28"/>
      <c r="M773" s="28">
        <f>SUM(M774:M774)</f>
        <v>0</v>
      </c>
      <c r="N773" s="28"/>
      <c r="O773" s="40">
        <f>SUM(O774:O774)</f>
        <v>0</v>
      </c>
      <c r="P773" s="28">
        <f>SUM(P774:P774)</f>
        <v>0</v>
      </c>
      <c r="Q773" s="28">
        <f>SUM(Q774:Q774)</f>
        <v>0</v>
      </c>
      <c r="R773" s="28">
        <f>SUM(R774:R774)</f>
        <v>0</v>
      </c>
      <c r="S773" s="40">
        <f>SUM(S774:S774)</f>
        <v>0</v>
      </c>
      <c r="T773" s="40"/>
      <c r="U773" s="40">
        <f>SUM(U774:U774)</f>
        <v>0</v>
      </c>
      <c r="V773" s="40"/>
      <c r="W773" s="40">
        <f>SUM(W774:W774)</f>
        <v>0</v>
      </c>
      <c r="X773" s="40"/>
      <c r="Y773" s="40">
        <f>SUM(Y774:Y774)</f>
        <v>0</v>
      </c>
      <c r="Z773" s="40">
        <f>SUM(Z774:Z774)</f>
        <v>0</v>
      </c>
      <c r="AA773" s="40"/>
      <c r="AB773" s="40">
        <f>SUM(AB774:AB774)</f>
        <v>0</v>
      </c>
      <c r="AC773" s="40">
        <f>SUM(AC774:AC774)</f>
        <v>0</v>
      </c>
      <c r="AD773" s="28"/>
      <c r="AE773" s="28"/>
    </row>
    <row r="774" spans="1:31" s="1" customFormat="1" ht="10.5" x14ac:dyDescent="0.25">
      <c r="A774" s="21"/>
      <c r="B774" s="22"/>
      <c r="C774" s="22"/>
      <c r="D774" s="65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  <c r="AA774" s="24"/>
      <c r="AB774" s="24"/>
      <c r="AC774" s="24"/>
      <c r="AD774" s="24"/>
      <c r="AE774" s="24"/>
    </row>
    <row r="775" spans="1:31" s="1" customFormat="1" ht="10.5" x14ac:dyDescent="0.25">
      <c r="A775" s="25"/>
      <c r="B775" s="26" t="s">
        <v>1152</v>
      </c>
      <c r="C775" s="26"/>
      <c r="D775" s="64" t="s">
        <v>1153</v>
      </c>
      <c r="E775" s="28"/>
      <c r="F775" s="28"/>
      <c r="G775" s="28"/>
      <c r="H775" s="28"/>
      <c r="I775" s="28"/>
      <c r="J775" s="28"/>
      <c r="K775" s="28"/>
      <c r="L775" s="28"/>
      <c r="M775" s="28">
        <f>SUM(M776:M776)</f>
        <v>0</v>
      </c>
      <c r="N775" s="28"/>
      <c r="O775" s="28">
        <f>SUM(O776:O776)</f>
        <v>0</v>
      </c>
      <c r="P775" s="28">
        <f>SUM(P776:P776)</f>
        <v>0</v>
      </c>
      <c r="Q775" s="28">
        <f>SUM(Q776:Q776)</f>
        <v>0</v>
      </c>
      <c r="R775" s="28">
        <f>SUM(R776:R776)</f>
        <v>0</v>
      </c>
      <c r="S775" s="28">
        <f>SUM(S776:S776)</f>
        <v>0</v>
      </c>
      <c r="T775" s="28"/>
      <c r="U775" s="28">
        <f>SUM(U776:U776)</f>
        <v>0</v>
      </c>
      <c r="V775" s="28"/>
      <c r="W775" s="28">
        <f>SUM(W776:W776)</f>
        <v>0</v>
      </c>
      <c r="X775" s="28"/>
      <c r="Y775" s="28">
        <f>SUM(Y776:Y776)</f>
        <v>0</v>
      </c>
      <c r="Z775" s="28">
        <f>SUM(Z776:Z776)</f>
        <v>0</v>
      </c>
      <c r="AA775" s="28"/>
      <c r="AB775" s="28">
        <f>SUM(AB776:AB776)</f>
        <v>0</v>
      </c>
      <c r="AC775" s="28">
        <f>SUM(AC776:AC776)</f>
        <v>0</v>
      </c>
      <c r="AD775" s="28"/>
      <c r="AE775" s="28"/>
    </row>
    <row r="776" spans="1:31" s="1" customFormat="1" ht="10.5" x14ac:dyDescent="0.25">
      <c r="A776" s="21"/>
      <c r="B776" s="22"/>
      <c r="C776" s="22"/>
      <c r="D776" s="65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  <c r="AA776" s="24"/>
      <c r="AB776" s="24"/>
      <c r="AC776" s="24"/>
      <c r="AD776" s="24"/>
      <c r="AE776" s="24"/>
    </row>
    <row r="777" spans="1:31" s="1" customFormat="1" ht="10.5" x14ac:dyDescent="0.25">
      <c r="A777" s="25"/>
      <c r="B777" s="26" t="s">
        <v>1154</v>
      </c>
      <c r="C777" s="26"/>
      <c r="D777" s="64" t="s">
        <v>1155</v>
      </c>
      <c r="E777" s="28"/>
      <c r="F777" s="28"/>
      <c r="G777" s="28"/>
      <c r="H777" s="28"/>
      <c r="I777" s="28"/>
      <c r="J777" s="28"/>
      <c r="K777" s="28"/>
      <c r="L777" s="28"/>
      <c r="M777" s="28">
        <f>SUM(M778:M778)</f>
        <v>0</v>
      </c>
      <c r="N777" s="28"/>
      <c r="O777" s="28">
        <f>SUM(O778:O778)</f>
        <v>0</v>
      </c>
      <c r="P777" s="28">
        <f>SUM(P778:P778)</f>
        <v>0</v>
      </c>
      <c r="Q777" s="28">
        <f>SUM(Q778:Q778)</f>
        <v>0</v>
      </c>
      <c r="R777" s="28">
        <f>SUM(R778:R778)</f>
        <v>0</v>
      </c>
      <c r="S777" s="28">
        <f>SUM(S778:S778)</f>
        <v>0</v>
      </c>
      <c r="T777" s="28"/>
      <c r="U777" s="28">
        <f>SUM(U778:U778)</f>
        <v>0</v>
      </c>
      <c r="V777" s="28"/>
      <c r="W777" s="28">
        <f>SUM(W778:W778)</f>
        <v>0</v>
      </c>
      <c r="X777" s="28"/>
      <c r="Y777" s="28">
        <f>SUM(Y778:Y778)</f>
        <v>0</v>
      </c>
      <c r="Z777" s="28">
        <f>SUM(Z778:Z778)</f>
        <v>0</v>
      </c>
      <c r="AA777" s="28"/>
      <c r="AB777" s="28">
        <f>SUM(AB778:AB778)</f>
        <v>0</v>
      </c>
      <c r="AC777" s="28">
        <f>SUM(AC778:AC778)</f>
        <v>0</v>
      </c>
      <c r="AD777" s="28"/>
      <c r="AE777" s="28"/>
    </row>
    <row r="778" spans="1:31" s="1" customFormat="1" ht="10.5" x14ac:dyDescent="0.25">
      <c r="A778" s="21"/>
      <c r="B778" s="22"/>
      <c r="C778" s="22"/>
      <c r="D778" s="65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  <c r="AA778" s="24"/>
      <c r="AB778" s="24"/>
      <c r="AC778" s="24"/>
      <c r="AD778" s="24"/>
      <c r="AE778" s="24"/>
    </row>
    <row r="779" spans="1:31" s="1" customFormat="1" ht="21" x14ac:dyDescent="0.25">
      <c r="A779" s="25"/>
      <c r="B779" s="26" t="s">
        <v>1156</v>
      </c>
      <c r="C779" s="26"/>
      <c r="D779" s="64" t="s">
        <v>1157</v>
      </c>
      <c r="E779" s="28"/>
      <c r="F779" s="28"/>
      <c r="G779" s="28"/>
      <c r="H779" s="28"/>
      <c r="I779" s="28"/>
      <c r="J779" s="28"/>
      <c r="K779" s="28"/>
      <c r="L779" s="28"/>
      <c r="M779" s="28">
        <f>SUM(M780:M780)</f>
        <v>0</v>
      </c>
      <c r="N779" s="28"/>
      <c r="O779" s="28">
        <f>SUM(O780:O780)</f>
        <v>0</v>
      </c>
      <c r="P779" s="28">
        <f>SUM(P780:P780)</f>
        <v>0</v>
      </c>
      <c r="Q779" s="28">
        <f>SUM(Q780:Q780)</f>
        <v>0</v>
      </c>
      <c r="R779" s="28">
        <f>SUM(R780:R780)</f>
        <v>0</v>
      </c>
      <c r="S779" s="28">
        <f>SUM(S780:S780)</f>
        <v>0</v>
      </c>
      <c r="T779" s="28"/>
      <c r="U779" s="28">
        <f>SUM(U780:U780)</f>
        <v>0</v>
      </c>
      <c r="V779" s="28"/>
      <c r="W779" s="28">
        <f>SUM(W780:W780)</f>
        <v>0</v>
      </c>
      <c r="X779" s="28"/>
      <c r="Y779" s="28">
        <f>SUM(Y780:Y780)</f>
        <v>0</v>
      </c>
      <c r="Z779" s="28">
        <f>SUM(Z780:Z780)</f>
        <v>0</v>
      </c>
      <c r="AA779" s="28"/>
      <c r="AB779" s="28">
        <f>SUM(AB780:AB780)</f>
        <v>0</v>
      </c>
      <c r="AC779" s="28">
        <f>SUM(AC780:AC780)</f>
        <v>0</v>
      </c>
      <c r="AD779" s="28"/>
      <c r="AE779" s="28"/>
    </row>
    <row r="780" spans="1:31" s="1" customFormat="1" ht="10.5" x14ac:dyDescent="0.25">
      <c r="A780" s="21"/>
      <c r="B780" s="22"/>
      <c r="C780" s="22"/>
      <c r="D780" s="65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  <c r="AA780" s="24"/>
      <c r="AB780" s="24"/>
      <c r="AC780" s="24"/>
      <c r="AD780" s="24"/>
      <c r="AE780" s="24"/>
    </row>
    <row r="781" spans="1:31" s="1" customFormat="1" ht="21" x14ac:dyDescent="0.25">
      <c r="A781" s="25"/>
      <c r="B781" s="26" t="s">
        <v>1158</v>
      </c>
      <c r="C781" s="26"/>
      <c r="D781" s="64" t="s">
        <v>1159</v>
      </c>
      <c r="E781" s="28"/>
      <c r="F781" s="28"/>
      <c r="G781" s="28"/>
      <c r="H781" s="28"/>
      <c r="I781" s="28"/>
      <c r="J781" s="28"/>
      <c r="K781" s="28"/>
      <c r="L781" s="28"/>
      <c r="M781" s="28">
        <f>SUM(M782:M782)</f>
        <v>0</v>
      </c>
      <c r="N781" s="28"/>
      <c r="O781" s="28">
        <f>SUM(O782:O782)</f>
        <v>0</v>
      </c>
      <c r="P781" s="28">
        <f>SUM(P782:P782)</f>
        <v>0</v>
      </c>
      <c r="Q781" s="28">
        <f>SUM(Q782:Q782)</f>
        <v>0</v>
      </c>
      <c r="R781" s="28">
        <f>SUM(R782:R782)</f>
        <v>0</v>
      </c>
      <c r="S781" s="28">
        <f>SUM(S782:S782)</f>
        <v>0</v>
      </c>
      <c r="T781" s="28"/>
      <c r="U781" s="28">
        <f>SUM(U782:U782)</f>
        <v>0</v>
      </c>
      <c r="V781" s="28"/>
      <c r="W781" s="28">
        <f>SUM(W782:W782)</f>
        <v>0</v>
      </c>
      <c r="X781" s="28"/>
      <c r="Y781" s="28">
        <f>SUM(Y782:Y782)</f>
        <v>0</v>
      </c>
      <c r="Z781" s="28">
        <f>SUM(Z782:Z782)</f>
        <v>0</v>
      </c>
      <c r="AA781" s="28"/>
      <c r="AB781" s="28">
        <f>SUM(AB782:AB782)</f>
        <v>0</v>
      </c>
      <c r="AC781" s="28">
        <f>SUM(AC782:AC782)</f>
        <v>0</v>
      </c>
      <c r="AD781" s="28"/>
      <c r="AE781" s="28"/>
    </row>
    <row r="782" spans="1:31" s="1" customFormat="1" ht="10.5" x14ac:dyDescent="0.25">
      <c r="A782" s="21"/>
      <c r="B782" s="22"/>
      <c r="C782" s="22"/>
      <c r="D782" s="65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  <c r="AA782" s="24"/>
      <c r="AB782" s="24"/>
      <c r="AC782" s="24"/>
      <c r="AD782" s="24"/>
      <c r="AE782" s="24"/>
    </row>
    <row r="783" spans="1:31" s="1" customFormat="1" ht="31.5" x14ac:dyDescent="0.25">
      <c r="A783" s="25"/>
      <c r="B783" s="26" t="s">
        <v>1160</v>
      </c>
      <c r="C783" s="26"/>
      <c r="D783" s="64" t="s">
        <v>1161</v>
      </c>
      <c r="E783" s="28"/>
      <c r="F783" s="28"/>
      <c r="G783" s="28"/>
      <c r="H783" s="28"/>
      <c r="I783" s="28"/>
      <c r="J783" s="28"/>
      <c r="K783" s="28"/>
      <c r="L783" s="28"/>
      <c r="M783" s="28">
        <f>SUM(M784:M784)</f>
        <v>0</v>
      </c>
      <c r="N783" s="28"/>
      <c r="O783" s="28">
        <f>SUM(O784:O784)</f>
        <v>0</v>
      </c>
      <c r="P783" s="28">
        <f>SUM(P784:P784)</f>
        <v>0</v>
      </c>
      <c r="Q783" s="28">
        <f>SUM(Q784:Q784)</f>
        <v>0</v>
      </c>
      <c r="R783" s="28">
        <f>SUM(R784:R784)</f>
        <v>0</v>
      </c>
      <c r="S783" s="28">
        <f>SUM(S784:S784)</f>
        <v>0</v>
      </c>
      <c r="T783" s="28"/>
      <c r="U783" s="28">
        <f>SUM(U784:U784)</f>
        <v>0</v>
      </c>
      <c r="V783" s="28"/>
      <c r="W783" s="28">
        <f>SUM(W784:W784)</f>
        <v>0</v>
      </c>
      <c r="X783" s="28"/>
      <c r="Y783" s="28">
        <f>SUM(Y784:Y784)</f>
        <v>0</v>
      </c>
      <c r="Z783" s="28">
        <f>SUM(Z784:Z784)</f>
        <v>0</v>
      </c>
      <c r="AA783" s="28"/>
      <c r="AB783" s="28">
        <f>SUM(AB784:AB784)</f>
        <v>0</v>
      </c>
      <c r="AC783" s="28">
        <f>SUM(AC784:AC784)</f>
        <v>0</v>
      </c>
      <c r="AD783" s="28"/>
      <c r="AE783" s="28"/>
    </row>
    <row r="784" spans="1:31" s="1" customFormat="1" ht="10.5" x14ac:dyDescent="0.25">
      <c r="A784" s="21"/>
      <c r="B784" s="22"/>
      <c r="C784" s="22"/>
      <c r="D784" s="65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  <c r="AA784" s="24"/>
      <c r="AB784" s="24"/>
      <c r="AC784" s="24"/>
      <c r="AD784" s="24"/>
      <c r="AE784" s="24"/>
    </row>
    <row r="785" spans="1:31" s="1" customFormat="1" ht="21" x14ac:dyDescent="0.25">
      <c r="A785" s="25"/>
      <c r="B785" s="26" t="s">
        <v>1162</v>
      </c>
      <c r="C785" s="26"/>
      <c r="D785" s="64" t="s">
        <v>1163</v>
      </c>
      <c r="E785" s="28"/>
      <c r="F785" s="28"/>
      <c r="G785" s="28"/>
      <c r="H785" s="28"/>
      <c r="I785" s="28"/>
      <c r="J785" s="28"/>
      <c r="K785" s="28"/>
      <c r="L785" s="28"/>
      <c r="M785" s="28">
        <f>SUM(M786:M786)</f>
        <v>0</v>
      </c>
      <c r="N785" s="28"/>
      <c r="O785" s="28">
        <f>SUM(O786:O786)</f>
        <v>0</v>
      </c>
      <c r="P785" s="28">
        <f>SUM(P786:P786)</f>
        <v>0</v>
      </c>
      <c r="Q785" s="28">
        <f>SUM(Q786:Q786)</f>
        <v>0</v>
      </c>
      <c r="R785" s="28">
        <f>SUM(R786:R786)</f>
        <v>0</v>
      </c>
      <c r="S785" s="28">
        <f>SUM(S786:S786)</f>
        <v>0</v>
      </c>
      <c r="T785" s="28"/>
      <c r="U785" s="28">
        <f>SUM(U786:U786)</f>
        <v>0</v>
      </c>
      <c r="V785" s="28"/>
      <c r="W785" s="28">
        <f>SUM(W786:W786)</f>
        <v>0</v>
      </c>
      <c r="X785" s="28"/>
      <c r="Y785" s="28">
        <f>SUM(Y786:Y786)</f>
        <v>0</v>
      </c>
      <c r="Z785" s="28">
        <f>SUM(Z786:Z786)</f>
        <v>0</v>
      </c>
      <c r="AA785" s="28"/>
      <c r="AB785" s="28">
        <f>SUM(AB786:AB786)</f>
        <v>0</v>
      </c>
      <c r="AC785" s="28">
        <f>SUM(AC786:AC786)</f>
        <v>0</v>
      </c>
      <c r="AD785" s="28"/>
      <c r="AE785" s="28"/>
    </row>
    <row r="786" spans="1:31" s="1" customFormat="1" ht="10.5" x14ac:dyDescent="0.25">
      <c r="A786" s="21"/>
      <c r="B786" s="22"/>
      <c r="C786" s="22"/>
      <c r="D786" s="65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  <c r="AA786" s="24"/>
      <c r="AB786" s="24"/>
      <c r="AC786" s="24"/>
      <c r="AD786" s="24"/>
      <c r="AE786" s="24"/>
    </row>
    <row r="787" spans="1:31" s="1" customFormat="1" ht="21" x14ac:dyDescent="0.25">
      <c r="A787" s="25"/>
      <c r="B787" s="26" t="s">
        <v>1164</v>
      </c>
      <c r="C787" s="26"/>
      <c r="D787" s="64" t="s">
        <v>1165</v>
      </c>
      <c r="E787" s="28"/>
      <c r="F787" s="28"/>
      <c r="G787" s="28"/>
      <c r="H787" s="28"/>
      <c r="I787" s="28"/>
      <c r="J787" s="28"/>
      <c r="K787" s="28"/>
      <c r="L787" s="28"/>
      <c r="M787" s="28">
        <f>SUM(M788:M790)</f>
        <v>0</v>
      </c>
      <c r="N787" s="28"/>
      <c r="O787" s="28">
        <f t="shared" ref="O787:AC787" si="527">SUM(O788:O790)</f>
        <v>0</v>
      </c>
      <c r="P787" s="28">
        <f t="shared" si="527"/>
        <v>0</v>
      </c>
      <c r="Q787" s="28">
        <f t="shared" si="527"/>
        <v>0</v>
      </c>
      <c r="R787" s="28">
        <f t="shared" si="527"/>
        <v>0</v>
      </c>
      <c r="S787" s="28">
        <f t="shared" si="527"/>
        <v>0</v>
      </c>
      <c r="T787" s="28"/>
      <c r="U787" s="28">
        <f t="shared" si="527"/>
        <v>0</v>
      </c>
      <c r="V787" s="28"/>
      <c r="W787" s="28">
        <f t="shared" si="527"/>
        <v>0</v>
      </c>
      <c r="X787" s="28"/>
      <c r="Y787" s="28">
        <f t="shared" si="527"/>
        <v>0</v>
      </c>
      <c r="Z787" s="28">
        <f t="shared" si="527"/>
        <v>0</v>
      </c>
      <c r="AA787" s="28"/>
      <c r="AB787" s="28">
        <f t="shared" si="527"/>
        <v>0</v>
      </c>
      <c r="AC787" s="28">
        <f t="shared" si="527"/>
        <v>0</v>
      </c>
      <c r="AD787" s="28"/>
      <c r="AE787" s="28"/>
    </row>
    <row r="788" spans="1:31" s="1" customFormat="1" ht="10.5" x14ac:dyDescent="0.25">
      <c r="A788" s="21"/>
      <c r="B788" s="22"/>
      <c r="C788" s="22"/>
      <c r="D788" s="65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  <c r="AA788" s="24"/>
      <c r="AB788" s="24"/>
      <c r="AC788" s="24"/>
      <c r="AD788" s="24"/>
      <c r="AE788" s="24"/>
    </row>
    <row r="789" spans="1:31" s="1" customFormat="1" ht="10.5" x14ac:dyDescent="0.25">
      <c r="A789" s="21"/>
      <c r="B789" s="22"/>
      <c r="C789" s="22"/>
      <c r="D789" s="65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  <c r="AA789" s="24"/>
      <c r="AB789" s="24"/>
      <c r="AC789" s="24"/>
      <c r="AD789" s="24"/>
      <c r="AE789" s="24"/>
    </row>
    <row r="790" spans="1:31" s="1" customFormat="1" ht="10.5" x14ac:dyDescent="0.25">
      <c r="A790" s="21"/>
      <c r="B790" s="22"/>
      <c r="C790" s="22"/>
      <c r="D790" s="65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  <c r="AA790" s="24"/>
      <c r="AB790" s="24"/>
      <c r="AC790" s="24"/>
      <c r="AD790" s="24"/>
      <c r="AE790" s="24"/>
    </row>
    <row r="791" spans="1:31" s="1" customFormat="1" ht="21" x14ac:dyDescent="0.25">
      <c r="A791" s="25"/>
      <c r="B791" s="26" t="s">
        <v>1166</v>
      </c>
      <c r="C791" s="26"/>
      <c r="D791" s="64" t="s">
        <v>1167</v>
      </c>
      <c r="E791" s="28"/>
      <c r="F791" s="28"/>
      <c r="G791" s="28"/>
      <c r="H791" s="28"/>
      <c r="I791" s="28"/>
      <c r="J791" s="28"/>
      <c r="K791" s="28"/>
      <c r="L791" s="28"/>
      <c r="M791" s="28">
        <f>SUM(M792:M792)</f>
        <v>0</v>
      </c>
      <c r="N791" s="28"/>
      <c r="O791" s="28">
        <f>SUM(O792:O792)</f>
        <v>0</v>
      </c>
      <c r="P791" s="28">
        <f>SUM(P792:P792)</f>
        <v>0</v>
      </c>
      <c r="Q791" s="28">
        <f>SUM(Q792:Q792)</f>
        <v>0</v>
      </c>
      <c r="R791" s="28">
        <f>SUM(R792:R792)</f>
        <v>0</v>
      </c>
      <c r="S791" s="28">
        <f>SUM(S792:S792)</f>
        <v>0</v>
      </c>
      <c r="T791" s="28"/>
      <c r="U791" s="28">
        <f>SUM(U792:U792)</f>
        <v>0</v>
      </c>
      <c r="V791" s="28"/>
      <c r="W791" s="28">
        <f>SUM(W792:W792)</f>
        <v>0</v>
      </c>
      <c r="X791" s="28"/>
      <c r="Y791" s="28">
        <f>SUM(Y792:Y792)</f>
        <v>0</v>
      </c>
      <c r="Z791" s="28">
        <f>SUM(Z792:Z792)</f>
        <v>0</v>
      </c>
      <c r="AA791" s="28"/>
      <c r="AB791" s="28">
        <f>SUM(AB792:AB792)</f>
        <v>0</v>
      </c>
      <c r="AC791" s="28">
        <f>SUM(AC792:AC792)</f>
        <v>0</v>
      </c>
      <c r="AD791" s="28"/>
      <c r="AE791" s="28"/>
    </row>
    <row r="792" spans="1:31" s="1" customFormat="1" ht="10.5" x14ac:dyDescent="0.25">
      <c r="A792" s="21"/>
      <c r="B792" s="22"/>
      <c r="C792" s="22"/>
      <c r="D792" s="65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  <c r="AA792" s="24"/>
      <c r="AB792" s="24"/>
      <c r="AC792" s="24"/>
      <c r="AD792" s="24"/>
      <c r="AE792" s="24"/>
    </row>
    <row r="793" spans="1:31" s="1" customFormat="1" ht="10.5" x14ac:dyDescent="0.25">
      <c r="A793" s="17"/>
      <c r="B793" s="18" t="s">
        <v>1168</v>
      </c>
      <c r="C793" s="18"/>
      <c r="D793" s="84" t="s">
        <v>1169</v>
      </c>
      <c r="E793" s="20"/>
      <c r="F793" s="20"/>
      <c r="G793" s="20"/>
      <c r="H793" s="20"/>
      <c r="I793" s="20"/>
      <c r="J793" s="20"/>
      <c r="K793" s="20"/>
      <c r="L793" s="20"/>
      <c r="M793" s="20">
        <f>SUM(M794+M796+M798+M800)</f>
        <v>0</v>
      </c>
      <c r="N793" s="20"/>
      <c r="O793" s="20">
        <f>O794+O796+O798+O800</f>
        <v>0</v>
      </c>
      <c r="P793" s="20">
        <f>P794+P796+P798+P800</f>
        <v>0</v>
      </c>
      <c r="Q793" s="20">
        <f>Q794+Q796+Q798+Q800</f>
        <v>0</v>
      </c>
      <c r="R793" s="20">
        <f>R794+R796+R798+R800</f>
        <v>0</v>
      </c>
      <c r="S793" s="20">
        <f>S794+S796+S798+S800</f>
        <v>0</v>
      </c>
      <c r="T793" s="20"/>
      <c r="U793" s="20">
        <f>U794+U796+U798+U800</f>
        <v>0</v>
      </c>
      <c r="V793" s="20"/>
      <c r="W793" s="20">
        <f>W794+W796+W798+W800</f>
        <v>0</v>
      </c>
      <c r="X793" s="20"/>
      <c r="Y793" s="20">
        <f>Y794+Y796+Y798+Y800</f>
        <v>0</v>
      </c>
      <c r="Z793" s="20">
        <f>Z794+Z796+Z798+Z800</f>
        <v>0</v>
      </c>
      <c r="AA793" s="20"/>
      <c r="AB793" s="20">
        <f>AB794+AB796+AB798+AB800</f>
        <v>0</v>
      </c>
      <c r="AC793" s="20">
        <f>AC794+AC796+AC798+AC800</f>
        <v>0</v>
      </c>
      <c r="AD793" s="20"/>
      <c r="AE793" s="20"/>
    </row>
    <row r="794" spans="1:31" s="1" customFormat="1" ht="10.5" x14ac:dyDescent="0.25">
      <c r="A794" s="25"/>
      <c r="B794" s="26" t="s">
        <v>1170</v>
      </c>
      <c r="C794" s="26"/>
      <c r="D794" s="64" t="s">
        <v>1171</v>
      </c>
      <c r="E794" s="28"/>
      <c r="F794" s="28"/>
      <c r="G794" s="28"/>
      <c r="H794" s="28"/>
      <c r="I794" s="28"/>
      <c r="J794" s="28"/>
      <c r="K794" s="28"/>
      <c r="L794" s="28"/>
      <c r="M794" s="28">
        <f>SUM(M795:M795)</f>
        <v>0</v>
      </c>
      <c r="N794" s="28"/>
      <c r="O794" s="28">
        <f>SUM(O795:O795)</f>
        <v>0</v>
      </c>
      <c r="P794" s="28">
        <f>SUM(P795:P795)</f>
        <v>0</v>
      </c>
      <c r="Q794" s="28">
        <f>SUM(Q795:Q795)</f>
        <v>0</v>
      </c>
      <c r="R794" s="28">
        <f>SUM(R795:R795)</f>
        <v>0</v>
      </c>
      <c r="S794" s="28">
        <f>SUM(S795:S795)</f>
        <v>0</v>
      </c>
      <c r="T794" s="28"/>
      <c r="U794" s="28">
        <f>SUM(U795:U795)</f>
        <v>0</v>
      </c>
      <c r="V794" s="28"/>
      <c r="W794" s="28">
        <f>SUM(W795:W795)</f>
        <v>0</v>
      </c>
      <c r="X794" s="28"/>
      <c r="Y794" s="28">
        <f>SUM(Y795:Y795)</f>
        <v>0</v>
      </c>
      <c r="Z794" s="28">
        <f>SUM(Z795:Z795)</f>
        <v>0</v>
      </c>
      <c r="AA794" s="28"/>
      <c r="AB794" s="28">
        <f>SUM(AB795:AB795)</f>
        <v>0</v>
      </c>
      <c r="AC794" s="28">
        <f>SUM(AC795:AC795)</f>
        <v>0</v>
      </c>
      <c r="AD794" s="28"/>
      <c r="AE794" s="28"/>
    </row>
    <row r="795" spans="1:31" s="1" customFormat="1" ht="10.5" x14ac:dyDescent="0.25">
      <c r="A795" s="21"/>
      <c r="B795" s="22"/>
      <c r="C795" s="22"/>
      <c r="D795" s="65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  <c r="AA795" s="24"/>
      <c r="AB795" s="24"/>
      <c r="AC795" s="24"/>
      <c r="AD795" s="24"/>
      <c r="AE795" s="24"/>
    </row>
    <row r="796" spans="1:31" s="1" customFormat="1" ht="10.5" x14ac:dyDescent="0.25">
      <c r="A796" s="25"/>
      <c r="B796" s="26" t="s">
        <v>1172</v>
      </c>
      <c r="C796" s="26"/>
      <c r="D796" s="64" t="s">
        <v>1173</v>
      </c>
      <c r="E796" s="28"/>
      <c r="F796" s="28"/>
      <c r="G796" s="28"/>
      <c r="H796" s="28"/>
      <c r="I796" s="28"/>
      <c r="J796" s="28"/>
      <c r="K796" s="28"/>
      <c r="L796" s="28"/>
      <c r="M796" s="28">
        <f>SUM(M797:M797)</f>
        <v>0</v>
      </c>
      <c r="N796" s="28"/>
      <c r="O796" s="28">
        <f>SUM(O797:O797)</f>
        <v>0</v>
      </c>
      <c r="P796" s="28">
        <f>SUM(P797:P797)</f>
        <v>0</v>
      </c>
      <c r="Q796" s="28">
        <f>SUM(Q797:Q797)</f>
        <v>0</v>
      </c>
      <c r="R796" s="28">
        <f>SUM(R797:R797)</f>
        <v>0</v>
      </c>
      <c r="S796" s="28">
        <f>SUM(S797:S797)</f>
        <v>0</v>
      </c>
      <c r="T796" s="28"/>
      <c r="U796" s="28">
        <f>SUM(U797:U797)</f>
        <v>0</v>
      </c>
      <c r="V796" s="28"/>
      <c r="W796" s="28">
        <f>SUM(W797:W797)</f>
        <v>0</v>
      </c>
      <c r="X796" s="28"/>
      <c r="Y796" s="28">
        <f>SUM(Y797:Y797)</f>
        <v>0</v>
      </c>
      <c r="Z796" s="28">
        <f>SUM(Z797:Z797)</f>
        <v>0</v>
      </c>
      <c r="AA796" s="28"/>
      <c r="AB796" s="28">
        <f>SUM(AB797:AB797)</f>
        <v>0</v>
      </c>
      <c r="AC796" s="28">
        <f>SUM(AC797:AC797)</f>
        <v>0</v>
      </c>
      <c r="AD796" s="28"/>
      <c r="AE796" s="28"/>
    </row>
    <row r="797" spans="1:31" s="1" customFormat="1" ht="10.5" x14ac:dyDescent="0.25">
      <c r="A797" s="21"/>
      <c r="B797" s="22"/>
      <c r="C797" s="22"/>
      <c r="D797" s="65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  <c r="AA797" s="24"/>
      <c r="AB797" s="24"/>
      <c r="AC797" s="24"/>
      <c r="AD797" s="24"/>
      <c r="AE797" s="24"/>
    </row>
    <row r="798" spans="1:31" s="1" customFormat="1" ht="10.5" x14ac:dyDescent="0.25">
      <c r="A798" s="25"/>
      <c r="B798" s="26" t="s">
        <v>1174</v>
      </c>
      <c r="C798" s="26"/>
      <c r="D798" s="64" t="s">
        <v>1175</v>
      </c>
      <c r="E798" s="28"/>
      <c r="F798" s="28"/>
      <c r="G798" s="28"/>
      <c r="H798" s="28"/>
      <c r="I798" s="28"/>
      <c r="J798" s="28"/>
      <c r="K798" s="28"/>
      <c r="L798" s="28"/>
      <c r="M798" s="28">
        <f>SUM(M799:M799)</f>
        <v>0</v>
      </c>
      <c r="N798" s="28"/>
      <c r="O798" s="28">
        <f>SUM(O799:O799)</f>
        <v>0</v>
      </c>
      <c r="P798" s="28">
        <f>SUM(P799:P799)</f>
        <v>0</v>
      </c>
      <c r="Q798" s="28">
        <f>SUM(Q799:Q799)</f>
        <v>0</v>
      </c>
      <c r="R798" s="28">
        <f>SUM(R799:R799)</f>
        <v>0</v>
      </c>
      <c r="S798" s="28">
        <f>SUM(S799:S799)</f>
        <v>0</v>
      </c>
      <c r="T798" s="28"/>
      <c r="U798" s="28">
        <f>SUM(U799:U799)</f>
        <v>0</v>
      </c>
      <c r="V798" s="28"/>
      <c r="W798" s="28">
        <f>SUM(W799:W799)</f>
        <v>0</v>
      </c>
      <c r="X798" s="28"/>
      <c r="Y798" s="28">
        <f>SUM(Y799:Y799)</f>
        <v>0</v>
      </c>
      <c r="Z798" s="28">
        <f>SUM(Z799:Z799)</f>
        <v>0</v>
      </c>
      <c r="AA798" s="28"/>
      <c r="AB798" s="28">
        <f>SUM(AB799:AB799)</f>
        <v>0</v>
      </c>
      <c r="AC798" s="28">
        <f>SUM(AC799:AC799)</f>
        <v>0</v>
      </c>
      <c r="AD798" s="28"/>
      <c r="AE798" s="28"/>
    </row>
    <row r="799" spans="1:31" s="1" customFormat="1" ht="10.5" x14ac:dyDescent="0.25">
      <c r="A799" s="21"/>
      <c r="B799" s="22"/>
      <c r="C799" s="22"/>
      <c r="D799" s="65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  <c r="AA799" s="24"/>
      <c r="AB799" s="24"/>
      <c r="AC799" s="24"/>
      <c r="AD799" s="24"/>
      <c r="AE799" s="24"/>
    </row>
    <row r="800" spans="1:31" s="1" customFormat="1" ht="10.5" x14ac:dyDescent="0.25">
      <c r="A800" s="25"/>
      <c r="B800" s="26" t="s">
        <v>1176</v>
      </c>
      <c r="C800" s="26"/>
      <c r="D800" s="64" t="s">
        <v>1177</v>
      </c>
      <c r="E800" s="28"/>
      <c r="F800" s="28"/>
      <c r="G800" s="28"/>
      <c r="H800" s="28"/>
      <c r="I800" s="28"/>
      <c r="J800" s="28"/>
      <c r="K800" s="28"/>
      <c r="L800" s="28"/>
      <c r="M800" s="28">
        <f>SUM(M801:M801)</f>
        <v>0</v>
      </c>
      <c r="N800" s="28"/>
      <c r="O800" s="28">
        <f>SUM(O801:O801)</f>
        <v>0</v>
      </c>
      <c r="P800" s="28">
        <f>SUM(P801:P801)</f>
        <v>0</v>
      </c>
      <c r="Q800" s="28">
        <f>SUM(Q801:Q801)</f>
        <v>0</v>
      </c>
      <c r="R800" s="28">
        <f>SUM(R801:R801)</f>
        <v>0</v>
      </c>
      <c r="S800" s="28">
        <f>SUM(S801:S801)</f>
        <v>0</v>
      </c>
      <c r="T800" s="28"/>
      <c r="U800" s="28">
        <f>SUM(U801:U801)</f>
        <v>0</v>
      </c>
      <c r="V800" s="28"/>
      <c r="W800" s="28">
        <f>SUM(W801:W801)</f>
        <v>0</v>
      </c>
      <c r="X800" s="28"/>
      <c r="Y800" s="28">
        <f>SUM(Y801:Y801)</f>
        <v>0</v>
      </c>
      <c r="Z800" s="28">
        <f>SUM(Z801:Z801)</f>
        <v>0</v>
      </c>
      <c r="AA800" s="28"/>
      <c r="AB800" s="28">
        <f>SUM(AB801:AB801)</f>
        <v>0</v>
      </c>
      <c r="AC800" s="28">
        <f>SUM(AC801:AC801)</f>
        <v>0</v>
      </c>
      <c r="AD800" s="28"/>
      <c r="AE800" s="28"/>
    </row>
    <row r="801" spans="1:34" s="1" customFormat="1" ht="10.5" x14ac:dyDescent="0.25">
      <c r="A801" s="21"/>
      <c r="B801" s="22"/>
      <c r="C801" s="22"/>
      <c r="D801" s="65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  <c r="AA801" s="24"/>
      <c r="AB801" s="24"/>
      <c r="AC801" s="24"/>
      <c r="AD801" s="24"/>
      <c r="AE801" s="24"/>
    </row>
    <row r="802" spans="1:34" s="1" customFormat="1" ht="10.5" x14ac:dyDescent="0.25">
      <c r="A802" s="17"/>
      <c r="B802" s="18" t="s">
        <v>1178</v>
      </c>
      <c r="C802" s="18"/>
      <c r="D802" s="84" t="s">
        <v>1179</v>
      </c>
      <c r="E802" s="20"/>
      <c r="F802" s="20"/>
      <c r="G802" s="20"/>
      <c r="H802" s="20"/>
      <c r="I802" s="20"/>
      <c r="J802" s="20"/>
      <c r="K802" s="20"/>
      <c r="L802" s="20"/>
      <c r="M802" s="20">
        <f>SUM(M803+M882)</f>
        <v>336</v>
      </c>
      <c r="N802" s="20"/>
      <c r="O802" s="37">
        <f>SUM(O803+O882)</f>
        <v>2036906587</v>
      </c>
      <c r="P802" s="37">
        <f>P803+P882</f>
        <v>0</v>
      </c>
      <c r="Q802" s="37">
        <f>Q803+Q882</f>
        <v>0</v>
      </c>
      <c r="R802" s="37">
        <f>R803+R882</f>
        <v>0</v>
      </c>
      <c r="S802" s="37">
        <f>SUM(S803+S882)</f>
        <v>2036906587</v>
      </c>
      <c r="T802" s="37"/>
      <c r="U802" s="37">
        <f>SUM(U803+U882)</f>
        <v>204022899.90000001</v>
      </c>
      <c r="V802" s="37"/>
      <c r="W802" s="37">
        <f>SUM(W803+W882)</f>
        <v>72992883.283333376</v>
      </c>
      <c r="X802" s="37"/>
      <c r="Y802" s="37">
        <f>Y803+Y882</f>
        <v>69845145.783333346</v>
      </c>
      <c r="Z802" s="37">
        <f>SUM(Z803+Z882)</f>
        <v>142838029.06666669</v>
      </c>
      <c r="AA802" s="37"/>
      <c r="AB802" s="37">
        <f>SUM(AB803+AB882)</f>
        <v>1617086560.2349997</v>
      </c>
      <c r="AC802" s="37">
        <f>SUM(AC803+AC882)</f>
        <v>419820026.22499996</v>
      </c>
      <c r="AD802" s="20"/>
      <c r="AE802" s="20"/>
      <c r="AG802" s="143"/>
    </row>
    <row r="803" spans="1:34" s="160" customFormat="1" ht="10.5" x14ac:dyDescent="0.25">
      <c r="A803" s="138"/>
      <c r="B803" s="139" t="s">
        <v>1180</v>
      </c>
      <c r="C803" s="139"/>
      <c r="D803" s="184" t="s">
        <v>1181</v>
      </c>
      <c r="E803" s="141"/>
      <c r="F803" s="141"/>
      <c r="G803" s="141"/>
      <c r="H803" s="141"/>
      <c r="I803" s="141"/>
      <c r="J803" s="141"/>
      <c r="K803" s="141"/>
      <c r="L803" s="141"/>
      <c r="M803" s="141">
        <f>SUM(M804)</f>
        <v>174</v>
      </c>
      <c r="N803" s="141"/>
      <c r="O803" s="142">
        <f>SUM(O804)</f>
        <v>1560972607</v>
      </c>
      <c r="P803" s="141">
        <f>SUM(P810:P874)</f>
        <v>0</v>
      </c>
      <c r="Q803" s="141">
        <f>SUM(Q810:Q874)</f>
        <v>0</v>
      </c>
      <c r="R803" s="141">
        <f>SUM(R810:R874)</f>
        <v>0</v>
      </c>
      <c r="S803" s="142">
        <f>SUM(S804)</f>
        <v>1560972607</v>
      </c>
      <c r="T803" s="141"/>
      <c r="U803" s="142">
        <f>SUM(U804)</f>
        <v>179532803.90000001</v>
      </c>
      <c r="V803" s="141"/>
      <c r="W803" s="142">
        <f>SUM(W804)</f>
        <v>63955670.616666704</v>
      </c>
      <c r="X803" s="141"/>
      <c r="Y803" s="142">
        <f>SUM(Y804)</f>
        <v>61157599.45000001</v>
      </c>
      <c r="Z803" s="142">
        <f>SUM(Z804)</f>
        <v>125113270.06666668</v>
      </c>
      <c r="AA803" s="141"/>
      <c r="AB803" s="142">
        <f>SUM(AB804)-0.54</f>
        <v>1184979666.5683331</v>
      </c>
      <c r="AC803" s="142">
        <f>SUM(AC804)</f>
        <v>375992939.89166665</v>
      </c>
      <c r="AD803" s="141"/>
      <c r="AE803" s="141"/>
      <c r="AF803" s="160">
        <v>1758545127.4516666</v>
      </c>
      <c r="AG803" s="161"/>
    </row>
    <row r="804" spans="1:34" s="1" customFormat="1" ht="10.5" x14ac:dyDescent="0.25">
      <c r="A804" s="25"/>
      <c r="B804" s="26" t="s">
        <v>1746</v>
      </c>
      <c r="C804" s="26"/>
      <c r="D804" s="64" t="s">
        <v>1747</v>
      </c>
      <c r="E804" s="28"/>
      <c r="F804" s="28"/>
      <c r="G804" s="28"/>
      <c r="H804" s="28"/>
      <c r="I804" s="28"/>
      <c r="J804" s="28"/>
      <c r="K804" s="28"/>
      <c r="L804" s="28"/>
      <c r="M804" s="28">
        <f>SUM(M805:M880)</f>
        <v>174</v>
      </c>
      <c r="N804" s="28"/>
      <c r="O804" s="40">
        <f>SUM(O805:O880)</f>
        <v>1560972607</v>
      </c>
      <c r="P804" s="28"/>
      <c r="Q804" s="28"/>
      <c r="R804" s="28"/>
      <c r="S804" s="40">
        <f>SUM(S805:S880)</f>
        <v>1560972607</v>
      </c>
      <c r="T804" s="28"/>
      <c r="U804" s="40">
        <f>SUM(U805:U880)</f>
        <v>179532803.90000001</v>
      </c>
      <c r="V804" s="28"/>
      <c r="W804" s="40">
        <f>SUM(W805:W880)</f>
        <v>63955670.616666704</v>
      </c>
      <c r="X804" s="28"/>
      <c r="Y804" s="40">
        <f>SUM(Y805:Y880)</f>
        <v>61157599.45000001</v>
      </c>
      <c r="Z804" s="40">
        <f>SUM(Z805:Z880)</f>
        <v>125113270.06666668</v>
      </c>
      <c r="AA804" s="28"/>
      <c r="AB804" s="40">
        <f>SUM(AB805:AB880)</f>
        <v>1184979667.1083331</v>
      </c>
      <c r="AC804" s="40">
        <f>SUM(AC805:AC880)</f>
        <v>375992939.89166665</v>
      </c>
      <c r="AD804" s="28"/>
      <c r="AE804" s="28"/>
      <c r="AF804" s="5">
        <f>AB802-AF803</f>
        <v>-141458567.21666694</v>
      </c>
      <c r="AG804" s="5">
        <f>66600000</f>
        <v>66600000</v>
      </c>
    </row>
    <row r="805" spans="1:34" s="1" customFormat="1" ht="10.5" x14ac:dyDescent="0.25">
      <c r="A805" s="49">
        <v>1</v>
      </c>
      <c r="B805" s="50" t="s">
        <v>1748</v>
      </c>
      <c r="C805" s="50" t="s">
        <v>255</v>
      </c>
      <c r="D805" s="51" t="s">
        <v>270</v>
      </c>
      <c r="E805" s="52" t="s">
        <v>263</v>
      </c>
      <c r="F805" s="52"/>
      <c r="G805" s="52" t="s">
        <v>260</v>
      </c>
      <c r="H805" s="52" t="s">
        <v>62</v>
      </c>
      <c r="I805" s="52">
        <v>2005</v>
      </c>
      <c r="J805" s="52"/>
      <c r="K805" s="52" t="s">
        <v>269</v>
      </c>
      <c r="L805" s="52" t="s">
        <v>212</v>
      </c>
      <c r="M805" s="52">
        <v>25</v>
      </c>
      <c r="N805" s="53">
        <f t="shared" ref="N805" si="528">SUM(O805/M805)</f>
        <v>180000</v>
      </c>
      <c r="O805" s="53">
        <v>4500000</v>
      </c>
      <c r="P805" s="59">
        <f>SUM(N805:N809)</f>
        <v>58131250</v>
      </c>
      <c r="Q805" s="52"/>
      <c r="R805" s="52"/>
      <c r="S805" s="53">
        <f t="shared" ref="S805:S806" si="529">SUM(O805-R805)</f>
        <v>4500000</v>
      </c>
      <c r="T805" s="52">
        <v>5</v>
      </c>
      <c r="U805" s="53"/>
      <c r="V805" s="52">
        <v>0.5</v>
      </c>
      <c r="W805" s="53">
        <f t="shared" ref="W805:W806" si="530">SUM(U805*V805)</f>
        <v>0</v>
      </c>
      <c r="X805" s="52"/>
      <c r="Y805" s="53">
        <f t="shared" ref="Y805" si="531">SUM(U805*X805)</f>
        <v>0</v>
      </c>
      <c r="Z805" s="53">
        <f t="shared" ref="Z805" si="532">SUM(W805+Y805)</f>
        <v>0</v>
      </c>
      <c r="AA805" s="57">
        <v>5</v>
      </c>
      <c r="AB805" s="53">
        <v>4500000</v>
      </c>
      <c r="AC805" s="53">
        <f t="shared" ref="AC805" si="533">SUM(O805-AB805)</f>
        <v>0</v>
      </c>
      <c r="AD805" s="56" t="s">
        <v>213</v>
      </c>
      <c r="AE805" s="52"/>
      <c r="AF805" s="5">
        <f>S804-AF804</f>
        <v>1702431174.2166669</v>
      </c>
      <c r="AG805" s="5">
        <f>AG804+AF804</f>
        <v>-74858567.216666937</v>
      </c>
    </row>
    <row r="806" spans="1:34" s="1" customFormat="1" ht="10.5" x14ac:dyDescent="0.25">
      <c r="A806" s="49">
        <v>2</v>
      </c>
      <c r="B806" s="50" t="s">
        <v>1748</v>
      </c>
      <c r="C806" s="73" t="s">
        <v>227</v>
      </c>
      <c r="D806" s="51" t="s">
        <v>271</v>
      </c>
      <c r="E806" s="52"/>
      <c r="F806" s="52"/>
      <c r="G806" s="52" t="s">
        <v>260</v>
      </c>
      <c r="H806" s="52" t="s">
        <v>62</v>
      </c>
      <c r="I806" s="52">
        <v>2020</v>
      </c>
      <c r="J806" s="52"/>
      <c r="K806" s="52" t="s">
        <v>261</v>
      </c>
      <c r="L806" s="52" t="s">
        <v>64</v>
      </c>
      <c r="M806" s="52">
        <v>1</v>
      </c>
      <c r="N806" s="53">
        <v>29796250</v>
      </c>
      <c r="O806" s="53">
        <v>29796250</v>
      </c>
      <c r="P806" s="53">
        <v>1560972607</v>
      </c>
      <c r="Q806" s="52"/>
      <c r="R806" s="52"/>
      <c r="S806" s="53">
        <f t="shared" si="529"/>
        <v>29796250</v>
      </c>
      <c r="T806" s="52">
        <v>5</v>
      </c>
      <c r="U806" s="53">
        <f>SUM(S806/T806)</f>
        <v>5959250</v>
      </c>
      <c r="V806" s="52">
        <v>0.5</v>
      </c>
      <c r="W806" s="53">
        <f t="shared" si="530"/>
        <v>2979625</v>
      </c>
      <c r="X806" s="57">
        <v>0.5</v>
      </c>
      <c r="Y806" s="53">
        <f>SUM(U806*X806)</f>
        <v>2979625</v>
      </c>
      <c r="Z806" s="53">
        <f>SUM(W806+Y806)</f>
        <v>5959250</v>
      </c>
      <c r="AA806" s="57">
        <f>2/12+0.5+0.5+0.5+0.5</f>
        <v>2.1666666666666665</v>
      </c>
      <c r="AB806" s="53">
        <f>SUM(U806*AA806)</f>
        <v>12911708.333333332</v>
      </c>
      <c r="AC806" s="53">
        <f>SUM(O806-AB806)</f>
        <v>16884541.666666668</v>
      </c>
      <c r="AD806" s="56" t="s">
        <v>213</v>
      </c>
      <c r="AE806" s="52"/>
      <c r="AG806" s="5"/>
    </row>
    <row r="807" spans="1:34" s="1" customFormat="1" ht="10.5" x14ac:dyDescent="0.25">
      <c r="A807" s="49">
        <v>3</v>
      </c>
      <c r="B807" s="50" t="s">
        <v>1748</v>
      </c>
      <c r="C807" s="22" t="s">
        <v>58</v>
      </c>
      <c r="D807" s="51" t="s">
        <v>681</v>
      </c>
      <c r="E807" s="24" t="s">
        <v>263</v>
      </c>
      <c r="F807" s="24"/>
      <c r="G807" s="24" t="s">
        <v>260</v>
      </c>
      <c r="H807" s="24" t="s">
        <v>62</v>
      </c>
      <c r="I807" s="24">
        <v>2005</v>
      </c>
      <c r="J807" s="24"/>
      <c r="K807" s="24" t="s">
        <v>261</v>
      </c>
      <c r="L807" s="24" t="s">
        <v>64</v>
      </c>
      <c r="M807" s="24">
        <v>1</v>
      </c>
      <c r="N807" s="41">
        <f t="shared" ref="N807" si="534">SUM(O807/M807)</f>
        <v>2975000</v>
      </c>
      <c r="O807" s="41">
        <v>2975000</v>
      </c>
      <c r="P807" s="43">
        <f>P806-P805</f>
        <v>1502841357</v>
      </c>
      <c r="Q807" s="24"/>
      <c r="R807" s="24"/>
      <c r="S807" s="41">
        <f t="shared" ref="S807" si="535">SUM(O807-R807)</f>
        <v>2975000</v>
      </c>
      <c r="T807" s="24">
        <v>5</v>
      </c>
      <c r="U807" s="41"/>
      <c r="V807" s="24">
        <v>0.5</v>
      </c>
      <c r="W807" s="41">
        <f t="shared" ref="W807" si="536">SUM(U807*V807)</f>
        <v>0</v>
      </c>
      <c r="X807" s="24"/>
      <c r="Y807" s="41">
        <f t="shared" ref="Y807" si="537">SUM(U807*X807)</f>
        <v>0</v>
      </c>
      <c r="Z807" s="41">
        <f t="shared" ref="Z807" si="538">SUM(W807+Y807)</f>
        <v>0</v>
      </c>
      <c r="AA807" s="24">
        <v>5</v>
      </c>
      <c r="AB807" s="41">
        <v>2975000</v>
      </c>
      <c r="AC807" s="41">
        <f t="shared" ref="AC807" si="539">SUM(O807-AB807)</f>
        <v>0</v>
      </c>
      <c r="AD807" s="70" t="s">
        <v>213</v>
      </c>
      <c r="AE807" s="70"/>
      <c r="AF807" s="5">
        <f>AF804+AF805</f>
        <v>1560972607</v>
      </c>
      <c r="AG807" s="5"/>
    </row>
    <row r="808" spans="1:34" s="1" customFormat="1" ht="10.5" x14ac:dyDescent="0.25">
      <c r="A808" s="49">
        <v>4</v>
      </c>
      <c r="B808" s="50" t="s">
        <v>1749</v>
      </c>
      <c r="C808" s="50" t="s">
        <v>255</v>
      </c>
      <c r="D808" s="51" t="s">
        <v>268</v>
      </c>
      <c r="E808" s="52" t="s">
        <v>263</v>
      </c>
      <c r="F808" s="52"/>
      <c r="G808" s="52" t="s">
        <v>260</v>
      </c>
      <c r="H808" s="52" t="s">
        <v>62</v>
      </c>
      <c r="I808" s="52">
        <v>2005</v>
      </c>
      <c r="J808" s="52"/>
      <c r="K808" s="52" t="s">
        <v>269</v>
      </c>
      <c r="L808" s="52" t="s">
        <v>212</v>
      </c>
      <c r="M808" s="52">
        <v>25</v>
      </c>
      <c r="N808" s="53">
        <f t="shared" ref="N808" si="540">SUM(O808/M808)</f>
        <v>180000</v>
      </c>
      <c r="O808" s="53">
        <v>4500000</v>
      </c>
      <c r="P808" s="52"/>
      <c r="Q808" s="52"/>
      <c r="R808" s="52"/>
      <c r="S808" s="53">
        <f t="shared" ref="S808" si="541">SUM(O808-R808)</f>
        <v>4500000</v>
      </c>
      <c r="T808" s="52">
        <v>5</v>
      </c>
      <c r="U808" s="53"/>
      <c r="V808" s="52">
        <v>0.5</v>
      </c>
      <c r="W808" s="53">
        <f t="shared" ref="W808" si="542">SUM(U808*V808)</f>
        <v>0</v>
      </c>
      <c r="X808" s="52"/>
      <c r="Y808" s="53">
        <f t="shared" ref="Y808" si="543">SUM(U808*X808)</f>
        <v>0</v>
      </c>
      <c r="Z808" s="53">
        <f t="shared" ref="Z808" si="544">SUM(W808+Y808)</f>
        <v>0</v>
      </c>
      <c r="AA808" s="52">
        <v>5</v>
      </c>
      <c r="AB808" s="53">
        <v>4500000</v>
      </c>
      <c r="AC808" s="53">
        <f t="shared" ref="AC808" si="545">SUM(O808-AB808)</f>
        <v>0</v>
      </c>
      <c r="AD808" s="56" t="s">
        <v>213</v>
      </c>
      <c r="AE808" s="52"/>
      <c r="AG808" s="5"/>
    </row>
    <row r="809" spans="1:34" s="1" customFormat="1" ht="10.5" x14ac:dyDescent="0.25">
      <c r="A809" s="49">
        <v>5</v>
      </c>
      <c r="B809" s="50" t="s">
        <v>1749</v>
      </c>
      <c r="C809" s="73" t="s">
        <v>58</v>
      </c>
      <c r="D809" s="51" t="s">
        <v>1750</v>
      </c>
      <c r="E809" s="52" t="s">
        <v>263</v>
      </c>
      <c r="F809" s="52"/>
      <c r="G809" s="52" t="s">
        <v>263</v>
      </c>
      <c r="H809" s="52" t="s">
        <v>62</v>
      </c>
      <c r="I809" s="52">
        <v>2012</v>
      </c>
      <c r="J809" s="52"/>
      <c r="K809" s="52" t="s">
        <v>261</v>
      </c>
      <c r="L809" s="52" t="s">
        <v>64</v>
      </c>
      <c r="M809" s="52">
        <v>1</v>
      </c>
      <c r="N809" s="53">
        <f t="shared" ref="N809" si="546">SUM(O809/M809)</f>
        <v>25000000</v>
      </c>
      <c r="O809" s="53">
        <v>25000000</v>
      </c>
      <c r="P809" s="52"/>
      <c r="Q809" s="52"/>
      <c r="R809" s="52"/>
      <c r="S809" s="53">
        <f t="shared" ref="S809" si="547">SUM(O809-R809)</f>
        <v>25000000</v>
      </c>
      <c r="T809" s="52">
        <v>5</v>
      </c>
      <c r="U809" s="53"/>
      <c r="V809" s="52">
        <v>0.5</v>
      </c>
      <c r="W809" s="53">
        <f t="shared" ref="W809" si="548">SUM(U809*V809)</f>
        <v>0</v>
      </c>
      <c r="X809" s="52"/>
      <c r="Y809" s="53">
        <f t="shared" ref="Y809" si="549">SUM(U809*X809)</f>
        <v>0</v>
      </c>
      <c r="Z809" s="53">
        <f t="shared" ref="Z809" si="550">SUM(W809+Y809)</f>
        <v>0</v>
      </c>
      <c r="AA809" s="52">
        <v>5</v>
      </c>
      <c r="AB809" s="53">
        <v>25000000</v>
      </c>
      <c r="AC809" s="53">
        <f t="shared" ref="AC809" si="551">SUM(O809-AB809)</f>
        <v>0</v>
      </c>
      <c r="AD809" s="56" t="s">
        <v>195</v>
      </c>
      <c r="AE809" s="52"/>
      <c r="AG809" s="5"/>
    </row>
    <row r="810" spans="1:34" s="1" customFormat="1" ht="10.5" x14ac:dyDescent="0.25">
      <c r="A810" s="49">
        <v>6</v>
      </c>
      <c r="B810" s="22" t="s">
        <v>1751</v>
      </c>
      <c r="C810" s="22" t="s">
        <v>988</v>
      </c>
      <c r="D810" s="51" t="s">
        <v>1182</v>
      </c>
      <c r="E810" s="24" t="s">
        <v>1183</v>
      </c>
      <c r="F810" s="24"/>
      <c r="G810" s="24" t="s">
        <v>194</v>
      </c>
      <c r="H810" s="24" t="s">
        <v>62</v>
      </c>
      <c r="I810" s="24">
        <v>2008</v>
      </c>
      <c r="J810" s="24"/>
      <c r="K810" s="24" t="s">
        <v>63</v>
      </c>
      <c r="L810" s="24" t="s">
        <v>212</v>
      </c>
      <c r="M810" s="24">
        <v>2</v>
      </c>
      <c r="N810" s="41">
        <f t="shared" ref="N810:N839" si="552">SUM(O810/M810)</f>
        <v>15000000</v>
      </c>
      <c r="O810" s="41">
        <v>30000000</v>
      </c>
      <c r="P810" s="24"/>
      <c r="Q810" s="24"/>
      <c r="R810" s="24"/>
      <c r="S810" s="41">
        <f t="shared" ref="S810:S873" si="553">SUM(O810-R810)</f>
        <v>30000000</v>
      </c>
      <c r="T810" s="24">
        <v>5</v>
      </c>
      <c r="U810" s="41"/>
      <c r="V810" s="24">
        <v>0.5</v>
      </c>
      <c r="W810" s="41">
        <f t="shared" ref="W810:W843" si="554">SUM(U810*V810)</f>
        <v>0</v>
      </c>
      <c r="X810" s="24"/>
      <c r="Y810" s="41">
        <f t="shared" ref="Y810:Y870" si="555">SUM(U810*X810)</f>
        <v>0</v>
      </c>
      <c r="Z810" s="41">
        <f t="shared" ref="Z810:Z873" si="556">SUM(W810+Y810)</f>
        <v>0</v>
      </c>
      <c r="AA810" s="24">
        <v>5</v>
      </c>
      <c r="AB810" s="41">
        <v>30000000</v>
      </c>
      <c r="AC810" s="41">
        <f t="shared" ref="AC810:AC873" si="557">SUM(O810-AB810)</f>
        <v>0</v>
      </c>
      <c r="AD810" s="70" t="s">
        <v>276</v>
      </c>
      <c r="AE810" s="24"/>
      <c r="AG810" s="5"/>
      <c r="AH810" s="5"/>
    </row>
    <row r="811" spans="1:34" s="1" customFormat="1" ht="10.5" x14ac:dyDescent="0.25">
      <c r="A811" s="49">
        <v>7</v>
      </c>
      <c r="B811" s="22" t="s">
        <v>1751</v>
      </c>
      <c r="C811" s="22" t="s">
        <v>140</v>
      </c>
      <c r="D811" s="51" t="s">
        <v>1182</v>
      </c>
      <c r="E811" s="24" t="s">
        <v>1183</v>
      </c>
      <c r="F811" s="24"/>
      <c r="G811" s="24" t="s">
        <v>194</v>
      </c>
      <c r="H811" s="24" t="s">
        <v>62</v>
      </c>
      <c r="I811" s="24">
        <v>2011</v>
      </c>
      <c r="J811" s="24"/>
      <c r="K811" s="24" t="s">
        <v>63</v>
      </c>
      <c r="L811" s="24" t="s">
        <v>64</v>
      </c>
      <c r="M811" s="24">
        <v>1</v>
      </c>
      <c r="N811" s="41">
        <f t="shared" si="552"/>
        <v>7450000</v>
      </c>
      <c r="O811" s="41">
        <v>7450000</v>
      </c>
      <c r="P811" s="24"/>
      <c r="Q811" s="24"/>
      <c r="R811" s="24"/>
      <c r="S811" s="41">
        <f t="shared" si="553"/>
        <v>7450000</v>
      </c>
      <c r="T811" s="24">
        <v>5</v>
      </c>
      <c r="U811" s="41"/>
      <c r="V811" s="24">
        <v>0.5</v>
      </c>
      <c r="W811" s="41">
        <f t="shared" si="554"/>
        <v>0</v>
      </c>
      <c r="X811" s="24"/>
      <c r="Y811" s="41">
        <f t="shared" si="555"/>
        <v>0</v>
      </c>
      <c r="Z811" s="41">
        <f t="shared" si="556"/>
        <v>0</v>
      </c>
      <c r="AA811" s="72">
        <v>5</v>
      </c>
      <c r="AB811" s="41">
        <v>7450000</v>
      </c>
      <c r="AC811" s="41">
        <f t="shared" si="557"/>
        <v>0</v>
      </c>
      <c r="AD811" s="70" t="s">
        <v>276</v>
      </c>
      <c r="AE811" s="24"/>
      <c r="AG811" s="5"/>
      <c r="AH811" s="5"/>
    </row>
    <row r="812" spans="1:34" s="1" customFormat="1" ht="10.5" x14ac:dyDescent="0.25">
      <c r="A812" s="49">
        <v>8</v>
      </c>
      <c r="B812" s="22" t="s">
        <v>1751</v>
      </c>
      <c r="C812" s="22" t="s">
        <v>143</v>
      </c>
      <c r="D812" s="51" t="s">
        <v>1182</v>
      </c>
      <c r="E812" s="24" t="s">
        <v>1183</v>
      </c>
      <c r="F812" s="24"/>
      <c r="G812" s="24" t="s">
        <v>194</v>
      </c>
      <c r="H812" s="24" t="s">
        <v>62</v>
      </c>
      <c r="I812" s="24">
        <v>2011</v>
      </c>
      <c r="J812" s="24"/>
      <c r="K812" s="24" t="s">
        <v>63</v>
      </c>
      <c r="L812" s="24" t="s">
        <v>64</v>
      </c>
      <c r="M812" s="24">
        <v>1</v>
      </c>
      <c r="N812" s="41">
        <f t="shared" si="552"/>
        <v>7450000</v>
      </c>
      <c r="O812" s="41">
        <v>7450000</v>
      </c>
      <c r="P812" s="24"/>
      <c r="Q812" s="24"/>
      <c r="R812" s="24"/>
      <c r="S812" s="41">
        <f t="shared" si="553"/>
        <v>7450000</v>
      </c>
      <c r="T812" s="24">
        <v>5</v>
      </c>
      <c r="U812" s="41"/>
      <c r="V812" s="24">
        <v>0.5</v>
      </c>
      <c r="W812" s="41">
        <f t="shared" si="554"/>
        <v>0</v>
      </c>
      <c r="X812" s="24"/>
      <c r="Y812" s="41">
        <f t="shared" si="555"/>
        <v>0</v>
      </c>
      <c r="Z812" s="41">
        <f t="shared" si="556"/>
        <v>0</v>
      </c>
      <c r="AA812" s="72">
        <v>5</v>
      </c>
      <c r="AB812" s="41">
        <v>7450000</v>
      </c>
      <c r="AC812" s="41">
        <f t="shared" si="557"/>
        <v>0</v>
      </c>
      <c r="AD812" s="70" t="s">
        <v>208</v>
      </c>
      <c r="AE812" s="24"/>
      <c r="AG812" s="5"/>
      <c r="AH812" s="5"/>
    </row>
    <row r="813" spans="1:34" s="1" customFormat="1" ht="10.5" x14ac:dyDescent="0.25">
      <c r="A813" s="49">
        <v>9</v>
      </c>
      <c r="B813" s="22" t="s">
        <v>1751</v>
      </c>
      <c r="C813" s="22" t="s">
        <v>146</v>
      </c>
      <c r="D813" s="51" t="s">
        <v>1182</v>
      </c>
      <c r="E813" s="24" t="s">
        <v>1184</v>
      </c>
      <c r="F813" s="24"/>
      <c r="G813" s="24" t="s">
        <v>194</v>
      </c>
      <c r="H813" s="24" t="s">
        <v>62</v>
      </c>
      <c r="I813" s="24">
        <v>2012</v>
      </c>
      <c r="J813" s="24"/>
      <c r="K813" s="24" t="s">
        <v>63</v>
      </c>
      <c r="L813" s="24" t="s">
        <v>64</v>
      </c>
      <c r="M813" s="24">
        <v>1</v>
      </c>
      <c r="N813" s="41">
        <f t="shared" si="552"/>
        <v>8910000</v>
      </c>
      <c r="O813" s="41">
        <v>8910000</v>
      </c>
      <c r="P813" s="24"/>
      <c r="Q813" s="24"/>
      <c r="R813" s="24"/>
      <c r="S813" s="41">
        <f t="shared" si="553"/>
        <v>8910000</v>
      </c>
      <c r="T813" s="24">
        <v>5</v>
      </c>
      <c r="U813" s="41"/>
      <c r="V813" s="24">
        <v>0.5</v>
      </c>
      <c r="W813" s="41">
        <f t="shared" si="554"/>
        <v>0</v>
      </c>
      <c r="X813" s="24"/>
      <c r="Y813" s="41">
        <f t="shared" si="555"/>
        <v>0</v>
      </c>
      <c r="Z813" s="41">
        <f t="shared" si="556"/>
        <v>0</v>
      </c>
      <c r="AA813" s="24">
        <v>5</v>
      </c>
      <c r="AB813" s="41">
        <v>8910000</v>
      </c>
      <c r="AC813" s="41">
        <f t="shared" si="557"/>
        <v>0</v>
      </c>
      <c r="AD813" s="70" t="s">
        <v>276</v>
      </c>
      <c r="AE813" s="24"/>
      <c r="AG813" s="5"/>
      <c r="AH813" s="5"/>
    </row>
    <row r="814" spans="1:34" s="1" customFormat="1" ht="10.5" x14ac:dyDescent="0.25">
      <c r="A814" s="49">
        <v>10</v>
      </c>
      <c r="B814" s="22" t="s">
        <v>1751</v>
      </c>
      <c r="C814" s="22" t="s">
        <v>150</v>
      </c>
      <c r="D814" s="51" t="s">
        <v>1182</v>
      </c>
      <c r="E814" s="24" t="s">
        <v>1184</v>
      </c>
      <c r="F814" s="24"/>
      <c r="G814" s="24" t="s">
        <v>194</v>
      </c>
      <c r="H814" s="24" t="s">
        <v>62</v>
      </c>
      <c r="I814" s="24">
        <v>2012</v>
      </c>
      <c r="J814" s="24"/>
      <c r="K814" s="24" t="s">
        <v>63</v>
      </c>
      <c r="L814" s="24" t="s">
        <v>64</v>
      </c>
      <c r="M814" s="24">
        <v>1</v>
      </c>
      <c r="N814" s="41">
        <f t="shared" si="552"/>
        <v>8910000</v>
      </c>
      <c r="O814" s="41">
        <v>8910000</v>
      </c>
      <c r="P814" s="24"/>
      <c r="Q814" s="24"/>
      <c r="R814" s="24"/>
      <c r="S814" s="41">
        <f t="shared" si="553"/>
        <v>8910000</v>
      </c>
      <c r="T814" s="24">
        <v>5</v>
      </c>
      <c r="U814" s="41"/>
      <c r="V814" s="24">
        <v>0.5</v>
      </c>
      <c r="W814" s="41">
        <f t="shared" si="554"/>
        <v>0</v>
      </c>
      <c r="X814" s="24"/>
      <c r="Y814" s="41">
        <f t="shared" si="555"/>
        <v>0</v>
      </c>
      <c r="Z814" s="41">
        <f t="shared" si="556"/>
        <v>0</v>
      </c>
      <c r="AA814" s="24">
        <v>5</v>
      </c>
      <c r="AB814" s="41">
        <v>8910000</v>
      </c>
      <c r="AC814" s="41">
        <f t="shared" si="557"/>
        <v>0</v>
      </c>
      <c r="AD814" s="70" t="s">
        <v>208</v>
      </c>
      <c r="AE814" s="24"/>
      <c r="AG814" s="5"/>
      <c r="AH814" s="5"/>
    </row>
    <row r="815" spans="1:34" s="1" customFormat="1" ht="10.5" x14ac:dyDescent="0.25">
      <c r="A815" s="49">
        <v>11</v>
      </c>
      <c r="B815" s="22" t="s">
        <v>1751</v>
      </c>
      <c r="C815" s="22" t="s">
        <v>153</v>
      </c>
      <c r="D815" s="51" t="s">
        <v>1182</v>
      </c>
      <c r="E815" s="24" t="s">
        <v>1185</v>
      </c>
      <c r="F815" s="24"/>
      <c r="G815" s="24" t="s">
        <v>194</v>
      </c>
      <c r="H815" s="24" t="s">
        <v>62</v>
      </c>
      <c r="I815" s="24">
        <v>2014</v>
      </c>
      <c r="J815" s="24"/>
      <c r="K815" s="24" t="s">
        <v>63</v>
      </c>
      <c r="L815" s="24" t="s">
        <v>64</v>
      </c>
      <c r="M815" s="24">
        <v>1</v>
      </c>
      <c r="N815" s="41">
        <f t="shared" si="552"/>
        <v>11412500</v>
      </c>
      <c r="O815" s="41">
        <v>11412500</v>
      </c>
      <c r="P815" s="24"/>
      <c r="Q815" s="24"/>
      <c r="R815" s="24"/>
      <c r="S815" s="41">
        <f t="shared" si="553"/>
        <v>11412500</v>
      </c>
      <c r="T815" s="24">
        <v>5</v>
      </c>
      <c r="U815" s="41"/>
      <c r="V815" s="24">
        <v>0.5</v>
      </c>
      <c r="W815" s="41">
        <f t="shared" si="554"/>
        <v>0</v>
      </c>
      <c r="X815" s="24"/>
      <c r="Y815" s="41">
        <f t="shared" si="555"/>
        <v>0</v>
      </c>
      <c r="Z815" s="41">
        <f t="shared" si="556"/>
        <v>0</v>
      </c>
      <c r="AA815" s="24">
        <v>5</v>
      </c>
      <c r="AB815" s="41">
        <v>11412500</v>
      </c>
      <c r="AC815" s="41">
        <f t="shared" si="557"/>
        <v>0</v>
      </c>
      <c r="AD815" s="70" t="s">
        <v>335</v>
      </c>
      <c r="AE815" s="24"/>
      <c r="AG815" s="5"/>
      <c r="AH815" s="5"/>
    </row>
    <row r="816" spans="1:34" s="1" customFormat="1" ht="10.5" x14ac:dyDescent="0.25">
      <c r="A816" s="49">
        <v>12</v>
      </c>
      <c r="B816" s="22" t="s">
        <v>1751</v>
      </c>
      <c r="C816" s="22" t="s">
        <v>156</v>
      </c>
      <c r="D816" s="51" t="s">
        <v>1182</v>
      </c>
      <c r="E816" s="24" t="s">
        <v>1185</v>
      </c>
      <c r="F816" s="24"/>
      <c r="G816" s="24" t="s">
        <v>194</v>
      </c>
      <c r="H816" s="24" t="s">
        <v>62</v>
      </c>
      <c r="I816" s="24">
        <v>2014</v>
      </c>
      <c r="J816" s="24"/>
      <c r="K816" s="24" t="s">
        <v>63</v>
      </c>
      <c r="L816" s="24" t="s">
        <v>64</v>
      </c>
      <c r="M816" s="24">
        <v>1</v>
      </c>
      <c r="N816" s="41">
        <f t="shared" si="552"/>
        <v>11412500</v>
      </c>
      <c r="O816" s="41">
        <v>11412500</v>
      </c>
      <c r="P816" s="24"/>
      <c r="Q816" s="24"/>
      <c r="R816" s="24"/>
      <c r="S816" s="41">
        <f t="shared" si="553"/>
        <v>11412500</v>
      </c>
      <c r="T816" s="24">
        <v>5</v>
      </c>
      <c r="U816" s="41"/>
      <c r="V816" s="24">
        <v>0.5</v>
      </c>
      <c r="W816" s="41">
        <f t="shared" si="554"/>
        <v>0</v>
      </c>
      <c r="X816" s="24"/>
      <c r="Y816" s="41">
        <f t="shared" si="555"/>
        <v>0</v>
      </c>
      <c r="Z816" s="41">
        <f t="shared" si="556"/>
        <v>0</v>
      </c>
      <c r="AA816" s="24">
        <v>5</v>
      </c>
      <c r="AB816" s="41">
        <v>11412500</v>
      </c>
      <c r="AC816" s="41">
        <f t="shared" si="557"/>
        <v>0</v>
      </c>
      <c r="AD816" s="70" t="s">
        <v>320</v>
      </c>
      <c r="AE816" s="24"/>
      <c r="AG816" s="5"/>
      <c r="AH816" s="5"/>
    </row>
    <row r="817" spans="1:34" s="1" customFormat="1" ht="10.5" x14ac:dyDescent="0.25">
      <c r="A817" s="49">
        <v>13</v>
      </c>
      <c r="B817" s="22" t="s">
        <v>1751</v>
      </c>
      <c r="C817" s="22" t="s">
        <v>159</v>
      </c>
      <c r="D817" s="51" t="s">
        <v>1182</v>
      </c>
      <c r="E817" s="24" t="s">
        <v>1185</v>
      </c>
      <c r="F817" s="24"/>
      <c r="G817" s="24" t="s">
        <v>194</v>
      </c>
      <c r="H817" s="24" t="s">
        <v>62</v>
      </c>
      <c r="I817" s="24">
        <v>2014</v>
      </c>
      <c r="J817" s="24"/>
      <c r="K817" s="24" t="s">
        <v>63</v>
      </c>
      <c r="L817" s="24" t="s">
        <v>64</v>
      </c>
      <c r="M817" s="24">
        <v>1</v>
      </c>
      <c r="N817" s="41">
        <f t="shared" si="552"/>
        <v>11412500</v>
      </c>
      <c r="O817" s="41">
        <v>11412500</v>
      </c>
      <c r="P817" s="24"/>
      <c r="Q817" s="24"/>
      <c r="R817" s="24"/>
      <c r="S817" s="41">
        <f t="shared" si="553"/>
        <v>11412500</v>
      </c>
      <c r="T817" s="24">
        <v>5</v>
      </c>
      <c r="U817" s="41"/>
      <c r="V817" s="24">
        <v>0.5</v>
      </c>
      <c r="W817" s="41">
        <f t="shared" si="554"/>
        <v>0</v>
      </c>
      <c r="X817" s="24"/>
      <c r="Y817" s="41">
        <f t="shared" si="555"/>
        <v>0</v>
      </c>
      <c r="Z817" s="41">
        <f t="shared" si="556"/>
        <v>0</v>
      </c>
      <c r="AA817" s="24">
        <v>5</v>
      </c>
      <c r="AB817" s="41">
        <v>11412500</v>
      </c>
      <c r="AC817" s="41">
        <f t="shared" si="557"/>
        <v>0</v>
      </c>
      <c r="AD817" s="70" t="s">
        <v>331</v>
      </c>
      <c r="AE817" s="24"/>
      <c r="AG817" s="5"/>
      <c r="AH817" s="5"/>
    </row>
    <row r="818" spans="1:34" s="1" customFormat="1" ht="10.5" x14ac:dyDescent="0.25">
      <c r="A818" s="49">
        <v>14</v>
      </c>
      <c r="B818" s="22" t="s">
        <v>1751</v>
      </c>
      <c r="C818" s="22" t="s">
        <v>1186</v>
      </c>
      <c r="D818" s="51" t="s">
        <v>1182</v>
      </c>
      <c r="E818" s="24" t="s">
        <v>1185</v>
      </c>
      <c r="F818" s="24"/>
      <c r="G818" s="24" t="s">
        <v>194</v>
      </c>
      <c r="H818" s="24" t="s">
        <v>62</v>
      </c>
      <c r="I818" s="24">
        <v>2014</v>
      </c>
      <c r="J818" s="24"/>
      <c r="K818" s="24" t="s">
        <v>63</v>
      </c>
      <c r="L818" s="24" t="s">
        <v>64</v>
      </c>
      <c r="M818" s="24">
        <v>2</v>
      </c>
      <c r="N818" s="41">
        <f t="shared" si="552"/>
        <v>11412500</v>
      </c>
      <c r="O818" s="41">
        <v>22825000</v>
      </c>
      <c r="P818" s="24"/>
      <c r="Q818" s="24"/>
      <c r="R818" s="24"/>
      <c r="S818" s="41">
        <f t="shared" si="553"/>
        <v>22825000</v>
      </c>
      <c r="T818" s="24">
        <v>5</v>
      </c>
      <c r="U818" s="41"/>
      <c r="V818" s="24">
        <v>0.5</v>
      </c>
      <c r="W818" s="41">
        <f t="shared" si="554"/>
        <v>0</v>
      </c>
      <c r="X818" s="24"/>
      <c r="Y818" s="41">
        <f t="shared" si="555"/>
        <v>0</v>
      </c>
      <c r="Z818" s="41">
        <f t="shared" si="556"/>
        <v>0</v>
      </c>
      <c r="AA818" s="24">
        <v>5</v>
      </c>
      <c r="AB818" s="41">
        <v>22825000</v>
      </c>
      <c r="AC818" s="41">
        <f t="shared" si="557"/>
        <v>0</v>
      </c>
      <c r="AD818" s="70" t="s">
        <v>328</v>
      </c>
      <c r="AE818" s="24"/>
      <c r="AG818" s="5"/>
      <c r="AH818" s="5"/>
    </row>
    <row r="819" spans="1:34" s="1" customFormat="1" ht="10.5" x14ac:dyDescent="0.25">
      <c r="A819" s="49">
        <v>15</v>
      </c>
      <c r="B819" s="22" t="s">
        <v>1751</v>
      </c>
      <c r="C819" s="22" t="s">
        <v>313</v>
      </c>
      <c r="D819" s="51" t="s">
        <v>1182</v>
      </c>
      <c r="E819" s="24" t="s">
        <v>1185</v>
      </c>
      <c r="F819" s="24"/>
      <c r="G819" s="24" t="s">
        <v>194</v>
      </c>
      <c r="H819" s="24" t="s">
        <v>62</v>
      </c>
      <c r="I819" s="24">
        <v>2014</v>
      </c>
      <c r="J819" s="24"/>
      <c r="K819" s="24" t="s">
        <v>63</v>
      </c>
      <c r="L819" s="24" t="s">
        <v>64</v>
      </c>
      <c r="M819" s="24">
        <v>1</v>
      </c>
      <c r="N819" s="41">
        <f t="shared" si="552"/>
        <v>11412500</v>
      </c>
      <c r="O819" s="41">
        <v>11412500</v>
      </c>
      <c r="P819" s="24"/>
      <c r="Q819" s="24"/>
      <c r="R819" s="24"/>
      <c r="S819" s="41">
        <f t="shared" si="553"/>
        <v>11412500</v>
      </c>
      <c r="T819" s="24">
        <v>5</v>
      </c>
      <c r="U819" s="41"/>
      <c r="V819" s="24">
        <v>0.5</v>
      </c>
      <c r="W819" s="41">
        <f t="shared" si="554"/>
        <v>0</v>
      </c>
      <c r="X819" s="24"/>
      <c r="Y819" s="41">
        <f t="shared" si="555"/>
        <v>0</v>
      </c>
      <c r="Z819" s="41">
        <f t="shared" si="556"/>
        <v>0</v>
      </c>
      <c r="AA819" s="24">
        <v>5</v>
      </c>
      <c r="AB819" s="41">
        <v>11412500</v>
      </c>
      <c r="AC819" s="41">
        <f t="shared" si="557"/>
        <v>0</v>
      </c>
      <c r="AD819" s="70" t="s">
        <v>208</v>
      </c>
      <c r="AE819" s="24"/>
      <c r="AG819" s="5"/>
      <c r="AH819" s="5"/>
    </row>
    <row r="820" spans="1:34" s="1" customFormat="1" ht="10.5" x14ac:dyDescent="0.25">
      <c r="A820" s="49">
        <v>16</v>
      </c>
      <c r="B820" s="22" t="s">
        <v>1751</v>
      </c>
      <c r="C820" s="22" t="s">
        <v>559</v>
      </c>
      <c r="D820" s="51" t="s">
        <v>1182</v>
      </c>
      <c r="E820" s="24" t="s">
        <v>1187</v>
      </c>
      <c r="F820" s="24"/>
      <c r="G820" s="24" t="s">
        <v>194</v>
      </c>
      <c r="H820" s="24" t="s">
        <v>62</v>
      </c>
      <c r="I820" s="24">
        <v>2015</v>
      </c>
      <c r="J820" s="24"/>
      <c r="K820" s="24" t="s">
        <v>63</v>
      </c>
      <c r="L820" s="24" t="s">
        <v>64</v>
      </c>
      <c r="M820" s="24">
        <v>1</v>
      </c>
      <c r="N820" s="41">
        <f t="shared" si="552"/>
        <v>13970000</v>
      </c>
      <c r="O820" s="41">
        <v>13970000</v>
      </c>
      <c r="P820" s="24"/>
      <c r="Q820" s="24"/>
      <c r="R820" s="24"/>
      <c r="S820" s="41">
        <f t="shared" si="553"/>
        <v>13970000</v>
      </c>
      <c r="T820" s="24">
        <v>5</v>
      </c>
      <c r="U820" s="41">
        <f t="shared" ref="U820:U845" si="558">SUM(S820/T820)</f>
        <v>2794000</v>
      </c>
      <c r="V820" s="24">
        <v>0.5</v>
      </c>
      <c r="W820" s="41"/>
      <c r="X820" s="24"/>
      <c r="Y820" s="41">
        <f>SUM(U820*X820)</f>
        <v>0</v>
      </c>
      <c r="Z820" s="41"/>
      <c r="AA820" s="24">
        <v>5</v>
      </c>
      <c r="AB820" s="41">
        <f t="shared" ref="AB820:AB845" si="559">SUM(U820*AA820)</f>
        <v>13970000</v>
      </c>
      <c r="AC820" s="41">
        <f t="shared" si="557"/>
        <v>0</v>
      </c>
      <c r="AD820" s="70">
        <v>0</v>
      </c>
      <c r="AE820" s="24"/>
      <c r="AG820" s="5"/>
      <c r="AH820" s="5"/>
    </row>
    <row r="821" spans="1:34" s="1" customFormat="1" ht="10.5" x14ac:dyDescent="0.25">
      <c r="A821" s="49">
        <v>17</v>
      </c>
      <c r="B821" s="22" t="s">
        <v>1751</v>
      </c>
      <c r="C821" s="22" t="s">
        <v>561</v>
      </c>
      <c r="D821" s="51" t="s">
        <v>1182</v>
      </c>
      <c r="E821" s="24" t="s">
        <v>1187</v>
      </c>
      <c r="F821" s="24"/>
      <c r="G821" s="24" t="s">
        <v>194</v>
      </c>
      <c r="H821" s="24" t="s">
        <v>62</v>
      </c>
      <c r="I821" s="24">
        <v>2015</v>
      </c>
      <c r="J821" s="24"/>
      <c r="K821" s="24" t="s">
        <v>63</v>
      </c>
      <c r="L821" s="24" t="s">
        <v>64</v>
      </c>
      <c r="M821" s="24">
        <v>1</v>
      </c>
      <c r="N821" s="41">
        <f t="shared" si="552"/>
        <v>13970000</v>
      </c>
      <c r="O821" s="41">
        <v>13970000</v>
      </c>
      <c r="P821" s="24"/>
      <c r="Q821" s="24"/>
      <c r="R821" s="24"/>
      <c r="S821" s="41">
        <f t="shared" si="553"/>
        <v>13970000</v>
      </c>
      <c r="T821" s="24">
        <v>5</v>
      </c>
      <c r="U821" s="41">
        <f t="shared" si="558"/>
        <v>2794000</v>
      </c>
      <c r="V821" s="24">
        <v>0.5</v>
      </c>
      <c r="W821" s="41"/>
      <c r="X821" s="24"/>
      <c r="Y821" s="41">
        <f t="shared" ref="Y821:Y824" si="560">SUM(U821*X821)</f>
        <v>0</v>
      </c>
      <c r="Z821" s="41"/>
      <c r="AA821" s="24">
        <v>5</v>
      </c>
      <c r="AB821" s="41">
        <f t="shared" si="559"/>
        <v>13970000</v>
      </c>
      <c r="AC821" s="41">
        <f t="shared" si="557"/>
        <v>0</v>
      </c>
      <c r="AD821" s="70" t="s">
        <v>267</v>
      </c>
      <c r="AE821" s="24"/>
      <c r="AG821" s="5"/>
      <c r="AH821" s="5"/>
    </row>
    <row r="822" spans="1:34" s="1" customFormat="1" ht="10.5" x14ac:dyDescent="0.25">
      <c r="A822" s="49">
        <v>18</v>
      </c>
      <c r="B822" s="22" t="s">
        <v>1751</v>
      </c>
      <c r="C822" s="22" t="s">
        <v>563</v>
      </c>
      <c r="D822" s="51" t="s">
        <v>1182</v>
      </c>
      <c r="E822" s="24" t="s">
        <v>1187</v>
      </c>
      <c r="F822" s="24"/>
      <c r="G822" s="24" t="s">
        <v>194</v>
      </c>
      <c r="H822" s="24" t="s">
        <v>62</v>
      </c>
      <c r="I822" s="24">
        <v>2015</v>
      </c>
      <c r="J822" s="24"/>
      <c r="K822" s="24" t="s">
        <v>63</v>
      </c>
      <c r="L822" s="24" t="s">
        <v>64</v>
      </c>
      <c r="M822" s="24">
        <v>1</v>
      </c>
      <c r="N822" s="41">
        <f t="shared" si="552"/>
        <v>13970000</v>
      </c>
      <c r="O822" s="41">
        <v>13970000</v>
      </c>
      <c r="P822" s="24"/>
      <c r="Q822" s="24"/>
      <c r="R822" s="24"/>
      <c r="S822" s="41">
        <f t="shared" si="553"/>
        <v>13970000</v>
      </c>
      <c r="T822" s="24">
        <v>5</v>
      </c>
      <c r="U822" s="41">
        <f t="shared" si="558"/>
        <v>2794000</v>
      </c>
      <c r="V822" s="24">
        <v>0.5</v>
      </c>
      <c r="W822" s="41"/>
      <c r="X822" s="24"/>
      <c r="Y822" s="41">
        <f t="shared" si="560"/>
        <v>0</v>
      </c>
      <c r="Z822" s="41"/>
      <c r="AA822" s="24">
        <v>5</v>
      </c>
      <c r="AB822" s="41">
        <f t="shared" si="559"/>
        <v>13970000</v>
      </c>
      <c r="AC822" s="41">
        <f t="shared" si="557"/>
        <v>0</v>
      </c>
      <c r="AD822" s="70">
        <v>0</v>
      </c>
      <c r="AE822" s="24"/>
      <c r="AG822" s="5"/>
      <c r="AH822" s="5"/>
    </row>
    <row r="823" spans="1:34" s="1" customFormat="1" ht="10.5" x14ac:dyDescent="0.25">
      <c r="A823" s="49">
        <v>19</v>
      </c>
      <c r="B823" s="22" t="s">
        <v>1751</v>
      </c>
      <c r="C823" s="22" t="s">
        <v>227</v>
      </c>
      <c r="D823" s="51" t="s">
        <v>1182</v>
      </c>
      <c r="E823" s="24" t="s">
        <v>1187</v>
      </c>
      <c r="F823" s="24"/>
      <c r="G823" s="24" t="s">
        <v>194</v>
      </c>
      <c r="H823" s="24" t="s">
        <v>62</v>
      </c>
      <c r="I823" s="24">
        <v>2015</v>
      </c>
      <c r="J823" s="24"/>
      <c r="K823" s="24" t="s">
        <v>63</v>
      </c>
      <c r="L823" s="24" t="s">
        <v>64</v>
      </c>
      <c r="M823" s="24">
        <v>1</v>
      </c>
      <c r="N823" s="41">
        <f t="shared" si="552"/>
        <v>13970000</v>
      </c>
      <c r="O823" s="41">
        <v>13970000</v>
      </c>
      <c r="P823" s="24"/>
      <c r="Q823" s="24"/>
      <c r="R823" s="24"/>
      <c r="S823" s="41">
        <f t="shared" si="553"/>
        <v>13970000</v>
      </c>
      <c r="T823" s="24">
        <v>5</v>
      </c>
      <c r="U823" s="41">
        <f t="shared" si="558"/>
        <v>2794000</v>
      </c>
      <c r="V823" s="24">
        <v>0.5</v>
      </c>
      <c r="W823" s="41"/>
      <c r="X823" s="24"/>
      <c r="Y823" s="41">
        <f t="shared" si="560"/>
        <v>0</v>
      </c>
      <c r="Z823" s="41"/>
      <c r="AA823" s="24">
        <v>5</v>
      </c>
      <c r="AB823" s="41">
        <f t="shared" si="559"/>
        <v>13970000</v>
      </c>
      <c r="AC823" s="41">
        <f t="shared" si="557"/>
        <v>0</v>
      </c>
      <c r="AD823" s="70" t="s">
        <v>87</v>
      </c>
      <c r="AE823" s="24"/>
      <c r="AG823" s="5"/>
      <c r="AH823" s="5"/>
    </row>
    <row r="824" spans="1:34" s="1" customFormat="1" ht="10.5" x14ac:dyDescent="0.25">
      <c r="A824" s="49">
        <v>20</v>
      </c>
      <c r="B824" s="22" t="s">
        <v>1751</v>
      </c>
      <c r="C824" s="22" t="s">
        <v>230</v>
      </c>
      <c r="D824" s="51" t="s">
        <v>1182</v>
      </c>
      <c r="E824" s="24" t="s">
        <v>1188</v>
      </c>
      <c r="F824" s="24"/>
      <c r="G824" s="24" t="s">
        <v>194</v>
      </c>
      <c r="H824" s="24" t="s">
        <v>62</v>
      </c>
      <c r="I824" s="24">
        <v>2015</v>
      </c>
      <c r="J824" s="24"/>
      <c r="K824" s="24" t="s">
        <v>63</v>
      </c>
      <c r="L824" s="24" t="s">
        <v>64</v>
      </c>
      <c r="M824" s="24">
        <v>1</v>
      </c>
      <c r="N824" s="41">
        <f t="shared" si="552"/>
        <v>13970000</v>
      </c>
      <c r="O824" s="41">
        <v>13970000</v>
      </c>
      <c r="P824" s="24"/>
      <c r="Q824" s="24"/>
      <c r="R824" s="24"/>
      <c r="S824" s="41">
        <f t="shared" si="553"/>
        <v>13970000</v>
      </c>
      <c r="T824" s="24">
        <v>5</v>
      </c>
      <c r="U824" s="41">
        <f t="shared" si="558"/>
        <v>2794000</v>
      </c>
      <c r="V824" s="24">
        <v>0.5</v>
      </c>
      <c r="W824" s="41"/>
      <c r="X824" s="24"/>
      <c r="Y824" s="41">
        <f t="shared" si="560"/>
        <v>0</v>
      </c>
      <c r="Z824" s="41"/>
      <c r="AA824" s="24">
        <v>5</v>
      </c>
      <c r="AB824" s="41">
        <f t="shared" si="559"/>
        <v>13970000</v>
      </c>
      <c r="AC824" s="41">
        <f t="shared" si="557"/>
        <v>0</v>
      </c>
      <c r="AD824" s="70" t="s">
        <v>87</v>
      </c>
      <c r="AE824" s="24"/>
      <c r="AG824" s="5"/>
      <c r="AH824" s="5"/>
    </row>
    <row r="825" spans="1:34" s="1" customFormat="1" ht="10.5" x14ac:dyDescent="0.25">
      <c r="A825" s="49">
        <v>21</v>
      </c>
      <c r="B825" s="22" t="s">
        <v>1751</v>
      </c>
      <c r="C825" s="22" t="s">
        <v>232</v>
      </c>
      <c r="D825" s="51" t="s">
        <v>1182</v>
      </c>
      <c r="E825" s="24" t="s">
        <v>1189</v>
      </c>
      <c r="F825" s="24"/>
      <c r="G825" s="24" t="s">
        <v>194</v>
      </c>
      <c r="H825" s="24" t="s">
        <v>62</v>
      </c>
      <c r="I825" s="24">
        <v>2016</v>
      </c>
      <c r="J825" s="24"/>
      <c r="K825" s="24" t="s">
        <v>63</v>
      </c>
      <c r="L825" s="24" t="s">
        <v>64</v>
      </c>
      <c r="M825" s="24">
        <v>1</v>
      </c>
      <c r="N825" s="41">
        <f t="shared" si="552"/>
        <v>13985000</v>
      </c>
      <c r="O825" s="41">
        <v>13985000</v>
      </c>
      <c r="P825" s="24"/>
      <c r="Q825" s="24"/>
      <c r="R825" s="24"/>
      <c r="S825" s="41">
        <f t="shared" si="553"/>
        <v>13985000</v>
      </c>
      <c r="T825" s="24">
        <v>5</v>
      </c>
      <c r="U825" s="41">
        <f t="shared" si="558"/>
        <v>2797000</v>
      </c>
      <c r="V825" s="24">
        <v>0.5</v>
      </c>
      <c r="W825" s="41"/>
      <c r="X825" s="24"/>
      <c r="Y825" s="41">
        <f t="shared" si="555"/>
        <v>0</v>
      </c>
      <c r="Z825" s="41">
        <f t="shared" si="556"/>
        <v>0</v>
      </c>
      <c r="AA825" s="24">
        <v>5</v>
      </c>
      <c r="AB825" s="41">
        <f t="shared" si="559"/>
        <v>13985000</v>
      </c>
      <c r="AC825" s="41">
        <f t="shared" si="557"/>
        <v>0</v>
      </c>
      <c r="AD825" s="70" t="s">
        <v>103</v>
      </c>
      <c r="AE825" s="24"/>
      <c r="AG825" s="5"/>
      <c r="AH825" s="5"/>
    </row>
    <row r="826" spans="1:34" s="1" customFormat="1" ht="10.5" x14ac:dyDescent="0.25">
      <c r="A826" s="49">
        <v>22</v>
      </c>
      <c r="B826" s="22" t="s">
        <v>1751</v>
      </c>
      <c r="C826" s="22" t="s">
        <v>234</v>
      </c>
      <c r="D826" s="51" t="s">
        <v>1182</v>
      </c>
      <c r="E826" s="24" t="s">
        <v>1189</v>
      </c>
      <c r="F826" s="24"/>
      <c r="G826" s="24" t="s">
        <v>194</v>
      </c>
      <c r="H826" s="24" t="s">
        <v>62</v>
      </c>
      <c r="I826" s="24">
        <v>2016</v>
      </c>
      <c r="J826" s="24"/>
      <c r="K826" s="24" t="s">
        <v>63</v>
      </c>
      <c r="L826" s="24" t="s">
        <v>64</v>
      </c>
      <c r="M826" s="24">
        <v>1</v>
      </c>
      <c r="N826" s="41">
        <f t="shared" si="552"/>
        <v>13985000</v>
      </c>
      <c r="O826" s="41">
        <v>13985000</v>
      </c>
      <c r="P826" s="24"/>
      <c r="Q826" s="24"/>
      <c r="R826" s="24"/>
      <c r="S826" s="41">
        <f t="shared" si="553"/>
        <v>13985000</v>
      </c>
      <c r="T826" s="24">
        <v>5</v>
      </c>
      <c r="U826" s="41">
        <f t="shared" si="558"/>
        <v>2797000</v>
      </c>
      <c r="V826" s="24">
        <v>0.5</v>
      </c>
      <c r="W826" s="41"/>
      <c r="X826" s="24"/>
      <c r="Y826" s="41">
        <f t="shared" si="555"/>
        <v>0</v>
      </c>
      <c r="Z826" s="41">
        <f t="shared" si="556"/>
        <v>0</v>
      </c>
      <c r="AA826" s="24">
        <v>5</v>
      </c>
      <c r="AB826" s="41">
        <f t="shared" si="559"/>
        <v>13985000</v>
      </c>
      <c r="AC826" s="41">
        <f t="shared" si="557"/>
        <v>0</v>
      </c>
      <c r="AD826" s="70" t="s">
        <v>1190</v>
      </c>
      <c r="AE826" s="24"/>
      <c r="AG826" s="5"/>
      <c r="AH826" s="5"/>
    </row>
    <row r="827" spans="1:34" s="1" customFormat="1" ht="10.5" x14ac:dyDescent="0.25">
      <c r="A827" s="49">
        <v>23</v>
      </c>
      <c r="B827" s="22" t="s">
        <v>1751</v>
      </c>
      <c r="C827" s="22" t="s">
        <v>236</v>
      </c>
      <c r="D827" s="51" t="s">
        <v>1182</v>
      </c>
      <c r="E827" s="24" t="s">
        <v>1189</v>
      </c>
      <c r="F827" s="24"/>
      <c r="G827" s="24" t="s">
        <v>194</v>
      </c>
      <c r="H827" s="24" t="s">
        <v>62</v>
      </c>
      <c r="I827" s="24">
        <v>2016</v>
      </c>
      <c r="J827" s="24"/>
      <c r="K827" s="24" t="s">
        <v>63</v>
      </c>
      <c r="L827" s="24" t="s">
        <v>64</v>
      </c>
      <c r="M827" s="24">
        <v>1</v>
      </c>
      <c r="N827" s="41">
        <f t="shared" si="552"/>
        <v>13985000</v>
      </c>
      <c r="O827" s="41">
        <v>13985000</v>
      </c>
      <c r="P827" s="24"/>
      <c r="Q827" s="24"/>
      <c r="R827" s="24"/>
      <c r="S827" s="41">
        <f t="shared" si="553"/>
        <v>13985000</v>
      </c>
      <c r="T827" s="24">
        <v>5</v>
      </c>
      <c r="U827" s="41">
        <f t="shared" si="558"/>
        <v>2797000</v>
      </c>
      <c r="V827" s="24">
        <v>0.5</v>
      </c>
      <c r="W827" s="41"/>
      <c r="X827" s="24"/>
      <c r="Y827" s="41">
        <f t="shared" si="555"/>
        <v>0</v>
      </c>
      <c r="Z827" s="41">
        <f t="shared" si="556"/>
        <v>0</v>
      </c>
      <c r="AA827" s="24">
        <v>5</v>
      </c>
      <c r="AB827" s="41">
        <f t="shared" si="559"/>
        <v>13985000</v>
      </c>
      <c r="AC827" s="41">
        <f t="shared" si="557"/>
        <v>0</v>
      </c>
      <c r="AD827" s="70" t="s">
        <v>1191</v>
      </c>
      <c r="AE827" s="24"/>
      <c r="AG827" s="5"/>
      <c r="AH827" s="5"/>
    </row>
    <row r="828" spans="1:34" s="1" customFormat="1" ht="10.5" x14ac:dyDescent="0.25">
      <c r="A828" s="49">
        <v>24</v>
      </c>
      <c r="B828" s="22" t="s">
        <v>1751</v>
      </c>
      <c r="C828" s="22" t="s">
        <v>238</v>
      </c>
      <c r="D828" s="51" t="s">
        <v>1182</v>
      </c>
      <c r="E828" s="24" t="s">
        <v>1187</v>
      </c>
      <c r="F828" s="24"/>
      <c r="G828" s="24" t="s">
        <v>194</v>
      </c>
      <c r="H828" s="24" t="s">
        <v>62</v>
      </c>
      <c r="I828" s="24">
        <v>2017</v>
      </c>
      <c r="J828" s="24"/>
      <c r="K828" s="24" t="s">
        <v>63</v>
      </c>
      <c r="L828" s="24" t="s">
        <v>64</v>
      </c>
      <c r="M828" s="24">
        <v>1</v>
      </c>
      <c r="N828" s="41">
        <f t="shared" si="552"/>
        <v>12996500</v>
      </c>
      <c r="O828" s="41">
        <v>12996500</v>
      </c>
      <c r="P828" s="24"/>
      <c r="Q828" s="24"/>
      <c r="R828" s="24"/>
      <c r="S828" s="41">
        <f t="shared" si="553"/>
        <v>12996500</v>
      </c>
      <c r="T828" s="24">
        <v>5</v>
      </c>
      <c r="U828" s="41">
        <f t="shared" si="558"/>
        <v>2599300</v>
      </c>
      <c r="V828" s="24">
        <v>0.5</v>
      </c>
      <c r="W828" s="41">
        <f>SUM(U828*V828)-1083041.66666666</f>
        <v>216608.33333334001</v>
      </c>
      <c r="X828" s="24"/>
      <c r="Y828" s="41">
        <f t="shared" si="555"/>
        <v>0</v>
      </c>
      <c r="Z828" s="41">
        <f t="shared" si="556"/>
        <v>216608.33333334001</v>
      </c>
      <c r="AA828" s="72">
        <f>2022-I828+V828+X828-1/12-5/12</f>
        <v>5</v>
      </c>
      <c r="AB828" s="41">
        <f t="shared" si="559"/>
        <v>12996500</v>
      </c>
      <c r="AC828" s="41">
        <f t="shared" si="557"/>
        <v>0</v>
      </c>
      <c r="AD828" s="70" t="s">
        <v>1192</v>
      </c>
      <c r="AE828" s="24"/>
      <c r="AG828" s="5"/>
      <c r="AH828" s="5"/>
    </row>
    <row r="829" spans="1:34" s="1" customFormat="1" ht="10.5" x14ac:dyDescent="0.25">
      <c r="A829" s="49">
        <v>25</v>
      </c>
      <c r="B829" s="22" t="s">
        <v>1751</v>
      </c>
      <c r="C829" s="22" t="s">
        <v>240</v>
      </c>
      <c r="D829" s="51" t="s">
        <v>1182</v>
      </c>
      <c r="E829" s="24" t="s">
        <v>1187</v>
      </c>
      <c r="F829" s="24"/>
      <c r="G829" s="24" t="s">
        <v>194</v>
      </c>
      <c r="H829" s="24" t="s">
        <v>62</v>
      </c>
      <c r="I829" s="24">
        <v>2017</v>
      </c>
      <c r="J829" s="24"/>
      <c r="K829" s="24" t="s">
        <v>63</v>
      </c>
      <c r="L829" s="24" t="s">
        <v>64</v>
      </c>
      <c r="M829" s="24">
        <v>1</v>
      </c>
      <c r="N829" s="41">
        <f t="shared" si="552"/>
        <v>12996500</v>
      </c>
      <c r="O829" s="41">
        <v>12996500</v>
      </c>
      <c r="P829" s="24"/>
      <c r="Q829" s="24"/>
      <c r="R829" s="24"/>
      <c r="S829" s="41">
        <f t="shared" si="553"/>
        <v>12996500</v>
      </c>
      <c r="T829" s="24">
        <v>5</v>
      </c>
      <c r="U829" s="41">
        <f t="shared" si="558"/>
        <v>2599300</v>
      </c>
      <c r="V829" s="24">
        <v>0.5</v>
      </c>
      <c r="W829" s="41">
        <f>SUM(U829*V829)-1083041.66666666</f>
        <v>216608.33333334001</v>
      </c>
      <c r="X829" s="24"/>
      <c r="Y829" s="41">
        <f t="shared" si="555"/>
        <v>0</v>
      </c>
      <c r="Z829" s="41">
        <f t="shared" si="556"/>
        <v>216608.33333334001</v>
      </c>
      <c r="AA829" s="72">
        <f t="shared" ref="AA829:AA832" si="561">2022-I829+V829+X829-1/12-5/12</f>
        <v>5</v>
      </c>
      <c r="AB829" s="41">
        <f t="shared" si="559"/>
        <v>12996500</v>
      </c>
      <c r="AC829" s="41">
        <f t="shared" si="557"/>
        <v>0</v>
      </c>
      <c r="AD829" s="70" t="s">
        <v>1193</v>
      </c>
      <c r="AE829" s="24"/>
      <c r="AG829" s="5"/>
      <c r="AH829" s="5"/>
    </row>
    <row r="830" spans="1:34" s="1" customFormat="1" ht="10.5" x14ac:dyDescent="0.25">
      <c r="A830" s="49">
        <v>26</v>
      </c>
      <c r="B830" s="22" t="s">
        <v>1751</v>
      </c>
      <c r="C830" s="22" t="s">
        <v>242</v>
      </c>
      <c r="D830" s="51" t="s">
        <v>1182</v>
      </c>
      <c r="E830" s="24" t="s">
        <v>1187</v>
      </c>
      <c r="F830" s="24"/>
      <c r="G830" s="24" t="s">
        <v>194</v>
      </c>
      <c r="H830" s="24" t="s">
        <v>62</v>
      </c>
      <c r="I830" s="24">
        <v>2017</v>
      </c>
      <c r="J830" s="24"/>
      <c r="K830" s="24" t="s">
        <v>63</v>
      </c>
      <c r="L830" s="24" t="s">
        <v>64</v>
      </c>
      <c r="M830" s="24">
        <v>1</v>
      </c>
      <c r="N830" s="41">
        <f t="shared" si="552"/>
        <v>12996500</v>
      </c>
      <c r="O830" s="41">
        <v>12996500</v>
      </c>
      <c r="P830" s="24"/>
      <c r="Q830" s="24"/>
      <c r="R830" s="24"/>
      <c r="S830" s="41">
        <f t="shared" si="553"/>
        <v>12996500</v>
      </c>
      <c r="T830" s="24">
        <v>5</v>
      </c>
      <c r="U830" s="41">
        <f t="shared" si="558"/>
        <v>2599300</v>
      </c>
      <c r="V830" s="24">
        <v>0.5</v>
      </c>
      <c r="W830" s="41">
        <f>SUM(U830*V830)-1083041.66666666</f>
        <v>216608.33333334001</v>
      </c>
      <c r="X830" s="24"/>
      <c r="Y830" s="41">
        <f t="shared" si="555"/>
        <v>0</v>
      </c>
      <c r="Z830" s="41">
        <f t="shared" si="556"/>
        <v>216608.33333334001</v>
      </c>
      <c r="AA830" s="72">
        <f t="shared" si="561"/>
        <v>5</v>
      </c>
      <c r="AB830" s="41">
        <f t="shared" si="559"/>
        <v>12996500</v>
      </c>
      <c r="AC830" s="41">
        <f t="shared" si="557"/>
        <v>0</v>
      </c>
      <c r="AD830" s="70" t="s">
        <v>1194</v>
      </c>
      <c r="AE830" s="24"/>
      <c r="AG830" s="5"/>
      <c r="AH830" s="5"/>
    </row>
    <row r="831" spans="1:34" s="1" customFormat="1" ht="10.5" x14ac:dyDescent="0.25">
      <c r="A831" s="49">
        <v>27</v>
      </c>
      <c r="B831" s="22" t="s">
        <v>1751</v>
      </c>
      <c r="C831" s="22" t="s">
        <v>244</v>
      </c>
      <c r="D831" s="51" t="s">
        <v>1182</v>
      </c>
      <c r="E831" s="24" t="s">
        <v>1187</v>
      </c>
      <c r="F831" s="24"/>
      <c r="G831" s="24" t="s">
        <v>194</v>
      </c>
      <c r="H831" s="24" t="s">
        <v>62</v>
      </c>
      <c r="I831" s="24">
        <v>2017</v>
      </c>
      <c r="J831" s="24"/>
      <c r="K831" s="24" t="s">
        <v>63</v>
      </c>
      <c r="L831" s="24" t="s">
        <v>64</v>
      </c>
      <c r="M831" s="24">
        <v>1</v>
      </c>
      <c r="N831" s="41">
        <f t="shared" si="552"/>
        <v>12996500</v>
      </c>
      <c r="O831" s="41">
        <v>12996500</v>
      </c>
      <c r="P831" s="24"/>
      <c r="Q831" s="24"/>
      <c r="R831" s="24"/>
      <c r="S831" s="41">
        <f t="shared" si="553"/>
        <v>12996500</v>
      </c>
      <c r="T831" s="24">
        <v>5</v>
      </c>
      <c r="U831" s="41">
        <f t="shared" si="558"/>
        <v>2599300</v>
      </c>
      <c r="V831" s="24">
        <v>0.5</v>
      </c>
      <c r="W831" s="41">
        <f>SUM(U831*V831)-1083041.66666666</f>
        <v>216608.33333334001</v>
      </c>
      <c r="X831" s="24"/>
      <c r="Y831" s="41">
        <f t="shared" si="555"/>
        <v>0</v>
      </c>
      <c r="Z831" s="41">
        <f t="shared" si="556"/>
        <v>216608.33333334001</v>
      </c>
      <c r="AA831" s="72">
        <f t="shared" si="561"/>
        <v>5</v>
      </c>
      <c r="AB831" s="41">
        <f t="shared" si="559"/>
        <v>12996500</v>
      </c>
      <c r="AC831" s="41">
        <f t="shared" si="557"/>
        <v>0</v>
      </c>
      <c r="AD831" s="70">
        <v>0</v>
      </c>
      <c r="AE831" s="24"/>
      <c r="AG831" s="5"/>
      <c r="AH831" s="5"/>
    </row>
    <row r="832" spans="1:34" s="1" customFormat="1" ht="10.5" x14ac:dyDescent="0.25">
      <c r="A832" s="49">
        <v>28</v>
      </c>
      <c r="B832" s="22" t="s">
        <v>1751</v>
      </c>
      <c r="C832" s="22" t="s">
        <v>246</v>
      </c>
      <c r="D832" s="51" t="s">
        <v>1182</v>
      </c>
      <c r="E832" s="24" t="s">
        <v>1187</v>
      </c>
      <c r="F832" s="24"/>
      <c r="G832" s="24" t="s">
        <v>194</v>
      </c>
      <c r="H832" s="24" t="s">
        <v>62</v>
      </c>
      <c r="I832" s="24">
        <v>2017</v>
      </c>
      <c r="J832" s="24"/>
      <c r="K832" s="24" t="s">
        <v>63</v>
      </c>
      <c r="L832" s="24" t="s">
        <v>64</v>
      </c>
      <c r="M832" s="24">
        <v>1</v>
      </c>
      <c r="N832" s="41">
        <f t="shared" si="552"/>
        <v>12996500</v>
      </c>
      <c r="O832" s="41">
        <v>12996500</v>
      </c>
      <c r="P832" s="24"/>
      <c r="Q832" s="24"/>
      <c r="R832" s="24"/>
      <c r="S832" s="41">
        <f t="shared" si="553"/>
        <v>12996500</v>
      </c>
      <c r="T832" s="24">
        <v>5</v>
      </c>
      <c r="U832" s="41">
        <f t="shared" si="558"/>
        <v>2599300</v>
      </c>
      <c r="V832" s="24">
        <v>0.5</v>
      </c>
      <c r="W832" s="41">
        <f>SUM(U832*V832)-1083041.66666666</f>
        <v>216608.33333334001</v>
      </c>
      <c r="X832" s="24"/>
      <c r="Y832" s="41">
        <f t="shared" si="555"/>
        <v>0</v>
      </c>
      <c r="Z832" s="41">
        <f t="shared" si="556"/>
        <v>216608.33333334001</v>
      </c>
      <c r="AA832" s="72">
        <f t="shared" si="561"/>
        <v>5</v>
      </c>
      <c r="AB832" s="41">
        <f t="shared" si="559"/>
        <v>12996500</v>
      </c>
      <c r="AC832" s="41">
        <f t="shared" si="557"/>
        <v>0</v>
      </c>
      <c r="AD832" s="70" t="s">
        <v>1195</v>
      </c>
      <c r="AE832" s="24"/>
      <c r="AG832" s="5"/>
      <c r="AH832" s="5"/>
    </row>
    <row r="833" spans="1:34" s="1" customFormat="1" ht="10.5" x14ac:dyDescent="0.25">
      <c r="A833" s="49">
        <v>29</v>
      </c>
      <c r="B833" s="22" t="s">
        <v>1751</v>
      </c>
      <c r="C833" s="22" t="s">
        <v>407</v>
      </c>
      <c r="D833" s="51" t="s">
        <v>1182</v>
      </c>
      <c r="E833" s="24" t="s">
        <v>1196</v>
      </c>
      <c r="F833" s="24"/>
      <c r="G833" s="24" t="s">
        <v>194</v>
      </c>
      <c r="H833" s="24" t="s">
        <v>62</v>
      </c>
      <c r="I833" s="24">
        <v>2017</v>
      </c>
      <c r="J833" s="24"/>
      <c r="K833" s="24" t="s">
        <v>63</v>
      </c>
      <c r="L833" s="24" t="s">
        <v>64</v>
      </c>
      <c r="M833" s="24">
        <v>1</v>
      </c>
      <c r="N833" s="41">
        <f t="shared" si="552"/>
        <v>14850000</v>
      </c>
      <c r="O833" s="41">
        <v>14850000</v>
      </c>
      <c r="P833" s="24"/>
      <c r="Q833" s="24"/>
      <c r="R833" s="24"/>
      <c r="S833" s="41">
        <f t="shared" si="553"/>
        <v>14850000</v>
      </c>
      <c r="T833" s="24">
        <v>5</v>
      </c>
      <c r="U833" s="41">
        <f t="shared" si="558"/>
        <v>2970000</v>
      </c>
      <c r="V833" s="24">
        <v>0.5</v>
      </c>
      <c r="W833" s="41">
        <f t="shared" si="554"/>
        <v>1485000</v>
      </c>
      <c r="X833" s="24">
        <v>0.5</v>
      </c>
      <c r="Y833" s="41">
        <f>SUM(U833*X833)-247500</f>
        <v>1237500</v>
      </c>
      <c r="Z833" s="41">
        <f>SUM(W833+Y833)</f>
        <v>2722500</v>
      </c>
      <c r="AA833" s="72">
        <f>2022-I833+V833+X833-11/12-1/12</f>
        <v>5</v>
      </c>
      <c r="AB833" s="41">
        <f t="shared" si="559"/>
        <v>14850000</v>
      </c>
      <c r="AC833" s="41">
        <f t="shared" si="557"/>
        <v>0</v>
      </c>
      <c r="AD833" s="70" t="s">
        <v>1197</v>
      </c>
      <c r="AE833" s="24"/>
      <c r="AG833" s="5"/>
      <c r="AH833" s="5"/>
    </row>
    <row r="834" spans="1:34" s="1" customFormat="1" ht="10.5" x14ac:dyDescent="0.25">
      <c r="A834" s="49">
        <v>30</v>
      </c>
      <c r="B834" s="22" t="s">
        <v>1751</v>
      </c>
      <c r="C834" s="22" t="s">
        <v>408</v>
      </c>
      <c r="D834" s="51" t="s">
        <v>1182</v>
      </c>
      <c r="E834" s="24" t="s">
        <v>1196</v>
      </c>
      <c r="F834" s="24"/>
      <c r="G834" s="24" t="s">
        <v>194</v>
      </c>
      <c r="H834" s="24" t="s">
        <v>62</v>
      </c>
      <c r="I834" s="24">
        <v>2017</v>
      </c>
      <c r="J834" s="24"/>
      <c r="K834" s="24" t="s">
        <v>63</v>
      </c>
      <c r="L834" s="24" t="s">
        <v>64</v>
      </c>
      <c r="M834" s="24">
        <v>1</v>
      </c>
      <c r="N834" s="41">
        <f t="shared" si="552"/>
        <v>14850000</v>
      </c>
      <c r="O834" s="41">
        <v>14850000</v>
      </c>
      <c r="P834" s="24"/>
      <c r="Q834" s="24"/>
      <c r="R834" s="24"/>
      <c r="S834" s="41">
        <f t="shared" si="553"/>
        <v>14850000</v>
      </c>
      <c r="T834" s="24">
        <v>5</v>
      </c>
      <c r="U834" s="41">
        <f t="shared" si="558"/>
        <v>2970000</v>
      </c>
      <c r="V834" s="24">
        <v>0.5</v>
      </c>
      <c r="W834" s="41">
        <f t="shared" si="554"/>
        <v>1485000</v>
      </c>
      <c r="X834" s="24">
        <v>0.5</v>
      </c>
      <c r="Y834" s="41">
        <f>SUM(U834*X834)-247500</f>
        <v>1237500</v>
      </c>
      <c r="Z834" s="41">
        <f>SUM(W834+Y834)</f>
        <v>2722500</v>
      </c>
      <c r="AA834" s="72">
        <f>2022-I834+V834+X834-11/12-1/12</f>
        <v>5</v>
      </c>
      <c r="AB834" s="41">
        <f t="shared" si="559"/>
        <v>14850000</v>
      </c>
      <c r="AC834" s="41">
        <f t="shared" si="557"/>
        <v>0</v>
      </c>
      <c r="AD834" s="70" t="s">
        <v>1198</v>
      </c>
      <c r="AE834" s="24"/>
      <c r="AG834" s="5"/>
      <c r="AH834" s="5"/>
    </row>
    <row r="835" spans="1:34" s="1" customFormat="1" ht="10.5" x14ac:dyDescent="0.25">
      <c r="A835" s="49">
        <v>31</v>
      </c>
      <c r="B835" s="22" t="s">
        <v>1751</v>
      </c>
      <c r="C835" s="22" t="s">
        <v>409</v>
      </c>
      <c r="D835" s="51" t="s">
        <v>1182</v>
      </c>
      <c r="E835" s="24" t="s">
        <v>1196</v>
      </c>
      <c r="F835" s="24"/>
      <c r="G835" s="24" t="s">
        <v>194</v>
      </c>
      <c r="H835" s="24" t="s">
        <v>62</v>
      </c>
      <c r="I835" s="24">
        <v>2017</v>
      </c>
      <c r="J835" s="24"/>
      <c r="K835" s="24" t="s">
        <v>63</v>
      </c>
      <c r="L835" s="24" t="s">
        <v>64</v>
      </c>
      <c r="M835" s="24">
        <v>1</v>
      </c>
      <c r="N835" s="41">
        <f t="shared" si="552"/>
        <v>14850000</v>
      </c>
      <c r="O835" s="41">
        <v>14850000</v>
      </c>
      <c r="P835" s="24"/>
      <c r="Q835" s="24"/>
      <c r="R835" s="24"/>
      <c r="S835" s="41">
        <f t="shared" si="553"/>
        <v>14850000</v>
      </c>
      <c r="T835" s="24">
        <v>5</v>
      </c>
      <c r="U835" s="41">
        <f t="shared" si="558"/>
        <v>2970000</v>
      </c>
      <c r="V835" s="24">
        <v>0.5</v>
      </c>
      <c r="W835" s="41">
        <f t="shared" si="554"/>
        <v>1485000</v>
      </c>
      <c r="X835" s="24">
        <v>0.5</v>
      </c>
      <c r="Y835" s="41">
        <f>SUM(U835*X835)-247500</f>
        <v>1237500</v>
      </c>
      <c r="Z835" s="41">
        <f>SUM(W835+Y835)</f>
        <v>2722500</v>
      </c>
      <c r="AA835" s="72">
        <f>2022-I835+V835+X835-11/12-1/12</f>
        <v>5</v>
      </c>
      <c r="AB835" s="41">
        <f t="shared" si="559"/>
        <v>14850000</v>
      </c>
      <c r="AC835" s="41">
        <f t="shared" si="557"/>
        <v>0</v>
      </c>
      <c r="AD835" s="70" t="s">
        <v>1199</v>
      </c>
      <c r="AE835" s="24"/>
      <c r="AG835" s="5"/>
      <c r="AH835" s="5"/>
    </row>
    <row r="836" spans="1:34" s="1" customFormat="1" ht="10.5" x14ac:dyDescent="0.25">
      <c r="A836" s="49">
        <v>32</v>
      </c>
      <c r="B836" s="22" t="s">
        <v>1751</v>
      </c>
      <c r="C836" s="22" t="s">
        <v>788</v>
      </c>
      <c r="D836" s="51" t="s">
        <v>1182</v>
      </c>
      <c r="E836" s="24" t="s">
        <v>1196</v>
      </c>
      <c r="F836" s="24"/>
      <c r="G836" s="24" t="s">
        <v>194</v>
      </c>
      <c r="H836" s="24" t="s">
        <v>62</v>
      </c>
      <c r="I836" s="24">
        <v>2017</v>
      </c>
      <c r="J836" s="24"/>
      <c r="K836" s="24" t="s">
        <v>63</v>
      </c>
      <c r="L836" s="24" t="s">
        <v>64</v>
      </c>
      <c r="M836" s="24">
        <v>1</v>
      </c>
      <c r="N836" s="41">
        <f t="shared" si="552"/>
        <v>14850000</v>
      </c>
      <c r="O836" s="41">
        <v>14850000</v>
      </c>
      <c r="P836" s="24"/>
      <c r="Q836" s="24"/>
      <c r="R836" s="24"/>
      <c r="S836" s="41">
        <f t="shared" si="553"/>
        <v>14850000</v>
      </c>
      <c r="T836" s="24">
        <v>5</v>
      </c>
      <c r="U836" s="41">
        <f t="shared" si="558"/>
        <v>2970000</v>
      </c>
      <c r="V836" s="24">
        <v>0.5</v>
      </c>
      <c r="W836" s="41">
        <f t="shared" si="554"/>
        <v>1485000</v>
      </c>
      <c r="X836" s="24">
        <v>0.5</v>
      </c>
      <c r="Y836" s="41">
        <f>SUM(U836*X836)-247500</f>
        <v>1237500</v>
      </c>
      <c r="Z836" s="41">
        <f>SUM(W836+Y836)</f>
        <v>2722500</v>
      </c>
      <c r="AA836" s="72">
        <f>2022-I836+V836+X836-11/12-1/12</f>
        <v>5</v>
      </c>
      <c r="AB836" s="41">
        <f t="shared" si="559"/>
        <v>14850000</v>
      </c>
      <c r="AC836" s="41">
        <f t="shared" si="557"/>
        <v>0</v>
      </c>
      <c r="AD836" s="70" t="s">
        <v>1200</v>
      </c>
      <c r="AE836" s="24"/>
      <c r="AG836" s="5"/>
      <c r="AH836" s="5"/>
    </row>
    <row r="837" spans="1:34" s="1" customFormat="1" ht="10.5" x14ac:dyDescent="0.25">
      <c r="A837" s="49">
        <v>33</v>
      </c>
      <c r="B837" s="22" t="s">
        <v>1751</v>
      </c>
      <c r="C837" s="22" t="s">
        <v>1017</v>
      </c>
      <c r="D837" s="51" t="s">
        <v>1182</v>
      </c>
      <c r="E837" s="24" t="s">
        <v>1196</v>
      </c>
      <c r="F837" s="24"/>
      <c r="G837" s="24" t="s">
        <v>194</v>
      </c>
      <c r="H837" s="24" t="s">
        <v>62</v>
      </c>
      <c r="I837" s="24">
        <v>2017</v>
      </c>
      <c r="J837" s="24"/>
      <c r="K837" s="24" t="s">
        <v>63</v>
      </c>
      <c r="L837" s="24" t="s">
        <v>64</v>
      </c>
      <c r="M837" s="24">
        <v>1</v>
      </c>
      <c r="N837" s="41">
        <f t="shared" si="552"/>
        <v>14850000</v>
      </c>
      <c r="O837" s="41">
        <v>14850000</v>
      </c>
      <c r="P837" s="24"/>
      <c r="Q837" s="24"/>
      <c r="R837" s="24"/>
      <c r="S837" s="41">
        <f t="shared" si="553"/>
        <v>14850000</v>
      </c>
      <c r="T837" s="24">
        <v>5</v>
      </c>
      <c r="U837" s="41">
        <f t="shared" si="558"/>
        <v>2970000</v>
      </c>
      <c r="V837" s="24">
        <v>0.5</v>
      </c>
      <c r="W837" s="41">
        <f t="shared" si="554"/>
        <v>1485000</v>
      </c>
      <c r="X837" s="24">
        <v>0.5</v>
      </c>
      <c r="Y837" s="41">
        <f>SUM(U837*X837)-247500</f>
        <v>1237500</v>
      </c>
      <c r="Z837" s="41">
        <f>SUM(W837+Y837)</f>
        <v>2722500</v>
      </c>
      <c r="AA837" s="72">
        <f>2022-I837+V837+X837-11/12-1/12</f>
        <v>5</v>
      </c>
      <c r="AB837" s="41">
        <f t="shared" si="559"/>
        <v>14850000</v>
      </c>
      <c r="AC837" s="41">
        <f t="shared" si="557"/>
        <v>0</v>
      </c>
      <c r="AD837" s="70" t="s">
        <v>1201</v>
      </c>
      <c r="AE837" s="24"/>
      <c r="AG837" s="5"/>
      <c r="AH837" s="5"/>
    </row>
    <row r="838" spans="1:34" s="1" customFormat="1" ht="10.5" x14ac:dyDescent="0.25">
      <c r="A838" s="49">
        <v>34</v>
      </c>
      <c r="B838" s="22" t="s">
        <v>1751</v>
      </c>
      <c r="C838" s="22" t="s">
        <v>411</v>
      </c>
      <c r="D838" s="51" t="s">
        <v>1182</v>
      </c>
      <c r="E838" s="24" t="s">
        <v>1202</v>
      </c>
      <c r="F838" s="24"/>
      <c r="G838" s="24" t="s">
        <v>194</v>
      </c>
      <c r="H838" s="24" t="s">
        <v>62</v>
      </c>
      <c r="I838" s="24">
        <v>2018</v>
      </c>
      <c r="J838" s="24"/>
      <c r="K838" s="24" t="s">
        <v>63</v>
      </c>
      <c r="L838" s="24" t="s">
        <v>64</v>
      </c>
      <c r="M838" s="24">
        <v>1</v>
      </c>
      <c r="N838" s="41">
        <f t="shared" si="552"/>
        <v>14417000</v>
      </c>
      <c r="O838" s="41">
        <v>14417000</v>
      </c>
      <c r="P838" s="24"/>
      <c r="Q838" s="24"/>
      <c r="R838" s="24"/>
      <c r="S838" s="41">
        <f t="shared" si="553"/>
        <v>14417000</v>
      </c>
      <c r="T838" s="24">
        <v>5</v>
      </c>
      <c r="U838" s="41">
        <f t="shared" si="558"/>
        <v>2883400</v>
      </c>
      <c r="V838" s="24">
        <v>0.5</v>
      </c>
      <c r="W838" s="41">
        <f t="shared" si="554"/>
        <v>1441700</v>
      </c>
      <c r="X838" s="24">
        <v>0.5</v>
      </c>
      <c r="Y838" s="41">
        <f t="shared" si="555"/>
        <v>1441700</v>
      </c>
      <c r="Z838" s="41">
        <f t="shared" si="556"/>
        <v>2883400</v>
      </c>
      <c r="AA838" s="72">
        <f>2022-I838+V838+X838-4/12</f>
        <v>4.666666666666667</v>
      </c>
      <c r="AB838" s="41">
        <f t="shared" si="559"/>
        <v>13455866.666666668</v>
      </c>
      <c r="AC838" s="41">
        <f t="shared" si="557"/>
        <v>961133.33333333209</v>
      </c>
      <c r="AD838" s="70" t="s">
        <v>266</v>
      </c>
      <c r="AE838" s="24"/>
      <c r="AG838" s="143"/>
      <c r="AH838" s="5"/>
    </row>
    <row r="839" spans="1:34" s="1" customFormat="1" ht="10.5" x14ac:dyDescent="0.25">
      <c r="A839" s="49">
        <v>35</v>
      </c>
      <c r="B839" s="22" t="s">
        <v>1751</v>
      </c>
      <c r="C839" s="22" t="s">
        <v>247</v>
      </c>
      <c r="D839" s="51" t="s">
        <v>1182</v>
      </c>
      <c r="E839" s="24" t="s">
        <v>1202</v>
      </c>
      <c r="F839" s="24"/>
      <c r="G839" s="24" t="s">
        <v>194</v>
      </c>
      <c r="H839" s="24" t="s">
        <v>62</v>
      </c>
      <c r="I839" s="24">
        <v>2018</v>
      </c>
      <c r="J839" s="24"/>
      <c r="K839" s="24" t="s">
        <v>63</v>
      </c>
      <c r="L839" s="24" t="s">
        <v>64</v>
      </c>
      <c r="M839" s="24">
        <v>1</v>
      </c>
      <c r="N839" s="41">
        <f t="shared" si="552"/>
        <v>14417000</v>
      </c>
      <c r="O839" s="41">
        <v>14417000</v>
      </c>
      <c r="P839" s="24"/>
      <c r="Q839" s="24"/>
      <c r="R839" s="24"/>
      <c r="S839" s="41">
        <f t="shared" si="553"/>
        <v>14417000</v>
      </c>
      <c r="T839" s="24">
        <v>5</v>
      </c>
      <c r="U839" s="41">
        <f t="shared" si="558"/>
        <v>2883400</v>
      </c>
      <c r="V839" s="24">
        <v>0.5</v>
      </c>
      <c r="W839" s="41">
        <f t="shared" si="554"/>
        <v>1441700</v>
      </c>
      <c r="X839" s="24">
        <v>0.5</v>
      </c>
      <c r="Y839" s="41">
        <f t="shared" si="555"/>
        <v>1441700</v>
      </c>
      <c r="Z839" s="41">
        <f t="shared" si="556"/>
        <v>2883400</v>
      </c>
      <c r="AA839" s="72">
        <f>2022-I839+V839+X839-4/12</f>
        <v>4.666666666666667</v>
      </c>
      <c r="AB839" s="41">
        <f t="shared" si="559"/>
        <v>13455866.666666668</v>
      </c>
      <c r="AC839" s="41">
        <f t="shared" si="557"/>
        <v>961133.33333333209</v>
      </c>
      <c r="AD839" s="70" t="s">
        <v>1203</v>
      </c>
      <c r="AE839" s="24"/>
      <c r="AG839" s="5"/>
      <c r="AH839" s="5"/>
    </row>
    <row r="840" spans="1:34" s="1" customFormat="1" ht="10.5" x14ac:dyDescent="0.25">
      <c r="A840" s="49">
        <v>36</v>
      </c>
      <c r="B840" s="22" t="s">
        <v>1751</v>
      </c>
      <c r="C840" s="73" t="s">
        <v>1204</v>
      </c>
      <c r="D840" s="51" t="s">
        <v>1182</v>
      </c>
      <c r="E840" s="52" t="s">
        <v>1205</v>
      </c>
      <c r="F840" s="52"/>
      <c r="G840" s="52" t="s">
        <v>194</v>
      </c>
      <c r="H840" s="52" t="s">
        <v>62</v>
      </c>
      <c r="I840" s="52">
        <v>2019</v>
      </c>
      <c r="J840" s="52"/>
      <c r="K840" s="52" t="s">
        <v>63</v>
      </c>
      <c r="L840" s="52" t="s">
        <v>64</v>
      </c>
      <c r="M840" s="52">
        <v>6</v>
      </c>
      <c r="N840" s="53">
        <f>O840/M840</f>
        <v>16499520</v>
      </c>
      <c r="O840" s="53">
        <v>98997120</v>
      </c>
      <c r="P840" s="52"/>
      <c r="Q840" s="52"/>
      <c r="R840" s="52"/>
      <c r="S840" s="53">
        <f t="shared" si="553"/>
        <v>98997120</v>
      </c>
      <c r="T840" s="52">
        <v>5</v>
      </c>
      <c r="U840" s="53">
        <f t="shared" si="558"/>
        <v>19799424</v>
      </c>
      <c r="V840" s="52">
        <v>0.5</v>
      </c>
      <c r="W840" s="53">
        <f t="shared" si="554"/>
        <v>9899712</v>
      </c>
      <c r="X840" s="24">
        <v>0.5</v>
      </c>
      <c r="Y840" s="53">
        <f t="shared" si="555"/>
        <v>9899712</v>
      </c>
      <c r="Z840" s="53">
        <f t="shared" si="556"/>
        <v>19799424</v>
      </c>
      <c r="AA840" s="72">
        <f>2022-I840+V840+X840-11/12</f>
        <v>3.0833333333333335</v>
      </c>
      <c r="AB840" s="53">
        <f t="shared" si="559"/>
        <v>61048224</v>
      </c>
      <c r="AC840" s="53">
        <f t="shared" si="557"/>
        <v>37948896</v>
      </c>
      <c r="AD840" s="56"/>
      <c r="AE840" s="52"/>
      <c r="AG840" s="5"/>
      <c r="AH840" s="5"/>
    </row>
    <row r="841" spans="1:34" s="1" customFormat="1" ht="10.5" x14ac:dyDescent="0.25">
      <c r="A841" s="49">
        <v>37</v>
      </c>
      <c r="B841" s="22" t="s">
        <v>1751</v>
      </c>
      <c r="C841" s="73" t="s">
        <v>1028</v>
      </c>
      <c r="D841" s="51" t="s">
        <v>1182</v>
      </c>
      <c r="E841" s="52" t="s">
        <v>1206</v>
      </c>
      <c r="F841" s="52"/>
      <c r="G841" s="52" t="s">
        <v>194</v>
      </c>
      <c r="H841" s="52" t="s">
        <v>62</v>
      </c>
      <c r="I841" s="52">
        <v>2020</v>
      </c>
      <c r="J841" s="52"/>
      <c r="K841" s="52" t="s">
        <v>63</v>
      </c>
      <c r="L841" s="52" t="s">
        <v>64</v>
      </c>
      <c r="M841" s="52">
        <v>1</v>
      </c>
      <c r="N841" s="53">
        <f>O841/M841</f>
        <v>20000000</v>
      </c>
      <c r="O841" s="53">
        <v>20000000</v>
      </c>
      <c r="P841" s="52"/>
      <c r="Q841" s="52"/>
      <c r="R841" s="52"/>
      <c r="S841" s="53">
        <f t="shared" si="553"/>
        <v>20000000</v>
      </c>
      <c r="T841" s="52">
        <v>5</v>
      </c>
      <c r="U841" s="53">
        <f t="shared" si="558"/>
        <v>4000000</v>
      </c>
      <c r="V841" s="52">
        <v>0.5</v>
      </c>
      <c r="W841" s="53">
        <f t="shared" si="554"/>
        <v>2000000</v>
      </c>
      <c r="X841" s="54">
        <v>0.5</v>
      </c>
      <c r="Y841" s="53">
        <f t="shared" si="555"/>
        <v>2000000</v>
      </c>
      <c r="Z841" s="53">
        <f t="shared" si="556"/>
        <v>4000000</v>
      </c>
      <c r="AA841" s="72">
        <f>2022-I841+V841+X841-11/12</f>
        <v>2.0833333333333335</v>
      </c>
      <c r="AB841" s="53">
        <f t="shared" si="559"/>
        <v>8333333.333333334</v>
      </c>
      <c r="AC841" s="53">
        <f t="shared" si="557"/>
        <v>11666666.666666666</v>
      </c>
      <c r="AD841" s="56" t="s">
        <v>99</v>
      </c>
      <c r="AE841" s="52"/>
      <c r="AG841" s="5"/>
      <c r="AH841" s="5"/>
    </row>
    <row r="842" spans="1:34" s="1" customFormat="1" ht="10.5" x14ac:dyDescent="0.25">
      <c r="A842" s="49">
        <v>38</v>
      </c>
      <c r="B842" s="22" t="s">
        <v>1751</v>
      </c>
      <c r="C842" s="73" t="s">
        <v>1029</v>
      </c>
      <c r="D842" s="51" t="s">
        <v>1182</v>
      </c>
      <c r="E842" s="52" t="s">
        <v>1207</v>
      </c>
      <c r="F842" s="52"/>
      <c r="G842" s="52" t="s">
        <v>194</v>
      </c>
      <c r="H842" s="52" t="s">
        <v>62</v>
      </c>
      <c r="I842" s="52">
        <v>2021</v>
      </c>
      <c r="J842" s="52"/>
      <c r="K842" s="52" t="s">
        <v>63</v>
      </c>
      <c r="L842" s="52" t="s">
        <v>64</v>
      </c>
      <c r="M842" s="52">
        <v>3</v>
      </c>
      <c r="N842" s="53">
        <f>O842/M842</f>
        <v>15299909</v>
      </c>
      <c r="O842" s="53">
        <v>45899727</v>
      </c>
      <c r="P842" s="52"/>
      <c r="Q842" s="52"/>
      <c r="R842" s="52"/>
      <c r="S842" s="53">
        <f t="shared" si="553"/>
        <v>45899727</v>
      </c>
      <c r="T842" s="52">
        <v>5</v>
      </c>
      <c r="U842" s="53">
        <f t="shared" si="558"/>
        <v>9179945.4000000004</v>
      </c>
      <c r="V842" s="52">
        <v>0.5</v>
      </c>
      <c r="W842" s="53">
        <f t="shared" si="554"/>
        <v>4589972.7</v>
      </c>
      <c r="X842" s="54">
        <v>0.5</v>
      </c>
      <c r="Y842" s="53">
        <f t="shared" si="555"/>
        <v>4589972.7</v>
      </c>
      <c r="Z842" s="53">
        <f t="shared" si="556"/>
        <v>9179945.4000000004</v>
      </c>
      <c r="AA842" s="57">
        <f>5/12+0.5+0.5</f>
        <v>1.4166666666666667</v>
      </c>
      <c r="AB842" s="53">
        <f t="shared" si="559"/>
        <v>13004922.65</v>
      </c>
      <c r="AC842" s="53">
        <f t="shared" si="557"/>
        <v>32894804.350000001</v>
      </c>
      <c r="AD842" s="56" t="s">
        <v>1803</v>
      </c>
      <c r="AE842" s="52"/>
      <c r="AG842" s="5"/>
      <c r="AH842" s="5"/>
    </row>
    <row r="843" spans="1:34" s="1" customFormat="1" ht="10.5" x14ac:dyDescent="0.25">
      <c r="A843" s="49">
        <v>39</v>
      </c>
      <c r="B843" s="22" t="s">
        <v>1751</v>
      </c>
      <c r="C843" s="73" t="s">
        <v>1030</v>
      </c>
      <c r="D843" s="51" t="s">
        <v>1182</v>
      </c>
      <c r="E843" s="52" t="s">
        <v>1208</v>
      </c>
      <c r="F843" s="52"/>
      <c r="G843" s="52" t="s">
        <v>194</v>
      </c>
      <c r="H843" s="52" t="s">
        <v>62</v>
      </c>
      <c r="I843" s="52">
        <v>2021</v>
      </c>
      <c r="J843" s="52"/>
      <c r="K843" s="52" t="s">
        <v>63</v>
      </c>
      <c r="L843" s="52" t="s">
        <v>64</v>
      </c>
      <c r="M843" s="52">
        <v>2</v>
      </c>
      <c r="N843" s="53">
        <f>O843/M843</f>
        <v>15300000</v>
      </c>
      <c r="O843" s="53">
        <v>30600000</v>
      </c>
      <c r="P843" s="52"/>
      <c r="Q843" s="52"/>
      <c r="R843" s="52"/>
      <c r="S843" s="53">
        <f t="shared" si="553"/>
        <v>30600000</v>
      </c>
      <c r="T843" s="52">
        <v>5</v>
      </c>
      <c r="U843" s="53">
        <f t="shared" si="558"/>
        <v>6120000</v>
      </c>
      <c r="V843" s="52">
        <v>0.5</v>
      </c>
      <c r="W843" s="53">
        <f t="shared" si="554"/>
        <v>3060000</v>
      </c>
      <c r="X843" s="57">
        <v>0.5</v>
      </c>
      <c r="Y843" s="53">
        <f t="shared" si="555"/>
        <v>3060000</v>
      </c>
      <c r="Z843" s="53">
        <f t="shared" si="556"/>
        <v>6120000</v>
      </c>
      <c r="AA843" s="57">
        <f>1/12+0.5+0.5</f>
        <v>1.0833333333333335</v>
      </c>
      <c r="AB843" s="53">
        <f t="shared" si="559"/>
        <v>6630000.0000000009</v>
      </c>
      <c r="AC843" s="53">
        <f t="shared" si="557"/>
        <v>23970000</v>
      </c>
      <c r="AD843" s="56" t="s">
        <v>1209</v>
      </c>
      <c r="AE843" s="52"/>
      <c r="AG843" s="5"/>
      <c r="AH843" s="5"/>
    </row>
    <row r="844" spans="1:34" s="1" customFormat="1" ht="10.5" x14ac:dyDescent="0.25">
      <c r="A844" s="49">
        <v>40</v>
      </c>
      <c r="B844" s="22" t="s">
        <v>1751</v>
      </c>
      <c r="C844" s="73" t="s">
        <v>1032</v>
      </c>
      <c r="D844" s="51" t="s">
        <v>1182</v>
      </c>
      <c r="E844" s="52" t="s">
        <v>1210</v>
      </c>
      <c r="F844" s="52"/>
      <c r="G844" s="52" t="s">
        <v>194</v>
      </c>
      <c r="H844" s="52" t="s">
        <v>62</v>
      </c>
      <c r="I844" s="52">
        <v>2022</v>
      </c>
      <c r="J844" s="52"/>
      <c r="K844" s="52" t="s">
        <v>63</v>
      </c>
      <c r="L844" s="52" t="s">
        <v>64</v>
      </c>
      <c r="M844" s="52">
        <v>1</v>
      </c>
      <c r="N844" s="53">
        <f t="shared" ref="N844:N845" si="562">O844/M844</f>
        <v>16500000</v>
      </c>
      <c r="O844" s="53">
        <v>16500000</v>
      </c>
      <c r="P844" s="52"/>
      <c r="Q844" s="52"/>
      <c r="R844" s="52"/>
      <c r="S844" s="53">
        <f t="shared" si="553"/>
        <v>16500000</v>
      </c>
      <c r="T844" s="52">
        <v>5</v>
      </c>
      <c r="U844" s="53">
        <f t="shared" si="558"/>
        <v>3300000</v>
      </c>
      <c r="V844" s="52"/>
      <c r="W844" s="53"/>
      <c r="X844" s="57">
        <f>1/12</f>
        <v>8.3333333333333329E-2</v>
      </c>
      <c r="Y844" s="53">
        <f t="shared" si="555"/>
        <v>275000</v>
      </c>
      <c r="Z844" s="53">
        <f t="shared" si="556"/>
        <v>275000</v>
      </c>
      <c r="AA844" s="57">
        <f t="shared" ref="AA844:AA845" si="563">1/12</f>
        <v>8.3333333333333329E-2</v>
      </c>
      <c r="AB844" s="53">
        <f t="shared" si="559"/>
        <v>275000</v>
      </c>
      <c r="AC844" s="53">
        <f t="shared" si="557"/>
        <v>16225000</v>
      </c>
      <c r="AD844" s="56" t="s">
        <v>1211</v>
      </c>
      <c r="AE844" s="52"/>
      <c r="AG844" s="5"/>
      <c r="AH844" s="5"/>
    </row>
    <row r="845" spans="1:34" s="1" customFormat="1" ht="10.5" x14ac:dyDescent="0.25">
      <c r="A845" s="49">
        <v>41</v>
      </c>
      <c r="B845" s="22" t="s">
        <v>1751</v>
      </c>
      <c r="C845" s="73" t="s">
        <v>1212</v>
      </c>
      <c r="D845" s="51" t="s">
        <v>1182</v>
      </c>
      <c r="E845" s="52" t="s">
        <v>1210</v>
      </c>
      <c r="F845" s="52"/>
      <c r="G845" s="52" t="s">
        <v>194</v>
      </c>
      <c r="H845" s="52" t="s">
        <v>62</v>
      </c>
      <c r="I845" s="52">
        <v>2022</v>
      </c>
      <c r="J845" s="52"/>
      <c r="K845" s="52" t="s">
        <v>63</v>
      </c>
      <c r="L845" s="52" t="s">
        <v>64</v>
      </c>
      <c r="M845" s="52">
        <v>1</v>
      </c>
      <c r="N845" s="53">
        <f t="shared" si="562"/>
        <v>16500000</v>
      </c>
      <c r="O845" s="53">
        <v>16500000</v>
      </c>
      <c r="P845" s="52"/>
      <c r="Q845" s="52"/>
      <c r="R845" s="52"/>
      <c r="S845" s="53">
        <f t="shared" si="553"/>
        <v>16500000</v>
      </c>
      <c r="T845" s="52">
        <v>5</v>
      </c>
      <c r="U845" s="53">
        <f t="shared" si="558"/>
        <v>3300000</v>
      </c>
      <c r="V845" s="52"/>
      <c r="W845" s="53"/>
      <c r="X845" s="57">
        <f>1/12</f>
        <v>8.3333333333333329E-2</v>
      </c>
      <c r="Y845" s="53">
        <f t="shared" si="555"/>
        <v>275000</v>
      </c>
      <c r="Z845" s="53">
        <f t="shared" si="556"/>
        <v>275000</v>
      </c>
      <c r="AA845" s="57">
        <f t="shared" si="563"/>
        <v>8.3333333333333329E-2</v>
      </c>
      <c r="AB845" s="53">
        <f t="shared" si="559"/>
        <v>275000</v>
      </c>
      <c r="AC845" s="53">
        <f t="shared" si="557"/>
        <v>16225000</v>
      </c>
      <c r="AD845" s="56" t="s">
        <v>1213</v>
      </c>
      <c r="AE845" s="52"/>
      <c r="AG845" s="5"/>
      <c r="AH845" s="5"/>
    </row>
    <row r="846" spans="1:34" s="1" customFormat="1" ht="10.5" x14ac:dyDescent="0.25">
      <c r="A846" s="49">
        <v>44</v>
      </c>
      <c r="B846" s="22" t="s">
        <v>1752</v>
      </c>
      <c r="C846" s="22" t="s">
        <v>1214</v>
      </c>
      <c r="D846" s="51" t="s">
        <v>1215</v>
      </c>
      <c r="E846" s="24" t="s">
        <v>1216</v>
      </c>
      <c r="F846" s="24"/>
      <c r="G846" s="24" t="s">
        <v>194</v>
      </c>
      <c r="H846" s="24" t="s">
        <v>62</v>
      </c>
      <c r="I846" s="24">
        <v>2005</v>
      </c>
      <c r="J846" s="24"/>
      <c r="K846" s="24" t="s">
        <v>63</v>
      </c>
      <c r="L846" s="24" t="s">
        <v>167</v>
      </c>
      <c r="M846" s="24">
        <v>7</v>
      </c>
      <c r="N846" s="41">
        <f t="shared" ref="N846:N874" si="564">SUM(O846/M846)</f>
        <v>6775000</v>
      </c>
      <c r="O846" s="41">
        <v>47425000</v>
      </c>
      <c r="P846" s="24"/>
      <c r="Q846" s="24"/>
      <c r="R846" s="24"/>
      <c r="S846" s="41">
        <f t="shared" si="553"/>
        <v>47425000</v>
      </c>
      <c r="T846" s="24">
        <v>5</v>
      </c>
      <c r="U846" s="41"/>
      <c r="V846" s="24">
        <v>0.5</v>
      </c>
      <c r="W846" s="41">
        <f t="shared" ref="W846:W877" si="565">SUM(U846*V846)</f>
        <v>0</v>
      </c>
      <c r="X846" s="24"/>
      <c r="Y846" s="41">
        <f t="shared" si="555"/>
        <v>0</v>
      </c>
      <c r="Z846" s="41">
        <f t="shared" si="556"/>
        <v>0</v>
      </c>
      <c r="AA846" s="24">
        <v>5</v>
      </c>
      <c r="AB846" s="41">
        <v>47425000</v>
      </c>
      <c r="AC846" s="41">
        <f t="shared" si="557"/>
        <v>0</v>
      </c>
      <c r="AD846" s="70" t="s">
        <v>213</v>
      </c>
      <c r="AE846" s="24"/>
      <c r="AG846" s="5"/>
    </row>
    <row r="847" spans="1:34" s="1" customFormat="1" ht="10.5" x14ac:dyDescent="0.25">
      <c r="A847" s="49">
        <v>45</v>
      </c>
      <c r="B847" s="22" t="s">
        <v>1752</v>
      </c>
      <c r="C847" s="22" t="s">
        <v>408</v>
      </c>
      <c r="D847" s="51" t="s">
        <v>1215</v>
      </c>
      <c r="E847" s="24" t="s">
        <v>1216</v>
      </c>
      <c r="F847" s="24"/>
      <c r="G847" s="24" t="s">
        <v>194</v>
      </c>
      <c r="H847" s="24" t="s">
        <v>62</v>
      </c>
      <c r="I847" s="24">
        <v>2005</v>
      </c>
      <c r="J847" s="24"/>
      <c r="K847" s="24" t="s">
        <v>63</v>
      </c>
      <c r="L847" s="24" t="s">
        <v>167</v>
      </c>
      <c r="M847" s="24">
        <v>1</v>
      </c>
      <c r="N847" s="41">
        <f t="shared" si="564"/>
        <v>6775000</v>
      </c>
      <c r="O847" s="41">
        <v>6775000</v>
      </c>
      <c r="P847" s="24"/>
      <c r="Q847" s="24"/>
      <c r="R847" s="24"/>
      <c r="S847" s="41">
        <f t="shared" si="553"/>
        <v>6775000</v>
      </c>
      <c r="T847" s="24">
        <v>5</v>
      </c>
      <c r="U847" s="41"/>
      <c r="V847" s="24">
        <v>0.5</v>
      </c>
      <c r="W847" s="41">
        <f t="shared" si="565"/>
        <v>0</v>
      </c>
      <c r="X847" s="24"/>
      <c r="Y847" s="41">
        <f t="shared" si="555"/>
        <v>0</v>
      </c>
      <c r="Z847" s="41">
        <f t="shared" si="556"/>
        <v>0</v>
      </c>
      <c r="AA847" s="24">
        <v>5</v>
      </c>
      <c r="AB847" s="41">
        <v>6775000</v>
      </c>
      <c r="AC847" s="41">
        <f t="shared" si="557"/>
        <v>0</v>
      </c>
      <c r="AD847" s="70" t="s">
        <v>406</v>
      </c>
      <c r="AE847" s="24"/>
      <c r="AG847" s="5"/>
    </row>
    <row r="848" spans="1:34" s="1" customFormat="1" ht="10.5" x14ac:dyDescent="0.25">
      <c r="A848" s="49">
        <v>46</v>
      </c>
      <c r="B848" s="22" t="s">
        <v>1752</v>
      </c>
      <c r="C848" s="22" t="s">
        <v>1217</v>
      </c>
      <c r="D848" s="51" t="s">
        <v>1215</v>
      </c>
      <c r="E848" s="24" t="s">
        <v>1216</v>
      </c>
      <c r="F848" s="24"/>
      <c r="G848" s="24" t="s">
        <v>194</v>
      </c>
      <c r="H848" s="24" t="s">
        <v>62</v>
      </c>
      <c r="I848" s="24">
        <v>2005</v>
      </c>
      <c r="J848" s="24"/>
      <c r="K848" s="24" t="s">
        <v>63</v>
      </c>
      <c r="L848" s="24" t="s">
        <v>167</v>
      </c>
      <c r="M848" s="24">
        <v>2</v>
      </c>
      <c r="N848" s="41">
        <f t="shared" si="564"/>
        <v>6775000</v>
      </c>
      <c r="O848" s="41">
        <v>13550000</v>
      </c>
      <c r="P848" s="24"/>
      <c r="Q848" s="24"/>
      <c r="R848" s="24"/>
      <c r="S848" s="41">
        <f t="shared" si="553"/>
        <v>13550000</v>
      </c>
      <c r="T848" s="24">
        <v>5</v>
      </c>
      <c r="U848" s="41"/>
      <c r="V848" s="24">
        <v>0.5</v>
      </c>
      <c r="W848" s="41">
        <f t="shared" si="565"/>
        <v>0</v>
      </c>
      <c r="X848" s="24"/>
      <c r="Y848" s="41">
        <f t="shared" si="555"/>
        <v>0</v>
      </c>
      <c r="Z848" s="41">
        <f t="shared" si="556"/>
        <v>0</v>
      </c>
      <c r="AA848" s="24">
        <v>5</v>
      </c>
      <c r="AB848" s="41">
        <v>13550000</v>
      </c>
      <c r="AC848" s="41">
        <f t="shared" si="557"/>
        <v>0</v>
      </c>
      <c r="AD848" s="70" t="s">
        <v>406</v>
      </c>
      <c r="AE848" s="24"/>
      <c r="AG848" s="5"/>
    </row>
    <row r="849" spans="1:33" s="1" customFormat="1" ht="10.5" x14ac:dyDescent="0.25">
      <c r="A849" s="49">
        <v>47</v>
      </c>
      <c r="B849" s="22" t="s">
        <v>1752</v>
      </c>
      <c r="C849" s="22" t="s">
        <v>1017</v>
      </c>
      <c r="D849" s="51" t="s">
        <v>1215</v>
      </c>
      <c r="E849" s="24" t="s">
        <v>1216</v>
      </c>
      <c r="F849" s="24"/>
      <c r="G849" s="24" t="s">
        <v>194</v>
      </c>
      <c r="H849" s="24" t="s">
        <v>62</v>
      </c>
      <c r="I849" s="24">
        <v>2005</v>
      </c>
      <c r="J849" s="24"/>
      <c r="K849" s="24" t="s">
        <v>63</v>
      </c>
      <c r="L849" s="24" t="s">
        <v>167</v>
      </c>
      <c r="M849" s="24">
        <v>1</v>
      </c>
      <c r="N849" s="41">
        <f t="shared" si="564"/>
        <v>6775000</v>
      </c>
      <c r="O849" s="41">
        <v>6775000</v>
      </c>
      <c r="P849" s="24"/>
      <c r="Q849" s="24"/>
      <c r="R849" s="24"/>
      <c r="S849" s="41">
        <f t="shared" si="553"/>
        <v>6775000</v>
      </c>
      <c r="T849" s="24">
        <v>5</v>
      </c>
      <c r="U849" s="41"/>
      <c r="V849" s="24">
        <v>0.5</v>
      </c>
      <c r="W849" s="41">
        <f t="shared" si="565"/>
        <v>0</v>
      </c>
      <c r="X849" s="24"/>
      <c r="Y849" s="41">
        <f t="shared" si="555"/>
        <v>0</v>
      </c>
      <c r="Z849" s="41">
        <f t="shared" si="556"/>
        <v>0</v>
      </c>
      <c r="AA849" s="24">
        <v>5</v>
      </c>
      <c r="AB849" s="41">
        <v>6775000</v>
      </c>
      <c r="AC849" s="41">
        <f t="shared" si="557"/>
        <v>0</v>
      </c>
      <c r="AD849" s="70" t="s">
        <v>406</v>
      </c>
      <c r="AE849" s="24"/>
      <c r="AG849" s="5"/>
    </row>
    <row r="850" spans="1:33" s="1" customFormat="1" ht="10.5" x14ac:dyDescent="0.25">
      <c r="A850" s="49">
        <v>48</v>
      </c>
      <c r="B850" s="22" t="s">
        <v>1752</v>
      </c>
      <c r="C850" s="22" t="s">
        <v>411</v>
      </c>
      <c r="D850" s="51" t="s">
        <v>1215</v>
      </c>
      <c r="E850" s="24" t="s">
        <v>1216</v>
      </c>
      <c r="F850" s="24"/>
      <c r="G850" s="24" t="s">
        <v>194</v>
      </c>
      <c r="H850" s="24" t="s">
        <v>62</v>
      </c>
      <c r="I850" s="24">
        <v>2005</v>
      </c>
      <c r="J850" s="24"/>
      <c r="K850" s="24" t="s">
        <v>63</v>
      </c>
      <c r="L850" s="24" t="s">
        <v>167</v>
      </c>
      <c r="M850" s="24">
        <v>1</v>
      </c>
      <c r="N850" s="41">
        <f t="shared" si="564"/>
        <v>6775000</v>
      </c>
      <c r="O850" s="41">
        <v>6775000</v>
      </c>
      <c r="P850" s="24"/>
      <c r="Q850" s="24"/>
      <c r="R850" s="24"/>
      <c r="S850" s="41">
        <f t="shared" si="553"/>
        <v>6775000</v>
      </c>
      <c r="T850" s="24">
        <v>5</v>
      </c>
      <c r="U850" s="41"/>
      <c r="V850" s="24">
        <v>0.5</v>
      </c>
      <c r="W850" s="41">
        <f t="shared" si="565"/>
        <v>0</v>
      </c>
      <c r="X850" s="24"/>
      <c r="Y850" s="41">
        <f t="shared" si="555"/>
        <v>0</v>
      </c>
      <c r="Z850" s="41">
        <f t="shared" si="556"/>
        <v>0</v>
      </c>
      <c r="AA850" s="24">
        <v>5</v>
      </c>
      <c r="AB850" s="41">
        <v>6775000</v>
      </c>
      <c r="AC850" s="41">
        <f t="shared" si="557"/>
        <v>0</v>
      </c>
      <c r="AD850" s="70" t="s">
        <v>406</v>
      </c>
      <c r="AE850" s="24"/>
      <c r="AG850" s="5"/>
    </row>
    <row r="851" spans="1:33" s="1" customFormat="1" ht="10.5" x14ac:dyDescent="0.25">
      <c r="A851" s="49">
        <v>49</v>
      </c>
      <c r="B851" s="22" t="s">
        <v>1752</v>
      </c>
      <c r="C851" s="22" t="s">
        <v>247</v>
      </c>
      <c r="D851" s="51" t="s">
        <v>1215</v>
      </c>
      <c r="E851" s="24" t="s">
        <v>1216</v>
      </c>
      <c r="F851" s="24"/>
      <c r="G851" s="24" t="s">
        <v>194</v>
      </c>
      <c r="H851" s="24" t="s">
        <v>62</v>
      </c>
      <c r="I851" s="24">
        <v>2005</v>
      </c>
      <c r="J851" s="24"/>
      <c r="K851" s="24" t="s">
        <v>63</v>
      </c>
      <c r="L851" s="24" t="s">
        <v>167</v>
      </c>
      <c r="M851" s="24">
        <v>1</v>
      </c>
      <c r="N851" s="41">
        <f t="shared" si="564"/>
        <v>6775000</v>
      </c>
      <c r="O851" s="41">
        <v>6775000</v>
      </c>
      <c r="P851" s="24"/>
      <c r="Q851" s="24"/>
      <c r="R851" s="24"/>
      <c r="S851" s="41">
        <f t="shared" si="553"/>
        <v>6775000</v>
      </c>
      <c r="T851" s="24">
        <v>5</v>
      </c>
      <c r="U851" s="41"/>
      <c r="V851" s="24">
        <v>0.5</v>
      </c>
      <c r="W851" s="41">
        <f t="shared" si="565"/>
        <v>0</v>
      </c>
      <c r="X851" s="24"/>
      <c r="Y851" s="41">
        <f t="shared" si="555"/>
        <v>0</v>
      </c>
      <c r="Z851" s="41">
        <f t="shared" si="556"/>
        <v>0</v>
      </c>
      <c r="AA851" s="24">
        <v>5</v>
      </c>
      <c r="AB851" s="41">
        <v>6775000</v>
      </c>
      <c r="AC851" s="41">
        <f t="shared" si="557"/>
        <v>0</v>
      </c>
      <c r="AD851" s="70" t="s">
        <v>406</v>
      </c>
      <c r="AE851" s="24"/>
      <c r="AG851" s="5"/>
    </row>
    <row r="852" spans="1:33" s="1" customFormat="1" ht="10.5" x14ac:dyDescent="0.25">
      <c r="A852" s="49">
        <v>50</v>
      </c>
      <c r="B852" s="22" t="s">
        <v>1752</v>
      </c>
      <c r="C852" s="22" t="s">
        <v>1218</v>
      </c>
      <c r="D852" s="51" t="s">
        <v>1215</v>
      </c>
      <c r="E852" s="24" t="s">
        <v>1216</v>
      </c>
      <c r="F852" s="24"/>
      <c r="G852" s="24" t="s">
        <v>194</v>
      </c>
      <c r="H852" s="24" t="s">
        <v>62</v>
      </c>
      <c r="I852" s="24">
        <v>2005</v>
      </c>
      <c r="J852" s="24"/>
      <c r="K852" s="24" t="s">
        <v>63</v>
      </c>
      <c r="L852" s="24" t="s">
        <v>167</v>
      </c>
      <c r="M852" s="24">
        <v>3</v>
      </c>
      <c r="N852" s="41">
        <f t="shared" si="564"/>
        <v>6775000</v>
      </c>
      <c r="O852" s="41">
        <v>20325000</v>
      </c>
      <c r="P852" s="24"/>
      <c r="Q852" s="24"/>
      <c r="R852" s="24"/>
      <c r="S852" s="41">
        <f t="shared" si="553"/>
        <v>20325000</v>
      </c>
      <c r="T852" s="24">
        <v>5</v>
      </c>
      <c r="U852" s="41"/>
      <c r="V852" s="24">
        <v>0.5</v>
      </c>
      <c r="W852" s="41">
        <f t="shared" si="565"/>
        <v>0</v>
      </c>
      <c r="X852" s="24"/>
      <c r="Y852" s="41">
        <f t="shared" si="555"/>
        <v>0</v>
      </c>
      <c r="Z852" s="41">
        <f t="shared" si="556"/>
        <v>0</v>
      </c>
      <c r="AA852" s="24">
        <v>5</v>
      </c>
      <c r="AB852" s="41">
        <v>20325000</v>
      </c>
      <c r="AC852" s="41">
        <f t="shared" si="557"/>
        <v>0</v>
      </c>
      <c r="AD852" s="70" t="s">
        <v>406</v>
      </c>
      <c r="AE852" s="24"/>
      <c r="AG852" s="5"/>
    </row>
    <row r="853" spans="1:33" s="1" customFormat="1" ht="10.5" x14ac:dyDescent="0.25">
      <c r="A853" s="49">
        <v>51</v>
      </c>
      <c r="B853" s="22" t="s">
        <v>1752</v>
      </c>
      <c r="C853" s="22" t="s">
        <v>1026</v>
      </c>
      <c r="D853" s="51" t="s">
        <v>1215</v>
      </c>
      <c r="E853" s="24" t="s">
        <v>1219</v>
      </c>
      <c r="F853" s="24"/>
      <c r="G853" s="24" t="s">
        <v>194</v>
      </c>
      <c r="H853" s="24" t="s">
        <v>62</v>
      </c>
      <c r="I853" s="24">
        <v>2010</v>
      </c>
      <c r="J853" s="24"/>
      <c r="K853" s="24" t="s">
        <v>63</v>
      </c>
      <c r="L853" s="24" t="s">
        <v>64</v>
      </c>
      <c r="M853" s="24">
        <v>1</v>
      </c>
      <c r="N853" s="41">
        <f t="shared" si="564"/>
        <v>9875000</v>
      </c>
      <c r="O853" s="41">
        <v>9875000</v>
      </c>
      <c r="P853" s="24"/>
      <c r="Q853" s="24"/>
      <c r="R853" s="24"/>
      <c r="S853" s="41">
        <f t="shared" si="553"/>
        <v>9875000</v>
      </c>
      <c r="T853" s="24">
        <v>5</v>
      </c>
      <c r="U853" s="41"/>
      <c r="V853" s="24">
        <v>0.5</v>
      </c>
      <c r="W853" s="41">
        <f t="shared" si="565"/>
        <v>0</v>
      </c>
      <c r="X853" s="24"/>
      <c r="Y853" s="41">
        <f t="shared" si="555"/>
        <v>0</v>
      </c>
      <c r="Z853" s="41">
        <f t="shared" si="556"/>
        <v>0</v>
      </c>
      <c r="AA853" s="24">
        <v>5</v>
      </c>
      <c r="AB853" s="41">
        <v>9875000</v>
      </c>
      <c r="AC853" s="41">
        <f t="shared" si="557"/>
        <v>0</v>
      </c>
      <c r="AD853" s="70" t="s">
        <v>222</v>
      </c>
      <c r="AE853" s="24"/>
      <c r="AG853" s="5"/>
    </row>
    <row r="854" spans="1:33" s="1" customFormat="1" ht="10.5" x14ac:dyDescent="0.25">
      <c r="A854" s="49">
        <v>52</v>
      </c>
      <c r="B854" s="22" t="s">
        <v>1752</v>
      </c>
      <c r="C854" s="22" t="s">
        <v>416</v>
      </c>
      <c r="D854" s="51" t="s">
        <v>1215</v>
      </c>
      <c r="E854" s="24" t="s">
        <v>1219</v>
      </c>
      <c r="F854" s="24"/>
      <c r="G854" s="24" t="s">
        <v>194</v>
      </c>
      <c r="H854" s="24" t="s">
        <v>1220</v>
      </c>
      <c r="I854" s="24">
        <v>2010</v>
      </c>
      <c r="J854" s="24"/>
      <c r="K854" s="24" t="s">
        <v>63</v>
      </c>
      <c r="L854" s="24" t="s">
        <v>64</v>
      </c>
      <c r="M854" s="24">
        <v>1</v>
      </c>
      <c r="N854" s="41">
        <f t="shared" si="564"/>
        <v>10725000</v>
      </c>
      <c r="O854" s="41">
        <v>10725000</v>
      </c>
      <c r="P854" s="24"/>
      <c r="Q854" s="24"/>
      <c r="R854" s="24"/>
      <c r="S854" s="41">
        <f t="shared" si="553"/>
        <v>10725000</v>
      </c>
      <c r="T854" s="24">
        <v>5</v>
      </c>
      <c r="U854" s="41"/>
      <c r="V854" s="24">
        <v>0.5</v>
      </c>
      <c r="W854" s="41">
        <f t="shared" si="565"/>
        <v>0</v>
      </c>
      <c r="X854" s="24"/>
      <c r="Y854" s="41">
        <f t="shared" si="555"/>
        <v>0</v>
      </c>
      <c r="Z854" s="41">
        <f t="shared" si="556"/>
        <v>0</v>
      </c>
      <c r="AA854" s="24">
        <v>5</v>
      </c>
      <c r="AB854" s="41">
        <v>10725000</v>
      </c>
      <c r="AC854" s="41">
        <f t="shared" si="557"/>
        <v>0</v>
      </c>
      <c r="AD854" s="70" t="s">
        <v>222</v>
      </c>
      <c r="AE854" s="24"/>
      <c r="AG854" s="5"/>
    </row>
    <row r="855" spans="1:33" s="1" customFormat="1" ht="10.5" x14ac:dyDescent="0.25">
      <c r="A855" s="49">
        <v>53</v>
      </c>
      <c r="B855" s="22" t="s">
        <v>1752</v>
      </c>
      <c r="C855" s="22" t="s">
        <v>417</v>
      </c>
      <c r="D855" s="51" t="s">
        <v>1215</v>
      </c>
      <c r="E855" s="24" t="s">
        <v>1219</v>
      </c>
      <c r="F855" s="24"/>
      <c r="G855" s="24" t="s">
        <v>194</v>
      </c>
      <c r="H855" s="24" t="s">
        <v>62</v>
      </c>
      <c r="I855" s="24">
        <v>2011</v>
      </c>
      <c r="J855" s="24"/>
      <c r="K855" s="24" t="s">
        <v>63</v>
      </c>
      <c r="L855" s="24" t="s">
        <v>64</v>
      </c>
      <c r="M855" s="24">
        <v>1</v>
      </c>
      <c r="N855" s="41">
        <f t="shared" si="564"/>
        <v>7450000</v>
      </c>
      <c r="O855" s="41">
        <v>7450000</v>
      </c>
      <c r="P855" s="24"/>
      <c r="Q855" s="24"/>
      <c r="R855" s="24"/>
      <c r="S855" s="41">
        <f t="shared" si="553"/>
        <v>7450000</v>
      </c>
      <c r="T855" s="24">
        <v>5</v>
      </c>
      <c r="U855" s="41"/>
      <c r="V855" s="24">
        <v>0.5</v>
      </c>
      <c r="W855" s="41">
        <f t="shared" si="565"/>
        <v>0</v>
      </c>
      <c r="X855" s="24"/>
      <c r="Y855" s="41">
        <f t="shared" si="555"/>
        <v>0</v>
      </c>
      <c r="Z855" s="41">
        <f t="shared" si="556"/>
        <v>0</v>
      </c>
      <c r="AA855" s="24">
        <v>5</v>
      </c>
      <c r="AB855" s="41">
        <v>7450000</v>
      </c>
      <c r="AC855" s="41">
        <f t="shared" si="557"/>
        <v>0</v>
      </c>
      <c r="AD855" s="70" t="s">
        <v>320</v>
      </c>
      <c r="AE855" s="24"/>
      <c r="AG855" s="5"/>
    </row>
    <row r="856" spans="1:33" s="1" customFormat="1" ht="10.5" x14ac:dyDescent="0.25">
      <c r="A856" s="49">
        <v>54</v>
      </c>
      <c r="B856" s="22" t="s">
        <v>1752</v>
      </c>
      <c r="C856" s="22" t="s">
        <v>1028</v>
      </c>
      <c r="D856" s="51" t="s">
        <v>1215</v>
      </c>
      <c r="E856" s="24" t="s">
        <v>1219</v>
      </c>
      <c r="F856" s="24"/>
      <c r="G856" s="24" t="s">
        <v>194</v>
      </c>
      <c r="H856" s="24" t="s">
        <v>62</v>
      </c>
      <c r="I856" s="24">
        <v>2011</v>
      </c>
      <c r="J856" s="24"/>
      <c r="K856" s="24" t="s">
        <v>63</v>
      </c>
      <c r="L856" s="24" t="s">
        <v>64</v>
      </c>
      <c r="M856" s="24">
        <v>1</v>
      </c>
      <c r="N856" s="41">
        <f t="shared" si="564"/>
        <v>7450000</v>
      </c>
      <c r="O856" s="41">
        <v>7450000</v>
      </c>
      <c r="P856" s="24"/>
      <c r="Q856" s="24"/>
      <c r="R856" s="24"/>
      <c r="S856" s="41">
        <f t="shared" si="553"/>
        <v>7450000</v>
      </c>
      <c r="T856" s="24">
        <v>5</v>
      </c>
      <c r="U856" s="41"/>
      <c r="V856" s="24">
        <v>0.5</v>
      </c>
      <c r="W856" s="41">
        <f t="shared" si="565"/>
        <v>0</v>
      </c>
      <c r="X856" s="24"/>
      <c r="Y856" s="41">
        <f t="shared" si="555"/>
        <v>0</v>
      </c>
      <c r="Z856" s="41">
        <f t="shared" si="556"/>
        <v>0</v>
      </c>
      <c r="AA856" s="24">
        <v>5</v>
      </c>
      <c r="AB856" s="41">
        <v>7450000</v>
      </c>
      <c r="AC856" s="41">
        <f t="shared" si="557"/>
        <v>0</v>
      </c>
      <c r="AD856" s="70" t="s">
        <v>222</v>
      </c>
      <c r="AE856" s="24"/>
      <c r="AG856" s="5"/>
    </row>
    <row r="857" spans="1:33" s="1" customFormat="1" ht="10.5" x14ac:dyDescent="0.25">
      <c r="A857" s="49">
        <v>55</v>
      </c>
      <c r="B857" s="22" t="s">
        <v>1752</v>
      </c>
      <c r="C857" s="22" t="s">
        <v>1029</v>
      </c>
      <c r="D857" s="51" t="s">
        <v>1215</v>
      </c>
      <c r="E857" s="24" t="s">
        <v>1219</v>
      </c>
      <c r="F857" s="24"/>
      <c r="G857" s="24" t="s">
        <v>194</v>
      </c>
      <c r="H857" s="24" t="s">
        <v>62</v>
      </c>
      <c r="I857" s="24">
        <v>2011</v>
      </c>
      <c r="J857" s="24"/>
      <c r="K857" s="24" t="s">
        <v>63</v>
      </c>
      <c r="L857" s="24" t="s">
        <v>64</v>
      </c>
      <c r="M857" s="24">
        <v>1</v>
      </c>
      <c r="N857" s="41">
        <f t="shared" si="564"/>
        <v>7450000</v>
      </c>
      <c r="O857" s="41">
        <v>7450000</v>
      </c>
      <c r="P857" s="24"/>
      <c r="Q857" s="24"/>
      <c r="R857" s="24"/>
      <c r="S857" s="41">
        <f t="shared" si="553"/>
        <v>7450000</v>
      </c>
      <c r="T857" s="24">
        <v>5</v>
      </c>
      <c r="U857" s="41"/>
      <c r="V857" s="24">
        <v>0.5</v>
      </c>
      <c r="W857" s="41">
        <f t="shared" si="565"/>
        <v>0</v>
      </c>
      <c r="X857" s="24"/>
      <c r="Y857" s="41">
        <f t="shared" si="555"/>
        <v>0</v>
      </c>
      <c r="Z857" s="41">
        <f t="shared" si="556"/>
        <v>0</v>
      </c>
      <c r="AA857" s="24">
        <v>5</v>
      </c>
      <c r="AB857" s="41">
        <v>7450000</v>
      </c>
      <c r="AC857" s="41">
        <f t="shared" si="557"/>
        <v>0</v>
      </c>
      <c r="AD857" s="70" t="s">
        <v>217</v>
      </c>
      <c r="AE857" s="24"/>
      <c r="AG857" s="5"/>
    </row>
    <row r="858" spans="1:33" s="1" customFormat="1" ht="10.5" x14ac:dyDescent="0.25">
      <c r="A858" s="49">
        <v>56</v>
      </c>
      <c r="B858" s="22" t="s">
        <v>1752</v>
      </c>
      <c r="C858" s="22" t="s">
        <v>1030</v>
      </c>
      <c r="D858" s="51" t="s">
        <v>1215</v>
      </c>
      <c r="E858" s="24" t="s">
        <v>1219</v>
      </c>
      <c r="F858" s="24"/>
      <c r="G858" s="24" t="s">
        <v>194</v>
      </c>
      <c r="H858" s="24" t="s">
        <v>62</v>
      </c>
      <c r="I858" s="24">
        <v>2011</v>
      </c>
      <c r="J858" s="24"/>
      <c r="K858" s="24" t="s">
        <v>63</v>
      </c>
      <c r="L858" s="24" t="s">
        <v>64</v>
      </c>
      <c r="M858" s="24">
        <v>1</v>
      </c>
      <c r="N858" s="41">
        <f t="shared" si="564"/>
        <v>7450000</v>
      </c>
      <c r="O858" s="41">
        <v>7450000</v>
      </c>
      <c r="P858" s="24"/>
      <c r="Q858" s="24"/>
      <c r="R858" s="24"/>
      <c r="S858" s="41">
        <f t="shared" si="553"/>
        <v>7450000</v>
      </c>
      <c r="T858" s="24">
        <v>5</v>
      </c>
      <c r="U858" s="41"/>
      <c r="V858" s="24">
        <v>0.5</v>
      </c>
      <c r="W858" s="41">
        <f t="shared" si="565"/>
        <v>0</v>
      </c>
      <c r="X858" s="24"/>
      <c r="Y858" s="41">
        <f t="shared" si="555"/>
        <v>0</v>
      </c>
      <c r="Z858" s="41">
        <f t="shared" si="556"/>
        <v>0</v>
      </c>
      <c r="AA858" s="24">
        <v>5</v>
      </c>
      <c r="AB858" s="41">
        <v>7450000</v>
      </c>
      <c r="AC858" s="41">
        <f t="shared" si="557"/>
        <v>0</v>
      </c>
      <c r="AD858" s="70" t="s">
        <v>1221</v>
      </c>
      <c r="AE858" s="24"/>
      <c r="AG858" s="5"/>
    </row>
    <row r="859" spans="1:33" s="1" customFormat="1" ht="10.5" x14ac:dyDescent="0.25">
      <c r="A859" s="49">
        <v>57</v>
      </c>
      <c r="B859" s="22" t="s">
        <v>1752</v>
      </c>
      <c r="C859" s="22" t="s">
        <v>1032</v>
      </c>
      <c r="D859" s="51" t="s">
        <v>1215</v>
      </c>
      <c r="E859" s="24" t="s">
        <v>1222</v>
      </c>
      <c r="F859" s="24"/>
      <c r="G859" s="24" t="s">
        <v>194</v>
      </c>
      <c r="H859" s="24" t="s">
        <v>62</v>
      </c>
      <c r="I859" s="24">
        <v>2012</v>
      </c>
      <c r="J859" s="24"/>
      <c r="K859" s="24" t="s">
        <v>63</v>
      </c>
      <c r="L859" s="24" t="s">
        <v>64</v>
      </c>
      <c r="M859" s="24">
        <v>1</v>
      </c>
      <c r="N859" s="41">
        <f t="shared" si="564"/>
        <v>8690000</v>
      </c>
      <c r="O859" s="41">
        <v>8690000</v>
      </c>
      <c r="P859" s="24"/>
      <c r="Q859" s="24"/>
      <c r="R859" s="24"/>
      <c r="S859" s="41">
        <f t="shared" si="553"/>
        <v>8690000</v>
      </c>
      <c r="T859" s="24">
        <v>5</v>
      </c>
      <c r="U859" s="41"/>
      <c r="V859" s="24">
        <v>0.5</v>
      </c>
      <c r="W859" s="41">
        <f t="shared" si="565"/>
        <v>0</v>
      </c>
      <c r="X859" s="24"/>
      <c r="Y859" s="41">
        <f t="shared" si="555"/>
        <v>0</v>
      </c>
      <c r="Z859" s="41">
        <f t="shared" si="556"/>
        <v>0</v>
      </c>
      <c r="AA859" s="24">
        <v>5</v>
      </c>
      <c r="AB859" s="41">
        <v>8690000</v>
      </c>
      <c r="AC859" s="41">
        <f t="shared" si="557"/>
        <v>0</v>
      </c>
      <c r="AD859" s="70" t="s">
        <v>324</v>
      </c>
      <c r="AE859" s="24"/>
      <c r="AG859" s="5"/>
    </row>
    <row r="860" spans="1:33" s="1" customFormat="1" ht="10.5" x14ac:dyDescent="0.25">
      <c r="A860" s="49">
        <v>58</v>
      </c>
      <c r="B860" s="22" t="s">
        <v>1752</v>
      </c>
      <c r="C860" s="22" t="s">
        <v>1212</v>
      </c>
      <c r="D860" s="51" t="s">
        <v>1215</v>
      </c>
      <c r="E860" s="24" t="s">
        <v>1222</v>
      </c>
      <c r="F860" s="24"/>
      <c r="G860" s="24" t="s">
        <v>194</v>
      </c>
      <c r="H860" s="24" t="s">
        <v>62</v>
      </c>
      <c r="I860" s="24">
        <v>2012</v>
      </c>
      <c r="J860" s="24"/>
      <c r="K860" s="24" t="s">
        <v>63</v>
      </c>
      <c r="L860" s="24" t="s">
        <v>64</v>
      </c>
      <c r="M860" s="24">
        <v>1</v>
      </c>
      <c r="N860" s="41">
        <f t="shared" si="564"/>
        <v>8690000</v>
      </c>
      <c r="O860" s="41">
        <v>8690000</v>
      </c>
      <c r="P860" s="24"/>
      <c r="Q860" s="24"/>
      <c r="R860" s="24"/>
      <c r="S860" s="41">
        <f t="shared" si="553"/>
        <v>8690000</v>
      </c>
      <c r="T860" s="24">
        <v>5</v>
      </c>
      <c r="U860" s="41"/>
      <c r="V860" s="24">
        <v>0.5</v>
      </c>
      <c r="W860" s="41">
        <f t="shared" si="565"/>
        <v>0</v>
      </c>
      <c r="X860" s="24"/>
      <c r="Y860" s="41">
        <f t="shared" si="555"/>
        <v>0</v>
      </c>
      <c r="Z860" s="41">
        <f t="shared" si="556"/>
        <v>0</v>
      </c>
      <c r="AA860" s="24">
        <v>5</v>
      </c>
      <c r="AB860" s="41">
        <v>8690000</v>
      </c>
      <c r="AC860" s="41">
        <f t="shared" si="557"/>
        <v>0</v>
      </c>
      <c r="AD860" s="70" t="s">
        <v>326</v>
      </c>
      <c r="AE860" s="24"/>
      <c r="AG860" s="5"/>
    </row>
    <row r="861" spans="1:33" s="1" customFormat="1" ht="10.5" x14ac:dyDescent="0.25">
      <c r="A861" s="49">
        <v>59</v>
      </c>
      <c r="B861" s="22" t="s">
        <v>1752</v>
      </c>
      <c r="C861" s="22" t="s">
        <v>791</v>
      </c>
      <c r="D861" s="51" t="s">
        <v>1215</v>
      </c>
      <c r="E861" s="24" t="s">
        <v>1222</v>
      </c>
      <c r="F861" s="24"/>
      <c r="G861" s="24" t="s">
        <v>194</v>
      </c>
      <c r="H861" s="24" t="s">
        <v>62</v>
      </c>
      <c r="I861" s="24">
        <v>2012</v>
      </c>
      <c r="J861" s="24"/>
      <c r="K861" s="24" t="s">
        <v>63</v>
      </c>
      <c r="L861" s="24" t="s">
        <v>64</v>
      </c>
      <c r="M861" s="24">
        <v>1</v>
      </c>
      <c r="N861" s="41">
        <f t="shared" si="564"/>
        <v>8690000</v>
      </c>
      <c r="O861" s="41">
        <v>8690000</v>
      </c>
      <c r="P861" s="24"/>
      <c r="Q861" s="24"/>
      <c r="R861" s="24"/>
      <c r="S861" s="41">
        <f t="shared" si="553"/>
        <v>8690000</v>
      </c>
      <c r="T861" s="24">
        <v>5</v>
      </c>
      <c r="U861" s="41"/>
      <c r="V861" s="24">
        <v>0.5</v>
      </c>
      <c r="W861" s="41">
        <f t="shared" si="565"/>
        <v>0</v>
      </c>
      <c r="X861" s="24"/>
      <c r="Y861" s="41">
        <f t="shared" si="555"/>
        <v>0</v>
      </c>
      <c r="Z861" s="41">
        <f t="shared" si="556"/>
        <v>0</v>
      </c>
      <c r="AA861" s="24">
        <v>5</v>
      </c>
      <c r="AB861" s="41">
        <v>8690000</v>
      </c>
      <c r="AC861" s="41">
        <f t="shared" si="557"/>
        <v>0</v>
      </c>
      <c r="AD861" s="70" t="s">
        <v>1223</v>
      </c>
      <c r="AE861" s="24"/>
      <c r="AG861" s="5"/>
    </row>
    <row r="862" spans="1:33" s="1" customFormat="1" ht="10.5" x14ac:dyDescent="0.25">
      <c r="A862" s="49">
        <v>60</v>
      </c>
      <c r="B862" s="22" t="s">
        <v>1752</v>
      </c>
      <c r="C862" s="22" t="s">
        <v>420</v>
      </c>
      <c r="D862" s="51" t="s">
        <v>1215</v>
      </c>
      <c r="E862" s="24" t="s">
        <v>1222</v>
      </c>
      <c r="F862" s="24"/>
      <c r="G862" s="24" t="s">
        <v>194</v>
      </c>
      <c r="H862" s="24" t="s">
        <v>62</v>
      </c>
      <c r="I862" s="24">
        <v>2013</v>
      </c>
      <c r="J862" s="24"/>
      <c r="K862" s="24" t="s">
        <v>63</v>
      </c>
      <c r="L862" s="24" t="s">
        <v>64</v>
      </c>
      <c r="M862" s="24">
        <v>1</v>
      </c>
      <c r="N862" s="41">
        <f t="shared" si="564"/>
        <v>8000000</v>
      </c>
      <c r="O862" s="41">
        <v>8000000</v>
      </c>
      <c r="P862" s="24"/>
      <c r="Q862" s="24"/>
      <c r="R862" s="24"/>
      <c r="S862" s="41">
        <f t="shared" si="553"/>
        <v>8000000</v>
      </c>
      <c r="T862" s="24">
        <v>5</v>
      </c>
      <c r="U862" s="41"/>
      <c r="V862" s="24">
        <v>0.5</v>
      </c>
      <c r="W862" s="41">
        <f t="shared" si="565"/>
        <v>0</v>
      </c>
      <c r="X862" s="24"/>
      <c r="Y862" s="41">
        <f t="shared" si="555"/>
        <v>0</v>
      </c>
      <c r="Z862" s="41">
        <f t="shared" si="556"/>
        <v>0</v>
      </c>
      <c r="AA862" s="24">
        <v>5</v>
      </c>
      <c r="AB862" s="41">
        <v>8000000</v>
      </c>
      <c r="AC862" s="41">
        <f t="shared" si="557"/>
        <v>0</v>
      </c>
      <c r="AD862" s="70" t="s">
        <v>540</v>
      </c>
      <c r="AE862" s="24"/>
      <c r="AG862" s="5"/>
    </row>
    <row r="863" spans="1:33" s="1" customFormat="1" ht="10.5" x14ac:dyDescent="0.25">
      <c r="A863" s="49">
        <v>61</v>
      </c>
      <c r="B863" s="22" t="s">
        <v>1752</v>
      </c>
      <c r="C863" s="22" t="s">
        <v>1224</v>
      </c>
      <c r="D863" s="51" t="s">
        <v>1215</v>
      </c>
      <c r="E863" s="24" t="s">
        <v>1225</v>
      </c>
      <c r="F863" s="24"/>
      <c r="G863" s="24" t="s">
        <v>194</v>
      </c>
      <c r="H863" s="24" t="s">
        <v>62</v>
      </c>
      <c r="I863" s="24">
        <v>2014</v>
      </c>
      <c r="J863" s="24"/>
      <c r="K863" s="24" t="s">
        <v>63</v>
      </c>
      <c r="L863" s="24" t="s">
        <v>64</v>
      </c>
      <c r="M863" s="24">
        <v>1</v>
      </c>
      <c r="N863" s="41">
        <f t="shared" si="564"/>
        <v>11998800</v>
      </c>
      <c r="O863" s="41">
        <v>11998800</v>
      </c>
      <c r="P863" s="24"/>
      <c r="Q863" s="24"/>
      <c r="R863" s="24"/>
      <c r="S863" s="41">
        <f t="shared" si="553"/>
        <v>11998800</v>
      </c>
      <c r="T863" s="24">
        <v>5</v>
      </c>
      <c r="U863" s="41"/>
      <c r="V863" s="24">
        <v>0.5</v>
      </c>
      <c r="W863" s="41">
        <f t="shared" si="565"/>
        <v>0</v>
      </c>
      <c r="X863" s="24"/>
      <c r="Y863" s="41">
        <f t="shared" si="555"/>
        <v>0</v>
      </c>
      <c r="Z863" s="41">
        <f t="shared" si="556"/>
        <v>0</v>
      </c>
      <c r="AA863" s="24">
        <v>5</v>
      </c>
      <c r="AB863" s="41">
        <v>11998800</v>
      </c>
      <c r="AC863" s="41">
        <f t="shared" si="557"/>
        <v>0</v>
      </c>
      <c r="AD863" s="70" t="s">
        <v>320</v>
      </c>
      <c r="AE863" s="24"/>
      <c r="AG863" s="5"/>
    </row>
    <row r="864" spans="1:33" s="1" customFormat="1" ht="10.5" x14ac:dyDescent="0.25">
      <c r="A864" s="49">
        <v>62</v>
      </c>
      <c r="B864" s="22" t="s">
        <v>1752</v>
      </c>
      <c r="C864" s="22" t="s">
        <v>1226</v>
      </c>
      <c r="D864" s="51" t="s">
        <v>1215</v>
      </c>
      <c r="E864" s="24" t="s">
        <v>1225</v>
      </c>
      <c r="F864" s="24"/>
      <c r="G864" s="24" t="s">
        <v>194</v>
      </c>
      <c r="H864" s="24" t="s">
        <v>62</v>
      </c>
      <c r="I864" s="24">
        <v>2014</v>
      </c>
      <c r="J864" s="24"/>
      <c r="K864" s="24" t="s">
        <v>63</v>
      </c>
      <c r="L864" s="24" t="s">
        <v>64</v>
      </c>
      <c r="M864" s="24">
        <v>1</v>
      </c>
      <c r="N864" s="41">
        <f t="shared" si="564"/>
        <v>11998800</v>
      </c>
      <c r="O864" s="41">
        <v>11998800</v>
      </c>
      <c r="P864" s="24"/>
      <c r="Q864" s="24"/>
      <c r="R864" s="24"/>
      <c r="S864" s="41">
        <f t="shared" si="553"/>
        <v>11998800</v>
      </c>
      <c r="T864" s="24">
        <v>5</v>
      </c>
      <c r="U864" s="41"/>
      <c r="V864" s="24">
        <v>0.5</v>
      </c>
      <c r="W864" s="41">
        <f t="shared" si="565"/>
        <v>0</v>
      </c>
      <c r="X864" s="24"/>
      <c r="Y864" s="41">
        <f t="shared" si="555"/>
        <v>0</v>
      </c>
      <c r="Z864" s="41">
        <f t="shared" si="556"/>
        <v>0</v>
      </c>
      <c r="AA864" s="24">
        <v>5</v>
      </c>
      <c r="AB864" s="41">
        <v>11998800</v>
      </c>
      <c r="AC864" s="41">
        <f t="shared" si="557"/>
        <v>0</v>
      </c>
      <c r="AD864" s="70" t="s">
        <v>276</v>
      </c>
      <c r="AE864" s="24"/>
      <c r="AG864" s="5"/>
    </row>
    <row r="865" spans="1:33" s="1" customFormat="1" ht="10.5" x14ac:dyDescent="0.25">
      <c r="A865" s="49">
        <v>63</v>
      </c>
      <c r="B865" s="22" t="s">
        <v>1752</v>
      </c>
      <c r="C865" s="22" t="s">
        <v>1227</v>
      </c>
      <c r="D865" s="51" t="s">
        <v>1215</v>
      </c>
      <c r="E865" s="24" t="s">
        <v>1225</v>
      </c>
      <c r="F865" s="24"/>
      <c r="G865" s="24" t="s">
        <v>194</v>
      </c>
      <c r="H865" s="24" t="s">
        <v>62</v>
      </c>
      <c r="I865" s="24">
        <v>2014</v>
      </c>
      <c r="J865" s="24"/>
      <c r="K865" s="24" t="s">
        <v>63</v>
      </c>
      <c r="L865" s="24" t="s">
        <v>64</v>
      </c>
      <c r="M865" s="24">
        <v>2</v>
      </c>
      <c r="N865" s="41">
        <f t="shared" si="564"/>
        <v>11998800</v>
      </c>
      <c r="O865" s="41">
        <v>23997600</v>
      </c>
      <c r="P865" s="24"/>
      <c r="Q865" s="24"/>
      <c r="R865" s="24"/>
      <c r="S865" s="41">
        <f t="shared" si="553"/>
        <v>23997600</v>
      </c>
      <c r="T865" s="24">
        <v>5</v>
      </c>
      <c r="U865" s="41"/>
      <c r="V865" s="24">
        <v>0.5</v>
      </c>
      <c r="W865" s="41">
        <f t="shared" si="565"/>
        <v>0</v>
      </c>
      <c r="X865" s="24"/>
      <c r="Y865" s="41">
        <f t="shared" si="555"/>
        <v>0</v>
      </c>
      <c r="Z865" s="41">
        <f t="shared" si="556"/>
        <v>0</v>
      </c>
      <c r="AA865" s="24">
        <v>5</v>
      </c>
      <c r="AB865" s="41">
        <v>23997600</v>
      </c>
      <c r="AC865" s="41">
        <f t="shared" si="557"/>
        <v>0</v>
      </c>
      <c r="AD865" s="70" t="s">
        <v>208</v>
      </c>
      <c r="AE865" s="24"/>
      <c r="AG865" s="5"/>
    </row>
    <row r="866" spans="1:33" s="1" customFormat="1" ht="10.5" x14ac:dyDescent="0.25">
      <c r="A866" s="49">
        <v>64</v>
      </c>
      <c r="B866" s="22" t="s">
        <v>1752</v>
      </c>
      <c r="C866" s="22" t="s">
        <v>1228</v>
      </c>
      <c r="D866" s="51" t="s">
        <v>1215</v>
      </c>
      <c r="E866" s="24" t="s">
        <v>1225</v>
      </c>
      <c r="F866" s="24"/>
      <c r="G866" s="24" t="s">
        <v>194</v>
      </c>
      <c r="H866" s="24" t="s">
        <v>62</v>
      </c>
      <c r="I866" s="24">
        <v>2014</v>
      </c>
      <c r="J866" s="24"/>
      <c r="K866" s="24" t="s">
        <v>63</v>
      </c>
      <c r="L866" s="24" t="s">
        <v>64</v>
      </c>
      <c r="M866" s="24">
        <v>11</v>
      </c>
      <c r="N866" s="41">
        <f t="shared" si="564"/>
        <v>11998800</v>
      </c>
      <c r="O866" s="41">
        <v>131986800</v>
      </c>
      <c r="P866" s="24"/>
      <c r="Q866" s="24"/>
      <c r="R866" s="24"/>
      <c r="S866" s="41">
        <f t="shared" si="553"/>
        <v>131986800</v>
      </c>
      <c r="T866" s="24">
        <v>5</v>
      </c>
      <c r="U866" s="41"/>
      <c r="V866" s="24">
        <v>0.5</v>
      </c>
      <c r="W866" s="41">
        <f t="shared" si="565"/>
        <v>0</v>
      </c>
      <c r="X866" s="24"/>
      <c r="Y866" s="41">
        <f t="shared" si="555"/>
        <v>0</v>
      </c>
      <c r="Z866" s="41">
        <f t="shared" si="556"/>
        <v>0</v>
      </c>
      <c r="AA866" s="24">
        <v>5</v>
      </c>
      <c r="AB866" s="41">
        <v>131986800</v>
      </c>
      <c r="AC866" s="41">
        <f t="shared" si="557"/>
        <v>0</v>
      </c>
      <c r="AD866" s="70" t="s">
        <v>250</v>
      </c>
      <c r="AE866" s="24"/>
      <c r="AG866" s="5"/>
    </row>
    <row r="867" spans="1:33" s="1" customFormat="1" ht="10.5" x14ac:dyDescent="0.25">
      <c r="A867" s="49">
        <v>65</v>
      </c>
      <c r="B867" s="22" t="s">
        <v>1752</v>
      </c>
      <c r="C867" s="22" t="s">
        <v>435</v>
      </c>
      <c r="D867" s="51" t="s">
        <v>1215</v>
      </c>
      <c r="E867" s="24" t="s">
        <v>1187</v>
      </c>
      <c r="F867" s="24"/>
      <c r="G867" s="24" t="s">
        <v>194</v>
      </c>
      <c r="H867" s="24" t="s">
        <v>62</v>
      </c>
      <c r="I867" s="24">
        <v>2017</v>
      </c>
      <c r="J867" s="24"/>
      <c r="K867" s="24" t="s">
        <v>63</v>
      </c>
      <c r="L867" s="24" t="s">
        <v>64</v>
      </c>
      <c r="M867" s="24">
        <v>1</v>
      </c>
      <c r="N867" s="41">
        <f t="shared" si="564"/>
        <v>10593000</v>
      </c>
      <c r="O867" s="41">
        <v>10593000</v>
      </c>
      <c r="P867" s="24"/>
      <c r="Q867" s="24"/>
      <c r="R867" s="24"/>
      <c r="S867" s="41">
        <f t="shared" si="553"/>
        <v>10593000</v>
      </c>
      <c r="T867" s="24">
        <v>5</v>
      </c>
      <c r="U867" s="41">
        <f t="shared" ref="U867:U879" si="566">SUM(S867/T867)</f>
        <v>2118600</v>
      </c>
      <c r="V867" s="24">
        <v>0.5</v>
      </c>
      <c r="W867" s="41">
        <f>SUM(U867*V867)-882750</f>
        <v>176550</v>
      </c>
      <c r="X867" s="24"/>
      <c r="Y867" s="41">
        <f t="shared" si="555"/>
        <v>0</v>
      </c>
      <c r="Z867" s="41">
        <f t="shared" si="556"/>
        <v>176550</v>
      </c>
      <c r="AA867" s="72">
        <f>2022-I867+V867+X867-1/12-5/12</f>
        <v>5</v>
      </c>
      <c r="AB867" s="41">
        <f t="shared" ref="AB867:AB876" si="567">SUM(U867*AA867)</f>
        <v>10593000</v>
      </c>
      <c r="AC867" s="41">
        <f t="shared" si="557"/>
        <v>0</v>
      </c>
      <c r="AD867" s="70" t="s">
        <v>434</v>
      </c>
      <c r="AE867" s="24"/>
      <c r="AG867" s="5"/>
    </row>
    <row r="868" spans="1:33" s="1" customFormat="1" ht="10.5" x14ac:dyDescent="0.25">
      <c r="A868" s="49">
        <v>66</v>
      </c>
      <c r="B868" s="22" t="s">
        <v>1752</v>
      </c>
      <c r="C868" s="22" t="s">
        <v>436</v>
      </c>
      <c r="D868" s="51" t="s">
        <v>1215</v>
      </c>
      <c r="E868" s="24" t="s">
        <v>1187</v>
      </c>
      <c r="F868" s="24"/>
      <c r="G868" s="24" t="s">
        <v>194</v>
      </c>
      <c r="H868" s="24" t="s">
        <v>62</v>
      </c>
      <c r="I868" s="24">
        <v>2017</v>
      </c>
      <c r="J868" s="24"/>
      <c r="K868" s="24" t="s">
        <v>63</v>
      </c>
      <c r="L868" s="24" t="s">
        <v>64</v>
      </c>
      <c r="M868" s="24">
        <v>1</v>
      </c>
      <c r="N868" s="41">
        <f t="shared" si="564"/>
        <v>10593000</v>
      </c>
      <c r="O868" s="41">
        <v>10593000</v>
      </c>
      <c r="P868" s="24"/>
      <c r="Q868" s="24"/>
      <c r="R868" s="24"/>
      <c r="S868" s="41">
        <f t="shared" si="553"/>
        <v>10593000</v>
      </c>
      <c r="T868" s="24">
        <v>5</v>
      </c>
      <c r="U868" s="41">
        <f t="shared" si="566"/>
        <v>2118600</v>
      </c>
      <c r="V868" s="24">
        <v>0.5</v>
      </c>
      <c r="W868" s="41">
        <f t="shared" ref="W868:W870" si="568">SUM(U868*V868)-882750</f>
        <v>176550</v>
      </c>
      <c r="X868" s="24"/>
      <c r="Y868" s="41">
        <f t="shared" si="555"/>
        <v>0</v>
      </c>
      <c r="Z868" s="41">
        <f t="shared" si="556"/>
        <v>176550</v>
      </c>
      <c r="AA868" s="72">
        <f t="shared" ref="AA868:AA870" si="569">2022-I868+V868+X868-1/12-5/12</f>
        <v>5</v>
      </c>
      <c r="AB868" s="41">
        <f t="shared" si="567"/>
        <v>10593000</v>
      </c>
      <c r="AC868" s="41">
        <f t="shared" si="557"/>
        <v>0</v>
      </c>
      <c r="AD868" s="70" t="s">
        <v>439</v>
      </c>
      <c r="AE868" s="24"/>
      <c r="AG868" s="5"/>
    </row>
    <row r="869" spans="1:33" s="1" customFormat="1" ht="10.5" x14ac:dyDescent="0.25">
      <c r="A869" s="49">
        <v>67</v>
      </c>
      <c r="B869" s="22" t="s">
        <v>1752</v>
      </c>
      <c r="C869" s="22" t="s">
        <v>437</v>
      </c>
      <c r="D869" s="51" t="s">
        <v>1215</v>
      </c>
      <c r="E869" s="24" t="s">
        <v>1187</v>
      </c>
      <c r="F869" s="24"/>
      <c r="G869" s="24" t="s">
        <v>194</v>
      </c>
      <c r="H869" s="24" t="s">
        <v>62</v>
      </c>
      <c r="I869" s="24">
        <v>2017</v>
      </c>
      <c r="J869" s="24"/>
      <c r="K869" s="24" t="s">
        <v>63</v>
      </c>
      <c r="L869" s="24" t="s">
        <v>64</v>
      </c>
      <c r="M869" s="24">
        <v>1</v>
      </c>
      <c r="N869" s="41">
        <f t="shared" si="564"/>
        <v>10593000</v>
      </c>
      <c r="O869" s="41">
        <v>10593000</v>
      </c>
      <c r="P869" s="24"/>
      <c r="Q869" s="24"/>
      <c r="R869" s="24"/>
      <c r="S869" s="41">
        <f t="shared" si="553"/>
        <v>10593000</v>
      </c>
      <c r="T869" s="24">
        <v>5</v>
      </c>
      <c r="U869" s="41">
        <f t="shared" si="566"/>
        <v>2118600</v>
      </c>
      <c r="V869" s="24">
        <v>0.5</v>
      </c>
      <c r="W869" s="41">
        <f t="shared" si="568"/>
        <v>176550</v>
      </c>
      <c r="X869" s="24"/>
      <c r="Y869" s="41">
        <f t="shared" si="555"/>
        <v>0</v>
      </c>
      <c r="Z869" s="41">
        <f t="shared" si="556"/>
        <v>176550</v>
      </c>
      <c r="AA869" s="72">
        <f t="shared" si="569"/>
        <v>5</v>
      </c>
      <c r="AB869" s="41">
        <f t="shared" si="567"/>
        <v>10593000</v>
      </c>
      <c r="AC869" s="41">
        <f t="shared" si="557"/>
        <v>0</v>
      </c>
      <c r="AD869" s="70" t="s">
        <v>326</v>
      </c>
      <c r="AE869" s="24"/>
      <c r="AG869" s="5"/>
    </row>
    <row r="870" spans="1:33" s="1" customFormat="1" ht="10.5" x14ac:dyDescent="0.25">
      <c r="A870" s="49">
        <v>68</v>
      </c>
      <c r="B870" s="22" t="s">
        <v>1752</v>
      </c>
      <c r="C870" s="22" t="s">
        <v>438</v>
      </c>
      <c r="D870" s="51" t="s">
        <v>1215</v>
      </c>
      <c r="E870" s="24" t="s">
        <v>1187</v>
      </c>
      <c r="F870" s="24"/>
      <c r="G870" s="24" t="s">
        <v>194</v>
      </c>
      <c r="H870" s="24" t="s">
        <v>62</v>
      </c>
      <c r="I870" s="24">
        <v>2017</v>
      </c>
      <c r="J870" s="24"/>
      <c r="K870" s="24" t="s">
        <v>63</v>
      </c>
      <c r="L870" s="24" t="s">
        <v>64</v>
      </c>
      <c r="M870" s="24">
        <v>1</v>
      </c>
      <c r="N870" s="41">
        <f t="shared" si="564"/>
        <v>10593000</v>
      </c>
      <c r="O870" s="41">
        <v>10593000</v>
      </c>
      <c r="P870" s="24"/>
      <c r="Q870" s="24"/>
      <c r="R870" s="24"/>
      <c r="S870" s="41">
        <f t="shared" si="553"/>
        <v>10593000</v>
      </c>
      <c r="T870" s="24">
        <v>5</v>
      </c>
      <c r="U870" s="41">
        <f t="shared" si="566"/>
        <v>2118600</v>
      </c>
      <c r="V870" s="24">
        <v>0.5</v>
      </c>
      <c r="W870" s="41">
        <f t="shared" si="568"/>
        <v>176550</v>
      </c>
      <c r="X870" s="24"/>
      <c r="Y870" s="41">
        <f t="shared" si="555"/>
        <v>0</v>
      </c>
      <c r="Z870" s="41">
        <f t="shared" si="556"/>
        <v>176550</v>
      </c>
      <c r="AA870" s="72">
        <f t="shared" si="569"/>
        <v>5</v>
      </c>
      <c r="AB870" s="41">
        <f t="shared" si="567"/>
        <v>10593000</v>
      </c>
      <c r="AC870" s="41">
        <f t="shared" si="557"/>
        <v>0</v>
      </c>
      <c r="AD870" s="70" t="s">
        <v>324</v>
      </c>
      <c r="AE870" s="24"/>
      <c r="AG870" s="5"/>
    </row>
    <row r="871" spans="1:33" s="1" customFormat="1" ht="10.5" x14ac:dyDescent="0.25">
      <c r="A871" s="49">
        <v>69</v>
      </c>
      <c r="B871" s="22" t="s">
        <v>1752</v>
      </c>
      <c r="C871" s="22" t="s">
        <v>1229</v>
      </c>
      <c r="D871" s="51" t="s">
        <v>1215</v>
      </c>
      <c r="E871" s="24" t="s">
        <v>1230</v>
      </c>
      <c r="F871" s="24"/>
      <c r="G871" s="24" t="s">
        <v>194</v>
      </c>
      <c r="H871" s="24" t="s">
        <v>62</v>
      </c>
      <c r="I871" s="24">
        <v>2017</v>
      </c>
      <c r="J871" s="24"/>
      <c r="K871" s="24" t="s">
        <v>63</v>
      </c>
      <c r="L871" s="24" t="s">
        <v>64</v>
      </c>
      <c r="M871" s="24">
        <v>2</v>
      </c>
      <c r="N871" s="41">
        <f t="shared" si="564"/>
        <v>10780000</v>
      </c>
      <c r="O871" s="41">
        <v>21560000</v>
      </c>
      <c r="P871" s="24"/>
      <c r="Q871" s="24"/>
      <c r="R871" s="24"/>
      <c r="S871" s="41">
        <f t="shared" si="553"/>
        <v>21560000</v>
      </c>
      <c r="T871" s="24">
        <v>5</v>
      </c>
      <c r="U871" s="41">
        <f t="shared" si="566"/>
        <v>4312000</v>
      </c>
      <c r="V871" s="24">
        <v>0.5</v>
      </c>
      <c r="W871" s="41">
        <f t="shared" si="565"/>
        <v>2156000</v>
      </c>
      <c r="X871" s="24">
        <v>0.5</v>
      </c>
      <c r="Y871" s="41">
        <f>SUM(U871*X871)-359333.33333333</f>
        <v>1796666.66666667</v>
      </c>
      <c r="Z871" s="41">
        <f t="shared" si="556"/>
        <v>3952666.6666666698</v>
      </c>
      <c r="AA871" s="72">
        <f>2022-I871+V871+X871-11/12-1/12</f>
        <v>5</v>
      </c>
      <c r="AB871" s="41">
        <f t="shared" si="567"/>
        <v>21560000</v>
      </c>
      <c r="AC871" s="41">
        <f t="shared" si="557"/>
        <v>0</v>
      </c>
      <c r="AD871" s="70" t="s">
        <v>213</v>
      </c>
      <c r="AE871" s="24"/>
      <c r="AG871" s="5"/>
    </row>
    <row r="872" spans="1:33" s="1" customFormat="1" ht="10.5" x14ac:dyDescent="0.25">
      <c r="A872" s="49">
        <v>70</v>
      </c>
      <c r="B872" s="22" t="s">
        <v>1752</v>
      </c>
      <c r="C872" s="22" t="s">
        <v>442</v>
      </c>
      <c r="D872" s="51" t="s">
        <v>1215</v>
      </c>
      <c r="E872" s="24" t="s">
        <v>1230</v>
      </c>
      <c r="F872" s="24"/>
      <c r="G872" s="24" t="s">
        <v>194</v>
      </c>
      <c r="H872" s="24" t="s">
        <v>62</v>
      </c>
      <c r="I872" s="24">
        <v>2017</v>
      </c>
      <c r="J872" s="24"/>
      <c r="K872" s="24" t="s">
        <v>63</v>
      </c>
      <c r="L872" s="24" t="s">
        <v>64</v>
      </c>
      <c r="M872" s="24">
        <v>1</v>
      </c>
      <c r="N872" s="41">
        <f t="shared" si="564"/>
        <v>10780000</v>
      </c>
      <c r="O872" s="41">
        <v>10780000</v>
      </c>
      <c r="P872" s="24"/>
      <c r="Q872" s="24"/>
      <c r="R872" s="24"/>
      <c r="S872" s="41">
        <f t="shared" si="553"/>
        <v>10780000</v>
      </c>
      <c r="T872" s="24">
        <v>5</v>
      </c>
      <c r="U872" s="41">
        <f t="shared" si="566"/>
        <v>2156000</v>
      </c>
      <c r="V872" s="24">
        <v>0.5</v>
      </c>
      <c r="W872" s="41">
        <f t="shared" si="565"/>
        <v>1078000</v>
      </c>
      <c r="X872" s="24">
        <v>0.5</v>
      </c>
      <c r="Y872" s="41">
        <f>SUM(U872*X872)-179666.666666666</f>
        <v>898333.33333333395</v>
      </c>
      <c r="Z872" s="41">
        <f t="shared" si="556"/>
        <v>1976333.333333334</v>
      </c>
      <c r="AA872" s="72">
        <f>2022-I872+V872+X872-11/12-1/12</f>
        <v>5</v>
      </c>
      <c r="AB872" s="41">
        <f t="shared" si="567"/>
        <v>10780000</v>
      </c>
      <c r="AC872" s="41">
        <f t="shared" si="557"/>
        <v>0</v>
      </c>
      <c r="AD872" s="70" t="s">
        <v>276</v>
      </c>
      <c r="AE872" s="24"/>
      <c r="AG872" s="5"/>
    </row>
    <row r="873" spans="1:33" s="1" customFormat="1" ht="10.5" x14ac:dyDescent="0.25">
      <c r="A873" s="49">
        <v>71</v>
      </c>
      <c r="B873" s="22" t="s">
        <v>1752</v>
      </c>
      <c r="C873" s="22" t="s">
        <v>443</v>
      </c>
      <c r="D873" s="51" t="s">
        <v>1215</v>
      </c>
      <c r="E873" s="24" t="s">
        <v>1230</v>
      </c>
      <c r="F873" s="24"/>
      <c r="G873" s="24" t="s">
        <v>194</v>
      </c>
      <c r="H873" s="24" t="s">
        <v>62</v>
      </c>
      <c r="I873" s="24">
        <v>2017</v>
      </c>
      <c r="J873" s="24"/>
      <c r="K873" s="24" t="s">
        <v>63</v>
      </c>
      <c r="L873" s="24" t="s">
        <v>64</v>
      </c>
      <c r="M873" s="24">
        <v>1</v>
      </c>
      <c r="N873" s="41">
        <f t="shared" si="564"/>
        <v>10780000</v>
      </c>
      <c r="O873" s="41">
        <v>10780000</v>
      </c>
      <c r="P873" s="24"/>
      <c r="Q873" s="24"/>
      <c r="R873" s="24"/>
      <c r="S873" s="41">
        <f t="shared" si="553"/>
        <v>10780000</v>
      </c>
      <c r="T873" s="24">
        <v>5</v>
      </c>
      <c r="U873" s="41">
        <f t="shared" si="566"/>
        <v>2156000</v>
      </c>
      <c r="V873" s="24">
        <v>0.5</v>
      </c>
      <c r="W873" s="41">
        <f t="shared" si="565"/>
        <v>1078000</v>
      </c>
      <c r="X873" s="24">
        <v>0.5</v>
      </c>
      <c r="Y873" s="41">
        <f>SUM(U873*X873)-179666.666666666</f>
        <v>898333.33333333395</v>
      </c>
      <c r="Z873" s="41">
        <f t="shared" si="556"/>
        <v>1976333.333333334</v>
      </c>
      <c r="AA873" s="72">
        <f>2022-I873+V873+X873-11/12-1/12</f>
        <v>5</v>
      </c>
      <c r="AB873" s="41">
        <f t="shared" si="567"/>
        <v>10780000</v>
      </c>
      <c r="AC873" s="41">
        <f t="shared" si="557"/>
        <v>0</v>
      </c>
      <c r="AD873" s="70" t="s">
        <v>226</v>
      </c>
      <c r="AE873" s="24"/>
      <c r="AG873" s="5"/>
    </row>
    <row r="874" spans="1:33" s="1" customFormat="1" ht="10.5" x14ac:dyDescent="0.25">
      <c r="A874" s="49">
        <v>72</v>
      </c>
      <c r="B874" s="22" t="s">
        <v>1752</v>
      </c>
      <c r="C874" s="22" t="s">
        <v>1231</v>
      </c>
      <c r="D874" s="51" t="s">
        <v>1215</v>
      </c>
      <c r="E874" s="24" t="s">
        <v>1232</v>
      </c>
      <c r="F874" s="24"/>
      <c r="G874" s="24" t="s">
        <v>194</v>
      </c>
      <c r="H874" s="24" t="s">
        <v>62</v>
      </c>
      <c r="I874" s="24">
        <v>2018</v>
      </c>
      <c r="J874" s="24"/>
      <c r="K874" s="24" t="s">
        <v>63</v>
      </c>
      <c r="L874" s="24" t="s">
        <v>64</v>
      </c>
      <c r="M874" s="24">
        <v>16</v>
      </c>
      <c r="N874" s="41">
        <f t="shared" si="564"/>
        <v>8900480</v>
      </c>
      <c r="O874" s="41">
        <v>142407680</v>
      </c>
      <c r="P874" s="24"/>
      <c r="Q874" s="24"/>
      <c r="R874" s="24"/>
      <c r="S874" s="41">
        <f t="shared" ref="S874:S879" si="570">SUM(O874-R874)</f>
        <v>142407680</v>
      </c>
      <c r="T874" s="24">
        <v>5</v>
      </c>
      <c r="U874" s="41">
        <f t="shared" si="566"/>
        <v>28481536</v>
      </c>
      <c r="V874" s="24">
        <v>0.5</v>
      </c>
      <c r="W874" s="41">
        <f t="shared" si="565"/>
        <v>14240768</v>
      </c>
      <c r="X874" s="24">
        <v>0.5</v>
      </c>
      <c r="Y874" s="41">
        <f t="shared" ref="Y874:Y876" si="571">SUM(U874*X874)</f>
        <v>14240768</v>
      </c>
      <c r="Z874" s="41">
        <f t="shared" ref="Z874:Z876" si="572">SUM(W874+Y874)</f>
        <v>28481536</v>
      </c>
      <c r="AA874" s="72">
        <f>2022-I874+V874+X874-8/12</f>
        <v>4.333333333333333</v>
      </c>
      <c r="AB874" s="41">
        <f t="shared" si="567"/>
        <v>123419989.33333333</v>
      </c>
      <c r="AC874" s="41">
        <f t="shared" ref="AC874:AC879" si="573">SUM(O874-AB874)</f>
        <v>18987690.666666672</v>
      </c>
      <c r="AD874" s="70" t="s">
        <v>213</v>
      </c>
      <c r="AE874" s="24"/>
      <c r="AG874" s="5"/>
    </row>
    <row r="875" spans="1:33" s="1" customFormat="1" ht="10.5" x14ac:dyDescent="0.25">
      <c r="A875" s="49">
        <v>73</v>
      </c>
      <c r="B875" s="22" t="s">
        <v>1752</v>
      </c>
      <c r="C875" s="73" t="s">
        <v>1233</v>
      </c>
      <c r="D875" s="51" t="s">
        <v>1215</v>
      </c>
      <c r="E875" s="52" t="s">
        <v>1234</v>
      </c>
      <c r="F875" s="52"/>
      <c r="G875" s="52" t="s">
        <v>194</v>
      </c>
      <c r="H875" s="52" t="s">
        <v>62</v>
      </c>
      <c r="I875" s="52">
        <v>2019</v>
      </c>
      <c r="J875" s="52"/>
      <c r="K875" s="52" t="s">
        <v>63</v>
      </c>
      <c r="L875" s="52" t="s">
        <v>64</v>
      </c>
      <c r="M875" s="52">
        <v>1</v>
      </c>
      <c r="N875" s="53">
        <v>14960000</v>
      </c>
      <c r="O875" s="53">
        <v>14960000</v>
      </c>
      <c r="P875" s="52"/>
      <c r="Q875" s="52"/>
      <c r="R875" s="52"/>
      <c r="S875" s="53">
        <f t="shared" si="570"/>
        <v>14960000</v>
      </c>
      <c r="T875" s="52">
        <v>5</v>
      </c>
      <c r="U875" s="53">
        <f t="shared" si="566"/>
        <v>2992000</v>
      </c>
      <c r="V875" s="52">
        <v>0.5</v>
      </c>
      <c r="W875" s="53">
        <f t="shared" si="565"/>
        <v>1496000</v>
      </c>
      <c r="X875" s="24">
        <v>0.5</v>
      </c>
      <c r="Y875" s="53">
        <f t="shared" si="571"/>
        <v>1496000</v>
      </c>
      <c r="Z875" s="53">
        <f t="shared" si="572"/>
        <v>2992000</v>
      </c>
      <c r="AA875" s="72">
        <f>2022-I875+V875+X875-8/12</f>
        <v>3.3333333333333335</v>
      </c>
      <c r="AB875" s="53">
        <f t="shared" si="567"/>
        <v>9973333.333333334</v>
      </c>
      <c r="AC875" s="53">
        <f t="shared" si="573"/>
        <v>4986666.666666666</v>
      </c>
      <c r="AD875" s="56" t="s">
        <v>331</v>
      </c>
      <c r="AE875" s="52"/>
      <c r="AG875" s="5"/>
    </row>
    <row r="876" spans="1:33" s="1" customFormat="1" ht="10.5" x14ac:dyDescent="0.25">
      <c r="A876" s="49">
        <v>74</v>
      </c>
      <c r="B876" s="50" t="s">
        <v>1752</v>
      </c>
      <c r="C876" s="73" t="s">
        <v>1235</v>
      </c>
      <c r="D876" s="51" t="s">
        <v>1215</v>
      </c>
      <c r="E876" s="52"/>
      <c r="F876" s="52"/>
      <c r="G876" s="52" t="s">
        <v>194</v>
      </c>
      <c r="H876" s="52" t="s">
        <v>62</v>
      </c>
      <c r="I876" s="52">
        <v>2020</v>
      </c>
      <c r="J876" s="52"/>
      <c r="K876" s="52" t="s">
        <v>63</v>
      </c>
      <c r="L876" s="52" t="s">
        <v>64</v>
      </c>
      <c r="M876" s="52">
        <v>5</v>
      </c>
      <c r="N876" s="53">
        <f>SUM(O876/M876)</f>
        <v>13077000</v>
      </c>
      <c r="O876" s="53">
        <v>65385000</v>
      </c>
      <c r="P876" s="52"/>
      <c r="Q876" s="52"/>
      <c r="R876" s="52"/>
      <c r="S876" s="53">
        <f t="shared" si="570"/>
        <v>65385000</v>
      </c>
      <c r="T876" s="52">
        <v>5</v>
      </c>
      <c r="U876" s="53">
        <f t="shared" si="566"/>
        <v>13077000</v>
      </c>
      <c r="V876" s="52">
        <v>0.5</v>
      </c>
      <c r="W876" s="53">
        <f t="shared" si="565"/>
        <v>6538500</v>
      </c>
      <c r="X876" s="54">
        <v>0.5</v>
      </c>
      <c r="Y876" s="53">
        <f t="shared" si="571"/>
        <v>6538500</v>
      </c>
      <c r="Z876" s="53">
        <f t="shared" si="572"/>
        <v>13077000</v>
      </c>
      <c r="AA876" s="72">
        <f>2022-I876+V876+X876-11/12</f>
        <v>2.0833333333333335</v>
      </c>
      <c r="AB876" s="53">
        <f t="shared" si="567"/>
        <v>27243750.000000004</v>
      </c>
      <c r="AC876" s="53">
        <f t="shared" si="573"/>
        <v>38141250</v>
      </c>
      <c r="AD876" s="56" t="s">
        <v>213</v>
      </c>
      <c r="AE876" s="52"/>
      <c r="AG876" s="5"/>
    </row>
    <row r="877" spans="1:33" s="1" customFormat="1" ht="10.5" x14ac:dyDescent="0.25">
      <c r="A877" s="49">
        <v>75</v>
      </c>
      <c r="B877" s="50" t="s">
        <v>1752</v>
      </c>
      <c r="C877" s="73" t="s">
        <v>58</v>
      </c>
      <c r="D877" s="51" t="s">
        <v>1236</v>
      </c>
      <c r="E877" s="52" t="s">
        <v>1210</v>
      </c>
      <c r="F877" s="52"/>
      <c r="G877" s="52" t="s">
        <v>194</v>
      </c>
      <c r="H877" s="52" t="s">
        <v>62</v>
      </c>
      <c r="I877" s="52">
        <v>2021</v>
      </c>
      <c r="J877" s="52"/>
      <c r="K877" s="52" t="s">
        <v>63</v>
      </c>
      <c r="L877" s="52" t="s">
        <v>64</v>
      </c>
      <c r="M877" s="52">
        <v>1</v>
      </c>
      <c r="N877" s="53">
        <f>SUM(O877/M877)</f>
        <v>9945000</v>
      </c>
      <c r="O877" s="53">
        <v>9945000</v>
      </c>
      <c r="P877" s="52"/>
      <c r="Q877" s="52"/>
      <c r="R877" s="52"/>
      <c r="S877" s="53">
        <f t="shared" si="570"/>
        <v>9945000</v>
      </c>
      <c r="T877" s="52">
        <v>5</v>
      </c>
      <c r="U877" s="53">
        <f t="shared" si="566"/>
        <v>1989000</v>
      </c>
      <c r="V877" s="52">
        <v>0.5</v>
      </c>
      <c r="W877" s="53">
        <f t="shared" si="565"/>
        <v>994500</v>
      </c>
      <c r="X877" s="57">
        <v>0.5</v>
      </c>
      <c r="Y877" s="53">
        <f t="shared" ref="Y877:Y880" si="574">SUM(U877*X877)</f>
        <v>994500</v>
      </c>
      <c r="Z877" s="53">
        <f t="shared" ref="Z877:Z880" si="575">SUM(W877+Y877)</f>
        <v>1989000</v>
      </c>
      <c r="AA877" s="57">
        <f>1/12+0.5+0.5</f>
        <v>1.0833333333333335</v>
      </c>
      <c r="AB877" s="53">
        <f t="shared" ref="AB877:AB879" si="576">SUM(U877*AA877)</f>
        <v>2154750.0000000005</v>
      </c>
      <c r="AC877" s="53">
        <f t="shared" si="573"/>
        <v>7790250</v>
      </c>
      <c r="AD877" s="56"/>
      <c r="AE877" s="52"/>
      <c r="AG877" s="5"/>
    </row>
    <row r="878" spans="1:33" s="1" customFormat="1" ht="10.5" x14ac:dyDescent="0.25">
      <c r="A878" s="49">
        <v>76</v>
      </c>
      <c r="B878" s="50" t="s">
        <v>1752</v>
      </c>
      <c r="C878" s="73" t="s">
        <v>75</v>
      </c>
      <c r="D878" s="51" t="s">
        <v>1236</v>
      </c>
      <c r="E878" s="52" t="s">
        <v>1210</v>
      </c>
      <c r="F878" s="52"/>
      <c r="G878" s="52" t="s">
        <v>194</v>
      </c>
      <c r="H878" s="52" t="s">
        <v>62</v>
      </c>
      <c r="I878" s="52">
        <v>2022</v>
      </c>
      <c r="J878" s="52"/>
      <c r="K878" s="52" t="s">
        <v>63</v>
      </c>
      <c r="L878" s="52" t="s">
        <v>64</v>
      </c>
      <c r="M878" s="52">
        <v>1</v>
      </c>
      <c r="N878" s="53">
        <f t="shared" ref="N878:N879" si="577">SUM(O878/M878)</f>
        <v>11920115</v>
      </c>
      <c r="O878" s="53">
        <v>11920115</v>
      </c>
      <c r="P878" s="52"/>
      <c r="Q878" s="52"/>
      <c r="R878" s="52"/>
      <c r="S878" s="53">
        <f t="shared" si="570"/>
        <v>11920115</v>
      </c>
      <c r="T878" s="52">
        <v>5</v>
      </c>
      <c r="U878" s="53">
        <f t="shared" si="566"/>
        <v>2384023</v>
      </c>
      <c r="V878" s="52"/>
      <c r="W878" s="53"/>
      <c r="X878" s="57">
        <f>1/12</f>
        <v>8.3333333333333329E-2</v>
      </c>
      <c r="Y878" s="53">
        <f t="shared" si="574"/>
        <v>198668.58333333331</v>
      </c>
      <c r="Z878" s="53">
        <f t="shared" si="575"/>
        <v>198668.58333333331</v>
      </c>
      <c r="AA878" s="57">
        <f t="shared" ref="AA878:AA879" si="578">1/12</f>
        <v>8.3333333333333329E-2</v>
      </c>
      <c r="AB878" s="53">
        <f t="shared" si="576"/>
        <v>198668.58333333331</v>
      </c>
      <c r="AC878" s="53">
        <f t="shared" si="573"/>
        <v>11721446.416666666</v>
      </c>
      <c r="AD878" s="56"/>
      <c r="AE878" s="52"/>
      <c r="AG878" s="5"/>
    </row>
    <row r="879" spans="1:33" s="1" customFormat="1" ht="10.5" x14ac:dyDescent="0.25">
      <c r="A879" s="49">
        <v>77</v>
      </c>
      <c r="B879" s="50" t="s">
        <v>1752</v>
      </c>
      <c r="C879" s="73" t="s">
        <v>79</v>
      </c>
      <c r="D879" s="51" t="s">
        <v>1236</v>
      </c>
      <c r="E879" s="52" t="s">
        <v>1210</v>
      </c>
      <c r="F879" s="52"/>
      <c r="G879" s="52" t="s">
        <v>194</v>
      </c>
      <c r="H879" s="52" t="s">
        <v>62</v>
      </c>
      <c r="I879" s="52">
        <v>2022</v>
      </c>
      <c r="J879" s="52"/>
      <c r="K879" s="52" t="s">
        <v>63</v>
      </c>
      <c r="L879" s="52" t="s">
        <v>64</v>
      </c>
      <c r="M879" s="52">
        <v>1</v>
      </c>
      <c r="N879" s="53">
        <f t="shared" si="577"/>
        <v>11920115</v>
      </c>
      <c r="O879" s="53">
        <v>11920115</v>
      </c>
      <c r="P879" s="52"/>
      <c r="Q879" s="52"/>
      <c r="R879" s="52"/>
      <c r="S879" s="53">
        <f t="shared" si="570"/>
        <v>11920115</v>
      </c>
      <c r="T879" s="52">
        <v>5</v>
      </c>
      <c r="U879" s="53">
        <f t="shared" si="566"/>
        <v>2384023</v>
      </c>
      <c r="V879" s="52"/>
      <c r="W879" s="53"/>
      <c r="X879" s="57">
        <f>1/12</f>
        <v>8.3333333333333329E-2</v>
      </c>
      <c r="Y879" s="53">
        <f t="shared" si="574"/>
        <v>198668.58333333331</v>
      </c>
      <c r="Z879" s="53">
        <f t="shared" si="575"/>
        <v>198668.58333333331</v>
      </c>
      <c r="AA879" s="57">
        <f t="shared" si="578"/>
        <v>8.3333333333333329E-2</v>
      </c>
      <c r="AB879" s="53">
        <f t="shared" si="576"/>
        <v>198668.58333333331</v>
      </c>
      <c r="AC879" s="53">
        <f t="shared" si="573"/>
        <v>11721446.416666666</v>
      </c>
      <c r="AD879" s="56"/>
      <c r="AE879" s="52"/>
      <c r="AG879" s="5"/>
    </row>
    <row r="880" spans="1:33" s="1" customFormat="1" ht="10.5" x14ac:dyDescent="0.25">
      <c r="A880" s="49">
        <v>82</v>
      </c>
      <c r="B880" s="22" t="s">
        <v>1753</v>
      </c>
      <c r="C880" s="22" t="s">
        <v>58</v>
      </c>
      <c r="D880" s="65" t="s">
        <v>463</v>
      </c>
      <c r="E880" s="24"/>
      <c r="F880" s="24"/>
      <c r="G880" s="24" t="s">
        <v>260</v>
      </c>
      <c r="H880" s="24" t="s">
        <v>62</v>
      </c>
      <c r="I880" s="24">
        <v>2018</v>
      </c>
      <c r="J880" s="24"/>
      <c r="K880" s="24" t="s">
        <v>261</v>
      </c>
      <c r="L880" s="24" t="s">
        <v>64</v>
      </c>
      <c r="M880" s="24">
        <v>1</v>
      </c>
      <c r="N880" s="41">
        <f t="shared" ref="N880" si="579">SUM(O880/M880)</f>
        <v>139756100</v>
      </c>
      <c r="O880" s="41">
        <v>139756100</v>
      </c>
      <c r="P880" s="24"/>
      <c r="Q880" s="24"/>
      <c r="R880" s="24"/>
      <c r="S880" s="24">
        <f t="shared" ref="S880" si="580">SUM(O880-R880)</f>
        <v>139756100</v>
      </c>
      <c r="T880" s="24">
        <v>40</v>
      </c>
      <c r="U880" s="24">
        <f t="shared" ref="U880" si="581">SUM(S880/T880)</f>
        <v>3493902.5</v>
      </c>
      <c r="V880" s="24">
        <v>0.5</v>
      </c>
      <c r="W880" s="24">
        <f t="shared" ref="W880" si="582">SUM(U880*V880)</f>
        <v>1746951.25</v>
      </c>
      <c r="X880" s="24">
        <v>0.5</v>
      </c>
      <c r="Y880" s="24">
        <f t="shared" si="574"/>
        <v>1746951.25</v>
      </c>
      <c r="Z880" s="24">
        <f t="shared" si="575"/>
        <v>3493902.5</v>
      </c>
      <c r="AA880" s="24">
        <f>2022-I880+V880+X880-9/12</f>
        <v>4.25</v>
      </c>
      <c r="AB880" s="24">
        <f t="shared" ref="AB880" si="583">SUM(U880*AA880)</f>
        <v>14849085.625</v>
      </c>
      <c r="AC880" s="24">
        <f t="shared" ref="AC880" si="584">SUM(O880-AB880)</f>
        <v>124907014.375</v>
      </c>
      <c r="AD880" s="24"/>
      <c r="AE880" s="24"/>
      <c r="AG880" s="5"/>
    </row>
    <row r="881" spans="1:33" s="1" customFormat="1" ht="10.5" x14ac:dyDescent="0.25">
      <c r="A881" s="21"/>
      <c r="B881" s="22"/>
      <c r="C881" s="22"/>
      <c r="D881" s="65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  <c r="AA881" s="24"/>
      <c r="AB881" s="24"/>
      <c r="AC881" s="24"/>
      <c r="AD881" s="24"/>
      <c r="AE881" s="24"/>
      <c r="AG881" s="5"/>
    </row>
    <row r="882" spans="1:33" s="160" customFormat="1" ht="10.5" x14ac:dyDescent="0.25">
      <c r="A882" s="138"/>
      <c r="B882" s="139" t="s">
        <v>1237</v>
      </c>
      <c r="C882" s="139"/>
      <c r="D882" s="184" t="s">
        <v>1238</v>
      </c>
      <c r="E882" s="141"/>
      <c r="F882" s="141"/>
      <c r="G882" s="141"/>
      <c r="H882" s="141"/>
      <c r="I882" s="141"/>
      <c r="J882" s="141"/>
      <c r="K882" s="141"/>
      <c r="L882" s="141"/>
      <c r="M882" s="141">
        <f>SUM(M883)</f>
        <v>162</v>
      </c>
      <c r="N882" s="159"/>
      <c r="O882" s="159">
        <f>SUM(O883)</f>
        <v>475933980</v>
      </c>
      <c r="P882" s="141">
        <f>SUM(P888:P950)</f>
        <v>0</v>
      </c>
      <c r="Q882" s="141">
        <f>SUM(Q888:Q950)</f>
        <v>0</v>
      </c>
      <c r="R882" s="141">
        <f>SUM(R888:R950)</f>
        <v>0</v>
      </c>
      <c r="S882" s="159">
        <f>SUM(S883)</f>
        <v>475933980</v>
      </c>
      <c r="T882" s="141"/>
      <c r="U882" s="159">
        <f>SUM(U883)</f>
        <v>24490096</v>
      </c>
      <c r="V882" s="141"/>
      <c r="W882" s="159">
        <f>SUM(W883)</f>
        <v>9037212.6666666698</v>
      </c>
      <c r="X882" s="141"/>
      <c r="Y882" s="159">
        <f>SUM(Y883)</f>
        <v>8687546.333333334</v>
      </c>
      <c r="Z882" s="159">
        <f>SUM(Z883)</f>
        <v>17724759.000000004</v>
      </c>
      <c r="AA882" s="141"/>
      <c r="AB882" s="159">
        <f>SUM(AB883)</f>
        <v>432106893.66666663</v>
      </c>
      <c r="AC882" s="159">
        <f>SUM(AC883)</f>
        <v>43827086.333333328</v>
      </c>
      <c r="AD882" s="141"/>
      <c r="AE882" s="141"/>
      <c r="AG882" s="161"/>
    </row>
    <row r="883" spans="1:33" s="1" customFormat="1" ht="10.5" x14ac:dyDescent="0.25">
      <c r="A883" s="25"/>
      <c r="B883" s="26" t="s">
        <v>1754</v>
      </c>
      <c r="C883" s="26"/>
      <c r="D883" s="64" t="s">
        <v>1755</v>
      </c>
      <c r="E883" s="28"/>
      <c r="F883" s="28"/>
      <c r="G883" s="28"/>
      <c r="H883" s="28"/>
      <c r="I883" s="28"/>
      <c r="J883" s="28"/>
      <c r="K883" s="28"/>
      <c r="L883" s="28"/>
      <c r="M883" s="28">
        <f>SUM(M884:M949)</f>
        <v>162</v>
      </c>
      <c r="N883" s="86"/>
      <c r="O883" s="86">
        <f>SUM(O884:O949)</f>
        <v>475933980</v>
      </c>
      <c r="P883" s="28"/>
      <c r="Q883" s="28"/>
      <c r="R883" s="28"/>
      <c r="S883" s="86">
        <f>SUM(S884:S949)</f>
        <v>475933980</v>
      </c>
      <c r="T883" s="28"/>
      <c r="U883" s="86">
        <f>SUM(U884:U949)</f>
        <v>24490096</v>
      </c>
      <c r="V883" s="28"/>
      <c r="W883" s="86">
        <f>SUM(W884:W949)</f>
        <v>9037212.6666666698</v>
      </c>
      <c r="X883" s="28"/>
      <c r="Y883" s="86">
        <f>SUM(Y884:Y949)</f>
        <v>8687546.333333334</v>
      </c>
      <c r="Z883" s="86">
        <f>SUM(Z884:Z949)</f>
        <v>17724759.000000004</v>
      </c>
      <c r="AA883" s="28"/>
      <c r="AB883" s="86">
        <f>SUM(AB884:AB949)</f>
        <v>432106893.66666663</v>
      </c>
      <c r="AC883" s="86">
        <f>SUM(AC884:AC949)</f>
        <v>43827086.333333328</v>
      </c>
      <c r="AD883" s="28"/>
      <c r="AE883" s="28"/>
      <c r="AG883" s="5"/>
    </row>
    <row r="884" spans="1:33" s="1" customFormat="1" ht="10.5" x14ac:dyDescent="0.25">
      <c r="A884" s="49">
        <v>1</v>
      </c>
      <c r="B884" s="22" t="s">
        <v>1756</v>
      </c>
      <c r="C884" s="50" t="s">
        <v>58</v>
      </c>
      <c r="D884" s="51" t="s">
        <v>264</v>
      </c>
      <c r="E884" s="52" t="s">
        <v>265</v>
      </c>
      <c r="F884" s="52"/>
      <c r="G884" s="52" t="s">
        <v>194</v>
      </c>
      <c r="H884" s="52" t="s">
        <v>62</v>
      </c>
      <c r="I884" s="52">
        <v>2015</v>
      </c>
      <c r="J884" s="52"/>
      <c r="K884" s="52" t="s">
        <v>63</v>
      </c>
      <c r="L884" s="52" t="s">
        <v>64</v>
      </c>
      <c r="M884" s="52">
        <v>1</v>
      </c>
      <c r="N884" s="53">
        <f t="shared" ref="N884:N887" si="585">SUM(O884/M884)</f>
        <v>1150000</v>
      </c>
      <c r="O884" s="53">
        <v>1150000</v>
      </c>
      <c r="P884" s="52"/>
      <c r="Q884" s="52"/>
      <c r="R884" s="52"/>
      <c r="S884" s="53">
        <f t="shared" ref="S884:S887" si="586">SUM(O884-R884)</f>
        <v>1150000</v>
      </c>
      <c r="T884" s="52">
        <v>5</v>
      </c>
      <c r="U884" s="53">
        <f>SUM(S884/T884)</f>
        <v>230000</v>
      </c>
      <c r="V884" s="52">
        <v>0.5</v>
      </c>
      <c r="W884" s="53"/>
      <c r="X884" s="52"/>
      <c r="Y884" s="53">
        <f>SUM(U884*X884)</f>
        <v>0</v>
      </c>
      <c r="Z884" s="53"/>
      <c r="AA884" s="57">
        <v>5</v>
      </c>
      <c r="AB884" s="53">
        <f>SUM(U884*AA884)</f>
        <v>1150000</v>
      </c>
      <c r="AC884" s="53">
        <f t="shared" ref="AC884:AC887" si="587">SUM(O884-AB884)</f>
        <v>0</v>
      </c>
      <c r="AD884" s="56" t="s">
        <v>266</v>
      </c>
      <c r="AE884" s="56"/>
      <c r="AG884" s="5"/>
    </row>
    <row r="885" spans="1:33" s="1" customFormat="1" ht="10.5" x14ac:dyDescent="0.25">
      <c r="A885" s="49">
        <v>2</v>
      </c>
      <c r="B885" s="22" t="s">
        <v>1756</v>
      </c>
      <c r="C885" s="50" t="s">
        <v>58</v>
      </c>
      <c r="D885" s="51" t="s">
        <v>264</v>
      </c>
      <c r="E885" s="52" t="s">
        <v>265</v>
      </c>
      <c r="F885" s="52"/>
      <c r="G885" s="52" t="s">
        <v>194</v>
      </c>
      <c r="H885" s="52" t="s">
        <v>62</v>
      </c>
      <c r="I885" s="52">
        <v>2015</v>
      </c>
      <c r="J885" s="52"/>
      <c r="K885" s="52" t="s">
        <v>63</v>
      </c>
      <c r="L885" s="52" t="s">
        <v>64</v>
      </c>
      <c r="M885" s="52">
        <v>1</v>
      </c>
      <c r="N885" s="53">
        <f t="shared" si="585"/>
        <v>1150000</v>
      </c>
      <c r="O885" s="53">
        <v>1150000</v>
      </c>
      <c r="P885" s="52"/>
      <c r="Q885" s="52"/>
      <c r="R885" s="52"/>
      <c r="S885" s="53">
        <f t="shared" si="586"/>
        <v>1150000</v>
      </c>
      <c r="T885" s="52">
        <v>5</v>
      </c>
      <c r="U885" s="53">
        <f>SUM(S885/T885)</f>
        <v>230000</v>
      </c>
      <c r="V885" s="52">
        <v>0.5</v>
      </c>
      <c r="W885" s="53"/>
      <c r="X885" s="52"/>
      <c r="Y885" s="53">
        <f>SUM(U885*X885)</f>
        <v>0</v>
      </c>
      <c r="Z885" s="53"/>
      <c r="AA885" s="57">
        <v>5</v>
      </c>
      <c r="AB885" s="53">
        <f>SUM(U885*AA885)</f>
        <v>1150000</v>
      </c>
      <c r="AC885" s="53">
        <f t="shared" si="587"/>
        <v>0</v>
      </c>
      <c r="AD885" s="56" t="s">
        <v>267</v>
      </c>
      <c r="AE885" s="56"/>
      <c r="AG885" s="5"/>
    </row>
    <row r="886" spans="1:33" s="1" customFormat="1" ht="10.5" x14ac:dyDescent="0.25">
      <c r="A886" s="49">
        <v>3</v>
      </c>
      <c r="B886" s="22" t="s">
        <v>1756</v>
      </c>
      <c r="C886" s="50" t="s">
        <v>209</v>
      </c>
      <c r="D886" s="51" t="s">
        <v>257</v>
      </c>
      <c r="E886" s="52" t="s">
        <v>258</v>
      </c>
      <c r="F886" s="52"/>
      <c r="G886" s="52" t="s">
        <v>194</v>
      </c>
      <c r="H886" s="52" t="s">
        <v>62</v>
      </c>
      <c r="I886" s="52">
        <v>2010</v>
      </c>
      <c r="J886" s="52"/>
      <c r="K886" s="52" t="s">
        <v>63</v>
      </c>
      <c r="L886" s="52" t="s">
        <v>64</v>
      </c>
      <c r="M886" s="52">
        <v>2</v>
      </c>
      <c r="N886" s="53">
        <f t="shared" si="585"/>
        <v>1000000</v>
      </c>
      <c r="O886" s="53">
        <v>2000000</v>
      </c>
      <c r="P886" s="52"/>
      <c r="Q886" s="52"/>
      <c r="R886" s="52"/>
      <c r="S886" s="53">
        <f t="shared" si="586"/>
        <v>2000000</v>
      </c>
      <c r="T886" s="52">
        <v>5</v>
      </c>
      <c r="U886" s="53"/>
      <c r="V886" s="52">
        <v>0.5</v>
      </c>
      <c r="W886" s="53">
        <f t="shared" ref="W886:W887" si="588">SUM(U886*V886)</f>
        <v>0</v>
      </c>
      <c r="X886" s="52"/>
      <c r="Y886" s="53">
        <f t="shared" ref="Y886:Y887" si="589">SUM(U886*X886)</f>
        <v>0</v>
      </c>
      <c r="Z886" s="53">
        <f t="shared" ref="Z886:Z887" si="590">SUM(W886+Y886)</f>
        <v>0</v>
      </c>
      <c r="AA886" s="57">
        <v>5</v>
      </c>
      <c r="AB886" s="53">
        <v>2000000</v>
      </c>
      <c r="AC886" s="53">
        <f t="shared" si="587"/>
        <v>0</v>
      </c>
      <c r="AD886" s="56" t="s">
        <v>259</v>
      </c>
      <c r="AE886" s="56"/>
      <c r="AG886" s="5"/>
    </row>
    <row r="887" spans="1:33" s="1" customFormat="1" ht="10.5" x14ac:dyDescent="0.25">
      <c r="A887" s="49">
        <v>4</v>
      </c>
      <c r="B887" s="22" t="s">
        <v>1756</v>
      </c>
      <c r="C887" s="50" t="s">
        <v>79</v>
      </c>
      <c r="D887" s="51" t="s">
        <v>257</v>
      </c>
      <c r="E887" s="52" t="s">
        <v>258</v>
      </c>
      <c r="F887" s="52"/>
      <c r="G887" s="52" t="s">
        <v>194</v>
      </c>
      <c r="H887" s="52" t="s">
        <v>62</v>
      </c>
      <c r="I887" s="52">
        <v>2010</v>
      </c>
      <c r="J887" s="52"/>
      <c r="K887" s="52" t="s">
        <v>63</v>
      </c>
      <c r="L887" s="52" t="s">
        <v>212</v>
      </c>
      <c r="M887" s="52">
        <v>1</v>
      </c>
      <c r="N887" s="53">
        <f t="shared" si="585"/>
        <v>750000</v>
      </c>
      <c r="O887" s="53">
        <v>750000</v>
      </c>
      <c r="P887" s="52"/>
      <c r="Q887" s="52"/>
      <c r="R887" s="52"/>
      <c r="S887" s="53">
        <f t="shared" si="586"/>
        <v>750000</v>
      </c>
      <c r="T887" s="52">
        <v>5</v>
      </c>
      <c r="U887" s="53"/>
      <c r="V887" s="52">
        <v>0.5</v>
      </c>
      <c r="W887" s="53">
        <f t="shared" si="588"/>
        <v>0</v>
      </c>
      <c r="X887" s="52"/>
      <c r="Y887" s="53">
        <f t="shared" si="589"/>
        <v>0</v>
      </c>
      <c r="Z887" s="53">
        <f t="shared" si="590"/>
        <v>0</v>
      </c>
      <c r="AA887" s="57">
        <v>5</v>
      </c>
      <c r="AB887" s="53">
        <v>750000</v>
      </c>
      <c r="AC887" s="53">
        <f t="shared" si="587"/>
        <v>0</v>
      </c>
      <c r="AD887" s="56" t="s">
        <v>217</v>
      </c>
      <c r="AE887" s="56"/>
      <c r="AG887" s="5"/>
    </row>
    <row r="888" spans="1:33" s="1" customFormat="1" ht="10.5" x14ac:dyDescent="0.25">
      <c r="A888" s="49">
        <v>5</v>
      </c>
      <c r="B888" s="22" t="s">
        <v>1757</v>
      </c>
      <c r="C888" s="50" t="s">
        <v>393</v>
      </c>
      <c r="D888" s="51" t="s">
        <v>394</v>
      </c>
      <c r="E888" s="52" t="s">
        <v>279</v>
      </c>
      <c r="F888" s="52"/>
      <c r="G888" s="52" t="s">
        <v>194</v>
      </c>
      <c r="H888" s="52" t="s">
        <v>62</v>
      </c>
      <c r="I888" s="52">
        <v>2010</v>
      </c>
      <c r="J888" s="52"/>
      <c r="K888" s="52" t="s">
        <v>63</v>
      </c>
      <c r="L888" s="52" t="s">
        <v>212</v>
      </c>
      <c r="M888" s="52">
        <v>6</v>
      </c>
      <c r="N888" s="53">
        <f t="shared" ref="N888:N929" si="591">SUM(O888/M888)</f>
        <v>75000</v>
      </c>
      <c r="O888" s="53">
        <v>450000</v>
      </c>
      <c r="P888" s="52"/>
      <c r="Q888" s="52"/>
      <c r="R888" s="52"/>
      <c r="S888" s="53">
        <f t="shared" ref="S888:S924" si="592">SUM(O888-R888)</f>
        <v>450000</v>
      </c>
      <c r="T888" s="52">
        <v>5</v>
      </c>
      <c r="U888" s="53"/>
      <c r="V888" s="52">
        <v>0.5</v>
      </c>
      <c r="W888" s="53">
        <f t="shared" ref="W888:W925" si="593">SUM(U888*V888)</f>
        <v>0</v>
      </c>
      <c r="X888" s="52"/>
      <c r="Y888" s="53">
        <f t="shared" ref="Y888:Y899" si="594">SUM(U888*X888)</f>
        <v>0</v>
      </c>
      <c r="Z888" s="53">
        <f t="shared" ref="Z888:Z926" si="595">SUM(W888+Y888)</f>
        <v>0</v>
      </c>
      <c r="AA888" s="52">
        <v>5</v>
      </c>
      <c r="AB888" s="53">
        <v>450000</v>
      </c>
      <c r="AC888" s="53">
        <f t="shared" ref="AC888:AC899" si="596">SUM(O888-AB888)</f>
        <v>0</v>
      </c>
      <c r="AD888" s="56" t="s">
        <v>213</v>
      </c>
      <c r="AE888" s="56"/>
      <c r="AG888" s="5"/>
    </row>
    <row r="889" spans="1:33" s="1" customFormat="1" ht="10.5" x14ac:dyDescent="0.25">
      <c r="A889" s="49">
        <v>6</v>
      </c>
      <c r="B889" s="22" t="s">
        <v>1757</v>
      </c>
      <c r="C889" s="50" t="s">
        <v>395</v>
      </c>
      <c r="D889" s="51" t="s">
        <v>394</v>
      </c>
      <c r="E889" s="52" t="s">
        <v>279</v>
      </c>
      <c r="F889" s="52"/>
      <c r="G889" s="52" t="s">
        <v>194</v>
      </c>
      <c r="H889" s="52" t="s">
        <v>62</v>
      </c>
      <c r="I889" s="52">
        <v>2010</v>
      </c>
      <c r="J889" s="52"/>
      <c r="K889" s="52" t="s">
        <v>63</v>
      </c>
      <c r="L889" s="52" t="s">
        <v>212</v>
      </c>
      <c r="M889" s="52">
        <v>7</v>
      </c>
      <c r="N889" s="53">
        <f t="shared" si="591"/>
        <v>75000</v>
      </c>
      <c r="O889" s="53">
        <v>525000</v>
      </c>
      <c r="P889" s="52"/>
      <c r="Q889" s="52"/>
      <c r="R889" s="52"/>
      <c r="S889" s="53">
        <f t="shared" si="592"/>
        <v>525000</v>
      </c>
      <c r="T889" s="52">
        <v>5</v>
      </c>
      <c r="U889" s="53"/>
      <c r="V889" s="52">
        <v>0.5</v>
      </c>
      <c r="W889" s="53">
        <f t="shared" si="593"/>
        <v>0</v>
      </c>
      <c r="X889" s="52"/>
      <c r="Y889" s="53">
        <f t="shared" si="594"/>
        <v>0</v>
      </c>
      <c r="Z889" s="53">
        <f t="shared" si="595"/>
        <v>0</v>
      </c>
      <c r="AA889" s="52">
        <v>5</v>
      </c>
      <c r="AB889" s="53">
        <v>525000</v>
      </c>
      <c r="AC889" s="53">
        <f t="shared" si="596"/>
        <v>0</v>
      </c>
      <c r="AD889" s="56" t="s">
        <v>213</v>
      </c>
      <c r="AE889" s="56"/>
      <c r="AG889" s="5"/>
    </row>
    <row r="890" spans="1:33" s="1" customFormat="1" ht="10.5" x14ac:dyDescent="0.25">
      <c r="A890" s="49">
        <v>7</v>
      </c>
      <c r="B890" s="22" t="s">
        <v>1758</v>
      </c>
      <c r="C890" s="50" t="s">
        <v>240</v>
      </c>
      <c r="D890" s="51" t="s">
        <v>402</v>
      </c>
      <c r="E890" s="52" t="s">
        <v>403</v>
      </c>
      <c r="F890" s="52"/>
      <c r="G890" s="52" t="s">
        <v>194</v>
      </c>
      <c r="H890" s="52" t="s">
        <v>62</v>
      </c>
      <c r="I890" s="52">
        <v>2008</v>
      </c>
      <c r="J890" s="52"/>
      <c r="K890" s="52" t="s">
        <v>63</v>
      </c>
      <c r="L890" s="52" t="s">
        <v>64</v>
      </c>
      <c r="M890" s="52">
        <v>1</v>
      </c>
      <c r="N890" s="53">
        <f t="shared" si="591"/>
        <v>2450000</v>
      </c>
      <c r="O890" s="53">
        <v>2450000</v>
      </c>
      <c r="P890" s="52"/>
      <c r="Q890" s="52"/>
      <c r="R890" s="52"/>
      <c r="S890" s="53">
        <f t="shared" si="592"/>
        <v>2450000</v>
      </c>
      <c r="T890" s="52">
        <v>5</v>
      </c>
      <c r="U890" s="53"/>
      <c r="V890" s="52">
        <v>0.5</v>
      </c>
      <c r="W890" s="53">
        <f t="shared" si="593"/>
        <v>0</v>
      </c>
      <c r="X890" s="52"/>
      <c r="Y890" s="53">
        <f t="shared" si="594"/>
        <v>0</v>
      </c>
      <c r="Z890" s="53">
        <f t="shared" si="595"/>
        <v>0</v>
      </c>
      <c r="AA890" s="52">
        <v>5</v>
      </c>
      <c r="AB890" s="53">
        <v>2450000</v>
      </c>
      <c r="AC890" s="53">
        <f t="shared" si="596"/>
        <v>0</v>
      </c>
      <c r="AD890" s="56" t="s">
        <v>223</v>
      </c>
      <c r="AE890" s="56"/>
      <c r="AG890" s="5"/>
    </row>
    <row r="891" spans="1:33" s="1" customFormat="1" ht="10.5" x14ac:dyDescent="0.25">
      <c r="A891" s="49">
        <v>8</v>
      </c>
      <c r="B891" s="22" t="s">
        <v>1758</v>
      </c>
      <c r="C891" s="50" t="s">
        <v>404</v>
      </c>
      <c r="D891" s="51" t="s">
        <v>402</v>
      </c>
      <c r="E891" s="52" t="s">
        <v>405</v>
      </c>
      <c r="F891" s="52"/>
      <c r="G891" s="52" t="s">
        <v>194</v>
      </c>
      <c r="H891" s="52" t="s">
        <v>62</v>
      </c>
      <c r="I891" s="52">
        <v>2011</v>
      </c>
      <c r="J891" s="52"/>
      <c r="K891" s="52" t="s">
        <v>63</v>
      </c>
      <c r="L891" s="52" t="s">
        <v>167</v>
      </c>
      <c r="M891" s="52">
        <v>2</v>
      </c>
      <c r="N891" s="53">
        <f t="shared" si="591"/>
        <v>840000</v>
      </c>
      <c r="O891" s="53">
        <v>1680000</v>
      </c>
      <c r="P891" s="52"/>
      <c r="Q891" s="52"/>
      <c r="R891" s="52"/>
      <c r="S891" s="53">
        <f t="shared" si="592"/>
        <v>1680000</v>
      </c>
      <c r="T891" s="52">
        <v>5</v>
      </c>
      <c r="U891" s="53"/>
      <c r="V891" s="52">
        <v>0.5</v>
      </c>
      <c r="W891" s="53">
        <f t="shared" si="593"/>
        <v>0</v>
      </c>
      <c r="X891" s="52"/>
      <c r="Y891" s="53">
        <f t="shared" si="594"/>
        <v>0</v>
      </c>
      <c r="Z891" s="53">
        <f t="shared" si="595"/>
        <v>0</v>
      </c>
      <c r="AA891" s="52">
        <v>5</v>
      </c>
      <c r="AB891" s="53">
        <v>1680000</v>
      </c>
      <c r="AC891" s="53">
        <f t="shared" si="596"/>
        <v>0</v>
      </c>
      <c r="AD891" s="56" t="s">
        <v>406</v>
      </c>
      <c r="AE891" s="56"/>
      <c r="AG891" s="5"/>
    </row>
    <row r="892" spans="1:33" s="1" customFormat="1" ht="10.5" x14ac:dyDescent="0.25">
      <c r="A892" s="49">
        <v>9</v>
      </c>
      <c r="B892" s="22" t="s">
        <v>1758</v>
      </c>
      <c r="C892" s="50" t="s">
        <v>246</v>
      </c>
      <c r="D892" s="51" t="s">
        <v>402</v>
      </c>
      <c r="E892" s="52" t="s">
        <v>405</v>
      </c>
      <c r="F892" s="52"/>
      <c r="G892" s="52" t="s">
        <v>194</v>
      </c>
      <c r="H892" s="52" t="s">
        <v>62</v>
      </c>
      <c r="I892" s="52">
        <v>2011</v>
      </c>
      <c r="J892" s="52"/>
      <c r="K892" s="52" t="s">
        <v>63</v>
      </c>
      <c r="L892" s="52" t="s">
        <v>167</v>
      </c>
      <c r="M892" s="52">
        <v>1</v>
      </c>
      <c r="N892" s="53">
        <f t="shared" si="591"/>
        <v>840000</v>
      </c>
      <c r="O892" s="53">
        <v>840000</v>
      </c>
      <c r="P892" s="52"/>
      <c r="Q892" s="52"/>
      <c r="R892" s="52"/>
      <c r="S892" s="53">
        <f t="shared" si="592"/>
        <v>840000</v>
      </c>
      <c r="T892" s="52">
        <v>5</v>
      </c>
      <c r="U892" s="53"/>
      <c r="V892" s="52">
        <v>0.5</v>
      </c>
      <c r="W892" s="53">
        <f t="shared" si="593"/>
        <v>0</v>
      </c>
      <c r="X892" s="52"/>
      <c r="Y892" s="53">
        <f t="shared" si="594"/>
        <v>0</v>
      </c>
      <c r="Z892" s="53">
        <f t="shared" si="595"/>
        <v>0</v>
      </c>
      <c r="AA892" s="52">
        <v>5</v>
      </c>
      <c r="AB892" s="53">
        <v>840000</v>
      </c>
      <c r="AC892" s="53">
        <f t="shared" si="596"/>
        <v>0</v>
      </c>
      <c r="AD892" s="56" t="s">
        <v>406</v>
      </c>
      <c r="AE892" s="56"/>
      <c r="AG892" s="5"/>
    </row>
    <row r="893" spans="1:33" s="1" customFormat="1" ht="10.5" x14ac:dyDescent="0.25">
      <c r="A893" s="49">
        <v>10</v>
      </c>
      <c r="B893" s="22" t="s">
        <v>1758</v>
      </c>
      <c r="C893" s="50" t="s">
        <v>407</v>
      </c>
      <c r="D893" s="51" t="s">
        <v>402</v>
      </c>
      <c r="E893" s="52" t="s">
        <v>405</v>
      </c>
      <c r="F893" s="52"/>
      <c r="G893" s="52" t="s">
        <v>194</v>
      </c>
      <c r="H893" s="52" t="s">
        <v>62</v>
      </c>
      <c r="I893" s="52">
        <v>2011</v>
      </c>
      <c r="J893" s="52"/>
      <c r="K893" s="52" t="s">
        <v>63</v>
      </c>
      <c r="L893" s="52" t="s">
        <v>167</v>
      </c>
      <c r="M893" s="52">
        <v>1</v>
      </c>
      <c r="N893" s="53">
        <f t="shared" si="591"/>
        <v>840000</v>
      </c>
      <c r="O893" s="53">
        <v>840000</v>
      </c>
      <c r="P893" s="52"/>
      <c r="Q893" s="52"/>
      <c r="R893" s="52"/>
      <c r="S893" s="53">
        <f t="shared" si="592"/>
        <v>840000</v>
      </c>
      <c r="T893" s="52">
        <v>5</v>
      </c>
      <c r="U893" s="53"/>
      <c r="V893" s="52">
        <v>0.5</v>
      </c>
      <c r="W893" s="53">
        <f t="shared" si="593"/>
        <v>0</v>
      </c>
      <c r="X893" s="52"/>
      <c r="Y893" s="53">
        <f t="shared" si="594"/>
        <v>0</v>
      </c>
      <c r="Z893" s="53">
        <f t="shared" si="595"/>
        <v>0</v>
      </c>
      <c r="AA893" s="52">
        <v>5</v>
      </c>
      <c r="AB893" s="53">
        <v>840000</v>
      </c>
      <c r="AC893" s="53">
        <f t="shared" si="596"/>
        <v>0</v>
      </c>
      <c r="AD893" s="56" t="s">
        <v>406</v>
      </c>
      <c r="AE893" s="56"/>
      <c r="AG893" s="5"/>
    </row>
    <row r="894" spans="1:33" s="1" customFormat="1" ht="10.5" x14ac:dyDescent="0.25">
      <c r="A894" s="49">
        <v>11</v>
      </c>
      <c r="B894" s="22" t="s">
        <v>1758</v>
      </c>
      <c r="C894" s="50" t="s">
        <v>408</v>
      </c>
      <c r="D894" s="51" t="s">
        <v>402</v>
      </c>
      <c r="E894" s="52" t="s">
        <v>405</v>
      </c>
      <c r="F894" s="52"/>
      <c r="G894" s="52" t="s">
        <v>194</v>
      </c>
      <c r="H894" s="52" t="s">
        <v>62</v>
      </c>
      <c r="I894" s="52">
        <v>2011</v>
      </c>
      <c r="J894" s="52"/>
      <c r="K894" s="52" t="s">
        <v>63</v>
      </c>
      <c r="L894" s="52" t="s">
        <v>167</v>
      </c>
      <c r="M894" s="52">
        <v>1</v>
      </c>
      <c r="N894" s="53">
        <f t="shared" si="591"/>
        <v>840000</v>
      </c>
      <c r="O894" s="53">
        <v>840000</v>
      </c>
      <c r="P894" s="52"/>
      <c r="Q894" s="52"/>
      <c r="R894" s="52"/>
      <c r="S894" s="53">
        <f t="shared" si="592"/>
        <v>840000</v>
      </c>
      <c r="T894" s="52">
        <v>5</v>
      </c>
      <c r="U894" s="53"/>
      <c r="V894" s="52">
        <v>0.5</v>
      </c>
      <c r="W894" s="53">
        <f t="shared" si="593"/>
        <v>0</v>
      </c>
      <c r="X894" s="52"/>
      <c r="Y894" s="53">
        <f t="shared" si="594"/>
        <v>0</v>
      </c>
      <c r="Z894" s="53">
        <f t="shared" si="595"/>
        <v>0</v>
      </c>
      <c r="AA894" s="52">
        <v>5</v>
      </c>
      <c r="AB894" s="53">
        <v>840000</v>
      </c>
      <c r="AC894" s="53">
        <f t="shared" si="596"/>
        <v>0</v>
      </c>
      <c r="AD894" s="56" t="s">
        <v>406</v>
      </c>
      <c r="AE894" s="56"/>
      <c r="AG894" s="5"/>
    </row>
    <row r="895" spans="1:33" s="1" customFormat="1" ht="10.5" x14ac:dyDescent="0.25">
      <c r="A895" s="49">
        <v>12</v>
      </c>
      <c r="B895" s="22" t="s">
        <v>1758</v>
      </c>
      <c r="C895" s="50" t="s">
        <v>409</v>
      </c>
      <c r="D895" s="51" t="s">
        <v>402</v>
      </c>
      <c r="E895" s="52" t="s">
        <v>405</v>
      </c>
      <c r="F895" s="52"/>
      <c r="G895" s="52" t="s">
        <v>194</v>
      </c>
      <c r="H895" s="52" t="s">
        <v>62</v>
      </c>
      <c r="I895" s="52">
        <v>2012</v>
      </c>
      <c r="J895" s="52"/>
      <c r="K895" s="52" t="s">
        <v>63</v>
      </c>
      <c r="L895" s="52" t="s">
        <v>167</v>
      </c>
      <c r="M895" s="52">
        <v>1</v>
      </c>
      <c r="N895" s="53">
        <f t="shared" si="591"/>
        <v>990000</v>
      </c>
      <c r="O895" s="53">
        <v>990000</v>
      </c>
      <c r="P895" s="52"/>
      <c r="Q895" s="52"/>
      <c r="R895" s="52"/>
      <c r="S895" s="53">
        <f t="shared" si="592"/>
        <v>990000</v>
      </c>
      <c r="T895" s="52">
        <v>5</v>
      </c>
      <c r="U895" s="53"/>
      <c r="V895" s="52">
        <v>0.5</v>
      </c>
      <c r="W895" s="53">
        <f t="shared" si="593"/>
        <v>0</v>
      </c>
      <c r="X895" s="52"/>
      <c r="Y895" s="53">
        <f t="shared" si="594"/>
        <v>0</v>
      </c>
      <c r="Z895" s="53">
        <f t="shared" si="595"/>
        <v>0</v>
      </c>
      <c r="AA895" s="52">
        <v>5</v>
      </c>
      <c r="AB895" s="53">
        <v>990000</v>
      </c>
      <c r="AC895" s="53">
        <f t="shared" si="596"/>
        <v>0</v>
      </c>
      <c r="AD895" s="56" t="s">
        <v>406</v>
      </c>
      <c r="AE895" s="56"/>
      <c r="AG895" s="5"/>
    </row>
    <row r="896" spans="1:33" s="1" customFormat="1" ht="10.5" x14ac:dyDescent="0.25">
      <c r="A896" s="49">
        <v>13</v>
      </c>
      <c r="B896" s="22" t="s">
        <v>1758</v>
      </c>
      <c r="C896" s="50" t="s">
        <v>410</v>
      </c>
      <c r="D896" s="51" t="s">
        <v>402</v>
      </c>
      <c r="E896" s="52" t="s">
        <v>405</v>
      </c>
      <c r="F896" s="52"/>
      <c r="G896" s="52" t="s">
        <v>194</v>
      </c>
      <c r="H896" s="52" t="s">
        <v>62</v>
      </c>
      <c r="I896" s="52">
        <v>2012</v>
      </c>
      <c r="J896" s="52"/>
      <c r="K896" s="52" t="s">
        <v>63</v>
      </c>
      <c r="L896" s="52" t="s">
        <v>167</v>
      </c>
      <c r="M896" s="52">
        <v>2</v>
      </c>
      <c r="N896" s="53">
        <f t="shared" si="591"/>
        <v>990000</v>
      </c>
      <c r="O896" s="53">
        <v>1980000</v>
      </c>
      <c r="P896" s="52"/>
      <c r="Q896" s="52"/>
      <c r="R896" s="52"/>
      <c r="S896" s="53">
        <f t="shared" si="592"/>
        <v>1980000</v>
      </c>
      <c r="T896" s="52">
        <v>5</v>
      </c>
      <c r="U896" s="53"/>
      <c r="V896" s="52">
        <v>0.5</v>
      </c>
      <c r="W896" s="53">
        <f t="shared" si="593"/>
        <v>0</v>
      </c>
      <c r="X896" s="52"/>
      <c r="Y896" s="53">
        <f t="shared" si="594"/>
        <v>0</v>
      </c>
      <c r="Z896" s="53">
        <f t="shared" si="595"/>
        <v>0</v>
      </c>
      <c r="AA896" s="52">
        <v>5</v>
      </c>
      <c r="AB896" s="53">
        <v>1980000</v>
      </c>
      <c r="AC896" s="53">
        <f t="shared" si="596"/>
        <v>0</v>
      </c>
      <c r="AD896" s="56" t="s">
        <v>406</v>
      </c>
      <c r="AE896" s="56"/>
      <c r="AG896" s="5"/>
    </row>
    <row r="897" spans="1:33" s="1" customFormat="1" ht="10.5" x14ac:dyDescent="0.25">
      <c r="A897" s="49">
        <v>14</v>
      </c>
      <c r="B897" s="22" t="s">
        <v>1758</v>
      </c>
      <c r="C897" s="50" t="s">
        <v>411</v>
      </c>
      <c r="D897" s="51" t="s">
        <v>402</v>
      </c>
      <c r="E897" s="52" t="s">
        <v>405</v>
      </c>
      <c r="F897" s="52"/>
      <c r="G897" s="52" t="s">
        <v>194</v>
      </c>
      <c r="H897" s="52" t="s">
        <v>62</v>
      </c>
      <c r="I897" s="52">
        <v>2012</v>
      </c>
      <c r="J897" s="52"/>
      <c r="K897" s="52" t="s">
        <v>63</v>
      </c>
      <c r="L897" s="52" t="s">
        <v>167</v>
      </c>
      <c r="M897" s="52">
        <v>1</v>
      </c>
      <c r="N897" s="53">
        <f t="shared" si="591"/>
        <v>990000</v>
      </c>
      <c r="O897" s="53">
        <v>990000</v>
      </c>
      <c r="P897" s="52"/>
      <c r="Q897" s="52"/>
      <c r="R897" s="52"/>
      <c r="S897" s="53">
        <f t="shared" si="592"/>
        <v>990000</v>
      </c>
      <c r="T897" s="52">
        <v>5</v>
      </c>
      <c r="U897" s="53"/>
      <c r="V897" s="52">
        <v>0.5</v>
      </c>
      <c r="W897" s="53">
        <f t="shared" si="593"/>
        <v>0</v>
      </c>
      <c r="X897" s="52"/>
      <c r="Y897" s="53">
        <f t="shared" si="594"/>
        <v>0</v>
      </c>
      <c r="Z897" s="53">
        <f t="shared" si="595"/>
        <v>0</v>
      </c>
      <c r="AA897" s="52">
        <v>5</v>
      </c>
      <c r="AB897" s="53">
        <v>990000</v>
      </c>
      <c r="AC897" s="53">
        <f t="shared" si="596"/>
        <v>0</v>
      </c>
      <c r="AD897" s="56" t="s">
        <v>406</v>
      </c>
      <c r="AE897" s="56"/>
      <c r="AG897" s="5"/>
    </row>
    <row r="898" spans="1:33" s="1" customFormat="1" ht="10.5" x14ac:dyDescent="0.25">
      <c r="A898" s="49">
        <v>15</v>
      </c>
      <c r="B898" s="22" t="s">
        <v>1758</v>
      </c>
      <c r="C898" s="50" t="s">
        <v>412</v>
      </c>
      <c r="D898" s="51" t="s">
        <v>402</v>
      </c>
      <c r="E898" s="52" t="s">
        <v>413</v>
      </c>
      <c r="F898" s="52"/>
      <c r="G898" s="52" t="s">
        <v>194</v>
      </c>
      <c r="H898" s="52" t="s">
        <v>62</v>
      </c>
      <c r="I898" s="52">
        <v>2013</v>
      </c>
      <c r="J898" s="52"/>
      <c r="K898" s="52" t="s">
        <v>63</v>
      </c>
      <c r="L898" s="52" t="s">
        <v>167</v>
      </c>
      <c r="M898" s="52">
        <v>3</v>
      </c>
      <c r="N898" s="53">
        <f t="shared" si="591"/>
        <v>1650000</v>
      </c>
      <c r="O898" s="53">
        <v>4950000</v>
      </c>
      <c r="P898" s="52"/>
      <c r="Q898" s="52"/>
      <c r="R898" s="52"/>
      <c r="S898" s="53">
        <f t="shared" si="592"/>
        <v>4950000</v>
      </c>
      <c r="T898" s="52">
        <v>5</v>
      </c>
      <c r="U898" s="53"/>
      <c r="V898" s="52">
        <v>0.5</v>
      </c>
      <c r="W898" s="53">
        <f t="shared" si="593"/>
        <v>0</v>
      </c>
      <c r="X898" s="52"/>
      <c r="Y898" s="53">
        <f t="shared" si="594"/>
        <v>0</v>
      </c>
      <c r="Z898" s="53">
        <f t="shared" si="595"/>
        <v>0</v>
      </c>
      <c r="AA898" s="52">
        <v>5</v>
      </c>
      <c r="AB898" s="53">
        <v>4950000</v>
      </c>
      <c r="AC898" s="53">
        <f t="shared" si="596"/>
        <v>0</v>
      </c>
      <c r="AD898" s="56" t="s">
        <v>250</v>
      </c>
      <c r="AE898" s="56"/>
      <c r="AG898" s="5"/>
    </row>
    <row r="899" spans="1:33" s="1" customFormat="1" ht="10.5" x14ac:dyDescent="0.25">
      <c r="A899" s="49">
        <v>16</v>
      </c>
      <c r="B899" s="22" t="s">
        <v>1758</v>
      </c>
      <c r="C899" s="50" t="s">
        <v>414</v>
      </c>
      <c r="D899" s="51" t="s">
        <v>402</v>
      </c>
      <c r="E899" s="52" t="s">
        <v>415</v>
      </c>
      <c r="F899" s="52"/>
      <c r="G899" s="52" t="s">
        <v>194</v>
      </c>
      <c r="H899" s="52" t="s">
        <v>62</v>
      </c>
      <c r="I899" s="52">
        <v>2014</v>
      </c>
      <c r="J899" s="52"/>
      <c r="K899" s="52" t="s">
        <v>63</v>
      </c>
      <c r="L899" s="52" t="s">
        <v>64</v>
      </c>
      <c r="M899" s="52">
        <v>2</v>
      </c>
      <c r="N899" s="53">
        <f t="shared" si="591"/>
        <v>2431000</v>
      </c>
      <c r="O899" s="53">
        <v>4862000</v>
      </c>
      <c r="P899" s="52"/>
      <c r="Q899" s="52"/>
      <c r="R899" s="52"/>
      <c r="S899" s="53">
        <f t="shared" si="592"/>
        <v>4862000</v>
      </c>
      <c r="T899" s="52">
        <v>5</v>
      </c>
      <c r="U899" s="53"/>
      <c r="V899" s="52">
        <v>0.5</v>
      </c>
      <c r="W899" s="53">
        <f t="shared" si="593"/>
        <v>0</v>
      </c>
      <c r="X899" s="52"/>
      <c r="Y899" s="53">
        <f t="shared" si="594"/>
        <v>0</v>
      </c>
      <c r="Z899" s="53">
        <f t="shared" si="595"/>
        <v>0</v>
      </c>
      <c r="AA899" s="52">
        <v>5</v>
      </c>
      <c r="AB899" s="53">
        <v>4862000</v>
      </c>
      <c r="AC899" s="53">
        <f t="shared" si="596"/>
        <v>0</v>
      </c>
      <c r="AD899" s="56" t="s">
        <v>326</v>
      </c>
      <c r="AE899" s="56"/>
      <c r="AG899" s="5"/>
    </row>
    <row r="900" spans="1:33" s="1" customFormat="1" ht="10.5" x14ac:dyDescent="0.25">
      <c r="A900" s="49">
        <v>17</v>
      </c>
      <c r="B900" s="22" t="s">
        <v>1758</v>
      </c>
      <c r="C900" s="50" t="s">
        <v>416</v>
      </c>
      <c r="D900" s="51" t="s">
        <v>402</v>
      </c>
      <c r="E900" s="52" t="s">
        <v>415</v>
      </c>
      <c r="F900" s="52"/>
      <c r="G900" s="52" t="s">
        <v>194</v>
      </c>
      <c r="H900" s="52" t="s">
        <v>62</v>
      </c>
      <c r="I900" s="52">
        <v>2014</v>
      </c>
      <c r="J900" s="52"/>
      <c r="K900" s="52" t="s">
        <v>63</v>
      </c>
      <c r="L900" s="52" t="s">
        <v>64</v>
      </c>
      <c r="M900" s="52">
        <v>1</v>
      </c>
      <c r="N900" s="53">
        <f t="shared" si="591"/>
        <v>2431000</v>
      </c>
      <c r="O900" s="53">
        <v>2431000</v>
      </c>
      <c r="P900" s="52"/>
      <c r="Q900" s="52"/>
      <c r="R900" s="52"/>
      <c r="S900" s="53">
        <f t="shared" si="592"/>
        <v>2431000</v>
      </c>
      <c r="T900" s="52">
        <v>5</v>
      </c>
      <c r="U900" s="53"/>
      <c r="V900" s="52">
        <v>0.5</v>
      </c>
      <c r="W900" s="53">
        <f t="shared" si="593"/>
        <v>0</v>
      </c>
      <c r="X900" s="52"/>
      <c r="Y900" s="53">
        <f t="shared" ref="Y900:Y929" si="597">SUM(U900*X900)</f>
        <v>0</v>
      </c>
      <c r="Z900" s="53">
        <f t="shared" si="595"/>
        <v>0</v>
      </c>
      <c r="AA900" s="52">
        <v>5</v>
      </c>
      <c r="AB900" s="53">
        <v>2431000</v>
      </c>
      <c r="AC900" s="53">
        <f t="shared" ref="AC900:AC926" si="598">SUM(O900-AB900)</f>
        <v>0</v>
      </c>
      <c r="AD900" s="56" t="s">
        <v>324</v>
      </c>
      <c r="AE900" s="56"/>
      <c r="AG900" s="5"/>
    </row>
    <row r="901" spans="1:33" s="1" customFormat="1" ht="10.5" x14ac:dyDescent="0.25">
      <c r="A901" s="49">
        <v>18</v>
      </c>
      <c r="B901" s="22" t="s">
        <v>1758</v>
      </c>
      <c r="C901" s="50" t="s">
        <v>417</v>
      </c>
      <c r="D901" s="51" t="s">
        <v>402</v>
      </c>
      <c r="E901" s="52" t="s">
        <v>415</v>
      </c>
      <c r="F901" s="52"/>
      <c r="G901" s="52" t="s">
        <v>194</v>
      </c>
      <c r="H901" s="52" t="s">
        <v>62</v>
      </c>
      <c r="I901" s="52">
        <v>2014</v>
      </c>
      <c r="J901" s="52"/>
      <c r="K901" s="52" t="s">
        <v>63</v>
      </c>
      <c r="L901" s="52" t="s">
        <v>64</v>
      </c>
      <c r="M901" s="52">
        <v>1</v>
      </c>
      <c r="N901" s="53">
        <f t="shared" si="591"/>
        <v>2431000</v>
      </c>
      <c r="O901" s="53">
        <v>2431000</v>
      </c>
      <c r="P901" s="52"/>
      <c r="Q901" s="52"/>
      <c r="R901" s="52"/>
      <c r="S901" s="53">
        <f t="shared" si="592"/>
        <v>2431000</v>
      </c>
      <c r="T901" s="52">
        <v>5</v>
      </c>
      <c r="U901" s="53"/>
      <c r="V901" s="52">
        <v>0.5</v>
      </c>
      <c r="W901" s="53">
        <f t="shared" si="593"/>
        <v>0</v>
      </c>
      <c r="X901" s="52"/>
      <c r="Y901" s="53">
        <f t="shared" si="597"/>
        <v>0</v>
      </c>
      <c r="Z901" s="53">
        <f t="shared" si="595"/>
        <v>0</v>
      </c>
      <c r="AA901" s="52">
        <v>5</v>
      </c>
      <c r="AB901" s="53">
        <v>2431000</v>
      </c>
      <c r="AC901" s="53">
        <f t="shared" si="598"/>
        <v>0</v>
      </c>
      <c r="AD901" s="56" t="s">
        <v>322</v>
      </c>
      <c r="AE901" s="56"/>
      <c r="AG901" s="5"/>
    </row>
    <row r="902" spans="1:33" s="1" customFormat="1" ht="10.5" x14ac:dyDescent="0.25">
      <c r="A902" s="49">
        <v>19</v>
      </c>
      <c r="B902" s="22" t="s">
        <v>1758</v>
      </c>
      <c r="C902" s="50" t="s">
        <v>418</v>
      </c>
      <c r="D902" s="51" t="s">
        <v>402</v>
      </c>
      <c r="E902" s="52" t="s">
        <v>415</v>
      </c>
      <c r="F902" s="52"/>
      <c r="G902" s="52" t="s">
        <v>194</v>
      </c>
      <c r="H902" s="52" t="s">
        <v>62</v>
      </c>
      <c r="I902" s="52">
        <v>2014</v>
      </c>
      <c r="J902" s="52"/>
      <c r="K902" s="52" t="s">
        <v>63</v>
      </c>
      <c r="L902" s="52" t="s">
        <v>64</v>
      </c>
      <c r="M902" s="52">
        <v>2</v>
      </c>
      <c r="N902" s="53">
        <f t="shared" si="591"/>
        <v>2431000</v>
      </c>
      <c r="O902" s="53">
        <v>4862000</v>
      </c>
      <c r="P902" s="52"/>
      <c r="Q902" s="52"/>
      <c r="R902" s="52"/>
      <c r="S902" s="53">
        <f t="shared" si="592"/>
        <v>4862000</v>
      </c>
      <c r="T902" s="52">
        <v>5</v>
      </c>
      <c r="U902" s="53"/>
      <c r="V902" s="52">
        <v>0.5</v>
      </c>
      <c r="W902" s="53">
        <f t="shared" si="593"/>
        <v>0</v>
      </c>
      <c r="X902" s="52"/>
      <c r="Y902" s="53">
        <f t="shared" si="597"/>
        <v>0</v>
      </c>
      <c r="Z902" s="53">
        <f t="shared" si="595"/>
        <v>0</v>
      </c>
      <c r="AA902" s="52">
        <v>5</v>
      </c>
      <c r="AB902" s="53">
        <v>4862000</v>
      </c>
      <c r="AC902" s="53">
        <f t="shared" si="598"/>
        <v>0</v>
      </c>
      <c r="AD902" s="56" t="s">
        <v>218</v>
      </c>
      <c r="AE902" s="56"/>
      <c r="AG902" s="5"/>
    </row>
    <row r="903" spans="1:33" s="1" customFormat="1" ht="10.5" x14ac:dyDescent="0.25">
      <c r="A903" s="49">
        <v>20</v>
      </c>
      <c r="B903" s="22" t="s">
        <v>1758</v>
      </c>
      <c r="C903" s="50" t="s">
        <v>419</v>
      </c>
      <c r="D903" s="51" t="s">
        <v>402</v>
      </c>
      <c r="E903" s="52" t="s">
        <v>415</v>
      </c>
      <c r="F903" s="52"/>
      <c r="G903" s="52" t="s">
        <v>194</v>
      </c>
      <c r="H903" s="52" t="s">
        <v>62</v>
      </c>
      <c r="I903" s="52">
        <v>2014</v>
      </c>
      <c r="J903" s="52"/>
      <c r="K903" s="52" t="s">
        <v>63</v>
      </c>
      <c r="L903" s="52" t="s">
        <v>64</v>
      </c>
      <c r="M903" s="52">
        <v>4</v>
      </c>
      <c r="N903" s="53">
        <f t="shared" si="591"/>
        <v>2431000</v>
      </c>
      <c r="O903" s="53">
        <v>9724000</v>
      </c>
      <c r="P903" s="52"/>
      <c r="Q903" s="52"/>
      <c r="R903" s="52"/>
      <c r="S903" s="53">
        <f t="shared" si="592"/>
        <v>9724000</v>
      </c>
      <c r="T903" s="52">
        <v>5</v>
      </c>
      <c r="U903" s="53"/>
      <c r="V903" s="52">
        <v>0.5</v>
      </c>
      <c r="W903" s="53">
        <f t="shared" si="593"/>
        <v>0</v>
      </c>
      <c r="X903" s="52"/>
      <c r="Y903" s="53">
        <f t="shared" si="597"/>
        <v>0</v>
      </c>
      <c r="Z903" s="53">
        <f t="shared" si="595"/>
        <v>0</v>
      </c>
      <c r="AA903" s="52">
        <v>5</v>
      </c>
      <c r="AB903" s="53">
        <v>9724000</v>
      </c>
      <c r="AC903" s="53">
        <f t="shared" si="598"/>
        <v>0</v>
      </c>
      <c r="AD903" s="56" t="s">
        <v>328</v>
      </c>
      <c r="AE903" s="56"/>
      <c r="AG903" s="5"/>
    </row>
    <row r="904" spans="1:33" s="1" customFormat="1" ht="10.5" x14ac:dyDescent="0.25">
      <c r="A904" s="49">
        <v>21</v>
      </c>
      <c r="B904" s="22" t="s">
        <v>1758</v>
      </c>
      <c r="C904" s="50" t="s">
        <v>420</v>
      </c>
      <c r="D904" s="51" t="s">
        <v>402</v>
      </c>
      <c r="E904" s="52" t="s">
        <v>415</v>
      </c>
      <c r="F904" s="52"/>
      <c r="G904" s="52" t="s">
        <v>194</v>
      </c>
      <c r="H904" s="52" t="s">
        <v>62</v>
      </c>
      <c r="I904" s="52">
        <v>2014</v>
      </c>
      <c r="J904" s="52"/>
      <c r="K904" s="52" t="s">
        <v>63</v>
      </c>
      <c r="L904" s="52" t="s">
        <v>64</v>
      </c>
      <c r="M904" s="52">
        <v>1</v>
      </c>
      <c r="N904" s="53">
        <f t="shared" si="591"/>
        <v>2431000</v>
      </c>
      <c r="O904" s="53">
        <v>2431000</v>
      </c>
      <c r="P904" s="52"/>
      <c r="Q904" s="52"/>
      <c r="R904" s="52"/>
      <c r="S904" s="53">
        <f t="shared" si="592"/>
        <v>2431000</v>
      </c>
      <c r="T904" s="52">
        <v>5</v>
      </c>
      <c r="U904" s="53"/>
      <c r="V904" s="52">
        <v>0.5</v>
      </c>
      <c r="W904" s="53">
        <f t="shared" si="593"/>
        <v>0</v>
      </c>
      <c r="X904" s="52"/>
      <c r="Y904" s="53">
        <f t="shared" si="597"/>
        <v>0</v>
      </c>
      <c r="Z904" s="53">
        <f t="shared" si="595"/>
        <v>0</v>
      </c>
      <c r="AA904" s="52">
        <v>5</v>
      </c>
      <c r="AB904" s="53">
        <v>2431000</v>
      </c>
      <c r="AC904" s="53">
        <f t="shared" si="598"/>
        <v>0</v>
      </c>
      <c r="AD904" s="56" t="s">
        <v>331</v>
      </c>
      <c r="AE904" s="56"/>
      <c r="AG904" s="5"/>
    </row>
    <row r="905" spans="1:33" s="1" customFormat="1" ht="10.5" x14ac:dyDescent="0.25">
      <c r="A905" s="49">
        <v>22</v>
      </c>
      <c r="B905" s="22" t="s">
        <v>1758</v>
      </c>
      <c r="C905" s="50" t="s">
        <v>421</v>
      </c>
      <c r="D905" s="51" t="s">
        <v>402</v>
      </c>
      <c r="E905" s="52" t="s">
        <v>415</v>
      </c>
      <c r="F905" s="52"/>
      <c r="G905" s="52" t="s">
        <v>194</v>
      </c>
      <c r="H905" s="52" t="s">
        <v>62</v>
      </c>
      <c r="I905" s="52">
        <v>2014</v>
      </c>
      <c r="J905" s="52"/>
      <c r="K905" s="52" t="s">
        <v>63</v>
      </c>
      <c r="L905" s="52" t="s">
        <v>64</v>
      </c>
      <c r="M905" s="52">
        <v>3</v>
      </c>
      <c r="N905" s="53">
        <f t="shared" si="591"/>
        <v>2431000</v>
      </c>
      <c r="O905" s="53">
        <v>7293000</v>
      </c>
      <c r="P905" s="52"/>
      <c r="Q905" s="52"/>
      <c r="R905" s="52"/>
      <c r="S905" s="53">
        <f t="shared" si="592"/>
        <v>7293000</v>
      </c>
      <c r="T905" s="52">
        <v>5</v>
      </c>
      <c r="U905" s="53"/>
      <c r="V905" s="52">
        <v>0.5</v>
      </c>
      <c r="W905" s="53">
        <f t="shared" si="593"/>
        <v>0</v>
      </c>
      <c r="X905" s="52"/>
      <c r="Y905" s="53">
        <f t="shared" si="597"/>
        <v>0</v>
      </c>
      <c r="Z905" s="53">
        <f t="shared" si="595"/>
        <v>0</v>
      </c>
      <c r="AA905" s="52">
        <v>5</v>
      </c>
      <c r="AB905" s="53">
        <v>7293000</v>
      </c>
      <c r="AC905" s="53">
        <f t="shared" si="598"/>
        <v>0</v>
      </c>
      <c r="AD905" s="56" t="s">
        <v>276</v>
      </c>
      <c r="AE905" s="56"/>
      <c r="AG905" s="5"/>
    </row>
    <row r="906" spans="1:33" s="1" customFormat="1" ht="10.5" x14ac:dyDescent="0.25">
      <c r="A906" s="49">
        <v>23</v>
      </c>
      <c r="B906" s="22" t="s">
        <v>1758</v>
      </c>
      <c r="C906" s="50" t="s">
        <v>422</v>
      </c>
      <c r="D906" s="51" t="s">
        <v>402</v>
      </c>
      <c r="E906" s="52" t="s">
        <v>415</v>
      </c>
      <c r="F906" s="52"/>
      <c r="G906" s="52" t="s">
        <v>194</v>
      </c>
      <c r="H906" s="52" t="s">
        <v>62</v>
      </c>
      <c r="I906" s="52">
        <v>2014</v>
      </c>
      <c r="J906" s="52"/>
      <c r="K906" s="52" t="s">
        <v>63</v>
      </c>
      <c r="L906" s="52" t="s">
        <v>64</v>
      </c>
      <c r="M906" s="52">
        <v>1</v>
      </c>
      <c r="N906" s="53">
        <f t="shared" si="591"/>
        <v>2431000</v>
      </c>
      <c r="O906" s="53">
        <v>2431000</v>
      </c>
      <c r="P906" s="52"/>
      <c r="Q906" s="52"/>
      <c r="R906" s="52"/>
      <c r="S906" s="53">
        <f t="shared" si="592"/>
        <v>2431000</v>
      </c>
      <c r="T906" s="52">
        <v>5</v>
      </c>
      <c r="U906" s="53"/>
      <c r="V906" s="52">
        <v>0.5</v>
      </c>
      <c r="W906" s="53">
        <f t="shared" si="593"/>
        <v>0</v>
      </c>
      <c r="X906" s="52"/>
      <c r="Y906" s="53">
        <f t="shared" si="597"/>
        <v>0</v>
      </c>
      <c r="Z906" s="53">
        <f t="shared" si="595"/>
        <v>0</v>
      </c>
      <c r="AA906" s="52">
        <v>5</v>
      </c>
      <c r="AB906" s="53">
        <v>2431000</v>
      </c>
      <c r="AC906" s="53">
        <f t="shared" si="598"/>
        <v>0</v>
      </c>
      <c r="AD906" s="56" t="s">
        <v>208</v>
      </c>
      <c r="AE906" s="56"/>
      <c r="AG906" s="5"/>
    </row>
    <row r="907" spans="1:33" s="1" customFormat="1" ht="10.5" x14ac:dyDescent="0.25">
      <c r="A907" s="49">
        <v>24</v>
      </c>
      <c r="B907" s="22" t="s">
        <v>1758</v>
      </c>
      <c r="C907" s="50" t="s">
        <v>423</v>
      </c>
      <c r="D907" s="51" t="s">
        <v>402</v>
      </c>
      <c r="E907" s="52" t="s">
        <v>415</v>
      </c>
      <c r="F907" s="52"/>
      <c r="G907" s="52" t="s">
        <v>194</v>
      </c>
      <c r="H907" s="52" t="s">
        <v>62</v>
      </c>
      <c r="I907" s="52">
        <v>2014</v>
      </c>
      <c r="J907" s="52"/>
      <c r="K907" s="52" t="s">
        <v>63</v>
      </c>
      <c r="L907" s="52" t="s">
        <v>64</v>
      </c>
      <c r="M907" s="52">
        <v>1</v>
      </c>
      <c r="N907" s="53">
        <f t="shared" si="591"/>
        <v>2431000</v>
      </c>
      <c r="O907" s="53">
        <v>2431000</v>
      </c>
      <c r="P907" s="52"/>
      <c r="Q907" s="52"/>
      <c r="R907" s="52"/>
      <c r="S907" s="53">
        <f t="shared" si="592"/>
        <v>2431000</v>
      </c>
      <c r="T907" s="52">
        <v>5</v>
      </c>
      <c r="U907" s="53"/>
      <c r="V907" s="52">
        <v>0.5</v>
      </c>
      <c r="W907" s="53">
        <f t="shared" si="593"/>
        <v>0</v>
      </c>
      <c r="X907" s="52"/>
      <c r="Y907" s="53">
        <f t="shared" si="597"/>
        <v>0</v>
      </c>
      <c r="Z907" s="53">
        <f t="shared" si="595"/>
        <v>0</v>
      </c>
      <c r="AA907" s="52">
        <v>5</v>
      </c>
      <c r="AB907" s="53">
        <v>2431000</v>
      </c>
      <c r="AC907" s="53">
        <f t="shared" si="598"/>
        <v>0</v>
      </c>
      <c r="AD907" s="56" t="s">
        <v>333</v>
      </c>
      <c r="AE907" s="56"/>
      <c r="AG907" s="5"/>
    </row>
    <row r="908" spans="1:33" s="1" customFormat="1" ht="10.5" x14ac:dyDescent="0.25">
      <c r="A908" s="49">
        <v>25</v>
      </c>
      <c r="B908" s="22" t="s">
        <v>1758</v>
      </c>
      <c r="C908" s="50" t="s">
        <v>424</v>
      </c>
      <c r="D908" s="51" t="s">
        <v>402</v>
      </c>
      <c r="E908" s="52" t="s">
        <v>415</v>
      </c>
      <c r="F908" s="52"/>
      <c r="G908" s="52" t="s">
        <v>194</v>
      </c>
      <c r="H908" s="52" t="s">
        <v>62</v>
      </c>
      <c r="I908" s="52">
        <v>2014</v>
      </c>
      <c r="J908" s="52"/>
      <c r="K908" s="52" t="s">
        <v>63</v>
      </c>
      <c r="L908" s="52" t="s">
        <v>64</v>
      </c>
      <c r="M908" s="52">
        <v>2</v>
      </c>
      <c r="N908" s="53">
        <f t="shared" si="591"/>
        <v>2431000</v>
      </c>
      <c r="O908" s="53">
        <v>4862000</v>
      </c>
      <c r="P908" s="52"/>
      <c r="Q908" s="52"/>
      <c r="R908" s="52"/>
      <c r="S908" s="53">
        <f t="shared" si="592"/>
        <v>4862000</v>
      </c>
      <c r="T908" s="52">
        <v>5</v>
      </c>
      <c r="U908" s="53"/>
      <c r="V908" s="52">
        <v>0.5</v>
      </c>
      <c r="W908" s="53">
        <f t="shared" si="593"/>
        <v>0</v>
      </c>
      <c r="X908" s="52"/>
      <c r="Y908" s="53">
        <f t="shared" si="597"/>
        <v>0</v>
      </c>
      <c r="Z908" s="53">
        <f t="shared" si="595"/>
        <v>0</v>
      </c>
      <c r="AA908" s="52">
        <v>5</v>
      </c>
      <c r="AB908" s="53">
        <v>4862000</v>
      </c>
      <c r="AC908" s="53">
        <f t="shared" si="598"/>
        <v>0</v>
      </c>
      <c r="AD908" s="56" t="s">
        <v>250</v>
      </c>
      <c r="AE908" s="56"/>
      <c r="AG908" s="5"/>
    </row>
    <row r="909" spans="1:33" s="1" customFormat="1" ht="10.5" x14ac:dyDescent="0.25">
      <c r="A909" s="49">
        <v>26</v>
      </c>
      <c r="B909" s="22" t="s">
        <v>1758</v>
      </c>
      <c r="C909" s="50" t="s">
        <v>425</v>
      </c>
      <c r="D909" s="51" t="s">
        <v>402</v>
      </c>
      <c r="E909" s="52" t="s">
        <v>426</v>
      </c>
      <c r="F909" s="52"/>
      <c r="G909" s="52" t="s">
        <v>194</v>
      </c>
      <c r="H909" s="52" t="s">
        <v>62</v>
      </c>
      <c r="I909" s="52">
        <v>2014</v>
      </c>
      <c r="J909" s="52"/>
      <c r="K909" s="52" t="s">
        <v>63</v>
      </c>
      <c r="L909" s="52" t="s">
        <v>167</v>
      </c>
      <c r="M909" s="52">
        <v>3</v>
      </c>
      <c r="N909" s="53">
        <f t="shared" si="591"/>
        <v>2035000</v>
      </c>
      <c r="O909" s="53">
        <v>6105000</v>
      </c>
      <c r="P909" s="52"/>
      <c r="Q909" s="52"/>
      <c r="R909" s="52"/>
      <c r="S909" s="53">
        <f t="shared" si="592"/>
        <v>6105000</v>
      </c>
      <c r="T909" s="52">
        <v>5</v>
      </c>
      <c r="U909" s="53"/>
      <c r="V909" s="52">
        <v>0.5</v>
      </c>
      <c r="W909" s="53">
        <f t="shared" si="593"/>
        <v>0</v>
      </c>
      <c r="X909" s="52"/>
      <c r="Y909" s="53">
        <f t="shared" si="597"/>
        <v>0</v>
      </c>
      <c r="Z909" s="53">
        <f t="shared" si="595"/>
        <v>0</v>
      </c>
      <c r="AA909" s="52">
        <v>5</v>
      </c>
      <c r="AB909" s="53">
        <v>6105000</v>
      </c>
      <c r="AC909" s="53">
        <f t="shared" si="598"/>
        <v>0</v>
      </c>
      <c r="AD909" s="56" t="s">
        <v>250</v>
      </c>
      <c r="AE909" s="56"/>
      <c r="AG909" s="5"/>
    </row>
    <row r="910" spans="1:33" s="1" customFormat="1" ht="10.5" x14ac:dyDescent="0.25">
      <c r="A910" s="49">
        <v>27</v>
      </c>
      <c r="B910" s="22" t="s">
        <v>1758</v>
      </c>
      <c r="C910" s="50" t="s">
        <v>427</v>
      </c>
      <c r="D910" s="51" t="s">
        <v>402</v>
      </c>
      <c r="E910" s="52" t="s">
        <v>426</v>
      </c>
      <c r="F910" s="52"/>
      <c r="G910" s="52" t="s">
        <v>194</v>
      </c>
      <c r="H910" s="52" t="s">
        <v>62</v>
      </c>
      <c r="I910" s="52">
        <v>2014</v>
      </c>
      <c r="J910" s="52"/>
      <c r="K910" s="52" t="s">
        <v>63</v>
      </c>
      <c r="L910" s="52" t="s">
        <v>167</v>
      </c>
      <c r="M910" s="52">
        <v>1</v>
      </c>
      <c r="N910" s="53">
        <f t="shared" si="591"/>
        <v>2035000</v>
      </c>
      <c r="O910" s="53">
        <v>2035000</v>
      </c>
      <c r="P910" s="52"/>
      <c r="Q910" s="52"/>
      <c r="R910" s="52"/>
      <c r="S910" s="53">
        <f t="shared" si="592"/>
        <v>2035000</v>
      </c>
      <c r="T910" s="52">
        <v>5</v>
      </c>
      <c r="U910" s="53"/>
      <c r="V910" s="52">
        <v>0.5</v>
      </c>
      <c r="W910" s="53">
        <f t="shared" si="593"/>
        <v>0</v>
      </c>
      <c r="X910" s="52"/>
      <c r="Y910" s="53">
        <f t="shared" si="597"/>
        <v>0</v>
      </c>
      <c r="Z910" s="53">
        <f t="shared" si="595"/>
        <v>0</v>
      </c>
      <c r="AA910" s="52">
        <v>5</v>
      </c>
      <c r="AB910" s="53">
        <v>2035000</v>
      </c>
      <c r="AC910" s="53">
        <f t="shared" si="598"/>
        <v>0</v>
      </c>
      <c r="AD910" s="56" t="s">
        <v>250</v>
      </c>
      <c r="AE910" s="56"/>
      <c r="AG910" s="5"/>
    </row>
    <row r="911" spans="1:33" s="1" customFormat="1" ht="10.5" x14ac:dyDescent="0.25">
      <c r="A911" s="49">
        <v>28</v>
      </c>
      <c r="B911" s="22" t="s">
        <v>1758</v>
      </c>
      <c r="C911" s="50" t="s">
        <v>428</v>
      </c>
      <c r="D911" s="51" t="s">
        <v>402</v>
      </c>
      <c r="E911" s="52" t="s">
        <v>426</v>
      </c>
      <c r="F911" s="52"/>
      <c r="G911" s="52" t="s">
        <v>194</v>
      </c>
      <c r="H911" s="52" t="s">
        <v>62</v>
      </c>
      <c r="I911" s="52">
        <v>2014</v>
      </c>
      <c r="J911" s="52"/>
      <c r="K911" s="52" t="s">
        <v>63</v>
      </c>
      <c r="L911" s="52" t="s">
        <v>302</v>
      </c>
      <c r="M911" s="52">
        <v>1</v>
      </c>
      <c r="N911" s="53">
        <f t="shared" si="591"/>
        <v>2035000</v>
      </c>
      <c r="O911" s="53">
        <v>2035000</v>
      </c>
      <c r="P911" s="52"/>
      <c r="Q911" s="52"/>
      <c r="R911" s="52"/>
      <c r="S911" s="53">
        <f t="shared" si="592"/>
        <v>2035000</v>
      </c>
      <c r="T911" s="52">
        <v>5</v>
      </c>
      <c r="U911" s="53"/>
      <c r="V911" s="52">
        <v>0.5</v>
      </c>
      <c r="W911" s="53">
        <f t="shared" si="593"/>
        <v>0</v>
      </c>
      <c r="X911" s="52"/>
      <c r="Y911" s="53">
        <f t="shared" si="597"/>
        <v>0</v>
      </c>
      <c r="Z911" s="53">
        <f t="shared" si="595"/>
        <v>0</v>
      </c>
      <c r="AA911" s="52">
        <v>5</v>
      </c>
      <c r="AB911" s="53">
        <v>2035000</v>
      </c>
      <c r="AC911" s="53">
        <f t="shared" si="598"/>
        <v>0</v>
      </c>
      <c r="AD911" s="56" t="s">
        <v>276</v>
      </c>
      <c r="AE911" s="56"/>
      <c r="AG911" s="5"/>
    </row>
    <row r="912" spans="1:33" s="1" customFormat="1" ht="10.5" x14ac:dyDescent="0.25">
      <c r="A912" s="49">
        <v>29</v>
      </c>
      <c r="B912" s="22" t="s">
        <v>1758</v>
      </c>
      <c r="C912" s="50" t="s">
        <v>429</v>
      </c>
      <c r="D912" s="51" t="s">
        <v>402</v>
      </c>
      <c r="E912" s="52" t="s">
        <v>430</v>
      </c>
      <c r="F912" s="52"/>
      <c r="G912" s="52" t="s">
        <v>194</v>
      </c>
      <c r="H912" s="52" t="s">
        <v>62</v>
      </c>
      <c r="I912" s="52">
        <v>2014</v>
      </c>
      <c r="J912" s="52"/>
      <c r="K912" s="52" t="s">
        <v>63</v>
      </c>
      <c r="L912" s="52" t="s">
        <v>64</v>
      </c>
      <c r="M912" s="52">
        <v>1</v>
      </c>
      <c r="N912" s="53">
        <f t="shared" si="591"/>
        <v>2497000</v>
      </c>
      <c r="O912" s="53">
        <v>2497000</v>
      </c>
      <c r="P912" s="52"/>
      <c r="Q912" s="52"/>
      <c r="R912" s="52"/>
      <c r="S912" s="53">
        <f t="shared" si="592"/>
        <v>2497000</v>
      </c>
      <c r="T912" s="52">
        <v>5</v>
      </c>
      <c r="U912" s="53"/>
      <c r="V912" s="52">
        <v>0.5</v>
      </c>
      <c r="W912" s="53">
        <f t="shared" si="593"/>
        <v>0</v>
      </c>
      <c r="X912" s="52"/>
      <c r="Y912" s="53">
        <f t="shared" si="597"/>
        <v>0</v>
      </c>
      <c r="Z912" s="53">
        <f t="shared" si="595"/>
        <v>0</v>
      </c>
      <c r="AA912" s="52">
        <v>5</v>
      </c>
      <c r="AB912" s="53">
        <v>2497000</v>
      </c>
      <c r="AC912" s="53">
        <f t="shared" si="598"/>
        <v>0</v>
      </c>
      <c r="AD912" s="56" t="s">
        <v>328</v>
      </c>
      <c r="AE912" s="56"/>
      <c r="AG912" s="5"/>
    </row>
    <row r="913" spans="1:33" s="1" customFormat="1" ht="10.5" x14ac:dyDescent="0.25">
      <c r="A913" s="49">
        <v>30</v>
      </c>
      <c r="B913" s="22" t="s">
        <v>1758</v>
      </c>
      <c r="C913" s="50" t="s">
        <v>431</v>
      </c>
      <c r="D913" s="51" t="s">
        <v>402</v>
      </c>
      <c r="E913" s="52" t="s">
        <v>430</v>
      </c>
      <c r="F913" s="52"/>
      <c r="G913" s="52" t="s">
        <v>194</v>
      </c>
      <c r="H913" s="52" t="s">
        <v>62</v>
      </c>
      <c r="I913" s="52">
        <v>2014</v>
      </c>
      <c r="J913" s="52"/>
      <c r="K913" s="52" t="s">
        <v>63</v>
      </c>
      <c r="L913" s="52" t="s">
        <v>64</v>
      </c>
      <c r="M913" s="52">
        <v>1</v>
      </c>
      <c r="N913" s="53">
        <f t="shared" si="591"/>
        <v>2497000</v>
      </c>
      <c r="O913" s="53">
        <v>2497000</v>
      </c>
      <c r="P913" s="52"/>
      <c r="Q913" s="52"/>
      <c r="R913" s="52"/>
      <c r="S913" s="53">
        <f t="shared" si="592"/>
        <v>2497000</v>
      </c>
      <c r="T913" s="52">
        <v>5</v>
      </c>
      <c r="U913" s="53"/>
      <c r="V913" s="52">
        <v>0.5</v>
      </c>
      <c r="W913" s="53">
        <f t="shared" si="593"/>
        <v>0</v>
      </c>
      <c r="X913" s="52"/>
      <c r="Y913" s="53">
        <f t="shared" si="597"/>
        <v>0</v>
      </c>
      <c r="Z913" s="53">
        <f t="shared" si="595"/>
        <v>0</v>
      </c>
      <c r="AA913" s="52">
        <v>5</v>
      </c>
      <c r="AB913" s="53">
        <v>2497000</v>
      </c>
      <c r="AC913" s="53">
        <f t="shared" si="598"/>
        <v>0</v>
      </c>
      <c r="AD913" s="56" t="s">
        <v>331</v>
      </c>
      <c r="AE913" s="56"/>
      <c r="AG913" s="5"/>
    </row>
    <row r="914" spans="1:33" s="1" customFormat="1" ht="10.5" x14ac:dyDescent="0.25">
      <c r="A914" s="49">
        <v>31</v>
      </c>
      <c r="B914" s="22" t="s">
        <v>1758</v>
      </c>
      <c r="C914" s="50" t="s">
        <v>432</v>
      </c>
      <c r="D914" s="51" t="s">
        <v>402</v>
      </c>
      <c r="E914" s="52" t="s">
        <v>433</v>
      </c>
      <c r="F914" s="52"/>
      <c r="G914" s="52" t="s">
        <v>194</v>
      </c>
      <c r="H914" s="52" t="s">
        <v>62</v>
      </c>
      <c r="I914" s="52">
        <v>2017</v>
      </c>
      <c r="J914" s="52"/>
      <c r="K914" s="52" t="s">
        <v>63</v>
      </c>
      <c r="L914" s="52" t="s">
        <v>64</v>
      </c>
      <c r="M914" s="52">
        <v>2</v>
      </c>
      <c r="N914" s="53">
        <f t="shared" si="591"/>
        <v>2497000</v>
      </c>
      <c r="O914" s="53">
        <v>4994000</v>
      </c>
      <c r="P914" s="52"/>
      <c r="Q914" s="52"/>
      <c r="R914" s="52"/>
      <c r="S914" s="53">
        <f t="shared" si="592"/>
        <v>4994000</v>
      </c>
      <c r="T914" s="52">
        <v>5</v>
      </c>
      <c r="U914" s="53">
        <f t="shared" ref="U914:U925" si="599">SUM(S914/T914)</f>
        <v>998800</v>
      </c>
      <c r="V914" s="52">
        <v>0.5</v>
      </c>
      <c r="W914" s="53">
        <f>SUM(U914*V914)-416166.666666666</f>
        <v>83233.333333334012</v>
      </c>
      <c r="X914" s="52"/>
      <c r="Y914" s="53">
        <f t="shared" si="597"/>
        <v>0</v>
      </c>
      <c r="Z914" s="53">
        <f t="shared" si="595"/>
        <v>83233.333333334012</v>
      </c>
      <c r="AA914" s="57">
        <f>2022-I914+V914+X914-1/12-5/12</f>
        <v>5</v>
      </c>
      <c r="AB914" s="53">
        <f t="shared" ref="AB914:AB925" si="600">SUM(U914*AA914)</f>
        <v>4994000</v>
      </c>
      <c r="AC914" s="53">
        <f t="shared" si="598"/>
        <v>0</v>
      </c>
      <c r="AD914" s="56" t="s">
        <v>434</v>
      </c>
      <c r="AE914" s="56"/>
      <c r="AG914" s="5"/>
    </row>
    <row r="915" spans="1:33" s="1" customFormat="1" ht="10.5" x14ac:dyDescent="0.25">
      <c r="A915" s="49">
        <v>32</v>
      </c>
      <c r="B915" s="22" t="s">
        <v>1758</v>
      </c>
      <c r="C915" s="50" t="s">
        <v>435</v>
      </c>
      <c r="D915" s="51" t="s">
        <v>402</v>
      </c>
      <c r="E915" s="52" t="s">
        <v>433</v>
      </c>
      <c r="F915" s="52"/>
      <c r="G915" s="52" t="s">
        <v>194</v>
      </c>
      <c r="H915" s="52" t="s">
        <v>62</v>
      </c>
      <c r="I915" s="52">
        <v>2017</v>
      </c>
      <c r="J915" s="52"/>
      <c r="K915" s="52" t="s">
        <v>63</v>
      </c>
      <c r="L915" s="52" t="s">
        <v>64</v>
      </c>
      <c r="M915" s="52">
        <v>1</v>
      </c>
      <c r="N915" s="53">
        <f t="shared" si="591"/>
        <v>2497000</v>
      </c>
      <c r="O915" s="53">
        <v>2497000</v>
      </c>
      <c r="P915" s="52"/>
      <c r="Q915" s="52"/>
      <c r="R915" s="52"/>
      <c r="S915" s="53">
        <f t="shared" si="592"/>
        <v>2497000</v>
      </c>
      <c r="T915" s="52">
        <v>5</v>
      </c>
      <c r="U915" s="53">
        <f t="shared" si="599"/>
        <v>499400</v>
      </c>
      <c r="V915" s="52">
        <v>0.5</v>
      </c>
      <c r="W915" s="53">
        <f t="shared" ref="W915:W922" si="601">SUM(U915*V915)-208083.333333333</f>
        <v>41616.666666667006</v>
      </c>
      <c r="X915" s="52"/>
      <c r="Y915" s="53">
        <f t="shared" si="597"/>
        <v>0</v>
      </c>
      <c r="Z915" s="53">
        <f t="shared" si="595"/>
        <v>41616.666666667006</v>
      </c>
      <c r="AA915" s="57">
        <f t="shared" ref="AA915:AA922" si="602">2022-I915+V915+X915-1/12-5/12</f>
        <v>5</v>
      </c>
      <c r="AB915" s="53">
        <f t="shared" si="600"/>
        <v>2497000</v>
      </c>
      <c r="AC915" s="53">
        <f t="shared" si="598"/>
        <v>0</v>
      </c>
      <c r="AD915" s="56" t="s">
        <v>331</v>
      </c>
      <c r="AE915" s="56"/>
      <c r="AG915" s="5"/>
    </row>
    <row r="916" spans="1:33" s="1" customFormat="1" ht="10.5" x14ac:dyDescent="0.25">
      <c r="A916" s="49">
        <v>33</v>
      </c>
      <c r="B916" s="22" t="s">
        <v>1758</v>
      </c>
      <c r="C916" s="50" t="s">
        <v>436</v>
      </c>
      <c r="D916" s="51" t="s">
        <v>402</v>
      </c>
      <c r="E916" s="52" t="s">
        <v>433</v>
      </c>
      <c r="F916" s="52"/>
      <c r="G916" s="52" t="s">
        <v>194</v>
      </c>
      <c r="H916" s="52" t="s">
        <v>62</v>
      </c>
      <c r="I916" s="52">
        <v>2017</v>
      </c>
      <c r="J916" s="52"/>
      <c r="K916" s="52" t="s">
        <v>63</v>
      </c>
      <c r="L916" s="52" t="s">
        <v>64</v>
      </c>
      <c r="M916" s="52">
        <v>1</v>
      </c>
      <c r="N916" s="53">
        <f t="shared" si="591"/>
        <v>2497000</v>
      </c>
      <c r="O916" s="53">
        <v>2497000</v>
      </c>
      <c r="P916" s="52"/>
      <c r="Q916" s="52"/>
      <c r="R916" s="52"/>
      <c r="S916" s="53">
        <f t="shared" si="592"/>
        <v>2497000</v>
      </c>
      <c r="T916" s="52">
        <v>5</v>
      </c>
      <c r="U916" s="53">
        <f t="shared" si="599"/>
        <v>499400</v>
      </c>
      <c r="V916" s="52">
        <v>0.5</v>
      </c>
      <c r="W916" s="53">
        <f t="shared" si="601"/>
        <v>41616.666666667006</v>
      </c>
      <c r="X916" s="52"/>
      <c r="Y916" s="53">
        <f t="shared" si="597"/>
        <v>0</v>
      </c>
      <c r="Z916" s="53">
        <f t="shared" si="595"/>
        <v>41616.666666667006</v>
      </c>
      <c r="AA916" s="57">
        <f t="shared" si="602"/>
        <v>5</v>
      </c>
      <c r="AB916" s="53">
        <f t="shared" si="600"/>
        <v>2497000</v>
      </c>
      <c r="AC916" s="53">
        <f t="shared" si="598"/>
        <v>0</v>
      </c>
      <c r="AD916" s="56" t="s">
        <v>276</v>
      </c>
      <c r="AE916" s="56"/>
      <c r="AG916" s="5"/>
    </row>
    <row r="917" spans="1:33" s="1" customFormat="1" ht="10.5" x14ac:dyDescent="0.25">
      <c r="A917" s="49">
        <v>34</v>
      </c>
      <c r="B917" s="22" t="s">
        <v>1758</v>
      </c>
      <c r="C917" s="50" t="s">
        <v>437</v>
      </c>
      <c r="D917" s="51" t="s">
        <v>402</v>
      </c>
      <c r="E917" s="52" t="s">
        <v>433</v>
      </c>
      <c r="F917" s="52"/>
      <c r="G917" s="52" t="s">
        <v>194</v>
      </c>
      <c r="H917" s="52" t="s">
        <v>62</v>
      </c>
      <c r="I917" s="52">
        <v>2017</v>
      </c>
      <c r="J917" s="52"/>
      <c r="K917" s="52" t="s">
        <v>63</v>
      </c>
      <c r="L917" s="52" t="s">
        <v>64</v>
      </c>
      <c r="M917" s="52">
        <v>1</v>
      </c>
      <c r="N917" s="53">
        <f t="shared" si="591"/>
        <v>2497000</v>
      </c>
      <c r="O917" s="53">
        <v>2497000</v>
      </c>
      <c r="P917" s="52"/>
      <c r="Q917" s="52"/>
      <c r="R917" s="52"/>
      <c r="S917" s="53">
        <f t="shared" si="592"/>
        <v>2497000</v>
      </c>
      <c r="T917" s="52">
        <v>5</v>
      </c>
      <c r="U917" s="53">
        <f t="shared" si="599"/>
        <v>499400</v>
      </c>
      <c r="V917" s="52">
        <v>0.5</v>
      </c>
      <c r="W917" s="53">
        <f t="shared" si="601"/>
        <v>41616.666666667006</v>
      </c>
      <c r="X917" s="52"/>
      <c r="Y917" s="53">
        <f t="shared" si="597"/>
        <v>0</v>
      </c>
      <c r="Z917" s="53">
        <f t="shared" si="595"/>
        <v>41616.666666667006</v>
      </c>
      <c r="AA917" s="57">
        <f t="shared" si="602"/>
        <v>5</v>
      </c>
      <c r="AB917" s="53">
        <f t="shared" si="600"/>
        <v>2497000</v>
      </c>
      <c r="AC917" s="53">
        <f t="shared" si="598"/>
        <v>0</v>
      </c>
      <c r="AD917" s="56" t="s">
        <v>352</v>
      </c>
      <c r="AE917" s="56"/>
      <c r="AG917" s="5"/>
    </row>
    <row r="918" spans="1:33" s="1" customFormat="1" ht="10.5" x14ac:dyDescent="0.25">
      <c r="A918" s="49">
        <v>35</v>
      </c>
      <c r="B918" s="22" t="s">
        <v>1758</v>
      </c>
      <c r="C918" s="50" t="s">
        <v>438</v>
      </c>
      <c r="D918" s="51" t="s">
        <v>402</v>
      </c>
      <c r="E918" s="52" t="s">
        <v>433</v>
      </c>
      <c r="F918" s="52"/>
      <c r="G918" s="52" t="s">
        <v>194</v>
      </c>
      <c r="H918" s="52" t="s">
        <v>62</v>
      </c>
      <c r="I918" s="52">
        <v>2017</v>
      </c>
      <c r="J918" s="52"/>
      <c r="K918" s="52" t="s">
        <v>63</v>
      </c>
      <c r="L918" s="52" t="s">
        <v>64</v>
      </c>
      <c r="M918" s="52">
        <v>1</v>
      </c>
      <c r="N918" s="53">
        <f t="shared" si="591"/>
        <v>2497000</v>
      </c>
      <c r="O918" s="53">
        <v>2497000</v>
      </c>
      <c r="P918" s="52"/>
      <c r="Q918" s="52"/>
      <c r="R918" s="52"/>
      <c r="S918" s="53">
        <f t="shared" si="592"/>
        <v>2497000</v>
      </c>
      <c r="T918" s="52">
        <v>5</v>
      </c>
      <c r="U918" s="53">
        <f t="shared" si="599"/>
        <v>499400</v>
      </c>
      <c r="V918" s="52">
        <v>0.5</v>
      </c>
      <c r="W918" s="53">
        <f t="shared" si="601"/>
        <v>41616.666666667006</v>
      </c>
      <c r="X918" s="52"/>
      <c r="Y918" s="53">
        <f t="shared" si="597"/>
        <v>0</v>
      </c>
      <c r="Z918" s="53">
        <f t="shared" si="595"/>
        <v>41616.666666667006</v>
      </c>
      <c r="AA918" s="57">
        <f t="shared" si="602"/>
        <v>5</v>
      </c>
      <c r="AB918" s="53">
        <f t="shared" si="600"/>
        <v>2497000</v>
      </c>
      <c r="AC918" s="53">
        <f t="shared" si="598"/>
        <v>0</v>
      </c>
      <c r="AD918" s="56" t="s">
        <v>439</v>
      </c>
      <c r="AE918" s="56"/>
      <c r="AG918" s="5"/>
    </row>
    <row r="919" spans="1:33" s="1" customFormat="1" ht="10.5" x14ac:dyDescent="0.25">
      <c r="A919" s="49">
        <v>36</v>
      </c>
      <c r="B919" s="22" t="s">
        <v>1758</v>
      </c>
      <c r="C919" s="50" t="s">
        <v>440</v>
      </c>
      <c r="D919" s="51" t="s">
        <v>402</v>
      </c>
      <c r="E919" s="52" t="s">
        <v>433</v>
      </c>
      <c r="F919" s="52"/>
      <c r="G919" s="52" t="s">
        <v>194</v>
      </c>
      <c r="H919" s="52" t="s">
        <v>62</v>
      </c>
      <c r="I919" s="52">
        <v>2017</v>
      </c>
      <c r="J919" s="52"/>
      <c r="K919" s="52" t="s">
        <v>63</v>
      </c>
      <c r="L919" s="52" t="s">
        <v>64</v>
      </c>
      <c r="M919" s="52">
        <v>1</v>
      </c>
      <c r="N919" s="53">
        <f t="shared" si="591"/>
        <v>2497000</v>
      </c>
      <c r="O919" s="53">
        <v>2497000</v>
      </c>
      <c r="P919" s="52"/>
      <c r="Q919" s="52"/>
      <c r="R919" s="52"/>
      <c r="S919" s="53">
        <f t="shared" si="592"/>
        <v>2497000</v>
      </c>
      <c r="T919" s="52">
        <v>5</v>
      </c>
      <c r="U919" s="53">
        <f t="shared" si="599"/>
        <v>499400</v>
      </c>
      <c r="V919" s="52">
        <v>0.5</v>
      </c>
      <c r="W919" s="53">
        <f t="shared" si="601"/>
        <v>41616.666666667006</v>
      </c>
      <c r="X919" s="52"/>
      <c r="Y919" s="53">
        <f t="shared" si="597"/>
        <v>0</v>
      </c>
      <c r="Z919" s="53">
        <f t="shared" si="595"/>
        <v>41616.666666667006</v>
      </c>
      <c r="AA919" s="57">
        <f t="shared" si="602"/>
        <v>5</v>
      </c>
      <c r="AB919" s="53">
        <f t="shared" si="600"/>
        <v>2497000</v>
      </c>
      <c r="AC919" s="53">
        <f t="shared" si="598"/>
        <v>0</v>
      </c>
      <c r="AD919" s="56" t="s">
        <v>326</v>
      </c>
      <c r="AE919" s="56"/>
      <c r="AG919" s="5"/>
    </row>
    <row r="920" spans="1:33" s="1" customFormat="1" ht="10.5" x14ac:dyDescent="0.25">
      <c r="A920" s="49">
        <v>37</v>
      </c>
      <c r="B920" s="22" t="s">
        <v>1758</v>
      </c>
      <c r="C920" s="50" t="s">
        <v>441</v>
      </c>
      <c r="D920" s="51" t="s">
        <v>402</v>
      </c>
      <c r="E920" s="52" t="s">
        <v>433</v>
      </c>
      <c r="F920" s="52"/>
      <c r="G920" s="52" t="s">
        <v>194</v>
      </c>
      <c r="H920" s="52" t="s">
        <v>62</v>
      </c>
      <c r="I920" s="52">
        <v>2017</v>
      </c>
      <c r="J920" s="52"/>
      <c r="K920" s="52" t="s">
        <v>63</v>
      </c>
      <c r="L920" s="52" t="s">
        <v>64</v>
      </c>
      <c r="M920" s="52">
        <v>1</v>
      </c>
      <c r="N920" s="53">
        <f t="shared" si="591"/>
        <v>2497000</v>
      </c>
      <c r="O920" s="53">
        <v>2497000</v>
      </c>
      <c r="P920" s="52"/>
      <c r="Q920" s="52"/>
      <c r="R920" s="52"/>
      <c r="S920" s="53">
        <f t="shared" si="592"/>
        <v>2497000</v>
      </c>
      <c r="T920" s="52">
        <v>5</v>
      </c>
      <c r="U920" s="53">
        <f t="shared" si="599"/>
        <v>499400</v>
      </c>
      <c r="V920" s="52">
        <v>0.5</v>
      </c>
      <c r="W920" s="53">
        <f t="shared" si="601"/>
        <v>41616.666666667006</v>
      </c>
      <c r="X920" s="52"/>
      <c r="Y920" s="53">
        <f t="shared" si="597"/>
        <v>0</v>
      </c>
      <c r="Z920" s="53">
        <f t="shared" si="595"/>
        <v>41616.666666667006</v>
      </c>
      <c r="AA920" s="57">
        <f t="shared" si="602"/>
        <v>5</v>
      </c>
      <c r="AB920" s="53">
        <f t="shared" si="600"/>
        <v>2497000</v>
      </c>
      <c r="AC920" s="53">
        <f t="shared" si="598"/>
        <v>0</v>
      </c>
      <c r="AD920" s="56" t="s">
        <v>324</v>
      </c>
      <c r="AE920" s="56"/>
      <c r="AG920" s="5"/>
    </row>
    <row r="921" spans="1:33" s="1" customFormat="1" ht="10.5" x14ac:dyDescent="0.25">
      <c r="A921" s="49">
        <v>38</v>
      </c>
      <c r="B921" s="22" t="s">
        <v>1758</v>
      </c>
      <c r="C921" s="50" t="s">
        <v>442</v>
      </c>
      <c r="D921" s="51" t="s">
        <v>402</v>
      </c>
      <c r="E921" s="52" t="s">
        <v>433</v>
      </c>
      <c r="F921" s="52"/>
      <c r="G921" s="52" t="s">
        <v>194</v>
      </c>
      <c r="H921" s="52" t="s">
        <v>62</v>
      </c>
      <c r="I921" s="52">
        <v>2017</v>
      </c>
      <c r="J921" s="52"/>
      <c r="K921" s="52" t="s">
        <v>63</v>
      </c>
      <c r="L921" s="52" t="s">
        <v>64</v>
      </c>
      <c r="M921" s="52">
        <v>1</v>
      </c>
      <c r="N921" s="53">
        <f t="shared" si="591"/>
        <v>2497000</v>
      </c>
      <c r="O921" s="53">
        <v>2497000</v>
      </c>
      <c r="P921" s="52"/>
      <c r="Q921" s="52"/>
      <c r="R921" s="52"/>
      <c r="S921" s="53">
        <f t="shared" si="592"/>
        <v>2497000</v>
      </c>
      <c r="T921" s="52">
        <v>5</v>
      </c>
      <c r="U921" s="53">
        <f t="shared" si="599"/>
        <v>499400</v>
      </c>
      <c r="V921" s="52">
        <v>0.5</v>
      </c>
      <c r="W921" s="53">
        <f t="shared" si="601"/>
        <v>41616.666666667006</v>
      </c>
      <c r="X921" s="52"/>
      <c r="Y921" s="53">
        <f t="shared" si="597"/>
        <v>0</v>
      </c>
      <c r="Z921" s="53">
        <f t="shared" si="595"/>
        <v>41616.666666667006</v>
      </c>
      <c r="AA921" s="57">
        <f t="shared" si="602"/>
        <v>5</v>
      </c>
      <c r="AB921" s="53">
        <f t="shared" si="600"/>
        <v>2497000</v>
      </c>
      <c r="AC921" s="53">
        <f t="shared" si="598"/>
        <v>0</v>
      </c>
      <c r="AD921" s="56" t="s">
        <v>218</v>
      </c>
      <c r="AE921" s="56"/>
      <c r="AG921" s="5"/>
    </row>
    <row r="922" spans="1:33" s="1" customFormat="1" ht="10.5" x14ac:dyDescent="0.25">
      <c r="A922" s="49">
        <v>39</v>
      </c>
      <c r="B922" s="22" t="s">
        <v>1758</v>
      </c>
      <c r="C922" s="50" t="s">
        <v>443</v>
      </c>
      <c r="D922" s="51" t="s">
        <v>402</v>
      </c>
      <c r="E922" s="52" t="s">
        <v>433</v>
      </c>
      <c r="F922" s="52"/>
      <c r="G922" s="52" t="s">
        <v>194</v>
      </c>
      <c r="H922" s="52" t="s">
        <v>62</v>
      </c>
      <c r="I922" s="52">
        <v>2017</v>
      </c>
      <c r="J922" s="52"/>
      <c r="K922" s="52" t="s">
        <v>63</v>
      </c>
      <c r="L922" s="52" t="s">
        <v>64</v>
      </c>
      <c r="M922" s="52">
        <v>1</v>
      </c>
      <c r="N922" s="53">
        <f t="shared" si="591"/>
        <v>2497000</v>
      </c>
      <c r="O922" s="53">
        <v>2497000</v>
      </c>
      <c r="P922" s="52"/>
      <c r="Q922" s="52"/>
      <c r="R922" s="52"/>
      <c r="S922" s="53">
        <f t="shared" si="592"/>
        <v>2497000</v>
      </c>
      <c r="T922" s="52">
        <v>5</v>
      </c>
      <c r="U922" s="53">
        <f t="shared" si="599"/>
        <v>499400</v>
      </c>
      <c r="V922" s="52">
        <v>0.5</v>
      </c>
      <c r="W922" s="53">
        <f t="shared" si="601"/>
        <v>41616.666666667006</v>
      </c>
      <c r="X922" s="52"/>
      <c r="Y922" s="53">
        <f t="shared" si="597"/>
        <v>0</v>
      </c>
      <c r="Z922" s="53">
        <f t="shared" si="595"/>
        <v>41616.666666667006</v>
      </c>
      <c r="AA922" s="57">
        <f t="shared" si="602"/>
        <v>5</v>
      </c>
      <c r="AB922" s="53">
        <f t="shared" si="600"/>
        <v>2497000</v>
      </c>
      <c r="AC922" s="53">
        <f t="shared" si="598"/>
        <v>0</v>
      </c>
      <c r="AD922" s="56" t="s">
        <v>333</v>
      </c>
      <c r="AE922" s="56"/>
      <c r="AG922" s="5"/>
    </row>
    <row r="923" spans="1:33" s="1" customFormat="1" ht="10.5" x14ac:dyDescent="0.25">
      <c r="A923" s="49">
        <v>40</v>
      </c>
      <c r="B923" s="22" t="s">
        <v>1758</v>
      </c>
      <c r="C923" s="50" t="s">
        <v>444</v>
      </c>
      <c r="D923" s="51" t="s">
        <v>402</v>
      </c>
      <c r="E923" s="52" t="s">
        <v>445</v>
      </c>
      <c r="F923" s="52"/>
      <c r="G923" s="52" t="s">
        <v>194</v>
      </c>
      <c r="H923" s="52" t="s">
        <v>62</v>
      </c>
      <c r="I923" s="52">
        <v>2018</v>
      </c>
      <c r="J923" s="52"/>
      <c r="K923" s="52" t="s">
        <v>63</v>
      </c>
      <c r="L923" s="52" t="s">
        <v>64</v>
      </c>
      <c r="M923" s="52">
        <v>10</v>
      </c>
      <c r="N923" s="53">
        <f t="shared" si="591"/>
        <v>2850100</v>
      </c>
      <c r="O923" s="53">
        <v>28501000</v>
      </c>
      <c r="P923" s="52"/>
      <c r="Q923" s="52"/>
      <c r="R923" s="52"/>
      <c r="S923" s="53">
        <f t="shared" si="592"/>
        <v>28501000</v>
      </c>
      <c r="T923" s="52">
        <v>5</v>
      </c>
      <c r="U923" s="53">
        <f t="shared" si="599"/>
        <v>5700200</v>
      </c>
      <c r="V923" s="52">
        <v>0.5</v>
      </c>
      <c r="W923" s="53">
        <f t="shared" si="593"/>
        <v>2850100</v>
      </c>
      <c r="X923" s="52">
        <v>0.5</v>
      </c>
      <c r="Y923" s="53">
        <f t="shared" si="597"/>
        <v>2850100</v>
      </c>
      <c r="Z923" s="53">
        <f t="shared" si="595"/>
        <v>5700200</v>
      </c>
      <c r="AA923" s="57">
        <f>2022-I923+V923+X923-10/12</f>
        <v>4.166666666666667</v>
      </c>
      <c r="AB923" s="53">
        <f t="shared" si="600"/>
        <v>23750833.333333336</v>
      </c>
      <c r="AC923" s="53">
        <f t="shared" si="598"/>
        <v>4750166.6666666642</v>
      </c>
      <c r="AD923" s="56"/>
      <c r="AE923" s="56"/>
      <c r="AG923" s="5"/>
    </row>
    <row r="924" spans="1:33" s="1" customFormat="1" ht="10.5" x14ac:dyDescent="0.25">
      <c r="A924" s="49">
        <v>41</v>
      </c>
      <c r="B924" s="22" t="s">
        <v>1758</v>
      </c>
      <c r="C924" s="50" t="s">
        <v>446</v>
      </c>
      <c r="D924" s="51" t="s">
        <v>402</v>
      </c>
      <c r="E924" s="52" t="s">
        <v>447</v>
      </c>
      <c r="F924" s="52"/>
      <c r="G924" s="52" t="s">
        <v>194</v>
      </c>
      <c r="H924" s="52" t="s">
        <v>62</v>
      </c>
      <c r="I924" s="52">
        <v>2018</v>
      </c>
      <c r="J924" s="52"/>
      <c r="K924" s="52" t="s">
        <v>63</v>
      </c>
      <c r="L924" s="52" t="s">
        <v>64</v>
      </c>
      <c r="M924" s="52">
        <v>1</v>
      </c>
      <c r="N924" s="53">
        <f t="shared" si="591"/>
        <v>2927870</v>
      </c>
      <c r="O924" s="53">
        <v>2927870</v>
      </c>
      <c r="P924" s="52"/>
      <c r="Q924" s="52"/>
      <c r="R924" s="52"/>
      <c r="S924" s="53">
        <f t="shared" si="592"/>
        <v>2927870</v>
      </c>
      <c r="T924" s="52">
        <v>5</v>
      </c>
      <c r="U924" s="53">
        <f t="shared" si="599"/>
        <v>585574</v>
      </c>
      <c r="V924" s="52">
        <v>0.5</v>
      </c>
      <c r="W924" s="53">
        <f t="shared" si="593"/>
        <v>292787</v>
      </c>
      <c r="X924" s="52">
        <v>0.5</v>
      </c>
      <c r="Y924" s="53">
        <f t="shared" si="597"/>
        <v>292787</v>
      </c>
      <c r="Z924" s="53">
        <f t="shared" si="595"/>
        <v>585574</v>
      </c>
      <c r="AA924" s="57">
        <f>2022-I924+V924+X924-10/12</f>
        <v>4.166666666666667</v>
      </c>
      <c r="AB924" s="53">
        <f t="shared" si="600"/>
        <v>2439891.666666667</v>
      </c>
      <c r="AC924" s="53">
        <f t="shared" si="598"/>
        <v>487978.33333333302</v>
      </c>
      <c r="AD924" s="56"/>
      <c r="AE924" s="56"/>
      <c r="AG924" s="5"/>
    </row>
    <row r="925" spans="1:33" s="1" customFormat="1" ht="10.5" x14ac:dyDescent="0.25">
      <c r="A925" s="49">
        <v>42</v>
      </c>
      <c r="B925" s="22" t="s">
        <v>1758</v>
      </c>
      <c r="C925" s="73" t="s">
        <v>448</v>
      </c>
      <c r="D925" s="51" t="s">
        <v>402</v>
      </c>
      <c r="E925" s="52" t="s">
        <v>449</v>
      </c>
      <c r="F925" s="52"/>
      <c r="G925" s="52" t="s">
        <v>194</v>
      </c>
      <c r="H925" s="52" t="s">
        <v>62</v>
      </c>
      <c r="I925" s="52">
        <v>2019</v>
      </c>
      <c r="J925" s="52"/>
      <c r="K925" s="52" t="s">
        <v>63</v>
      </c>
      <c r="L925" s="52" t="s">
        <v>64</v>
      </c>
      <c r="M925" s="52">
        <v>1</v>
      </c>
      <c r="N925" s="53">
        <v>2927770</v>
      </c>
      <c r="O925" s="53">
        <v>2927770</v>
      </c>
      <c r="P925" s="52"/>
      <c r="Q925" s="52"/>
      <c r="R925" s="52"/>
      <c r="S925" s="53">
        <v>2927770</v>
      </c>
      <c r="T925" s="52">
        <v>5</v>
      </c>
      <c r="U925" s="53">
        <f t="shared" si="599"/>
        <v>585554</v>
      </c>
      <c r="V925" s="52">
        <v>0.5</v>
      </c>
      <c r="W925" s="53">
        <f t="shared" si="593"/>
        <v>292777</v>
      </c>
      <c r="X925" s="52">
        <v>0.5</v>
      </c>
      <c r="Y925" s="53">
        <f t="shared" si="597"/>
        <v>292777</v>
      </c>
      <c r="Z925" s="53">
        <f t="shared" si="595"/>
        <v>585554</v>
      </c>
      <c r="AA925" s="57">
        <f>2022-I925+V925+X925-8/12</f>
        <v>3.3333333333333335</v>
      </c>
      <c r="AB925" s="53">
        <f t="shared" si="600"/>
        <v>1951846.6666666667</v>
      </c>
      <c r="AC925" s="53">
        <f t="shared" si="598"/>
        <v>975923.33333333326</v>
      </c>
      <c r="AD925" s="56" t="s">
        <v>450</v>
      </c>
      <c r="AE925" s="56" t="s">
        <v>451</v>
      </c>
      <c r="AG925" s="5"/>
    </row>
    <row r="926" spans="1:33" s="1" customFormat="1" ht="10.5" x14ac:dyDescent="0.25">
      <c r="A926" s="49">
        <v>43</v>
      </c>
      <c r="B926" s="22" t="s">
        <v>1758</v>
      </c>
      <c r="C926" s="73" t="s">
        <v>452</v>
      </c>
      <c r="D926" s="51" t="s">
        <v>402</v>
      </c>
      <c r="E926" s="52" t="s">
        <v>453</v>
      </c>
      <c r="F926" s="52"/>
      <c r="G926" s="52" t="s">
        <v>194</v>
      </c>
      <c r="H926" s="52" t="s">
        <v>62</v>
      </c>
      <c r="I926" s="52">
        <v>2022</v>
      </c>
      <c r="J926" s="52"/>
      <c r="K926" s="52" t="s">
        <v>63</v>
      </c>
      <c r="L926" s="52" t="s">
        <v>64</v>
      </c>
      <c r="M926" s="52">
        <v>1</v>
      </c>
      <c r="N926" s="53">
        <f t="shared" si="591"/>
        <v>3990020</v>
      </c>
      <c r="O926" s="53">
        <v>3990020</v>
      </c>
      <c r="P926" s="52"/>
      <c r="Q926" s="52"/>
      <c r="R926" s="52"/>
      <c r="S926" s="53">
        <f t="shared" ref="S926" si="603">SUM(O926-R926)</f>
        <v>3990020</v>
      </c>
      <c r="T926" s="52">
        <v>5</v>
      </c>
      <c r="U926" s="53">
        <f t="shared" ref="U926" si="604">SUM(S926/T926)</f>
        <v>798004</v>
      </c>
      <c r="V926" s="52"/>
      <c r="W926" s="53"/>
      <c r="X926" s="57">
        <f>1/12</f>
        <v>8.3333333333333329E-2</v>
      </c>
      <c r="Y926" s="53">
        <f t="shared" si="597"/>
        <v>66500.333333333328</v>
      </c>
      <c r="Z926" s="53">
        <f t="shared" si="595"/>
        <v>66500.333333333328</v>
      </c>
      <c r="AA926" s="57">
        <f>1/12</f>
        <v>8.3333333333333329E-2</v>
      </c>
      <c r="AB926" s="53">
        <f t="shared" ref="AB926" si="605">SUM(U926*AA926)</f>
        <v>66500.333333333328</v>
      </c>
      <c r="AC926" s="53">
        <f t="shared" si="598"/>
        <v>3923519.6666666665</v>
      </c>
      <c r="AD926" s="56"/>
      <c r="AE926" s="56"/>
      <c r="AG926" s="5"/>
    </row>
    <row r="927" spans="1:33" s="170" customFormat="1" ht="10.5" x14ac:dyDescent="0.25">
      <c r="A927" s="49">
        <v>50</v>
      </c>
      <c r="B927" s="22" t="s">
        <v>1759</v>
      </c>
      <c r="C927" s="22" t="s">
        <v>58</v>
      </c>
      <c r="D927" s="51" t="s">
        <v>994</v>
      </c>
      <c r="E927" s="24" t="s">
        <v>256</v>
      </c>
      <c r="F927" s="24"/>
      <c r="G927" s="24" t="s">
        <v>194</v>
      </c>
      <c r="H927" s="24" t="s">
        <v>62</v>
      </c>
      <c r="I927" s="24">
        <v>2005</v>
      </c>
      <c r="J927" s="24"/>
      <c r="K927" s="24" t="s">
        <v>63</v>
      </c>
      <c r="L927" s="24" t="s">
        <v>64</v>
      </c>
      <c r="M927" s="24">
        <v>1</v>
      </c>
      <c r="N927" s="41">
        <f t="shared" si="591"/>
        <v>1900000</v>
      </c>
      <c r="O927" s="41">
        <v>1900000</v>
      </c>
      <c r="P927" s="24"/>
      <c r="Q927" s="24"/>
      <c r="R927" s="24"/>
      <c r="S927" s="41">
        <f t="shared" ref="S927:S929" si="606">SUM(O927-R927)</f>
        <v>1900000</v>
      </c>
      <c r="T927" s="24">
        <v>5</v>
      </c>
      <c r="U927" s="41"/>
      <c r="V927" s="24">
        <v>0.5</v>
      </c>
      <c r="W927" s="41">
        <f t="shared" ref="W927:W928" si="607">SUM(U927*V927)</f>
        <v>0</v>
      </c>
      <c r="X927" s="24"/>
      <c r="Y927" s="41">
        <f t="shared" si="597"/>
        <v>0</v>
      </c>
      <c r="Z927" s="41">
        <f t="shared" ref="Z927:Z928" si="608">SUM(W927+Y927)</f>
        <v>0</v>
      </c>
      <c r="AA927" s="24">
        <v>5</v>
      </c>
      <c r="AB927" s="41">
        <v>1900000</v>
      </c>
      <c r="AC927" s="41">
        <f t="shared" ref="AC927:AC928" si="609">SUM(O927-AB927)</f>
        <v>0</v>
      </c>
      <c r="AD927" s="70" t="s">
        <v>213</v>
      </c>
      <c r="AE927" s="70"/>
      <c r="AG927" s="172"/>
    </row>
    <row r="928" spans="1:33" s="170" customFormat="1" ht="10.5" x14ac:dyDescent="0.25">
      <c r="A928" s="49">
        <v>51</v>
      </c>
      <c r="B928" s="22" t="s">
        <v>1759</v>
      </c>
      <c r="C928" s="22" t="s">
        <v>995</v>
      </c>
      <c r="D928" s="51" t="s">
        <v>996</v>
      </c>
      <c r="E928" s="24" t="s">
        <v>997</v>
      </c>
      <c r="F928" s="24"/>
      <c r="G928" s="24" t="s">
        <v>194</v>
      </c>
      <c r="H928" s="24" t="s">
        <v>62</v>
      </c>
      <c r="I928" s="24">
        <v>2018</v>
      </c>
      <c r="J928" s="24"/>
      <c r="K928" s="24" t="s">
        <v>63</v>
      </c>
      <c r="L928" s="24" t="s">
        <v>64</v>
      </c>
      <c r="M928" s="24">
        <v>5</v>
      </c>
      <c r="N928" s="41">
        <f t="shared" si="591"/>
        <v>1835600</v>
      </c>
      <c r="O928" s="41">
        <v>9178000</v>
      </c>
      <c r="P928" s="24"/>
      <c r="Q928" s="24"/>
      <c r="R928" s="24"/>
      <c r="S928" s="41">
        <f t="shared" si="606"/>
        <v>9178000</v>
      </c>
      <c r="T928" s="24">
        <v>5</v>
      </c>
      <c r="U928" s="41">
        <f t="shared" ref="U928" si="610">SUM(S928/T928)</f>
        <v>1835600</v>
      </c>
      <c r="V928" s="24">
        <v>0.5</v>
      </c>
      <c r="W928" s="41">
        <f t="shared" si="607"/>
        <v>917800</v>
      </c>
      <c r="X928" s="24">
        <v>0.5</v>
      </c>
      <c r="Y928" s="41">
        <f t="shared" si="597"/>
        <v>917800</v>
      </c>
      <c r="Z928" s="41">
        <f t="shared" si="608"/>
        <v>1835600</v>
      </c>
      <c r="AA928" s="72">
        <f>2022-I928+V928+X928-11/12</f>
        <v>4.083333333333333</v>
      </c>
      <c r="AB928" s="41">
        <f t="shared" ref="AB928" si="611">SUM(U928*AA928)</f>
        <v>7495366.666666666</v>
      </c>
      <c r="AC928" s="41">
        <f t="shared" si="609"/>
        <v>1682633.333333334</v>
      </c>
      <c r="AD928" s="70"/>
      <c r="AE928" s="70"/>
      <c r="AG928" s="172"/>
    </row>
    <row r="929" spans="1:33" s="1" customFormat="1" ht="10.5" x14ac:dyDescent="0.25">
      <c r="A929" s="49">
        <v>52</v>
      </c>
      <c r="B929" s="22" t="s">
        <v>1760</v>
      </c>
      <c r="C929" s="22" t="s">
        <v>79</v>
      </c>
      <c r="D929" s="51" t="s">
        <v>461</v>
      </c>
      <c r="E929" s="24" t="s">
        <v>462</v>
      </c>
      <c r="F929" s="24"/>
      <c r="G929" s="24" t="s">
        <v>194</v>
      </c>
      <c r="H929" s="24" t="s">
        <v>62</v>
      </c>
      <c r="I929" s="24">
        <v>2016</v>
      </c>
      <c r="J929" s="24"/>
      <c r="K929" s="24" t="s">
        <v>63</v>
      </c>
      <c r="L929" s="24" t="s">
        <v>64</v>
      </c>
      <c r="M929" s="24">
        <v>1</v>
      </c>
      <c r="N929" s="41">
        <f t="shared" si="591"/>
        <v>4980000</v>
      </c>
      <c r="O929" s="41">
        <v>4980000</v>
      </c>
      <c r="P929" s="24"/>
      <c r="Q929" s="24"/>
      <c r="R929" s="24"/>
      <c r="S929" s="41">
        <f t="shared" si="606"/>
        <v>4980000</v>
      </c>
      <c r="T929" s="24">
        <v>5</v>
      </c>
      <c r="U929" s="41">
        <f t="shared" ref="U929" si="612">SUM(S929/T929)</f>
        <v>996000</v>
      </c>
      <c r="V929" s="24">
        <v>0.5</v>
      </c>
      <c r="W929" s="41"/>
      <c r="X929" s="24"/>
      <c r="Y929" s="41">
        <f t="shared" si="597"/>
        <v>0</v>
      </c>
      <c r="Z929" s="41"/>
      <c r="AA929" s="24">
        <v>5</v>
      </c>
      <c r="AB929" s="41">
        <f t="shared" ref="AB929" si="613">SUM(U929*AA929)</f>
        <v>4980000</v>
      </c>
      <c r="AC929" s="41">
        <f t="shared" ref="AC929" si="614">SUM(O929-AB929)</f>
        <v>0</v>
      </c>
      <c r="AD929" s="70" t="s">
        <v>208</v>
      </c>
      <c r="AE929" s="56"/>
      <c r="AG929" s="5"/>
    </row>
    <row r="930" spans="1:33" s="1" customFormat="1" ht="10.5" x14ac:dyDescent="0.25">
      <c r="A930" s="49">
        <v>53</v>
      </c>
      <c r="B930" s="22" t="s">
        <v>1761</v>
      </c>
      <c r="C930" s="50" t="s">
        <v>277</v>
      </c>
      <c r="D930" s="51" t="s">
        <v>278</v>
      </c>
      <c r="E930" s="52" t="s">
        <v>279</v>
      </c>
      <c r="F930" s="52"/>
      <c r="G930" s="52" t="s">
        <v>194</v>
      </c>
      <c r="H930" s="52" t="s">
        <v>62</v>
      </c>
      <c r="I930" s="52">
        <v>2010</v>
      </c>
      <c r="J930" s="52"/>
      <c r="K930" s="52" t="s">
        <v>63</v>
      </c>
      <c r="L930" s="52" t="s">
        <v>64</v>
      </c>
      <c r="M930" s="52">
        <v>2</v>
      </c>
      <c r="N930" s="53">
        <f t="shared" ref="N930:N934" si="615">SUM(O930/M930)</f>
        <v>150000</v>
      </c>
      <c r="O930" s="53">
        <v>300000</v>
      </c>
      <c r="P930" s="52"/>
      <c r="Q930" s="52"/>
      <c r="R930" s="52"/>
      <c r="S930" s="53">
        <f t="shared" ref="S930:S934" si="616">SUM(O930-R930)</f>
        <v>300000</v>
      </c>
      <c r="T930" s="52">
        <v>5</v>
      </c>
      <c r="U930" s="53"/>
      <c r="V930" s="52">
        <v>0.5</v>
      </c>
      <c r="W930" s="53">
        <f t="shared" ref="W930:W934" si="617">SUM(U930*V930)</f>
        <v>0</v>
      </c>
      <c r="X930" s="52"/>
      <c r="Y930" s="53">
        <f t="shared" ref="Y930:Y934" si="618">SUM(U930*X930)</f>
        <v>0</v>
      </c>
      <c r="Z930" s="53">
        <f t="shared" ref="Z930:Z934" si="619">SUM(W930+Y930)</f>
        <v>0</v>
      </c>
      <c r="AA930" s="52">
        <v>5</v>
      </c>
      <c r="AB930" s="53">
        <v>300000</v>
      </c>
      <c r="AC930" s="53">
        <f t="shared" ref="AC930:AC936" si="620">SUM(O930-AB930)</f>
        <v>0</v>
      </c>
      <c r="AD930" s="56" t="s">
        <v>213</v>
      </c>
      <c r="AE930" s="56"/>
      <c r="AG930" s="5"/>
    </row>
    <row r="931" spans="1:33" s="1" customFormat="1" ht="10.5" x14ac:dyDescent="0.25">
      <c r="A931" s="49">
        <v>54</v>
      </c>
      <c r="B931" s="22" t="s">
        <v>1761</v>
      </c>
      <c r="C931" s="50" t="s">
        <v>280</v>
      </c>
      <c r="D931" s="51" t="s">
        <v>278</v>
      </c>
      <c r="E931" s="52" t="s">
        <v>279</v>
      </c>
      <c r="F931" s="52"/>
      <c r="G931" s="52" t="s">
        <v>194</v>
      </c>
      <c r="H931" s="52" t="s">
        <v>62</v>
      </c>
      <c r="I931" s="52">
        <v>2010</v>
      </c>
      <c r="J931" s="52"/>
      <c r="K931" s="52" t="s">
        <v>63</v>
      </c>
      <c r="L931" s="52" t="s">
        <v>64</v>
      </c>
      <c r="M931" s="52">
        <v>6</v>
      </c>
      <c r="N931" s="53">
        <f t="shared" si="615"/>
        <v>150000</v>
      </c>
      <c r="O931" s="53">
        <v>900000</v>
      </c>
      <c r="P931" s="52"/>
      <c r="Q931" s="52"/>
      <c r="R931" s="52"/>
      <c r="S931" s="53">
        <f t="shared" si="616"/>
        <v>900000</v>
      </c>
      <c r="T931" s="52">
        <v>5</v>
      </c>
      <c r="U931" s="53"/>
      <c r="V931" s="52">
        <v>0.5</v>
      </c>
      <c r="W931" s="53">
        <f t="shared" si="617"/>
        <v>0</v>
      </c>
      <c r="X931" s="52"/>
      <c r="Y931" s="53">
        <f t="shared" si="618"/>
        <v>0</v>
      </c>
      <c r="Z931" s="53">
        <f t="shared" si="619"/>
        <v>0</v>
      </c>
      <c r="AA931" s="52">
        <v>5</v>
      </c>
      <c r="AB931" s="53">
        <v>900000</v>
      </c>
      <c r="AC931" s="53">
        <f t="shared" si="620"/>
        <v>0</v>
      </c>
      <c r="AD931" s="56" t="s">
        <v>213</v>
      </c>
      <c r="AE931" s="56"/>
      <c r="AG931" s="5"/>
    </row>
    <row r="932" spans="1:33" s="1" customFormat="1" ht="10.5" x14ac:dyDescent="0.25">
      <c r="A932" s="49">
        <v>55</v>
      </c>
      <c r="B932" s="22" t="s">
        <v>1762</v>
      </c>
      <c r="C932" s="50" t="s">
        <v>247</v>
      </c>
      <c r="D932" s="51" t="s">
        <v>248</v>
      </c>
      <c r="E932" s="52" t="s">
        <v>249</v>
      </c>
      <c r="F932" s="52"/>
      <c r="G932" s="52" t="s">
        <v>194</v>
      </c>
      <c r="H932" s="52" t="s">
        <v>62</v>
      </c>
      <c r="I932" s="52">
        <v>2010</v>
      </c>
      <c r="J932" s="52"/>
      <c r="K932" s="52" t="s">
        <v>63</v>
      </c>
      <c r="L932" s="52" t="s">
        <v>64</v>
      </c>
      <c r="M932" s="52">
        <v>1</v>
      </c>
      <c r="N932" s="53">
        <f t="shared" si="615"/>
        <v>175000</v>
      </c>
      <c r="O932" s="53">
        <v>175000</v>
      </c>
      <c r="P932" s="52"/>
      <c r="Q932" s="52"/>
      <c r="R932" s="52"/>
      <c r="S932" s="53">
        <f t="shared" si="616"/>
        <v>175000</v>
      </c>
      <c r="T932" s="52">
        <v>5</v>
      </c>
      <c r="U932" s="53"/>
      <c r="V932" s="52">
        <v>0.5</v>
      </c>
      <c r="W932" s="53">
        <f t="shared" si="617"/>
        <v>0</v>
      </c>
      <c r="X932" s="52"/>
      <c r="Y932" s="53">
        <f t="shared" si="618"/>
        <v>0</v>
      </c>
      <c r="Z932" s="53">
        <f t="shared" si="619"/>
        <v>0</v>
      </c>
      <c r="AA932" s="52">
        <v>5</v>
      </c>
      <c r="AB932" s="53">
        <v>175000</v>
      </c>
      <c r="AC932" s="53">
        <f t="shared" si="620"/>
        <v>0</v>
      </c>
      <c r="AD932" s="56" t="s">
        <v>250</v>
      </c>
      <c r="AE932" s="56"/>
      <c r="AG932" s="5"/>
    </row>
    <row r="933" spans="1:33" s="1" customFormat="1" ht="10.5" x14ac:dyDescent="0.25">
      <c r="A933" s="49">
        <v>56</v>
      </c>
      <c r="B933" s="22" t="s">
        <v>1762</v>
      </c>
      <c r="C933" s="50" t="s">
        <v>251</v>
      </c>
      <c r="D933" s="51" t="s">
        <v>252</v>
      </c>
      <c r="E933" s="52" t="s">
        <v>253</v>
      </c>
      <c r="F933" s="52"/>
      <c r="G933" s="52" t="s">
        <v>194</v>
      </c>
      <c r="H933" s="52" t="s">
        <v>62</v>
      </c>
      <c r="I933" s="52">
        <v>2010</v>
      </c>
      <c r="J933" s="52"/>
      <c r="K933" s="52" t="s">
        <v>63</v>
      </c>
      <c r="L933" s="52" t="s">
        <v>64</v>
      </c>
      <c r="M933" s="52">
        <v>5</v>
      </c>
      <c r="N933" s="53">
        <f t="shared" si="615"/>
        <v>200000</v>
      </c>
      <c r="O933" s="53">
        <v>1000000</v>
      </c>
      <c r="P933" s="52"/>
      <c r="Q933" s="52"/>
      <c r="R933" s="52"/>
      <c r="S933" s="53">
        <f t="shared" si="616"/>
        <v>1000000</v>
      </c>
      <c r="T933" s="52">
        <v>5</v>
      </c>
      <c r="U933" s="53"/>
      <c r="V933" s="52">
        <v>0.5</v>
      </c>
      <c r="W933" s="53">
        <f t="shared" si="617"/>
        <v>0</v>
      </c>
      <c r="X933" s="52"/>
      <c r="Y933" s="53">
        <f t="shared" si="618"/>
        <v>0</v>
      </c>
      <c r="Z933" s="53">
        <f t="shared" si="619"/>
        <v>0</v>
      </c>
      <c r="AA933" s="52">
        <v>5</v>
      </c>
      <c r="AB933" s="53">
        <v>1000000</v>
      </c>
      <c r="AC933" s="53">
        <f t="shared" si="620"/>
        <v>0</v>
      </c>
      <c r="AD933" s="56" t="s">
        <v>250</v>
      </c>
      <c r="AE933" s="56"/>
      <c r="AG933" s="5"/>
    </row>
    <row r="934" spans="1:33" s="1" customFormat="1" ht="10.5" x14ac:dyDescent="0.25">
      <c r="A934" s="49">
        <v>57</v>
      </c>
      <c r="B934" s="22" t="s">
        <v>1762</v>
      </c>
      <c r="C934" s="50" t="s">
        <v>254</v>
      </c>
      <c r="D934" s="51" t="s">
        <v>252</v>
      </c>
      <c r="E934" s="52" t="s">
        <v>253</v>
      </c>
      <c r="F934" s="52"/>
      <c r="G934" s="52" t="s">
        <v>194</v>
      </c>
      <c r="H934" s="52" t="s">
        <v>62</v>
      </c>
      <c r="I934" s="52">
        <v>2010</v>
      </c>
      <c r="J934" s="52"/>
      <c r="K934" s="52" t="s">
        <v>63</v>
      </c>
      <c r="L934" s="52" t="s">
        <v>64</v>
      </c>
      <c r="M934" s="52">
        <v>5</v>
      </c>
      <c r="N934" s="53">
        <f t="shared" si="615"/>
        <v>150000</v>
      </c>
      <c r="O934" s="53">
        <v>750000</v>
      </c>
      <c r="P934" s="52"/>
      <c r="Q934" s="52"/>
      <c r="R934" s="52"/>
      <c r="S934" s="53">
        <f t="shared" si="616"/>
        <v>750000</v>
      </c>
      <c r="T934" s="52">
        <v>5</v>
      </c>
      <c r="U934" s="53"/>
      <c r="V934" s="52">
        <v>0.5</v>
      </c>
      <c r="W934" s="53">
        <f t="shared" si="617"/>
        <v>0</v>
      </c>
      <c r="X934" s="52"/>
      <c r="Y934" s="53">
        <f t="shared" si="618"/>
        <v>0</v>
      </c>
      <c r="Z934" s="53">
        <f t="shared" si="619"/>
        <v>0</v>
      </c>
      <c r="AA934" s="52">
        <v>5</v>
      </c>
      <c r="AB934" s="53">
        <v>750000</v>
      </c>
      <c r="AC934" s="53">
        <f t="shared" si="620"/>
        <v>0</v>
      </c>
      <c r="AD934" s="56" t="s">
        <v>250</v>
      </c>
      <c r="AE934" s="56"/>
      <c r="AG934" s="5"/>
    </row>
    <row r="935" spans="1:33" s="1" customFormat="1" ht="10.5" x14ac:dyDescent="0.25">
      <c r="A935" s="49">
        <v>58</v>
      </c>
      <c r="B935" s="22" t="s">
        <v>1757</v>
      </c>
      <c r="C935" s="22" t="s">
        <v>885</v>
      </c>
      <c r="D935" s="51" t="s">
        <v>886</v>
      </c>
      <c r="E935" s="24" t="s">
        <v>279</v>
      </c>
      <c r="F935" s="24"/>
      <c r="G935" s="24" t="s">
        <v>194</v>
      </c>
      <c r="H935" s="24" t="s">
        <v>62</v>
      </c>
      <c r="I935" s="24">
        <v>2008</v>
      </c>
      <c r="J935" s="24"/>
      <c r="K935" s="24" t="s">
        <v>63</v>
      </c>
      <c r="L935" s="24" t="s">
        <v>212</v>
      </c>
      <c r="M935" s="24">
        <v>10</v>
      </c>
      <c r="N935" s="41">
        <f t="shared" ref="N935" si="621">SUM(O935/M935)</f>
        <v>50000</v>
      </c>
      <c r="O935" s="41">
        <v>500000</v>
      </c>
      <c r="P935" s="24"/>
      <c r="Q935" s="24"/>
      <c r="R935" s="24"/>
      <c r="S935" s="41">
        <f t="shared" ref="S935" si="622">SUM(O935-R935)</f>
        <v>500000</v>
      </c>
      <c r="T935" s="24">
        <v>5</v>
      </c>
      <c r="U935" s="41"/>
      <c r="V935" s="24">
        <v>0.5</v>
      </c>
      <c r="W935" s="41">
        <f t="shared" ref="W935" si="623">SUM(U935*V935)</f>
        <v>0</v>
      </c>
      <c r="X935" s="24"/>
      <c r="Y935" s="41">
        <f t="shared" ref="Y935" si="624">SUM(U935*X935)</f>
        <v>0</v>
      </c>
      <c r="Z935" s="41">
        <f t="shared" ref="Z935" si="625">SUM(W935+Y935)</f>
        <v>0</v>
      </c>
      <c r="AA935" s="24">
        <v>5</v>
      </c>
      <c r="AB935" s="41">
        <v>500000</v>
      </c>
      <c r="AC935" s="41">
        <f t="shared" si="620"/>
        <v>0</v>
      </c>
      <c r="AD935" s="70" t="s">
        <v>213</v>
      </c>
      <c r="AE935" s="70"/>
      <c r="AG935" s="5"/>
    </row>
    <row r="936" spans="1:33" s="1" customFormat="1" ht="10.5" x14ac:dyDescent="0.25">
      <c r="A936" s="49">
        <v>59</v>
      </c>
      <c r="B936" s="22" t="s">
        <v>1763</v>
      </c>
      <c r="C936" s="50" t="s">
        <v>209</v>
      </c>
      <c r="D936" s="51" t="s">
        <v>210</v>
      </c>
      <c r="E936" s="52" t="s">
        <v>211</v>
      </c>
      <c r="F936" s="52"/>
      <c r="G936" s="52" t="s">
        <v>194</v>
      </c>
      <c r="H936" s="52" t="s">
        <v>62</v>
      </c>
      <c r="I936" s="52">
        <v>2008</v>
      </c>
      <c r="J936" s="52"/>
      <c r="K936" s="52" t="s">
        <v>63</v>
      </c>
      <c r="L936" s="52" t="s">
        <v>212</v>
      </c>
      <c r="M936" s="52">
        <v>2</v>
      </c>
      <c r="N936" s="53">
        <f t="shared" ref="N936" si="626">SUM(O936/M936)</f>
        <v>712500</v>
      </c>
      <c r="O936" s="53">
        <v>1425000</v>
      </c>
      <c r="P936" s="52"/>
      <c r="Q936" s="52"/>
      <c r="R936" s="52"/>
      <c r="S936" s="53">
        <f t="shared" ref="S936" si="627">SUM(O936-R936)</f>
        <v>1425000</v>
      </c>
      <c r="T936" s="52">
        <v>5</v>
      </c>
      <c r="U936" s="53"/>
      <c r="V936" s="52">
        <v>0.5</v>
      </c>
      <c r="W936" s="53">
        <f t="shared" ref="W936" si="628">SUM(U936*V936)</f>
        <v>0</v>
      </c>
      <c r="X936" s="52"/>
      <c r="Y936" s="53">
        <f t="shared" ref="Y936" si="629">SUM(U936*X936)</f>
        <v>0</v>
      </c>
      <c r="Z936" s="53">
        <f t="shared" ref="Z936" si="630">SUM(W936+Y936)</f>
        <v>0</v>
      </c>
      <c r="AA936" s="57">
        <v>5</v>
      </c>
      <c r="AB936" s="53">
        <v>1425000</v>
      </c>
      <c r="AC936" s="53">
        <f t="shared" si="620"/>
        <v>0</v>
      </c>
      <c r="AD936" s="56" t="s">
        <v>213</v>
      </c>
      <c r="AE936" s="56"/>
      <c r="AG936" s="5"/>
    </row>
    <row r="937" spans="1:33" s="1" customFormat="1" ht="10.5" x14ac:dyDescent="0.25">
      <c r="A937" s="49">
        <v>60</v>
      </c>
      <c r="B937" s="22" t="s">
        <v>1764</v>
      </c>
      <c r="C937" s="22" t="s">
        <v>58</v>
      </c>
      <c r="D937" s="51" t="s">
        <v>682</v>
      </c>
      <c r="E937" s="24" t="s">
        <v>683</v>
      </c>
      <c r="F937" s="24"/>
      <c r="G937" s="24" t="s">
        <v>260</v>
      </c>
      <c r="H937" s="24" t="s">
        <v>62</v>
      </c>
      <c r="I937" s="24">
        <v>2012</v>
      </c>
      <c r="J937" s="24"/>
      <c r="K937" s="24" t="s">
        <v>684</v>
      </c>
      <c r="L937" s="24" t="s">
        <v>64</v>
      </c>
      <c r="M937" s="24">
        <v>1</v>
      </c>
      <c r="N937" s="41">
        <f t="shared" ref="N937:N942" si="631">SUM(O937/M937)</f>
        <v>1950000</v>
      </c>
      <c r="O937" s="41">
        <v>1950000</v>
      </c>
      <c r="P937" s="24"/>
      <c r="Q937" s="24"/>
      <c r="R937" s="24"/>
      <c r="S937" s="41">
        <f t="shared" ref="S937:S941" si="632">SUM(O937-R937)</f>
        <v>1950000</v>
      </c>
      <c r="T937" s="24">
        <v>5</v>
      </c>
      <c r="U937" s="41"/>
      <c r="V937" s="24">
        <v>0.5</v>
      </c>
      <c r="W937" s="41">
        <f t="shared" ref="W937:W944" si="633">SUM(U937*V937)</f>
        <v>0</v>
      </c>
      <c r="X937" s="24"/>
      <c r="Y937" s="41">
        <f t="shared" ref="Y937:Y944" si="634">SUM(U937*X937)</f>
        <v>0</v>
      </c>
      <c r="Z937" s="41">
        <f t="shared" ref="Z937:Z944" si="635">SUM(W937+Y937)</f>
        <v>0</v>
      </c>
      <c r="AA937" s="24">
        <v>5</v>
      </c>
      <c r="AB937" s="41">
        <v>1950000</v>
      </c>
      <c r="AC937" s="41">
        <f t="shared" ref="AC937:AC944" si="636">SUM(O937-AB937)</f>
        <v>0</v>
      </c>
      <c r="AD937" s="70" t="s">
        <v>630</v>
      </c>
      <c r="AE937" s="70"/>
      <c r="AG937" s="5"/>
    </row>
    <row r="938" spans="1:33" s="1" customFormat="1" ht="10.5" x14ac:dyDescent="0.25">
      <c r="A938" s="49">
        <v>61</v>
      </c>
      <c r="B938" s="22" t="s">
        <v>1764</v>
      </c>
      <c r="C938" s="22" t="s">
        <v>75</v>
      </c>
      <c r="D938" s="51" t="s">
        <v>685</v>
      </c>
      <c r="E938" s="24" t="s">
        <v>686</v>
      </c>
      <c r="F938" s="24"/>
      <c r="G938" s="24" t="s">
        <v>260</v>
      </c>
      <c r="H938" s="24" t="s">
        <v>62</v>
      </c>
      <c r="I938" s="24">
        <v>2012</v>
      </c>
      <c r="J938" s="24"/>
      <c r="K938" s="24" t="s">
        <v>684</v>
      </c>
      <c r="L938" s="24" t="s">
        <v>64</v>
      </c>
      <c r="M938" s="24">
        <v>1</v>
      </c>
      <c r="N938" s="41">
        <f t="shared" si="631"/>
        <v>1936000</v>
      </c>
      <c r="O938" s="41">
        <v>1936000</v>
      </c>
      <c r="P938" s="24"/>
      <c r="Q938" s="24"/>
      <c r="R938" s="24"/>
      <c r="S938" s="41">
        <f t="shared" si="632"/>
        <v>1936000</v>
      </c>
      <c r="T938" s="24">
        <v>5</v>
      </c>
      <c r="U938" s="41"/>
      <c r="V938" s="24">
        <v>0.5</v>
      </c>
      <c r="W938" s="41">
        <f t="shared" si="633"/>
        <v>0</v>
      </c>
      <c r="X938" s="24"/>
      <c r="Y938" s="41">
        <f t="shared" si="634"/>
        <v>0</v>
      </c>
      <c r="Z938" s="41">
        <f t="shared" si="635"/>
        <v>0</v>
      </c>
      <c r="AA938" s="24">
        <v>5</v>
      </c>
      <c r="AB938" s="41">
        <v>1936000</v>
      </c>
      <c r="AC938" s="41">
        <f t="shared" si="636"/>
        <v>0</v>
      </c>
      <c r="AD938" s="70" t="s">
        <v>288</v>
      </c>
      <c r="AE938" s="70"/>
      <c r="AG938" s="5"/>
    </row>
    <row r="939" spans="1:33" s="1" customFormat="1" ht="10.5" x14ac:dyDescent="0.25">
      <c r="A939" s="49">
        <v>62</v>
      </c>
      <c r="B939" s="22" t="s">
        <v>1764</v>
      </c>
      <c r="C939" s="22" t="s">
        <v>58</v>
      </c>
      <c r="D939" s="51" t="s">
        <v>687</v>
      </c>
      <c r="E939" s="24" t="s">
        <v>688</v>
      </c>
      <c r="F939" s="24"/>
      <c r="G939" s="24" t="s">
        <v>260</v>
      </c>
      <c r="H939" s="24" t="s">
        <v>62</v>
      </c>
      <c r="I939" s="24">
        <v>2005</v>
      </c>
      <c r="J939" s="24"/>
      <c r="K939" s="24" t="s">
        <v>261</v>
      </c>
      <c r="L939" s="24" t="s">
        <v>212</v>
      </c>
      <c r="M939" s="24">
        <v>1</v>
      </c>
      <c r="N939" s="41">
        <f t="shared" si="631"/>
        <v>600000</v>
      </c>
      <c r="O939" s="41">
        <v>600000</v>
      </c>
      <c r="P939" s="24"/>
      <c r="Q939" s="24"/>
      <c r="R939" s="24"/>
      <c r="S939" s="41">
        <f t="shared" si="632"/>
        <v>600000</v>
      </c>
      <c r="T939" s="24">
        <v>5</v>
      </c>
      <c r="U939" s="41"/>
      <c r="V939" s="24">
        <v>0.5</v>
      </c>
      <c r="W939" s="41">
        <f t="shared" si="633"/>
        <v>0</v>
      </c>
      <c r="X939" s="24"/>
      <c r="Y939" s="41">
        <f t="shared" si="634"/>
        <v>0</v>
      </c>
      <c r="Z939" s="41">
        <f t="shared" si="635"/>
        <v>0</v>
      </c>
      <c r="AA939" s="24">
        <v>5</v>
      </c>
      <c r="AB939" s="41">
        <v>600000</v>
      </c>
      <c r="AC939" s="41">
        <f t="shared" si="636"/>
        <v>0</v>
      </c>
      <c r="AD939" s="70" t="s">
        <v>213</v>
      </c>
      <c r="AE939" s="70"/>
      <c r="AG939" s="5"/>
    </row>
    <row r="940" spans="1:33" s="1" customFormat="1" ht="10.5" x14ac:dyDescent="0.25">
      <c r="A940" s="49">
        <v>63</v>
      </c>
      <c r="B940" s="22" t="s">
        <v>1764</v>
      </c>
      <c r="C940" s="22" t="s">
        <v>79</v>
      </c>
      <c r="D940" s="51" t="s">
        <v>689</v>
      </c>
      <c r="E940" s="24" t="s">
        <v>686</v>
      </c>
      <c r="F940" s="24"/>
      <c r="G940" s="24" t="s">
        <v>260</v>
      </c>
      <c r="H940" s="24" t="s">
        <v>62</v>
      </c>
      <c r="I940" s="24">
        <v>2012</v>
      </c>
      <c r="J940" s="24"/>
      <c r="K940" s="24" t="s">
        <v>684</v>
      </c>
      <c r="L940" s="24" t="s">
        <v>64</v>
      </c>
      <c r="M940" s="24">
        <v>1</v>
      </c>
      <c r="N940" s="41">
        <f t="shared" si="631"/>
        <v>10000000</v>
      </c>
      <c r="O940" s="41">
        <v>10000000</v>
      </c>
      <c r="P940" s="24"/>
      <c r="Q940" s="24"/>
      <c r="R940" s="24"/>
      <c r="S940" s="41">
        <f t="shared" si="632"/>
        <v>10000000</v>
      </c>
      <c r="T940" s="24">
        <v>5</v>
      </c>
      <c r="U940" s="41"/>
      <c r="V940" s="24">
        <v>0.5</v>
      </c>
      <c r="W940" s="41">
        <f t="shared" si="633"/>
        <v>0</v>
      </c>
      <c r="X940" s="24"/>
      <c r="Y940" s="41">
        <f t="shared" si="634"/>
        <v>0</v>
      </c>
      <c r="Z940" s="41">
        <f t="shared" si="635"/>
        <v>0</v>
      </c>
      <c r="AA940" s="24">
        <v>5</v>
      </c>
      <c r="AB940" s="41">
        <v>10000000</v>
      </c>
      <c r="AC940" s="41">
        <f t="shared" si="636"/>
        <v>0</v>
      </c>
      <c r="AD940" s="70" t="s">
        <v>288</v>
      </c>
      <c r="AE940" s="70"/>
      <c r="AG940" s="5"/>
    </row>
    <row r="941" spans="1:33" s="1" customFormat="1" ht="10.5" x14ac:dyDescent="0.25">
      <c r="A941" s="49">
        <v>64</v>
      </c>
      <c r="B941" s="22" t="s">
        <v>1764</v>
      </c>
      <c r="C941" s="22" t="s">
        <v>84</v>
      </c>
      <c r="D941" s="51" t="s">
        <v>690</v>
      </c>
      <c r="E941" s="24" t="s">
        <v>691</v>
      </c>
      <c r="F941" s="24"/>
      <c r="G941" s="24" t="s">
        <v>260</v>
      </c>
      <c r="H941" s="24" t="s">
        <v>62</v>
      </c>
      <c r="I941" s="24">
        <v>2012</v>
      </c>
      <c r="J941" s="24"/>
      <c r="K941" s="24" t="s">
        <v>684</v>
      </c>
      <c r="L941" s="24" t="s">
        <v>64</v>
      </c>
      <c r="M941" s="24">
        <v>1</v>
      </c>
      <c r="N941" s="41">
        <f t="shared" si="631"/>
        <v>1300000</v>
      </c>
      <c r="O941" s="41">
        <v>1300000</v>
      </c>
      <c r="P941" s="24"/>
      <c r="Q941" s="24"/>
      <c r="R941" s="24"/>
      <c r="S941" s="41">
        <f t="shared" si="632"/>
        <v>1300000</v>
      </c>
      <c r="T941" s="24">
        <v>5</v>
      </c>
      <c r="U941" s="41"/>
      <c r="V941" s="24">
        <v>0.5</v>
      </c>
      <c r="W941" s="41">
        <f t="shared" si="633"/>
        <v>0</v>
      </c>
      <c r="X941" s="24"/>
      <c r="Y941" s="41">
        <f t="shared" si="634"/>
        <v>0</v>
      </c>
      <c r="Z941" s="41">
        <f t="shared" si="635"/>
        <v>0</v>
      </c>
      <c r="AA941" s="24">
        <v>5</v>
      </c>
      <c r="AB941" s="41">
        <v>1300000</v>
      </c>
      <c r="AC941" s="41">
        <f t="shared" si="636"/>
        <v>0</v>
      </c>
      <c r="AD941" s="70" t="s">
        <v>630</v>
      </c>
      <c r="AE941" s="70"/>
      <c r="AG941" s="5"/>
    </row>
    <row r="942" spans="1:33" s="1" customFormat="1" ht="10.5" x14ac:dyDescent="0.25">
      <c r="A942" s="49">
        <v>65</v>
      </c>
      <c r="B942" s="22" t="s">
        <v>1764</v>
      </c>
      <c r="C942" s="22" t="s">
        <v>343</v>
      </c>
      <c r="D942" s="51" t="s">
        <v>692</v>
      </c>
      <c r="E942" s="24" t="s">
        <v>691</v>
      </c>
      <c r="F942" s="24"/>
      <c r="G942" s="24" t="s">
        <v>260</v>
      </c>
      <c r="H942" s="24" t="s">
        <v>62</v>
      </c>
      <c r="I942" s="24">
        <v>2011</v>
      </c>
      <c r="J942" s="24"/>
      <c r="K942" s="24" t="s">
        <v>684</v>
      </c>
      <c r="L942" s="24" t="s">
        <v>64</v>
      </c>
      <c r="M942" s="24">
        <v>6</v>
      </c>
      <c r="N942" s="41">
        <f t="shared" si="631"/>
        <v>300000</v>
      </c>
      <c r="O942" s="41">
        <v>1800000</v>
      </c>
      <c r="P942" s="24"/>
      <c r="Q942" s="24"/>
      <c r="R942" s="24"/>
      <c r="S942" s="41">
        <f t="shared" ref="S942:S949" si="637">SUM(O942-R942)</f>
        <v>1800000</v>
      </c>
      <c r="T942" s="24">
        <v>5</v>
      </c>
      <c r="U942" s="41"/>
      <c r="V942" s="24">
        <v>0.5</v>
      </c>
      <c r="W942" s="41">
        <f t="shared" si="633"/>
        <v>0</v>
      </c>
      <c r="X942" s="24"/>
      <c r="Y942" s="41">
        <f t="shared" si="634"/>
        <v>0</v>
      </c>
      <c r="Z942" s="41">
        <f t="shared" si="635"/>
        <v>0</v>
      </c>
      <c r="AA942" s="24">
        <v>5</v>
      </c>
      <c r="AB942" s="41">
        <v>1800000</v>
      </c>
      <c r="AC942" s="41">
        <f t="shared" si="636"/>
        <v>0</v>
      </c>
      <c r="AD942" s="70" t="s">
        <v>295</v>
      </c>
      <c r="AE942" s="70"/>
      <c r="AG942" s="5"/>
    </row>
    <row r="943" spans="1:33" s="1" customFormat="1" ht="10.5" x14ac:dyDescent="0.25">
      <c r="A943" s="49">
        <v>66</v>
      </c>
      <c r="B943" s="22" t="s">
        <v>1764</v>
      </c>
      <c r="C943" s="22" t="s">
        <v>693</v>
      </c>
      <c r="D943" s="51" t="s">
        <v>694</v>
      </c>
      <c r="E943" s="24" t="s">
        <v>691</v>
      </c>
      <c r="F943" s="24"/>
      <c r="G943" s="24" t="s">
        <v>260</v>
      </c>
      <c r="H943" s="24" t="s">
        <v>62</v>
      </c>
      <c r="I943" s="24">
        <v>2011</v>
      </c>
      <c r="J943" s="24"/>
      <c r="K943" s="24" t="s">
        <v>684</v>
      </c>
      <c r="L943" s="24" t="s">
        <v>64</v>
      </c>
      <c r="M943" s="24">
        <v>3</v>
      </c>
      <c r="N943" s="41">
        <f t="shared" ref="N943:N944" si="638">SUM(O943/M943)</f>
        <v>300000</v>
      </c>
      <c r="O943" s="41">
        <v>900000</v>
      </c>
      <c r="P943" s="24"/>
      <c r="Q943" s="24"/>
      <c r="R943" s="24"/>
      <c r="S943" s="41">
        <f t="shared" si="637"/>
        <v>900000</v>
      </c>
      <c r="T943" s="24">
        <v>5</v>
      </c>
      <c r="U943" s="41"/>
      <c r="V943" s="24">
        <v>0.5</v>
      </c>
      <c r="W943" s="41">
        <f t="shared" si="633"/>
        <v>0</v>
      </c>
      <c r="X943" s="24"/>
      <c r="Y943" s="41">
        <f t="shared" si="634"/>
        <v>0</v>
      </c>
      <c r="Z943" s="41">
        <f t="shared" si="635"/>
        <v>0</v>
      </c>
      <c r="AA943" s="24">
        <v>5</v>
      </c>
      <c r="AB943" s="41">
        <v>900000</v>
      </c>
      <c r="AC943" s="41">
        <f t="shared" si="636"/>
        <v>0</v>
      </c>
      <c r="AD943" s="70" t="s">
        <v>287</v>
      </c>
      <c r="AE943" s="70"/>
      <c r="AG943" s="5"/>
    </row>
    <row r="944" spans="1:33" s="1" customFormat="1" ht="10.5" x14ac:dyDescent="0.25">
      <c r="A944" s="49">
        <v>67</v>
      </c>
      <c r="B944" s="22" t="s">
        <v>1764</v>
      </c>
      <c r="C944" s="22" t="s">
        <v>339</v>
      </c>
      <c r="D944" s="51" t="s">
        <v>690</v>
      </c>
      <c r="E944" s="24" t="s">
        <v>695</v>
      </c>
      <c r="F944" s="24"/>
      <c r="G944" s="24" t="s">
        <v>260</v>
      </c>
      <c r="H944" s="24" t="s">
        <v>62</v>
      </c>
      <c r="I944" s="24">
        <v>2011</v>
      </c>
      <c r="J944" s="24"/>
      <c r="K944" s="24" t="s">
        <v>696</v>
      </c>
      <c r="L944" s="24" t="s">
        <v>64</v>
      </c>
      <c r="M944" s="24">
        <v>2</v>
      </c>
      <c r="N944" s="41">
        <f t="shared" si="638"/>
        <v>300000</v>
      </c>
      <c r="O944" s="41">
        <v>600000</v>
      </c>
      <c r="P944" s="24"/>
      <c r="Q944" s="24"/>
      <c r="R944" s="24"/>
      <c r="S944" s="41">
        <f t="shared" si="637"/>
        <v>600000</v>
      </c>
      <c r="T944" s="24">
        <v>5</v>
      </c>
      <c r="U944" s="41"/>
      <c r="V944" s="24">
        <v>0.5</v>
      </c>
      <c r="W944" s="41">
        <f t="shared" si="633"/>
        <v>0</v>
      </c>
      <c r="X944" s="24"/>
      <c r="Y944" s="41">
        <f t="shared" si="634"/>
        <v>0</v>
      </c>
      <c r="Z944" s="41">
        <f t="shared" si="635"/>
        <v>0</v>
      </c>
      <c r="AA944" s="24">
        <v>5</v>
      </c>
      <c r="AB944" s="41">
        <v>600000</v>
      </c>
      <c r="AC944" s="41">
        <f t="shared" si="636"/>
        <v>0</v>
      </c>
      <c r="AD944" s="70" t="s">
        <v>295</v>
      </c>
      <c r="AE944" s="70"/>
      <c r="AG944" s="5"/>
    </row>
    <row r="945" spans="1:33" s="1" customFormat="1" ht="10.5" x14ac:dyDescent="0.25">
      <c r="A945" s="49">
        <v>68</v>
      </c>
      <c r="B945" s="22" t="s">
        <v>1765</v>
      </c>
      <c r="C945" s="73" t="s">
        <v>58</v>
      </c>
      <c r="D945" s="85" t="s">
        <v>1239</v>
      </c>
      <c r="E945" s="52"/>
      <c r="F945" s="52"/>
      <c r="G945" s="52" t="s">
        <v>466</v>
      </c>
      <c r="H945" s="52" t="s">
        <v>62</v>
      </c>
      <c r="I945" s="52">
        <v>2021</v>
      </c>
      <c r="J945" s="52"/>
      <c r="K945" s="52" t="s">
        <v>63</v>
      </c>
      <c r="L945" s="52" t="s">
        <v>64</v>
      </c>
      <c r="M945" s="52">
        <v>1</v>
      </c>
      <c r="N945" s="87">
        <v>42675820</v>
      </c>
      <c r="O945" s="87">
        <v>42675820</v>
      </c>
      <c r="P945" s="52"/>
      <c r="Q945" s="52"/>
      <c r="R945" s="52"/>
      <c r="S945" s="87">
        <f t="shared" si="637"/>
        <v>42675820</v>
      </c>
      <c r="T945" s="52">
        <v>5</v>
      </c>
      <c r="U945" s="87">
        <f t="shared" ref="U945" si="639">SUM(S945/T945)</f>
        <v>8535164</v>
      </c>
      <c r="V945" s="52">
        <v>0.5</v>
      </c>
      <c r="W945" s="87">
        <f t="shared" ref="W945:W949" si="640">SUM(U945*V945)</f>
        <v>4267582</v>
      </c>
      <c r="X945" s="52">
        <v>0.5</v>
      </c>
      <c r="Y945" s="87">
        <f t="shared" ref="Y945:Y949" si="641">SUM(U945*X945)</f>
        <v>4267582</v>
      </c>
      <c r="Z945" s="87">
        <f t="shared" ref="Z945:Z949" si="642">SUM(W945+Y945)</f>
        <v>8535164</v>
      </c>
      <c r="AA945" s="52">
        <f>3/12+0.5+0.5</f>
        <v>1.25</v>
      </c>
      <c r="AB945" s="87">
        <f t="shared" ref="AB945" si="643">SUM(U945*AA945)</f>
        <v>10668955</v>
      </c>
      <c r="AC945" s="87">
        <f t="shared" ref="AC945:AC949" si="644">SUM(O945-AB945)</f>
        <v>32006865</v>
      </c>
      <c r="AD945" s="52" t="s">
        <v>400</v>
      </c>
      <c r="AE945" s="24"/>
      <c r="AG945" s="5"/>
    </row>
    <row r="946" spans="1:33" s="1" customFormat="1" ht="10.5" x14ac:dyDescent="0.25">
      <c r="A946" s="49">
        <v>69</v>
      </c>
      <c r="B946" s="22" t="s">
        <v>1766</v>
      </c>
      <c r="C946" s="50" t="s">
        <v>255</v>
      </c>
      <c r="D946" s="51" t="s">
        <v>1767</v>
      </c>
      <c r="E946" s="52" t="s">
        <v>256</v>
      </c>
      <c r="F946" s="52"/>
      <c r="G946" s="52" t="s">
        <v>194</v>
      </c>
      <c r="H946" s="52" t="s">
        <v>62</v>
      </c>
      <c r="I946" s="52">
        <v>2005</v>
      </c>
      <c r="J946" s="52"/>
      <c r="K946" s="52" t="s">
        <v>63</v>
      </c>
      <c r="L946" s="52" t="s">
        <v>64</v>
      </c>
      <c r="M946" s="52">
        <v>25</v>
      </c>
      <c r="N946" s="53">
        <f t="shared" ref="N946:N949" si="645">SUM(O946/M946)</f>
        <v>240000</v>
      </c>
      <c r="O946" s="53">
        <v>6000000</v>
      </c>
      <c r="P946" s="52"/>
      <c r="Q946" s="52"/>
      <c r="R946" s="52"/>
      <c r="S946" s="53">
        <f t="shared" si="637"/>
        <v>6000000</v>
      </c>
      <c r="T946" s="52">
        <v>5</v>
      </c>
      <c r="U946" s="53"/>
      <c r="V946" s="52">
        <v>0.5</v>
      </c>
      <c r="W946" s="53">
        <f t="shared" si="640"/>
        <v>0</v>
      </c>
      <c r="X946" s="52"/>
      <c r="Y946" s="53">
        <f t="shared" si="641"/>
        <v>0</v>
      </c>
      <c r="Z946" s="53">
        <f t="shared" si="642"/>
        <v>0</v>
      </c>
      <c r="AA946" s="57">
        <v>5</v>
      </c>
      <c r="AB946" s="53">
        <v>6000000</v>
      </c>
      <c r="AC946" s="53">
        <f t="shared" si="644"/>
        <v>0</v>
      </c>
      <c r="AD946" s="56" t="s">
        <v>213</v>
      </c>
      <c r="AE946" s="56"/>
      <c r="AG946" s="5"/>
    </row>
    <row r="947" spans="1:33" s="1" customFormat="1" ht="10.5" x14ac:dyDescent="0.25">
      <c r="A947" s="49">
        <v>70</v>
      </c>
      <c r="B947" s="22" t="s">
        <v>1766</v>
      </c>
      <c r="C947" s="50" t="s">
        <v>58</v>
      </c>
      <c r="D947" s="51" t="s">
        <v>1768</v>
      </c>
      <c r="E947" s="52" t="s">
        <v>256</v>
      </c>
      <c r="F947" s="52"/>
      <c r="G947" s="52" t="s">
        <v>260</v>
      </c>
      <c r="H947" s="52" t="s">
        <v>62</v>
      </c>
      <c r="I947" s="52">
        <v>2011</v>
      </c>
      <c r="J947" s="52"/>
      <c r="K947" s="52" t="s">
        <v>261</v>
      </c>
      <c r="L947" s="52" t="s">
        <v>64</v>
      </c>
      <c r="M947" s="52">
        <v>1</v>
      </c>
      <c r="N947" s="53">
        <f t="shared" si="645"/>
        <v>48530000</v>
      </c>
      <c r="O947" s="53">
        <v>48530000</v>
      </c>
      <c r="P947" s="52"/>
      <c r="Q947" s="52"/>
      <c r="R947" s="52"/>
      <c r="S947" s="53">
        <f t="shared" si="637"/>
        <v>48530000</v>
      </c>
      <c r="T947" s="52">
        <v>5</v>
      </c>
      <c r="U947" s="53"/>
      <c r="V947" s="52">
        <v>0.5</v>
      </c>
      <c r="W947" s="53">
        <f t="shared" si="640"/>
        <v>0</v>
      </c>
      <c r="X947" s="52"/>
      <c r="Y947" s="53">
        <f t="shared" si="641"/>
        <v>0</v>
      </c>
      <c r="Z947" s="53">
        <f t="shared" si="642"/>
        <v>0</v>
      </c>
      <c r="AA947" s="57">
        <v>5</v>
      </c>
      <c r="AB947" s="53">
        <v>48530000</v>
      </c>
      <c r="AC947" s="53">
        <f t="shared" si="644"/>
        <v>0</v>
      </c>
      <c r="AD947" s="56" t="s">
        <v>213</v>
      </c>
      <c r="AE947" s="56"/>
      <c r="AG947" s="5"/>
    </row>
    <row r="948" spans="1:33" s="1" customFormat="1" ht="10.5" x14ac:dyDescent="0.25">
      <c r="A948" s="49">
        <v>71</v>
      </c>
      <c r="B948" s="22" t="s">
        <v>1766</v>
      </c>
      <c r="C948" s="50" t="s">
        <v>75</v>
      </c>
      <c r="D948" s="51" t="s">
        <v>1768</v>
      </c>
      <c r="E948" s="52" t="s">
        <v>262</v>
      </c>
      <c r="F948" s="52"/>
      <c r="G948" s="52" t="s">
        <v>260</v>
      </c>
      <c r="H948" s="52" t="s">
        <v>62</v>
      </c>
      <c r="I948" s="52">
        <v>2013</v>
      </c>
      <c r="J948" s="52"/>
      <c r="K948" s="52" t="s">
        <v>261</v>
      </c>
      <c r="L948" s="52" t="s">
        <v>64</v>
      </c>
      <c r="M948" s="52">
        <v>1</v>
      </c>
      <c r="N948" s="53">
        <f t="shared" si="645"/>
        <v>109433500</v>
      </c>
      <c r="O948" s="53">
        <v>109433500</v>
      </c>
      <c r="P948" s="52"/>
      <c r="Q948" s="52"/>
      <c r="R948" s="52"/>
      <c r="S948" s="53">
        <f t="shared" si="637"/>
        <v>109433500</v>
      </c>
      <c r="T948" s="52">
        <v>5</v>
      </c>
      <c r="U948" s="53"/>
      <c r="V948" s="52">
        <v>0.5</v>
      </c>
      <c r="W948" s="53">
        <f t="shared" si="640"/>
        <v>0</v>
      </c>
      <c r="X948" s="52"/>
      <c r="Y948" s="53">
        <f t="shared" si="641"/>
        <v>0</v>
      </c>
      <c r="Z948" s="53">
        <f t="shared" si="642"/>
        <v>0</v>
      </c>
      <c r="AA948" s="57">
        <v>5</v>
      </c>
      <c r="AB948" s="53">
        <v>109433500</v>
      </c>
      <c r="AC948" s="53">
        <f t="shared" si="644"/>
        <v>0</v>
      </c>
      <c r="AD948" s="56" t="s">
        <v>195</v>
      </c>
      <c r="AE948" s="56"/>
      <c r="AG948" s="5"/>
    </row>
    <row r="949" spans="1:33" s="1" customFormat="1" ht="10.5" x14ac:dyDescent="0.25">
      <c r="A949" s="49">
        <v>72</v>
      </c>
      <c r="B949" s="22" t="s">
        <v>1766</v>
      </c>
      <c r="C949" s="50" t="s">
        <v>75</v>
      </c>
      <c r="D949" s="51" t="s">
        <v>1768</v>
      </c>
      <c r="E949" s="52" t="s">
        <v>263</v>
      </c>
      <c r="F949" s="52"/>
      <c r="G949" s="52" t="s">
        <v>260</v>
      </c>
      <c r="H949" s="52" t="s">
        <v>62</v>
      </c>
      <c r="I949" s="52">
        <v>2014</v>
      </c>
      <c r="J949" s="52"/>
      <c r="K949" s="52" t="s">
        <v>261</v>
      </c>
      <c r="L949" s="52" t="s">
        <v>64</v>
      </c>
      <c r="M949" s="52">
        <v>1</v>
      </c>
      <c r="N949" s="53">
        <f t="shared" si="645"/>
        <v>85272000</v>
      </c>
      <c r="O949" s="53">
        <v>85272000</v>
      </c>
      <c r="P949" s="52"/>
      <c r="Q949" s="52"/>
      <c r="R949" s="52"/>
      <c r="S949" s="53">
        <f t="shared" si="637"/>
        <v>85272000</v>
      </c>
      <c r="T949" s="52">
        <v>5</v>
      </c>
      <c r="U949" s="53"/>
      <c r="V949" s="52">
        <v>0.5</v>
      </c>
      <c r="W949" s="53">
        <f t="shared" si="640"/>
        <v>0</v>
      </c>
      <c r="X949" s="52"/>
      <c r="Y949" s="53">
        <f t="shared" si="641"/>
        <v>0</v>
      </c>
      <c r="Z949" s="53">
        <f t="shared" si="642"/>
        <v>0</v>
      </c>
      <c r="AA949" s="57">
        <v>5</v>
      </c>
      <c r="AB949" s="53">
        <v>85272000</v>
      </c>
      <c r="AC949" s="53">
        <f t="shared" si="644"/>
        <v>0</v>
      </c>
      <c r="AD949" s="56" t="s">
        <v>195</v>
      </c>
      <c r="AE949" s="56"/>
      <c r="AG949" s="5"/>
    </row>
    <row r="950" spans="1:33" s="1" customFormat="1" ht="10.5" x14ac:dyDescent="0.25">
      <c r="A950" s="21"/>
      <c r="B950" s="22"/>
      <c r="C950" s="22"/>
      <c r="D950" s="65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  <c r="AA950" s="24"/>
      <c r="AB950" s="24"/>
      <c r="AC950" s="24"/>
      <c r="AD950" s="24"/>
      <c r="AE950" s="24"/>
    </row>
    <row r="951" spans="1:33" s="1" customFormat="1" ht="10.5" x14ac:dyDescent="0.25">
      <c r="A951" s="17"/>
      <c r="B951" s="18" t="s">
        <v>1240</v>
      </c>
      <c r="C951" s="18"/>
      <c r="D951" s="84" t="s">
        <v>1241</v>
      </c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/>
      <c r="AE951" s="20"/>
    </row>
    <row r="952" spans="1:33" s="1" customFormat="1" ht="10.5" x14ac:dyDescent="0.25">
      <c r="A952" s="25"/>
      <c r="B952" s="26" t="s">
        <v>1242</v>
      </c>
      <c r="C952" s="26"/>
      <c r="D952" s="64" t="s">
        <v>1243</v>
      </c>
      <c r="E952" s="28"/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  <c r="R952" s="28"/>
      <c r="S952" s="28"/>
      <c r="T952" s="28"/>
      <c r="U952" s="28"/>
      <c r="V952" s="28"/>
      <c r="W952" s="28"/>
      <c r="X952" s="28"/>
      <c r="Y952" s="28"/>
      <c r="Z952" s="28"/>
      <c r="AA952" s="28"/>
      <c r="AB952" s="28"/>
      <c r="AC952" s="28"/>
      <c r="AD952" s="28"/>
      <c r="AE952" s="28"/>
    </row>
    <row r="953" spans="1:33" s="1" customFormat="1" ht="10.5" x14ac:dyDescent="0.25">
      <c r="A953" s="21"/>
      <c r="B953" s="22"/>
      <c r="C953" s="22"/>
      <c r="D953" s="65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  <c r="AA953" s="24"/>
      <c r="AB953" s="24"/>
      <c r="AC953" s="24"/>
      <c r="AD953" s="24"/>
      <c r="AE953" s="24"/>
    </row>
    <row r="954" spans="1:33" s="1" customFormat="1" ht="10.5" x14ac:dyDescent="0.25">
      <c r="A954" s="25"/>
      <c r="B954" s="26" t="s">
        <v>1244</v>
      </c>
      <c r="C954" s="26"/>
      <c r="D954" s="64" t="s">
        <v>1245</v>
      </c>
      <c r="E954" s="28"/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  <c r="R954" s="28"/>
      <c r="S954" s="28"/>
      <c r="T954" s="28"/>
      <c r="U954" s="28"/>
      <c r="V954" s="28"/>
      <c r="W954" s="28"/>
      <c r="X954" s="28"/>
      <c r="Y954" s="28"/>
      <c r="Z954" s="28"/>
      <c r="AA954" s="28"/>
      <c r="AB954" s="28"/>
      <c r="AC954" s="28"/>
      <c r="AD954" s="28"/>
      <c r="AE954" s="28"/>
    </row>
    <row r="955" spans="1:33" s="1" customFormat="1" ht="10.5" x14ac:dyDescent="0.25">
      <c r="A955" s="21"/>
      <c r="B955" s="22"/>
      <c r="C955" s="22"/>
      <c r="D955" s="65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  <c r="AA955" s="24"/>
      <c r="AB955" s="24"/>
      <c r="AC955" s="24"/>
      <c r="AD955" s="24"/>
      <c r="AE955" s="24"/>
    </row>
    <row r="956" spans="1:33" s="1" customFormat="1" ht="10.5" x14ac:dyDescent="0.25">
      <c r="A956" s="17"/>
      <c r="B956" s="18" t="s">
        <v>1246</v>
      </c>
      <c r="C956" s="18"/>
      <c r="D956" s="84" t="s">
        <v>1247</v>
      </c>
      <c r="E956" s="20"/>
      <c r="F956" s="20"/>
      <c r="G956" s="20"/>
      <c r="H956" s="20"/>
      <c r="I956" s="20"/>
      <c r="J956" s="20"/>
      <c r="K956" s="20"/>
      <c r="L956" s="20"/>
      <c r="M956" s="20">
        <f>SUM(M957+M959)</f>
        <v>0</v>
      </c>
      <c r="N956" s="20"/>
      <c r="O956" s="20">
        <f>O957+O959</f>
        <v>0</v>
      </c>
      <c r="P956" s="20">
        <f>P957+P959</f>
        <v>0</v>
      </c>
      <c r="Q956" s="20">
        <f>Q957+Q959</f>
        <v>0</v>
      </c>
      <c r="R956" s="20">
        <f>R957+R959</f>
        <v>0</v>
      </c>
      <c r="S956" s="20">
        <f>S957+S959</f>
        <v>0</v>
      </c>
      <c r="T956" s="20"/>
      <c r="U956" s="20">
        <f>U957+U959</f>
        <v>0</v>
      </c>
      <c r="V956" s="20"/>
      <c r="W956" s="20">
        <f>W957+W959</f>
        <v>0</v>
      </c>
      <c r="X956" s="20"/>
      <c r="Y956" s="20">
        <f>Y957+Y959</f>
        <v>0</v>
      </c>
      <c r="Z956" s="20">
        <f>Z957+Z959</f>
        <v>0</v>
      </c>
      <c r="AA956" s="20"/>
      <c r="AB956" s="20">
        <f>AB957+AB959</f>
        <v>0</v>
      </c>
      <c r="AC956" s="20">
        <f>AC957+AC959</f>
        <v>0</v>
      </c>
      <c r="AD956" s="20"/>
      <c r="AE956" s="20"/>
    </row>
    <row r="957" spans="1:33" s="1" customFormat="1" ht="10.5" x14ac:dyDescent="0.25">
      <c r="A957" s="25"/>
      <c r="B957" s="26" t="s">
        <v>1248</v>
      </c>
      <c r="C957" s="26"/>
      <c r="D957" s="64" t="s">
        <v>1249</v>
      </c>
      <c r="E957" s="28"/>
      <c r="F957" s="28"/>
      <c r="G957" s="28"/>
      <c r="H957" s="28"/>
      <c r="I957" s="28"/>
      <c r="J957" s="28"/>
      <c r="K957" s="28"/>
      <c r="L957" s="28"/>
      <c r="M957" s="28">
        <f>SUM(M958:M958)</f>
        <v>0</v>
      </c>
      <c r="N957" s="28"/>
      <c r="O957" s="28">
        <f>SUM(O958:O958)</f>
        <v>0</v>
      </c>
      <c r="P957" s="28">
        <f>SUM(P958:P958)</f>
        <v>0</v>
      </c>
      <c r="Q957" s="28">
        <f>SUM(Q958:Q958)</f>
        <v>0</v>
      </c>
      <c r="R957" s="28">
        <f>SUM(R958:R958)</f>
        <v>0</v>
      </c>
      <c r="S957" s="28">
        <f>SUM(S958:S958)</f>
        <v>0</v>
      </c>
      <c r="T957" s="28"/>
      <c r="U957" s="28">
        <f>SUM(U958:U958)</f>
        <v>0</v>
      </c>
      <c r="V957" s="28"/>
      <c r="W957" s="28">
        <f>SUM(W958:W958)</f>
        <v>0</v>
      </c>
      <c r="X957" s="28"/>
      <c r="Y957" s="28">
        <f>SUM(Y958:Y958)</f>
        <v>0</v>
      </c>
      <c r="Z957" s="28">
        <f>SUM(Z958:Z958)</f>
        <v>0</v>
      </c>
      <c r="AA957" s="28"/>
      <c r="AB957" s="28">
        <f>SUM(AB958:AB958)</f>
        <v>0</v>
      </c>
      <c r="AC957" s="28">
        <f>SUM(AC958:AC958)</f>
        <v>0</v>
      </c>
      <c r="AD957" s="28"/>
      <c r="AE957" s="28"/>
    </row>
    <row r="958" spans="1:33" s="1" customFormat="1" ht="10.5" x14ac:dyDescent="0.25">
      <c r="A958" s="21"/>
      <c r="B958" s="22"/>
      <c r="C958" s="22"/>
      <c r="D958" s="65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  <c r="AA958" s="24"/>
      <c r="AB958" s="24"/>
      <c r="AC958" s="24"/>
      <c r="AD958" s="24"/>
      <c r="AE958" s="24"/>
    </row>
    <row r="959" spans="1:33" s="1" customFormat="1" ht="10.5" x14ac:dyDescent="0.25">
      <c r="A959" s="25"/>
      <c r="B959" s="26" t="s">
        <v>1250</v>
      </c>
      <c r="C959" s="26"/>
      <c r="D959" s="64" t="s">
        <v>1251</v>
      </c>
      <c r="E959" s="28"/>
      <c r="F959" s="28"/>
      <c r="G959" s="28"/>
      <c r="H959" s="28"/>
      <c r="I959" s="28"/>
      <c r="J959" s="28"/>
      <c r="K959" s="28"/>
      <c r="L959" s="28"/>
      <c r="M959" s="28">
        <f>SUM(M960:M960)</f>
        <v>0</v>
      </c>
      <c r="N959" s="28"/>
      <c r="O959" s="28">
        <f>SUM(O960:O960)</f>
        <v>0</v>
      </c>
      <c r="P959" s="28">
        <f>SUM(P960:P960)</f>
        <v>0</v>
      </c>
      <c r="Q959" s="28">
        <f>SUM(Q960:Q960)</f>
        <v>0</v>
      </c>
      <c r="R959" s="28">
        <f>SUM(R960:R960)</f>
        <v>0</v>
      </c>
      <c r="S959" s="28">
        <f>SUM(S960:S960)</f>
        <v>0</v>
      </c>
      <c r="T959" s="28"/>
      <c r="U959" s="28">
        <f>SUM(U960:U960)</f>
        <v>0</v>
      </c>
      <c r="V959" s="28"/>
      <c r="W959" s="28">
        <f>SUM(W960:W960)</f>
        <v>0</v>
      </c>
      <c r="X959" s="28"/>
      <c r="Y959" s="28">
        <f>SUM(Y960:Y960)</f>
        <v>0</v>
      </c>
      <c r="Z959" s="28">
        <f>SUM(Z960:Z960)</f>
        <v>0</v>
      </c>
      <c r="AA959" s="28"/>
      <c r="AB959" s="28">
        <f>SUM(AB960:AB960)</f>
        <v>0</v>
      </c>
      <c r="AC959" s="28">
        <f>SUM(AC960:AC960)</f>
        <v>0</v>
      </c>
      <c r="AD959" s="28"/>
      <c r="AE959" s="28"/>
    </row>
    <row r="960" spans="1:33" s="1" customFormat="1" ht="10.5" x14ac:dyDescent="0.25">
      <c r="A960" s="21"/>
      <c r="B960" s="22"/>
      <c r="C960" s="22"/>
      <c r="D960" s="65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  <c r="AA960" s="24"/>
      <c r="AB960" s="24"/>
      <c r="AC960" s="24"/>
      <c r="AD960" s="24"/>
      <c r="AE960" s="24"/>
    </row>
    <row r="961" spans="1:31" s="1" customFormat="1" ht="21" x14ac:dyDescent="0.25">
      <c r="A961" s="17"/>
      <c r="B961" s="18" t="s">
        <v>1252</v>
      </c>
      <c r="C961" s="18"/>
      <c r="D961" s="84" t="s">
        <v>1253</v>
      </c>
      <c r="E961" s="20"/>
      <c r="F961" s="20"/>
      <c r="G961" s="20"/>
      <c r="H961" s="20"/>
      <c r="I961" s="20"/>
      <c r="J961" s="20"/>
      <c r="K961" s="20"/>
      <c r="L961" s="20"/>
      <c r="M961" s="20">
        <f>SUM(M962+M964+M966)</f>
        <v>0</v>
      </c>
      <c r="N961" s="20"/>
      <c r="O961" s="20">
        <f>O962+O964+O966</f>
        <v>0</v>
      </c>
      <c r="P961" s="20">
        <f>P962+P964+P966</f>
        <v>0</v>
      </c>
      <c r="Q961" s="20">
        <f>Q962+Q964+Q966</f>
        <v>0</v>
      </c>
      <c r="R961" s="20">
        <f>R962+R964+R966</f>
        <v>0</v>
      </c>
      <c r="S961" s="20">
        <f>S962+S964+S966</f>
        <v>0</v>
      </c>
      <c r="T961" s="20"/>
      <c r="U961" s="20">
        <f>U962+U964+U966</f>
        <v>0</v>
      </c>
      <c r="V961" s="20"/>
      <c r="W961" s="20">
        <f>W962+W964+W966</f>
        <v>0</v>
      </c>
      <c r="X961" s="20"/>
      <c r="Y961" s="20">
        <f>Y962+Y964+Y966</f>
        <v>0</v>
      </c>
      <c r="Z961" s="20">
        <f>Z962+Z964+Z966</f>
        <v>0</v>
      </c>
      <c r="AA961" s="20"/>
      <c r="AB961" s="20">
        <f>AB962+AB964+AB966</f>
        <v>0</v>
      </c>
      <c r="AC961" s="20">
        <f>AC962+AC964+AC966</f>
        <v>0</v>
      </c>
      <c r="AD961" s="20"/>
      <c r="AE961" s="20"/>
    </row>
    <row r="962" spans="1:31" s="1" customFormat="1" ht="10.5" x14ac:dyDescent="0.25">
      <c r="A962" s="25"/>
      <c r="B962" s="26" t="s">
        <v>1254</v>
      </c>
      <c r="C962" s="26"/>
      <c r="D962" s="64" t="s">
        <v>1255</v>
      </c>
      <c r="E962" s="28"/>
      <c r="F962" s="28"/>
      <c r="G962" s="28"/>
      <c r="H962" s="28"/>
      <c r="I962" s="28"/>
      <c r="J962" s="28"/>
      <c r="K962" s="28"/>
      <c r="L962" s="28"/>
      <c r="M962" s="28">
        <f>SUM(M963:M963)</f>
        <v>0</v>
      </c>
      <c r="N962" s="28"/>
      <c r="O962" s="28">
        <f>SUM(O963:O963)</f>
        <v>0</v>
      </c>
      <c r="P962" s="28">
        <f>SUM(P963:P963)</f>
        <v>0</v>
      </c>
      <c r="Q962" s="28">
        <f>SUM(Q963:Q963)</f>
        <v>0</v>
      </c>
      <c r="R962" s="28">
        <f>SUM(R963:R963)</f>
        <v>0</v>
      </c>
      <c r="S962" s="28">
        <f>SUM(S963:S963)</f>
        <v>0</v>
      </c>
      <c r="T962" s="28"/>
      <c r="U962" s="28">
        <f>SUM(U963:U963)</f>
        <v>0</v>
      </c>
      <c r="V962" s="28"/>
      <c r="W962" s="28">
        <f>SUM(W963:W963)</f>
        <v>0</v>
      </c>
      <c r="X962" s="28"/>
      <c r="Y962" s="28">
        <f>SUM(Y963:Y963)</f>
        <v>0</v>
      </c>
      <c r="Z962" s="28">
        <f>SUM(Z963:Z963)</f>
        <v>0</v>
      </c>
      <c r="AA962" s="28"/>
      <c r="AB962" s="28">
        <f>SUM(AB963:AB963)</f>
        <v>0</v>
      </c>
      <c r="AC962" s="28">
        <f>SUM(AC963:AC963)</f>
        <v>0</v>
      </c>
      <c r="AD962" s="28"/>
      <c r="AE962" s="28"/>
    </row>
    <row r="963" spans="1:31" s="1" customFormat="1" ht="10.5" x14ac:dyDescent="0.25">
      <c r="A963" s="21"/>
      <c r="B963" s="22"/>
      <c r="C963" s="22"/>
      <c r="D963" s="65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  <c r="AA963" s="24"/>
      <c r="AB963" s="24"/>
      <c r="AC963" s="24"/>
      <c r="AD963" s="24"/>
      <c r="AE963" s="24"/>
    </row>
    <row r="964" spans="1:31" s="1" customFormat="1" ht="10.5" x14ac:dyDescent="0.25">
      <c r="A964" s="25"/>
      <c r="B964" s="26" t="s">
        <v>1256</v>
      </c>
      <c r="C964" s="26"/>
      <c r="D964" s="64" t="s">
        <v>1257</v>
      </c>
      <c r="E964" s="28"/>
      <c r="F964" s="28"/>
      <c r="G964" s="28"/>
      <c r="H964" s="28"/>
      <c r="I964" s="28"/>
      <c r="J964" s="28"/>
      <c r="K964" s="28"/>
      <c r="L964" s="28"/>
      <c r="M964" s="28">
        <f>SUM(M965:M965)</f>
        <v>0</v>
      </c>
      <c r="N964" s="28"/>
      <c r="O964" s="28">
        <f>SUM(O965:O965)</f>
        <v>0</v>
      </c>
      <c r="P964" s="28">
        <f>SUM(P965:P965)</f>
        <v>0</v>
      </c>
      <c r="Q964" s="28">
        <f>SUM(Q965:Q965)</f>
        <v>0</v>
      </c>
      <c r="R964" s="28">
        <f>SUM(R965:R965)</f>
        <v>0</v>
      </c>
      <c r="S964" s="28">
        <f>SUM(S965:S965)</f>
        <v>0</v>
      </c>
      <c r="T964" s="28"/>
      <c r="U964" s="28">
        <f>SUM(U965:U965)</f>
        <v>0</v>
      </c>
      <c r="V964" s="28"/>
      <c r="W964" s="28">
        <f>SUM(W965:W965)</f>
        <v>0</v>
      </c>
      <c r="X964" s="28"/>
      <c r="Y964" s="28">
        <f>SUM(Y965:Y965)</f>
        <v>0</v>
      </c>
      <c r="Z964" s="28">
        <f>SUM(Z965:Z965)</f>
        <v>0</v>
      </c>
      <c r="AA964" s="28"/>
      <c r="AB964" s="28">
        <f>SUM(AB965:AB965)</f>
        <v>0</v>
      </c>
      <c r="AC964" s="28">
        <f>SUM(AC965:AC965)</f>
        <v>0</v>
      </c>
      <c r="AD964" s="28"/>
      <c r="AE964" s="28"/>
    </row>
    <row r="965" spans="1:31" s="1" customFormat="1" ht="10.5" x14ac:dyDescent="0.25">
      <c r="A965" s="21"/>
      <c r="B965" s="22"/>
      <c r="C965" s="22"/>
      <c r="D965" s="65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  <c r="AA965" s="24"/>
      <c r="AB965" s="24"/>
      <c r="AC965" s="24"/>
      <c r="AD965" s="24"/>
      <c r="AE965" s="24"/>
    </row>
    <row r="966" spans="1:31" s="1" customFormat="1" ht="10.5" x14ac:dyDescent="0.25">
      <c r="A966" s="25"/>
      <c r="B966" s="26" t="s">
        <v>1258</v>
      </c>
      <c r="C966" s="26"/>
      <c r="D966" s="64" t="s">
        <v>1259</v>
      </c>
      <c r="E966" s="28"/>
      <c r="F966" s="28"/>
      <c r="G966" s="28"/>
      <c r="H966" s="28"/>
      <c r="I966" s="28"/>
      <c r="J966" s="28"/>
      <c r="K966" s="28"/>
      <c r="L966" s="28"/>
      <c r="M966" s="28">
        <f>SUM(M967:M969)</f>
        <v>0</v>
      </c>
      <c r="N966" s="28"/>
      <c r="O966" s="28">
        <f t="shared" ref="O966:AC966" si="646">SUM(O967:O969)</f>
        <v>0</v>
      </c>
      <c r="P966" s="28">
        <f t="shared" si="646"/>
        <v>0</v>
      </c>
      <c r="Q966" s="28">
        <f t="shared" si="646"/>
        <v>0</v>
      </c>
      <c r="R966" s="28">
        <f t="shared" si="646"/>
        <v>0</v>
      </c>
      <c r="S966" s="28">
        <f t="shared" si="646"/>
        <v>0</v>
      </c>
      <c r="T966" s="28"/>
      <c r="U966" s="28">
        <f t="shared" si="646"/>
        <v>0</v>
      </c>
      <c r="V966" s="28"/>
      <c r="W966" s="28">
        <f t="shared" si="646"/>
        <v>0</v>
      </c>
      <c r="X966" s="28"/>
      <c r="Y966" s="28">
        <f t="shared" si="646"/>
        <v>0</v>
      </c>
      <c r="Z966" s="28">
        <f t="shared" si="646"/>
        <v>0</v>
      </c>
      <c r="AA966" s="28"/>
      <c r="AB966" s="28">
        <f t="shared" si="646"/>
        <v>0</v>
      </c>
      <c r="AC966" s="28">
        <f t="shared" si="646"/>
        <v>0</v>
      </c>
      <c r="AD966" s="28"/>
      <c r="AE966" s="28"/>
    </row>
    <row r="967" spans="1:31" s="1" customFormat="1" ht="10.5" x14ac:dyDescent="0.25">
      <c r="A967" s="21"/>
      <c r="B967" s="22"/>
      <c r="C967" s="22"/>
      <c r="D967" s="65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  <c r="AA967" s="24"/>
      <c r="AB967" s="24"/>
      <c r="AC967" s="24"/>
      <c r="AD967" s="24"/>
      <c r="AE967" s="24"/>
    </row>
    <row r="968" spans="1:31" s="1" customFormat="1" ht="10.5" x14ac:dyDescent="0.25">
      <c r="A968" s="21"/>
      <c r="B968" s="22"/>
      <c r="C968" s="22"/>
      <c r="D968" s="65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  <c r="AA968" s="24"/>
      <c r="AB968" s="24"/>
      <c r="AC968" s="24"/>
      <c r="AD968" s="24"/>
      <c r="AE968" s="24"/>
    </row>
    <row r="969" spans="1:31" s="1" customFormat="1" ht="10.5" x14ac:dyDescent="0.25">
      <c r="A969" s="21"/>
      <c r="B969" s="22"/>
      <c r="C969" s="22"/>
      <c r="D969" s="65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  <c r="AA969" s="24"/>
      <c r="AB969" s="24"/>
      <c r="AC969" s="24"/>
      <c r="AD969" s="24"/>
      <c r="AE969" s="24"/>
    </row>
    <row r="970" spans="1:31" s="1" customFormat="1" ht="10.5" x14ac:dyDescent="0.25">
      <c r="A970" s="17"/>
      <c r="B970" s="18" t="s">
        <v>1260</v>
      </c>
      <c r="C970" s="18"/>
      <c r="D970" s="84" t="s">
        <v>1261</v>
      </c>
      <c r="E970" s="20"/>
      <c r="F970" s="20"/>
      <c r="G970" s="20"/>
      <c r="H970" s="20"/>
      <c r="I970" s="20"/>
      <c r="J970" s="20"/>
      <c r="K970" s="20"/>
      <c r="L970" s="20"/>
      <c r="M970" s="20">
        <f>SUM(M971+M973)</f>
        <v>0</v>
      </c>
      <c r="N970" s="20"/>
      <c r="O970" s="20">
        <f>O971+O973</f>
        <v>0</v>
      </c>
      <c r="P970" s="20">
        <f>P971+P973</f>
        <v>0</v>
      </c>
      <c r="Q970" s="20">
        <f>Q971+Q973</f>
        <v>0</v>
      </c>
      <c r="R970" s="20">
        <f>R971+R973</f>
        <v>0</v>
      </c>
      <c r="S970" s="20">
        <f>S971+S973</f>
        <v>0</v>
      </c>
      <c r="T970" s="20"/>
      <c r="U970" s="20">
        <f>U971+U973</f>
        <v>0</v>
      </c>
      <c r="V970" s="20"/>
      <c r="W970" s="20">
        <f>W971+W973</f>
        <v>0</v>
      </c>
      <c r="X970" s="20"/>
      <c r="Y970" s="20">
        <f>Y971+Y973</f>
        <v>0</v>
      </c>
      <c r="Z970" s="20">
        <f>Z971+Z973</f>
        <v>0</v>
      </c>
      <c r="AA970" s="20"/>
      <c r="AB970" s="20">
        <f>AB971+AB973</f>
        <v>0</v>
      </c>
      <c r="AC970" s="20">
        <f>AC971+AC973</f>
        <v>0</v>
      </c>
      <c r="AD970" s="20"/>
      <c r="AE970" s="20"/>
    </row>
    <row r="971" spans="1:31" s="1" customFormat="1" ht="10.5" x14ac:dyDescent="0.25">
      <c r="A971" s="25"/>
      <c r="B971" s="26" t="s">
        <v>1262</v>
      </c>
      <c r="C971" s="26"/>
      <c r="D971" s="64" t="s">
        <v>1261</v>
      </c>
      <c r="E971" s="28"/>
      <c r="F971" s="28"/>
      <c r="G971" s="28"/>
      <c r="H971" s="28"/>
      <c r="I971" s="28"/>
      <c r="J971" s="28"/>
      <c r="K971" s="28"/>
      <c r="L971" s="28"/>
      <c r="M971" s="28">
        <f>SUM(M972:M972)</f>
        <v>0</v>
      </c>
      <c r="N971" s="28"/>
      <c r="O971" s="28">
        <f>SUM(O972:O972)</f>
        <v>0</v>
      </c>
      <c r="P971" s="28">
        <f>SUM(P972:P972)</f>
        <v>0</v>
      </c>
      <c r="Q971" s="28">
        <f>SUM(Q972:Q972)</f>
        <v>0</v>
      </c>
      <c r="R971" s="28">
        <f>SUM(R972:R972)</f>
        <v>0</v>
      </c>
      <c r="S971" s="28">
        <f>SUM(S972:S972)</f>
        <v>0</v>
      </c>
      <c r="T971" s="28"/>
      <c r="U971" s="28">
        <f>SUM(U972:U972)</f>
        <v>0</v>
      </c>
      <c r="V971" s="28"/>
      <c r="W971" s="28">
        <f>SUM(W972:W972)</f>
        <v>0</v>
      </c>
      <c r="X971" s="28"/>
      <c r="Y971" s="28">
        <f>SUM(Y972:Y972)</f>
        <v>0</v>
      </c>
      <c r="Z971" s="28">
        <f>SUM(Z972:Z972)</f>
        <v>0</v>
      </c>
      <c r="AA971" s="28"/>
      <c r="AB971" s="28">
        <f>SUM(AB972:AB972)</f>
        <v>0</v>
      </c>
      <c r="AC971" s="28">
        <f>SUM(AC972:AC972)</f>
        <v>0</v>
      </c>
      <c r="AD971" s="28"/>
      <c r="AE971" s="28"/>
    </row>
    <row r="972" spans="1:31" s="1" customFormat="1" ht="10.5" x14ac:dyDescent="0.25">
      <c r="A972" s="21"/>
      <c r="B972" s="22"/>
      <c r="C972" s="22"/>
      <c r="D972" s="65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  <c r="AA972" s="24"/>
      <c r="AB972" s="24"/>
      <c r="AC972" s="24"/>
      <c r="AD972" s="24"/>
      <c r="AE972" s="24"/>
    </row>
    <row r="973" spans="1:31" s="1" customFormat="1" ht="10.5" x14ac:dyDescent="0.25">
      <c r="A973" s="25"/>
      <c r="B973" s="26" t="s">
        <v>1263</v>
      </c>
      <c r="C973" s="26"/>
      <c r="D973" s="64" t="s">
        <v>1264</v>
      </c>
      <c r="E973" s="28"/>
      <c r="F973" s="28"/>
      <c r="G973" s="28"/>
      <c r="H973" s="28"/>
      <c r="I973" s="28"/>
      <c r="J973" s="28"/>
      <c r="K973" s="28"/>
      <c r="L973" s="28"/>
      <c r="M973" s="28">
        <f>SUM(M974:M976)</f>
        <v>0</v>
      </c>
      <c r="N973" s="28"/>
      <c r="O973" s="28">
        <f t="shared" ref="O973:AC973" si="647">SUM(O974:O976)</f>
        <v>0</v>
      </c>
      <c r="P973" s="28">
        <f t="shared" si="647"/>
        <v>0</v>
      </c>
      <c r="Q973" s="28">
        <f t="shared" si="647"/>
        <v>0</v>
      </c>
      <c r="R973" s="28">
        <f t="shared" si="647"/>
        <v>0</v>
      </c>
      <c r="S973" s="28">
        <f t="shared" si="647"/>
        <v>0</v>
      </c>
      <c r="T973" s="28"/>
      <c r="U973" s="28">
        <f t="shared" si="647"/>
        <v>0</v>
      </c>
      <c r="V973" s="28"/>
      <c r="W973" s="28">
        <f t="shared" si="647"/>
        <v>0</v>
      </c>
      <c r="X973" s="28"/>
      <c r="Y973" s="28">
        <f t="shared" si="647"/>
        <v>0</v>
      </c>
      <c r="Z973" s="28">
        <f t="shared" si="647"/>
        <v>0</v>
      </c>
      <c r="AA973" s="28"/>
      <c r="AB973" s="28">
        <f t="shared" si="647"/>
        <v>0</v>
      </c>
      <c r="AC973" s="28">
        <f t="shared" si="647"/>
        <v>0</v>
      </c>
      <c r="AD973" s="28"/>
      <c r="AE973" s="28"/>
    </row>
    <row r="974" spans="1:31" s="1" customFormat="1" ht="10.5" x14ac:dyDescent="0.25">
      <c r="A974" s="21"/>
      <c r="B974" s="22"/>
      <c r="C974" s="22"/>
      <c r="D974" s="65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  <c r="AA974" s="24"/>
      <c r="AB974" s="24"/>
      <c r="AC974" s="24"/>
      <c r="AD974" s="24"/>
      <c r="AE974" s="24"/>
    </row>
    <row r="975" spans="1:31" s="1" customFormat="1" ht="10.5" x14ac:dyDescent="0.25">
      <c r="A975" s="21"/>
      <c r="B975" s="22"/>
      <c r="C975" s="22"/>
      <c r="D975" s="65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  <c r="AA975" s="24"/>
      <c r="AB975" s="24"/>
      <c r="AC975" s="24"/>
      <c r="AD975" s="24"/>
      <c r="AE975" s="24"/>
    </row>
    <row r="976" spans="1:31" s="1" customFormat="1" ht="10.5" x14ac:dyDescent="0.25">
      <c r="A976" s="21"/>
      <c r="B976" s="22"/>
      <c r="C976" s="22"/>
      <c r="D976" s="65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  <c r="AA976" s="24"/>
      <c r="AB976" s="24"/>
      <c r="AC976" s="24"/>
      <c r="AD976" s="24"/>
      <c r="AE976" s="24"/>
    </row>
    <row r="977" spans="1:31" s="1" customFormat="1" ht="10.5" x14ac:dyDescent="0.25">
      <c r="A977" s="17"/>
      <c r="B977" s="18" t="s">
        <v>1265</v>
      </c>
      <c r="C977" s="18"/>
      <c r="D977" s="84" t="s">
        <v>1266</v>
      </c>
      <c r="E977" s="20"/>
      <c r="F977" s="20"/>
      <c r="G977" s="20"/>
      <c r="H977" s="20"/>
      <c r="I977" s="20"/>
      <c r="J977" s="20"/>
      <c r="K977" s="20"/>
      <c r="L977" s="20"/>
      <c r="M977" s="20">
        <f>SUM(M978+M980+M982+M984)</f>
        <v>0</v>
      </c>
      <c r="N977" s="20"/>
      <c r="O977" s="20">
        <f>O978+O980+O982+O984</f>
        <v>0</v>
      </c>
      <c r="P977" s="20">
        <f>P978+P980+P982+P984</f>
        <v>0</v>
      </c>
      <c r="Q977" s="20">
        <f>Q978+Q980+Q982+Q984</f>
        <v>0</v>
      </c>
      <c r="R977" s="20">
        <f>R978+R980+R982+R984</f>
        <v>0</v>
      </c>
      <c r="S977" s="20">
        <f>S978+S980+S982+S984</f>
        <v>0</v>
      </c>
      <c r="T977" s="20"/>
      <c r="U977" s="20">
        <f>U978+U980+U982+U984</f>
        <v>0</v>
      </c>
      <c r="V977" s="20"/>
      <c r="W977" s="20">
        <f>W978+W980+W982+W984</f>
        <v>0</v>
      </c>
      <c r="X977" s="20"/>
      <c r="Y977" s="20">
        <f>Y978+Y980+Y982+Y984</f>
        <v>0</v>
      </c>
      <c r="Z977" s="20">
        <f>Z978+Z980+Z982+Z984</f>
        <v>0</v>
      </c>
      <c r="AA977" s="20"/>
      <c r="AB977" s="20">
        <f>AB978+AB980+AB982+AB984</f>
        <v>0</v>
      </c>
      <c r="AC977" s="20">
        <f>AC978+AC980+AC982+AC984</f>
        <v>0</v>
      </c>
      <c r="AD977" s="20"/>
      <c r="AE977" s="20"/>
    </row>
    <row r="978" spans="1:31" s="1" customFormat="1" ht="10.5" x14ac:dyDescent="0.25">
      <c r="A978" s="25"/>
      <c r="B978" s="26" t="s">
        <v>1267</v>
      </c>
      <c r="C978" s="26"/>
      <c r="D978" s="64" t="s">
        <v>1268</v>
      </c>
      <c r="E978" s="28"/>
      <c r="F978" s="28"/>
      <c r="G978" s="28"/>
      <c r="H978" s="28"/>
      <c r="I978" s="28"/>
      <c r="J978" s="28"/>
      <c r="K978" s="28"/>
      <c r="L978" s="28"/>
      <c r="M978" s="28">
        <f>SUM(M979:M979)</f>
        <v>0</v>
      </c>
      <c r="N978" s="28"/>
      <c r="O978" s="28">
        <f>SUM(O979:O979)</f>
        <v>0</v>
      </c>
      <c r="P978" s="28">
        <f>SUM(P979:P979)</f>
        <v>0</v>
      </c>
      <c r="Q978" s="28">
        <f>SUM(Q979:Q979)</f>
        <v>0</v>
      </c>
      <c r="R978" s="28">
        <f>SUM(R979:R979)</f>
        <v>0</v>
      </c>
      <c r="S978" s="28">
        <f>SUM(S979:S979)</f>
        <v>0</v>
      </c>
      <c r="T978" s="28"/>
      <c r="U978" s="28">
        <f>SUM(U979:U979)</f>
        <v>0</v>
      </c>
      <c r="V978" s="28"/>
      <c r="W978" s="28">
        <f>SUM(W979:W979)</f>
        <v>0</v>
      </c>
      <c r="X978" s="28"/>
      <c r="Y978" s="28">
        <f>SUM(Y979:Y979)</f>
        <v>0</v>
      </c>
      <c r="Z978" s="28">
        <f>SUM(Z979:Z979)</f>
        <v>0</v>
      </c>
      <c r="AA978" s="28"/>
      <c r="AB978" s="28">
        <f>SUM(AB979:AB979)</f>
        <v>0</v>
      </c>
      <c r="AC978" s="28">
        <f>SUM(AC979:AC979)</f>
        <v>0</v>
      </c>
      <c r="AD978" s="28"/>
      <c r="AE978" s="28"/>
    </row>
    <row r="979" spans="1:31" s="1" customFormat="1" ht="10.5" x14ac:dyDescent="0.25">
      <c r="A979" s="21"/>
      <c r="B979" s="22"/>
      <c r="C979" s="22"/>
      <c r="D979" s="65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  <c r="AA979" s="24"/>
      <c r="AB979" s="24"/>
      <c r="AC979" s="24"/>
      <c r="AD979" s="24"/>
      <c r="AE979" s="24"/>
    </row>
    <row r="980" spans="1:31" s="1" customFormat="1" ht="10.5" x14ac:dyDescent="0.25">
      <c r="A980" s="25"/>
      <c r="B980" s="26" t="s">
        <v>1269</v>
      </c>
      <c r="C980" s="26"/>
      <c r="D980" s="64" t="s">
        <v>1270</v>
      </c>
      <c r="E980" s="28"/>
      <c r="F980" s="28"/>
      <c r="G980" s="28"/>
      <c r="H980" s="28"/>
      <c r="I980" s="28"/>
      <c r="J980" s="28"/>
      <c r="K980" s="28"/>
      <c r="L980" s="28"/>
      <c r="M980" s="28">
        <f>SUM(M981:M981)</f>
        <v>0</v>
      </c>
      <c r="N980" s="28"/>
      <c r="O980" s="28">
        <f>SUM(O981:O981)</f>
        <v>0</v>
      </c>
      <c r="P980" s="28">
        <f>SUM(P981:P981)</f>
        <v>0</v>
      </c>
      <c r="Q980" s="28">
        <f>SUM(Q981:Q981)</f>
        <v>0</v>
      </c>
      <c r="R980" s="28">
        <f>SUM(R981:R981)</f>
        <v>0</v>
      </c>
      <c r="S980" s="28">
        <f>SUM(S981:S981)</f>
        <v>0</v>
      </c>
      <c r="T980" s="28"/>
      <c r="U980" s="28">
        <f>SUM(U981:U981)</f>
        <v>0</v>
      </c>
      <c r="V980" s="28"/>
      <c r="W980" s="28">
        <f>SUM(W981:W981)</f>
        <v>0</v>
      </c>
      <c r="X980" s="28"/>
      <c r="Y980" s="28">
        <f>SUM(Y981:Y981)</f>
        <v>0</v>
      </c>
      <c r="Z980" s="28">
        <f>SUM(Z981:Z981)</f>
        <v>0</v>
      </c>
      <c r="AA980" s="28"/>
      <c r="AB980" s="28">
        <f>SUM(AB981:AB981)</f>
        <v>0</v>
      </c>
      <c r="AC980" s="28">
        <f>SUM(AC981:AC981)</f>
        <v>0</v>
      </c>
      <c r="AD980" s="28"/>
      <c r="AE980" s="28"/>
    </row>
    <row r="981" spans="1:31" s="1" customFormat="1" ht="10.5" x14ac:dyDescent="0.25">
      <c r="A981" s="21"/>
      <c r="B981" s="22"/>
      <c r="C981" s="22"/>
      <c r="D981" s="65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  <c r="AA981" s="24"/>
      <c r="AB981" s="24"/>
      <c r="AC981" s="24"/>
      <c r="AD981" s="24"/>
      <c r="AE981" s="24"/>
    </row>
    <row r="982" spans="1:31" s="1" customFormat="1" ht="10.5" x14ac:dyDescent="0.25">
      <c r="A982" s="25"/>
      <c r="B982" s="26" t="s">
        <v>1271</v>
      </c>
      <c r="C982" s="26"/>
      <c r="D982" s="64" t="s">
        <v>1272</v>
      </c>
      <c r="E982" s="28"/>
      <c r="F982" s="28"/>
      <c r="G982" s="28"/>
      <c r="H982" s="28"/>
      <c r="I982" s="28"/>
      <c r="J982" s="28"/>
      <c r="K982" s="28"/>
      <c r="L982" s="28"/>
      <c r="M982" s="28">
        <f>SUM(M983:M983)</f>
        <v>0</v>
      </c>
      <c r="N982" s="28"/>
      <c r="O982" s="28">
        <f>SUM(O983:O983)</f>
        <v>0</v>
      </c>
      <c r="P982" s="28">
        <f>SUM(P983:P983)</f>
        <v>0</v>
      </c>
      <c r="Q982" s="28">
        <f>SUM(Q983:Q983)</f>
        <v>0</v>
      </c>
      <c r="R982" s="28">
        <f>SUM(R983:R983)</f>
        <v>0</v>
      </c>
      <c r="S982" s="28">
        <f>SUM(S983:S983)</f>
        <v>0</v>
      </c>
      <c r="T982" s="28"/>
      <c r="U982" s="28">
        <f>SUM(U983:U983)</f>
        <v>0</v>
      </c>
      <c r="V982" s="28"/>
      <c r="W982" s="28">
        <f>SUM(W983:W983)</f>
        <v>0</v>
      </c>
      <c r="X982" s="28"/>
      <c r="Y982" s="28">
        <f>SUM(Y983:Y983)</f>
        <v>0</v>
      </c>
      <c r="Z982" s="28">
        <f>SUM(Z983:Z983)</f>
        <v>0</v>
      </c>
      <c r="AA982" s="28"/>
      <c r="AB982" s="28">
        <f>SUM(AB983:AB983)</f>
        <v>0</v>
      </c>
      <c r="AC982" s="28">
        <f>SUM(AC983:AC983)</f>
        <v>0</v>
      </c>
      <c r="AD982" s="28"/>
      <c r="AE982" s="28"/>
    </row>
    <row r="983" spans="1:31" s="1" customFormat="1" ht="10.5" x14ac:dyDescent="0.25">
      <c r="A983" s="21"/>
      <c r="B983" s="22"/>
      <c r="C983" s="22"/>
      <c r="D983" s="65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  <c r="AA983" s="24"/>
      <c r="AB983" s="24"/>
      <c r="AC983" s="24"/>
      <c r="AD983" s="24"/>
      <c r="AE983" s="24"/>
    </row>
    <row r="984" spans="1:31" s="1" customFormat="1" ht="10.5" x14ac:dyDescent="0.25">
      <c r="A984" s="25"/>
      <c r="B984" s="26" t="s">
        <v>1273</v>
      </c>
      <c r="C984" s="26"/>
      <c r="D984" s="64" t="s">
        <v>1274</v>
      </c>
      <c r="E984" s="28"/>
      <c r="F984" s="28"/>
      <c r="G984" s="28"/>
      <c r="H984" s="28"/>
      <c r="I984" s="28"/>
      <c r="J984" s="28"/>
      <c r="K984" s="28"/>
      <c r="L984" s="28"/>
      <c r="M984" s="28">
        <f>SUM(M985:M985)</f>
        <v>0</v>
      </c>
      <c r="N984" s="28"/>
      <c r="O984" s="28">
        <f>SUM(O985:O985)</f>
        <v>0</v>
      </c>
      <c r="P984" s="28">
        <f>SUM(P985:P985)</f>
        <v>0</v>
      </c>
      <c r="Q984" s="28">
        <f>SUM(Q985:Q985)</f>
        <v>0</v>
      </c>
      <c r="R984" s="28">
        <f>SUM(R985:R985)</f>
        <v>0</v>
      </c>
      <c r="S984" s="28">
        <f>SUM(S985:S985)</f>
        <v>0</v>
      </c>
      <c r="T984" s="28"/>
      <c r="U984" s="28">
        <f>SUM(U985:U985)</f>
        <v>0</v>
      </c>
      <c r="V984" s="28"/>
      <c r="W984" s="28">
        <f>SUM(W985:W985)</f>
        <v>0</v>
      </c>
      <c r="X984" s="28"/>
      <c r="Y984" s="28">
        <f>SUM(Y985:Y985)</f>
        <v>0</v>
      </c>
      <c r="Z984" s="28">
        <f>SUM(Z985:Z985)</f>
        <v>0</v>
      </c>
      <c r="AA984" s="28"/>
      <c r="AB984" s="28">
        <f>SUM(AB985:AB985)</f>
        <v>0</v>
      </c>
      <c r="AC984" s="28">
        <f>SUM(AC985:AC985)</f>
        <v>0</v>
      </c>
      <c r="AD984" s="28"/>
      <c r="AE984" s="28"/>
    </row>
    <row r="985" spans="1:31" s="1" customFormat="1" ht="10.5" x14ac:dyDescent="0.25">
      <c r="A985" s="21"/>
      <c r="B985" s="22"/>
      <c r="C985" s="22"/>
      <c r="D985" s="65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  <c r="AA985" s="24"/>
      <c r="AB985" s="24"/>
      <c r="AC985" s="24"/>
      <c r="AD985" s="24"/>
      <c r="AE985" s="24"/>
    </row>
    <row r="986" spans="1:31" s="1" customFormat="1" ht="10.5" x14ac:dyDescent="0.25">
      <c r="A986" s="17"/>
      <c r="B986" s="18" t="s">
        <v>1275</v>
      </c>
      <c r="C986" s="18"/>
      <c r="D986" s="84" t="s">
        <v>1276</v>
      </c>
      <c r="E986" s="20"/>
      <c r="F986" s="20"/>
      <c r="G986" s="20"/>
      <c r="H986" s="20"/>
      <c r="I986" s="20"/>
      <c r="J986" s="20"/>
      <c r="K986" s="20"/>
      <c r="L986" s="20"/>
      <c r="M986" s="20">
        <f>SUM(M987)</f>
        <v>0</v>
      </c>
      <c r="N986" s="20"/>
      <c r="O986" s="20">
        <f t="shared" ref="O986:AC986" si="648">O987</f>
        <v>0</v>
      </c>
      <c r="P986" s="20">
        <f t="shared" si="648"/>
        <v>0</v>
      </c>
      <c r="Q986" s="20">
        <f t="shared" si="648"/>
        <v>0</v>
      </c>
      <c r="R986" s="20">
        <f t="shared" si="648"/>
        <v>0</v>
      </c>
      <c r="S986" s="20">
        <f t="shared" si="648"/>
        <v>0</v>
      </c>
      <c r="T986" s="20"/>
      <c r="U986" s="20">
        <f t="shared" si="648"/>
        <v>0</v>
      </c>
      <c r="V986" s="20"/>
      <c r="W986" s="20">
        <f t="shared" si="648"/>
        <v>0</v>
      </c>
      <c r="X986" s="20"/>
      <c r="Y986" s="20">
        <f t="shared" si="648"/>
        <v>0</v>
      </c>
      <c r="Z986" s="20">
        <f t="shared" si="648"/>
        <v>0</v>
      </c>
      <c r="AA986" s="20"/>
      <c r="AB986" s="20">
        <f t="shared" si="648"/>
        <v>0</v>
      </c>
      <c r="AC986" s="20">
        <f t="shared" si="648"/>
        <v>0</v>
      </c>
      <c r="AD986" s="20"/>
      <c r="AE986" s="20"/>
    </row>
    <row r="987" spans="1:31" s="1" customFormat="1" ht="21" x14ac:dyDescent="0.25">
      <c r="A987" s="25"/>
      <c r="B987" s="26" t="s">
        <v>1277</v>
      </c>
      <c r="C987" s="26"/>
      <c r="D987" s="64" t="s">
        <v>1278</v>
      </c>
      <c r="E987" s="28"/>
      <c r="F987" s="28"/>
      <c r="G987" s="28"/>
      <c r="H987" s="28"/>
      <c r="I987" s="28"/>
      <c r="J987" s="28"/>
      <c r="K987" s="28"/>
      <c r="L987" s="28"/>
      <c r="M987" s="28">
        <f>SUM(M988:M988)</f>
        <v>0</v>
      </c>
      <c r="N987" s="28"/>
      <c r="O987" s="28">
        <f>SUM(O988:O988)</f>
        <v>0</v>
      </c>
      <c r="P987" s="28">
        <f>SUM(P988:P988)</f>
        <v>0</v>
      </c>
      <c r="Q987" s="28">
        <f>SUM(Q988:Q988)</f>
        <v>0</v>
      </c>
      <c r="R987" s="28">
        <f>SUM(R988:R988)</f>
        <v>0</v>
      </c>
      <c r="S987" s="28">
        <f>SUM(S988:S988)</f>
        <v>0</v>
      </c>
      <c r="T987" s="28"/>
      <c r="U987" s="28">
        <f>SUM(U988:U988)</f>
        <v>0</v>
      </c>
      <c r="V987" s="28"/>
      <c r="W987" s="28">
        <f>SUM(W988:W988)</f>
        <v>0</v>
      </c>
      <c r="X987" s="28"/>
      <c r="Y987" s="28">
        <f>SUM(Y988:Y988)</f>
        <v>0</v>
      </c>
      <c r="Z987" s="28">
        <f>SUM(Z988:Z988)</f>
        <v>0</v>
      </c>
      <c r="AA987" s="28"/>
      <c r="AB987" s="28">
        <f>SUM(AB988:AB988)</f>
        <v>0</v>
      </c>
      <c r="AC987" s="28">
        <f>SUM(AC988:AC988)</f>
        <v>0</v>
      </c>
      <c r="AD987" s="28"/>
      <c r="AE987" s="28"/>
    </row>
    <row r="988" spans="1:31" s="1" customFormat="1" ht="10.5" x14ac:dyDescent="0.25">
      <c r="A988" s="21"/>
      <c r="B988" s="22"/>
      <c r="C988" s="22"/>
      <c r="D988" s="65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  <c r="AA988" s="24"/>
      <c r="AB988" s="24"/>
      <c r="AC988" s="24"/>
      <c r="AD988" s="24"/>
      <c r="AE988" s="24"/>
    </row>
    <row r="989" spans="1:31" s="1" customFormat="1" ht="10.5" x14ac:dyDescent="0.25">
      <c r="A989" s="17"/>
      <c r="B989" s="18" t="s">
        <v>1279</v>
      </c>
      <c r="C989" s="18"/>
      <c r="D989" s="84" t="s">
        <v>1280</v>
      </c>
      <c r="E989" s="20"/>
      <c r="F989" s="20"/>
      <c r="G989" s="20"/>
      <c r="H989" s="20"/>
      <c r="I989" s="20"/>
      <c r="J989" s="20"/>
      <c r="K989" s="20"/>
      <c r="L989" s="20"/>
      <c r="M989" s="20">
        <f>SUM(M990)</f>
        <v>0</v>
      </c>
      <c r="N989" s="20"/>
      <c r="O989" s="20">
        <f t="shared" ref="O989:AC989" si="649">O990</f>
        <v>0</v>
      </c>
      <c r="P989" s="20">
        <f t="shared" si="649"/>
        <v>0</v>
      </c>
      <c r="Q989" s="20">
        <f t="shared" si="649"/>
        <v>0</v>
      </c>
      <c r="R989" s="20">
        <f t="shared" si="649"/>
        <v>0</v>
      </c>
      <c r="S989" s="20">
        <f t="shared" si="649"/>
        <v>0</v>
      </c>
      <c r="T989" s="20"/>
      <c r="U989" s="20">
        <f t="shared" si="649"/>
        <v>0</v>
      </c>
      <c r="V989" s="20"/>
      <c r="W989" s="20">
        <f t="shared" si="649"/>
        <v>0</v>
      </c>
      <c r="X989" s="20"/>
      <c r="Y989" s="20">
        <f t="shared" si="649"/>
        <v>0</v>
      </c>
      <c r="Z989" s="20">
        <f t="shared" si="649"/>
        <v>0</v>
      </c>
      <c r="AA989" s="20"/>
      <c r="AB989" s="20">
        <f t="shared" si="649"/>
        <v>0</v>
      </c>
      <c r="AC989" s="20">
        <f t="shared" si="649"/>
        <v>0</v>
      </c>
      <c r="AD989" s="20"/>
      <c r="AE989" s="20"/>
    </row>
    <row r="990" spans="1:31" s="1" customFormat="1" ht="10.5" x14ac:dyDescent="0.25">
      <c r="A990" s="25"/>
      <c r="B990" s="26" t="s">
        <v>1281</v>
      </c>
      <c r="C990" s="26"/>
      <c r="D990" s="64" t="s">
        <v>1282</v>
      </c>
      <c r="E990" s="28"/>
      <c r="F990" s="28"/>
      <c r="G990" s="28"/>
      <c r="H990" s="28"/>
      <c r="I990" s="28"/>
      <c r="J990" s="28"/>
      <c r="K990" s="28"/>
      <c r="L990" s="28"/>
      <c r="M990" s="28">
        <f>SUM(M991:M991)</f>
        <v>0</v>
      </c>
      <c r="N990" s="28"/>
      <c r="O990" s="28">
        <f>SUM(O991:O991)</f>
        <v>0</v>
      </c>
      <c r="P990" s="28">
        <f>SUM(P991:P991)</f>
        <v>0</v>
      </c>
      <c r="Q990" s="28">
        <f>SUM(Q991:Q991)</f>
        <v>0</v>
      </c>
      <c r="R990" s="28">
        <f>SUM(R991:R991)</f>
        <v>0</v>
      </c>
      <c r="S990" s="28">
        <f>SUM(S991:S991)</f>
        <v>0</v>
      </c>
      <c r="T990" s="28"/>
      <c r="U990" s="28">
        <f>SUM(U991:U991)</f>
        <v>0</v>
      </c>
      <c r="V990" s="28"/>
      <c r="W990" s="28">
        <f>SUM(W991:W991)</f>
        <v>0</v>
      </c>
      <c r="X990" s="28"/>
      <c r="Y990" s="28">
        <f>SUM(Y991:Y991)</f>
        <v>0</v>
      </c>
      <c r="Z990" s="28">
        <f>SUM(Z991:Z991)</f>
        <v>0</v>
      </c>
      <c r="AA990" s="28"/>
      <c r="AB990" s="28">
        <f>SUM(AB991:AB991)</f>
        <v>0</v>
      </c>
      <c r="AC990" s="28">
        <f>SUM(AC991:AC991)</f>
        <v>0</v>
      </c>
      <c r="AD990" s="28"/>
      <c r="AE990" s="28"/>
    </row>
    <row r="991" spans="1:31" s="1" customFormat="1" ht="10.5" x14ac:dyDescent="0.25">
      <c r="A991" s="21"/>
      <c r="B991" s="22"/>
      <c r="C991" s="22"/>
      <c r="D991" s="65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  <c r="AA991" s="24"/>
      <c r="AB991" s="24"/>
      <c r="AC991" s="24"/>
      <c r="AD991" s="24"/>
      <c r="AE991" s="24"/>
    </row>
    <row r="992" spans="1:31" s="1" customFormat="1" ht="10.5" x14ac:dyDescent="0.25">
      <c r="A992" s="17"/>
      <c r="B992" s="18" t="s">
        <v>1283</v>
      </c>
      <c r="C992" s="18"/>
      <c r="D992" s="84" t="s">
        <v>1284</v>
      </c>
      <c r="E992" s="20"/>
      <c r="F992" s="20"/>
      <c r="G992" s="20"/>
      <c r="H992" s="20"/>
      <c r="I992" s="20"/>
      <c r="J992" s="20"/>
      <c r="K992" s="20"/>
      <c r="L992" s="20"/>
      <c r="M992" s="20">
        <f>SUM(M993+M995+M997)</f>
        <v>0</v>
      </c>
      <c r="N992" s="20"/>
      <c r="O992" s="20">
        <f>O993+O995+O997</f>
        <v>0</v>
      </c>
      <c r="P992" s="20">
        <f>P993+P995+P997</f>
        <v>0</v>
      </c>
      <c r="Q992" s="20">
        <f>Q993+Q995+Q997</f>
        <v>0</v>
      </c>
      <c r="R992" s="20">
        <f>R993+R995+R997</f>
        <v>0</v>
      </c>
      <c r="S992" s="20">
        <f>S993+S995+S997</f>
        <v>0</v>
      </c>
      <c r="T992" s="20"/>
      <c r="U992" s="20">
        <f>U993+U995+U997</f>
        <v>0</v>
      </c>
      <c r="V992" s="20"/>
      <c r="W992" s="20">
        <f>W993+W995+W997</f>
        <v>0</v>
      </c>
      <c r="X992" s="20"/>
      <c r="Y992" s="20">
        <f>Y993+Y995+Y997</f>
        <v>0</v>
      </c>
      <c r="Z992" s="20">
        <f>Z993+Z995+Z997</f>
        <v>0</v>
      </c>
      <c r="AA992" s="20"/>
      <c r="AB992" s="20">
        <f>AB993+AB995+AB997</f>
        <v>0</v>
      </c>
      <c r="AC992" s="20">
        <f>AC993+AC995+AC997</f>
        <v>0</v>
      </c>
      <c r="AD992" s="20"/>
      <c r="AE992" s="20"/>
    </row>
    <row r="993" spans="1:35" s="1" customFormat="1" ht="10.5" x14ac:dyDescent="0.25">
      <c r="A993" s="25"/>
      <c r="B993" s="26" t="s">
        <v>1285</v>
      </c>
      <c r="C993" s="26"/>
      <c r="D993" s="64" t="s">
        <v>1286</v>
      </c>
      <c r="E993" s="28"/>
      <c r="F993" s="28"/>
      <c r="G993" s="28"/>
      <c r="H993" s="28"/>
      <c r="I993" s="28"/>
      <c r="J993" s="28"/>
      <c r="K993" s="28"/>
      <c r="L993" s="28"/>
      <c r="M993" s="28">
        <f>SUM(M994:M994)</f>
        <v>0</v>
      </c>
      <c r="N993" s="28"/>
      <c r="O993" s="28">
        <f>SUM(O994:O994)</f>
        <v>0</v>
      </c>
      <c r="P993" s="28">
        <f>SUM(P994:P994)</f>
        <v>0</v>
      </c>
      <c r="Q993" s="28">
        <f>SUM(Q994:Q994)</f>
        <v>0</v>
      </c>
      <c r="R993" s="28">
        <f>SUM(R994:R994)</f>
        <v>0</v>
      </c>
      <c r="S993" s="28">
        <f>SUM(S994:S994)</f>
        <v>0</v>
      </c>
      <c r="T993" s="28"/>
      <c r="U993" s="28">
        <f>SUM(U994:U994)</f>
        <v>0</v>
      </c>
      <c r="V993" s="28"/>
      <c r="W993" s="28">
        <f>SUM(W994:W994)</f>
        <v>0</v>
      </c>
      <c r="X993" s="28"/>
      <c r="Y993" s="28">
        <f>SUM(Y994:Y994)</f>
        <v>0</v>
      </c>
      <c r="Z993" s="28">
        <f>SUM(Z994:Z994)</f>
        <v>0</v>
      </c>
      <c r="AA993" s="28"/>
      <c r="AB993" s="28">
        <f>SUM(AB994:AB994)</f>
        <v>0</v>
      </c>
      <c r="AC993" s="28">
        <f>SUM(AC994:AC994)</f>
        <v>0</v>
      </c>
      <c r="AD993" s="28"/>
      <c r="AE993" s="28"/>
    </row>
    <row r="994" spans="1:35" s="1" customFormat="1" ht="10.5" x14ac:dyDescent="0.25">
      <c r="A994" s="21"/>
      <c r="B994" s="22"/>
      <c r="C994" s="22"/>
      <c r="D994" s="85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  <c r="AA994" s="24"/>
      <c r="AB994" s="24"/>
      <c r="AC994" s="24"/>
      <c r="AD994" s="24"/>
      <c r="AE994" s="24"/>
    </row>
    <row r="995" spans="1:35" s="1" customFormat="1" ht="10.5" x14ac:dyDescent="0.25">
      <c r="A995" s="25"/>
      <c r="B995" s="26" t="s">
        <v>1287</v>
      </c>
      <c r="C995" s="26"/>
      <c r="D995" s="64" t="s">
        <v>1288</v>
      </c>
      <c r="E995" s="28"/>
      <c r="F995" s="28"/>
      <c r="G995" s="28"/>
      <c r="H995" s="28"/>
      <c r="I995" s="28"/>
      <c r="J995" s="28"/>
      <c r="K995" s="28"/>
      <c r="L995" s="28"/>
      <c r="M995" s="28">
        <f>SUM(M996:M996)</f>
        <v>0</v>
      </c>
      <c r="N995" s="28"/>
      <c r="O995" s="28">
        <f>SUM(O996:O996)</f>
        <v>0</v>
      </c>
      <c r="P995" s="28">
        <f>SUM(P996:P996)</f>
        <v>0</v>
      </c>
      <c r="Q995" s="28">
        <f>SUM(Q996:Q996)</f>
        <v>0</v>
      </c>
      <c r="R995" s="28">
        <f>SUM(R996:R996)</f>
        <v>0</v>
      </c>
      <c r="S995" s="28">
        <f>SUM(S996:S996)</f>
        <v>0</v>
      </c>
      <c r="T995" s="28"/>
      <c r="U995" s="28">
        <f>SUM(U996:U996)</f>
        <v>0</v>
      </c>
      <c r="V995" s="28"/>
      <c r="W995" s="28">
        <f>SUM(W996:W996)</f>
        <v>0</v>
      </c>
      <c r="X995" s="28"/>
      <c r="Y995" s="28">
        <f>SUM(Y996:Y996)</f>
        <v>0</v>
      </c>
      <c r="Z995" s="28">
        <f>SUM(Z996:Z996)</f>
        <v>0</v>
      </c>
      <c r="AA995" s="28"/>
      <c r="AB995" s="28">
        <f>SUM(AB996:AB996)</f>
        <v>0</v>
      </c>
      <c r="AC995" s="28">
        <f>SUM(AC996:AC996)</f>
        <v>0</v>
      </c>
      <c r="AD995" s="28"/>
      <c r="AE995" s="28"/>
    </row>
    <row r="996" spans="1:35" s="1" customFormat="1" ht="10.5" x14ac:dyDescent="0.25">
      <c r="A996" s="21"/>
      <c r="B996" s="22"/>
      <c r="C996" s="22"/>
      <c r="D996" s="85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  <c r="AA996" s="24"/>
      <c r="AB996" s="24"/>
      <c r="AC996" s="24"/>
      <c r="AD996" s="24"/>
      <c r="AE996" s="24"/>
    </row>
    <row r="997" spans="1:35" s="1" customFormat="1" ht="10.5" x14ac:dyDescent="0.25">
      <c r="A997" s="25"/>
      <c r="B997" s="26" t="s">
        <v>1289</v>
      </c>
      <c r="C997" s="26"/>
      <c r="D997" s="64" t="s">
        <v>1290</v>
      </c>
      <c r="E997" s="28"/>
      <c r="F997" s="28"/>
      <c r="G997" s="28"/>
      <c r="H997" s="28"/>
      <c r="I997" s="28"/>
      <c r="J997" s="28"/>
      <c r="K997" s="28"/>
      <c r="L997" s="28"/>
      <c r="M997" s="28">
        <f>SUM(M998:M998)</f>
        <v>0</v>
      </c>
      <c r="N997" s="28"/>
      <c r="O997" s="28">
        <f>SUM(O998:O998)</f>
        <v>0</v>
      </c>
      <c r="P997" s="28">
        <f>SUM(P998:P998)</f>
        <v>0</v>
      </c>
      <c r="Q997" s="28">
        <f>SUM(Q998:Q998)</f>
        <v>0</v>
      </c>
      <c r="R997" s="28">
        <f>SUM(R998:R998)</f>
        <v>0</v>
      </c>
      <c r="S997" s="28">
        <f>SUM(S998:S998)</f>
        <v>0</v>
      </c>
      <c r="T997" s="28"/>
      <c r="U997" s="28">
        <f>SUM(U998:U998)</f>
        <v>0</v>
      </c>
      <c r="V997" s="28"/>
      <c r="W997" s="28">
        <f>SUM(W998:W998)</f>
        <v>0</v>
      </c>
      <c r="X997" s="28"/>
      <c r="Y997" s="28">
        <f>SUM(Y998:Y998)</f>
        <v>0</v>
      </c>
      <c r="Z997" s="28">
        <f>SUM(Z998:Z998)</f>
        <v>0</v>
      </c>
      <c r="AA997" s="28"/>
      <c r="AB997" s="28">
        <f>SUM(AB998:AB998)</f>
        <v>0</v>
      </c>
      <c r="AC997" s="28">
        <f>SUM(AC998:AC998)</f>
        <v>0</v>
      </c>
      <c r="AD997" s="28"/>
      <c r="AE997" s="28"/>
    </row>
    <row r="998" spans="1:35" s="1" customFormat="1" ht="10.5" x14ac:dyDescent="0.25">
      <c r="A998" s="21"/>
      <c r="B998" s="22"/>
      <c r="C998" s="22"/>
      <c r="D998" s="85"/>
      <c r="E998" s="24"/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  <c r="W998" s="24"/>
      <c r="X998" s="24"/>
      <c r="Y998" s="24"/>
      <c r="Z998" s="24"/>
      <c r="AA998" s="24"/>
      <c r="AB998" s="24"/>
      <c r="AC998" s="24"/>
      <c r="AD998" s="24"/>
      <c r="AE998" s="24"/>
    </row>
    <row r="999" spans="1:35" s="1" customFormat="1" ht="10.5" x14ac:dyDescent="0.25">
      <c r="A999" s="17"/>
      <c r="B999" s="18" t="s">
        <v>1291</v>
      </c>
      <c r="C999" s="18"/>
      <c r="D999" s="84" t="s">
        <v>1292</v>
      </c>
      <c r="E999" s="20"/>
      <c r="F999" s="20"/>
      <c r="G999" s="20"/>
      <c r="H999" s="20"/>
      <c r="I999" s="20"/>
      <c r="J999" s="20"/>
      <c r="K999" s="20"/>
      <c r="L999" s="20"/>
      <c r="M999" s="20">
        <f>SUM(M1000)</f>
        <v>4</v>
      </c>
      <c r="N999" s="20"/>
      <c r="O999" s="37">
        <f>SUM(O1000)</f>
        <v>50797500</v>
      </c>
      <c r="P999" s="20">
        <f t="shared" ref="P999:Y999" si="650">P1000</f>
        <v>0</v>
      </c>
      <c r="Q999" s="20">
        <f t="shared" si="650"/>
        <v>0</v>
      </c>
      <c r="R999" s="20">
        <f t="shared" si="650"/>
        <v>0</v>
      </c>
      <c r="S999" s="37">
        <f>SUM(S1000)</f>
        <v>50797500</v>
      </c>
      <c r="T999" s="37"/>
      <c r="U999" s="37">
        <f>SUM(U1000)</f>
        <v>10159500</v>
      </c>
      <c r="V999" s="37"/>
      <c r="W999" s="37">
        <f>SUM(W1000)</f>
        <v>4479750</v>
      </c>
      <c r="X999" s="37"/>
      <c r="Y999" s="37">
        <f t="shared" si="650"/>
        <v>4479750</v>
      </c>
      <c r="Z999" s="37">
        <f>SUM(Z1000)</f>
        <v>8959500</v>
      </c>
      <c r="AA999" s="37"/>
      <c r="AB999" s="37">
        <f>SUM(AB1000)</f>
        <v>35118375</v>
      </c>
      <c r="AC999" s="37">
        <f>SUM(AC1000)</f>
        <v>15679125</v>
      </c>
      <c r="AD999" s="20"/>
      <c r="AE999" s="20"/>
      <c r="AF999" s="1">
        <v>39598125</v>
      </c>
      <c r="AG999" s="5"/>
    </row>
    <row r="1000" spans="1:35" s="160" customFormat="1" ht="10.5" x14ac:dyDescent="0.25">
      <c r="A1000" s="138"/>
      <c r="B1000" s="139" t="s">
        <v>1293</v>
      </c>
      <c r="C1000" s="139"/>
      <c r="D1000" s="184" t="s">
        <v>1292</v>
      </c>
      <c r="E1000" s="141"/>
      <c r="F1000" s="141"/>
      <c r="G1000" s="141"/>
      <c r="H1000" s="141"/>
      <c r="I1000" s="141"/>
      <c r="J1000" s="141"/>
      <c r="K1000" s="141"/>
      <c r="L1000" s="141"/>
      <c r="M1000" s="141">
        <f>SUM(M1002:M1005)</f>
        <v>4</v>
      </c>
      <c r="N1000" s="141"/>
      <c r="O1000" s="142">
        <f>SUM(O1002:O1005)</f>
        <v>50797500</v>
      </c>
      <c r="P1000" s="141">
        <f>SUM(P1002:P1004)</f>
        <v>0</v>
      </c>
      <c r="Q1000" s="141">
        <f>SUM(Q1002:Q1004)</f>
        <v>0</v>
      </c>
      <c r="R1000" s="141">
        <f>SUM(R1002:R1004)</f>
        <v>0</v>
      </c>
      <c r="S1000" s="142">
        <f>SUM(S1002:S1005)</f>
        <v>50797500</v>
      </c>
      <c r="T1000" s="141"/>
      <c r="U1000" s="142">
        <f>SUM(U1002:U1005)</f>
        <v>10159500</v>
      </c>
      <c r="V1000" s="141"/>
      <c r="W1000" s="142">
        <f>SUM(W1002:W1005)</f>
        <v>4479750</v>
      </c>
      <c r="X1000" s="141"/>
      <c r="Y1000" s="142">
        <f>SUM(Y1002:Y1005)</f>
        <v>4479750</v>
      </c>
      <c r="Z1000" s="142">
        <f>SUM(Z1002:Z1005)</f>
        <v>8959500</v>
      </c>
      <c r="AA1000" s="141"/>
      <c r="AB1000" s="142">
        <f>SUM(AB1002:AB1005)</f>
        <v>35118375</v>
      </c>
      <c r="AC1000" s="142">
        <f>SUM(AC1002:AC1005)</f>
        <v>15679125</v>
      </c>
      <c r="AD1000" s="141"/>
      <c r="AE1000" s="141"/>
      <c r="AF1000" s="161">
        <f>AB999-AF999</f>
        <v>-4479750</v>
      </c>
      <c r="AG1000" s="185"/>
    </row>
    <row r="1001" spans="1:35" s="1" customFormat="1" ht="10.5" x14ac:dyDescent="0.25">
      <c r="A1001" s="25"/>
      <c r="B1001" s="26" t="s">
        <v>1769</v>
      </c>
      <c r="C1001" s="26"/>
      <c r="D1001" s="64" t="s">
        <v>1770</v>
      </c>
      <c r="E1001" s="28"/>
      <c r="F1001" s="28"/>
      <c r="G1001" s="28"/>
      <c r="H1001" s="28"/>
      <c r="I1001" s="28"/>
      <c r="J1001" s="28"/>
      <c r="K1001" s="28"/>
      <c r="L1001" s="28"/>
      <c r="M1001" s="28"/>
      <c r="N1001" s="28"/>
      <c r="O1001" s="40">
        <f>SUM(O1002:O1005)</f>
        <v>50797500</v>
      </c>
      <c r="P1001" s="28"/>
      <c r="Q1001" s="28"/>
      <c r="R1001" s="28"/>
      <c r="S1001" s="40">
        <f>SUM(S1002:S1005)</f>
        <v>50797500</v>
      </c>
      <c r="T1001" s="28"/>
      <c r="U1001" s="40">
        <f>SUM(U1002:U1005)</f>
        <v>10159500</v>
      </c>
      <c r="V1001" s="28"/>
      <c r="W1001" s="40">
        <f>SUM(W1002:W1005)</f>
        <v>4479750</v>
      </c>
      <c r="X1001" s="28"/>
      <c r="Y1001" s="40">
        <f>SUM(Y1002:Y1005)</f>
        <v>4479750</v>
      </c>
      <c r="Z1001" s="40">
        <f>SUM(Z1002:Z1005)</f>
        <v>8959500</v>
      </c>
      <c r="AA1001" s="28"/>
      <c r="AB1001" s="40">
        <f>SUM(AB1002:AB1005)</f>
        <v>35118375</v>
      </c>
      <c r="AC1001" s="40">
        <f>SUM(AC1002:AC1005)</f>
        <v>15679125</v>
      </c>
      <c r="AD1001" s="28"/>
      <c r="AE1001" s="28"/>
      <c r="AF1001" s="1" t="s">
        <v>1771</v>
      </c>
      <c r="AG1001" s="8"/>
    </row>
    <row r="1002" spans="1:35" s="1" customFormat="1" ht="10.5" x14ac:dyDescent="0.25">
      <c r="A1002" s="21">
        <v>1</v>
      </c>
      <c r="B1002" s="22" t="s">
        <v>1772</v>
      </c>
      <c r="C1002" s="22" t="s">
        <v>58</v>
      </c>
      <c r="D1002" s="23" t="s">
        <v>1294</v>
      </c>
      <c r="E1002" s="24" t="s">
        <v>166</v>
      </c>
      <c r="F1002" s="24"/>
      <c r="G1002" s="24" t="s">
        <v>466</v>
      </c>
      <c r="H1002" s="24" t="s">
        <v>62</v>
      </c>
      <c r="I1002" s="24">
        <v>2015</v>
      </c>
      <c r="J1002" s="24"/>
      <c r="K1002" s="24" t="s">
        <v>202</v>
      </c>
      <c r="L1002" s="24" t="s">
        <v>64</v>
      </c>
      <c r="M1002" s="24">
        <v>1</v>
      </c>
      <c r="N1002" s="41">
        <f>SUM(O1002/M1002)</f>
        <v>2500000</v>
      </c>
      <c r="O1002" s="41">
        <v>2500000</v>
      </c>
      <c r="P1002" s="24"/>
      <c r="Q1002" s="24"/>
      <c r="R1002" s="24"/>
      <c r="S1002" s="41">
        <f>SUM(O1002-R1002)</f>
        <v>2500000</v>
      </c>
      <c r="T1002" s="24">
        <v>5</v>
      </c>
      <c r="U1002" s="41">
        <f>SUM(S1002/T1002)</f>
        <v>500000</v>
      </c>
      <c r="V1002" s="24">
        <v>0.5</v>
      </c>
      <c r="W1002" s="41"/>
      <c r="X1002" s="24"/>
      <c r="Y1002" s="41">
        <f>SUM(U1002*X1002)</f>
        <v>0</v>
      </c>
      <c r="Z1002" s="41"/>
      <c r="AA1002" s="24">
        <v>5</v>
      </c>
      <c r="AB1002" s="41">
        <f>SUM(U1002*AA1002)</f>
        <v>2500000</v>
      </c>
      <c r="AC1002" s="41">
        <f>SUM(O1002-AB1002)</f>
        <v>0</v>
      </c>
      <c r="AD1002" s="70" t="s">
        <v>1295</v>
      </c>
      <c r="AE1002" s="24"/>
      <c r="AG1002" s="88"/>
    </row>
    <row r="1003" spans="1:35" s="1" customFormat="1" ht="10.5" x14ac:dyDescent="0.25">
      <c r="A1003" s="21">
        <v>2</v>
      </c>
      <c r="B1003" s="22" t="s">
        <v>1773</v>
      </c>
      <c r="C1003" s="22" t="s">
        <v>58</v>
      </c>
      <c r="D1003" s="23" t="s">
        <v>1296</v>
      </c>
      <c r="E1003" s="24" t="s">
        <v>166</v>
      </c>
      <c r="F1003" s="24"/>
      <c r="G1003" s="24" t="s">
        <v>466</v>
      </c>
      <c r="H1003" s="24" t="s">
        <v>62</v>
      </c>
      <c r="I1003" s="24">
        <v>2015</v>
      </c>
      <c r="J1003" s="24"/>
      <c r="K1003" s="24" t="s">
        <v>202</v>
      </c>
      <c r="L1003" s="24" t="s">
        <v>64</v>
      </c>
      <c r="M1003" s="24">
        <v>1</v>
      </c>
      <c r="N1003" s="41">
        <f>SUM(O1003/M1003)</f>
        <v>1500000</v>
      </c>
      <c r="O1003" s="41">
        <v>1500000</v>
      </c>
      <c r="P1003" s="24"/>
      <c r="Q1003" s="24"/>
      <c r="R1003" s="24"/>
      <c r="S1003" s="41">
        <f>SUM(O1003-R1003)</f>
        <v>1500000</v>
      </c>
      <c r="T1003" s="24">
        <v>5</v>
      </c>
      <c r="U1003" s="41">
        <f>SUM(S1003/T1003)</f>
        <v>300000</v>
      </c>
      <c r="V1003" s="24">
        <v>0.5</v>
      </c>
      <c r="W1003" s="41"/>
      <c r="X1003" s="24"/>
      <c r="Y1003" s="41">
        <f>SUM(U1003*X1003)</f>
        <v>0</v>
      </c>
      <c r="Z1003" s="41"/>
      <c r="AA1003" s="24">
        <v>5</v>
      </c>
      <c r="AB1003" s="41">
        <f>SUM(U1003*AA1003)</f>
        <v>1500000</v>
      </c>
      <c r="AC1003" s="41">
        <f>SUM(O1003-AB1003)</f>
        <v>0</v>
      </c>
      <c r="AD1003" s="70" t="s">
        <v>1295</v>
      </c>
      <c r="AE1003" s="24"/>
      <c r="AG1003" s="88"/>
    </row>
    <row r="1004" spans="1:35" s="1" customFormat="1" ht="10.5" x14ac:dyDescent="0.25">
      <c r="A1004" s="21">
        <v>3</v>
      </c>
      <c r="B1004" s="22" t="s">
        <v>1774</v>
      </c>
      <c r="C1004" s="22" t="s">
        <v>58</v>
      </c>
      <c r="D1004" s="23" t="s">
        <v>1297</v>
      </c>
      <c r="E1004" s="24" t="s">
        <v>166</v>
      </c>
      <c r="F1004" s="24"/>
      <c r="G1004" s="24" t="s">
        <v>466</v>
      </c>
      <c r="H1004" s="24" t="s">
        <v>62</v>
      </c>
      <c r="I1004" s="24">
        <v>2015</v>
      </c>
      <c r="J1004" s="24"/>
      <c r="K1004" s="24" t="s">
        <v>202</v>
      </c>
      <c r="L1004" s="24" t="s">
        <v>64</v>
      </c>
      <c r="M1004" s="24">
        <v>1</v>
      </c>
      <c r="N1004" s="41">
        <f>SUM(O1004/M1004)</f>
        <v>2000000</v>
      </c>
      <c r="O1004" s="41">
        <v>2000000</v>
      </c>
      <c r="P1004" s="24"/>
      <c r="Q1004" s="24"/>
      <c r="R1004" s="24"/>
      <c r="S1004" s="41">
        <f>SUM(O1004-R1004)</f>
        <v>2000000</v>
      </c>
      <c r="T1004" s="24">
        <v>5</v>
      </c>
      <c r="U1004" s="41">
        <f>SUM(S1004/T1004)</f>
        <v>400000</v>
      </c>
      <c r="V1004" s="24">
        <v>0.5</v>
      </c>
      <c r="W1004" s="41"/>
      <c r="X1004" s="24"/>
      <c r="Y1004" s="41">
        <f>SUM(U1004*X1004)</f>
        <v>0</v>
      </c>
      <c r="Z1004" s="41"/>
      <c r="AA1004" s="24">
        <v>5</v>
      </c>
      <c r="AB1004" s="41">
        <f>SUM(U1004*AA1004)</f>
        <v>2000000</v>
      </c>
      <c r="AC1004" s="41">
        <f>SUM(O1004-AB1004)</f>
        <v>0</v>
      </c>
      <c r="AD1004" s="70" t="s">
        <v>1295</v>
      </c>
      <c r="AE1004" s="24"/>
      <c r="AG1004" s="88"/>
    </row>
    <row r="1005" spans="1:35" s="1" customFormat="1" ht="10.5" x14ac:dyDescent="0.25">
      <c r="A1005" s="21">
        <v>4</v>
      </c>
      <c r="B1005" s="22" t="s">
        <v>1775</v>
      </c>
      <c r="C1005" s="50"/>
      <c r="D1005" s="51" t="s">
        <v>1298</v>
      </c>
      <c r="E1005" s="52" t="s">
        <v>166</v>
      </c>
      <c r="F1005" s="52"/>
      <c r="G1005" s="52" t="s">
        <v>466</v>
      </c>
      <c r="H1005" s="52" t="s">
        <v>62</v>
      </c>
      <c r="I1005" s="52">
        <v>2019</v>
      </c>
      <c r="J1005" s="52"/>
      <c r="K1005" s="52" t="s">
        <v>202</v>
      </c>
      <c r="L1005" s="52" t="s">
        <v>64</v>
      </c>
      <c r="M1005" s="52">
        <v>1</v>
      </c>
      <c r="N1005" s="53">
        <v>44797500</v>
      </c>
      <c r="O1005" s="53">
        <v>44797500</v>
      </c>
      <c r="P1005" s="52"/>
      <c r="Q1005" s="52"/>
      <c r="R1005" s="52"/>
      <c r="S1005" s="53">
        <f>SUM(O1005-R1005)</f>
        <v>44797500</v>
      </c>
      <c r="T1005" s="52">
        <v>5</v>
      </c>
      <c r="U1005" s="53">
        <f>SUM(S1005/T1005)</f>
        <v>8959500</v>
      </c>
      <c r="V1005" s="52">
        <v>0.5</v>
      </c>
      <c r="W1005" s="53">
        <f>SUM(U1005*V1005)</f>
        <v>4479750</v>
      </c>
      <c r="X1005" s="52">
        <v>0.5</v>
      </c>
      <c r="Y1005" s="53">
        <f>SUM(U1005*X1005)</f>
        <v>4479750</v>
      </c>
      <c r="Z1005" s="53">
        <f>SUM(W1005+Y1005)</f>
        <v>8959500</v>
      </c>
      <c r="AA1005" s="52">
        <f>2022-I1005+V1005+X1005-9/12</f>
        <v>3.25</v>
      </c>
      <c r="AB1005" s="53">
        <f>SUM(U1005*AA1005)</f>
        <v>29118375</v>
      </c>
      <c r="AC1005" s="53">
        <f>SUM(S1005-AB1005)</f>
        <v>15679125</v>
      </c>
      <c r="AD1005" s="52"/>
      <c r="AE1005" s="52"/>
      <c r="AG1005" s="88"/>
    </row>
    <row r="1006" spans="1:35" s="1" customFormat="1" ht="10.5" x14ac:dyDescent="0.25">
      <c r="A1006" s="21"/>
      <c r="B1006" s="22"/>
      <c r="C1006" s="22"/>
      <c r="D1006" s="23"/>
      <c r="E1006" s="24"/>
      <c r="F1006" s="24"/>
      <c r="G1006" s="24"/>
      <c r="H1006" s="24"/>
      <c r="I1006" s="24"/>
      <c r="J1006" s="24"/>
      <c r="K1006" s="24"/>
      <c r="L1006" s="24"/>
      <c r="M1006" s="24"/>
      <c r="N1006" s="41"/>
      <c r="O1006" s="41"/>
      <c r="P1006" s="24"/>
      <c r="Q1006" s="24"/>
      <c r="R1006" s="24"/>
      <c r="S1006" s="41"/>
      <c r="T1006" s="24"/>
      <c r="U1006" s="41"/>
      <c r="V1006" s="24"/>
      <c r="W1006" s="41"/>
      <c r="X1006" s="24"/>
      <c r="Y1006" s="41"/>
      <c r="Z1006" s="41"/>
      <c r="AA1006" s="24"/>
      <c r="AB1006" s="41"/>
      <c r="AC1006" s="41"/>
      <c r="AD1006" s="24"/>
      <c r="AE1006" s="24"/>
      <c r="AF1006" s="8"/>
    </row>
    <row r="1007" spans="1:35" s="16" customFormat="1" ht="23.25" customHeight="1" x14ac:dyDescent="0.25">
      <c r="A1007" s="29">
        <v>3</v>
      </c>
      <c r="B1007" s="30" t="s">
        <v>1299</v>
      </c>
      <c r="C1007" s="30"/>
      <c r="D1007" s="89" t="s">
        <v>1300</v>
      </c>
      <c r="E1007" s="32"/>
      <c r="F1007" s="32"/>
      <c r="G1007" s="32"/>
      <c r="H1007" s="32"/>
      <c r="I1007" s="32"/>
      <c r="J1007" s="32"/>
      <c r="K1007" s="32"/>
      <c r="L1007" s="32"/>
      <c r="M1007" s="32">
        <f>SUM(M1008+M1116)</f>
        <v>52</v>
      </c>
      <c r="N1007" s="32"/>
      <c r="O1007" s="34">
        <f>SUM(O1008+O1116)</f>
        <v>22496690091</v>
      </c>
      <c r="P1007" s="34">
        <f>SUM(P1008+P1116)</f>
        <v>0</v>
      </c>
      <c r="Q1007" s="34">
        <f>Q1008+Q1113+Q1116+Q1120</f>
        <v>0</v>
      </c>
      <c r="R1007" s="32">
        <f>R1008+R1113+R1116+R1120</f>
        <v>0</v>
      </c>
      <c r="S1007" s="34">
        <f>SUM(S1008+S1116)</f>
        <v>33371531958.124771</v>
      </c>
      <c r="T1007" s="32"/>
      <c r="U1007" s="34">
        <f>SUM(U1008+U1116)</f>
        <v>969647231.65802145</v>
      </c>
      <c r="V1007" s="32"/>
      <c r="W1007" s="34">
        <f>SUM(W1008+W1116)</f>
        <v>238513981.26827872</v>
      </c>
      <c r="X1007" s="32"/>
      <c r="Y1007" s="34">
        <f>Y1008+Y1113+Y1116+Y1120</f>
        <v>268248462.1330772</v>
      </c>
      <c r="Z1007" s="34">
        <f>SUM(Z1008+Z1116)</f>
        <v>506762443.40135586</v>
      </c>
      <c r="AA1007" s="32"/>
      <c r="AB1007" s="34">
        <f>SUM(AB1008+AB1116)</f>
        <v>8627144660.8864174</v>
      </c>
      <c r="AC1007" s="34">
        <f>SUM(AC1008+AC1116)</f>
        <v>13869545430.113585</v>
      </c>
      <c r="AD1007" s="32"/>
      <c r="AE1007" s="32"/>
      <c r="AF1007" s="36">
        <v>8627144660.8864174</v>
      </c>
      <c r="AG1007" s="90">
        <v>685558738.03612709</v>
      </c>
      <c r="AH1007" s="1"/>
      <c r="AI1007" s="36">
        <f>AH1007+W1007+Y1007-AB1007</f>
        <v>-8120382217.4850616</v>
      </c>
    </row>
    <row r="1008" spans="1:35" s="1" customFormat="1" ht="10.5" x14ac:dyDescent="0.25">
      <c r="A1008" s="17"/>
      <c r="B1008" s="18" t="s">
        <v>1301</v>
      </c>
      <c r="C1008" s="18"/>
      <c r="D1008" s="84" t="s">
        <v>1302</v>
      </c>
      <c r="E1008" s="20"/>
      <c r="F1008" s="20"/>
      <c r="G1008" s="20"/>
      <c r="H1008" s="20"/>
      <c r="I1008" s="20"/>
      <c r="J1008" s="20"/>
      <c r="K1008" s="20"/>
      <c r="L1008" s="20"/>
      <c r="M1008" s="20">
        <f>SUM(M1009)</f>
        <v>51</v>
      </c>
      <c r="N1008" s="20"/>
      <c r="O1008" s="37">
        <f>SUM(O1009)</f>
        <v>22416890091</v>
      </c>
      <c r="P1008" s="37">
        <f>SUM(P1009)</f>
        <v>0</v>
      </c>
      <c r="Q1008" s="37">
        <f>Q1009+Q1073</f>
        <v>0</v>
      </c>
      <c r="R1008" s="20">
        <f>R1009+R1073</f>
        <v>0</v>
      </c>
      <c r="S1008" s="37">
        <f>SUM(S1009)</f>
        <v>33291731958.124771</v>
      </c>
      <c r="T1008" s="20"/>
      <c r="U1008" s="37">
        <f>SUM(U1009)</f>
        <v>968051231.65802145</v>
      </c>
      <c r="V1008" s="20"/>
      <c r="W1008" s="37">
        <f>SUM(W1009)</f>
        <v>237715981.26827872</v>
      </c>
      <c r="X1008" s="20"/>
      <c r="Y1008" s="37">
        <f>SUM(Y1009)</f>
        <v>267450462.1330772</v>
      </c>
      <c r="Z1008" s="37">
        <f>SUM(Z1009)</f>
        <v>505166443.40135586</v>
      </c>
      <c r="AA1008" s="20"/>
      <c r="AB1008" s="37">
        <f>SUM(AB1009)</f>
        <v>8609588660.8864174</v>
      </c>
      <c r="AC1008" s="37">
        <f>SUM(AC1009)</f>
        <v>13807301430.113585</v>
      </c>
      <c r="AD1008" s="20"/>
      <c r="AE1008" s="20"/>
      <c r="AF1008" s="8">
        <f>AF1007+Z1007-AB1007</f>
        <v>506762443.40135574</v>
      </c>
      <c r="AG1008" s="5">
        <f>AG1007-U1010</f>
        <v>59716256.349401236</v>
      </c>
    </row>
    <row r="1009" spans="1:34" s="1" customFormat="1" ht="11.45" x14ac:dyDescent="0.25">
      <c r="A1009" s="138"/>
      <c r="B1009" s="139" t="s">
        <v>1303</v>
      </c>
      <c r="C1009" s="139"/>
      <c r="D1009" s="184" t="s">
        <v>1304</v>
      </c>
      <c r="E1009" s="141"/>
      <c r="F1009" s="141"/>
      <c r="G1009" s="141"/>
      <c r="H1009" s="141"/>
      <c r="I1009" s="141"/>
      <c r="J1009" s="141"/>
      <c r="K1009" s="141"/>
      <c r="L1009" s="141"/>
      <c r="M1009" s="141">
        <f>SUM(M1010+M1073)</f>
        <v>51</v>
      </c>
      <c r="N1009" s="141"/>
      <c r="O1009" s="142">
        <f>SUM(O1010+O1073)</f>
        <v>22416890091</v>
      </c>
      <c r="P1009" s="142">
        <f>SUM(P1010+P1073)</f>
        <v>0</v>
      </c>
      <c r="Q1009" s="142">
        <f>SUM(Q1021:Q1072)</f>
        <v>0</v>
      </c>
      <c r="R1009" s="141"/>
      <c r="S1009" s="142">
        <f>SUM(S1010+S1073)</f>
        <v>33291731958.124771</v>
      </c>
      <c r="T1009" s="141"/>
      <c r="U1009" s="142">
        <f>SUM(U1010+U1073)</f>
        <v>968051231.65802145</v>
      </c>
      <c r="V1009" s="141"/>
      <c r="W1009" s="142">
        <f>SUM(W1010+W1073)</f>
        <v>237715981.26827872</v>
      </c>
      <c r="X1009" s="141"/>
      <c r="Y1009" s="142">
        <f>SUM(Y1010+Y1073)</f>
        <v>267450462.1330772</v>
      </c>
      <c r="Z1009" s="142">
        <f>SUM(Z1010+Z1073)</f>
        <v>505166443.40135586</v>
      </c>
      <c r="AA1009" s="141"/>
      <c r="AB1009" s="142">
        <f>SUM(AB1010+AB1073)</f>
        <v>8609588660.8864174</v>
      </c>
      <c r="AC1009" s="142">
        <f>SUM(AC1010+AC1073)</f>
        <v>13807301430.113585</v>
      </c>
      <c r="AD1009" s="141"/>
      <c r="AE1009" s="141"/>
      <c r="AF1009" s="5">
        <v>13829936550</v>
      </c>
      <c r="AG1009" s="5">
        <f>'[1]BI Tahun  SMT I 2023'!$AH$1160-AG1008</f>
        <v>14210043.650598764</v>
      </c>
      <c r="AH1009" s="36"/>
    </row>
    <row r="1010" spans="1:34" s="1" customFormat="1" ht="11.45" x14ac:dyDescent="0.25">
      <c r="A1010" s="25"/>
      <c r="B1010" s="26" t="s">
        <v>1776</v>
      </c>
      <c r="C1010" s="26"/>
      <c r="D1010" s="64" t="s">
        <v>1777</v>
      </c>
      <c r="E1010" s="186"/>
      <c r="F1010" s="28"/>
      <c r="G1010" s="28"/>
      <c r="H1010" s="28"/>
      <c r="I1010" s="28"/>
      <c r="J1010" s="28"/>
      <c r="K1010" s="28"/>
      <c r="L1010" s="28"/>
      <c r="M1010" s="28">
        <f>SUM(M1011:M1071)</f>
        <v>34</v>
      </c>
      <c r="N1010" s="28"/>
      <c r="O1010" s="40">
        <f>SUM(O1011:O1071)</f>
        <v>13655936866</v>
      </c>
      <c r="P1010" s="40">
        <f>SUM(P1011:P1071)</f>
        <v>0</v>
      </c>
      <c r="Q1010" s="40">
        <f>SUM(Q1011:Q1071)</f>
        <v>0</v>
      </c>
      <c r="R1010" s="28"/>
      <c r="S1010" s="40">
        <f>SUM(S1011:S1071)</f>
        <v>23695312452.78561</v>
      </c>
      <c r="T1010" s="28"/>
      <c r="U1010" s="40">
        <f>SUM(U1011:U1071)</f>
        <v>625842481.68672585</v>
      </c>
      <c r="V1010" s="28"/>
      <c r="W1010" s="40">
        <f>SUM(W1011:W1071)</f>
        <v>141694306.91102767</v>
      </c>
      <c r="X1010" s="28"/>
      <c r="Y1010" s="40">
        <f>SUM(Y1011:Y1071)</f>
        <v>163973322.14699531</v>
      </c>
      <c r="Z1010" s="40">
        <f>SUM(Z1011:Z1071)</f>
        <v>305667629.05802292</v>
      </c>
      <c r="AA1010" s="28"/>
      <c r="AB1010" s="40">
        <f>SUM(AB1011:AB1071)</f>
        <v>4844605700.4758997</v>
      </c>
      <c r="AC1010" s="40">
        <f>SUM(AC1011:AC1071)</f>
        <v>8811331165.5241013</v>
      </c>
      <c r="AD1010" s="28"/>
      <c r="AE1010" s="28"/>
      <c r="AF1010" s="5">
        <v>14883203380</v>
      </c>
      <c r="AG1010" s="5">
        <v>25332889600.463203</v>
      </c>
      <c r="AH1010" s="36"/>
    </row>
    <row r="1011" spans="1:34" s="1" customFormat="1" ht="11.45" x14ac:dyDescent="0.25">
      <c r="A1011" s="49">
        <v>1</v>
      </c>
      <c r="B1011" s="22" t="s">
        <v>1778</v>
      </c>
      <c r="C1011" s="65" t="s">
        <v>58</v>
      </c>
      <c r="D1011" s="24" t="s">
        <v>1779</v>
      </c>
      <c r="E1011" s="52"/>
      <c r="F1011" s="24"/>
      <c r="G1011" s="24" t="s">
        <v>1309</v>
      </c>
      <c r="H1011" s="24" t="s">
        <v>62</v>
      </c>
      <c r="I1011" s="24">
        <v>2013</v>
      </c>
      <c r="J1011" s="24"/>
      <c r="K1011" s="24"/>
      <c r="L1011" s="24" t="s">
        <v>64</v>
      </c>
      <c r="M1011" s="24">
        <v>1</v>
      </c>
      <c r="N1011" s="53">
        <f>766836000+622000000+1240815360+1091684640+323124000+15578000+155500000+97295000+67630000</f>
        <v>4380463000</v>
      </c>
      <c r="O1011" s="53">
        <f>766836000+622000000+1240815360+1091684640+323124000+15578000+155500000+97295000+67630000</f>
        <v>4380463000</v>
      </c>
      <c r="P1011" s="52"/>
      <c r="Q1011" s="43"/>
      <c r="R1011" s="52"/>
      <c r="S1011" s="53"/>
      <c r="T1011" s="52"/>
      <c r="U1011" s="53"/>
      <c r="V1011" s="52"/>
      <c r="W1011" s="53"/>
      <c r="X1011" s="52"/>
      <c r="Y1011" s="56">
        <f t="shared" ref="Y1011:Y1014" si="651">SUM(U1011*X1011)</f>
        <v>0</v>
      </c>
      <c r="Z1011" s="56">
        <f t="shared" ref="Z1011:Z1020" si="652">W1011+Y1011</f>
        <v>0</v>
      </c>
      <c r="AA1011" s="52">
        <v>2.5</v>
      </c>
      <c r="AB1011" s="56">
        <v>219023150</v>
      </c>
      <c r="AC1011" s="53"/>
      <c r="AD1011" s="52"/>
      <c r="AE1011" s="24"/>
      <c r="AF1011" s="5">
        <v>187496990.91478699</v>
      </c>
      <c r="AG1011" s="5">
        <f>AG1010-S1010</f>
        <v>1637577147.6775932</v>
      </c>
      <c r="AH1011" s="36"/>
    </row>
    <row r="1012" spans="1:34" s="1" customFormat="1" ht="11.45" x14ac:dyDescent="0.25">
      <c r="A1012" s="49"/>
      <c r="B1012" s="22"/>
      <c r="C1012" s="65"/>
      <c r="D1012" s="24"/>
      <c r="E1012" s="52"/>
      <c r="F1012" s="43"/>
      <c r="G1012" s="24"/>
      <c r="H1012" s="24"/>
      <c r="I1012" s="24"/>
      <c r="J1012" s="24"/>
      <c r="K1012" s="24"/>
      <c r="L1012" s="24"/>
      <c r="M1012" s="24"/>
      <c r="N1012" s="53">
        <f>4054000+65243000+2717000</f>
        <v>72014000</v>
      </c>
      <c r="O1012" s="53">
        <f>4054000+65243000+2717000</f>
        <v>72014000</v>
      </c>
      <c r="P1012" s="52"/>
      <c r="Q1012" s="43"/>
      <c r="R1012" s="52"/>
      <c r="S1012" s="53">
        <v>4233453850</v>
      </c>
      <c r="T1012" s="52">
        <v>47.5</v>
      </c>
      <c r="U1012" s="53">
        <f t="shared" ref="U1012:U1014" si="653">SUM(S1012/T1012)</f>
        <v>89125344.210526317</v>
      </c>
      <c r="V1012" s="52"/>
      <c r="W1012" s="53">
        <f t="shared" ref="W1012:W1013" si="654">SUM(U1012*V1012)</f>
        <v>0</v>
      </c>
      <c r="X1012" s="52"/>
      <c r="Y1012" s="56">
        <f t="shared" si="651"/>
        <v>0</v>
      </c>
      <c r="Z1012" s="56">
        <f t="shared" si="652"/>
        <v>0</v>
      </c>
      <c r="AA1012" s="52">
        <v>3.75</v>
      </c>
      <c r="AB1012" s="56">
        <f t="shared" ref="AB1012:AB1013" si="655">SUM(U1012*AA1012)</f>
        <v>334220040.78947371</v>
      </c>
      <c r="AC1012" s="53"/>
      <c r="AD1012" s="52" t="s">
        <v>1307</v>
      </c>
      <c r="AE1012" s="24"/>
      <c r="AF1012" s="5">
        <v>513983200</v>
      </c>
      <c r="AG1012" s="5">
        <f>AG1010-S1111-S1118</f>
        <v>24279622770.463203</v>
      </c>
      <c r="AH1012" s="36"/>
    </row>
    <row r="1013" spans="1:34" s="1" customFormat="1" ht="11.45" x14ac:dyDescent="0.25">
      <c r="A1013" s="49"/>
      <c r="B1013" s="22"/>
      <c r="C1013" s="65"/>
      <c r="D1013" s="24"/>
      <c r="E1013" s="52"/>
      <c r="F1013" s="24"/>
      <c r="G1013" s="24"/>
      <c r="H1013" s="24"/>
      <c r="I1013" s="24"/>
      <c r="J1013" s="24"/>
      <c r="K1013" s="24"/>
      <c r="L1013" s="24"/>
      <c r="M1013" s="24"/>
      <c r="N1013" s="53">
        <v>38203000</v>
      </c>
      <c r="O1013" s="53">
        <v>38203000</v>
      </c>
      <c r="P1013" s="52"/>
      <c r="Q1013" s="43"/>
      <c r="R1013" s="52"/>
      <c r="S1013" s="53">
        <v>3937436809.2105265</v>
      </c>
      <c r="T1013" s="52">
        <f>T1012-AA1012</f>
        <v>43.75</v>
      </c>
      <c r="U1013" s="53">
        <f t="shared" si="653"/>
        <v>89998555.63909775</v>
      </c>
      <c r="V1013" s="52">
        <v>0.5</v>
      </c>
      <c r="W1013" s="53">
        <f t="shared" si="654"/>
        <v>44999277.819548875</v>
      </c>
      <c r="X1013" s="54">
        <v>0.5</v>
      </c>
      <c r="Y1013" s="56">
        <f t="shared" si="651"/>
        <v>44999277.819548875</v>
      </c>
      <c r="Z1013" s="56">
        <f t="shared" si="652"/>
        <v>89998555.63909775</v>
      </c>
      <c r="AA1013" s="57">
        <f>1/12+0.5+0.5+0.5+0.5+0.5+0.5</f>
        <v>3.0833333333333335</v>
      </c>
      <c r="AB1013" s="56">
        <f t="shared" si="655"/>
        <v>277495546.55388474</v>
      </c>
      <c r="AC1013" s="53"/>
      <c r="AD1013" s="52"/>
      <c r="AE1013" s="52"/>
      <c r="AF1013" s="5">
        <v>15538611.965811964</v>
      </c>
      <c r="AG1013" s="5">
        <v>34798419530.84095</v>
      </c>
      <c r="AH1013" s="36"/>
    </row>
    <row r="1014" spans="1:34" s="1" customFormat="1" ht="11.45" x14ac:dyDescent="0.25">
      <c r="A1014" s="49"/>
      <c r="B1014" s="22"/>
      <c r="C1014" s="65"/>
      <c r="D1014" s="24"/>
      <c r="E1014" s="52"/>
      <c r="F1014" s="24"/>
      <c r="G1014" s="24"/>
      <c r="H1014" s="24"/>
      <c r="I1014" s="24"/>
      <c r="J1014" s="24"/>
      <c r="K1014" s="24"/>
      <c r="L1014" s="24"/>
      <c r="M1014" s="24"/>
      <c r="N1014" s="53">
        <v>50000000</v>
      </c>
      <c r="O1014" s="53">
        <v>50000000</v>
      </c>
      <c r="P1014" s="52"/>
      <c r="Q1014" s="43"/>
      <c r="R1014" s="52"/>
      <c r="S1014" s="53">
        <v>3709941262.656642</v>
      </c>
      <c r="T1014" s="57">
        <f>T1013-AA1013</f>
        <v>40.666666666666664</v>
      </c>
      <c r="U1014" s="53">
        <f t="shared" si="653"/>
        <v>91228063.835819066</v>
      </c>
      <c r="V1014" s="52"/>
      <c r="W1014" s="53"/>
      <c r="X1014" s="57">
        <f>1/12</f>
        <v>8.3333333333333329E-2</v>
      </c>
      <c r="Y1014" s="56">
        <f t="shared" si="651"/>
        <v>7602338.6529849218</v>
      </c>
      <c r="Z1014" s="56">
        <f t="shared" si="652"/>
        <v>7602338.6529849218</v>
      </c>
      <c r="AA1014" s="57">
        <f>1/12</f>
        <v>8.3333333333333329E-2</v>
      </c>
      <c r="AB1014" s="56">
        <f t="shared" ref="AB1014" si="656">SUM(U1014*AA1014)</f>
        <v>7602338.6529849218</v>
      </c>
      <c r="AC1014" s="53">
        <f t="shared" ref="AC1014" si="657">SUM(S1014-AB1014)</f>
        <v>3702338924.0036569</v>
      </c>
      <c r="AD1014" s="52"/>
      <c r="AE1014" s="52"/>
      <c r="AF1014" s="5">
        <v>391581490</v>
      </c>
      <c r="AG1014" s="5">
        <f>AG1013-S1007</f>
        <v>1426887572.7161789</v>
      </c>
      <c r="AH1014" s="36"/>
    </row>
    <row r="1015" spans="1:34" s="1" customFormat="1" ht="11.45" x14ac:dyDescent="0.25">
      <c r="A1015" s="49">
        <v>2</v>
      </c>
      <c r="B1015" s="22" t="s">
        <v>1780</v>
      </c>
      <c r="C1015" s="187" t="s">
        <v>58</v>
      </c>
      <c r="D1015" s="24" t="s">
        <v>1336</v>
      </c>
      <c r="E1015" s="52"/>
      <c r="F1015" s="389"/>
      <c r="G1015" s="24" t="s">
        <v>1309</v>
      </c>
      <c r="H1015" s="24" t="s">
        <v>62</v>
      </c>
      <c r="I1015" s="24">
        <v>2016</v>
      </c>
      <c r="J1015" s="24"/>
      <c r="K1015" s="24"/>
      <c r="L1015" s="24" t="s">
        <v>64</v>
      </c>
      <c r="M1015" s="24">
        <v>1</v>
      </c>
      <c r="N1015" s="53">
        <f>59850000+139650000+7953000</f>
        <v>207453000</v>
      </c>
      <c r="O1015" s="53">
        <f>59850000+139650000+7953000</f>
        <v>207453000</v>
      </c>
      <c r="P1015" s="52"/>
      <c r="Q1015" s="43"/>
      <c r="R1015" s="52"/>
      <c r="S1015" s="53">
        <v>207453000</v>
      </c>
      <c r="T1015" s="52">
        <v>50</v>
      </c>
      <c r="U1015" s="53">
        <f t="shared" ref="U1015" si="658">SUM(S1015/T1015)</f>
        <v>4149060</v>
      </c>
      <c r="V1015" s="52">
        <v>0.5</v>
      </c>
      <c r="W1015" s="53">
        <f t="shared" ref="W1015" si="659">SUM(U1015*V1015)</f>
        <v>2074530</v>
      </c>
      <c r="X1015" s="52">
        <v>0.5</v>
      </c>
      <c r="Y1015" s="56">
        <f t="shared" ref="Y1015" si="660">SUM(U1015*X1015)</f>
        <v>2074530</v>
      </c>
      <c r="Z1015" s="56">
        <f t="shared" si="652"/>
        <v>4149060</v>
      </c>
      <c r="AA1015" s="52">
        <f>2.75+0.5+0.5+0.5+0.5+0.5+0.5</f>
        <v>5.75</v>
      </c>
      <c r="AB1015" s="56">
        <f t="shared" ref="AB1015" si="661">SUM(U1015*AA1015)</f>
        <v>23857095</v>
      </c>
      <c r="AC1015" s="53">
        <f t="shared" ref="AC1015:AC1017" si="662">SUM(S1015-AB1015)</f>
        <v>183595905</v>
      </c>
      <c r="AD1015" s="52" t="s">
        <v>1307</v>
      </c>
      <c r="AE1015" s="52"/>
      <c r="AF1015" s="5">
        <v>23857095</v>
      </c>
      <c r="AG1015" s="5"/>
      <c r="AH1015" s="36"/>
    </row>
    <row r="1016" spans="1:34" s="1" customFormat="1" ht="11.45" x14ac:dyDescent="0.25">
      <c r="A1016" s="49">
        <v>3</v>
      </c>
      <c r="B1016" s="22" t="s">
        <v>1780</v>
      </c>
      <c r="C1016" s="187" t="s">
        <v>75</v>
      </c>
      <c r="D1016" s="24" t="s">
        <v>1327</v>
      </c>
      <c r="E1016" s="52"/>
      <c r="F1016" s="24"/>
      <c r="G1016" s="24" t="s">
        <v>1309</v>
      </c>
      <c r="H1016" s="24" t="s">
        <v>62</v>
      </c>
      <c r="I1016" s="24">
        <v>2012</v>
      </c>
      <c r="J1016" s="24"/>
      <c r="K1016" s="24"/>
      <c r="L1016" s="24" t="s">
        <v>64</v>
      </c>
      <c r="M1016" s="24">
        <v>1</v>
      </c>
      <c r="N1016" s="53">
        <v>74854300</v>
      </c>
      <c r="O1016" s="53">
        <v>74854300</v>
      </c>
      <c r="P1016" s="52"/>
      <c r="Q1016" s="43"/>
      <c r="R1016" s="52"/>
      <c r="S1016" s="53">
        <v>74854300</v>
      </c>
      <c r="T1016" s="52">
        <v>50</v>
      </c>
      <c r="U1016" s="53">
        <f t="shared" ref="U1016:U1020" si="663">SUM(S1016/T1016)</f>
        <v>1497086</v>
      </c>
      <c r="V1016" s="52">
        <v>0.5</v>
      </c>
      <c r="W1016" s="53">
        <f t="shared" ref="W1016:W1017" si="664">SUM(U1016*V1016)</f>
        <v>748543</v>
      </c>
      <c r="X1016" s="52">
        <v>0.5</v>
      </c>
      <c r="Y1016" s="56">
        <f t="shared" ref="Y1016:Y1017" si="665">SUM(U1016*X1016)</f>
        <v>748543</v>
      </c>
      <c r="Z1016" s="56">
        <f t="shared" si="652"/>
        <v>1497086</v>
      </c>
      <c r="AA1016" s="52">
        <v>11</v>
      </c>
      <c r="AB1016" s="56">
        <f t="shared" ref="AB1016:AB1020" si="666">SUM(U1016*AA1016)</f>
        <v>16467946</v>
      </c>
      <c r="AC1016" s="53">
        <f t="shared" si="662"/>
        <v>58386354</v>
      </c>
      <c r="AD1016" s="52" t="s">
        <v>1307</v>
      </c>
      <c r="AE1016" s="52"/>
      <c r="AF1016" s="5"/>
      <c r="AG1016" s="5"/>
      <c r="AH1016" s="36"/>
    </row>
    <row r="1017" spans="1:34" s="1" customFormat="1" ht="11.45" x14ac:dyDescent="0.25">
      <c r="A1017" s="49">
        <v>4</v>
      </c>
      <c r="B1017" s="22" t="s">
        <v>1780</v>
      </c>
      <c r="C1017" s="187" t="s">
        <v>79</v>
      </c>
      <c r="D1017" s="24" t="s">
        <v>1308</v>
      </c>
      <c r="E1017" s="52"/>
      <c r="F1017" s="43"/>
      <c r="G1017" s="24" t="s">
        <v>1309</v>
      </c>
      <c r="H1017" s="24" t="s">
        <v>62</v>
      </c>
      <c r="I1017" s="24">
        <v>1985</v>
      </c>
      <c r="J1017" s="24"/>
      <c r="K1017" s="24"/>
      <c r="L1017" s="24" t="s">
        <v>64</v>
      </c>
      <c r="M1017" s="24">
        <v>1</v>
      </c>
      <c r="N1017" s="53">
        <v>61793000</v>
      </c>
      <c r="O1017" s="53">
        <v>61793000</v>
      </c>
      <c r="P1017" s="52"/>
      <c r="Q1017" s="43"/>
      <c r="R1017" s="52"/>
      <c r="S1017" s="53">
        <v>61793000</v>
      </c>
      <c r="T1017" s="52">
        <v>50</v>
      </c>
      <c r="U1017" s="53">
        <f t="shared" si="663"/>
        <v>1235860</v>
      </c>
      <c r="V1017" s="52">
        <v>0.5</v>
      </c>
      <c r="W1017" s="53">
        <f t="shared" si="664"/>
        <v>617930</v>
      </c>
      <c r="X1017" s="52">
        <v>0.5</v>
      </c>
      <c r="Y1017" s="56">
        <f t="shared" si="665"/>
        <v>617930</v>
      </c>
      <c r="Z1017" s="56">
        <f t="shared" si="652"/>
        <v>1235860</v>
      </c>
      <c r="AA1017" s="52">
        <f>36.5+0.5+0.5+0.5</f>
        <v>38</v>
      </c>
      <c r="AB1017" s="56">
        <f t="shared" si="666"/>
        <v>46962680</v>
      </c>
      <c r="AC1017" s="53">
        <f t="shared" si="662"/>
        <v>14830320</v>
      </c>
      <c r="AD1017" s="24" t="s">
        <v>1307</v>
      </c>
      <c r="AE1017" s="24"/>
      <c r="AF1017" s="5">
        <v>46962680</v>
      </c>
      <c r="AG1017" s="5"/>
      <c r="AH1017" s="36"/>
    </row>
    <row r="1018" spans="1:34" s="1" customFormat="1" ht="11.45" x14ac:dyDescent="0.25">
      <c r="A1018" s="49">
        <v>5</v>
      </c>
      <c r="B1018" s="22" t="s">
        <v>1781</v>
      </c>
      <c r="C1018" s="65" t="s">
        <v>58</v>
      </c>
      <c r="D1018" s="24" t="s">
        <v>1310</v>
      </c>
      <c r="E1018" s="52"/>
      <c r="F1018" s="24"/>
      <c r="G1018" s="24" t="s">
        <v>1309</v>
      </c>
      <c r="H1018" s="24" t="s">
        <v>62</v>
      </c>
      <c r="I1018" s="24">
        <v>1985</v>
      </c>
      <c r="J1018" s="24"/>
      <c r="K1018" s="24"/>
      <c r="L1018" s="24" t="s">
        <v>64</v>
      </c>
      <c r="M1018" s="24">
        <v>1</v>
      </c>
      <c r="N1018" s="53">
        <f>277707000+37721500+2611000+1696000+29996000</f>
        <v>349731500</v>
      </c>
      <c r="O1018" s="53">
        <f>277707000+37721500+2611000+1696000+29996000</f>
        <v>349731500</v>
      </c>
      <c r="P1018" s="59"/>
      <c r="Q1018" s="43"/>
      <c r="R1018" s="52"/>
      <c r="S1018" s="53">
        <v>349731500</v>
      </c>
      <c r="T1018" s="52">
        <v>50</v>
      </c>
      <c r="U1018" s="53">
        <f t="shared" si="663"/>
        <v>6994630</v>
      </c>
      <c r="V1018" s="52">
        <v>0.5</v>
      </c>
      <c r="W1018" s="53"/>
      <c r="X1018" s="52"/>
      <c r="Y1018" s="56"/>
      <c r="Z1018" s="56">
        <f t="shared" si="652"/>
        <v>0</v>
      </c>
      <c r="AA1018" s="52">
        <v>33.5</v>
      </c>
      <c r="AB1018" s="56">
        <f t="shared" si="666"/>
        <v>234320105</v>
      </c>
      <c r="AC1018" s="53"/>
      <c r="AE1018" s="24"/>
      <c r="AF1018" s="5">
        <v>234320105</v>
      </c>
      <c r="AG1018" s="5"/>
      <c r="AH1018" s="36"/>
    </row>
    <row r="1019" spans="1:34" s="1" customFormat="1" ht="11.45" x14ac:dyDescent="0.25">
      <c r="A1019" s="49"/>
      <c r="B1019" s="22"/>
      <c r="C1019" s="65"/>
      <c r="D1019" s="24"/>
      <c r="E1019" s="52"/>
      <c r="F1019" s="24"/>
      <c r="G1019" s="24"/>
      <c r="H1019" s="24"/>
      <c r="I1019" s="24"/>
      <c r="J1019" s="24"/>
      <c r="K1019" s="24"/>
      <c r="L1019" s="24"/>
      <c r="M1019" s="24"/>
      <c r="N1019" s="53">
        <v>99800000</v>
      </c>
      <c r="O1019" s="53">
        <v>99800000</v>
      </c>
      <c r="P1019" s="56"/>
      <c r="Q1019" s="43"/>
      <c r="R1019" s="52"/>
      <c r="S1019" s="53">
        <v>215211395</v>
      </c>
      <c r="T1019" s="52">
        <v>17</v>
      </c>
      <c r="U1019" s="53">
        <f t="shared" si="663"/>
        <v>12659493.823529411</v>
      </c>
      <c r="V1019" s="52">
        <v>0.5</v>
      </c>
      <c r="W1019" s="53">
        <f t="shared" ref="W1019" si="667">SUM(U1019*V1019)</f>
        <v>6329746.9117647056</v>
      </c>
      <c r="X1019" s="52">
        <v>0.5</v>
      </c>
      <c r="Y1019" s="56">
        <f t="shared" ref="Y1019:Y1020" si="668">SUM(U1019*X1019)</f>
        <v>6329746.9117647056</v>
      </c>
      <c r="Z1019" s="56">
        <f t="shared" si="652"/>
        <v>12659493.823529411</v>
      </c>
      <c r="AA1019" s="57">
        <f>1.08333333333333+0.5+0.5+0.5+0.5+0.5+0.5</f>
        <v>4.0833333333333304</v>
      </c>
      <c r="AB1019" s="56">
        <f t="shared" si="666"/>
        <v>51692933.112745062</v>
      </c>
      <c r="AC1019" s="53"/>
      <c r="AD1019" s="24" t="s">
        <v>1307</v>
      </c>
      <c r="AE1019" s="24"/>
      <c r="AF1019" s="5">
        <v>51692933.112745062</v>
      </c>
      <c r="AG1019" s="5"/>
      <c r="AH1019" s="36"/>
    </row>
    <row r="1020" spans="1:34" s="1" customFormat="1" ht="11.45" x14ac:dyDescent="0.25">
      <c r="A1020" s="49"/>
      <c r="B1020" s="22"/>
      <c r="C1020" s="65"/>
      <c r="D1020" s="24"/>
      <c r="E1020" s="52"/>
      <c r="F1020" s="24"/>
      <c r="G1020" s="24"/>
      <c r="H1020" s="24"/>
      <c r="I1020" s="24"/>
      <c r="J1020" s="24"/>
      <c r="K1020" s="24"/>
      <c r="L1020" s="24"/>
      <c r="M1020" s="24"/>
      <c r="N1020" s="53">
        <v>79707000</v>
      </c>
      <c r="O1020" s="53">
        <v>79707000</v>
      </c>
      <c r="P1020" s="56"/>
      <c r="Q1020" s="43"/>
      <c r="R1020" s="52"/>
      <c r="S1020" s="53">
        <v>243225461.88725495</v>
      </c>
      <c r="T1020" s="57">
        <f>T1019-AA1019</f>
        <v>12.91666666666667</v>
      </c>
      <c r="U1020" s="53">
        <f t="shared" si="663"/>
        <v>18830358.339658443</v>
      </c>
      <c r="V1020" s="52"/>
      <c r="W1020" s="53"/>
      <c r="X1020" s="57">
        <f>5/12</f>
        <v>0.41666666666666669</v>
      </c>
      <c r="Y1020" s="56">
        <f t="shared" si="668"/>
        <v>7845982.6415243512</v>
      </c>
      <c r="Z1020" s="56">
        <f t="shared" si="652"/>
        <v>7845982.6415243512</v>
      </c>
      <c r="AA1020" s="57">
        <f>5/12</f>
        <v>0.41666666666666669</v>
      </c>
      <c r="AB1020" s="56">
        <f t="shared" si="666"/>
        <v>7845982.6415243512</v>
      </c>
      <c r="AC1020" s="53">
        <f t="shared" ref="AC1020" si="669">SUM(S1020-AB1020)</f>
        <v>235379479.24573061</v>
      </c>
      <c r="AD1020" s="52"/>
      <c r="AE1020" s="24"/>
      <c r="AF1020" s="5">
        <v>7845982.6415243512</v>
      </c>
      <c r="AG1020" s="5"/>
      <c r="AH1020" s="36"/>
    </row>
    <row r="1021" spans="1:34" s="1" customFormat="1" ht="11.45" x14ac:dyDescent="0.25">
      <c r="A1021" s="21">
        <v>6</v>
      </c>
      <c r="B1021" s="22" t="s">
        <v>1782</v>
      </c>
      <c r="C1021" s="22" t="s">
        <v>79</v>
      </c>
      <c r="D1021" s="65" t="s">
        <v>1305</v>
      </c>
      <c r="E1021" s="91"/>
      <c r="F1021" s="24"/>
      <c r="G1021" s="24" t="s">
        <v>1306</v>
      </c>
      <c r="H1021" s="24" t="s">
        <v>62</v>
      </c>
      <c r="I1021" s="24">
        <v>1985</v>
      </c>
      <c r="J1021" s="24"/>
      <c r="K1021" s="24"/>
      <c r="L1021" s="24" t="s">
        <v>64</v>
      </c>
      <c r="M1021" s="24">
        <v>1</v>
      </c>
      <c r="N1021" s="41">
        <v>813864000</v>
      </c>
      <c r="O1021" s="41">
        <v>813864000</v>
      </c>
      <c r="P1021" s="24"/>
      <c r="Q1021" s="43"/>
      <c r="R1021" s="24"/>
      <c r="S1021" s="41">
        <v>813864000</v>
      </c>
      <c r="T1021" s="24">
        <v>50</v>
      </c>
      <c r="U1021" s="41">
        <f>SUM(S1021/T1021)</f>
        <v>16277280</v>
      </c>
      <c r="V1021" s="24">
        <v>0.5</v>
      </c>
      <c r="W1021" s="41"/>
      <c r="X1021" s="24"/>
      <c r="Y1021" s="70">
        <f>SUM(U1021*X1021)</f>
        <v>0</v>
      </c>
      <c r="Z1021" s="70">
        <f>W1021+Y1021</f>
        <v>0</v>
      </c>
      <c r="AA1021" s="24">
        <v>35</v>
      </c>
      <c r="AB1021" s="70">
        <f>SUM(U1021*AA1021)</f>
        <v>569704800</v>
      </c>
      <c r="AC1021" s="41"/>
      <c r="AD1021" s="24" t="s">
        <v>1307</v>
      </c>
      <c r="AE1021" s="24"/>
      <c r="AF1021" s="8">
        <v>569704800</v>
      </c>
      <c r="AG1021" s="5"/>
      <c r="AH1021" s="36"/>
    </row>
    <row r="1022" spans="1:34" s="1" customFormat="1" ht="11.45" x14ac:dyDescent="0.25">
      <c r="A1022" s="21"/>
      <c r="B1022" s="22"/>
      <c r="C1022" s="22"/>
      <c r="D1022" s="65"/>
      <c r="E1022" s="91"/>
      <c r="F1022" s="24"/>
      <c r="G1022" s="24"/>
      <c r="H1022" s="24"/>
      <c r="I1022" s="24"/>
      <c r="J1022" s="24"/>
      <c r="K1022" s="24"/>
      <c r="L1022" s="24"/>
      <c r="M1022" s="24"/>
      <c r="N1022" s="53">
        <v>49888000</v>
      </c>
      <c r="O1022" s="53">
        <v>49888000</v>
      </c>
      <c r="P1022" s="52"/>
      <c r="Q1022" s="43"/>
      <c r="R1022" s="52"/>
      <c r="S1022" s="53">
        <v>294047200</v>
      </c>
      <c r="T1022" s="52">
        <f>T1021-AA1021+5</f>
        <v>20</v>
      </c>
      <c r="U1022" s="53">
        <f>SUM(S1022/T1022)</f>
        <v>14702360</v>
      </c>
      <c r="V1022" s="52">
        <v>0.5</v>
      </c>
      <c r="W1022" s="53">
        <f>SUM(U1022*V1022)</f>
        <v>7351180</v>
      </c>
      <c r="X1022" s="52">
        <v>0.5</v>
      </c>
      <c r="Y1022" s="56">
        <f>SUM(U1022*X1022)</f>
        <v>7351180</v>
      </c>
      <c r="Z1022" s="56">
        <f t="shared" ref="Z1022:Z1027" si="670">W1022+Y1022</f>
        <v>14702360</v>
      </c>
      <c r="AA1022" s="52">
        <f>3/12+0.5+0.5+0.5+0.5+0.5</f>
        <v>2.75</v>
      </c>
      <c r="AB1022" s="56">
        <f>SUM(U1022*AA1022)</f>
        <v>40431490</v>
      </c>
      <c r="AC1022" s="53"/>
      <c r="AD1022" s="24"/>
      <c r="AE1022" s="24"/>
      <c r="AF1022" s="8">
        <v>40431490</v>
      </c>
      <c r="AG1022" s="5"/>
      <c r="AH1022" s="36"/>
    </row>
    <row r="1023" spans="1:34" s="1" customFormat="1" ht="11.45" x14ac:dyDescent="0.25">
      <c r="A1023" s="21"/>
      <c r="B1023" s="22"/>
      <c r="C1023" s="22"/>
      <c r="D1023" s="65"/>
      <c r="E1023" s="91"/>
      <c r="F1023" s="24"/>
      <c r="G1023" s="24"/>
      <c r="H1023" s="24"/>
      <c r="I1023" s="24"/>
      <c r="J1023" s="24"/>
      <c r="K1023" s="24"/>
      <c r="L1023" s="24"/>
      <c r="M1023" s="24"/>
      <c r="N1023" s="53">
        <v>50000000</v>
      </c>
      <c r="O1023" s="53">
        <v>50000000</v>
      </c>
      <c r="P1023" s="52"/>
      <c r="Q1023" s="43"/>
      <c r="R1023" s="52"/>
      <c r="S1023" s="53">
        <v>303615710</v>
      </c>
      <c r="T1023" s="52">
        <f>20-AA1022</f>
        <v>17.25</v>
      </c>
      <c r="U1023" s="53">
        <f>SUM(S1023/T1023)</f>
        <v>17600910.72463768</v>
      </c>
      <c r="V1023" s="52"/>
      <c r="W1023" s="53"/>
      <c r="X1023" s="57">
        <f>1/12</f>
        <v>8.3333333333333329E-2</v>
      </c>
      <c r="Y1023" s="56">
        <f>SUM(U1023*X1023)</f>
        <v>1466742.5603864733</v>
      </c>
      <c r="Z1023" s="56">
        <f t="shared" si="670"/>
        <v>1466742.5603864733</v>
      </c>
      <c r="AA1023" s="57">
        <f>1/12</f>
        <v>8.3333333333333329E-2</v>
      </c>
      <c r="AB1023" s="56">
        <f>SUM(U1023*AA1023)</f>
        <v>1466742.5603864733</v>
      </c>
      <c r="AC1023" s="53">
        <f>SUM(S1023-AB1023)</f>
        <v>302148967.43961352</v>
      </c>
      <c r="AD1023" s="24"/>
      <c r="AE1023" s="24"/>
      <c r="AF1023" s="8">
        <v>1466742.5603864733</v>
      </c>
      <c r="AG1023" s="5"/>
      <c r="AH1023" s="36"/>
    </row>
    <row r="1024" spans="1:34" s="1" customFormat="1" ht="11.45" x14ac:dyDescent="0.25">
      <c r="A1024" s="21">
        <v>7</v>
      </c>
      <c r="B1024" s="22" t="s">
        <v>1783</v>
      </c>
      <c r="C1024" s="187" t="s">
        <v>58</v>
      </c>
      <c r="D1024" s="24" t="s">
        <v>1316</v>
      </c>
      <c r="E1024" s="52"/>
      <c r="F1024" s="24"/>
      <c r="G1024" s="24" t="s">
        <v>1309</v>
      </c>
      <c r="H1024" s="24" t="s">
        <v>62</v>
      </c>
      <c r="I1024" s="24">
        <v>1985</v>
      </c>
      <c r="J1024" s="24"/>
      <c r="K1024" s="24"/>
      <c r="L1024" s="24" t="s">
        <v>64</v>
      </c>
      <c r="M1024" s="24">
        <v>1</v>
      </c>
      <c r="N1024" s="53">
        <f>386121000+37109500+2611000+1696000</f>
        <v>427537500</v>
      </c>
      <c r="O1024" s="53">
        <f>386121000+37109500+2611000+1696000</f>
        <v>427537500</v>
      </c>
      <c r="P1024" s="52"/>
      <c r="Q1024" s="43"/>
      <c r="R1024" s="52"/>
      <c r="S1024" s="53"/>
      <c r="T1024" s="52"/>
      <c r="U1024" s="53"/>
      <c r="V1024" s="52"/>
      <c r="W1024" s="53"/>
      <c r="X1024" s="52"/>
      <c r="Y1024" s="56">
        <f t="shared" ref="Y1024:Y1031" si="671">SUM(U1024*X1024)</f>
        <v>0</v>
      </c>
      <c r="Z1024" s="56">
        <f t="shared" si="670"/>
        <v>0</v>
      </c>
      <c r="AA1024" s="52">
        <v>30.5</v>
      </c>
      <c r="AB1024" s="56">
        <v>256522500</v>
      </c>
      <c r="AC1024" s="53"/>
      <c r="AD1024" s="52"/>
      <c r="AE1024" s="52"/>
      <c r="AF1024" s="8">
        <v>256522500</v>
      </c>
      <c r="AG1024" s="5"/>
      <c r="AH1024" s="36"/>
    </row>
    <row r="1025" spans="1:34" s="1" customFormat="1" ht="11.45" x14ac:dyDescent="0.25">
      <c r="A1025" s="21"/>
      <c r="B1025" s="22"/>
      <c r="C1025" s="65"/>
      <c r="D1025" s="24"/>
      <c r="E1025" s="52"/>
      <c r="F1025" s="24"/>
      <c r="G1025" s="24"/>
      <c r="H1025" s="24"/>
      <c r="I1025" s="24"/>
      <c r="J1025" s="24"/>
      <c r="K1025" s="24"/>
      <c r="L1025" s="24"/>
      <c r="M1025" s="24"/>
      <c r="N1025" s="53">
        <v>10000000</v>
      </c>
      <c r="O1025" s="53">
        <v>10000000</v>
      </c>
      <c r="P1025" s="52"/>
      <c r="Q1025" s="43"/>
      <c r="R1025" s="52"/>
      <c r="S1025" s="53"/>
      <c r="T1025" s="52"/>
      <c r="U1025" s="53"/>
      <c r="V1025" s="52"/>
      <c r="W1025" s="53"/>
      <c r="X1025" s="52"/>
      <c r="Y1025" s="56">
        <f t="shared" si="671"/>
        <v>0</v>
      </c>
      <c r="Z1025" s="56">
        <f t="shared" si="670"/>
        <v>0</v>
      </c>
      <c r="AA1025" s="57">
        <v>1.1666666666666665</v>
      </c>
      <c r="AB1025" s="56">
        <v>10559208.333333332</v>
      </c>
      <c r="AC1025" s="53"/>
      <c r="AD1025" s="52"/>
      <c r="AE1025" s="52"/>
      <c r="AF1025" s="8">
        <v>10559208.333333332</v>
      </c>
      <c r="AG1025" s="5"/>
      <c r="AH1025" s="36"/>
    </row>
    <row r="1026" spans="1:34" s="1" customFormat="1" ht="11.45" x14ac:dyDescent="0.25">
      <c r="A1026" s="21"/>
      <c r="B1026" s="22"/>
      <c r="C1026" s="65"/>
      <c r="D1026" s="24"/>
      <c r="E1026" s="52"/>
      <c r="F1026" s="24"/>
      <c r="G1026" s="24"/>
      <c r="H1026" s="24"/>
      <c r="I1026" s="24"/>
      <c r="J1026" s="24"/>
      <c r="K1026" s="24"/>
      <c r="L1026" s="24"/>
      <c r="M1026" s="24"/>
      <c r="N1026" s="53">
        <f>185600000+4675000</f>
        <v>190275000</v>
      </c>
      <c r="O1026" s="53">
        <f>185600000+4675000</f>
        <v>190275000</v>
      </c>
      <c r="P1026" s="52"/>
      <c r="Q1026" s="43"/>
      <c r="R1026" s="52"/>
      <c r="S1026" s="53">
        <v>360730791.66666663</v>
      </c>
      <c r="T1026" s="52">
        <v>19</v>
      </c>
      <c r="U1026" s="53">
        <f t="shared" ref="U1026:U1031" si="672">SUM(S1026/T1026)</f>
        <v>18985831.140350875</v>
      </c>
      <c r="V1026" s="52">
        <v>0.5</v>
      </c>
      <c r="W1026" s="53"/>
      <c r="X1026" s="52"/>
      <c r="Y1026" s="56"/>
      <c r="Z1026" s="56">
        <f t="shared" si="670"/>
        <v>0</v>
      </c>
      <c r="AA1026" s="52">
        <v>1.75</v>
      </c>
      <c r="AB1026" s="56">
        <f t="shared" ref="AB1026:AB1029" si="673">SUM(U1026*AA1026)</f>
        <v>33225204.495614029</v>
      </c>
      <c r="AC1026" s="53"/>
      <c r="AD1026" s="52" t="s">
        <v>1307</v>
      </c>
      <c r="AE1026" s="52"/>
      <c r="AF1026" s="8">
        <v>33225204.495614029</v>
      </c>
      <c r="AG1026" s="5"/>
      <c r="AH1026" s="36"/>
    </row>
    <row r="1027" spans="1:34" s="1" customFormat="1" ht="11.45" x14ac:dyDescent="0.25">
      <c r="A1027" s="21"/>
      <c r="B1027" s="22"/>
      <c r="C1027" s="65"/>
      <c r="D1027" s="24"/>
      <c r="E1027" s="52"/>
      <c r="F1027" s="24"/>
      <c r="G1027" s="24"/>
      <c r="H1027" s="24"/>
      <c r="I1027" s="24"/>
      <c r="J1027" s="24"/>
      <c r="K1027" s="24"/>
      <c r="L1027" s="24"/>
      <c r="M1027" s="24"/>
      <c r="N1027" s="53">
        <v>75210000</v>
      </c>
      <c r="O1027" s="53">
        <v>75210000</v>
      </c>
      <c r="P1027" s="52"/>
      <c r="Q1027" s="43"/>
      <c r="R1027" s="52"/>
      <c r="S1027" s="53">
        <v>402715587.17105258</v>
      </c>
      <c r="T1027" s="52">
        <v>18</v>
      </c>
      <c r="U1027" s="53">
        <f t="shared" si="672"/>
        <v>22373088.176169589</v>
      </c>
      <c r="V1027" s="52">
        <v>0.5</v>
      </c>
      <c r="W1027" s="53">
        <f t="shared" ref="W1027" si="674">SUM(U1027*V1027)</f>
        <v>11186544.088084795</v>
      </c>
      <c r="X1027" s="52">
        <v>0.5</v>
      </c>
      <c r="Y1027" s="56">
        <f t="shared" si="671"/>
        <v>11186544.088084795</v>
      </c>
      <c r="Z1027" s="56">
        <f t="shared" si="670"/>
        <v>22373088.176169589</v>
      </c>
      <c r="AA1027" s="52">
        <f>1.5+0.5+0.5+0.5+0.5+0.5+0.5</f>
        <v>4.5</v>
      </c>
      <c r="AB1027" s="56">
        <f t="shared" si="673"/>
        <v>100678896.79276314</v>
      </c>
      <c r="AC1027" s="53">
        <f t="shared" ref="AC1027" si="675">SUM(S1027-AB1027)</f>
        <v>302036690.37828946</v>
      </c>
      <c r="AD1027" s="52"/>
      <c r="AE1027" s="52"/>
      <c r="AF1027" s="8">
        <v>100678896.79276314</v>
      </c>
      <c r="AG1027" s="5"/>
      <c r="AH1027" s="36"/>
    </row>
    <row r="1028" spans="1:34" s="1" customFormat="1" ht="11.45" x14ac:dyDescent="0.25">
      <c r="A1028" s="21">
        <v>8</v>
      </c>
      <c r="B1028" s="22" t="s">
        <v>1783</v>
      </c>
      <c r="C1028" s="65" t="s">
        <v>75</v>
      </c>
      <c r="D1028" s="24" t="s">
        <v>1312</v>
      </c>
      <c r="E1028" s="52"/>
      <c r="F1028" s="24"/>
      <c r="G1028" s="24" t="s">
        <v>1309</v>
      </c>
      <c r="H1028" s="24" t="s">
        <v>62</v>
      </c>
      <c r="I1028" s="24">
        <v>1985</v>
      </c>
      <c r="J1028" s="24"/>
      <c r="K1028" s="24"/>
      <c r="L1028" s="24" t="s">
        <v>64</v>
      </c>
      <c r="M1028" s="24">
        <v>1</v>
      </c>
      <c r="N1028" s="53">
        <v>723920000</v>
      </c>
      <c r="O1028" s="53">
        <v>723920000</v>
      </c>
      <c r="P1028" s="52"/>
      <c r="Q1028" s="43"/>
      <c r="R1028" s="52"/>
      <c r="S1028" s="53">
        <v>723920000</v>
      </c>
      <c r="T1028" s="52">
        <v>50</v>
      </c>
      <c r="U1028" s="53">
        <f t="shared" si="672"/>
        <v>14478400</v>
      </c>
      <c r="V1028" s="52">
        <v>0.5</v>
      </c>
      <c r="W1028" s="53"/>
      <c r="X1028" s="54"/>
      <c r="Y1028" s="56">
        <f t="shared" si="671"/>
        <v>0</v>
      </c>
      <c r="Z1028" s="56"/>
      <c r="AA1028" s="52">
        <v>35.5</v>
      </c>
      <c r="AB1028" s="56">
        <f t="shared" si="673"/>
        <v>513983200</v>
      </c>
      <c r="AC1028" s="53"/>
      <c r="AD1028" s="52" t="s">
        <v>1307</v>
      </c>
      <c r="AE1028" s="52"/>
      <c r="AF1028" s="8">
        <v>513983200</v>
      </c>
      <c r="AG1028" s="5"/>
      <c r="AH1028" s="36"/>
    </row>
    <row r="1029" spans="1:34" s="1" customFormat="1" ht="11.45" x14ac:dyDescent="0.25">
      <c r="A1029" s="21"/>
      <c r="B1029" s="22"/>
      <c r="C1029" s="65"/>
      <c r="D1029" s="24"/>
      <c r="E1029" s="52"/>
      <c r="F1029" s="24"/>
      <c r="G1029" s="24"/>
      <c r="H1029" s="24"/>
      <c r="I1029" s="24"/>
      <c r="J1029" s="24"/>
      <c r="K1029" s="24"/>
      <c r="L1029" s="24"/>
      <c r="M1029" s="24"/>
      <c r="N1029" s="53">
        <v>49780000</v>
      </c>
      <c r="O1029" s="53">
        <v>49780000</v>
      </c>
      <c r="P1029" s="52"/>
      <c r="Q1029" s="43"/>
      <c r="R1029" s="52"/>
      <c r="S1029" s="53">
        <v>259716800</v>
      </c>
      <c r="T1029" s="52">
        <f>T1028-AA1028+5</f>
        <v>19.5</v>
      </c>
      <c r="U1029" s="53">
        <f t="shared" si="672"/>
        <v>13318810.256410256</v>
      </c>
      <c r="V1029" s="52">
        <v>0.5</v>
      </c>
      <c r="W1029" s="53">
        <f t="shared" ref="W1029" si="676">SUM(U1029*V1029)</f>
        <v>6659405.128205128</v>
      </c>
      <c r="X1029" s="54">
        <v>0.5</v>
      </c>
      <c r="Y1029" s="56">
        <f t="shared" si="671"/>
        <v>6659405.128205128</v>
      </c>
      <c r="Z1029" s="56">
        <f t="shared" ref="Z1029:Z1071" si="677">W1029+Y1029</f>
        <v>13318810.256410256</v>
      </c>
      <c r="AA1029" s="57">
        <f>2/12+0.5+0.5+0.5+0.5</f>
        <v>2.1666666666666665</v>
      </c>
      <c r="AB1029" s="56">
        <f t="shared" si="673"/>
        <v>28857422.22222222</v>
      </c>
      <c r="AC1029" s="53"/>
      <c r="AD1029" s="52"/>
      <c r="AE1029" s="52"/>
      <c r="AF1029" s="8">
        <v>28857422.22222222</v>
      </c>
      <c r="AG1029" s="5"/>
      <c r="AH1029" s="36"/>
    </row>
    <row r="1030" spans="1:34" s="1" customFormat="1" ht="11.45" x14ac:dyDescent="0.25">
      <c r="A1030" s="21"/>
      <c r="B1030" s="22"/>
      <c r="C1030" s="65"/>
      <c r="D1030" s="24"/>
      <c r="E1030" s="52"/>
      <c r="F1030" s="24"/>
      <c r="G1030" s="24"/>
      <c r="H1030" s="24"/>
      <c r="I1030" s="24"/>
      <c r="J1030" s="24"/>
      <c r="K1030" s="24"/>
      <c r="L1030" s="24"/>
      <c r="M1030" s="24"/>
      <c r="N1030" s="53">
        <v>79697000</v>
      </c>
      <c r="O1030" s="53">
        <v>79697000</v>
      </c>
      <c r="P1030" s="52"/>
      <c r="Q1030" s="43"/>
      <c r="R1030" s="52"/>
      <c r="S1030" s="53">
        <v>310556377.77777779</v>
      </c>
      <c r="T1030" s="57">
        <f>T1029-AA1029</f>
        <v>17.333333333333332</v>
      </c>
      <c r="U1030" s="53">
        <f t="shared" si="672"/>
        <v>17916714.102564104</v>
      </c>
      <c r="V1030" s="52"/>
      <c r="W1030" s="53"/>
      <c r="X1030" s="57">
        <f>4/12</f>
        <v>0.33333333333333331</v>
      </c>
      <c r="Y1030" s="56">
        <f t="shared" si="671"/>
        <v>5972238.034188034</v>
      </c>
      <c r="Z1030" s="56">
        <f t="shared" si="677"/>
        <v>5972238.034188034</v>
      </c>
      <c r="AA1030" s="57">
        <f>4/12</f>
        <v>0.33333333333333331</v>
      </c>
      <c r="AB1030" s="56">
        <f t="shared" ref="AB1030" si="678">SUM(U1030*AA1030)</f>
        <v>5972238.034188034</v>
      </c>
      <c r="AC1030" s="53">
        <f t="shared" ref="AC1030" si="679">SUM(S1030-AB1030)</f>
        <v>304584139.74358976</v>
      </c>
      <c r="AD1030" s="52"/>
      <c r="AE1030" s="52"/>
      <c r="AF1030" s="8">
        <v>5972238.034188034</v>
      </c>
      <c r="AG1030" s="5"/>
      <c r="AH1030" s="36"/>
    </row>
    <row r="1031" spans="1:34" s="1" customFormat="1" ht="11.45" x14ac:dyDescent="0.25">
      <c r="A1031" s="21">
        <v>9</v>
      </c>
      <c r="B1031" s="22" t="s">
        <v>1783</v>
      </c>
      <c r="C1031" s="187" t="s">
        <v>79</v>
      </c>
      <c r="D1031" s="24" t="s">
        <v>1311</v>
      </c>
      <c r="E1031" s="52"/>
      <c r="F1031" s="24"/>
      <c r="G1031" s="24" t="s">
        <v>1309</v>
      </c>
      <c r="H1031" s="24" t="s">
        <v>62</v>
      </c>
      <c r="I1031" s="24">
        <v>1985</v>
      </c>
      <c r="J1031" s="24"/>
      <c r="K1031" s="24"/>
      <c r="L1031" s="24" t="s">
        <v>64</v>
      </c>
      <c r="M1031" s="24">
        <v>1</v>
      </c>
      <c r="N1031" s="53">
        <f>289620000+44820500+2611000+1696000</f>
        <v>338747500</v>
      </c>
      <c r="O1031" s="53">
        <f>289620000+44820500+2611000+1696000</f>
        <v>338747500</v>
      </c>
      <c r="P1031" s="56"/>
      <c r="Q1031" s="43"/>
      <c r="R1031" s="52"/>
      <c r="S1031" s="53">
        <v>338747500</v>
      </c>
      <c r="T1031" s="52">
        <v>50</v>
      </c>
      <c r="U1031" s="53">
        <f t="shared" si="672"/>
        <v>6774950</v>
      </c>
      <c r="V1031" s="52">
        <v>0.5</v>
      </c>
      <c r="W1031" s="53">
        <f t="shared" ref="W1031" si="680">SUM(U1031*V1031)</f>
        <v>3387475</v>
      </c>
      <c r="X1031" s="52">
        <v>0.5</v>
      </c>
      <c r="Y1031" s="56">
        <f t="shared" si="671"/>
        <v>3387475</v>
      </c>
      <c r="Z1031" s="56">
        <f t="shared" si="677"/>
        <v>6774950</v>
      </c>
      <c r="AA1031" s="52">
        <v>38</v>
      </c>
      <c r="AB1031" s="56">
        <f t="shared" ref="AB1031" si="681">SUM(U1031*AA1031)</f>
        <v>257448100</v>
      </c>
      <c r="AC1031" s="53">
        <f t="shared" ref="AC1031:AC1037" si="682">SUM(S1031-AB1031)</f>
        <v>81299400</v>
      </c>
      <c r="AD1031" s="52" t="s">
        <v>1307</v>
      </c>
      <c r="AE1031" s="24"/>
      <c r="AF1031" s="8">
        <v>257448100</v>
      </c>
      <c r="AG1031" s="5"/>
      <c r="AH1031" s="36"/>
    </row>
    <row r="1032" spans="1:34" s="1" customFormat="1" ht="11.45" x14ac:dyDescent="0.25">
      <c r="A1032" s="21">
        <v>10</v>
      </c>
      <c r="B1032" s="22" t="s">
        <v>1784</v>
      </c>
      <c r="C1032" s="85"/>
      <c r="D1032" s="52" t="s">
        <v>1338</v>
      </c>
      <c r="E1032" s="52"/>
      <c r="F1032" s="52"/>
      <c r="G1032" s="52" t="s">
        <v>61</v>
      </c>
      <c r="H1032" s="52" t="s">
        <v>62</v>
      </c>
      <c r="I1032" s="52">
        <v>2019</v>
      </c>
      <c r="J1032" s="52"/>
      <c r="K1032" s="52"/>
      <c r="L1032" s="52" t="s">
        <v>64</v>
      </c>
      <c r="M1032" s="52">
        <v>1</v>
      </c>
      <c r="N1032" s="53">
        <v>99600495</v>
      </c>
      <c r="O1032" s="53">
        <v>99600495</v>
      </c>
      <c r="P1032" s="52"/>
      <c r="Q1032" s="43"/>
      <c r="R1032" s="52"/>
      <c r="S1032" s="53">
        <v>99600495</v>
      </c>
      <c r="T1032" s="52">
        <v>50</v>
      </c>
      <c r="U1032" s="53">
        <f t="shared" ref="U1032" si="683">SUM(S1032/T1032)</f>
        <v>1992009.9</v>
      </c>
      <c r="V1032" s="52">
        <v>0.5</v>
      </c>
      <c r="W1032" s="53">
        <f t="shared" ref="W1032" si="684">SUM(U1032*V1032)</f>
        <v>996004.95</v>
      </c>
      <c r="X1032" s="52">
        <v>0.5</v>
      </c>
      <c r="Y1032" s="56">
        <f t="shared" ref="Y1032" si="685">SUM(U1032*X1032)</f>
        <v>996004.95</v>
      </c>
      <c r="Z1032" s="56">
        <f t="shared" si="677"/>
        <v>1992009.9</v>
      </c>
      <c r="AA1032" s="57">
        <f>1/12+0.5+0.5+0.5+0.5+0.5+0.5</f>
        <v>3.0833333333333335</v>
      </c>
      <c r="AB1032" s="56">
        <f t="shared" ref="AB1032" si="686">SUM(U1032*AA1032)</f>
        <v>6142030.5250000004</v>
      </c>
      <c r="AC1032" s="53">
        <f t="shared" si="682"/>
        <v>93458464.474999994</v>
      </c>
      <c r="AD1032" s="52" t="s">
        <v>1307</v>
      </c>
      <c r="AE1032" s="52"/>
      <c r="AF1032" s="8">
        <v>6142030.5250000004</v>
      </c>
      <c r="AG1032" s="5"/>
      <c r="AH1032" s="36"/>
    </row>
    <row r="1033" spans="1:34" s="1" customFormat="1" ht="11.45" x14ac:dyDescent="0.25">
      <c r="A1033" s="21">
        <v>11</v>
      </c>
      <c r="B1033" s="22" t="s">
        <v>1785</v>
      </c>
      <c r="C1033" s="65" t="s">
        <v>58</v>
      </c>
      <c r="D1033" s="24" t="s">
        <v>1328</v>
      </c>
      <c r="E1033" s="52"/>
      <c r="F1033" s="24"/>
      <c r="G1033" s="24" t="s">
        <v>1309</v>
      </c>
      <c r="H1033" s="24" t="s">
        <v>62</v>
      </c>
      <c r="I1033" s="24">
        <v>2012</v>
      </c>
      <c r="J1033" s="24"/>
      <c r="K1033" s="24"/>
      <c r="L1033" s="24" t="s">
        <v>64</v>
      </c>
      <c r="M1033" s="24">
        <v>1</v>
      </c>
      <c r="N1033" s="53">
        <v>66622500</v>
      </c>
      <c r="O1033" s="53">
        <v>66622500</v>
      </c>
      <c r="P1033" s="52"/>
      <c r="Q1033" s="43"/>
      <c r="R1033" s="52"/>
      <c r="S1033" s="53">
        <v>66622500</v>
      </c>
      <c r="T1033" s="52">
        <v>50</v>
      </c>
      <c r="U1033" s="53">
        <f t="shared" ref="U1033" si="687">SUM(S1033/T1033)</f>
        <v>1332450</v>
      </c>
      <c r="V1033" s="52">
        <v>0.5</v>
      </c>
      <c r="W1033" s="53">
        <f t="shared" ref="W1033" si="688">SUM(U1033*V1033)</f>
        <v>666225</v>
      </c>
      <c r="X1033" s="52">
        <v>0.5</v>
      </c>
      <c r="Y1033" s="56">
        <f t="shared" ref="Y1033" si="689">SUM(U1033*X1033)</f>
        <v>666225</v>
      </c>
      <c r="Z1033" s="56">
        <f t="shared" si="677"/>
        <v>1332450</v>
      </c>
      <c r="AA1033" s="52">
        <v>11</v>
      </c>
      <c r="AB1033" s="56">
        <f t="shared" ref="AB1033" si="690">SUM(U1033*AA1033)</f>
        <v>14656950</v>
      </c>
      <c r="AC1033" s="53">
        <f t="shared" si="682"/>
        <v>51965550</v>
      </c>
      <c r="AD1033" s="52" t="s">
        <v>1307</v>
      </c>
      <c r="AE1033" s="52"/>
      <c r="AF1033" s="8">
        <v>14656950</v>
      </c>
      <c r="AG1033" s="5"/>
      <c r="AH1033" s="36"/>
    </row>
    <row r="1034" spans="1:34" s="1" customFormat="1" ht="11.45" x14ac:dyDescent="0.25">
      <c r="A1034" s="21">
        <v>12</v>
      </c>
      <c r="B1034" s="22" t="s">
        <v>1785</v>
      </c>
      <c r="C1034" s="187" t="s">
        <v>75</v>
      </c>
      <c r="D1034" s="24" t="s">
        <v>1335</v>
      </c>
      <c r="E1034" s="52"/>
      <c r="F1034" s="24"/>
      <c r="G1034" s="24" t="s">
        <v>1309</v>
      </c>
      <c r="H1034" s="24" t="s">
        <v>62</v>
      </c>
      <c r="I1034" s="24">
        <v>2015</v>
      </c>
      <c r="J1034" s="24"/>
      <c r="K1034" s="24"/>
      <c r="L1034" s="24" t="s">
        <v>64</v>
      </c>
      <c r="M1034" s="24">
        <v>1</v>
      </c>
      <c r="N1034" s="53">
        <f>4085000+54748000+2574000</f>
        <v>61407000</v>
      </c>
      <c r="O1034" s="53">
        <f>4085000+54748000+2574000</f>
        <v>61407000</v>
      </c>
      <c r="P1034" s="52"/>
      <c r="Q1034" s="43"/>
      <c r="R1034" s="52"/>
      <c r="S1034" s="53">
        <v>61407000</v>
      </c>
      <c r="T1034" s="52">
        <v>50</v>
      </c>
      <c r="U1034" s="53">
        <f t="shared" ref="U1034" si="691">SUM(S1034/T1034)</f>
        <v>1228140</v>
      </c>
      <c r="V1034" s="52">
        <v>0.5</v>
      </c>
      <c r="W1034" s="53">
        <f t="shared" ref="W1034" si="692">SUM(U1034*V1034)</f>
        <v>614070</v>
      </c>
      <c r="X1034" s="52">
        <v>0.5</v>
      </c>
      <c r="Y1034" s="56">
        <f t="shared" ref="Y1034" si="693">SUM(U1034*X1034)</f>
        <v>614070</v>
      </c>
      <c r="Z1034" s="56">
        <f t="shared" si="677"/>
        <v>1228140</v>
      </c>
      <c r="AA1034" s="52">
        <f>3.75+0.5+0.5+0.5+0.5+0.5+0.5</f>
        <v>6.75</v>
      </c>
      <c r="AB1034" s="56">
        <f t="shared" ref="AB1034" si="694">SUM(U1034*AA1034)</f>
        <v>8289945</v>
      </c>
      <c r="AC1034" s="53">
        <f t="shared" si="682"/>
        <v>53117055</v>
      </c>
      <c r="AD1034" s="52" t="s">
        <v>1307</v>
      </c>
      <c r="AE1034" s="52"/>
      <c r="AF1034" s="8">
        <v>8289945</v>
      </c>
      <c r="AG1034" s="5"/>
      <c r="AH1034" s="36"/>
    </row>
    <row r="1035" spans="1:34" s="1" customFormat="1" ht="11.45" x14ac:dyDescent="0.25">
      <c r="A1035" s="21">
        <v>13</v>
      </c>
      <c r="B1035" s="22" t="s">
        <v>1786</v>
      </c>
      <c r="C1035" s="65" t="s">
        <v>58</v>
      </c>
      <c r="D1035" s="24" t="s">
        <v>1313</v>
      </c>
      <c r="E1035" s="52"/>
      <c r="F1035" s="24"/>
      <c r="G1035" s="24" t="s">
        <v>1309</v>
      </c>
      <c r="H1035" s="24" t="s">
        <v>62</v>
      </c>
      <c r="I1035" s="24">
        <v>1985</v>
      </c>
      <c r="J1035" s="24"/>
      <c r="K1035" s="24"/>
      <c r="L1035" s="24" t="s">
        <v>64</v>
      </c>
      <c r="M1035" s="24">
        <v>1</v>
      </c>
      <c r="N1035" s="53">
        <v>536413000</v>
      </c>
      <c r="O1035" s="53">
        <v>536413000</v>
      </c>
      <c r="P1035" s="52"/>
      <c r="Q1035" s="43"/>
      <c r="R1035" s="52"/>
      <c r="S1035" s="53">
        <v>536413000</v>
      </c>
      <c r="T1035" s="52">
        <v>50</v>
      </c>
      <c r="U1035" s="53">
        <f t="shared" ref="U1035:U1039" si="695">SUM(S1035/T1035)</f>
        <v>10728260</v>
      </c>
      <c r="V1035" s="52">
        <v>0.5</v>
      </c>
      <c r="W1035" s="53">
        <f t="shared" ref="W1035:W1039" si="696">SUM(U1035*V1035)</f>
        <v>5364130</v>
      </c>
      <c r="X1035" s="54">
        <v>0.5</v>
      </c>
      <c r="Y1035" s="56">
        <f t="shared" ref="Y1035:Y1039" si="697">SUM(U1035*X1035)</f>
        <v>5364130</v>
      </c>
      <c r="Z1035" s="56">
        <f t="shared" si="677"/>
        <v>10728260</v>
      </c>
      <c r="AA1035" s="52">
        <f>34.5+0.5+0.5+0.5+0.5+0.5+0.5</f>
        <v>37.5</v>
      </c>
      <c r="AB1035" s="56">
        <f t="shared" ref="AB1035:AB1039" si="698">SUM(U1035*AA1035)</f>
        <v>402309750</v>
      </c>
      <c r="AC1035" s="53">
        <f t="shared" si="682"/>
        <v>134103250</v>
      </c>
      <c r="AD1035" s="52" t="s">
        <v>1307</v>
      </c>
      <c r="AE1035" s="52"/>
      <c r="AF1035" s="8">
        <v>402309750</v>
      </c>
      <c r="AG1035" s="5"/>
      <c r="AH1035" s="36"/>
    </row>
    <row r="1036" spans="1:34" s="1" customFormat="1" ht="11.45" x14ac:dyDescent="0.25">
      <c r="A1036" s="21">
        <v>14</v>
      </c>
      <c r="B1036" s="22" t="s">
        <v>1787</v>
      </c>
      <c r="C1036" s="65" t="s">
        <v>58</v>
      </c>
      <c r="D1036" s="24" t="s">
        <v>778</v>
      </c>
      <c r="E1036" s="52"/>
      <c r="F1036" s="24"/>
      <c r="G1036" s="24" t="s">
        <v>466</v>
      </c>
      <c r="H1036" s="24" t="s">
        <v>62</v>
      </c>
      <c r="I1036" s="24">
        <v>2014</v>
      </c>
      <c r="J1036" s="24"/>
      <c r="K1036" s="24"/>
      <c r="L1036" s="24" t="s">
        <v>64</v>
      </c>
      <c r="M1036" s="24">
        <v>1</v>
      </c>
      <c r="N1036" s="53">
        <f>29780400+58277100+8200000+15935000+10400000+5324000+135979900+69487600+80725000</f>
        <v>414109000</v>
      </c>
      <c r="O1036" s="53">
        <f>29780400+58277100+8200000+15935000+10400000+5324000+135979900+69487600+80725000</f>
        <v>414109000</v>
      </c>
      <c r="P1036" s="52"/>
      <c r="Q1036" s="43"/>
      <c r="R1036" s="52"/>
      <c r="S1036" s="53">
        <v>414109000</v>
      </c>
      <c r="T1036" s="52">
        <v>50</v>
      </c>
      <c r="U1036" s="53">
        <f t="shared" si="695"/>
        <v>8282180</v>
      </c>
      <c r="V1036" s="52">
        <v>0.5</v>
      </c>
      <c r="W1036" s="53">
        <f t="shared" si="696"/>
        <v>4141090</v>
      </c>
      <c r="X1036" s="52">
        <v>0.5</v>
      </c>
      <c r="Y1036" s="56">
        <f t="shared" si="697"/>
        <v>4141090</v>
      </c>
      <c r="Z1036" s="56">
        <f t="shared" si="677"/>
        <v>8282180</v>
      </c>
      <c r="AA1036" s="52">
        <v>9</v>
      </c>
      <c r="AB1036" s="56">
        <f t="shared" si="698"/>
        <v>74539620</v>
      </c>
      <c r="AC1036" s="53">
        <f t="shared" si="682"/>
        <v>339569380</v>
      </c>
      <c r="AD1036" s="52" t="s">
        <v>1307</v>
      </c>
      <c r="AE1036" s="52"/>
      <c r="AF1036" s="8">
        <v>74539620</v>
      </c>
      <c r="AG1036" s="5"/>
      <c r="AH1036" s="36"/>
    </row>
    <row r="1037" spans="1:34" s="1" customFormat="1" ht="11.45" x14ac:dyDescent="0.25">
      <c r="A1037" s="21">
        <v>15</v>
      </c>
      <c r="B1037" s="22" t="s">
        <v>1788</v>
      </c>
      <c r="C1037" s="187" t="s">
        <v>58</v>
      </c>
      <c r="D1037" s="24" t="s">
        <v>564</v>
      </c>
      <c r="E1037" s="52"/>
      <c r="F1037" s="24"/>
      <c r="G1037" s="24" t="s">
        <v>1309</v>
      </c>
      <c r="H1037" s="24" t="s">
        <v>62</v>
      </c>
      <c r="I1037" s="24">
        <v>1985</v>
      </c>
      <c r="J1037" s="24"/>
      <c r="K1037" s="24"/>
      <c r="L1037" s="24" t="s">
        <v>64</v>
      </c>
      <c r="M1037" s="24">
        <v>1</v>
      </c>
      <c r="N1037" s="53">
        <v>38124000</v>
      </c>
      <c r="O1037" s="53">
        <v>38124000</v>
      </c>
      <c r="P1037" s="52"/>
      <c r="Q1037" s="43"/>
      <c r="R1037" s="52"/>
      <c r="S1037" s="53">
        <v>38124000</v>
      </c>
      <c r="T1037" s="52">
        <v>50</v>
      </c>
      <c r="U1037" s="53">
        <f t="shared" si="695"/>
        <v>762480</v>
      </c>
      <c r="V1037" s="52">
        <v>0.5</v>
      </c>
      <c r="W1037" s="53">
        <f t="shared" si="696"/>
        <v>381240</v>
      </c>
      <c r="X1037" s="52">
        <v>0.5</v>
      </c>
      <c r="Y1037" s="56">
        <f t="shared" si="697"/>
        <v>381240</v>
      </c>
      <c r="Z1037" s="56">
        <f t="shared" si="677"/>
        <v>762480</v>
      </c>
      <c r="AA1037" s="52">
        <f>37.5+0.5</f>
        <v>38</v>
      </c>
      <c r="AB1037" s="56">
        <f t="shared" si="698"/>
        <v>28974240</v>
      </c>
      <c r="AC1037" s="53">
        <f t="shared" si="682"/>
        <v>9149760</v>
      </c>
      <c r="AD1037" s="24" t="s">
        <v>1307</v>
      </c>
      <c r="AE1037" s="24"/>
      <c r="AF1037" s="8">
        <v>28974240</v>
      </c>
      <c r="AG1037" s="5"/>
      <c r="AH1037" s="36"/>
    </row>
    <row r="1038" spans="1:34" s="1" customFormat="1" ht="11.45" x14ac:dyDescent="0.25">
      <c r="A1038" s="21">
        <v>16</v>
      </c>
      <c r="B1038" s="22" t="s">
        <v>1788</v>
      </c>
      <c r="C1038" s="187" t="s">
        <v>58</v>
      </c>
      <c r="D1038" s="24" t="s">
        <v>1322</v>
      </c>
      <c r="E1038" s="52"/>
      <c r="F1038" s="24"/>
      <c r="G1038" s="24" t="s">
        <v>1309</v>
      </c>
      <c r="H1038" s="24" t="s">
        <v>62</v>
      </c>
      <c r="I1038" s="24">
        <v>2010</v>
      </c>
      <c r="J1038" s="24"/>
      <c r="K1038" s="24"/>
      <c r="L1038" s="24" t="s">
        <v>64</v>
      </c>
      <c r="M1038" s="24">
        <v>1</v>
      </c>
      <c r="N1038" s="53">
        <v>98568400</v>
      </c>
      <c r="O1038" s="53">
        <v>98568400</v>
      </c>
      <c r="P1038" s="52"/>
      <c r="Q1038" s="43"/>
      <c r="R1038" s="52"/>
      <c r="S1038" s="53">
        <v>98568400</v>
      </c>
      <c r="T1038" s="52">
        <v>50</v>
      </c>
      <c r="U1038" s="53">
        <f t="shared" si="695"/>
        <v>1971368</v>
      </c>
      <c r="V1038" s="52">
        <v>0.5</v>
      </c>
      <c r="W1038" s="53">
        <f t="shared" si="696"/>
        <v>985684</v>
      </c>
      <c r="X1038" s="54"/>
      <c r="Y1038" s="56">
        <f t="shared" si="697"/>
        <v>0</v>
      </c>
      <c r="Z1038" s="56">
        <f t="shared" si="677"/>
        <v>985684</v>
      </c>
      <c r="AA1038" s="52">
        <v>12.5</v>
      </c>
      <c r="AB1038" s="56">
        <f t="shared" si="698"/>
        <v>24642100</v>
      </c>
      <c r="AC1038" s="53"/>
      <c r="AD1038" s="52" t="s">
        <v>1307</v>
      </c>
      <c r="AE1038" s="52"/>
      <c r="AF1038" s="8">
        <v>24642100</v>
      </c>
      <c r="AG1038" s="5"/>
      <c r="AH1038" s="36"/>
    </row>
    <row r="1039" spans="1:34" s="1" customFormat="1" ht="11.45" x14ac:dyDescent="0.25">
      <c r="A1039" s="21"/>
      <c r="B1039" s="22"/>
      <c r="C1039" s="187"/>
      <c r="D1039" s="24"/>
      <c r="E1039" s="52"/>
      <c r="F1039" s="24"/>
      <c r="G1039" s="24"/>
      <c r="H1039" s="24"/>
      <c r="I1039" s="24"/>
      <c r="J1039" s="24"/>
      <c r="K1039" s="24"/>
      <c r="L1039" s="24"/>
      <c r="M1039" s="24"/>
      <c r="N1039" s="53">
        <v>50000000</v>
      </c>
      <c r="O1039" s="53">
        <v>50000000</v>
      </c>
      <c r="P1039" s="52"/>
      <c r="Q1039" s="43"/>
      <c r="R1039" s="52"/>
      <c r="S1039" s="53">
        <v>123926300</v>
      </c>
      <c r="T1039" s="52">
        <f>T1038-AA1038</f>
        <v>37.5</v>
      </c>
      <c r="U1039" s="53">
        <f t="shared" si="695"/>
        <v>3304701.3333333335</v>
      </c>
      <c r="V1039" s="52">
        <f>4/12</f>
        <v>0.33333333333333331</v>
      </c>
      <c r="W1039" s="53">
        <f t="shared" si="696"/>
        <v>1101567.111111111</v>
      </c>
      <c r="X1039" s="54">
        <v>0.5</v>
      </c>
      <c r="Y1039" s="56">
        <f t="shared" si="697"/>
        <v>1652350.6666666667</v>
      </c>
      <c r="Z1039" s="56">
        <f t="shared" si="677"/>
        <v>2753917.777777778</v>
      </c>
      <c r="AA1039" s="52">
        <f>4/12+0.5</f>
        <v>0.83333333333333326</v>
      </c>
      <c r="AB1039" s="56">
        <f t="shared" si="698"/>
        <v>2753917.7777777775</v>
      </c>
      <c r="AC1039" s="53">
        <f t="shared" ref="AC1039:AC1041" si="699">SUM(S1039-AB1039)</f>
        <v>121172382.22222222</v>
      </c>
      <c r="AD1039" s="52"/>
      <c r="AE1039" s="52"/>
      <c r="AF1039" s="8">
        <v>2753917.7777777775</v>
      </c>
      <c r="AG1039" s="5"/>
      <c r="AH1039" s="36"/>
    </row>
    <row r="1040" spans="1:34" s="1" customFormat="1" ht="11.45" x14ac:dyDescent="0.25">
      <c r="A1040" s="21">
        <v>17</v>
      </c>
      <c r="B1040" s="22" t="s">
        <v>1788</v>
      </c>
      <c r="C1040" s="65" t="s">
        <v>75</v>
      </c>
      <c r="D1040" s="24" t="s">
        <v>1789</v>
      </c>
      <c r="E1040" s="52"/>
      <c r="F1040" s="24"/>
      <c r="G1040" s="24" t="s">
        <v>1309</v>
      </c>
      <c r="H1040" s="24" t="s">
        <v>62</v>
      </c>
      <c r="I1040" s="24">
        <v>2017</v>
      </c>
      <c r="J1040" s="24"/>
      <c r="K1040" s="24"/>
      <c r="L1040" s="24" t="s">
        <v>64</v>
      </c>
      <c r="M1040" s="24">
        <v>1</v>
      </c>
      <c r="N1040" s="53">
        <v>141313000</v>
      </c>
      <c r="O1040" s="53">
        <v>141313000</v>
      </c>
      <c r="P1040" s="52"/>
      <c r="Q1040" s="43"/>
      <c r="R1040" s="52"/>
      <c r="S1040" s="53">
        <v>141313000</v>
      </c>
      <c r="T1040" s="52">
        <v>50</v>
      </c>
      <c r="U1040" s="53">
        <f t="shared" ref="U1040:U1041" si="700">SUM(S1040/T1040)</f>
        <v>2826260</v>
      </c>
      <c r="V1040" s="52">
        <v>0.5</v>
      </c>
      <c r="W1040" s="53">
        <f t="shared" ref="W1040:W1041" si="701">SUM(U1040*V1040)</f>
        <v>1413130</v>
      </c>
      <c r="X1040" s="52">
        <v>0.5</v>
      </c>
      <c r="Y1040" s="56">
        <f t="shared" ref="Y1040:Y1041" si="702">SUM(U1040*X1040)</f>
        <v>1413130</v>
      </c>
      <c r="Z1040" s="56">
        <f t="shared" si="677"/>
        <v>2826260</v>
      </c>
      <c r="AA1040" s="57">
        <f>1.66666666666667+0.5+0.5+0.5+0.5+0.5+0.5</f>
        <v>4.6666666666666696</v>
      </c>
      <c r="AB1040" s="56">
        <f t="shared" ref="AB1040:AB1041" si="703">SUM(U1040*AA1040)</f>
        <v>13189213.333333341</v>
      </c>
      <c r="AC1040" s="53">
        <f t="shared" si="699"/>
        <v>128123786.66666666</v>
      </c>
      <c r="AD1040" s="52" t="s">
        <v>1307</v>
      </c>
      <c r="AE1040" s="52"/>
      <c r="AF1040" s="8"/>
      <c r="AG1040" s="5"/>
      <c r="AH1040" s="36"/>
    </row>
    <row r="1041" spans="1:34" s="1" customFormat="1" ht="11.45" x14ac:dyDescent="0.25">
      <c r="A1041" s="21">
        <v>18</v>
      </c>
      <c r="B1041" s="22" t="s">
        <v>1788</v>
      </c>
      <c r="C1041" s="65" t="s">
        <v>79</v>
      </c>
      <c r="D1041" s="24" t="s">
        <v>1337</v>
      </c>
      <c r="E1041" s="52"/>
      <c r="F1041" s="24"/>
      <c r="G1041" s="24" t="s">
        <v>1309</v>
      </c>
      <c r="H1041" s="24" t="s">
        <v>62</v>
      </c>
      <c r="I1041" s="24">
        <v>2018</v>
      </c>
      <c r="J1041" s="24"/>
      <c r="K1041" s="24"/>
      <c r="L1041" s="24" t="s">
        <v>64</v>
      </c>
      <c r="M1041" s="24">
        <v>1</v>
      </c>
      <c r="N1041" s="53">
        <v>146870000</v>
      </c>
      <c r="O1041" s="53">
        <v>146870000</v>
      </c>
      <c r="P1041" s="52"/>
      <c r="Q1041" s="43"/>
      <c r="R1041" s="52"/>
      <c r="S1041" s="53">
        <v>146870000</v>
      </c>
      <c r="T1041" s="52">
        <v>50</v>
      </c>
      <c r="U1041" s="53">
        <f t="shared" si="700"/>
        <v>2937400</v>
      </c>
      <c r="V1041" s="52">
        <v>0.5</v>
      </c>
      <c r="W1041" s="53">
        <f t="shared" si="701"/>
        <v>1468700</v>
      </c>
      <c r="X1041" s="52">
        <v>0.5</v>
      </c>
      <c r="Y1041" s="56">
        <f t="shared" si="702"/>
        <v>1468700</v>
      </c>
      <c r="Z1041" s="56">
        <f t="shared" si="677"/>
        <v>2937400</v>
      </c>
      <c r="AA1041" s="57">
        <f>1.08333333333333+0.5+0.5+0.5+0.5+0.5+0.5</f>
        <v>4.0833333333333304</v>
      </c>
      <c r="AB1041" s="56">
        <f t="shared" si="703"/>
        <v>11994383.333333325</v>
      </c>
      <c r="AC1041" s="53">
        <f t="shared" si="699"/>
        <v>134875616.66666669</v>
      </c>
      <c r="AD1041" s="52" t="s">
        <v>1307</v>
      </c>
      <c r="AE1041" s="52"/>
      <c r="AF1041" s="8"/>
      <c r="AG1041" s="5"/>
      <c r="AH1041" s="36"/>
    </row>
    <row r="1042" spans="1:34" s="1" customFormat="1" ht="11.45" x14ac:dyDescent="0.25">
      <c r="A1042" s="21">
        <v>19</v>
      </c>
      <c r="B1042" s="22" t="s">
        <v>1790</v>
      </c>
      <c r="C1042" s="65" t="s">
        <v>58</v>
      </c>
      <c r="D1042" s="24" t="s">
        <v>1314</v>
      </c>
      <c r="E1042" s="52"/>
      <c r="F1042" s="24"/>
      <c r="G1042" s="24" t="s">
        <v>1309</v>
      </c>
      <c r="H1042" s="24" t="s">
        <v>62</v>
      </c>
      <c r="I1042" s="24">
        <v>1985</v>
      </c>
      <c r="J1042" s="24"/>
      <c r="K1042" s="24"/>
      <c r="L1042" s="24" t="s">
        <v>64</v>
      </c>
      <c r="M1042" s="24">
        <v>1</v>
      </c>
      <c r="N1042" s="53">
        <f>544598000</f>
        <v>544598000</v>
      </c>
      <c r="O1042" s="53">
        <f>544598000</f>
        <v>544598000</v>
      </c>
      <c r="P1042" s="52"/>
      <c r="Q1042" s="43"/>
      <c r="R1042" s="52"/>
      <c r="S1042" s="53"/>
      <c r="T1042" s="52"/>
      <c r="U1042" s="53"/>
      <c r="V1042" s="52"/>
      <c r="W1042" s="53"/>
      <c r="X1042" s="52"/>
      <c r="Y1042" s="56">
        <f t="shared" ref="Y1042:Y1047" si="704">SUM(U1042*X1042)</f>
        <v>0</v>
      </c>
      <c r="Z1042" s="56">
        <f t="shared" si="677"/>
        <v>0</v>
      </c>
      <c r="AA1042" s="52">
        <v>31.5</v>
      </c>
      <c r="AB1042" s="56">
        <v>343096740</v>
      </c>
      <c r="AC1042" s="53"/>
      <c r="AD1042" s="52"/>
      <c r="AE1042" s="52"/>
      <c r="AF1042" s="8"/>
      <c r="AG1042" s="5"/>
      <c r="AH1042" s="36"/>
    </row>
    <row r="1043" spans="1:34" s="1" customFormat="1" ht="11.45" x14ac:dyDescent="0.25">
      <c r="A1043" s="21"/>
      <c r="B1043" s="22"/>
      <c r="C1043" s="65"/>
      <c r="D1043" s="24"/>
      <c r="E1043" s="52"/>
      <c r="F1043" s="24"/>
      <c r="G1043" s="24"/>
      <c r="H1043" s="24"/>
      <c r="I1043" s="24"/>
      <c r="J1043" s="24"/>
      <c r="K1043" s="24"/>
      <c r="L1043" s="24"/>
      <c r="M1043" s="24"/>
      <c r="N1043" s="53">
        <v>24950000</v>
      </c>
      <c r="O1043" s="53">
        <v>24950000</v>
      </c>
      <c r="P1043" s="52"/>
      <c r="Q1043" s="43"/>
      <c r="R1043" s="52"/>
      <c r="S1043" s="53"/>
      <c r="T1043" s="52"/>
      <c r="U1043" s="53"/>
      <c r="V1043" s="52"/>
      <c r="W1043" s="53"/>
      <c r="X1043" s="52"/>
      <c r="Y1043" s="56">
        <f t="shared" si="704"/>
        <v>0</v>
      </c>
      <c r="Z1043" s="56">
        <f t="shared" si="677"/>
        <v>0</v>
      </c>
      <c r="AA1043" s="52">
        <v>1.25</v>
      </c>
      <c r="AB1043" s="56">
        <v>14898109.210526317</v>
      </c>
      <c r="AC1043" s="53"/>
      <c r="AD1043" s="52"/>
      <c r="AE1043" s="52"/>
      <c r="AF1043" s="8"/>
      <c r="AG1043" s="5"/>
      <c r="AH1043" s="36"/>
    </row>
    <row r="1044" spans="1:34" s="1" customFormat="1" ht="11.45" x14ac:dyDescent="0.25">
      <c r="A1044" s="21"/>
      <c r="B1044" s="22"/>
      <c r="C1044" s="65"/>
      <c r="D1044" s="24"/>
      <c r="E1044" s="52"/>
      <c r="F1044" s="24"/>
      <c r="G1044" s="24"/>
      <c r="H1044" s="24"/>
      <c r="I1044" s="24"/>
      <c r="J1044" s="24"/>
      <c r="K1044" s="24"/>
      <c r="L1044" s="24"/>
      <c r="M1044" s="24"/>
      <c r="N1044" s="53">
        <v>142253000</v>
      </c>
      <c r="O1044" s="53">
        <v>142253000</v>
      </c>
      <c r="P1044" s="52"/>
      <c r="Q1044" s="43"/>
      <c r="R1044" s="52"/>
      <c r="S1044" s="53">
        <v>353806150.78947401</v>
      </c>
      <c r="T1044" s="52">
        <v>18.5</v>
      </c>
      <c r="U1044" s="53">
        <f t="shared" ref="U1044:U1050" si="705">SUM(S1044/T1044)</f>
        <v>19124656.799431026</v>
      </c>
      <c r="V1044" s="52">
        <v>0.25</v>
      </c>
      <c r="W1044" s="53"/>
      <c r="X1044" s="52"/>
      <c r="Y1044" s="56"/>
      <c r="Z1044" s="56">
        <f t="shared" si="677"/>
        <v>0</v>
      </c>
      <c r="AA1044" s="52">
        <v>0.25</v>
      </c>
      <c r="AB1044" s="56">
        <f t="shared" ref="AB1044:AB1047" si="706">SUM(U1044*AA1044)</f>
        <v>4781164.1998577565</v>
      </c>
      <c r="AC1044" s="53"/>
      <c r="AD1044" s="52"/>
      <c r="AE1044" s="52"/>
      <c r="AF1044" s="8"/>
      <c r="AG1044" s="5"/>
      <c r="AH1044" s="36"/>
    </row>
    <row r="1045" spans="1:34" s="1" customFormat="1" ht="11.45" x14ac:dyDescent="0.25">
      <c r="A1045" s="21"/>
      <c r="B1045" s="22"/>
      <c r="C1045" s="65"/>
      <c r="D1045" s="24"/>
      <c r="E1045" s="52"/>
      <c r="F1045" s="24"/>
      <c r="G1045" s="24"/>
      <c r="H1045" s="24"/>
      <c r="I1045" s="24"/>
      <c r="J1045" s="24"/>
      <c r="K1045" s="24"/>
      <c r="L1045" s="24"/>
      <c r="M1045" s="24"/>
      <c r="N1045" s="53">
        <v>21594000</v>
      </c>
      <c r="O1045" s="53">
        <v>21594000</v>
      </c>
      <c r="P1045" s="52"/>
      <c r="Q1045" s="43"/>
      <c r="R1045" s="52"/>
      <c r="S1045" s="53">
        <v>370618986.58961624</v>
      </c>
      <c r="T1045" s="52">
        <v>19</v>
      </c>
      <c r="U1045" s="53">
        <f t="shared" si="705"/>
        <v>19506262.452085067</v>
      </c>
      <c r="V1045" s="52">
        <v>0.5</v>
      </c>
      <c r="W1045" s="53">
        <f t="shared" ref="W1045:W1050" si="707">SUM(U1045*V1045)</f>
        <v>9753131.2260425333</v>
      </c>
      <c r="X1045" s="52">
        <v>0.5</v>
      </c>
      <c r="Y1045" s="56">
        <f t="shared" si="704"/>
        <v>9753131.2260425333</v>
      </c>
      <c r="Z1045" s="56">
        <f t="shared" si="677"/>
        <v>19506262.452085067</v>
      </c>
      <c r="AA1045" s="52">
        <f>1.25+0.5+0.5+0.5+0.5+0.5+0.5</f>
        <v>4.25</v>
      </c>
      <c r="AB1045" s="56">
        <f t="shared" si="706"/>
        <v>82901615.421361536</v>
      </c>
      <c r="AC1045" s="53">
        <f t="shared" ref="AC1045:AC1046" si="708">SUM(S1045-AB1045)</f>
        <v>287717371.16825473</v>
      </c>
      <c r="AD1045" s="52"/>
      <c r="AE1045" s="52"/>
      <c r="AF1045" s="8"/>
      <c r="AG1045" s="5"/>
      <c r="AH1045" s="36"/>
    </row>
    <row r="1046" spans="1:34" s="1" customFormat="1" ht="11.45" x14ac:dyDescent="0.25">
      <c r="A1046" s="21">
        <v>20</v>
      </c>
      <c r="B1046" s="22" t="s">
        <v>1790</v>
      </c>
      <c r="C1046" s="187" t="s">
        <v>75</v>
      </c>
      <c r="D1046" s="24" t="s">
        <v>1320</v>
      </c>
      <c r="E1046" s="52"/>
      <c r="F1046" s="24"/>
      <c r="G1046" s="24" t="s">
        <v>1309</v>
      </c>
      <c r="H1046" s="24" t="s">
        <v>62</v>
      </c>
      <c r="I1046" s="24">
        <v>2012</v>
      </c>
      <c r="J1046" s="24"/>
      <c r="K1046" s="24"/>
      <c r="L1046" s="24" t="s">
        <v>64</v>
      </c>
      <c r="M1046" s="24">
        <v>1</v>
      </c>
      <c r="N1046" s="53">
        <v>70736000</v>
      </c>
      <c r="O1046" s="53">
        <v>70736000</v>
      </c>
      <c r="P1046" s="52"/>
      <c r="Q1046" s="43"/>
      <c r="R1046" s="52"/>
      <c r="S1046" s="53">
        <v>70736000</v>
      </c>
      <c r="T1046" s="52">
        <v>50</v>
      </c>
      <c r="U1046" s="53">
        <f t="shared" si="705"/>
        <v>1414720</v>
      </c>
      <c r="V1046" s="52">
        <v>0.5</v>
      </c>
      <c r="W1046" s="53">
        <f t="shared" si="707"/>
        <v>707360</v>
      </c>
      <c r="X1046" s="54">
        <v>0.5</v>
      </c>
      <c r="Y1046" s="56">
        <f t="shared" si="704"/>
        <v>707360</v>
      </c>
      <c r="Z1046" s="56">
        <f t="shared" si="677"/>
        <v>1414720</v>
      </c>
      <c r="AA1046" s="52">
        <v>11</v>
      </c>
      <c r="AB1046" s="56">
        <f t="shared" si="706"/>
        <v>15561920</v>
      </c>
      <c r="AC1046" s="53">
        <f t="shared" si="708"/>
        <v>55174080</v>
      </c>
      <c r="AD1046" s="52" t="s">
        <v>1307</v>
      </c>
      <c r="AE1046" s="52"/>
      <c r="AF1046" s="8"/>
      <c r="AG1046" s="5"/>
      <c r="AH1046" s="36"/>
    </row>
    <row r="1047" spans="1:34" s="1" customFormat="1" ht="11.45" x14ac:dyDescent="0.25">
      <c r="A1047" s="21">
        <v>21</v>
      </c>
      <c r="B1047" s="22" t="s">
        <v>1788</v>
      </c>
      <c r="C1047" s="65" t="s">
        <v>58</v>
      </c>
      <c r="D1047" s="24" t="s">
        <v>1315</v>
      </c>
      <c r="E1047" s="52"/>
      <c r="F1047" s="24"/>
      <c r="G1047" s="24" t="s">
        <v>1309</v>
      </c>
      <c r="H1047" s="24" t="s">
        <v>62</v>
      </c>
      <c r="I1047" s="24">
        <v>1985</v>
      </c>
      <c r="J1047" s="24"/>
      <c r="K1047" s="24"/>
      <c r="L1047" s="24" t="s">
        <v>64</v>
      </c>
      <c r="M1047" s="24">
        <v>1</v>
      </c>
      <c r="N1047" s="53">
        <v>34454000</v>
      </c>
      <c r="O1047" s="53">
        <v>34454000</v>
      </c>
      <c r="P1047" s="52"/>
      <c r="Q1047" s="43"/>
      <c r="R1047" s="52"/>
      <c r="S1047" s="53">
        <v>34454000</v>
      </c>
      <c r="T1047" s="52">
        <v>50</v>
      </c>
      <c r="U1047" s="53">
        <f t="shared" si="705"/>
        <v>689080</v>
      </c>
      <c r="V1047" s="52">
        <v>0.5</v>
      </c>
      <c r="W1047" s="53">
        <f t="shared" si="707"/>
        <v>344540</v>
      </c>
      <c r="X1047" s="52">
        <v>0.5</v>
      </c>
      <c r="Y1047" s="56">
        <f t="shared" si="704"/>
        <v>344540</v>
      </c>
      <c r="Z1047" s="56">
        <f t="shared" si="677"/>
        <v>689080</v>
      </c>
      <c r="AA1047" s="52">
        <v>38</v>
      </c>
      <c r="AB1047" s="56">
        <f t="shared" si="706"/>
        <v>26185040</v>
      </c>
      <c r="AC1047" s="53"/>
      <c r="AD1047" s="52" t="s">
        <v>1307</v>
      </c>
      <c r="AE1047" s="52"/>
      <c r="AF1047" s="8"/>
      <c r="AG1047" s="5"/>
      <c r="AH1047" s="36"/>
    </row>
    <row r="1048" spans="1:34" s="1" customFormat="1" ht="11.45" x14ac:dyDescent="0.25">
      <c r="A1048" s="21"/>
      <c r="B1048" s="22"/>
      <c r="C1048" s="65"/>
      <c r="D1048" s="24"/>
      <c r="E1048" s="52"/>
      <c r="F1048" s="24"/>
      <c r="G1048" s="24"/>
      <c r="H1048" s="24"/>
      <c r="I1048" s="24"/>
      <c r="J1048" s="24"/>
      <c r="K1048" s="24"/>
      <c r="L1048" s="24"/>
      <c r="M1048" s="24"/>
      <c r="N1048" s="53">
        <v>49170000</v>
      </c>
      <c r="O1048" s="53">
        <v>49170000</v>
      </c>
      <c r="P1048" s="52"/>
      <c r="Q1048" s="43"/>
      <c r="R1048" s="52"/>
      <c r="S1048" s="53">
        <v>57438960</v>
      </c>
      <c r="T1048" s="52">
        <f>T1047-AA1047</f>
        <v>12</v>
      </c>
      <c r="U1048" s="53">
        <f t="shared" si="705"/>
        <v>4786580</v>
      </c>
      <c r="V1048" s="52"/>
      <c r="W1048" s="53">
        <f t="shared" si="707"/>
        <v>0</v>
      </c>
      <c r="X1048" s="57">
        <f>4/12</f>
        <v>0.33333333333333331</v>
      </c>
      <c r="Y1048" s="56">
        <f t="shared" ref="Y1048" si="709">SUM(U1048*X1048)</f>
        <v>1595526.6666666665</v>
      </c>
      <c r="Z1048" s="56">
        <f t="shared" si="677"/>
        <v>1595526.6666666665</v>
      </c>
      <c r="AA1048" s="57">
        <f>4/12</f>
        <v>0.33333333333333331</v>
      </c>
      <c r="AB1048" s="56">
        <f t="shared" ref="AB1048" si="710">SUM(U1048*AA1048)</f>
        <v>1595526.6666666665</v>
      </c>
      <c r="AC1048" s="53">
        <f t="shared" ref="AC1048:AC1050" si="711">SUM(S1048-AB1048)</f>
        <v>55843433.333333336</v>
      </c>
      <c r="AD1048" s="52"/>
      <c r="AE1048" s="52"/>
      <c r="AF1048" s="8"/>
      <c r="AG1048" s="5"/>
      <c r="AH1048" s="36"/>
    </row>
    <row r="1049" spans="1:34" s="1" customFormat="1" ht="11.45" x14ac:dyDescent="0.25">
      <c r="A1049" s="21">
        <v>22</v>
      </c>
      <c r="B1049" s="22" t="s">
        <v>1788</v>
      </c>
      <c r="C1049" s="65" t="s">
        <v>79</v>
      </c>
      <c r="D1049" s="24" t="s">
        <v>1317</v>
      </c>
      <c r="E1049" s="52"/>
      <c r="F1049" s="24"/>
      <c r="G1049" s="24" t="s">
        <v>1309</v>
      </c>
      <c r="H1049" s="24" t="s">
        <v>62</v>
      </c>
      <c r="I1049" s="24">
        <v>1985</v>
      </c>
      <c r="J1049" s="24"/>
      <c r="K1049" s="24"/>
      <c r="L1049" s="24" t="s">
        <v>64</v>
      </c>
      <c r="M1049" s="24">
        <v>1</v>
      </c>
      <c r="N1049" s="53">
        <v>227426000</v>
      </c>
      <c r="O1049" s="53">
        <v>227426000</v>
      </c>
      <c r="P1049" s="52"/>
      <c r="Q1049" s="43"/>
      <c r="R1049" s="52"/>
      <c r="S1049" s="53">
        <v>227426000</v>
      </c>
      <c r="T1049" s="52">
        <v>50</v>
      </c>
      <c r="U1049" s="53">
        <f t="shared" si="705"/>
        <v>4548520</v>
      </c>
      <c r="V1049" s="52">
        <v>0.5</v>
      </c>
      <c r="W1049" s="53">
        <f t="shared" si="707"/>
        <v>2274260</v>
      </c>
      <c r="X1049" s="52">
        <v>0.5</v>
      </c>
      <c r="Y1049" s="56">
        <f t="shared" ref="Y1049:Y1056" si="712">SUM(U1049*X1049)</f>
        <v>2274260</v>
      </c>
      <c r="Z1049" s="56">
        <f t="shared" si="677"/>
        <v>4548520</v>
      </c>
      <c r="AA1049" s="52">
        <v>38</v>
      </c>
      <c r="AB1049" s="56">
        <f t="shared" ref="AB1049:AB1050" si="713">SUM(U1049*AA1049)</f>
        <v>172843760</v>
      </c>
      <c r="AC1049" s="53">
        <f t="shared" si="711"/>
        <v>54582240</v>
      </c>
      <c r="AD1049" s="52" t="s">
        <v>1307</v>
      </c>
      <c r="AE1049" s="52"/>
      <c r="AF1049" s="8"/>
      <c r="AG1049" s="5"/>
      <c r="AH1049" s="36"/>
    </row>
    <row r="1050" spans="1:34" s="1" customFormat="1" ht="11.45" x14ac:dyDescent="0.25">
      <c r="A1050" s="21">
        <v>23</v>
      </c>
      <c r="B1050" s="22" t="s">
        <v>1788</v>
      </c>
      <c r="C1050" s="65" t="s">
        <v>75</v>
      </c>
      <c r="D1050" s="24" t="s">
        <v>1318</v>
      </c>
      <c r="E1050" s="52"/>
      <c r="F1050" s="24"/>
      <c r="G1050" s="24" t="s">
        <v>1309</v>
      </c>
      <c r="H1050" s="24" t="s">
        <v>62</v>
      </c>
      <c r="I1050" s="24">
        <v>1985</v>
      </c>
      <c r="J1050" s="24"/>
      <c r="K1050" s="24"/>
      <c r="L1050" s="24" t="s">
        <v>64</v>
      </c>
      <c r="M1050" s="24">
        <v>1</v>
      </c>
      <c r="N1050" s="53">
        <v>227826000</v>
      </c>
      <c r="O1050" s="53">
        <v>227826000</v>
      </c>
      <c r="P1050" s="52"/>
      <c r="Q1050" s="43"/>
      <c r="R1050" s="52"/>
      <c r="S1050" s="53">
        <v>227826000</v>
      </c>
      <c r="T1050" s="52">
        <v>50</v>
      </c>
      <c r="U1050" s="53">
        <f t="shared" si="705"/>
        <v>4556520</v>
      </c>
      <c r="V1050" s="52">
        <v>0.5</v>
      </c>
      <c r="W1050" s="53">
        <f t="shared" si="707"/>
        <v>2278260</v>
      </c>
      <c r="X1050" s="52">
        <v>0.5</v>
      </c>
      <c r="Y1050" s="56">
        <f t="shared" si="712"/>
        <v>2278260</v>
      </c>
      <c r="Z1050" s="56">
        <f t="shared" si="677"/>
        <v>4556520</v>
      </c>
      <c r="AA1050" s="52">
        <v>38</v>
      </c>
      <c r="AB1050" s="56">
        <f t="shared" si="713"/>
        <v>173147760</v>
      </c>
      <c r="AC1050" s="53">
        <f t="shared" si="711"/>
        <v>54678240</v>
      </c>
      <c r="AD1050" s="52" t="s">
        <v>1307</v>
      </c>
      <c r="AE1050" s="52"/>
      <c r="AF1050" s="8"/>
      <c r="AG1050" s="5"/>
      <c r="AH1050" s="36"/>
    </row>
    <row r="1051" spans="1:34" s="1" customFormat="1" ht="11.45" x14ac:dyDescent="0.25">
      <c r="A1051" s="21">
        <v>24</v>
      </c>
      <c r="B1051" s="22" t="s">
        <v>1788</v>
      </c>
      <c r="C1051" s="65" t="s">
        <v>58</v>
      </c>
      <c r="D1051" s="24" t="s">
        <v>1319</v>
      </c>
      <c r="E1051" s="52"/>
      <c r="F1051" s="24"/>
      <c r="G1051" s="24" t="s">
        <v>1309</v>
      </c>
      <c r="H1051" s="24" t="s">
        <v>62</v>
      </c>
      <c r="I1051" s="24">
        <v>2012</v>
      </c>
      <c r="J1051" s="24"/>
      <c r="K1051" s="24"/>
      <c r="L1051" s="24" t="s">
        <v>64</v>
      </c>
      <c r="M1051" s="24">
        <v>1</v>
      </c>
      <c r="N1051" s="53">
        <f>67500000</f>
        <v>67500000</v>
      </c>
      <c r="O1051" s="53">
        <f>67500000</f>
        <v>67500000</v>
      </c>
      <c r="P1051" s="52"/>
      <c r="Q1051" s="43"/>
      <c r="R1051" s="52"/>
      <c r="S1051" s="53"/>
      <c r="T1051" s="52"/>
      <c r="U1051" s="53"/>
      <c r="V1051" s="52"/>
      <c r="W1051" s="53"/>
      <c r="X1051" s="52"/>
      <c r="Y1051" s="56">
        <f t="shared" si="712"/>
        <v>0</v>
      </c>
      <c r="Z1051" s="56">
        <f t="shared" si="677"/>
        <v>0</v>
      </c>
      <c r="AA1051" s="52">
        <v>3.5</v>
      </c>
      <c r="AB1051" s="56">
        <v>4725000</v>
      </c>
      <c r="AC1051" s="53"/>
      <c r="AD1051" s="52"/>
      <c r="AE1051" s="52"/>
      <c r="AF1051" s="8"/>
      <c r="AG1051" s="5"/>
      <c r="AH1051" s="36"/>
    </row>
    <row r="1052" spans="1:34" s="1" customFormat="1" ht="11.45" x14ac:dyDescent="0.25">
      <c r="A1052" s="21"/>
      <c r="B1052" s="22"/>
      <c r="C1052" s="65"/>
      <c r="D1052" s="24"/>
      <c r="E1052" s="52"/>
      <c r="F1052" s="24"/>
      <c r="G1052" s="24"/>
      <c r="H1052" s="24"/>
      <c r="I1052" s="24"/>
      <c r="J1052" s="24"/>
      <c r="K1052" s="24"/>
      <c r="L1052" s="24"/>
      <c r="M1052" s="24"/>
      <c r="N1052" s="53">
        <f>4054000+67764000+2717000</f>
        <v>74535000</v>
      </c>
      <c r="O1052" s="53">
        <f>4054000+67764000+2717000</f>
        <v>74535000</v>
      </c>
      <c r="P1052" s="56"/>
      <c r="Q1052" s="43"/>
      <c r="R1052" s="52"/>
      <c r="S1052" s="53">
        <v>137310000</v>
      </c>
      <c r="T1052" s="52">
        <v>46.5</v>
      </c>
      <c r="U1052" s="53">
        <f t="shared" ref="U1052:U1056" si="714">SUM(S1052/T1052)</f>
        <v>2952903.2258064514</v>
      </c>
      <c r="V1052" s="52"/>
      <c r="W1052" s="53">
        <f t="shared" ref="W1052:W1056" si="715">SUM(U1052*V1052)</f>
        <v>0</v>
      </c>
      <c r="X1052" s="52"/>
      <c r="Y1052" s="56">
        <f t="shared" si="712"/>
        <v>0</v>
      </c>
      <c r="Z1052" s="56">
        <f t="shared" si="677"/>
        <v>0</v>
      </c>
      <c r="AA1052" s="52">
        <f>3/12+3+0.5</f>
        <v>3.75</v>
      </c>
      <c r="AB1052" s="56">
        <f t="shared" ref="AB1052:AB1056" si="716">SUM(U1052*AA1052)</f>
        <v>11073387.096774193</v>
      </c>
      <c r="AC1052" s="53"/>
      <c r="AD1052" s="52" t="s">
        <v>1307</v>
      </c>
      <c r="AE1052" s="52"/>
      <c r="AF1052" s="8"/>
      <c r="AG1052" s="5"/>
      <c r="AH1052" s="36"/>
    </row>
    <row r="1053" spans="1:34" s="1" customFormat="1" ht="11.45" x14ac:dyDescent="0.25">
      <c r="A1053" s="21"/>
      <c r="B1053" s="22"/>
      <c r="C1053" s="65"/>
      <c r="D1053" s="24"/>
      <c r="E1053" s="52"/>
      <c r="F1053" s="24"/>
      <c r="G1053" s="24"/>
      <c r="H1053" s="24"/>
      <c r="I1053" s="24"/>
      <c r="J1053" s="24"/>
      <c r="K1053" s="24"/>
      <c r="L1053" s="24"/>
      <c r="M1053" s="24"/>
      <c r="N1053" s="53">
        <v>49750000</v>
      </c>
      <c r="O1053" s="53">
        <v>49750000</v>
      </c>
      <c r="P1053" s="52"/>
      <c r="Q1053" s="43"/>
      <c r="R1053" s="52"/>
      <c r="S1053" s="53">
        <v>175986612.90322581</v>
      </c>
      <c r="T1053" s="52">
        <f>T1052-AA1052+5</f>
        <v>47.75</v>
      </c>
      <c r="U1053" s="53">
        <f t="shared" si="714"/>
        <v>3685583.5162979229</v>
      </c>
      <c r="V1053" s="52">
        <v>0.5</v>
      </c>
      <c r="W1053" s="53">
        <f t="shared" si="715"/>
        <v>1842791.7581489615</v>
      </c>
      <c r="X1053" s="54">
        <v>0.5</v>
      </c>
      <c r="Y1053" s="56">
        <f t="shared" si="712"/>
        <v>1842791.7581489615</v>
      </c>
      <c r="Z1053" s="56">
        <f t="shared" si="677"/>
        <v>3685583.5162979229</v>
      </c>
      <c r="AA1053" s="57">
        <f>1/12+0.5+0.5+0.5+0.5+0.5+0.5</f>
        <v>3.0833333333333335</v>
      </c>
      <c r="AB1053" s="56">
        <f t="shared" si="716"/>
        <v>11363882.508585263</v>
      </c>
      <c r="AC1053" s="53">
        <f t="shared" ref="AC1053:AC1062" si="717">SUM(S1053-AB1053)</f>
        <v>164622730.39464054</v>
      </c>
      <c r="AD1053" s="52"/>
      <c r="AE1053" s="52"/>
      <c r="AF1053" s="8"/>
      <c r="AG1053" s="5"/>
      <c r="AH1053" s="36"/>
    </row>
    <row r="1054" spans="1:34" s="1" customFormat="1" ht="11.45" x14ac:dyDescent="0.25">
      <c r="A1054" s="21">
        <v>25</v>
      </c>
      <c r="B1054" s="22" t="s">
        <v>1788</v>
      </c>
      <c r="C1054" s="65" t="s">
        <v>75</v>
      </c>
      <c r="D1054" s="24" t="s">
        <v>1791</v>
      </c>
      <c r="E1054" s="52"/>
      <c r="F1054" s="24"/>
      <c r="G1054" s="24" t="s">
        <v>1309</v>
      </c>
      <c r="H1054" s="24" t="s">
        <v>62</v>
      </c>
      <c r="I1054" s="24">
        <v>2012</v>
      </c>
      <c r="J1054" s="24"/>
      <c r="K1054" s="24"/>
      <c r="L1054" s="24" t="s">
        <v>64</v>
      </c>
      <c r="M1054" s="24">
        <v>1</v>
      </c>
      <c r="N1054" s="53">
        <v>9965000</v>
      </c>
      <c r="O1054" s="53">
        <v>9965000</v>
      </c>
      <c r="P1054" s="52"/>
      <c r="Q1054" s="43"/>
      <c r="R1054" s="52"/>
      <c r="S1054" s="53">
        <v>9965000</v>
      </c>
      <c r="T1054" s="52">
        <v>50</v>
      </c>
      <c r="U1054" s="53">
        <f t="shared" si="714"/>
        <v>199300</v>
      </c>
      <c r="V1054" s="52">
        <v>0.5</v>
      </c>
      <c r="W1054" s="53">
        <f t="shared" si="715"/>
        <v>99650</v>
      </c>
      <c r="X1054" s="54">
        <v>0.5</v>
      </c>
      <c r="Y1054" s="56">
        <f t="shared" si="712"/>
        <v>99650</v>
      </c>
      <c r="Z1054" s="56">
        <f t="shared" si="677"/>
        <v>199300</v>
      </c>
      <c r="AA1054" s="52">
        <v>11</v>
      </c>
      <c r="AB1054" s="56">
        <f t="shared" si="716"/>
        <v>2192300</v>
      </c>
      <c r="AC1054" s="53">
        <f t="shared" si="717"/>
        <v>7772700</v>
      </c>
      <c r="AD1054" s="52" t="s">
        <v>1307</v>
      </c>
      <c r="AE1054" s="52"/>
      <c r="AF1054" s="8"/>
      <c r="AG1054" s="5"/>
      <c r="AH1054" s="36"/>
    </row>
    <row r="1055" spans="1:34" s="1" customFormat="1" ht="11.45" x14ac:dyDescent="0.25">
      <c r="A1055" s="21">
        <v>26</v>
      </c>
      <c r="B1055" s="22" t="s">
        <v>1788</v>
      </c>
      <c r="C1055" s="65" t="s">
        <v>58</v>
      </c>
      <c r="D1055" s="24" t="s">
        <v>1329</v>
      </c>
      <c r="E1055" s="52"/>
      <c r="F1055" s="24"/>
      <c r="G1055" s="24" t="s">
        <v>1306</v>
      </c>
      <c r="H1055" s="24" t="s">
        <v>62</v>
      </c>
      <c r="I1055" s="24">
        <v>2013</v>
      </c>
      <c r="J1055" s="24"/>
      <c r="K1055" s="24"/>
      <c r="L1055" s="24" t="s">
        <v>64</v>
      </c>
      <c r="M1055" s="24">
        <v>1</v>
      </c>
      <c r="N1055" s="53">
        <v>64837000</v>
      </c>
      <c r="O1055" s="53">
        <v>64837000</v>
      </c>
      <c r="P1055" s="52"/>
      <c r="Q1055" s="43"/>
      <c r="R1055" s="52"/>
      <c r="S1055" s="53">
        <v>64837000</v>
      </c>
      <c r="T1055" s="52">
        <v>50</v>
      </c>
      <c r="U1055" s="53">
        <f t="shared" si="714"/>
        <v>1296740</v>
      </c>
      <c r="V1055" s="52">
        <v>0.5</v>
      </c>
      <c r="W1055" s="53">
        <f t="shared" si="715"/>
        <v>648370</v>
      </c>
      <c r="X1055" s="52">
        <v>0.5</v>
      </c>
      <c r="Y1055" s="56">
        <f t="shared" si="712"/>
        <v>648370</v>
      </c>
      <c r="Z1055" s="56">
        <f t="shared" si="677"/>
        <v>1296740</v>
      </c>
      <c r="AA1055" s="52">
        <v>10</v>
      </c>
      <c r="AB1055" s="56">
        <f t="shared" si="716"/>
        <v>12967400</v>
      </c>
      <c r="AC1055" s="53">
        <f t="shared" si="717"/>
        <v>51869600</v>
      </c>
      <c r="AD1055" s="52" t="s">
        <v>1307</v>
      </c>
      <c r="AE1055" s="52"/>
      <c r="AF1055" s="8"/>
      <c r="AG1055" s="5"/>
      <c r="AH1055" s="36"/>
    </row>
    <row r="1056" spans="1:34" s="1" customFormat="1" ht="11.45" x14ac:dyDescent="0.25">
      <c r="A1056" s="21">
        <v>27</v>
      </c>
      <c r="B1056" s="22" t="s">
        <v>1788</v>
      </c>
      <c r="C1056" s="65" t="s">
        <v>58</v>
      </c>
      <c r="D1056" s="24" t="s">
        <v>1330</v>
      </c>
      <c r="E1056" s="52"/>
      <c r="F1056" s="24"/>
      <c r="G1056" s="24" t="s">
        <v>1306</v>
      </c>
      <c r="H1056" s="24" t="s">
        <v>62</v>
      </c>
      <c r="I1056" s="24">
        <v>2014</v>
      </c>
      <c r="J1056" s="24"/>
      <c r="K1056" s="24"/>
      <c r="L1056" s="24" t="s">
        <v>64</v>
      </c>
      <c r="M1056" s="24">
        <v>1</v>
      </c>
      <c r="N1056" s="53">
        <f>59623500+16257000+10670000+139121500</f>
        <v>225672000</v>
      </c>
      <c r="O1056" s="53">
        <f>59623500+16257000+10670000+139121500</f>
        <v>225672000</v>
      </c>
      <c r="P1056" s="52"/>
      <c r="Q1056" s="43"/>
      <c r="R1056" s="52"/>
      <c r="S1056" s="53">
        <v>225672000</v>
      </c>
      <c r="T1056" s="52">
        <v>50</v>
      </c>
      <c r="U1056" s="53">
        <f t="shared" si="714"/>
        <v>4513440</v>
      </c>
      <c r="V1056" s="52">
        <v>0.5</v>
      </c>
      <c r="W1056" s="53">
        <f t="shared" si="715"/>
        <v>2256720</v>
      </c>
      <c r="X1056" s="52">
        <v>0.5</v>
      </c>
      <c r="Y1056" s="56">
        <f t="shared" si="712"/>
        <v>2256720</v>
      </c>
      <c r="Z1056" s="56">
        <f t="shared" si="677"/>
        <v>4513440</v>
      </c>
      <c r="AA1056" s="52">
        <v>9</v>
      </c>
      <c r="AB1056" s="56">
        <f t="shared" si="716"/>
        <v>40620960</v>
      </c>
      <c r="AC1056" s="53">
        <f t="shared" si="717"/>
        <v>185051040</v>
      </c>
      <c r="AD1056" s="52" t="s">
        <v>1307</v>
      </c>
      <c r="AE1056" s="52"/>
      <c r="AF1056" s="8"/>
      <c r="AG1056" s="5"/>
      <c r="AH1056" s="36"/>
    </row>
    <row r="1057" spans="1:34" s="1" customFormat="1" ht="11.45" x14ac:dyDescent="0.25">
      <c r="A1057" s="21">
        <v>28</v>
      </c>
      <c r="B1057" s="22" t="s">
        <v>1788</v>
      </c>
      <c r="C1057" s="85"/>
      <c r="D1057" s="52" t="s">
        <v>1339</v>
      </c>
      <c r="E1057" s="52"/>
      <c r="F1057" s="52"/>
      <c r="G1057" s="52" t="s">
        <v>61</v>
      </c>
      <c r="H1057" s="52" t="s">
        <v>62</v>
      </c>
      <c r="I1057" s="52">
        <v>2019</v>
      </c>
      <c r="J1057" s="52"/>
      <c r="K1057" s="52"/>
      <c r="L1057" s="52" t="s">
        <v>64</v>
      </c>
      <c r="M1057" s="52">
        <v>1</v>
      </c>
      <c r="N1057" s="53">
        <v>178658650</v>
      </c>
      <c r="O1057" s="53">
        <v>178658650</v>
      </c>
      <c r="P1057" s="52"/>
      <c r="Q1057" s="43"/>
      <c r="R1057" s="52"/>
      <c r="S1057" s="53">
        <v>178658650</v>
      </c>
      <c r="T1057" s="52">
        <v>50</v>
      </c>
      <c r="U1057" s="53">
        <f t="shared" ref="U1057:U1062" si="718">SUM(S1057/T1057)</f>
        <v>3573173</v>
      </c>
      <c r="V1057" s="52">
        <v>0.5</v>
      </c>
      <c r="W1057" s="53">
        <f t="shared" ref="W1057:W1062" si="719">SUM(U1057*V1057)</f>
        <v>1786586.5</v>
      </c>
      <c r="X1057" s="52">
        <v>0.5</v>
      </c>
      <c r="Y1057" s="56">
        <f t="shared" ref="Y1057:Y1062" si="720">SUM(U1057*X1057)</f>
        <v>1786586.5</v>
      </c>
      <c r="Z1057" s="56">
        <f t="shared" si="677"/>
        <v>3573173</v>
      </c>
      <c r="AA1057" s="59">
        <f>1/12+0.5+0.5+0.5+0.5+0.5+0.5</f>
        <v>3.0833333333333335</v>
      </c>
      <c r="AB1057" s="56">
        <f t="shared" ref="AB1057:AB1062" si="721">SUM(U1057*AA1057)</f>
        <v>11017283.416666668</v>
      </c>
      <c r="AC1057" s="53">
        <f t="shared" si="717"/>
        <v>167641366.58333334</v>
      </c>
      <c r="AD1057" s="52" t="s">
        <v>1307</v>
      </c>
      <c r="AE1057" s="52"/>
      <c r="AF1057" s="8"/>
      <c r="AG1057" s="5"/>
      <c r="AH1057" s="36"/>
    </row>
    <row r="1058" spans="1:34" s="1" customFormat="1" ht="11.45" x14ac:dyDescent="0.25">
      <c r="A1058" s="21">
        <v>29</v>
      </c>
      <c r="B1058" s="22" t="s">
        <v>1788</v>
      </c>
      <c r="C1058" s="65" t="s">
        <v>58</v>
      </c>
      <c r="D1058" s="24" t="s">
        <v>1331</v>
      </c>
      <c r="E1058" s="52"/>
      <c r="F1058" s="24"/>
      <c r="G1058" s="24" t="s">
        <v>466</v>
      </c>
      <c r="H1058" s="24" t="s">
        <v>62</v>
      </c>
      <c r="I1058" s="24">
        <v>2014</v>
      </c>
      <c r="J1058" s="24"/>
      <c r="K1058" s="24"/>
      <c r="L1058" s="24" t="s">
        <v>64</v>
      </c>
      <c r="M1058" s="24">
        <v>1</v>
      </c>
      <c r="N1058" s="53">
        <f>73997400+172660600</f>
        <v>246658000</v>
      </c>
      <c r="O1058" s="53">
        <f>73997400+172660600</f>
        <v>246658000</v>
      </c>
      <c r="P1058" s="52"/>
      <c r="Q1058" s="43"/>
      <c r="R1058" s="52"/>
      <c r="S1058" s="53">
        <v>246658000</v>
      </c>
      <c r="T1058" s="52">
        <v>50</v>
      </c>
      <c r="U1058" s="53">
        <f t="shared" si="718"/>
        <v>4933160</v>
      </c>
      <c r="V1058" s="52">
        <v>0.5</v>
      </c>
      <c r="W1058" s="53">
        <f t="shared" si="719"/>
        <v>2466580</v>
      </c>
      <c r="X1058" s="52">
        <v>0.5</v>
      </c>
      <c r="Y1058" s="56">
        <f t="shared" si="720"/>
        <v>2466580</v>
      </c>
      <c r="Z1058" s="56">
        <f t="shared" si="677"/>
        <v>4933160</v>
      </c>
      <c r="AA1058" s="52">
        <v>9</v>
      </c>
      <c r="AB1058" s="56">
        <f t="shared" si="721"/>
        <v>44398440</v>
      </c>
      <c r="AC1058" s="53">
        <f t="shared" si="717"/>
        <v>202259560</v>
      </c>
      <c r="AD1058" s="52" t="s">
        <v>1307</v>
      </c>
      <c r="AE1058" s="52"/>
      <c r="AF1058" s="8"/>
      <c r="AG1058" s="5"/>
      <c r="AH1058" s="36"/>
    </row>
    <row r="1059" spans="1:34" s="1" customFormat="1" ht="11.45" x14ac:dyDescent="0.25">
      <c r="A1059" s="21">
        <v>30</v>
      </c>
      <c r="B1059" s="22" t="s">
        <v>1788</v>
      </c>
      <c r="C1059" s="65" t="s">
        <v>58</v>
      </c>
      <c r="D1059" s="24" t="s">
        <v>1332</v>
      </c>
      <c r="E1059" s="52"/>
      <c r="F1059" s="24"/>
      <c r="G1059" s="24" t="s">
        <v>1309</v>
      </c>
      <c r="H1059" s="24" t="s">
        <v>62</v>
      </c>
      <c r="I1059" s="24">
        <v>2015</v>
      </c>
      <c r="J1059" s="24"/>
      <c r="K1059" s="24"/>
      <c r="L1059" s="24" t="s">
        <v>64</v>
      </c>
      <c r="M1059" s="24">
        <v>1</v>
      </c>
      <c r="N1059" s="53">
        <v>11000000</v>
      </c>
      <c r="O1059" s="53">
        <v>11000000</v>
      </c>
      <c r="P1059" s="52"/>
      <c r="Q1059" s="43"/>
      <c r="R1059" s="52"/>
      <c r="S1059" s="53">
        <v>11000000</v>
      </c>
      <c r="T1059" s="52">
        <v>50</v>
      </c>
      <c r="U1059" s="53">
        <f t="shared" si="718"/>
        <v>220000</v>
      </c>
      <c r="V1059" s="52">
        <v>0.5</v>
      </c>
      <c r="W1059" s="53">
        <f t="shared" si="719"/>
        <v>110000</v>
      </c>
      <c r="X1059" s="52">
        <v>0.5</v>
      </c>
      <c r="Y1059" s="56">
        <f t="shared" si="720"/>
        <v>110000</v>
      </c>
      <c r="Z1059" s="56">
        <f t="shared" si="677"/>
        <v>220000</v>
      </c>
      <c r="AA1059" s="57">
        <f>4.66666666666667+0.5+0.5+0.5+0.5+0.5+0.5</f>
        <v>7.6666666666666696</v>
      </c>
      <c r="AB1059" s="56">
        <f t="shared" si="721"/>
        <v>1686666.6666666672</v>
      </c>
      <c r="AC1059" s="53">
        <f t="shared" si="717"/>
        <v>9313333.3333333321</v>
      </c>
      <c r="AD1059" s="52" t="s">
        <v>1307</v>
      </c>
      <c r="AE1059" s="52"/>
      <c r="AF1059" s="8"/>
      <c r="AG1059" s="5"/>
      <c r="AH1059" s="36"/>
    </row>
    <row r="1060" spans="1:34" s="1" customFormat="1" ht="11.45" x14ac:dyDescent="0.25">
      <c r="A1060" s="21">
        <v>31</v>
      </c>
      <c r="B1060" s="22" t="s">
        <v>1792</v>
      </c>
      <c r="C1060" s="65" t="s">
        <v>58</v>
      </c>
      <c r="D1060" s="24" t="s">
        <v>1333</v>
      </c>
      <c r="E1060" s="52"/>
      <c r="F1060" s="24"/>
      <c r="G1060" s="24" t="s">
        <v>1334</v>
      </c>
      <c r="H1060" s="24" t="s">
        <v>62</v>
      </c>
      <c r="I1060" s="24">
        <v>2015</v>
      </c>
      <c r="J1060" s="24"/>
      <c r="K1060" s="24"/>
      <c r="L1060" s="24" t="s">
        <v>64</v>
      </c>
      <c r="M1060" s="24">
        <v>1</v>
      </c>
      <c r="N1060" s="53">
        <f>89593000+5391000+3539000</f>
        <v>98523000</v>
      </c>
      <c r="O1060" s="53">
        <f>89593000+5391000+3539000</f>
        <v>98523000</v>
      </c>
      <c r="P1060" s="52"/>
      <c r="Q1060" s="43"/>
      <c r="R1060" s="52"/>
      <c r="S1060" s="53"/>
      <c r="T1060" s="52"/>
      <c r="U1060" s="53"/>
      <c r="V1060" s="52"/>
      <c r="W1060" s="53"/>
      <c r="X1060" s="52"/>
      <c r="Y1060" s="56">
        <f t="shared" si="720"/>
        <v>0</v>
      </c>
      <c r="Z1060" s="56">
        <f t="shared" si="677"/>
        <v>0</v>
      </c>
      <c r="AA1060" s="52">
        <v>0.75</v>
      </c>
      <c r="AB1060" s="56">
        <v>1477845</v>
      </c>
      <c r="AC1060" s="53"/>
      <c r="AD1060" s="52"/>
      <c r="AE1060" s="52"/>
      <c r="AF1060" s="8">
        <v>1477845</v>
      </c>
      <c r="AG1060" s="5"/>
      <c r="AH1060" s="36"/>
    </row>
    <row r="1061" spans="1:34" s="1" customFormat="1" ht="11.45" x14ac:dyDescent="0.25">
      <c r="A1061" s="21"/>
      <c r="B1061" s="22"/>
      <c r="C1061" s="65"/>
      <c r="D1061" s="24"/>
      <c r="E1061" s="52"/>
      <c r="F1061" s="24"/>
      <c r="G1061" s="24"/>
      <c r="H1061" s="24"/>
      <c r="I1061" s="24"/>
      <c r="J1061" s="24"/>
      <c r="K1061" s="24"/>
      <c r="L1061" s="24"/>
      <c r="M1061" s="24"/>
      <c r="N1061" s="53">
        <v>24800000</v>
      </c>
      <c r="O1061" s="53">
        <v>24800000</v>
      </c>
      <c r="P1061" s="52"/>
      <c r="Q1061" s="43"/>
      <c r="R1061" s="52"/>
      <c r="S1061" s="53">
        <v>121845155</v>
      </c>
      <c r="T1061" s="52">
        <v>49</v>
      </c>
      <c r="U1061" s="53">
        <f t="shared" si="718"/>
        <v>2486635.8163265307</v>
      </c>
      <c r="V1061" s="52">
        <v>0.5</v>
      </c>
      <c r="W1061" s="53"/>
      <c r="X1061" s="52"/>
      <c r="Y1061" s="56"/>
      <c r="Z1061" s="56">
        <f t="shared" si="677"/>
        <v>0</v>
      </c>
      <c r="AA1061" s="52">
        <v>1.75</v>
      </c>
      <c r="AB1061" s="56">
        <f t="shared" si="721"/>
        <v>4351612.6785714291</v>
      </c>
      <c r="AC1061" s="53"/>
      <c r="AD1061" s="52" t="s">
        <v>1307</v>
      </c>
      <c r="AE1061" s="52"/>
      <c r="AF1061" s="8">
        <v>4351612.6785714291</v>
      </c>
      <c r="AG1061" s="5"/>
      <c r="AH1061" s="36"/>
    </row>
    <row r="1062" spans="1:34" s="1" customFormat="1" ht="11.45" x14ac:dyDescent="0.25">
      <c r="A1062" s="21"/>
      <c r="B1062" s="22"/>
      <c r="C1062" s="65"/>
      <c r="D1062" s="24"/>
      <c r="E1062" s="52"/>
      <c r="F1062" s="24"/>
      <c r="G1062" s="24"/>
      <c r="H1062" s="24"/>
      <c r="I1062" s="24"/>
      <c r="J1062" s="24"/>
      <c r="K1062" s="24"/>
      <c r="L1062" s="24"/>
      <c r="M1062" s="24"/>
      <c r="N1062" s="53">
        <v>54420000</v>
      </c>
      <c r="O1062" s="53">
        <v>54420000</v>
      </c>
      <c r="P1062" s="52"/>
      <c r="Q1062" s="43"/>
      <c r="R1062" s="52"/>
      <c r="S1062" s="53">
        <v>171913542.32142857</v>
      </c>
      <c r="T1062" s="52">
        <v>48</v>
      </c>
      <c r="U1062" s="53">
        <f t="shared" si="718"/>
        <v>3581532.1316964286</v>
      </c>
      <c r="V1062" s="52">
        <v>0.5</v>
      </c>
      <c r="W1062" s="53">
        <f t="shared" si="719"/>
        <v>1790766.0658482143</v>
      </c>
      <c r="X1062" s="52">
        <v>0.5</v>
      </c>
      <c r="Y1062" s="56">
        <f t="shared" si="720"/>
        <v>1790766.0658482143</v>
      </c>
      <c r="Z1062" s="56">
        <f t="shared" si="677"/>
        <v>3581532.1316964286</v>
      </c>
      <c r="AA1062" s="52">
        <v>4.5</v>
      </c>
      <c r="AB1062" s="56">
        <f t="shared" si="721"/>
        <v>16116894.592633929</v>
      </c>
      <c r="AC1062" s="53">
        <f t="shared" si="717"/>
        <v>155796647.72879463</v>
      </c>
      <c r="AD1062" s="52"/>
      <c r="AE1062" s="52"/>
      <c r="AF1062" s="8">
        <v>16116894.592633929</v>
      </c>
      <c r="AG1062" s="5"/>
      <c r="AH1062" s="36"/>
    </row>
    <row r="1063" spans="1:34" s="1" customFormat="1" ht="11.45" x14ac:dyDescent="0.25">
      <c r="A1063" s="21">
        <v>32</v>
      </c>
      <c r="B1063" s="22" t="s">
        <v>1793</v>
      </c>
      <c r="C1063" s="187" t="s">
        <v>58</v>
      </c>
      <c r="D1063" s="24" t="s">
        <v>1323</v>
      </c>
      <c r="E1063" s="52"/>
      <c r="F1063" s="24"/>
      <c r="G1063" s="24" t="s">
        <v>1309</v>
      </c>
      <c r="H1063" s="24" t="s">
        <v>62</v>
      </c>
      <c r="I1063" s="24">
        <v>2012</v>
      </c>
      <c r="J1063" s="24"/>
      <c r="K1063" s="24"/>
      <c r="L1063" s="24" t="s">
        <v>64</v>
      </c>
      <c r="M1063" s="24">
        <v>1</v>
      </c>
      <c r="N1063" s="53">
        <f>39622000+47900000</f>
        <v>87522000</v>
      </c>
      <c r="O1063" s="53">
        <f>39622000+47900000</f>
        <v>87522000</v>
      </c>
      <c r="P1063" s="52"/>
      <c r="Q1063" s="43"/>
      <c r="R1063" s="52"/>
      <c r="S1063" s="53">
        <v>87522000</v>
      </c>
      <c r="T1063" s="52">
        <v>50</v>
      </c>
      <c r="U1063" s="53">
        <f t="shared" ref="U1063:U1068" si="722">SUM(S1063/T1063)</f>
        <v>1750440</v>
      </c>
      <c r="V1063" s="52">
        <v>0.5</v>
      </c>
      <c r="W1063" s="53"/>
      <c r="X1063" s="52"/>
      <c r="Y1063" s="56"/>
      <c r="Z1063" s="56">
        <f t="shared" si="677"/>
        <v>0</v>
      </c>
      <c r="AA1063" s="52">
        <v>6.5</v>
      </c>
      <c r="AB1063" s="56">
        <f t="shared" ref="AB1063:AB1067" si="723">SUM(U1063*AA1063)</f>
        <v>11377860</v>
      </c>
      <c r="AC1063" s="53"/>
      <c r="AD1063" s="52" t="s">
        <v>1307</v>
      </c>
      <c r="AE1063" s="52"/>
      <c r="AF1063" s="8"/>
      <c r="AG1063" s="5"/>
      <c r="AH1063" s="36"/>
    </row>
    <row r="1064" spans="1:34" s="1" customFormat="1" ht="11.45" x14ac:dyDescent="0.25">
      <c r="A1064" s="21"/>
      <c r="B1064" s="22"/>
      <c r="C1064" s="65"/>
      <c r="D1064" s="24"/>
      <c r="E1064" s="52"/>
      <c r="F1064" s="24"/>
      <c r="G1064" s="24"/>
      <c r="H1064" s="24"/>
      <c r="I1064" s="24"/>
      <c r="J1064" s="24"/>
      <c r="K1064" s="24"/>
      <c r="L1064" s="24"/>
      <c r="M1064" s="24"/>
      <c r="N1064" s="53">
        <f>49780000+49800000</f>
        <v>99580000</v>
      </c>
      <c r="O1064" s="53">
        <f>49780000+49800000</f>
        <v>99580000</v>
      </c>
      <c r="P1064" s="52"/>
      <c r="Q1064" s="43"/>
      <c r="R1064" s="92"/>
      <c r="S1064" s="53">
        <v>175724140</v>
      </c>
      <c r="T1064" s="52">
        <v>44</v>
      </c>
      <c r="U1064" s="53">
        <f t="shared" si="722"/>
        <v>3993730.4545454546</v>
      </c>
      <c r="V1064" s="52"/>
      <c r="W1064" s="53">
        <f t="shared" ref="W1064:W1067" si="724">SUM(U1064*V1064)</f>
        <v>0</v>
      </c>
      <c r="X1064" s="52"/>
      <c r="Y1064" s="56">
        <f t="shared" ref="Y1064:Y1071" si="725">SUM(U1064*X1064)</f>
        <v>0</v>
      </c>
      <c r="Z1064" s="56">
        <f t="shared" si="677"/>
        <v>0</v>
      </c>
      <c r="AA1064" s="57">
        <f>1/12+0.5</f>
        <v>0.58333333333333337</v>
      </c>
      <c r="AB1064" s="56">
        <f t="shared" si="723"/>
        <v>2329676.0984848486</v>
      </c>
      <c r="AC1064" s="53"/>
      <c r="AD1064" s="52"/>
      <c r="AE1064" s="52"/>
      <c r="AF1064" s="8"/>
      <c r="AG1064" s="5"/>
      <c r="AH1064" s="36"/>
    </row>
    <row r="1065" spans="1:34" s="1" customFormat="1" ht="11.45" x14ac:dyDescent="0.25">
      <c r="A1065" s="21"/>
      <c r="B1065" s="22"/>
      <c r="C1065" s="65"/>
      <c r="D1065" s="24"/>
      <c r="E1065" s="52"/>
      <c r="F1065" s="24"/>
      <c r="G1065" s="24"/>
      <c r="H1065" s="24"/>
      <c r="I1065" s="24"/>
      <c r="J1065" s="24"/>
      <c r="K1065" s="24"/>
      <c r="L1065" s="24"/>
      <c r="M1065" s="24"/>
      <c r="N1065" s="53">
        <f>92173521+'[2]GEDUNG BANGUNAN'!$P$76+'[2]GEDUNG BANGUNAN'!$P$77</f>
        <v>99466521</v>
      </c>
      <c r="O1065" s="53">
        <f>92173521+'[2]GEDUNG BANGUNAN'!$P$76+'[2]GEDUNG BANGUNAN'!$P$77</f>
        <v>99466521</v>
      </c>
      <c r="P1065" s="52"/>
      <c r="Q1065" s="43"/>
      <c r="R1065" s="52"/>
      <c r="S1065" s="53">
        <v>272860984.90151513</v>
      </c>
      <c r="T1065" s="57">
        <f>T1064-AA1064+5</f>
        <v>48.416666666666664</v>
      </c>
      <c r="U1065" s="53">
        <f t="shared" si="722"/>
        <v>5635682.9928023778</v>
      </c>
      <c r="V1065" s="52">
        <v>0.5</v>
      </c>
      <c r="W1065" s="53"/>
      <c r="X1065" s="54"/>
      <c r="Y1065" s="56">
        <f t="shared" si="725"/>
        <v>0</v>
      </c>
      <c r="Z1065" s="56"/>
      <c r="AA1065" s="57">
        <f>1/12+0.5</f>
        <v>0.58333333333333337</v>
      </c>
      <c r="AB1065" s="56">
        <f t="shared" si="723"/>
        <v>3287481.7458013874</v>
      </c>
      <c r="AC1065" s="53"/>
      <c r="AD1065" s="52"/>
      <c r="AE1065" s="52"/>
      <c r="AF1065" s="8"/>
      <c r="AG1065" s="5"/>
      <c r="AH1065" s="36"/>
    </row>
    <row r="1066" spans="1:34" s="1" customFormat="1" ht="11.45" x14ac:dyDescent="0.25">
      <c r="A1066" s="21"/>
      <c r="B1066" s="22"/>
      <c r="C1066" s="65"/>
      <c r="D1066" s="24"/>
      <c r="E1066" s="52"/>
      <c r="F1066" s="24"/>
      <c r="G1066" s="24"/>
      <c r="H1066" s="24"/>
      <c r="I1066" s="24"/>
      <c r="J1066" s="24"/>
      <c r="K1066" s="24"/>
      <c r="L1066" s="24"/>
      <c r="M1066" s="24"/>
      <c r="N1066" s="53">
        <v>49720000</v>
      </c>
      <c r="O1066" s="53">
        <v>49720000</v>
      </c>
      <c r="P1066" s="52"/>
      <c r="Q1066" s="43"/>
      <c r="R1066" s="52"/>
      <c r="S1066" s="53">
        <v>319293503.15571374</v>
      </c>
      <c r="T1066" s="57">
        <f>T1065-AA1065+5</f>
        <v>52.833333333333329</v>
      </c>
      <c r="U1066" s="53">
        <f t="shared" si="722"/>
        <v>6043410.154366822</v>
      </c>
      <c r="V1066" s="52">
        <v>0.5</v>
      </c>
      <c r="W1066" s="53">
        <f t="shared" si="724"/>
        <v>3021705.077183411</v>
      </c>
      <c r="X1066" s="54"/>
      <c r="Y1066" s="56">
        <f t="shared" si="725"/>
        <v>0</v>
      </c>
      <c r="Z1066" s="56">
        <f t="shared" si="677"/>
        <v>3021705.077183411</v>
      </c>
      <c r="AA1066" s="57">
        <f>2/12+0.5+0.5+0.5</f>
        <v>1.6666666666666665</v>
      </c>
      <c r="AB1066" s="56">
        <v>10072350.257278036</v>
      </c>
      <c r="AC1066" s="53"/>
      <c r="AD1066" s="52"/>
      <c r="AE1066" s="52"/>
      <c r="AF1066" s="8"/>
      <c r="AG1066" s="5"/>
      <c r="AH1066" s="36"/>
    </row>
    <row r="1067" spans="1:34" s="1" customFormat="1" ht="11.45" x14ac:dyDescent="0.25">
      <c r="A1067" s="21"/>
      <c r="B1067" s="22"/>
      <c r="C1067" s="65"/>
      <c r="D1067" s="24"/>
      <c r="E1067" s="52"/>
      <c r="F1067" s="24"/>
      <c r="G1067" s="24"/>
      <c r="H1067" s="24"/>
      <c r="I1067" s="24"/>
      <c r="J1067" s="24"/>
      <c r="K1067" s="24"/>
      <c r="L1067" s="24"/>
      <c r="M1067" s="24"/>
      <c r="N1067" s="53">
        <v>49930000</v>
      </c>
      <c r="O1067" s="53">
        <v>49930000</v>
      </c>
      <c r="P1067" s="52"/>
      <c r="Q1067" s="43"/>
      <c r="R1067" s="52"/>
      <c r="S1067" s="53">
        <v>359151152.89843571</v>
      </c>
      <c r="T1067" s="57">
        <f>T1066-AA1066</f>
        <v>51.166666666666664</v>
      </c>
      <c r="U1067" s="53">
        <f t="shared" si="722"/>
        <v>7019240.7732593305</v>
      </c>
      <c r="V1067" s="87">
        <f>5/12</f>
        <v>0.41666666666666669</v>
      </c>
      <c r="W1067" s="53">
        <f t="shared" si="724"/>
        <v>2924683.6555247214</v>
      </c>
      <c r="X1067" s="54">
        <v>0.5</v>
      </c>
      <c r="Y1067" s="56">
        <f t="shared" si="725"/>
        <v>3509620.3866296653</v>
      </c>
      <c r="Z1067" s="56">
        <f t="shared" si="677"/>
        <v>6434304.0421543866</v>
      </c>
      <c r="AA1067" s="57">
        <f>5/12+0.5</f>
        <v>0.91666666666666674</v>
      </c>
      <c r="AB1067" s="56">
        <f t="shared" si="723"/>
        <v>6434304.0421543866</v>
      </c>
      <c r="AC1067" s="53"/>
      <c r="AD1067" s="52"/>
      <c r="AE1067" s="52"/>
      <c r="AF1067" s="8"/>
      <c r="AG1067" s="5"/>
      <c r="AH1067" s="36"/>
    </row>
    <row r="1068" spans="1:34" s="1" customFormat="1" ht="11.45" x14ac:dyDescent="0.25">
      <c r="A1068" s="21"/>
      <c r="B1068" s="22"/>
      <c r="C1068" s="65"/>
      <c r="D1068" s="24"/>
      <c r="E1068" s="52"/>
      <c r="F1068" s="24"/>
      <c r="G1068" s="24"/>
      <c r="H1068" s="24"/>
      <c r="I1068" s="24"/>
      <c r="J1068" s="24"/>
      <c r="K1068" s="24"/>
      <c r="L1068" s="24"/>
      <c r="M1068" s="24"/>
      <c r="N1068" s="53">
        <v>50000000</v>
      </c>
      <c r="O1068" s="53">
        <v>50000000</v>
      </c>
      <c r="P1068" s="52"/>
      <c r="Q1068" s="43"/>
      <c r="R1068" s="52"/>
      <c r="S1068" s="53">
        <v>402716848.85628134</v>
      </c>
      <c r="T1068" s="57">
        <f>T1067-AA1067</f>
        <v>50.25</v>
      </c>
      <c r="U1068" s="53">
        <f t="shared" si="722"/>
        <v>8014265.6488812203</v>
      </c>
      <c r="V1068" s="87"/>
      <c r="W1068" s="53"/>
      <c r="X1068" s="57">
        <v>8.3333333333333329E-2</v>
      </c>
      <c r="Y1068" s="56">
        <f t="shared" si="725"/>
        <v>667855.47074010165</v>
      </c>
      <c r="Z1068" s="56">
        <f t="shared" si="677"/>
        <v>667855.47074010165</v>
      </c>
      <c r="AA1068" s="57">
        <v>8.3333333333333329E-2</v>
      </c>
      <c r="AB1068" s="56">
        <f t="shared" ref="AB1068" si="726">SUM(U1068*AA1068)</f>
        <v>667855.47074010165</v>
      </c>
      <c r="AC1068" s="53">
        <f t="shared" ref="AC1068" si="727">SUM(S1068-AB1068)</f>
        <v>402048993.38554126</v>
      </c>
      <c r="AD1068" s="52"/>
      <c r="AE1068" s="52"/>
      <c r="AF1068" s="8"/>
      <c r="AG1068" s="5"/>
      <c r="AH1068" s="36"/>
    </row>
    <row r="1069" spans="1:34" s="1" customFormat="1" ht="11.45" x14ac:dyDescent="0.25">
      <c r="A1069" s="21">
        <v>33</v>
      </c>
      <c r="B1069" s="22" t="s">
        <v>1794</v>
      </c>
      <c r="C1069" s="65" t="s">
        <v>58</v>
      </c>
      <c r="D1069" s="24" t="s">
        <v>1325</v>
      </c>
      <c r="E1069" s="52"/>
      <c r="F1069" s="24"/>
      <c r="G1069" s="24" t="s">
        <v>1309</v>
      </c>
      <c r="H1069" s="24" t="s">
        <v>62</v>
      </c>
      <c r="I1069" s="24">
        <v>2012</v>
      </c>
      <c r="J1069" s="24"/>
      <c r="K1069" s="24"/>
      <c r="L1069" s="24" t="s">
        <v>64</v>
      </c>
      <c r="M1069" s="24">
        <v>1</v>
      </c>
      <c r="N1069" s="53">
        <v>783377500</v>
      </c>
      <c r="O1069" s="53">
        <v>783377500</v>
      </c>
      <c r="P1069" s="52"/>
      <c r="Q1069" s="43"/>
      <c r="R1069" s="52"/>
      <c r="S1069" s="53"/>
      <c r="T1069" s="52"/>
      <c r="U1069" s="53"/>
      <c r="V1069" s="52"/>
      <c r="W1069" s="53"/>
      <c r="X1069" s="52"/>
      <c r="Y1069" s="56">
        <f t="shared" si="725"/>
        <v>0</v>
      </c>
      <c r="Z1069" s="56">
        <f t="shared" si="677"/>
        <v>0</v>
      </c>
      <c r="AA1069" s="52">
        <v>5.5</v>
      </c>
      <c r="AB1069" s="56">
        <v>70503975</v>
      </c>
      <c r="AC1069" s="53"/>
      <c r="AD1069" s="52"/>
      <c r="AE1069" s="52"/>
      <c r="AF1069" s="8">
        <v>70503975</v>
      </c>
      <c r="AG1069" s="5"/>
      <c r="AH1069" s="36"/>
    </row>
    <row r="1070" spans="1:34" s="1" customFormat="1" ht="11.45" x14ac:dyDescent="0.25">
      <c r="A1070" s="21"/>
      <c r="B1070" s="22"/>
      <c r="C1070" s="65"/>
      <c r="D1070" s="24"/>
      <c r="E1070" s="52"/>
      <c r="F1070" s="24"/>
      <c r="G1070" s="24"/>
      <c r="H1070" s="24"/>
      <c r="I1070" s="24"/>
      <c r="J1070" s="24"/>
      <c r="K1070" s="24"/>
      <c r="L1070" s="24"/>
      <c r="M1070" s="24"/>
      <c r="N1070" s="53">
        <v>49800000</v>
      </c>
      <c r="O1070" s="53">
        <v>49800000</v>
      </c>
      <c r="P1070" s="52"/>
      <c r="Q1070" s="43"/>
      <c r="R1070" s="52"/>
      <c r="S1070" s="53">
        <v>762673525</v>
      </c>
      <c r="T1070" s="52">
        <v>46</v>
      </c>
      <c r="U1070" s="53">
        <f t="shared" ref="U1070:U1071" si="728">SUM(S1070/T1070)</f>
        <v>16579859.239130436</v>
      </c>
      <c r="V1070" s="52">
        <v>0.5</v>
      </c>
      <c r="W1070" s="53">
        <f t="shared" ref="W1070:W1071" si="729">SUM(U1070*V1070)</f>
        <v>8289929.6195652178</v>
      </c>
      <c r="X1070" s="52">
        <v>0.5</v>
      </c>
      <c r="Y1070" s="56">
        <f t="shared" si="725"/>
        <v>8289929.6195652178</v>
      </c>
      <c r="Z1070" s="56">
        <f t="shared" si="677"/>
        <v>16579859.239130436</v>
      </c>
      <c r="AA1070" s="52">
        <f>3.25+0.5+0.5+0.5+0.5+0.5+0.5</f>
        <v>6.25</v>
      </c>
      <c r="AB1070" s="56">
        <f t="shared" ref="AB1070:AB1071" si="730">SUM(U1070*AA1070)</f>
        <v>103624120.24456522</v>
      </c>
      <c r="AC1070" s="53">
        <f t="shared" ref="AC1070:AC1071" si="731">SUM(S1070-AB1070)</f>
        <v>659049404.75543475</v>
      </c>
      <c r="AD1070" s="52" t="s">
        <v>1307</v>
      </c>
      <c r="AE1070" s="52"/>
      <c r="AF1070" s="8">
        <v>103624120.24456522</v>
      </c>
      <c r="AG1070" s="5"/>
      <c r="AH1070" s="36"/>
    </row>
    <row r="1071" spans="1:34" s="1" customFormat="1" ht="11.45" x14ac:dyDescent="0.25">
      <c r="A1071" s="21">
        <v>34</v>
      </c>
      <c r="B1071" s="22" t="s">
        <v>1794</v>
      </c>
      <c r="C1071" s="65" t="s">
        <v>84</v>
      </c>
      <c r="D1071" s="24" t="s">
        <v>1326</v>
      </c>
      <c r="E1071" s="52"/>
      <c r="F1071" s="24"/>
      <c r="G1071" s="24" t="s">
        <v>1309</v>
      </c>
      <c r="H1071" s="24" t="s">
        <v>62</v>
      </c>
      <c r="I1071" s="24">
        <v>2012</v>
      </c>
      <c r="J1071" s="24"/>
      <c r="K1071" s="24"/>
      <c r="L1071" s="24" t="s">
        <v>64</v>
      </c>
      <c r="M1071" s="24">
        <v>1</v>
      </c>
      <c r="N1071" s="53">
        <v>61250000</v>
      </c>
      <c r="O1071" s="53">
        <v>61250000</v>
      </c>
      <c r="P1071" s="52"/>
      <c r="Q1071" s="43"/>
      <c r="R1071" s="52"/>
      <c r="S1071" s="53">
        <v>61250000</v>
      </c>
      <c r="T1071" s="52">
        <v>50</v>
      </c>
      <c r="U1071" s="53">
        <f t="shared" si="728"/>
        <v>1225000</v>
      </c>
      <c r="V1071" s="52">
        <v>0.5</v>
      </c>
      <c r="W1071" s="53">
        <f t="shared" si="729"/>
        <v>612500</v>
      </c>
      <c r="X1071" s="52">
        <v>0.5</v>
      </c>
      <c r="Y1071" s="56">
        <f t="shared" si="725"/>
        <v>612500</v>
      </c>
      <c r="Z1071" s="56">
        <f t="shared" si="677"/>
        <v>1225000</v>
      </c>
      <c r="AA1071" s="52">
        <v>11</v>
      </c>
      <c r="AB1071" s="56">
        <f t="shared" si="730"/>
        <v>13475000</v>
      </c>
      <c r="AC1071" s="53">
        <f t="shared" si="731"/>
        <v>47775000</v>
      </c>
      <c r="AD1071" s="52" t="s">
        <v>1307</v>
      </c>
      <c r="AE1071" s="52"/>
      <c r="AF1071" s="8"/>
      <c r="AG1071" s="5"/>
      <c r="AH1071" s="36"/>
    </row>
    <row r="1072" spans="1:34" s="1" customFormat="1" ht="11.45" x14ac:dyDescent="0.25">
      <c r="A1072" s="21"/>
      <c r="B1072" s="22"/>
      <c r="C1072" s="65"/>
      <c r="D1072" s="24"/>
      <c r="E1072" s="52"/>
      <c r="F1072" s="24"/>
      <c r="G1072" s="24"/>
      <c r="H1072" s="24"/>
      <c r="I1072" s="24"/>
      <c r="J1072" s="24"/>
      <c r="K1072" s="24"/>
      <c r="L1072" s="24"/>
      <c r="M1072" s="24"/>
      <c r="N1072" s="53"/>
      <c r="O1072" s="53"/>
      <c r="P1072" s="52"/>
      <c r="Q1072" s="43"/>
      <c r="R1072" s="52"/>
      <c r="S1072" s="53"/>
      <c r="T1072" s="52"/>
      <c r="U1072" s="53"/>
      <c r="V1072" s="52"/>
      <c r="W1072" s="53"/>
      <c r="X1072" s="52"/>
      <c r="Y1072" s="56"/>
      <c r="Z1072" s="56"/>
      <c r="AA1072" s="57"/>
      <c r="AB1072" s="56"/>
      <c r="AC1072" s="53"/>
      <c r="AD1072" s="52"/>
      <c r="AE1072" s="52"/>
      <c r="AF1072" s="8"/>
      <c r="AG1072" s="5"/>
      <c r="AH1072" s="36"/>
    </row>
    <row r="1073" spans="1:35" s="1" customFormat="1" ht="10.5" x14ac:dyDescent="0.25">
      <c r="A1073" s="25"/>
      <c r="B1073" s="26" t="s">
        <v>1340</v>
      </c>
      <c r="C1073" s="26"/>
      <c r="D1073" s="64" t="s">
        <v>1341</v>
      </c>
      <c r="E1073" s="28"/>
      <c r="F1073" s="28"/>
      <c r="G1073" s="28"/>
      <c r="H1073" s="28"/>
      <c r="I1073" s="28"/>
      <c r="J1073" s="28"/>
      <c r="K1073" s="28"/>
      <c r="L1073" s="28"/>
      <c r="M1073" s="28">
        <f>SUM(M1074:M1111)</f>
        <v>17</v>
      </c>
      <c r="N1073" s="47">
        <f>SUM(N1074:N1111)</f>
        <v>8760953225</v>
      </c>
      <c r="O1073" s="40">
        <f>SUM(O1074:O1111)</f>
        <v>8760953225</v>
      </c>
      <c r="P1073" s="28">
        <f>SUM(P1074:P1112)</f>
        <v>0</v>
      </c>
      <c r="Q1073" s="28">
        <f>SUM(Q1074:Q1112)</f>
        <v>0</v>
      </c>
      <c r="R1073" s="28">
        <f>SUM(R1074:R1112)</f>
        <v>0</v>
      </c>
      <c r="S1073" s="40">
        <f>SUM(S1074:S1111)</f>
        <v>9596419505.3391628</v>
      </c>
      <c r="T1073" s="40"/>
      <c r="U1073" s="40">
        <f>SUM(U1074:U1111)</f>
        <v>342208749.97129554</v>
      </c>
      <c r="V1073" s="40"/>
      <c r="W1073" s="40">
        <f>SUM(W1074:W1111)</f>
        <v>96021674.357251033</v>
      </c>
      <c r="X1073" s="40"/>
      <c r="Y1073" s="40">
        <f>SUM(Y1074:Y1111)</f>
        <v>103477139.9860819</v>
      </c>
      <c r="Z1073" s="40">
        <f>SUM(Z1074:Z1111)</f>
        <v>199498814.34333292</v>
      </c>
      <c r="AA1073" s="40"/>
      <c r="AB1073" s="40">
        <f>SUM(AB1074:AB1111)</f>
        <v>3764982960.4105167</v>
      </c>
      <c r="AC1073" s="40">
        <f>SUM(AC1074:AC1111)</f>
        <v>4995970264.5894833</v>
      </c>
      <c r="AD1073" s="28"/>
      <c r="AE1073" s="28"/>
      <c r="AF1073" s="8"/>
      <c r="AG1073" s="8"/>
    </row>
    <row r="1074" spans="1:35" s="1" customFormat="1" ht="10.5" x14ac:dyDescent="0.25">
      <c r="A1074" s="21">
        <v>1</v>
      </c>
      <c r="B1074" s="22" t="s">
        <v>1795</v>
      </c>
      <c r="C1074" s="65" t="s">
        <v>153</v>
      </c>
      <c r="D1074" s="24" t="s">
        <v>351</v>
      </c>
      <c r="E1074" s="52"/>
      <c r="F1074" s="24"/>
      <c r="G1074" s="24" t="s">
        <v>1309</v>
      </c>
      <c r="H1074" s="24" t="s">
        <v>62</v>
      </c>
      <c r="I1074" s="24">
        <v>1985</v>
      </c>
      <c r="J1074" s="24"/>
      <c r="K1074" s="24"/>
      <c r="L1074" s="24" t="s">
        <v>64</v>
      </c>
      <c r="M1074" s="24">
        <v>1</v>
      </c>
      <c r="N1074" s="41">
        <f>142710000+(19959000/8)</f>
        <v>145204875</v>
      </c>
      <c r="O1074" s="41">
        <f>142710000+(19959000/8)</f>
        <v>145204875</v>
      </c>
      <c r="P1074" s="43"/>
      <c r="Q1074" s="24"/>
      <c r="R1074" s="24"/>
      <c r="S1074" s="41"/>
      <c r="T1074" s="24"/>
      <c r="U1074" s="41"/>
      <c r="V1074" s="24"/>
      <c r="W1074" s="41"/>
      <c r="X1074" s="24"/>
      <c r="Y1074" s="70">
        <f>SUM(U1074*X1074)</f>
        <v>0</v>
      </c>
      <c r="Z1074" s="70">
        <f t="shared" ref="Z1074:Z1111" si="732">W1074+Y1074</f>
        <v>0</v>
      </c>
      <c r="AA1074" s="24">
        <v>30.5</v>
      </c>
      <c r="AB1074" s="70">
        <v>87122925</v>
      </c>
      <c r="AC1074" s="41"/>
      <c r="AD1074" s="24"/>
      <c r="AE1074" s="24"/>
      <c r="AF1074" s="8"/>
      <c r="AG1074" s="5"/>
      <c r="AI1074" s="5"/>
    </row>
    <row r="1075" spans="1:35" s="1" customFormat="1" ht="10.5" x14ac:dyDescent="0.25">
      <c r="A1075" s="21"/>
      <c r="B1075" s="22"/>
      <c r="C1075" s="65"/>
      <c r="D1075" s="24"/>
      <c r="E1075" s="52"/>
      <c r="F1075" s="24"/>
      <c r="G1075" s="24"/>
      <c r="H1075" s="24"/>
      <c r="I1075" s="24"/>
      <c r="J1075" s="24"/>
      <c r="K1075" s="24"/>
      <c r="L1075" s="24"/>
      <c r="M1075" s="24"/>
      <c r="N1075" s="41">
        <f>(124569000/8)+(7467000/8)</f>
        <v>16504500</v>
      </c>
      <c r="O1075" s="41">
        <f>(124569000/8)+(7467000/8)</f>
        <v>16504500</v>
      </c>
      <c r="P1075" s="43"/>
      <c r="Q1075" s="24"/>
      <c r="R1075" s="24"/>
      <c r="S1075" s="41">
        <v>74586450</v>
      </c>
      <c r="T1075" s="24">
        <v>20</v>
      </c>
      <c r="U1075" s="41">
        <f>SUM(S1075/T1075)</f>
        <v>3729322.5</v>
      </c>
      <c r="V1075" s="24">
        <v>0.5</v>
      </c>
      <c r="W1075" s="41">
        <f>SUM(U1075*V1075)</f>
        <v>1864661.25</v>
      </c>
      <c r="X1075" s="24"/>
      <c r="Y1075" s="70">
        <f>SUM(U1075*X1075)</f>
        <v>0</v>
      </c>
      <c r="Z1075" s="70">
        <f t="shared" si="732"/>
        <v>1864661.25</v>
      </c>
      <c r="AA1075" s="72">
        <f>4.66666666666667+0.5+0.5+0.5+0.5+0.5</f>
        <v>7.1666666666666696</v>
      </c>
      <c r="AB1075" s="70">
        <v>26726811.250000011</v>
      </c>
      <c r="AC1075" s="41"/>
      <c r="AD1075" s="24" t="s">
        <v>1307</v>
      </c>
      <c r="AE1075" s="24"/>
      <c r="AF1075" s="8"/>
      <c r="AG1075" s="5"/>
      <c r="AI1075" s="5"/>
    </row>
    <row r="1076" spans="1:35" s="1" customFormat="1" ht="10.5" x14ac:dyDescent="0.25">
      <c r="A1076" s="21"/>
      <c r="B1076" s="22"/>
      <c r="C1076" s="65"/>
      <c r="D1076" s="24"/>
      <c r="E1076" s="52"/>
      <c r="F1076" s="24"/>
      <c r="G1076" s="24"/>
      <c r="H1076" s="24"/>
      <c r="I1076" s="24"/>
      <c r="J1076" s="24"/>
      <c r="K1076" s="24"/>
      <c r="L1076" s="24"/>
      <c r="M1076" s="24"/>
      <c r="N1076" s="53">
        <f>76000000/2</f>
        <v>38000000</v>
      </c>
      <c r="O1076" s="53">
        <f>76000000/2</f>
        <v>38000000</v>
      </c>
      <c r="P1076" s="43"/>
      <c r="Q1076" s="52"/>
      <c r="R1076" s="52"/>
      <c r="S1076" s="53">
        <v>85859638.749999985</v>
      </c>
      <c r="T1076" s="57">
        <f>T1075-AA1075</f>
        <v>12.83333333333333</v>
      </c>
      <c r="U1076" s="53">
        <f>SUM(S1076/T1076)</f>
        <v>6690361.4610389611</v>
      </c>
      <c r="V1076" s="57">
        <f>4/12</f>
        <v>0.33333333333333331</v>
      </c>
      <c r="W1076" s="53">
        <f>SUM(U1076*V1076)</f>
        <v>2230120.487012987</v>
      </c>
      <c r="X1076" s="52">
        <v>0.5</v>
      </c>
      <c r="Y1076" s="56">
        <f t="shared" ref="Y1076" si="733">SUM(U1076*X1076)</f>
        <v>3345180.7305194805</v>
      </c>
      <c r="Z1076" s="56">
        <f t="shared" si="732"/>
        <v>5575301.2175324671</v>
      </c>
      <c r="AA1076" s="57">
        <f>4/12+0.5</f>
        <v>0.83333333333333326</v>
      </c>
      <c r="AB1076" s="56">
        <f>SUM(U1076*AA1076)</f>
        <v>5575301.2175324671</v>
      </c>
      <c r="AC1076" s="53">
        <f>SUM(S1076-AB1076)</f>
        <v>80284337.532467514</v>
      </c>
      <c r="AD1076" s="24"/>
      <c r="AE1076" s="24"/>
      <c r="AF1076" s="8"/>
      <c r="AG1076" s="5"/>
      <c r="AI1076" s="5"/>
    </row>
    <row r="1077" spans="1:35" s="1" customFormat="1" ht="10.5" x14ac:dyDescent="0.25">
      <c r="A1077" s="21">
        <v>2</v>
      </c>
      <c r="B1077" s="22" t="s">
        <v>1795</v>
      </c>
      <c r="C1077" s="65" t="s">
        <v>58</v>
      </c>
      <c r="D1077" s="24" t="s">
        <v>1342</v>
      </c>
      <c r="E1077" s="52"/>
      <c r="F1077" s="24"/>
      <c r="G1077" s="24" t="s">
        <v>1309</v>
      </c>
      <c r="H1077" s="24" t="s">
        <v>62</v>
      </c>
      <c r="I1077" s="24">
        <v>1985</v>
      </c>
      <c r="J1077" s="24"/>
      <c r="K1077" s="24"/>
      <c r="L1077" s="24" t="s">
        <v>64</v>
      </c>
      <c r="M1077" s="24">
        <v>1</v>
      </c>
      <c r="N1077" s="41">
        <v>983052000</v>
      </c>
      <c r="O1077" s="41">
        <v>983052000</v>
      </c>
      <c r="P1077" s="43"/>
      <c r="Q1077" s="24"/>
      <c r="R1077" s="24"/>
      <c r="S1077" s="41">
        <v>983052000</v>
      </c>
      <c r="T1077" s="24">
        <v>50</v>
      </c>
      <c r="U1077" s="41">
        <f>SUM(S1077/T1077)</f>
        <v>19661040</v>
      </c>
      <c r="V1077" s="24">
        <v>0.5</v>
      </c>
      <c r="W1077" s="41"/>
      <c r="X1077" s="24"/>
      <c r="Y1077" s="70"/>
      <c r="Z1077" s="70">
        <f t="shared" si="732"/>
        <v>0</v>
      </c>
      <c r="AA1077" s="24">
        <v>33.5</v>
      </c>
      <c r="AB1077" s="70">
        <f>SUM(U1077*AA1077)</f>
        <v>658644840</v>
      </c>
      <c r="AC1077" s="41"/>
      <c r="AD1077" s="24" t="s">
        <v>1307</v>
      </c>
      <c r="AE1077" s="24"/>
      <c r="AF1077" s="8"/>
      <c r="AG1077" s="5"/>
      <c r="AI1077" s="5"/>
    </row>
    <row r="1078" spans="1:35" s="1" customFormat="1" ht="10.5" x14ac:dyDescent="0.25">
      <c r="A1078" s="21"/>
      <c r="B1078" s="22"/>
      <c r="C1078" s="65"/>
      <c r="D1078" s="24"/>
      <c r="E1078" s="52"/>
      <c r="F1078" s="24"/>
      <c r="G1078" s="24"/>
      <c r="H1078" s="24"/>
      <c r="I1078" s="24"/>
      <c r="J1078" s="24"/>
      <c r="K1078" s="24"/>
      <c r="L1078" s="24"/>
      <c r="M1078" s="24"/>
      <c r="N1078" s="41">
        <v>120138750</v>
      </c>
      <c r="O1078" s="41">
        <v>120138750</v>
      </c>
      <c r="P1078" s="43"/>
      <c r="Q1078" s="24"/>
      <c r="R1078" s="24"/>
      <c r="S1078" s="41">
        <v>444545910</v>
      </c>
      <c r="T1078" s="24">
        <v>17</v>
      </c>
      <c r="U1078" s="41">
        <f>SUM(S1078/T1078)</f>
        <v>26149759.411764707</v>
      </c>
      <c r="V1078" s="24">
        <v>0.5</v>
      </c>
      <c r="W1078" s="41">
        <f>SUM(U1078*V1078)</f>
        <v>13074879.705882354</v>
      </c>
      <c r="X1078" s="24">
        <v>0.5</v>
      </c>
      <c r="Y1078" s="70">
        <f t="shared" ref="Y1078:Y1090" si="734">SUM(U1078*X1078)</f>
        <v>13074879.705882354</v>
      </c>
      <c r="Z1078" s="70">
        <f t="shared" si="732"/>
        <v>26149759.411764707</v>
      </c>
      <c r="AA1078" s="72">
        <f>1.08333333333333+0.5+0.5+0.5+0.5+0.5+0.5</f>
        <v>4.0833333333333304</v>
      </c>
      <c r="AB1078" s="70">
        <f>SUM(U1078*AA1078)</f>
        <v>106778184.26470581</v>
      </c>
      <c r="AC1078" s="41"/>
      <c r="AD1078" s="24"/>
      <c r="AE1078" s="24"/>
      <c r="AF1078" s="8"/>
      <c r="AG1078" s="5"/>
      <c r="AI1078" s="5"/>
    </row>
    <row r="1079" spans="1:35" s="1" customFormat="1" ht="10.5" x14ac:dyDescent="0.25">
      <c r="A1079" s="21"/>
      <c r="B1079" s="22"/>
      <c r="C1079" s="65"/>
      <c r="D1079" s="24"/>
      <c r="E1079" s="52"/>
      <c r="F1079" s="24"/>
      <c r="G1079" s="24"/>
      <c r="H1079" s="24"/>
      <c r="I1079" s="24"/>
      <c r="J1079" s="24"/>
      <c r="K1079" s="24"/>
      <c r="L1079" s="24"/>
      <c r="M1079" s="24"/>
      <c r="N1079" s="53">
        <v>24969000</v>
      </c>
      <c r="O1079" s="53">
        <v>24969000</v>
      </c>
      <c r="P1079" s="43"/>
      <c r="Q1079" s="52"/>
      <c r="R1079" s="52"/>
      <c r="S1079" s="53">
        <v>362736725.73529422</v>
      </c>
      <c r="T1079" s="57">
        <f>T1078-AA1078</f>
        <v>12.91666666666667</v>
      </c>
      <c r="U1079" s="53">
        <f>SUM(S1079/T1079)</f>
        <v>28082843.282732449</v>
      </c>
      <c r="V1079" s="52"/>
      <c r="W1079" s="53"/>
      <c r="X1079" s="57">
        <f>4/12</f>
        <v>0.33333333333333331</v>
      </c>
      <c r="Y1079" s="56">
        <f t="shared" si="734"/>
        <v>9360947.7609108165</v>
      </c>
      <c r="Z1079" s="56">
        <f t="shared" si="732"/>
        <v>9360947.7609108165</v>
      </c>
      <c r="AA1079" s="57">
        <f>4/12</f>
        <v>0.33333333333333331</v>
      </c>
      <c r="AB1079" s="56">
        <f>SUM(U1079*AA1079)</f>
        <v>9360947.7609108165</v>
      </c>
      <c r="AC1079" s="53">
        <f>SUM(S1079-AB1079)</f>
        <v>353375777.97438341</v>
      </c>
      <c r="AD1079" s="52"/>
      <c r="AE1079" s="24"/>
      <c r="AF1079" s="8"/>
      <c r="AG1079" s="5"/>
      <c r="AI1079" s="5"/>
    </row>
    <row r="1080" spans="1:35" s="1" customFormat="1" ht="10.5" x14ac:dyDescent="0.25">
      <c r="A1080" s="21"/>
      <c r="B1080" s="22"/>
      <c r="C1080" s="65"/>
      <c r="D1080" s="24" t="s">
        <v>1343</v>
      </c>
      <c r="E1080" s="52"/>
      <c r="F1080" s="24"/>
      <c r="G1080" s="24" t="s">
        <v>1309</v>
      </c>
      <c r="H1080" s="24" t="s">
        <v>62</v>
      </c>
      <c r="I1080" s="24">
        <v>1985</v>
      </c>
      <c r="J1080" s="24"/>
      <c r="K1080" s="24"/>
      <c r="L1080" s="24" t="s">
        <v>64</v>
      </c>
      <c r="M1080" s="24">
        <v>1</v>
      </c>
      <c r="N1080" s="53">
        <f>142710000+(19959000/8)</f>
        <v>145204875</v>
      </c>
      <c r="O1080" s="53">
        <f>142710000+(19959000/8)</f>
        <v>145204875</v>
      </c>
      <c r="P1080" s="43"/>
      <c r="Q1080" s="52"/>
      <c r="R1080" s="52"/>
      <c r="S1080" s="53"/>
      <c r="T1080" s="57"/>
      <c r="U1080" s="53"/>
      <c r="V1080" s="52"/>
      <c r="W1080" s="53"/>
      <c r="X1080" s="57"/>
      <c r="Y1080" s="56">
        <f t="shared" si="734"/>
        <v>0</v>
      </c>
      <c r="Z1080" s="56">
        <f t="shared" si="732"/>
        <v>0</v>
      </c>
      <c r="AA1080" s="57">
        <v>30</v>
      </c>
      <c r="AB1080" s="56">
        <v>87122925</v>
      </c>
      <c r="AC1080" s="53"/>
      <c r="AD1080" s="52"/>
      <c r="AE1080" s="24"/>
      <c r="AF1080" s="8"/>
      <c r="AG1080" s="5"/>
      <c r="AI1080" s="5"/>
    </row>
    <row r="1081" spans="1:35" s="1" customFormat="1" ht="10.5" x14ac:dyDescent="0.25">
      <c r="A1081" s="21">
        <v>3</v>
      </c>
      <c r="B1081" s="22" t="s">
        <v>1795</v>
      </c>
      <c r="C1081" s="65" t="s">
        <v>156</v>
      </c>
      <c r="D1081" s="24"/>
      <c r="E1081" s="52"/>
      <c r="F1081" s="24"/>
      <c r="G1081" s="24"/>
      <c r="H1081" s="24"/>
      <c r="I1081" s="24"/>
      <c r="J1081" s="24"/>
      <c r="K1081" s="24"/>
      <c r="L1081" s="24"/>
      <c r="M1081" s="24"/>
      <c r="N1081" s="53">
        <f>(124569000/8)+(7467000/8)</f>
        <v>16504500</v>
      </c>
      <c r="O1081" s="53">
        <f>(124569000/8)+(7467000/8)</f>
        <v>16504500</v>
      </c>
      <c r="P1081" s="43"/>
      <c r="Q1081" s="52"/>
      <c r="R1081" s="52"/>
      <c r="S1081" s="53">
        <v>74586450</v>
      </c>
      <c r="T1081" s="52">
        <v>20</v>
      </c>
      <c r="U1081" s="53">
        <f>SUM(S1081/T1081)</f>
        <v>3729322.5</v>
      </c>
      <c r="V1081" s="52">
        <v>0.5</v>
      </c>
      <c r="W1081" s="53"/>
      <c r="X1081" s="52"/>
      <c r="Y1081" s="56">
        <f t="shared" si="734"/>
        <v>0</v>
      </c>
      <c r="Z1081" s="56"/>
      <c r="AA1081" s="52">
        <f>8/12+1+0.5+1+0.5+0.5</f>
        <v>4.1666666666666661</v>
      </c>
      <c r="AB1081" s="56">
        <f>SUM(U1081*AA1081)</f>
        <v>15538843.749999998</v>
      </c>
      <c r="AC1081" s="53"/>
      <c r="AD1081" s="24" t="s">
        <v>1307</v>
      </c>
      <c r="AE1081" s="24"/>
      <c r="AF1081" s="8"/>
      <c r="AG1081" s="5"/>
      <c r="AI1081" s="5"/>
    </row>
    <row r="1082" spans="1:35" s="1" customFormat="1" ht="10.5" x14ac:dyDescent="0.25">
      <c r="A1082" s="21"/>
      <c r="B1082" s="22"/>
      <c r="C1082" s="65"/>
      <c r="D1082" s="24"/>
      <c r="E1082" s="52"/>
      <c r="F1082" s="24"/>
      <c r="G1082" s="24"/>
      <c r="H1082" s="24"/>
      <c r="I1082" s="24"/>
      <c r="J1082" s="24"/>
      <c r="K1082" s="24"/>
      <c r="L1082" s="24"/>
      <c r="M1082" s="24"/>
      <c r="N1082" s="53">
        <v>49847500</v>
      </c>
      <c r="O1082" s="53">
        <v>49847500</v>
      </c>
      <c r="P1082" s="43"/>
      <c r="Q1082" s="52"/>
      <c r="R1082" s="52"/>
      <c r="S1082" s="53">
        <v>108895106.25</v>
      </c>
      <c r="T1082" s="52">
        <f>T1081-AA1081+5</f>
        <v>20.833333333333336</v>
      </c>
      <c r="U1082" s="53">
        <f>SUM(S1082/T1082)</f>
        <v>5226965.0999999996</v>
      </c>
      <c r="V1082" s="52">
        <v>0.5</v>
      </c>
      <c r="W1082" s="53">
        <f>SUM(U1082*V1082)</f>
        <v>2613482.5499999998</v>
      </c>
      <c r="X1082" s="52">
        <v>0.5</v>
      </c>
      <c r="Y1082" s="56">
        <f t="shared" si="734"/>
        <v>2613482.5499999998</v>
      </c>
      <c r="Z1082" s="56">
        <f t="shared" si="732"/>
        <v>5226965.0999999996</v>
      </c>
      <c r="AA1082" s="57">
        <f>1/12+0.5+0.5+0.5+0.5+0.5+0.5</f>
        <v>3.0833333333333335</v>
      </c>
      <c r="AB1082" s="56">
        <f>SUM(U1082*AA1082)</f>
        <v>16116475.725</v>
      </c>
      <c r="AC1082" s="53">
        <f>SUM(S1082-AB1082)</f>
        <v>92778630.525000006</v>
      </c>
      <c r="AD1082" s="24"/>
      <c r="AE1082" s="24"/>
      <c r="AF1082" s="8"/>
      <c r="AG1082" s="5"/>
      <c r="AI1082" s="5"/>
    </row>
    <row r="1083" spans="1:35" s="1" customFormat="1" ht="10.5" x14ac:dyDescent="0.25">
      <c r="A1083" s="21"/>
      <c r="B1083" s="22"/>
      <c r="C1083" s="65"/>
      <c r="D1083" s="24" t="s">
        <v>1344</v>
      </c>
      <c r="E1083" s="52"/>
      <c r="F1083" s="24"/>
      <c r="G1083" s="24" t="s">
        <v>1309</v>
      </c>
      <c r="H1083" s="24" t="s">
        <v>62</v>
      </c>
      <c r="I1083" s="24">
        <v>1985</v>
      </c>
      <c r="J1083" s="24"/>
      <c r="K1083" s="24"/>
      <c r="L1083" s="24" t="s">
        <v>64</v>
      </c>
      <c r="M1083" s="24">
        <v>1</v>
      </c>
      <c r="N1083" s="53">
        <v>106523000</v>
      </c>
      <c r="O1083" s="53">
        <v>106523000</v>
      </c>
      <c r="P1083" s="43"/>
      <c r="Q1083" s="52"/>
      <c r="R1083" s="52"/>
      <c r="S1083" s="53">
        <v>106523000</v>
      </c>
      <c r="T1083" s="57">
        <v>50</v>
      </c>
      <c r="U1083" s="53">
        <f>SUM(S1083/T1083)</f>
        <v>2130460</v>
      </c>
      <c r="V1083" s="52">
        <v>0.5</v>
      </c>
      <c r="W1083" s="53">
        <f>SUM(U1083*V1083)</f>
        <v>1065230</v>
      </c>
      <c r="X1083" s="54">
        <v>0.5</v>
      </c>
      <c r="Y1083" s="56">
        <f t="shared" si="734"/>
        <v>1065230</v>
      </c>
      <c r="Z1083" s="56">
        <f t="shared" si="732"/>
        <v>2130460</v>
      </c>
      <c r="AA1083" s="57">
        <v>38</v>
      </c>
      <c r="AB1083" s="56">
        <f>SUM(U1083*AA1083)</f>
        <v>80957480</v>
      </c>
      <c r="AC1083" s="53">
        <f>SUM(S1083-AB1083)</f>
        <v>25565520</v>
      </c>
      <c r="AD1083" s="52" t="s">
        <v>1307</v>
      </c>
      <c r="AE1083" s="24"/>
      <c r="AF1083" s="8"/>
      <c r="AG1083" s="5"/>
      <c r="AI1083" s="5"/>
    </row>
    <row r="1084" spans="1:35" s="1" customFormat="1" ht="10.5" x14ac:dyDescent="0.25">
      <c r="A1084" s="21">
        <v>4</v>
      </c>
      <c r="B1084" s="22" t="s">
        <v>1795</v>
      </c>
      <c r="C1084" s="65" t="s">
        <v>159</v>
      </c>
      <c r="D1084" s="24" t="s">
        <v>1345</v>
      </c>
      <c r="E1084" s="52"/>
      <c r="F1084" s="24"/>
      <c r="G1084" s="24" t="s">
        <v>1309</v>
      </c>
      <c r="H1084" s="24" t="s">
        <v>62</v>
      </c>
      <c r="I1084" s="24">
        <v>1985</v>
      </c>
      <c r="J1084" s="24"/>
      <c r="K1084" s="24"/>
      <c r="L1084" s="24" t="s">
        <v>64</v>
      </c>
      <c r="M1084" s="24">
        <v>1</v>
      </c>
      <c r="N1084" s="53">
        <f>300303000+9967000</f>
        <v>310270000</v>
      </c>
      <c r="O1084" s="53">
        <f>300303000+9967000</f>
        <v>310270000</v>
      </c>
      <c r="P1084" s="43"/>
      <c r="Q1084" s="52"/>
      <c r="R1084" s="52"/>
      <c r="S1084" s="53"/>
      <c r="T1084" s="52"/>
      <c r="U1084" s="53"/>
      <c r="V1084" s="52"/>
      <c r="W1084" s="53"/>
      <c r="X1084" s="52"/>
      <c r="Y1084" s="56">
        <f t="shared" si="734"/>
        <v>0</v>
      </c>
      <c r="Z1084" s="56">
        <f t="shared" si="732"/>
        <v>0</v>
      </c>
      <c r="AA1084" s="52">
        <v>30.5</v>
      </c>
      <c r="AB1084" s="56">
        <v>186162000</v>
      </c>
      <c r="AC1084" s="53"/>
      <c r="AD1084" s="52"/>
      <c r="AE1084" s="24"/>
      <c r="AF1084" s="8"/>
      <c r="AG1084" s="5"/>
      <c r="AI1084" s="5"/>
    </row>
    <row r="1085" spans="1:35" s="1" customFormat="1" ht="10.5" x14ac:dyDescent="0.25">
      <c r="A1085" s="21">
        <v>5</v>
      </c>
      <c r="B1085" s="22" t="s">
        <v>1795</v>
      </c>
      <c r="C1085" s="65" t="s">
        <v>143</v>
      </c>
      <c r="D1085" s="24"/>
      <c r="E1085" s="52"/>
      <c r="F1085" s="24"/>
      <c r="G1085" s="24"/>
      <c r="H1085" s="24"/>
      <c r="I1085" s="24"/>
      <c r="J1085" s="24"/>
      <c r="K1085" s="24"/>
      <c r="L1085" s="24"/>
      <c r="M1085" s="24"/>
      <c r="N1085" s="53">
        <f>(124569000/8)+(7467000/8)</f>
        <v>16504500</v>
      </c>
      <c r="O1085" s="53">
        <f>(124569000/8)+(7467000/8)</f>
        <v>16504500</v>
      </c>
      <c r="P1085" s="43"/>
      <c r="Q1085" s="52"/>
      <c r="R1085" s="52"/>
      <c r="S1085" s="53">
        <v>140612500</v>
      </c>
      <c r="T1085" s="52">
        <v>20</v>
      </c>
      <c r="U1085" s="53">
        <f>SUM(S1085/T1085)</f>
        <v>7030625</v>
      </c>
      <c r="V1085" s="52">
        <v>0.5</v>
      </c>
      <c r="W1085" s="53"/>
      <c r="X1085" s="52"/>
      <c r="Y1085" s="56">
        <f t="shared" si="734"/>
        <v>0</v>
      </c>
      <c r="Z1085" s="56"/>
      <c r="AA1085" s="52">
        <f>4.66666666666667+0.5</f>
        <v>5.1666666666666696</v>
      </c>
      <c r="AB1085" s="56">
        <f>SUM(U1085*AA1085)</f>
        <v>36324895.833333351</v>
      </c>
      <c r="AC1085" s="53"/>
      <c r="AD1085" s="52" t="s">
        <v>1307</v>
      </c>
      <c r="AE1085" s="24"/>
      <c r="AF1085" s="8"/>
      <c r="AG1085" s="5"/>
      <c r="AI1085" s="5"/>
    </row>
    <row r="1086" spans="1:35" s="1" customFormat="1" ht="10.5" x14ac:dyDescent="0.25">
      <c r="A1086" s="21"/>
      <c r="B1086" s="22"/>
      <c r="C1086" s="65"/>
      <c r="D1086" s="24"/>
      <c r="E1086" s="52"/>
      <c r="F1086" s="24"/>
      <c r="G1086" s="24"/>
      <c r="H1086" s="24"/>
      <c r="I1086" s="24"/>
      <c r="J1086" s="24"/>
      <c r="K1086" s="24"/>
      <c r="L1086" s="24"/>
      <c r="M1086" s="24"/>
      <c r="N1086" s="53">
        <v>49890000</v>
      </c>
      <c r="O1086" s="53">
        <v>49890000</v>
      </c>
      <c r="P1086" s="43"/>
      <c r="Q1086" s="52"/>
      <c r="R1086" s="52"/>
      <c r="S1086" s="53">
        <v>154177604.16666666</v>
      </c>
      <c r="T1086" s="52">
        <f>T1085-AA1085+5</f>
        <v>19.833333333333329</v>
      </c>
      <c r="U1086" s="53">
        <f>SUM(S1086/T1086)</f>
        <v>7773660.7142857155</v>
      </c>
      <c r="V1086" s="52">
        <v>0.5</v>
      </c>
      <c r="W1086" s="53">
        <f>SUM(U1086*V1086)</f>
        <v>3886830.3571428577</v>
      </c>
      <c r="X1086" s="52">
        <v>0.5</v>
      </c>
      <c r="Y1086" s="56">
        <f t="shared" si="734"/>
        <v>3886830.3571428577</v>
      </c>
      <c r="Z1086" s="56">
        <f t="shared" si="732"/>
        <v>7773660.7142857155</v>
      </c>
      <c r="AA1086" s="57">
        <f>2/12+0.5+0.5+0.5+0.5</f>
        <v>2.1666666666666665</v>
      </c>
      <c r="AB1086" s="56">
        <f>SUM(U1086*AA1086)</f>
        <v>16842931.547619049</v>
      </c>
      <c r="AC1086" s="53">
        <f>SUM(S1086-AB1086)</f>
        <v>137334672.61904761</v>
      </c>
      <c r="AD1086" s="52"/>
      <c r="AE1086" s="24"/>
      <c r="AF1086" s="8"/>
      <c r="AG1086" s="5"/>
      <c r="AI1086" s="5"/>
    </row>
    <row r="1087" spans="1:35" s="1" customFormat="1" ht="10.5" x14ac:dyDescent="0.25">
      <c r="A1087" s="21"/>
      <c r="B1087" s="22"/>
      <c r="C1087" s="65"/>
      <c r="D1087" s="24" t="s">
        <v>1346</v>
      </c>
      <c r="E1087" s="52"/>
      <c r="F1087" s="24"/>
      <c r="G1087" s="24" t="s">
        <v>1309</v>
      </c>
      <c r="H1087" s="24" t="s">
        <v>62</v>
      </c>
      <c r="I1087" s="24">
        <v>1985</v>
      </c>
      <c r="J1087" s="24"/>
      <c r="K1087" s="24"/>
      <c r="L1087" s="24" t="s">
        <v>64</v>
      </c>
      <c r="M1087" s="24">
        <v>1</v>
      </c>
      <c r="N1087" s="53">
        <v>77471000</v>
      </c>
      <c r="O1087" s="53">
        <v>77471000</v>
      </c>
      <c r="P1087" s="43"/>
      <c r="Q1087" s="52"/>
      <c r="R1087" s="52"/>
      <c r="S1087" s="53">
        <v>77471000</v>
      </c>
      <c r="T1087" s="57">
        <v>50</v>
      </c>
      <c r="U1087" s="53">
        <f>SUM(S1087/T1087)</f>
        <v>1549420</v>
      </c>
      <c r="V1087" s="52">
        <v>0.5</v>
      </c>
      <c r="W1087" s="53">
        <f>SUM(U1087*V1087)</f>
        <v>774710</v>
      </c>
      <c r="X1087" s="54">
        <v>0.5</v>
      </c>
      <c r="Y1087" s="56">
        <f t="shared" si="734"/>
        <v>774710</v>
      </c>
      <c r="Z1087" s="56">
        <f t="shared" si="732"/>
        <v>1549420</v>
      </c>
      <c r="AA1087" s="57">
        <v>38</v>
      </c>
      <c r="AB1087" s="56">
        <f>SUM(U1087*AA1087)</f>
        <v>58877960</v>
      </c>
      <c r="AC1087" s="53">
        <f>SUM(S1087-AB1087)</f>
        <v>18593040</v>
      </c>
      <c r="AD1087" s="52" t="s">
        <v>1307</v>
      </c>
      <c r="AE1087" s="24"/>
      <c r="AF1087" s="8"/>
      <c r="AG1087" s="5"/>
      <c r="AI1087" s="5"/>
    </row>
    <row r="1088" spans="1:35" s="1" customFormat="1" ht="10.5" x14ac:dyDescent="0.25">
      <c r="A1088" s="21">
        <v>6</v>
      </c>
      <c r="B1088" s="22" t="s">
        <v>1795</v>
      </c>
      <c r="C1088" s="65" t="s">
        <v>140</v>
      </c>
      <c r="D1088" s="24" t="s">
        <v>603</v>
      </c>
      <c r="E1088" s="52"/>
      <c r="F1088" s="24"/>
      <c r="G1088" s="24" t="s">
        <v>1309</v>
      </c>
      <c r="H1088" s="24" t="s">
        <v>62</v>
      </c>
      <c r="I1088" s="24">
        <v>1985</v>
      </c>
      <c r="J1088" s="24"/>
      <c r="K1088" s="24"/>
      <c r="L1088" s="24" t="s">
        <v>64</v>
      </c>
      <c r="M1088" s="24">
        <v>1</v>
      </c>
      <c r="N1088" s="53">
        <f>142710000+(19959000/8)</f>
        <v>145204875</v>
      </c>
      <c r="O1088" s="53">
        <f>142710000+(19959000/8)</f>
        <v>145204875</v>
      </c>
      <c r="P1088" s="43"/>
      <c r="Q1088" s="52"/>
      <c r="R1088" s="52"/>
      <c r="S1088" s="53"/>
      <c r="T1088" s="52"/>
      <c r="U1088" s="53"/>
      <c r="V1088" s="52"/>
      <c r="W1088" s="53"/>
      <c r="X1088" s="52"/>
      <c r="Y1088" s="56">
        <f t="shared" si="734"/>
        <v>0</v>
      </c>
      <c r="Z1088" s="56">
        <f t="shared" si="732"/>
        <v>0</v>
      </c>
      <c r="AA1088" s="52">
        <v>30.5</v>
      </c>
      <c r="AB1088" s="56">
        <v>87122925</v>
      </c>
      <c r="AC1088" s="53"/>
      <c r="AD1088" s="52"/>
      <c r="AE1088" s="24"/>
      <c r="AF1088" s="8"/>
      <c r="AG1088" s="5"/>
      <c r="AI1088" s="5"/>
    </row>
    <row r="1089" spans="1:35" s="1" customFormat="1" ht="10.5" x14ac:dyDescent="0.25">
      <c r="A1089" s="21">
        <v>7</v>
      </c>
      <c r="B1089" s="22" t="s">
        <v>1795</v>
      </c>
      <c r="C1089" s="65" t="s">
        <v>313</v>
      </c>
      <c r="D1089" s="24"/>
      <c r="E1089" s="52"/>
      <c r="F1089" s="24"/>
      <c r="G1089" s="24"/>
      <c r="H1089" s="24"/>
      <c r="I1089" s="24"/>
      <c r="J1089" s="24"/>
      <c r="K1089" s="24"/>
      <c r="L1089" s="24"/>
      <c r="M1089" s="24"/>
      <c r="N1089" s="53">
        <f>(124569000/8)+(7467000/8)</f>
        <v>16504500</v>
      </c>
      <c r="O1089" s="53">
        <f>(124569000/8)+(7467000/8)</f>
        <v>16504500</v>
      </c>
      <c r="P1089" s="43"/>
      <c r="Q1089" s="52"/>
      <c r="R1089" s="52"/>
      <c r="S1089" s="53">
        <v>74586450</v>
      </c>
      <c r="T1089" s="52">
        <v>20</v>
      </c>
      <c r="U1089" s="53">
        <f>SUM(S1089/T1089)</f>
        <v>3729322.5</v>
      </c>
      <c r="V1089" s="52">
        <v>0.5</v>
      </c>
      <c r="W1089" s="53"/>
      <c r="X1089" s="52"/>
      <c r="Y1089" s="56">
        <f t="shared" si="734"/>
        <v>0</v>
      </c>
      <c r="Z1089" s="56"/>
      <c r="AA1089" s="52">
        <f>8/12+1+0.5+1+0.5+0.5</f>
        <v>4.1666666666666661</v>
      </c>
      <c r="AB1089" s="56">
        <f>SUM(U1089*AA1089)</f>
        <v>15538843.749999998</v>
      </c>
      <c r="AC1089" s="53"/>
      <c r="AD1089" s="52" t="s">
        <v>1307</v>
      </c>
      <c r="AE1089" s="24"/>
      <c r="AF1089" s="8"/>
      <c r="AG1089" s="5"/>
      <c r="AI1089" s="5"/>
    </row>
    <row r="1090" spans="1:35" s="1" customFormat="1" ht="10.5" x14ac:dyDescent="0.25">
      <c r="A1090" s="21"/>
      <c r="B1090" s="22"/>
      <c r="C1090" s="65"/>
      <c r="D1090" s="24"/>
      <c r="E1090" s="52"/>
      <c r="F1090" s="24"/>
      <c r="G1090" s="24"/>
      <c r="H1090" s="24"/>
      <c r="I1090" s="24"/>
      <c r="J1090" s="24"/>
      <c r="K1090" s="24"/>
      <c r="L1090" s="24"/>
      <c r="M1090" s="24"/>
      <c r="N1090" s="53">
        <v>49847500</v>
      </c>
      <c r="O1090" s="53">
        <v>49847500</v>
      </c>
      <c r="P1090" s="43"/>
      <c r="Q1090" s="52"/>
      <c r="R1090" s="52"/>
      <c r="S1090" s="53">
        <v>108895106.25</v>
      </c>
      <c r="T1090" s="52">
        <f>15.8333333333333+5</f>
        <v>20.8333333333333</v>
      </c>
      <c r="U1090" s="53">
        <f>SUM(S1090/T1090)</f>
        <v>5226965.100000008</v>
      </c>
      <c r="V1090" s="52">
        <v>0.5</v>
      </c>
      <c r="W1090" s="53">
        <f>SUM(U1090*V1090)</f>
        <v>2613482.550000004</v>
      </c>
      <c r="X1090" s="52">
        <v>0.5</v>
      </c>
      <c r="Y1090" s="56">
        <f t="shared" si="734"/>
        <v>2613482.550000004</v>
      </c>
      <c r="Z1090" s="56">
        <f t="shared" si="732"/>
        <v>5226965.100000008</v>
      </c>
      <c r="AA1090" s="57">
        <f>1/12+0.5+0.5+0.5+0.5+0.5+0.5</f>
        <v>3.0833333333333335</v>
      </c>
      <c r="AB1090" s="56">
        <f>SUM(U1090*AA1090)</f>
        <v>16116475.725000026</v>
      </c>
      <c r="AC1090" s="53">
        <f>SUM(S1090-AB1090)</f>
        <v>92778630.524999976</v>
      </c>
      <c r="AD1090" s="52"/>
      <c r="AE1090" s="24"/>
      <c r="AF1090" s="8"/>
      <c r="AG1090" s="5"/>
      <c r="AI1090" s="5"/>
    </row>
    <row r="1091" spans="1:35" s="1" customFormat="1" ht="10.5" x14ac:dyDescent="0.25">
      <c r="A1091" s="21"/>
      <c r="B1091" s="22"/>
      <c r="C1091" s="65"/>
      <c r="D1091" s="24" t="s">
        <v>1347</v>
      </c>
      <c r="E1091" s="52"/>
      <c r="F1091" s="24"/>
      <c r="G1091" s="24" t="s">
        <v>1309</v>
      </c>
      <c r="H1091" s="24" t="s">
        <v>62</v>
      </c>
      <c r="I1091" s="24">
        <v>1985</v>
      </c>
      <c r="J1091" s="24"/>
      <c r="K1091" s="24"/>
      <c r="L1091" s="24" t="s">
        <v>64</v>
      </c>
      <c r="M1091" s="24">
        <v>1</v>
      </c>
      <c r="N1091" s="53">
        <v>910574000</v>
      </c>
      <c r="O1091" s="53">
        <v>910574000</v>
      </c>
      <c r="P1091" s="43"/>
      <c r="Q1091" s="52"/>
      <c r="R1091" s="52"/>
      <c r="S1091" s="53">
        <v>910574000</v>
      </c>
      <c r="T1091" s="57">
        <v>50</v>
      </c>
      <c r="U1091" s="53">
        <f>SUM(S1091/T1091)</f>
        <v>18211480</v>
      </c>
      <c r="V1091" s="52">
        <v>0.5</v>
      </c>
      <c r="W1091" s="53"/>
      <c r="X1091" s="93"/>
      <c r="Y1091" s="56"/>
      <c r="Z1091" s="56">
        <f t="shared" si="732"/>
        <v>0</v>
      </c>
      <c r="AA1091" s="57">
        <v>33.5</v>
      </c>
      <c r="AB1091" s="56">
        <f>SUM(U1091*AA1091)</f>
        <v>610084580</v>
      </c>
      <c r="AC1091" s="53"/>
      <c r="AD1091" s="52" t="s">
        <v>1307</v>
      </c>
      <c r="AE1091" s="24"/>
      <c r="AF1091" s="8"/>
      <c r="AG1091" s="5"/>
      <c r="AI1091" s="5"/>
    </row>
    <row r="1092" spans="1:35" s="1" customFormat="1" ht="10.5" x14ac:dyDescent="0.25">
      <c r="A1092" s="21">
        <v>8</v>
      </c>
      <c r="B1092" s="22" t="s">
        <v>1795</v>
      </c>
      <c r="C1092" s="65" t="s">
        <v>75</v>
      </c>
      <c r="D1092" s="24"/>
      <c r="E1092" s="52"/>
      <c r="F1092" s="24"/>
      <c r="G1092" s="24"/>
      <c r="H1092" s="24"/>
      <c r="I1092" s="24"/>
      <c r="J1092" s="24"/>
      <c r="K1092" s="24"/>
      <c r="L1092" s="24"/>
      <c r="M1092" s="24"/>
      <c r="N1092" s="53">
        <v>93441250</v>
      </c>
      <c r="O1092" s="53">
        <v>93441250</v>
      </c>
      <c r="P1092" s="43"/>
      <c r="Q1092" s="52"/>
      <c r="R1092" s="52"/>
      <c r="S1092" s="53">
        <v>393930670</v>
      </c>
      <c r="T1092" s="52">
        <v>17</v>
      </c>
      <c r="U1092" s="53">
        <f>SUM(S1092/T1092)</f>
        <v>23172392.352941178</v>
      </c>
      <c r="V1092" s="52">
        <v>0.5</v>
      </c>
      <c r="W1092" s="53">
        <f>SUM(U1092*V1092)</f>
        <v>11586196.176470589</v>
      </c>
      <c r="X1092" s="52">
        <v>0.5</v>
      </c>
      <c r="Y1092" s="56">
        <f t="shared" ref="Y1092:Y1107" si="735">SUM(U1092*X1092)</f>
        <v>11586196.176470589</v>
      </c>
      <c r="Z1092" s="56">
        <f t="shared" si="732"/>
        <v>23172392.352941178</v>
      </c>
      <c r="AA1092" s="52">
        <f>1.08333333333333+0.5+0.5+0.5+0.5+0.5+0.5</f>
        <v>4.0833333333333304</v>
      </c>
      <c r="AB1092" s="56">
        <f>SUM(U1092*AA1092)</f>
        <v>94620602.107843071</v>
      </c>
      <c r="AC1092" s="53"/>
      <c r="AD1092" s="52"/>
      <c r="AE1092" s="24"/>
      <c r="AF1092" s="8"/>
      <c r="AG1092" s="5"/>
      <c r="AI1092" s="5"/>
    </row>
    <row r="1093" spans="1:35" s="1" customFormat="1" ht="10.5" x14ac:dyDescent="0.25">
      <c r="A1093" s="21"/>
      <c r="B1093" s="22"/>
      <c r="C1093" s="65"/>
      <c r="D1093" s="24"/>
      <c r="E1093" s="52"/>
      <c r="F1093" s="24"/>
      <c r="G1093" s="24"/>
      <c r="H1093" s="24"/>
      <c r="I1093" s="24"/>
      <c r="J1093" s="24"/>
      <c r="K1093" s="24"/>
      <c r="L1093" s="24"/>
      <c r="M1093" s="24"/>
      <c r="N1093" s="53">
        <v>24969000</v>
      </c>
      <c r="O1093" s="53">
        <v>24969000</v>
      </c>
      <c r="P1093" s="43"/>
      <c r="Q1093" s="52"/>
      <c r="R1093" s="52"/>
      <c r="S1093" s="53">
        <v>324279067.89215696</v>
      </c>
      <c r="T1093" s="52">
        <f>T1092-AA1092</f>
        <v>12.91666666666667</v>
      </c>
      <c r="U1093" s="53">
        <f>SUM(S1093/T1093)</f>
        <v>25105476.22390892</v>
      </c>
      <c r="V1093" s="52"/>
      <c r="W1093" s="53"/>
      <c r="X1093" s="52">
        <f>4/12</f>
        <v>0.33333333333333331</v>
      </c>
      <c r="Y1093" s="56">
        <f t="shared" ref="Y1093" si="736">SUM(U1093*X1093)</f>
        <v>8368492.0746363066</v>
      </c>
      <c r="Z1093" s="56">
        <f t="shared" si="732"/>
        <v>8368492.0746363066</v>
      </c>
      <c r="AA1093" s="57">
        <f>4/12</f>
        <v>0.33333333333333331</v>
      </c>
      <c r="AB1093" s="56">
        <f>SUM(U1093*AA1093)</f>
        <v>8368492.0746363066</v>
      </c>
      <c r="AC1093" s="53">
        <f>SUM(S1093-AB1093)</f>
        <v>315910575.81752068</v>
      </c>
      <c r="AD1093" s="52"/>
      <c r="AE1093" s="24"/>
      <c r="AF1093" s="8"/>
      <c r="AG1093" s="5"/>
      <c r="AI1093" s="5"/>
    </row>
    <row r="1094" spans="1:35" s="1" customFormat="1" ht="10.5" x14ac:dyDescent="0.25">
      <c r="A1094" s="21"/>
      <c r="B1094" s="22"/>
      <c r="C1094" s="65"/>
      <c r="D1094" s="24" t="s">
        <v>578</v>
      </c>
      <c r="E1094" s="52"/>
      <c r="F1094" s="24"/>
      <c r="G1094" s="24" t="s">
        <v>1309</v>
      </c>
      <c r="H1094" s="24" t="s">
        <v>62</v>
      </c>
      <c r="I1094" s="24">
        <v>1985</v>
      </c>
      <c r="J1094" s="24"/>
      <c r="K1094" s="24"/>
      <c r="L1094" s="24" t="s">
        <v>64</v>
      </c>
      <c r="M1094" s="24">
        <v>1</v>
      </c>
      <c r="N1094" s="53">
        <f>142710000+(19959000/8)</f>
        <v>145204875</v>
      </c>
      <c r="O1094" s="53">
        <f>142710000+(19959000/8)</f>
        <v>145204875</v>
      </c>
      <c r="P1094" s="43"/>
      <c r="Q1094" s="52"/>
      <c r="R1094" s="52"/>
      <c r="S1094" s="53"/>
      <c r="T1094" s="57"/>
      <c r="U1094" s="53"/>
      <c r="V1094" s="52"/>
      <c r="W1094" s="53"/>
      <c r="X1094" s="57"/>
      <c r="Y1094" s="56">
        <f t="shared" si="735"/>
        <v>0</v>
      </c>
      <c r="Z1094" s="56">
        <f t="shared" si="732"/>
        <v>0</v>
      </c>
      <c r="AA1094" s="57">
        <v>30.5</v>
      </c>
      <c r="AB1094" s="56">
        <v>87122925</v>
      </c>
      <c r="AC1094" s="53"/>
      <c r="AD1094" s="52"/>
      <c r="AE1094" s="24"/>
      <c r="AF1094" s="8"/>
      <c r="AG1094" s="5"/>
      <c r="AI1094" s="5"/>
    </row>
    <row r="1095" spans="1:35" s="1" customFormat="1" ht="10.5" x14ac:dyDescent="0.25">
      <c r="A1095" s="21"/>
      <c r="B1095" s="22"/>
      <c r="C1095" s="65"/>
      <c r="D1095" s="24"/>
      <c r="E1095" s="52"/>
      <c r="F1095" s="24"/>
      <c r="G1095" s="24"/>
      <c r="H1095" s="24"/>
      <c r="I1095" s="24"/>
      <c r="J1095" s="24"/>
      <c r="K1095" s="24"/>
      <c r="L1095" s="24"/>
      <c r="M1095" s="24"/>
      <c r="N1095" s="53">
        <f>(124569000/8)+(7467000/8)</f>
        <v>16504500</v>
      </c>
      <c r="O1095" s="53">
        <f>(124569000/8)+(7467000/8)</f>
        <v>16504500</v>
      </c>
      <c r="P1095" s="43"/>
      <c r="Q1095" s="52"/>
      <c r="R1095" s="52"/>
      <c r="S1095" s="53">
        <v>74586450</v>
      </c>
      <c r="T1095" s="57">
        <v>20</v>
      </c>
      <c r="U1095" s="53">
        <f>SUM(S1095/T1095)</f>
        <v>3729322.5</v>
      </c>
      <c r="V1095" s="52">
        <v>0.5</v>
      </c>
      <c r="W1095" s="53">
        <f>SUM(U1095*V1095)</f>
        <v>1864661.25</v>
      </c>
      <c r="X1095" s="57">
        <v>0.5</v>
      </c>
      <c r="Y1095" s="56">
        <f t="shared" si="735"/>
        <v>1864661.25</v>
      </c>
      <c r="Z1095" s="56">
        <f t="shared" si="732"/>
        <v>3729322.5</v>
      </c>
      <c r="AA1095" s="57">
        <f>4.66666666666667+0.5+0.5+0.5+0.5+0.5+0.5</f>
        <v>7.6666666666666696</v>
      </c>
      <c r="AB1095" s="56">
        <f>SUM(U1095*AA1095)</f>
        <v>28591472.500000011</v>
      </c>
      <c r="AC1095" s="53">
        <f>SUM(S1095-AB1095)</f>
        <v>45994977.499999985</v>
      </c>
      <c r="AD1095" s="52" t="s">
        <v>1307</v>
      </c>
      <c r="AE1095" s="24"/>
      <c r="AF1095" s="8"/>
      <c r="AG1095" s="5"/>
      <c r="AI1095" s="5"/>
    </row>
    <row r="1096" spans="1:35" s="1" customFormat="1" ht="10.5" x14ac:dyDescent="0.25">
      <c r="A1096" s="21">
        <v>9</v>
      </c>
      <c r="B1096" s="22" t="s">
        <v>1795</v>
      </c>
      <c r="C1096" s="65" t="s">
        <v>162</v>
      </c>
      <c r="D1096" s="24" t="s">
        <v>597</v>
      </c>
      <c r="E1096" s="52"/>
      <c r="F1096" s="24"/>
      <c r="G1096" s="24" t="s">
        <v>1309</v>
      </c>
      <c r="H1096" s="24" t="s">
        <v>62</v>
      </c>
      <c r="I1096" s="24">
        <v>1985</v>
      </c>
      <c r="J1096" s="24"/>
      <c r="K1096" s="24"/>
      <c r="L1096" s="24" t="s">
        <v>64</v>
      </c>
      <c r="M1096" s="24">
        <v>1</v>
      </c>
      <c r="N1096" s="53">
        <f>142710000+(19959000/8)</f>
        <v>145204875</v>
      </c>
      <c r="O1096" s="53">
        <f>142710000+(19959000/8)</f>
        <v>145204875</v>
      </c>
      <c r="P1096" s="43"/>
      <c r="Q1096" s="52"/>
      <c r="R1096" s="52"/>
      <c r="S1096" s="53"/>
      <c r="T1096" s="52"/>
      <c r="U1096" s="53"/>
      <c r="V1096" s="52"/>
      <c r="W1096" s="53"/>
      <c r="X1096" s="52"/>
      <c r="Y1096" s="56">
        <f t="shared" si="735"/>
        <v>0</v>
      </c>
      <c r="Z1096" s="56">
        <f t="shared" si="732"/>
        <v>0</v>
      </c>
      <c r="AA1096" s="52">
        <v>30.5</v>
      </c>
      <c r="AB1096" s="56">
        <v>87122925</v>
      </c>
      <c r="AC1096" s="53"/>
      <c r="AD1096" s="52"/>
      <c r="AE1096" s="24"/>
      <c r="AF1096" s="8"/>
      <c r="AG1096" s="5"/>
      <c r="AI1096" s="5"/>
    </row>
    <row r="1097" spans="1:35" s="1" customFormat="1" ht="10.5" x14ac:dyDescent="0.25">
      <c r="A1097" s="21"/>
      <c r="B1097" s="22"/>
      <c r="C1097" s="65"/>
      <c r="D1097" s="24"/>
      <c r="E1097" s="52"/>
      <c r="F1097" s="24"/>
      <c r="G1097" s="24"/>
      <c r="H1097" s="24"/>
      <c r="I1097" s="24"/>
      <c r="J1097" s="24"/>
      <c r="K1097" s="24"/>
      <c r="L1097" s="24"/>
      <c r="M1097" s="24"/>
      <c r="N1097" s="53">
        <f>(124569000/8)+(7467000/8)</f>
        <v>16504500</v>
      </c>
      <c r="O1097" s="53">
        <f>(124569000/8)+(7467000/8)</f>
        <v>16504500</v>
      </c>
      <c r="P1097" s="43"/>
      <c r="Q1097" s="52"/>
      <c r="R1097" s="52"/>
      <c r="S1097" s="53">
        <v>74586450</v>
      </c>
      <c r="T1097" s="52">
        <v>20</v>
      </c>
      <c r="U1097" s="53">
        <f>SUM(S1097/T1097)</f>
        <v>3729322.5</v>
      </c>
      <c r="V1097" s="52">
        <v>0.5</v>
      </c>
      <c r="W1097" s="53"/>
      <c r="X1097" s="52"/>
      <c r="Y1097" s="56">
        <f t="shared" si="735"/>
        <v>0</v>
      </c>
      <c r="Z1097" s="56"/>
      <c r="AA1097" s="57">
        <f>8/12+1+0.5+1+0.5+0.5</f>
        <v>4.1666666666666661</v>
      </c>
      <c r="AB1097" s="56">
        <f>SUM(U1097*AA1097)</f>
        <v>15538843.749999998</v>
      </c>
      <c r="AC1097" s="53"/>
      <c r="AD1097" s="52" t="s">
        <v>1307</v>
      </c>
      <c r="AE1097" s="24"/>
      <c r="AF1097" s="8"/>
      <c r="AG1097" s="5"/>
      <c r="AI1097" s="5"/>
    </row>
    <row r="1098" spans="1:35" s="1" customFormat="1" ht="10.5" x14ac:dyDescent="0.25">
      <c r="A1098" s="21">
        <v>10</v>
      </c>
      <c r="B1098" s="22" t="s">
        <v>1795</v>
      </c>
      <c r="C1098" s="65" t="s">
        <v>559</v>
      </c>
      <c r="D1098" s="24"/>
      <c r="E1098" s="52"/>
      <c r="F1098" s="24"/>
      <c r="G1098" s="24"/>
      <c r="H1098" s="24"/>
      <c r="I1098" s="24"/>
      <c r="J1098" s="24"/>
      <c r="K1098" s="24"/>
      <c r="L1098" s="24"/>
      <c r="M1098" s="24"/>
      <c r="N1098" s="53">
        <v>49847500</v>
      </c>
      <c r="O1098" s="53">
        <v>49847500</v>
      </c>
      <c r="P1098" s="43"/>
      <c r="Q1098" s="52"/>
      <c r="R1098" s="52"/>
      <c r="S1098" s="53">
        <v>108895106.25</v>
      </c>
      <c r="T1098" s="52">
        <f>15.8333333333333+5</f>
        <v>20.8333333333333</v>
      </c>
      <c r="U1098" s="53">
        <f>SUM(S1098/T1098)</f>
        <v>5226965.100000008</v>
      </c>
      <c r="V1098" s="52">
        <v>0.5</v>
      </c>
      <c r="W1098" s="53">
        <f>SUM(U1098*V1098)</f>
        <v>2613482.550000004</v>
      </c>
      <c r="X1098" s="52">
        <v>0.5</v>
      </c>
      <c r="Y1098" s="56">
        <f t="shared" si="735"/>
        <v>2613482.550000004</v>
      </c>
      <c r="Z1098" s="56">
        <f t="shared" si="732"/>
        <v>5226965.100000008</v>
      </c>
      <c r="AA1098" s="52">
        <f>1/12+0.5+0.5+0.5+0.5+0.5+0.5</f>
        <v>3.0833333333333335</v>
      </c>
      <c r="AB1098" s="56">
        <f>SUM(U1098*AA1098)</f>
        <v>16116475.725000026</v>
      </c>
      <c r="AC1098" s="53">
        <f>SUM(S1098-AB1098)</f>
        <v>92778630.524999976</v>
      </c>
      <c r="AD1098" s="52"/>
      <c r="AE1098" s="24"/>
      <c r="AF1098" s="8"/>
      <c r="AG1098" s="5"/>
      <c r="AI1098" s="5"/>
    </row>
    <row r="1099" spans="1:35" s="1" customFormat="1" ht="10.5" x14ac:dyDescent="0.25">
      <c r="A1099" s="21"/>
      <c r="B1099" s="22"/>
      <c r="C1099" s="65"/>
      <c r="D1099" s="24" t="s">
        <v>772</v>
      </c>
      <c r="E1099" s="52"/>
      <c r="F1099" s="24"/>
      <c r="G1099" s="24" t="s">
        <v>1309</v>
      </c>
      <c r="H1099" s="24" t="s">
        <v>62</v>
      </c>
      <c r="I1099" s="24">
        <v>1985</v>
      </c>
      <c r="J1099" s="24"/>
      <c r="K1099" s="24"/>
      <c r="L1099" s="24" t="s">
        <v>64</v>
      </c>
      <c r="M1099" s="24">
        <v>1</v>
      </c>
      <c r="N1099" s="53">
        <f>142710000+(19959000/8)</f>
        <v>145204875</v>
      </c>
      <c r="O1099" s="53">
        <f>142710000+(19959000/8)</f>
        <v>145204875</v>
      </c>
      <c r="P1099" s="43"/>
      <c r="Q1099" s="52"/>
      <c r="R1099" s="52"/>
      <c r="S1099" s="53">
        <v>145204875</v>
      </c>
      <c r="T1099" s="52">
        <v>50</v>
      </c>
      <c r="U1099" s="53">
        <f>SUM(S1099/T1099)</f>
        <v>2904097.5</v>
      </c>
      <c r="V1099" s="52">
        <v>0.5</v>
      </c>
      <c r="W1099" s="53">
        <f>SUM(U1099*V1099)</f>
        <v>1452048.75</v>
      </c>
      <c r="X1099" s="52">
        <v>0.5</v>
      </c>
      <c r="Y1099" s="56">
        <f t="shared" si="735"/>
        <v>1452048.75</v>
      </c>
      <c r="Z1099" s="56">
        <f t="shared" si="732"/>
        <v>2904097.5</v>
      </c>
      <c r="AA1099" s="57">
        <v>38</v>
      </c>
      <c r="AB1099" s="56">
        <f>SUM(U1099*AA1099)</f>
        <v>110355705</v>
      </c>
      <c r="AC1099" s="53">
        <f>SUM(S1099-AB1099)</f>
        <v>34849170</v>
      </c>
      <c r="AD1099" s="52" t="s">
        <v>1307</v>
      </c>
      <c r="AE1099" s="24"/>
      <c r="AF1099" s="8"/>
      <c r="AG1099" s="5"/>
      <c r="AI1099" s="5"/>
    </row>
    <row r="1100" spans="1:35" s="1" customFormat="1" ht="10.5" x14ac:dyDescent="0.25">
      <c r="A1100" s="21"/>
      <c r="B1100" s="22"/>
      <c r="C1100" s="65"/>
      <c r="D1100" s="24" t="s">
        <v>1348</v>
      </c>
      <c r="E1100" s="52"/>
      <c r="F1100" s="24"/>
      <c r="G1100" s="24" t="s">
        <v>1309</v>
      </c>
      <c r="H1100" s="24" t="s">
        <v>62</v>
      </c>
      <c r="I1100" s="24">
        <v>1985</v>
      </c>
      <c r="J1100" s="24"/>
      <c r="K1100" s="24"/>
      <c r="L1100" s="24" t="s">
        <v>64</v>
      </c>
      <c r="M1100" s="24">
        <v>1</v>
      </c>
      <c r="N1100" s="53">
        <v>107542000</v>
      </c>
      <c r="O1100" s="53">
        <v>107542000</v>
      </c>
      <c r="P1100" s="43"/>
      <c r="Q1100" s="52"/>
      <c r="R1100" s="52"/>
      <c r="S1100" s="53">
        <v>107542000</v>
      </c>
      <c r="T1100" s="57">
        <v>50</v>
      </c>
      <c r="U1100" s="53">
        <f>SUM(S1100/T1100)</f>
        <v>2150840</v>
      </c>
      <c r="V1100" s="52">
        <v>0.5</v>
      </c>
      <c r="W1100" s="53">
        <f>SUM(U1100*V1100)</f>
        <v>1075420</v>
      </c>
      <c r="X1100" s="54">
        <v>0.5</v>
      </c>
      <c r="Y1100" s="56">
        <f t="shared" si="735"/>
        <v>1075420</v>
      </c>
      <c r="Z1100" s="56">
        <f t="shared" si="732"/>
        <v>2150840</v>
      </c>
      <c r="AA1100" s="57">
        <v>38</v>
      </c>
      <c r="AB1100" s="56">
        <f>SUM(U1100*AA1100)</f>
        <v>81731920</v>
      </c>
      <c r="AC1100" s="53">
        <f>SUM(S1100-AB1100)</f>
        <v>25810080</v>
      </c>
      <c r="AD1100" s="52" t="s">
        <v>1307</v>
      </c>
      <c r="AE1100" s="24"/>
      <c r="AF1100" s="8"/>
      <c r="AG1100" s="5"/>
      <c r="AI1100" s="5"/>
    </row>
    <row r="1101" spans="1:35" s="1" customFormat="1" ht="10.5" x14ac:dyDescent="0.25">
      <c r="A1101" s="21">
        <v>11</v>
      </c>
      <c r="B1101" s="22" t="s">
        <v>1795</v>
      </c>
      <c r="C1101" s="65" t="s">
        <v>312</v>
      </c>
      <c r="D1101" s="24" t="s">
        <v>601</v>
      </c>
      <c r="E1101" s="52"/>
      <c r="F1101" s="24"/>
      <c r="G1101" s="24" t="s">
        <v>1309</v>
      </c>
      <c r="H1101" s="24" t="s">
        <v>62</v>
      </c>
      <c r="I1101" s="24">
        <v>1985</v>
      </c>
      <c r="J1101" s="24"/>
      <c r="K1101" s="24"/>
      <c r="L1101" s="24" t="s">
        <v>212</v>
      </c>
      <c r="M1101" s="24">
        <v>1</v>
      </c>
      <c r="N1101" s="53">
        <f>142710000+(19959000/8)</f>
        <v>145204875</v>
      </c>
      <c r="O1101" s="53">
        <f>142710000+(19959000/8)</f>
        <v>145204875</v>
      </c>
      <c r="P1101" s="43"/>
      <c r="Q1101" s="52"/>
      <c r="R1101" s="52"/>
      <c r="S1101" s="53"/>
      <c r="T1101" s="52"/>
      <c r="U1101" s="53"/>
      <c r="V1101" s="52"/>
      <c r="W1101" s="53"/>
      <c r="X1101" s="54"/>
      <c r="Y1101" s="56">
        <f t="shared" si="735"/>
        <v>0</v>
      </c>
      <c r="Z1101" s="56">
        <f t="shared" si="732"/>
        <v>0</v>
      </c>
      <c r="AA1101" s="52">
        <v>30.5</v>
      </c>
      <c r="AB1101" s="56">
        <v>87122925</v>
      </c>
      <c r="AC1101" s="53"/>
      <c r="AD1101" s="52"/>
      <c r="AE1101" s="24"/>
      <c r="AF1101" s="8"/>
      <c r="AG1101" s="5"/>
      <c r="AI1101" s="5"/>
    </row>
    <row r="1102" spans="1:35" s="1" customFormat="1" ht="10.5" x14ac:dyDescent="0.25">
      <c r="A1102" s="21">
        <v>12</v>
      </c>
      <c r="B1102" s="22" t="s">
        <v>1795</v>
      </c>
      <c r="C1102" s="65" t="s">
        <v>561</v>
      </c>
      <c r="D1102" s="24"/>
      <c r="E1102" s="52"/>
      <c r="F1102" s="24"/>
      <c r="G1102" s="24"/>
      <c r="H1102" s="24"/>
      <c r="I1102" s="24"/>
      <c r="J1102" s="24"/>
      <c r="K1102" s="24"/>
      <c r="L1102" s="24"/>
      <c r="M1102" s="24"/>
      <c r="N1102" s="53">
        <f>(124569000/8)+(7467000/8)</f>
        <v>16504500</v>
      </c>
      <c r="O1102" s="53">
        <f>(124569000/8)+(7467000/8)</f>
        <v>16504500</v>
      </c>
      <c r="P1102" s="43"/>
      <c r="Q1102" s="52"/>
      <c r="R1102" s="52"/>
      <c r="S1102" s="53">
        <v>74586450</v>
      </c>
      <c r="T1102" s="52">
        <v>20</v>
      </c>
      <c r="U1102" s="53">
        <f>SUM(S1102/T1102)</f>
        <v>3729322.5</v>
      </c>
      <c r="V1102" s="52">
        <v>0.5</v>
      </c>
      <c r="W1102" s="53"/>
      <c r="X1102" s="54"/>
      <c r="Y1102" s="56">
        <f t="shared" si="735"/>
        <v>0</v>
      </c>
      <c r="Z1102" s="56"/>
      <c r="AA1102" s="52">
        <f>8/12+1+0.5+1+0.5+0.5</f>
        <v>4.1666666666666661</v>
      </c>
      <c r="AB1102" s="56">
        <f>SUM(U1102*AA1102)</f>
        <v>15538843.749999998</v>
      </c>
      <c r="AC1102" s="53"/>
      <c r="AD1102" s="52" t="s">
        <v>1307</v>
      </c>
      <c r="AE1102" s="24"/>
      <c r="AF1102" s="8"/>
      <c r="AG1102" s="5"/>
      <c r="AI1102" s="5"/>
    </row>
    <row r="1103" spans="1:35" s="1" customFormat="1" ht="10.5" x14ac:dyDescent="0.25">
      <c r="A1103" s="21">
        <v>13</v>
      </c>
      <c r="B1103" s="22" t="s">
        <v>1795</v>
      </c>
      <c r="C1103" s="65" t="s">
        <v>150</v>
      </c>
      <c r="D1103" s="24"/>
      <c r="E1103" s="52"/>
      <c r="F1103" s="24"/>
      <c r="G1103" s="24"/>
      <c r="H1103" s="24"/>
      <c r="I1103" s="24"/>
      <c r="J1103" s="24"/>
      <c r="K1103" s="24"/>
      <c r="L1103" s="24"/>
      <c r="M1103" s="24"/>
      <c r="N1103" s="53">
        <v>49847500</v>
      </c>
      <c r="O1103" s="53">
        <v>49847500</v>
      </c>
      <c r="P1103" s="43"/>
      <c r="Q1103" s="52"/>
      <c r="R1103" s="52"/>
      <c r="S1103" s="53">
        <v>108895106.25</v>
      </c>
      <c r="T1103" s="52">
        <f>15.8333333333333+5</f>
        <v>20.8333333333333</v>
      </c>
      <c r="U1103" s="53">
        <f>SUM(S1103/T1103)</f>
        <v>5226965.100000008</v>
      </c>
      <c r="V1103" s="52">
        <v>0.5</v>
      </c>
      <c r="W1103" s="53">
        <f>SUM(U1103*V1103)</f>
        <v>2613482.550000004</v>
      </c>
      <c r="X1103" s="52">
        <v>0.5</v>
      </c>
      <c r="Y1103" s="56">
        <f t="shared" si="735"/>
        <v>2613482.550000004</v>
      </c>
      <c r="Z1103" s="56">
        <f t="shared" si="732"/>
        <v>5226965.100000008</v>
      </c>
      <c r="AA1103" s="52">
        <f>1/12+0.5+0.5+0.5+0.5+0.5+0.5</f>
        <v>3.0833333333333335</v>
      </c>
      <c r="AB1103" s="56">
        <f>SUM(U1103*AA1103)</f>
        <v>16116475.725000026</v>
      </c>
      <c r="AC1103" s="53">
        <f>SUM(S1103-AB1103)</f>
        <v>92778630.524999976</v>
      </c>
      <c r="AD1103" s="52"/>
      <c r="AE1103" s="24"/>
      <c r="AF1103" s="8"/>
      <c r="AG1103" s="5"/>
      <c r="AI1103" s="5"/>
    </row>
    <row r="1104" spans="1:35" s="1" customFormat="1" ht="10.5" x14ac:dyDescent="0.25">
      <c r="A1104" s="21"/>
      <c r="B1104" s="22"/>
      <c r="C1104" s="65"/>
      <c r="D1104" s="24" t="s">
        <v>1349</v>
      </c>
      <c r="E1104" s="52"/>
      <c r="F1104" s="24"/>
      <c r="G1104" s="24" t="s">
        <v>1309</v>
      </c>
      <c r="H1104" s="24" t="s">
        <v>62</v>
      </c>
      <c r="I1104" s="24">
        <v>1985</v>
      </c>
      <c r="J1104" s="24"/>
      <c r="K1104" s="24"/>
      <c r="L1104" s="24" t="s">
        <v>64</v>
      </c>
      <c r="M1104" s="24">
        <v>1</v>
      </c>
      <c r="N1104" s="53">
        <f>142710000+7218500+2611000+1696000+(19959000/8)</f>
        <v>156730375</v>
      </c>
      <c r="O1104" s="53">
        <f>142710000+7218500+2611000+1696000+(19959000/8)</f>
        <v>156730375</v>
      </c>
      <c r="P1104" s="43"/>
      <c r="Q1104" s="52"/>
      <c r="R1104" s="52"/>
      <c r="S1104" s="53"/>
      <c r="T1104" s="52"/>
      <c r="U1104" s="53"/>
      <c r="V1104" s="52"/>
      <c r="W1104" s="53"/>
      <c r="X1104" s="52"/>
      <c r="Y1104" s="56">
        <f t="shared" si="735"/>
        <v>0</v>
      </c>
      <c r="Z1104" s="56">
        <f t="shared" si="732"/>
        <v>0</v>
      </c>
      <c r="AA1104" s="57">
        <v>30.5</v>
      </c>
      <c r="AB1104" s="56">
        <v>94038225</v>
      </c>
      <c r="AC1104" s="53"/>
      <c r="AD1104" s="52"/>
      <c r="AE1104" s="24"/>
      <c r="AF1104" s="8"/>
      <c r="AG1104" s="5"/>
      <c r="AI1104" s="5"/>
    </row>
    <row r="1105" spans="1:35" s="1" customFormat="1" ht="10.5" x14ac:dyDescent="0.25">
      <c r="A1105" s="21"/>
      <c r="B1105" s="22"/>
      <c r="C1105" s="65"/>
      <c r="D1105" s="24"/>
      <c r="E1105" s="52"/>
      <c r="F1105" s="24"/>
      <c r="G1105" s="24"/>
      <c r="H1105" s="24"/>
      <c r="I1105" s="24"/>
      <c r="J1105" s="24"/>
      <c r="K1105" s="24"/>
      <c r="L1105" s="24"/>
      <c r="M1105" s="24"/>
      <c r="N1105" s="53">
        <f>(124569000/8)+(7467000/8)</f>
        <v>16504500</v>
      </c>
      <c r="O1105" s="53">
        <f>(124569000/8)+(7467000/8)</f>
        <v>16504500</v>
      </c>
      <c r="P1105" s="43"/>
      <c r="Q1105" s="52"/>
      <c r="R1105" s="52"/>
      <c r="S1105" s="53">
        <v>79196650</v>
      </c>
      <c r="T1105" s="57">
        <v>20</v>
      </c>
      <c r="U1105" s="53">
        <f>SUM(S1105/T1105)</f>
        <v>3959832.5</v>
      </c>
      <c r="V1105" s="52">
        <v>0.5</v>
      </c>
      <c r="W1105" s="53">
        <f>SUM(U1105*V1105)</f>
        <v>1979916.25</v>
      </c>
      <c r="X1105" s="54"/>
      <c r="Y1105" s="56">
        <f t="shared" si="735"/>
        <v>0</v>
      </c>
      <c r="Z1105" s="56">
        <f t="shared" si="732"/>
        <v>1979916.25</v>
      </c>
      <c r="AA1105" s="57">
        <f>4.66666666666667+0.5+0.5+0.5+0.5+0.5</f>
        <v>7.1666666666666696</v>
      </c>
      <c r="AB1105" s="56">
        <f>SUM(U1105*AA1105)</f>
        <v>28378799.583333343</v>
      </c>
      <c r="AC1105" s="53"/>
      <c r="AD1105" s="52" t="s">
        <v>1307</v>
      </c>
      <c r="AE1105" s="24"/>
      <c r="AF1105" s="8"/>
      <c r="AG1105" s="5"/>
      <c r="AI1105" s="5"/>
    </row>
    <row r="1106" spans="1:35" s="1" customFormat="1" ht="10.5" x14ac:dyDescent="0.25">
      <c r="A1106" s="21">
        <v>14</v>
      </c>
      <c r="B1106" s="22" t="s">
        <v>1795</v>
      </c>
      <c r="C1106" s="65" t="s">
        <v>146</v>
      </c>
      <c r="D1106" s="24"/>
      <c r="E1106" s="52"/>
      <c r="F1106" s="24"/>
      <c r="G1106" s="24"/>
      <c r="H1106" s="24"/>
      <c r="I1106" s="24"/>
      <c r="J1106" s="24"/>
      <c r="K1106" s="24"/>
      <c r="L1106" s="24"/>
      <c r="M1106" s="24"/>
      <c r="N1106" s="41">
        <f>76000000/2</f>
        <v>38000000</v>
      </c>
      <c r="O1106" s="41">
        <f>76000000/2</f>
        <v>38000000</v>
      </c>
      <c r="P1106" s="43"/>
      <c r="Q1106" s="24"/>
      <c r="R1106" s="24"/>
      <c r="S1106" s="41">
        <v>88817850.416666657</v>
      </c>
      <c r="T1106" s="24">
        <f>T1105-AA1105</f>
        <v>12.83333333333333</v>
      </c>
      <c r="U1106" s="41">
        <f>SUM(S1106/T1106)</f>
        <v>6920871.461038962</v>
      </c>
      <c r="V1106" s="24">
        <f>4/12</f>
        <v>0.33333333333333331</v>
      </c>
      <c r="W1106" s="41">
        <f>SUM(U1106*V1106)</f>
        <v>2306957.153679654</v>
      </c>
      <c r="X1106" s="24">
        <v>0.5</v>
      </c>
      <c r="Y1106" s="70">
        <f t="shared" si="735"/>
        <v>3460435.730519481</v>
      </c>
      <c r="Z1106" s="70">
        <f t="shared" si="732"/>
        <v>5767392.884199135</v>
      </c>
      <c r="AA1106" s="24">
        <f>4/12+0.5</f>
        <v>0.83333333333333326</v>
      </c>
      <c r="AB1106" s="70">
        <f>SUM(U1106*AA1106)</f>
        <v>5767392.8841991341</v>
      </c>
      <c r="AC1106" s="41">
        <f>SUM(S1106-AB1106)</f>
        <v>83050457.532467529</v>
      </c>
      <c r="AD1106" s="24"/>
      <c r="AE1106" s="24"/>
      <c r="AF1106" s="8"/>
      <c r="AG1106" s="5"/>
      <c r="AI1106" s="5"/>
    </row>
    <row r="1107" spans="1:35" s="1" customFormat="1" ht="10.5" x14ac:dyDescent="0.25">
      <c r="A1107" s="21"/>
      <c r="B1107" s="22"/>
      <c r="C1107" s="65"/>
      <c r="D1107" s="24" t="s">
        <v>787</v>
      </c>
      <c r="E1107" s="52"/>
      <c r="F1107" s="24"/>
      <c r="G1107" s="24" t="s">
        <v>1309</v>
      </c>
      <c r="H1107" s="24" t="s">
        <v>62</v>
      </c>
      <c r="I1107" s="24">
        <v>1985</v>
      </c>
      <c r="J1107" s="24"/>
      <c r="K1107" s="24"/>
      <c r="L1107" s="24" t="s">
        <v>64</v>
      </c>
      <c r="M1107" s="24">
        <v>1</v>
      </c>
      <c r="N1107" s="41">
        <v>782271000</v>
      </c>
      <c r="O1107" s="41">
        <v>782271000</v>
      </c>
      <c r="P1107" s="43"/>
      <c r="Q1107" s="24"/>
      <c r="R1107" s="24"/>
      <c r="S1107" s="41"/>
      <c r="T1107" s="24"/>
      <c r="U1107" s="41"/>
      <c r="V1107" s="24"/>
      <c r="W1107" s="41"/>
      <c r="X1107" s="24">
        <v>3</v>
      </c>
      <c r="Y1107" s="70">
        <f t="shared" si="735"/>
        <v>0</v>
      </c>
      <c r="Z1107" s="70">
        <f t="shared" si="732"/>
        <v>0</v>
      </c>
      <c r="AA1107" s="72">
        <v>33</v>
      </c>
      <c r="AB1107" s="70">
        <v>516298860</v>
      </c>
      <c r="AC1107" s="41"/>
      <c r="AD1107" s="24" t="s">
        <v>1307</v>
      </c>
      <c r="AE1107" s="24"/>
      <c r="AF1107" s="8"/>
      <c r="AG1107" s="5"/>
      <c r="AI1107" s="5"/>
    </row>
    <row r="1108" spans="1:35" s="1" customFormat="1" ht="10.5" x14ac:dyDescent="0.25">
      <c r="A1108" s="21"/>
      <c r="B1108" s="22"/>
      <c r="C1108" s="65"/>
      <c r="D1108" s="24"/>
      <c r="E1108" s="52"/>
      <c r="F1108" s="24"/>
      <c r="G1108" s="24"/>
      <c r="H1108" s="24"/>
      <c r="I1108" s="24"/>
      <c r="J1108" s="24"/>
      <c r="K1108" s="24"/>
      <c r="L1108" s="24"/>
      <c r="M1108" s="24"/>
      <c r="N1108" s="53">
        <v>189653250</v>
      </c>
      <c r="O1108" s="53">
        <v>189653250</v>
      </c>
      <c r="P1108" s="43"/>
      <c r="Q1108" s="52"/>
      <c r="R1108" s="52"/>
      <c r="S1108" s="53">
        <v>455625390</v>
      </c>
      <c r="T1108" s="57">
        <v>18.5</v>
      </c>
      <c r="U1108" s="53">
        <f>SUM(S1108/T1108)</f>
        <v>24628399.459459461</v>
      </c>
      <c r="V1108" s="57">
        <v>8.3333333333333329E-2</v>
      </c>
      <c r="W1108" s="53"/>
      <c r="X1108" s="52"/>
      <c r="Y1108" s="56"/>
      <c r="Z1108" s="56">
        <f t="shared" si="732"/>
        <v>0</v>
      </c>
      <c r="AA1108" s="57">
        <v>8.3333333333333329E-2</v>
      </c>
      <c r="AB1108" s="56">
        <f>SUM(U1108*AA1108)</f>
        <v>2052366.6216216218</v>
      </c>
      <c r="AC1108" s="53"/>
      <c r="AD1108" s="24"/>
      <c r="AE1108" s="24"/>
      <c r="AF1108" s="8"/>
      <c r="AG1108" s="5"/>
      <c r="AI1108" s="5"/>
    </row>
    <row r="1109" spans="1:35" s="1" customFormat="1" ht="10.5" x14ac:dyDescent="0.25">
      <c r="A1109" s="21">
        <v>15</v>
      </c>
      <c r="B1109" s="22" t="s">
        <v>1795</v>
      </c>
      <c r="C1109" s="65" t="s">
        <v>58</v>
      </c>
      <c r="D1109" s="24"/>
      <c r="E1109" s="52"/>
      <c r="F1109" s="24"/>
      <c r="G1109" s="24"/>
      <c r="H1109" s="24"/>
      <c r="I1109" s="24"/>
      <c r="J1109" s="24"/>
      <c r="K1109" s="24"/>
      <c r="L1109" s="24"/>
      <c r="M1109" s="24"/>
      <c r="N1109" s="41">
        <v>28780750</v>
      </c>
      <c r="O1109" s="41">
        <v>28780750</v>
      </c>
      <c r="P1109" s="43"/>
      <c r="Q1109" s="24"/>
      <c r="R1109" s="24"/>
      <c r="S1109" s="41">
        <v>482353773.37837839</v>
      </c>
      <c r="T1109" s="24">
        <v>19</v>
      </c>
      <c r="U1109" s="41">
        <f>SUM(S1109/T1109)</f>
        <v>25387040.704125177</v>
      </c>
      <c r="V1109" s="24">
        <v>0.5</v>
      </c>
      <c r="W1109" s="41">
        <f>SUM(U1109*V1109)</f>
        <v>12693520.352062589</v>
      </c>
      <c r="X1109" s="24"/>
      <c r="Y1109" s="70">
        <f>SUM(U1109*X1109)</f>
        <v>0</v>
      </c>
      <c r="Z1109" s="70">
        <f t="shared" si="732"/>
        <v>12693520.352062589</v>
      </c>
      <c r="AA1109" s="24">
        <f>1.08333333333333+0.5+0.5+0.5+0.5+0.5</f>
        <v>3.5833333333333299</v>
      </c>
      <c r="AB1109" s="70">
        <f>SUM(U1109*AA1109)</f>
        <v>90970229.1897818</v>
      </c>
      <c r="AC1109" s="41">
        <f>SUM(S1109-AB1109)</f>
        <v>391383544.18859661</v>
      </c>
      <c r="AD1109" s="24" t="s">
        <v>1307</v>
      </c>
      <c r="AE1109" s="24"/>
      <c r="AF1109" s="8"/>
      <c r="AG1109" s="5"/>
      <c r="AI1109" s="5"/>
    </row>
    <row r="1110" spans="1:35" s="1" customFormat="1" ht="10.5" x14ac:dyDescent="0.25">
      <c r="A1110" s="21"/>
      <c r="B1110" s="22"/>
      <c r="C1110" s="65"/>
      <c r="D1110" s="24" t="s">
        <v>1350</v>
      </c>
      <c r="E1110" s="52"/>
      <c r="F1110" s="24"/>
      <c r="G1110" s="24" t="s">
        <v>1309</v>
      </c>
      <c r="H1110" s="24" t="s">
        <v>62</v>
      </c>
      <c r="I1110" s="24">
        <v>2010</v>
      </c>
      <c r="J1110" s="24"/>
      <c r="K1110" s="24"/>
      <c r="L1110" s="24" t="s">
        <v>212</v>
      </c>
      <c r="M1110" s="24">
        <v>1</v>
      </c>
      <c r="N1110" s="41">
        <v>2397350895</v>
      </c>
      <c r="O1110" s="41">
        <v>2397350895</v>
      </c>
      <c r="P1110" s="43"/>
      <c r="Q1110" s="24"/>
      <c r="R1110" s="24"/>
      <c r="S1110" s="41">
        <v>2397350895</v>
      </c>
      <c r="T1110" s="24">
        <v>50</v>
      </c>
      <c r="U1110" s="41">
        <f>SUM(S1110/T1110)</f>
        <v>47947017.899999999</v>
      </c>
      <c r="V1110" s="72">
        <f>5/12</f>
        <v>0.41666666666666669</v>
      </c>
      <c r="W1110" s="41">
        <f>SUM(U1110*V1110)</f>
        <v>19977924.125</v>
      </c>
      <c r="X1110" s="72">
        <v>0.5</v>
      </c>
      <c r="Y1110" s="70">
        <f t="shared" ref="Y1110" si="737">SUM(U1110*X1110)</f>
        <v>23973508.949999999</v>
      </c>
      <c r="Z1110" s="70">
        <f t="shared" si="732"/>
        <v>43951433.075000003</v>
      </c>
      <c r="AA1110" s="72">
        <f>5/12+0.5</f>
        <v>0.91666666666666674</v>
      </c>
      <c r="AB1110" s="70">
        <f>SUM(U1110*AA1110)</f>
        <v>43951433.075000003</v>
      </c>
      <c r="AC1110" s="41">
        <f>SUM(S1110-AB1110)</f>
        <v>2353399461.9250002</v>
      </c>
      <c r="AD1110" s="24" t="s">
        <v>1307</v>
      </c>
      <c r="AE1110" s="24"/>
      <c r="AF1110" s="8"/>
      <c r="AG1110" s="5"/>
      <c r="AI1110" s="5"/>
    </row>
    <row r="1111" spans="1:35" s="1" customFormat="1" ht="10.5" x14ac:dyDescent="0.25">
      <c r="A1111" s="21">
        <v>17</v>
      </c>
      <c r="B1111" s="22" t="s">
        <v>1795</v>
      </c>
      <c r="C1111" s="65" t="s">
        <v>135</v>
      </c>
      <c r="D1111" s="24" t="s">
        <v>1324</v>
      </c>
      <c r="E1111" s="52"/>
      <c r="F1111" s="24"/>
      <c r="G1111" s="24" t="s">
        <v>1309</v>
      </c>
      <c r="H1111" s="24" t="s">
        <v>62</v>
      </c>
      <c r="I1111" s="24">
        <v>2012</v>
      </c>
      <c r="J1111" s="24"/>
      <c r="K1111" s="24"/>
      <c r="L1111" s="24" t="s">
        <v>64</v>
      </c>
      <c r="M1111" s="24">
        <v>1</v>
      </c>
      <c r="N1111" s="53">
        <f>707898600+191880000+73688230</f>
        <v>973466830</v>
      </c>
      <c r="O1111" s="53">
        <f>707898600+191880000+73688230</f>
        <v>973466830</v>
      </c>
      <c r="P1111" s="43"/>
      <c r="Q1111" s="43"/>
      <c r="R1111" s="52"/>
      <c r="S1111" s="53">
        <v>973466830</v>
      </c>
      <c r="T1111" s="52">
        <v>50</v>
      </c>
      <c r="U1111" s="53">
        <f t="shared" ref="U1111" si="738">SUM(S1111/T1111)</f>
        <v>19469336.600000001</v>
      </c>
      <c r="V1111" s="52">
        <v>0.5</v>
      </c>
      <c r="W1111" s="53">
        <f t="shared" ref="W1111" si="739">SUM(U1111*V1111)</f>
        <v>9734668.3000000007</v>
      </c>
      <c r="X1111" s="54">
        <v>0.5</v>
      </c>
      <c r="Y1111" s="56">
        <f t="shared" ref="Y1111" si="740">SUM(U1111*X1111)</f>
        <v>9734668.3000000007</v>
      </c>
      <c r="Z1111" s="56">
        <f t="shared" si="732"/>
        <v>19469336.600000001</v>
      </c>
      <c r="AA1111" s="52">
        <v>11</v>
      </c>
      <c r="AB1111" s="56">
        <f t="shared" ref="AB1111" si="741">SUM(U1111*AA1111)</f>
        <v>214162702.60000002</v>
      </c>
      <c r="AC1111" s="53">
        <f t="shared" ref="AC1111" si="742">SUM(S1111-AB1111)</f>
        <v>759304127.39999998</v>
      </c>
      <c r="AD1111" s="52" t="s">
        <v>1307</v>
      </c>
      <c r="AE1111" s="52"/>
      <c r="AG1111" s="5"/>
      <c r="AI1111" s="5"/>
    </row>
    <row r="1112" spans="1:35" s="1" customFormat="1" ht="10.5" x14ac:dyDescent="0.25">
      <c r="A1112" s="21"/>
      <c r="B1112" s="22"/>
      <c r="C1112" s="22"/>
      <c r="D1112" s="65"/>
      <c r="E1112" s="94"/>
      <c r="F1112" s="24"/>
      <c r="G1112" s="24"/>
      <c r="H1112" s="24"/>
      <c r="I1112" s="24"/>
      <c r="J1112" s="24"/>
      <c r="K1112" s="24"/>
      <c r="L1112" s="24"/>
      <c r="M1112" s="24"/>
      <c r="N1112" s="24"/>
      <c r="O1112" s="24"/>
      <c r="P1112" s="24"/>
      <c r="Q1112" s="24"/>
      <c r="R1112" s="24"/>
      <c r="S1112" s="24"/>
      <c r="T1112" s="24"/>
      <c r="U1112" s="24"/>
      <c r="V1112" s="24"/>
      <c r="W1112" s="24"/>
      <c r="X1112" s="24"/>
      <c r="Y1112" s="24"/>
      <c r="Z1112" s="24"/>
      <c r="AA1112" s="24"/>
      <c r="AB1112" s="24"/>
      <c r="AC1112" s="24"/>
      <c r="AD1112" s="24"/>
      <c r="AE1112" s="24"/>
      <c r="AG1112" s="5"/>
    </row>
    <row r="1113" spans="1:35" s="1" customFormat="1" ht="10.5" x14ac:dyDescent="0.25">
      <c r="A1113" s="17"/>
      <c r="B1113" s="18" t="s">
        <v>1351</v>
      </c>
      <c r="C1113" s="18"/>
      <c r="D1113" s="84" t="s">
        <v>1352</v>
      </c>
      <c r="E1113" s="20"/>
      <c r="F1113" s="20"/>
      <c r="G1113" s="20"/>
      <c r="H1113" s="20"/>
      <c r="I1113" s="20"/>
      <c r="J1113" s="20"/>
      <c r="K1113" s="20"/>
      <c r="L1113" s="20"/>
      <c r="M1113" s="20">
        <f>M1114</f>
        <v>0</v>
      </c>
      <c r="N1113" s="20"/>
      <c r="O1113" s="20">
        <f t="shared" ref="O1113:AC1113" si="743">O1114</f>
        <v>0</v>
      </c>
      <c r="P1113" s="20">
        <f t="shared" si="743"/>
        <v>0</v>
      </c>
      <c r="Q1113" s="20">
        <f t="shared" si="743"/>
        <v>0</v>
      </c>
      <c r="R1113" s="20">
        <f t="shared" si="743"/>
        <v>0</v>
      </c>
      <c r="S1113" s="20">
        <f t="shared" si="743"/>
        <v>0</v>
      </c>
      <c r="T1113" s="20"/>
      <c r="U1113" s="20">
        <f t="shared" si="743"/>
        <v>0</v>
      </c>
      <c r="V1113" s="20"/>
      <c r="W1113" s="20">
        <f t="shared" si="743"/>
        <v>0</v>
      </c>
      <c r="X1113" s="20"/>
      <c r="Y1113" s="20">
        <f t="shared" si="743"/>
        <v>0</v>
      </c>
      <c r="Z1113" s="20">
        <f t="shared" si="743"/>
        <v>0</v>
      </c>
      <c r="AA1113" s="20"/>
      <c r="AB1113" s="20">
        <f t="shared" si="743"/>
        <v>0</v>
      </c>
      <c r="AC1113" s="20">
        <f t="shared" si="743"/>
        <v>0</v>
      </c>
      <c r="AD1113" s="20"/>
      <c r="AE1113" s="20"/>
    </row>
    <row r="1114" spans="1:35" s="1" customFormat="1" ht="10.5" x14ac:dyDescent="0.25">
      <c r="A1114" s="25"/>
      <c r="B1114" s="26" t="s">
        <v>1353</v>
      </c>
      <c r="C1114" s="26"/>
      <c r="D1114" s="64" t="s">
        <v>1354</v>
      </c>
      <c r="E1114" s="28"/>
      <c r="F1114" s="28"/>
      <c r="G1114" s="28"/>
      <c r="H1114" s="28"/>
      <c r="I1114" s="28"/>
      <c r="J1114" s="28"/>
      <c r="K1114" s="28"/>
      <c r="L1114" s="28"/>
      <c r="M1114" s="28">
        <f>SUM(M1115:M1115)</f>
        <v>0</v>
      </c>
      <c r="N1114" s="28"/>
      <c r="O1114" s="28">
        <f>SUM(O1115:O1115)</f>
        <v>0</v>
      </c>
      <c r="P1114" s="28">
        <f>SUM(P1115:P1115)</f>
        <v>0</v>
      </c>
      <c r="Q1114" s="28">
        <f>SUM(Q1115:Q1115)</f>
        <v>0</v>
      </c>
      <c r="R1114" s="28">
        <f>SUM(R1115:R1115)</f>
        <v>0</v>
      </c>
      <c r="S1114" s="28">
        <f>SUM(S1115:S1115)</f>
        <v>0</v>
      </c>
      <c r="T1114" s="28"/>
      <c r="U1114" s="28">
        <f>SUM(U1115:U1115)</f>
        <v>0</v>
      </c>
      <c r="V1114" s="28"/>
      <c r="W1114" s="28">
        <f>SUM(W1115:W1115)</f>
        <v>0</v>
      </c>
      <c r="X1114" s="28"/>
      <c r="Y1114" s="28">
        <f>SUM(Y1115:Y1115)</f>
        <v>0</v>
      </c>
      <c r="Z1114" s="28">
        <f>SUM(Z1115:Z1115)</f>
        <v>0</v>
      </c>
      <c r="AA1114" s="28"/>
      <c r="AB1114" s="28">
        <f>SUM(AB1115:AB1115)</f>
        <v>0</v>
      </c>
      <c r="AC1114" s="28">
        <f>SUM(AC1115:AC1115)</f>
        <v>0</v>
      </c>
      <c r="AD1114" s="28"/>
      <c r="AE1114" s="28"/>
    </row>
    <row r="1115" spans="1:35" s="1" customFormat="1" ht="10.5" x14ac:dyDescent="0.25">
      <c r="A1115" s="21"/>
      <c r="B1115" s="22"/>
      <c r="C1115" s="22"/>
      <c r="D1115" s="65"/>
      <c r="E1115" s="24"/>
      <c r="F1115" s="24"/>
      <c r="G1115" s="24"/>
      <c r="H1115" s="24"/>
      <c r="I1115" s="24"/>
      <c r="J1115" s="24"/>
      <c r="K1115" s="24"/>
      <c r="L1115" s="24"/>
      <c r="M1115" s="24"/>
      <c r="N1115" s="24"/>
      <c r="O1115" s="24"/>
      <c r="P1115" s="24"/>
      <c r="Q1115" s="24"/>
      <c r="R1115" s="24"/>
      <c r="S1115" s="24"/>
      <c r="T1115" s="24"/>
      <c r="U1115" s="24"/>
      <c r="V1115" s="24"/>
      <c r="W1115" s="24"/>
      <c r="X1115" s="24"/>
      <c r="Y1115" s="24"/>
      <c r="Z1115" s="24"/>
      <c r="AA1115" s="24"/>
      <c r="AB1115" s="24"/>
      <c r="AC1115" s="24"/>
      <c r="AD1115" s="24"/>
      <c r="AE1115" s="24"/>
    </row>
    <row r="1116" spans="1:35" s="1" customFormat="1" ht="10.5" x14ac:dyDescent="0.25">
      <c r="A1116" s="17"/>
      <c r="B1116" s="18" t="s">
        <v>1355</v>
      </c>
      <c r="C1116" s="18"/>
      <c r="D1116" s="84" t="s">
        <v>1356</v>
      </c>
      <c r="E1116" s="20"/>
      <c r="F1116" s="20"/>
      <c r="G1116" s="20"/>
      <c r="H1116" s="20"/>
      <c r="I1116" s="20"/>
      <c r="J1116" s="20"/>
      <c r="K1116" s="20"/>
      <c r="L1116" s="20"/>
      <c r="M1116" s="20">
        <f>M1117</f>
        <v>1</v>
      </c>
      <c r="N1116" s="20"/>
      <c r="O1116" s="37">
        <f t="shared" ref="O1116:AC1116" si="744">O1117</f>
        <v>79800000</v>
      </c>
      <c r="P1116" s="37">
        <f t="shared" si="744"/>
        <v>0</v>
      </c>
      <c r="Q1116" s="20">
        <f t="shared" si="744"/>
        <v>0</v>
      </c>
      <c r="R1116" s="20">
        <f t="shared" si="744"/>
        <v>0</v>
      </c>
      <c r="S1116" s="37">
        <f t="shared" si="744"/>
        <v>79800000</v>
      </c>
      <c r="T1116" s="20"/>
      <c r="U1116" s="37">
        <f t="shared" si="744"/>
        <v>1596000</v>
      </c>
      <c r="V1116" s="37"/>
      <c r="W1116" s="37">
        <f t="shared" si="744"/>
        <v>798000</v>
      </c>
      <c r="X1116" s="37"/>
      <c r="Y1116" s="37">
        <f t="shared" si="744"/>
        <v>798000</v>
      </c>
      <c r="Z1116" s="37">
        <f t="shared" si="744"/>
        <v>1596000</v>
      </c>
      <c r="AA1116" s="37"/>
      <c r="AB1116" s="37">
        <f t="shared" si="744"/>
        <v>17556000</v>
      </c>
      <c r="AC1116" s="37">
        <f t="shared" si="744"/>
        <v>62244000</v>
      </c>
      <c r="AD1116" s="20"/>
      <c r="AE1116" s="20"/>
    </row>
    <row r="1117" spans="1:35" s="1" customFormat="1" ht="10.5" x14ac:dyDescent="0.25">
      <c r="A1117" s="25"/>
      <c r="B1117" s="26" t="s">
        <v>1357</v>
      </c>
      <c r="C1117" s="26"/>
      <c r="D1117" s="64" t="s">
        <v>1358</v>
      </c>
      <c r="E1117" s="28"/>
      <c r="F1117" s="28"/>
      <c r="G1117" s="28"/>
      <c r="H1117" s="28"/>
      <c r="I1117" s="28"/>
      <c r="J1117" s="28"/>
      <c r="K1117" s="28"/>
      <c r="L1117" s="28"/>
      <c r="M1117" s="28">
        <f>SUM(M1118:M1119)</f>
        <v>1</v>
      </c>
      <c r="N1117" s="28"/>
      <c r="O1117" s="40">
        <f>SUM(O1118:O1119)</f>
        <v>79800000</v>
      </c>
      <c r="P1117" s="40">
        <f>SUM(P1118:P1119)</f>
        <v>0</v>
      </c>
      <c r="Q1117" s="28">
        <f>SUM(Q1118:Q1119)</f>
        <v>0</v>
      </c>
      <c r="R1117" s="28">
        <f>SUM(R1118:R1119)</f>
        <v>0</v>
      </c>
      <c r="S1117" s="40">
        <f>SUM(S1118:S1119)</f>
        <v>79800000</v>
      </c>
      <c r="T1117" s="28"/>
      <c r="U1117" s="40">
        <f>SUM(U1118:U1119)</f>
        <v>1596000</v>
      </c>
      <c r="V1117" s="40"/>
      <c r="W1117" s="40">
        <f>SUM(W1118:W1119)</f>
        <v>798000</v>
      </c>
      <c r="X1117" s="40"/>
      <c r="Y1117" s="40">
        <f>SUM(Y1118:Y1119)</f>
        <v>798000</v>
      </c>
      <c r="Z1117" s="40">
        <f>SUM(Z1118:Z1119)</f>
        <v>1596000</v>
      </c>
      <c r="AA1117" s="40"/>
      <c r="AB1117" s="40">
        <f>SUM(AB1118:AB1119)</f>
        <v>17556000</v>
      </c>
      <c r="AC1117" s="40">
        <f>SUM(AC1118:AC1119)</f>
        <v>62244000</v>
      </c>
      <c r="AD1117" s="28"/>
      <c r="AE1117" s="28"/>
    </row>
    <row r="1118" spans="1:35" s="1" customFormat="1" ht="10.5" x14ac:dyDescent="0.25">
      <c r="A1118" s="21"/>
      <c r="B1118" s="22" t="s">
        <v>1796</v>
      </c>
      <c r="C1118" s="65" t="s">
        <v>58</v>
      </c>
      <c r="D1118" s="24" t="s">
        <v>1321</v>
      </c>
      <c r="E1118" s="52"/>
      <c r="F1118" s="24"/>
      <c r="G1118" s="24" t="s">
        <v>1309</v>
      </c>
      <c r="H1118" s="24" t="s">
        <v>62</v>
      </c>
      <c r="I1118" s="24">
        <v>2012</v>
      </c>
      <c r="J1118" s="24"/>
      <c r="K1118" s="24"/>
      <c r="L1118" s="24" t="s">
        <v>64</v>
      </c>
      <c r="M1118" s="24">
        <v>1</v>
      </c>
      <c r="N1118" s="53">
        <v>79800000</v>
      </c>
      <c r="O1118" s="53">
        <v>79800000</v>
      </c>
      <c r="P1118" s="53"/>
      <c r="Q1118" s="43"/>
      <c r="R1118" s="52"/>
      <c r="S1118" s="53">
        <v>79800000</v>
      </c>
      <c r="T1118" s="52">
        <v>50</v>
      </c>
      <c r="U1118" s="53">
        <f t="shared" ref="U1118" si="745">SUM(S1118/T1118)</f>
        <v>1596000</v>
      </c>
      <c r="V1118" s="52">
        <v>0.5</v>
      </c>
      <c r="W1118" s="53">
        <f t="shared" ref="W1118" si="746">SUM(U1118*V1118)</f>
        <v>798000</v>
      </c>
      <c r="X1118" s="54">
        <v>0.5</v>
      </c>
      <c r="Y1118" s="56">
        <f t="shared" ref="Y1118" si="747">SUM(U1118*X1118)</f>
        <v>798000</v>
      </c>
      <c r="Z1118" s="56">
        <f t="shared" ref="Z1118" si="748">W1118+Y1118</f>
        <v>1596000</v>
      </c>
      <c r="AA1118" s="52">
        <v>11</v>
      </c>
      <c r="AB1118" s="56">
        <f t="shared" ref="AB1118" si="749">SUM(U1118*AA1118)</f>
        <v>17556000</v>
      </c>
      <c r="AC1118" s="53">
        <f t="shared" ref="AC1118" si="750">SUM(S1118-AB1118)</f>
        <v>62244000</v>
      </c>
      <c r="AD1118" s="52" t="s">
        <v>1307</v>
      </c>
      <c r="AE1118" s="52"/>
    </row>
    <row r="1119" spans="1:35" s="1" customFormat="1" ht="10.5" x14ac:dyDescent="0.25">
      <c r="A1119" s="21"/>
      <c r="B1119" s="22"/>
      <c r="C1119" s="22"/>
      <c r="D1119" s="65"/>
      <c r="E1119" s="24"/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4"/>
      <c r="R1119" s="24"/>
      <c r="S1119" s="24"/>
      <c r="T1119" s="24"/>
      <c r="U1119" s="24"/>
      <c r="V1119" s="24"/>
      <c r="W1119" s="24"/>
      <c r="X1119" s="24"/>
      <c r="Y1119" s="24"/>
      <c r="Z1119" s="24"/>
      <c r="AA1119" s="24"/>
      <c r="AB1119" s="24"/>
      <c r="AC1119" s="24"/>
      <c r="AD1119" s="24"/>
      <c r="AE1119" s="24"/>
    </row>
    <row r="1120" spans="1:35" s="1" customFormat="1" ht="10.5" x14ac:dyDescent="0.25">
      <c r="A1120" s="17"/>
      <c r="B1120" s="18" t="s">
        <v>1359</v>
      </c>
      <c r="C1120" s="18"/>
      <c r="D1120" s="84" t="s">
        <v>1360</v>
      </c>
      <c r="E1120" s="20"/>
      <c r="F1120" s="20"/>
      <c r="G1120" s="20"/>
      <c r="H1120" s="20"/>
      <c r="I1120" s="20"/>
      <c r="J1120" s="20"/>
      <c r="K1120" s="20"/>
      <c r="L1120" s="20"/>
      <c r="M1120" s="20">
        <f>M1121</f>
        <v>0</v>
      </c>
      <c r="N1120" s="20"/>
      <c r="O1120" s="20">
        <f t="shared" ref="O1120:AC1120" si="751">O1121</f>
        <v>0</v>
      </c>
      <c r="P1120" s="20">
        <f t="shared" si="751"/>
        <v>0</v>
      </c>
      <c r="Q1120" s="20">
        <f t="shared" si="751"/>
        <v>0</v>
      </c>
      <c r="R1120" s="20">
        <f t="shared" si="751"/>
        <v>0</v>
      </c>
      <c r="S1120" s="20">
        <f t="shared" si="751"/>
        <v>0</v>
      </c>
      <c r="T1120" s="20"/>
      <c r="U1120" s="20">
        <f t="shared" si="751"/>
        <v>0</v>
      </c>
      <c r="V1120" s="20"/>
      <c r="W1120" s="20">
        <f t="shared" si="751"/>
        <v>0</v>
      </c>
      <c r="X1120" s="20"/>
      <c r="Y1120" s="20">
        <f t="shared" si="751"/>
        <v>0</v>
      </c>
      <c r="Z1120" s="20">
        <f t="shared" si="751"/>
        <v>0</v>
      </c>
      <c r="AA1120" s="20"/>
      <c r="AB1120" s="20">
        <f t="shared" si="751"/>
        <v>0</v>
      </c>
      <c r="AC1120" s="20">
        <f t="shared" si="751"/>
        <v>0</v>
      </c>
      <c r="AD1120" s="20"/>
      <c r="AE1120" s="20"/>
    </row>
    <row r="1121" spans="1:34" s="1" customFormat="1" ht="10.5" x14ac:dyDescent="0.25">
      <c r="A1121" s="25"/>
      <c r="B1121" s="26" t="s">
        <v>1361</v>
      </c>
      <c r="C1121" s="26"/>
      <c r="D1121" s="64" t="s">
        <v>1362</v>
      </c>
      <c r="E1121" s="28"/>
      <c r="F1121" s="28"/>
      <c r="G1121" s="28"/>
      <c r="H1121" s="28"/>
      <c r="I1121" s="28"/>
      <c r="J1121" s="28"/>
      <c r="K1121" s="28"/>
      <c r="L1121" s="28"/>
      <c r="M1121" s="28">
        <f>SUM(M1122:M1122)</f>
        <v>0</v>
      </c>
      <c r="N1121" s="28"/>
      <c r="O1121" s="28">
        <f>SUM(O1122:O1122)</f>
        <v>0</v>
      </c>
      <c r="P1121" s="28">
        <f>SUM(P1122:P1122)</f>
        <v>0</v>
      </c>
      <c r="Q1121" s="28">
        <f>SUM(Q1122:Q1122)</f>
        <v>0</v>
      </c>
      <c r="R1121" s="28">
        <f>SUM(R1122:R1122)</f>
        <v>0</v>
      </c>
      <c r="S1121" s="28">
        <f>SUM(S1122:S1122)</f>
        <v>0</v>
      </c>
      <c r="T1121" s="28"/>
      <c r="U1121" s="28">
        <f>SUM(U1122:U1122)</f>
        <v>0</v>
      </c>
      <c r="V1121" s="28"/>
      <c r="W1121" s="28">
        <f>SUM(W1122:W1122)</f>
        <v>0</v>
      </c>
      <c r="X1121" s="28"/>
      <c r="Y1121" s="28">
        <f>SUM(Y1122:Y1122)</f>
        <v>0</v>
      </c>
      <c r="Z1121" s="28">
        <f>SUM(Z1122:Z1122)</f>
        <v>0</v>
      </c>
      <c r="AA1121" s="28"/>
      <c r="AB1121" s="28">
        <f>SUM(AB1122:AB1122)</f>
        <v>0</v>
      </c>
      <c r="AC1121" s="28">
        <f>SUM(AC1122:AC1122)</f>
        <v>0</v>
      </c>
      <c r="AD1121" s="28"/>
      <c r="AE1121" s="28"/>
    </row>
    <row r="1122" spans="1:34" s="1" customFormat="1" ht="10.5" x14ac:dyDescent="0.25">
      <c r="A1122" s="21"/>
      <c r="B1122" s="22"/>
      <c r="C1122" s="22"/>
      <c r="D1122" s="65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  <c r="S1122" s="24"/>
      <c r="T1122" s="24"/>
      <c r="U1122" s="24"/>
      <c r="V1122" s="24"/>
      <c r="W1122" s="24"/>
      <c r="X1122" s="24"/>
      <c r="Y1122" s="24"/>
      <c r="Z1122" s="24"/>
      <c r="AA1122" s="24"/>
      <c r="AB1122" s="24"/>
      <c r="AC1122" s="24"/>
      <c r="AD1122" s="24"/>
      <c r="AE1122" s="24"/>
      <c r="AF1122" s="8"/>
    </row>
    <row r="1123" spans="1:34" s="16" customFormat="1" ht="23.25" customHeight="1" x14ac:dyDescent="0.25">
      <c r="A1123" s="29">
        <v>4</v>
      </c>
      <c r="B1123" s="30" t="s">
        <v>1363</v>
      </c>
      <c r="C1123" s="30"/>
      <c r="D1123" s="89" t="s">
        <v>1364</v>
      </c>
      <c r="E1123" s="32"/>
      <c r="F1123" s="32"/>
      <c r="G1123" s="32"/>
      <c r="H1123" s="32"/>
      <c r="I1123" s="32"/>
      <c r="J1123" s="32"/>
      <c r="K1123" s="32"/>
      <c r="L1123" s="32"/>
      <c r="M1123" s="32">
        <f>M1124+M1131+M1146+M1195</f>
        <v>18</v>
      </c>
      <c r="N1123" s="32"/>
      <c r="O1123" s="34">
        <f>O1124+O1131+O1146+O1195</f>
        <v>1749770100</v>
      </c>
      <c r="P1123" s="32">
        <f>P1124+P1131+P1146+P1195</f>
        <v>0</v>
      </c>
      <c r="Q1123" s="32">
        <f>Q1124+Q1131+Q1146+Q1195</f>
        <v>0</v>
      </c>
      <c r="R1123" s="32">
        <f>R1124+R1131+R1146+R1195</f>
        <v>0</v>
      </c>
      <c r="S1123" s="34">
        <f>S1124+S1131+S1146+S1195</f>
        <v>1837760683.3333335</v>
      </c>
      <c r="T1123" s="34"/>
      <c r="U1123" s="34">
        <f>U1124+U1131+U1146+U1195</f>
        <v>43087151.180672273</v>
      </c>
      <c r="V1123" s="34"/>
      <c r="W1123" s="34">
        <f>W1124+W1131+W1146+W1195</f>
        <v>19703091.416666668</v>
      </c>
      <c r="X1123" s="34"/>
      <c r="Y1123" s="34">
        <f>Y1124+Y1131+Y1146+Y1195</f>
        <v>19245774.890056022</v>
      </c>
      <c r="Z1123" s="34">
        <f>Z1124+Z1131+Z1146+Z1195</f>
        <v>38948866.306722686</v>
      </c>
      <c r="AA1123" s="34"/>
      <c r="AB1123" s="34">
        <f>AB1124+AB1131+AB1146+AB1195</f>
        <v>328634974.3067227</v>
      </c>
      <c r="AC1123" s="34">
        <f>AC1124+AC1131+AC1146+AC1195</f>
        <v>1421135125.6932774</v>
      </c>
      <c r="AD1123" s="32"/>
      <c r="AE1123" s="32"/>
      <c r="AF1123" s="90"/>
      <c r="AG1123" s="36"/>
      <c r="AH1123" s="1"/>
    </row>
    <row r="1124" spans="1:34" s="1" customFormat="1" ht="11.45" x14ac:dyDescent="0.25">
      <c r="A1124" s="17"/>
      <c r="B1124" s="18" t="s">
        <v>1365</v>
      </c>
      <c r="C1124" s="18"/>
      <c r="D1124" s="84" t="s">
        <v>1366</v>
      </c>
      <c r="E1124" s="20"/>
      <c r="F1124" s="20"/>
      <c r="G1124" s="20"/>
      <c r="H1124" s="20"/>
      <c r="I1124" s="20"/>
      <c r="J1124" s="20"/>
      <c r="K1124" s="20"/>
      <c r="L1124" s="20"/>
      <c r="M1124" s="20"/>
      <c r="N1124" s="20"/>
      <c r="O1124" s="20">
        <f>O1125+O1127</f>
        <v>0</v>
      </c>
      <c r="P1124" s="20">
        <f>P1125+P1127</f>
        <v>0</v>
      </c>
      <c r="Q1124" s="20">
        <f>Q1125+Q1127</f>
        <v>0</v>
      </c>
      <c r="R1124" s="20">
        <f>R1125+R1127</f>
        <v>0</v>
      </c>
      <c r="S1124" s="20">
        <f>S1125+S1127</f>
        <v>0</v>
      </c>
      <c r="T1124" s="20"/>
      <c r="U1124" s="20">
        <f>U1125+U1127</f>
        <v>0</v>
      </c>
      <c r="V1124" s="20"/>
      <c r="W1124" s="20">
        <f>W1125+W1127</f>
        <v>0</v>
      </c>
      <c r="X1124" s="20"/>
      <c r="Y1124" s="20">
        <f>Y1125+Y1127</f>
        <v>0</v>
      </c>
      <c r="Z1124" s="20">
        <f>Z1125+Z1127</f>
        <v>0</v>
      </c>
      <c r="AA1124" s="20"/>
      <c r="AB1124" s="20">
        <f>AB1125+AB1127</f>
        <v>0</v>
      </c>
      <c r="AC1124" s="20">
        <f>AC1125+AC1127</f>
        <v>0</v>
      </c>
      <c r="AD1124" s="20"/>
      <c r="AE1124" s="20"/>
      <c r="AF1124" s="5"/>
      <c r="AG1124" s="36"/>
    </row>
    <row r="1125" spans="1:34" s="1" customFormat="1" ht="11.45" x14ac:dyDescent="0.25">
      <c r="A1125" s="25"/>
      <c r="B1125" s="26" t="s">
        <v>1367</v>
      </c>
      <c r="C1125" s="26"/>
      <c r="D1125" s="64" t="s">
        <v>1368</v>
      </c>
      <c r="E1125" s="28"/>
      <c r="F1125" s="28"/>
      <c r="G1125" s="28"/>
      <c r="H1125" s="28"/>
      <c r="I1125" s="28"/>
      <c r="J1125" s="28"/>
      <c r="K1125" s="28"/>
      <c r="L1125" s="28"/>
      <c r="M1125" s="28">
        <f>SUM(M1126:M1126)</f>
        <v>0</v>
      </c>
      <c r="N1125" s="28"/>
      <c r="O1125" s="28">
        <f>SUM(O1126:O1126)</f>
        <v>0</v>
      </c>
      <c r="P1125" s="28">
        <f>SUM(P1126:P1126)</f>
        <v>0</v>
      </c>
      <c r="Q1125" s="28">
        <f>SUM(Q1126:Q1126)</f>
        <v>0</v>
      </c>
      <c r="R1125" s="28">
        <f>SUM(R1126:R1126)</f>
        <v>0</v>
      </c>
      <c r="S1125" s="28">
        <f>SUM(S1126:S1126)</f>
        <v>0</v>
      </c>
      <c r="T1125" s="28"/>
      <c r="U1125" s="28">
        <f>SUM(U1126:U1126)</f>
        <v>0</v>
      </c>
      <c r="V1125" s="28"/>
      <c r="W1125" s="28">
        <f>SUM(W1126:W1126)</f>
        <v>0</v>
      </c>
      <c r="X1125" s="28"/>
      <c r="Y1125" s="28">
        <f>SUM(Y1126:Y1126)</f>
        <v>0</v>
      </c>
      <c r="Z1125" s="28">
        <f>SUM(Z1126:Z1126)</f>
        <v>0</v>
      </c>
      <c r="AA1125" s="28"/>
      <c r="AB1125" s="28">
        <f>SUM(AB1126:AB1126)</f>
        <v>0</v>
      </c>
      <c r="AC1125" s="28">
        <f>SUM(AC1126:AC1126)</f>
        <v>0</v>
      </c>
      <c r="AD1125" s="28"/>
      <c r="AE1125" s="28"/>
      <c r="AF1125" s="8"/>
      <c r="AG1125" s="5"/>
      <c r="AH1125" s="16"/>
    </row>
    <row r="1126" spans="1:34" s="1" customFormat="1" ht="10.5" x14ac:dyDescent="0.25">
      <c r="A1126" s="21"/>
      <c r="B1126" s="22"/>
      <c r="C1126" s="22"/>
      <c r="D1126" s="65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  <c r="S1126" s="24"/>
      <c r="T1126" s="24"/>
      <c r="U1126" s="24"/>
      <c r="V1126" s="24"/>
      <c r="W1126" s="24"/>
      <c r="X1126" s="24"/>
      <c r="Y1126" s="24"/>
      <c r="Z1126" s="24"/>
      <c r="AA1126" s="24"/>
      <c r="AB1126" s="24"/>
      <c r="AC1126" s="24"/>
      <c r="AD1126" s="24"/>
      <c r="AE1126" s="24"/>
    </row>
    <row r="1127" spans="1:34" s="1" customFormat="1" ht="10.5" x14ac:dyDescent="0.25">
      <c r="A1127" s="25"/>
      <c r="B1127" s="26" t="s">
        <v>1369</v>
      </c>
      <c r="C1127" s="26"/>
      <c r="D1127" s="64" t="s">
        <v>1370</v>
      </c>
      <c r="E1127" s="28"/>
      <c r="F1127" s="28"/>
      <c r="G1127" s="28"/>
      <c r="H1127" s="28"/>
      <c r="I1127" s="28"/>
      <c r="J1127" s="28"/>
      <c r="K1127" s="28"/>
      <c r="L1127" s="28"/>
      <c r="M1127" s="28">
        <f>SUM(M1128:M1130)</f>
        <v>0</v>
      </c>
      <c r="N1127" s="28"/>
      <c r="O1127" s="28">
        <f t="shared" ref="O1127:AC1127" si="752">SUM(O1128:O1130)</f>
        <v>0</v>
      </c>
      <c r="P1127" s="28">
        <f t="shared" si="752"/>
        <v>0</v>
      </c>
      <c r="Q1127" s="28">
        <f t="shared" si="752"/>
        <v>0</v>
      </c>
      <c r="R1127" s="28">
        <f t="shared" si="752"/>
        <v>0</v>
      </c>
      <c r="S1127" s="28">
        <f t="shared" si="752"/>
        <v>0</v>
      </c>
      <c r="T1127" s="28"/>
      <c r="U1127" s="28">
        <f t="shared" si="752"/>
        <v>0</v>
      </c>
      <c r="V1127" s="28"/>
      <c r="W1127" s="28">
        <f t="shared" si="752"/>
        <v>0</v>
      </c>
      <c r="X1127" s="28"/>
      <c r="Y1127" s="28">
        <f t="shared" si="752"/>
        <v>0</v>
      </c>
      <c r="Z1127" s="28">
        <f t="shared" si="752"/>
        <v>0</v>
      </c>
      <c r="AA1127" s="28"/>
      <c r="AB1127" s="28">
        <f t="shared" si="752"/>
        <v>0</v>
      </c>
      <c r="AC1127" s="28">
        <f t="shared" si="752"/>
        <v>0</v>
      </c>
      <c r="AD1127" s="28"/>
      <c r="AE1127" s="28"/>
    </row>
    <row r="1128" spans="1:34" s="1" customFormat="1" ht="10.5" x14ac:dyDescent="0.25">
      <c r="A1128" s="21"/>
      <c r="B1128" s="22"/>
      <c r="C1128" s="22"/>
      <c r="D1128" s="65"/>
      <c r="E1128" s="24"/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4"/>
      <c r="R1128" s="24"/>
      <c r="S1128" s="24"/>
      <c r="T1128" s="24"/>
      <c r="U1128" s="24"/>
      <c r="V1128" s="24"/>
      <c r="W1128" s="24"/>
      <c r="X1128" s="24"/>
      <c r="Y1128" s="24"/>
      <c r="Z1128" s="24"/>
      <c r="AA1128" s="24"/>
      <c r="AB1128" s="24"/>
      <c r="AC1128" s="24"/>
      <c r="AD1128" s="24"/>
      <c r="AE1128" s="24"/>
    </row>
    <row r="1129" spans="1:34" s="1" customFormat="1" ht="10.5" x14ac:dyDescent="0.25">
      <c r="A1129" s="21"/>
      <c r="B1129" s="22"/>
      <c r="C1129" s="22"/>
      <c r="D1129" s="65"/>
      <c r="E1129" s="24"/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24"/>
      <c r="S1129" s="24"/>
      <c r="T1129" s="24"/>
      <c r="U1129" s="24"/>
      <c r="V1129" s="24"/>
      <c r="W1129" s="24"/>
      <c r="X1129" s="24"/>
      <c r="Y1129" s="24"/>
      <c r="Z1129" s="24"/>
      <c r="AA1129" s="24"/>
      <c r="AB1129" s="24"/>
      <c r="AC1129" s="24"/>
      <c r="AD1129" s="24"/>
      <c r="AE1129" s="24"/>
    </row>
    <row r="1130" spans="1:34" s="1" customFormat="1" ht="10.5" x14ac:dyDescent="0.25">
      <c r="A1130" s="21"/>
      <c r="B1130" s="22"/>
      <c r="C1130" s="22"/>
      <c r="D1130" s="65"/>
      <c r="E1130" s="24"/>
      <c r="F1130" s="24"/>
      <c r="G1130" s="24"/>
      <c r="H1130" s="24"/>
      <c r="I1130" s="24"/>
      <c r="J1130" s="24"/>
      <c r="K1130" s="24"/>
      <c r="L1130" s="24"/>
      <c r="M1130" s="24"/>
      <c r="N1130" s="24"/>
      <c r="O1130" s="24"/>
      <c r="P1130" s="24"/>
      <c r="Q1130" s="24"/>
      <c r="R1130" s="24"/>
      <c r="S1130" s="24"/>
      <c r="T1130" s="24"/>
      <c r="U1130" s="24"/>
      <c r="V1130" s="24"/>
      <c r="W1130" s="24"/>
      <c r="X1130" s="24"/>
      <c r="Y1130" s="24"/>
      <c r="Z1130" s="24"/>
      <c r="AA1130" s="24"/>
      <c r="AB1130" s="24"/>
      <c r="AC1130" s="24"/>
      <c r="AD1130" s="24"/>
      <c r="AE1130" s="24"/>
    </row>
    <row r="1131" spans="1:34" s="1" customFormat="1" ht="10.5" x14ac:dyDescent="0.25">
      <c r="A1131" s="17"/>
      <c r="B1131" s="18" t="s">
        <v>1371</v>
      </c>
      <c r="C1131" s="18"/>
      <c r="D1131" s="84" t="s">
        <v>1372</v>
      </c>
      <c r="E1131" s="20"/>
      <c r="F1131" s="20"/>
      <c r="G1131" s="20"/>
      <c r="H1131" s="20"/>
      <c r="I1131" s="20"/>
      <c r="J1131" s="20"/>
      <c r="K1131" s="20"/>
      <c r="L1131" s="20"/>
      <c r="M1131" s="20">
        <f>M1132+M1134+M1136+M1138+M1140+M1142+M1144</f>
        <v>0</v>
      </c>
      <c r="N1131" s="20"/>
      <c r="O1131" s="20">
        <f>O1132+O1134+O1136+O1138+O1140+O1142+O1144</f>
        <v>0</v>
      </c>
      <c r="P1131" s="20">
        <f>P1132+P1134+P1136+P1138+P1140+P1142+P1144</f>
        <v>0</v>
      </c>
      <c r="Q1131" s="20">
        <f>Q1132+Q1134+Q1136+Q1138+Q1140+Q1142+Q1144</f>
        <v>0</v>
      </c>
      <c r="R1131" s="20">
        <f>R1132+R1134+R1136+R1138+R1140+R1142+R1144</f>
        <v>0</v>
      </c>
      <c r="S1131" s="20">
        <f>S1132+S1134+S1136+S1138+S1140+S1142+S1144</f>
        <v>0</v>
      </c>
      <c r="T1131" s="20"/>
      <c r="U1131" s="20">
        <f>U1132+U1134+U1136+U1138+U1140+U1142+U1144</f>
        <v>0</v>
      </c>
      <c r="V1131" s="20"/>
      <c r="W1131" s="20">
        <f>W1132+W1134+W1136+W1138+W1140+W1142+W1144</f>
        <v>0</v>
      </c>
      <c r="X1131" s="20"/>
      <c r="Y1131" s="20">
        <f>Y1132+Y1134+Y1136+Y1138+Y1140+Y1142+Y1144</f>
        <v>0</v>
      </c>
      <c r="Z1131" s="20">
        <f>Z1132+Z1134+Z1136+Z1138+Z1140+Z1142+Z1144</f>
        <v>0</v>
      </c>
      <c r="AA1131" s="20"/>
      <c r="AB1131" s="20">
        <f>AB1132+AB1134+AB1136+AB1138+AB1140+AB1142+AB1144</f>
        <v>0</v>
      </c>
      <c r="AC1131" s="20">
        <f>AC1132+AC1134+AC1136+AC1138+AC1140+AC1142+AC1144</f>
        <v>0</v>
      </c>
      <c r="AD1131" s="20"/>
      <c r="AE1131" s="20"/>
    </row>
    <row r="1132" spans="1:34" s="1" customFormat="1" ht="10.5" x14ac:dyDescent="0.25">
      <c r="A1132" s="25"/>
      <c r="B1132" s="26" t="s">
        <v>1373</v>
      </c>
      <c r="C1132" s="26"/>
      <c r="D1132" s="64" t="s">
        <v>1374</v>
      </c>
      <c r="E1132" s="28"/>
      <c r="F1132" s="28"/>
      <c r="G1132" s="28"/>
      <c r="H1132" s="28"/>
      <c r="I1132" s="28"/>
      <c r="J1132" s="28"/>
      <c r="K1132" s="28"/>
      <c r="L1132" s="28"/>
      <c r="M1132" s="28">
        <f>SUM(M1133:M1133)</f>
        <v>0</v>
      </c>
      <c r="N1132" s="28"/>
      <c r="O1132" s="28">
        <f>SUM(O1133:O1133)</f>
        <v>0</v>
      </c>
      <c r="P1132" s="28">
        <f>SUM(P1133:P1133)</f>
        <v>0</v>
      </c>
      <c r="Q1132" s="28">
        <f>SUM(Q1133:Q1133)</f>
        <v>0</v>
      </c>
      <c r="R1132" s="28">
        <f>SUM(R1133:R1133)</f>
        <v>0</v>
      </c>
      <c r="S1132" s="28">
        <f>SUM(S1133:S1133)</f>
        <v>0</v>
      </c>
      <c r="T1132" s="28"/>
      <c r="U1132" s="28">
        <f>SUM(U1133:U1133)</f>
        <v>0</v>
      </c>
      <c r="V1132" s="28"/>
      <c r="W1132" s="28">
        <f>SUM(W1133:W1133)</f>
        <v>0</v>
      </c>
      <c r="X1132" s="28"/>
      <c r="Y1132" s="28">
        <f>SUM(Y1133:Y1133)</f>
        <v>0</v>
      </c>
      <c r="Z1132" s="28">
        <f>SUM(Z1133:Z1133)</f>
        <v>0</v>
      </c>
      <c r="AA1132" s="28"/>
      <c r="AB1132" s="28">
        <f>SUM(AB1133:AB1133)</f>
        <v>0</v>
      </c>
      <c r="AC1132" s="28">
        <f>SUM(AC1133:AC1133)</f>
        <v>0</v>
      </c>
      <c r="AD1132" s="28"/>
      <c r="AE1132" s="28"/>
    </row>
    <row r="1133" spans="1:34" s="1" customFormat="1" ht="10.5" x14ac:dyDescent="0.25">
      <c r="A1133" s="21"/>
      <c r="B1133" s="22"/>
      <c r="C1133" s="22"/>
      <c r="D1133" s="65"/>
      <c r="E1133" s="24"/>
      <c r="F1133" s="24"/>
      <c r="G1133" s="24"/>
      <c r="H1133" s="24"/>
      <c r="I1133" s="24"/>
      <c r="J1133" s="24"/>
      <c r="K1133" s="24"/>
      <c r="L1133" s="24"/>
      <c r="M1133" s="24"/>
      <c r="N1133" s="24"/>
      <c r="O1133" s="24"/>
      <c r="P1133" s="24"/>
      <c r="Q1133" s="24"/>
      <c r="R1133" s="24"/>
      <c r="S1133" s="24"/>
      <c r="T1133" s="24"/>
      <c r="U1133" s="24"/>
      <c r="V1133" s="24"/>
      <c r="W1133" s="24"/>
      <c r="X1133" s="24"/>
      <c r="Y1133" s="24"/>
      <c r="Z1133" s="24"/>
      <c r="AA1133" s="24"/>
      <c r="AB1133" s="24"/>
      <c r="AC1133" s="24"/>
      <c r="AD1133" s="24"/>
      <c r="AE1133" s="24"/>
    </row>
    <row r="1134" spans="1:34" s="1" customFormat="1" ht="10.5" x14ac:dyDescent="0.25">
      <c r="A1134" s="25"/>
      <c r="B1134" s="26" t="s">
        <v>1375</v>
      </c>
      <c r="C1134" s="26"/>
      <c r="D1134" s="64" t="s">
        <v>1376</v>
      </c>
      <c r="E1134" s="28"/>
      <c r="F1134" s="28"/>
      <c r="G1134" s="28"/>
      <c r="H1134" s="28"/>
      <c r="I1134" s="28"/>
      <c r="J1134" s="28"/>
      <c r="K1134" s="28"/>
      <c r="L1134" s="28"/>
      <c r="M1134" s="28">
        <f>SUM(M1135:M1135)</f>
        <v>0</v>
      </c>
      <c r="N1134" s="28"/>
      <c r="O1134" s="28">
        <f>SUM(O1135:O1135)</f>
        <v>0</v>
      </c>
      <c r="P1134" s="28">
        <f>SUM(P1135:P1135)</f>
        <v>0</v>
      </c>
      <c r="Q1134" s="28">
        <f>SUM(Q1135:Q1135)</f>
        <v>0</v>
      </c>
      <c r="R1134" s="28">
        <f>SUM(R1135:R1135)</f>
        <v>0</v>
      </c>
      <c r="S1134" s="28">
        <f>SUM(S1135:S1135)</f>
        <v>0</v>
      </c>
      <c r="T1134" s="28"/>
      <c r="U1134" s="28">
        <f>SUM(U1135:U1135)</f>
        <v>0</v>
      </c>
      <c r="V1134" s="28"/>
      <c r="W1134" s="28">
        <f>SUM(W1135:W1135)</f>
        <v>0</v>
      </c>
      <c r="X1134" s="28"/>
      <c r="Y1134" s="28">
        <f>SUM(Y1135:Y1135)</f>
        <v>0</v>
      </c>
      <c r="Z1134" s="28">
        <f>SUM(Z1135:Z1135)</f>
        <v>0</v>
      </c>
      <c r="AA1134" s="28"/>
      <c r="AB1134" s="28">
        <f>SUM(AB1135:AB1135)</f>
        <v>0</v>
      </c>
      <c r="AC1134" s="28">
        <f>SUM(AC1135:AC1135)</f>
        <v>0</v>
      </c>
      <c r="AD1134" s="28"/>
      <c r="AE1134" s="28"/>
    </row>
    <row r="1135" spans="1:34" s="1" customFormat="1" ht="10.5" x14ac:dyDescent="0.25">
      <c r="A1135" s="21"/>
      <c r="B1135" s="22"/>
      <c r="C1135" s="22"/>
      <c r="D1135" s="65"/>
      <c r="E1135" s="24"/>
      <c r="F1135" s="24"/>
      <c r="G1135" s="24"/>
      <c r="H1135" s="24"/>
      <c r="I1135" s="24"/>
      <c r="J1135" s="24"/>
      <c r="K1135" s="24"/>
      <c r="L1135" s="24"/>
      <c r="M1135" s="24"/>
      <c r="N1135" s="24"/>
      <c r="O1135" s="24"/>
      <c r="P1135" s="24"/>
      <c r="Q1135" s="24"/>
      <c r="R1135" s="24"/>
      <c r="S1135" s="24"/>
      <c r="T1135" s="24"/>
      <c r="U1135" s="24"/>
      <c r="V1135" s="24"/>
      <c r="W1135" s="24"/>
      <c r="X1135" s="24"/>
      <c r="Y1135" s="24"/>
      <c r="Z1135" s="24"/>
      <c r="AA1135" s="24"/>
      <c r="AB1135" s="24"/>
      <c r="AC1135" s="24"/>
      <c r="AD1135" s="24"/>
      <c r="AE1135" s="24"/>
    </row>
    <row r="1136" spans="1:34" s="1" customFormat="1" ht="21" x14ac:dyDescent="0.25">
      <c r="A1136" s="25"/>
      <c r="B1136" s="26" t="s">
        <v>1377</v>
      </c>
      <c r="C1136" s="26"/>
      <c r="D1136" s="64" t="s">
        <v>1378</v>
      </c>
      <c r="E1136" s="28"/>
      <c r="F1136" s="28"/>
      <c r="G1136" s="28"/>
      <c r="H1136" s="28"/>
      <c r="I1136" s="28"/>
      <c r="J1136" s="28"/>
      <c r="K1136" s="28"/>
      <c r="L1136" s="28"/>
      <c r="M1136" s="28">
        <f>SUM(M1137:M1137)</f>
        <v>0</v>
      </c>
      <c r="N1136" s="28"/>
      <c r="O1136" s="28">
        <f>SUM(O1137:O1137)</f>
        <v>0</v>
      </c>
      <c r="P1136" s="28">
        <f>SUM(P1137:P1137)</f>
        <v>0</v>
      </c>
      <c r="Q1136" s="28">
        <f>SUM(Q1137:Q1137)</f>
        <v>0</v>
      </c>
      <c r="R1136" s="28">
        <f>SUM(R1137:R1137)</f>
        <v>0</v>
      </c>
      <c r="S1136" s="28">
        <f>SUM(S1137:S1137)</f>
        <v>0</v>
      </c>
      <c r="T1136" s="28"/>
      <c r="U1136" s="28">
        <f>SUM(U1137:U1137)</f>
        <v>0</v>
      </c>
      <c r="V1136" s="28"/>
      <c r="W1136" s="28">
        <f>SUM(W1137:W1137)</f>
        <v>0</v>
      </c>
      <c r="X1136" s="28"/>
      <c r="Y1136" s="28">
        <f>SUM(Y1137:Y1137)</f>
        <v>0</v>
      </c>
      <c r="Z1136" s="28">
        <f>SUM(Z1137:Z1137)</f>
        <v>0</v>
      </c>
      <c r="AA1136" s="28"/>
      <c r="AB1136" s="28">
        <f>SUM(AB1137:AB1137)</f>
        <v>0</v>
      </c>
      <c r="AC1136" s="28">
        <f>SUM(AC1137:AC1137)</f>
        <v>0</v>
      </c>
      <c r="AD1136" s="28"/>
      <c r="AE1136" s="28"/>
    </row>
    <row r="1137" spans="1:33" s="1" customFormat="1" ht="10.5" x14ac:dyDescent="0.25">
      <c r="A1137" s="21"/>
      <c r="B1137" s="22"/>
      <c r="C1137" s="22"/>
      <c r="D1137" s="65"/>
      <c r="E1137" s="24"/>
      <c r="F1137" s="24"/>
      <c r="G1137" s="24"/>
      <c r="H1137" s="24"/>
      <c r="I1137" s="24"/>
      <c r="J1137" s="24"/>
      <c r="K1137" s="24"/>
      <c r="L1137" s="24"/>
      <c r="M1137" s="24"/>
      <c r="N1137" s="24"/>
      <c r="O1137" s="24"/>
      <c r="P1137" s="24"/>
      <c r="Q1137" s="24"/>
      <c r="R1137" s="24"/>
      <c r="S1137" s="24"/>
      <c r="T1137" s="24"/>
      <c r="U1137" s="24"/>
      <c r="V1137" s="24"/>
      <c r="W1137" s="24"/>
      <c r="X1137" s="24"/>
      <c r="Y1137" s="24"/>
      <c r="Z1137" s="24"/>
      <c r="AA1137" s="24"/>
      <c r="AB1137" s="24"/>
      <c r="AC1137" s="24"/>
      <c r="AD1137" s="24"/>
      <c r="AE1137" s="24"/>
    </row>
    <row r="1138" spans="1:33" s="1" customFormat="1" ht="21" x14ac:dyDescent="0.25">
      <c r="A1138" s="25"/>
      <c r="B1138" s="26" t="s">
        <v>1379</v>
      </c>
      <c r="C1138" s="26"/>
      <c r="D1138" s="64" t="s">
        <v>1380</v>
      </c>
      <c r="E1138" s="28"/>
      <c r="F1138" s="28"/>
      <c r="G1138" s="28"/>
      <c r="H1138" s="28"/>
      <c r="I1138" s="28"/>
      <c r="J1138" s="28"/>
      <c r="K1138" s="28"/>
      <c r="L1138" s="28"/>
      <c r="M1138" s="28">
        <f>SUM(M1139:M1139)</f>
        <v>0</v>
      </c>
      <c r="N1138" s="28"/>
      <c r="O1138" s="28">
        <f>SUM(O1139:O1139)</f>
        <v>0</v>
      </c>
      <c r="P1138" s="28">
        <f>SUM(P1139:P1139)</f>
        <v>0</v>
      </c>
      <c r="Q1138" s="28">
        <f>SUM(Q1139:Q1139)</f>
        <v>0</v>
      </c>
      <c r="R1138" s="28">
        <f>SUM(R1139:R1139)</f>
        <v>0</v>
      </c>
      <c r="S1138" s="28">
        <f>SUM(S1139:S1139)</f>
        <v>0</v>
      </c>
      <c r="T1138" s="28"/>
      <c r="U1138" s="28">
        <f>SUM(U1139:U1139)</f>
        <v>0</v>
      </c>
      <c r="V1138" s="28"/>
      <c r="W1138" s="28">
        <f>SUM(W1139:W1139)</f>
        <v>0</v>
      </c>
      <c r="X1138" s="28"/>
      <c r="Y1138" s="28">
        <f>SUM(Y1139:Y1139)</f>
        <v>0</v>
      </c>
      <c r="Z1138" s="28">
        <f>SUM(Z1139:Z1139)</f>
        <v>0</v>
      </c>
      <c r="AA1138" s="28"/>
      <c r="AB1138" s="28">
        <f>SUM(AB1139:AB1139)</f>
        <v>0</v>
      </c>
      <c r="AC1138" s="28">
        <f>SUM(AC1139:AC1139)</f>
        <v>0</v>
      </c>
      <c r="AD1138" s="28"/>
      <c r="AE1138" s="28"/>
    </row>
    <row r="1139" spans="1:33" s="1" customFormat="1" ht="10.5" x14ac:dyDescent="0.25">
      <c r="A1139" s="21"/>
      <c r="B1139" s="22"/>
      <c r="C1139" s="22"/>
      <c r="D1139" s="65"/>
      <c r="E1139" s="24"/>
      <c r="F1139" s="24"/>
      <c r="G1139" s="24"/>
      <c r="H1139" s="24"/>
      <c r="I1139" s="24"/>
      <c r="J1139" s="24"/>
      <c r="K1139" s="24"/>
      <c r="L1139" s="24"/>
      <c r="M1139" s="24"/>
      <c r="N1139" s="24"/>
      <c r="O1139" s="24"/>
      <c r="P1139" s="24"/>
      <c r="Q1139" s="24"/>
      <c r="R1139" s="24"/>
      <c r="S1139" s="24"/>
      <c r="T1139" s="24"/>
      <c r="U1139" s="24"/>
      <c r="V1139" s="24"/>
      <c r="W1139" s="24"/>
      <c r="X1139" s="24"/>
      <c r="Y1139" s="24"/>
      <c r="Z1139" s="24"/>
      <c r="AA1139" s="24"/>
      <c r="AB1139" s="24"/>
      <c r="AC1139" s="24"/>
      <c r="AD1139" s="24"/>
      <c r="AE1139" s="24"/>
    </row>
    <row r="1140" spans="1:33" s="1" customFormat="1" ht="21" x14ac:dyDescent="0.25">
      <c r="A1140" s="25"/>
      <c r="B1140" s="26" t="s">
        <v>1381</v>
      </c>
      <c r="C1140" s="26"/>
      <c r="D1140" s="64" t="s">
        <v>1382</v>
      </c>
      <c r="E1140" s="28"/>
      <c r="F1140" s="28"/>
      <c r="G1140" s="28"/>
      <c r="H1140" s="28"/>
      <c r="I1140" s="28"/>
      <c r="J1140" s="28"/>
      <c r="K1140" s="28"/>
      <c r="L1140" s="28"/>
      <c r="M1140" s="28">
        <f>SUM(M1141:M1141)</f>
        <v>0</v>
      </c>
      <c r="N1140" s="28"/>
      <c r="O1140" s="28">
        <f>SUM(O1141:O1141)</f>
        <v>0</v>
      </c>
      <c r="P1140" s="28">
        <f>SUM(P1141:P1141)</f>
        <v>0</v>
      </c>
      <c r="Q1140" s="28">
        <f>SUM(Q1141:Q1141)</f>
        <v>0</v>
      </c>
      <c r="R1140" s="28">
        <f>SUM(R1141:R1141)</f>
        <v>0</v>
      </c>
      <c r="S1140" s="28">
        <f>SUM(S1141:S1141)</f>
        <v>0</v>
      </c>
      <c r="T1140" s="28"/>
      <c r="U1140" s="28">
        <f>SUM(U1141:U1141)</f>
        <v>0</v>
      </c>
      <c r="V1140" s="28"/>
      <c r="W1140" s="28">
        <f>SUM(W1141:W1141)</f>
        <v>0</v>
      </c>
      <c r="X1140" s="28"/>
      <c r="Y1140" s="28">
        <f>SUM(Y1141:Y1141)</f>
        <v>0</v>
      </c>
      <c r="Z1140" s="28">
        <f>SUM(Z1141:Z1141)</f>
        <v>0</v>
      </c>
      <c r="AA1140" s="28"/>
      <c r="AB1140" s="28">
        <f>SUM(AB1141:AB1141)</f>
        <v>0</v>
      </c>
      <c r="AC1140" s="28">
        <f>SUM(AC1141:AC1141)</f>
        <v>0</v>
      </c>
      <c r="AD1140" s="28"/>
      <c r="AE1140" s="28"/>
    </row>
    <row r="1141" spans="1:33" s="1" customFormat="1" ht="10.5" x14ac:dyDescent="0.25">
      <c r="A1141" s="21"/>
      <c r="B1141" s="22"/>
      <c r="C1141" s="22"/>
      <c r="D1141" s="65"/>
      <c r="E1141" s="24"/>
      <c r="F1141" s="24"/>
      <c r="G1141" s="24"/>
      <c r="H1141" s="24"/>
      <c r="I1141" s="24"/>
      <c r="J1141" s="24"/>
      <c r="K1141" s="24"/>
      <c r="L1141" s="24"/>
      <c r="M1141" s="24"/>
      <c r="N1141" s="24"/>
      <c r="O1141" s="24"/>
      <c r="P1141" s="24"/>
      <c r="Q1141" s="24"/>
      <c r="R1141" s="24"/>
      <c r="S1141" s="24"/>
      <c r="T1141" s="24"/>
      <c r="U1141" s="24"/>
      <c r="V1141" s="24"/>
      <c r="W1141" s="24"/>
      <c r="X1141" s="24"/>
      <c r="Y1141" s="24"/>
      <c r="Z1141" s="24"/>
      <c r="AA1141" s="24"/>
      <c r="AB1141" s="24"/>
      <c r="AC1141" s="24"/>
      <c r="AD1141" s="24"/>
      <c r="AE1141" s="24"/>
    </row>
    <row r="1142" spans="1:33" s="1" customFormat="1" ht="10.5" x14ac:dyDescent="0.25">
      <c r="A1142" s="25"/>
      <c r="B1142" s="26" t="s">
        <v>1383</v>
      </c>
      <c r="C1142" s="26"/>
      <c r="D1142" s="64" t="s">
        <v>1384</v>
      </c>
      <c r="E1142" s="28"/>
      <c r="F1142" s="28"/>
      <c r="G1142" s="28"/>
      <c r="H1142" s="28"/>
      <c r="I1142" s="28"/>
      <c r="J1142" s="28"/>
      <c r="K1142" s="28"/>
      <c r="L1142" s="28"/>
      <c r="M1142" s="28">
        <f>SUM(M1143:M1143)</f>
        <v>0</v>
      </c>
      <c r="N1142" s="28"/>
      <c r="O1142" s="28">
        <f>SUM(O1143:O1143)</f>
        <v>0</v>
      </c>
      <c r="P1142" s="28">
        <f>SUM(P1143:P1143)</f>
        <v>0</v>
      </c>
      <c r="Q1142" s="28">
        <f>SUM(Q1143:Q1143)</f>
        <v>0</v>
      </c>
      <c r="R1142" s="28">
        <f>SUM(R1143:R1143)</f>
        <v>0</v>
      </c>
      <c r="S1142" s="28">
        <f>SUM(S1143:S1143)</f>
        <v>0</v>
      </c>
      <c r="T1142" s="28"/>
      <c r="U1142" s="28">
        <f>SUM(U1143:U1143)</f>
        <v>0</v>
      </c>
      <c r="V1142" s="28"/>
      <c r="W1142" s="28">
        <f>SUM(W1143:W1143)</f>
        <v>0</v>
      </c>
      <c r="X1142" s="28"/>
      <c r="Y1142" s="28">
        <f>SUM(Y1143:Y1143)</f>
        <v>0</v>
      </c>
      <c r="Z1142" s="28">
        <f>SUM(Z1143:Z1143)</f>
        <v>0</v>
      </c>
      <c r="AA1142" s="28"/>
      <c r="AB1142" s="28">
        <f>SUM(AB1143:AB1143)</f>
        <v>0</v>
      </c>
      <c r="AC1142" s="28">
        <f>SUM(AC1143:AC1143)</f>
        <v>0</v>
      </c>
      <c r="AD1142" s="28"/>
      <c r="AE1142" s="28"/>
    </row>
    <row r="1143" spans="1:33" s="1" customFormat="1" ht="10.5" x14ac:dyDescent="0.25">
      <c r="A1143" s="21"/>
      <c r="B1143" s="22"/>
      <c r="C1143" s="22"/>
      <c r="D1143" s="65"/>
      <c r="E1143" s="24"/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4"/>
      <c r="R1143" s="24"/>
      <c r="S1143" s="24"/>
      <c r="T1143" s="24"/>
      <c r="U1143" s="24"/>
      <c r="V1143" s="24"/>
      <c r="W1143" s="24"/>
      <c r="X1143" s="24"/>
      <c r="Y1143" s="24"/>
      <c r="Z1143" s="24"/>
      <c r="AA1143" s="24"/>
      <c r="AB1143" s="24"/>
      <c r="AC1143" s="24"/>
      <c r="AD1143" s="24"/>
      <c r="AE1143" s="24"/>
    </row>
    <row r="1144" spans="1:33" s="1" customFormat="1" ht="10.5" x14ac:dyDescent="0.25">
      <c r="A1144" s="25"/>
      <c r="B1144" s="26" t="s">
        <v>1385</v>
      </c>
      <c r="C1144" s="26"/>
      <c r="D1144" s="64" t="s">
        <v>1386</v>
      </c>
      <c r="E1144" s="28"/>
      <c r="F1144" s="28"/>
      <c r="G1144" s="28"/>
      <c r="H1144" s="28"/>
      <c r="I1144" s="28"/>
      <c r="J1144" s="28"/>
      <c r="K1144" s="28"/>
      <c r="L1144" s="28"/>
      <c r="M1144" s="28">
        <f>SUM(M1145:M1145)</f>
        <v>0</v>
      </c>
      <c r="N1144" s="28"/>
      <c r="O1144" s="28">
        <f>SUM(O1145:O1145)</f>
        <v>0</v>
      </c>
      <c r="P1144" s="28">
        <f>SUM(P1145:P1145)</f>
        <v>0</v>
      </c>
      <c r="Q1144" s="28">
        <f>SUM(Q1145:Q1145)</f>
        <v>0</v>
      </c>
      <c r="R1144" s="28">
        <f>SUM(R1145:R1145)</f>
        <v>0</v>
      </c>
      <c r="S1144" s="28">
        <f>SUM(S1145:S1145)</f>
        <v>0</v>
      </c>
      <c r="T1144" s="28"/>
      <c r="U1144" s="28">
        <f>SUM(U1145:U1145)</f>
        <v>0</v>
      </c>
      <c r="V1144" s="28"/>
      <c r="W1144" s="28">
        <f>SUM(W1145:W1145)</f>
        <v>0</v>
      </c>
      <c r="X1144" s="28"/>
      <c r="Y1144" s="28">
        <f>SUM(Y1145:Y1145)</f>
        <v>0</v>
      </c>
      <c r="Z1144" s="28">
        <f>SUM(Z1145:Z1145)</f>
        <v>0</v>
      </c>
      <c r="AA1144" s="28"/>
      <c r="AB1144" s="28">
        <f>SUM(AB1145:AB1145)</f>
        <v>0</v>
      </c>
      <c r="AC1144" s="28">
        <f>SUM(AC1145:AC1145)</f>
        <v>0</v>
      </c>
      <c r="AD1144" s="28"/>
      <c r="AE1144" s="28"/>
    </row>
    <row r="1145" spans="1:33" s="1" customFormat="1" ht="10.5" x14ac:dyDescent="0.25">
      <c r="A1145" s="21"/>
      <c r="B1145" s="22"/>
      <c r="C1145" s="22"/>
      <c r="D1145" s="65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  <c r="S1145" s="24"/>
      <c r="T1145" s="24"/>
      <c r="U1145" s="24"/>
      <c r="V1145" s="24"/>
      <c r="W1145" s="24"/>
      <c r="X1145" s="24"/>
      <c r="Y1145" s="24"/>
      <c r="Z1145" s="24"/>
      <c r="AA1145" s="24"/>
      <c r="AB1145" s="24"/>
      <c r="AC1145" s="24"/>
      <c r="AD1145" s="24"/>
      <c r="AE1145" s="24"/>
    </row>
    <row r="1146" spans="1:33" s="1" customFormat="1" ht="10.5" x14ac:dyDescent="0.25">
      <c r="A1146" s="17"/>
      <c r="B1146" s="18" t="s">
        <v>1387</v>
      </c>
      <c r="C1146" s="18"/>
      <c r="D1146" s="84" t="s">
        <v>1388</v>
      </c>
      <c r="E1146" s="20"/>
      <c r="F1146" s="20"/>
      <c r="G1146" s="20"/>
      <c r="H1146" s="20"/>
      <c r="I1146" s="20"/>
      <c r="J1146" s="20"/>
      <c r="K1146" s="20"/>
      <c r="L1146" s="20"/>
      <c r="M1146" s="20">
        <f>M1147+M1159+M1163+M1167+M1171+M1175+M1179+M1183+M1187+M1191</f>
        <v>8</v>
      </c>
      <c r="N1146" s="20"/>
      <c r="O1146" s="37">
        <f t="shared" ref="O1146:AC1146" si="753">O1147+O1159+O1163+O1167+O1171+O1175+O1179+O1183+O1187+O1191</f>
        <v>489024600</v>
      </c>
      <c r="P1146" s="20">
        <f t="shared" si="753"/>
        <v>0</v>
      </c>
      <c r="Q1146" s="20">
        <f t="shared" si="753"/>
        <v>0</v>
      </c>
      <c r="R1146" s="20">
        <f t="shared" si="753"/>
        <v>0</v>
      </c>
      <c r="S1146" s="95">
        <f t="shared" si="753"/>
        <v>577015183.33333337</v>
      </c>
      <c r="T1146" s="20"/>
      <c r="U1146" s="37">
        <f t="shared" si="753"/>
        <v>11568513.680672269</v>
      </c>
      <c r="V1146" s="20"/>
      <c r="W1146" s="37">
        <f t="shared" si="753"/>
        <v>3943772.6666666665</v>
      </c>
      <c r="X1146" s="37"/>
      <c r="Y1146" s="37">
        <f t="shared" si="753"/>
        <v>3486456.1400560224</v>
      </c>
      <c r="Z1146" s="37">
        <f t="shared" si="753"/>
        <v>7430228.8067226894</v>
      </c>
      <c r="AA1146" s="20"/>
      <c r="AB1146" s="37">
        <f t="shared" si="753"/>
        <v>61821011.806722686</v>
      </c>
      <c r="AC1146" s="37">
        <f t="shared" si="753"/>
        <v>427203588.1932773</v>
      </c>
      <c r="AD1146" s="20"/>
      <c r="AE1146" s="20"/>
    </row>
    <row r="1147" spans="1:33" s="1" customFormat="1" ht="10.5" x14ac:dyDescent="0.25">
      <c r="A1147" s="25"/>
      <c r="B1147" s="26" t="s">
        <v>1389</v>
      </c>
      <c r="C1147" s="26"/>
      <c r="D1147" s="64" t="s">
        <v>1390</v>
      </c>
      <c r="E1147" s="28"/>
      <c r="F1147" s="28"/>
      <c r="G1147" s="28"/>
      <c r="H1147" s="28"/>
      <c r="I1147" s="28"/>
      <c r="J1147" s="28"/>
      <c r="K1147" s="28"/>
      <c r="L1147" s="28"/>
      <c r="M1147" s="28">
        <f>SUM(M1148:M1158)</f>
        <v>8</v>
      </c>
      <c r="N1147" s="28"/>
      <c r="O1147" s="40">
        <f t="shared" ref="O1147:AC1147" si="754">SUM(O1148:O1158)</f>
        <v>489024600</v>
      </c>
      <c r="P1147" s="28">
        <f t="shared" si="754"/>
        <v>0</v>
      </c>
      <c r="Q1147" s="28">
        <f t="shared" si="754"/>
        <v>0</v>
      </c>
      <c r="R1147" s="28">
        <f t="shared" si="754"/>
        <v>0</v>
      </c>
      <c r="S1147" s="96">
        <f t="shared" si="754"/>
        <v>577015183.33333337</v>
      </c>
      <c r="T1147" s="28"/>
      <c r="U1147" s="40">
        <f t="shared" si="754"/>
        <v>11568513.680672269</v>
      </c>
      <c r="V1147" s="28"/>
      <c r="W1147" s="40">
        <f t="shared" si="754"/>
        <v>3943772.6666666665</v>
      </c>
      <c r="X1147" s="40"/>
      <c r="Y1147" s="40">
        <f t="shared" si="754"/>
        <v>3486456.1400560224</v>
      </c>
      <c r="Z1147" s="40">
        <f t="shared" si="754"/>
        <v>7430228.8067226894</v>
      </c>
      <c r="AA1147" s="28"/>
      <c r="AB1147" s="40">
        <f t="shared" si="754"/>
        <v>61821011.806722686</v>
      </c>
      <c r="AC1147" s="40">
        <f t="shared" si="754"/>
        <v>427203588.1932773</v>
      </c>
      <c r="AD1147" s="28"/>
      <c r="AE1147" s="28"/>
      <c r="AF1147" s="5">
        <v>61821011.806722686</v>
      </c>
      <c r="AG1147" s="8">
        <f>AF1147+W1147+Y1147-AB1147</f>
        <v>7430228.8067226857</v>
      </c>
    </row>
    <row r="1148" spans="1:33" s="1" customFormat="1" ht="10.5" x14ac:dyDescent="0.25">
      <c r="A1148" s="21">
        <v>1</v>
      </c>
      <c r="B1148" s="22" t="s">
        <v>1797</v>
      </c>
      <c r="C1148" s="22" t="s">
        <v>58</v>
      </c>
      <c r="D1148" s="65" t="s">
        <v>1391</v>
      </c>
      <c r="E1148" s="24"/>
      <c r="F1148" s="24"/>
      <c r="G1148" s="24" t="s">
        <v>466</v>
      </c>
      <c r="H1148" s="24" t="s">
        <v>62</v>
      </c>
      <c r="I1148" s="24">
        <v>2011</v>
      </c>
      <c r="J1148" s="24"/>
      <c r="K1148" s="24" t="s">
        <v>261</v>
      </c>
      <c r="L1148" s="24" t="s">
        <v>64</v>
      </c>
      <c r="M1148" s="24">
        <v>1</v>
      </c>
      <c r="N1148" s="41">
        <v>87000000</v>
      </c>
      <c r="O1148" s="41">
        <v>87000000</v>
      </c>
      <c r="P1148" s="24"/>
      <c r="Q1148" s="24"/>
      <c r="R1148" s="24"/>
      <c r="S1148" s="41">
        <f>SUM(O1148-R1148)</f>
        <v>87000000</v>
      </c>
      <c r="T1148" s="24">
        <v>50</v>
      </c>
      <c r="U1148" s="70">
        <f t="shared" ref="U1148:U1157" si="755">SUM(S1148/T1148)</f>
        <v>1740000</v>
      </c>
      <c r="V1148" s="24">
        <v>0.5</v>
      </c>
      <c r="W1148" s="70">
        <f t="shared" ref="W1148:W1156" si="756">SUM(U1148*V1148)</f>
        <v>870000</v>
      </c>
      <c r="X1148" s="24">
        <v>0.5</v>
      </c>
      <c r="Y1148" s="70">
        <f t="shared" ref="Y1148:Y1157" si="757">SUM(U1148*X1148)</f>
        <v>870000</v>
      </c>
      <c r="Z1148" s="70">
        <f t="shared" ref="Z1148:Z1157" si="758">SUM(W1148+Y1148)</f>
        <v>1740000</v>
      </c>
      <c r="AA1148" s="24">
        <v>12</v>
      </c>
      <c r="AB1148" s="70">
        <f t="shared" ref="AB1148:AB1157" si="759">SUM(U1148*AA1148)</f>
        <v>20880000</v>
      </c>
      <c r="AC1148" s="70">
        <f t="shared" ref="AC1148:AC1153" si="760">SUM(S1148-AB1148)</f>
        <v>66120000</v>
      </c>
      <c r="AD1148" s="24"/>
      <c r="AE1148" s="24"/>
      <c r="AF1148" s="5">
        <v>20880000</v>
      </c>
      <c r="AG1148" s="5">
        <f>AF1148+W1148+Y1148-AB1148</f>
        <v>1740000</v>
      </c>
    </row>
    <row r="1149" spans="1:33" s="1" customFormat="1" ht="10.5" x14ac:dyDescent="0.25">
      <c r="A1149" s="21">
        <v>2</v>
      </c>
      <c r="B1149" s="22" t="s">
        <v>1797</v>
      </c>
      <c r="C1149" s="22" t="s">
        <v>75</v>
      </c>
      <c r="D1149" s="65" t="s">
        <v>1392</v>
      </c>
      <c r="E1149" s="24"/>
      <c r="F1149" s="24"/>
      <c r="G1149" s="24" t="s">
        <v>466</v>
      </c>
      <c r="H1149" s="24" t="s">
        <v>62</v>
      </c>
      <c r="I1149" s="24">
        <v>2012</v>
      </c>
      <c r="J1149" s="24"/>
      <c r="K1149" s="24" t="s">
        <v>261</v>
      </c>
      <c r="L1149" s="24" t="s">
        <v>64</v>
      </c>
      <c r="M1149" s="24">
        <v>1</v>
      </c>
      <c r="N1149" s="41">
        <v>5400000</v>
      </c>
      <c r="O1149" s="41">
        <v>5400000</v>
      </c>
      <c r="P1149" s="24"/>
      <c r="Q1149" s="24"/>
      <c r="R1149" s="24"/>
      <c r="S1149" s="41">
        <f>SUM(O1149-R1149)</f>
        <v>5400000</v>
      </c>
      <c r="T1149" s="24">
        <v>50</v>
      </c>
      <c r="U1149" s="70">
        <f t="shared" si="755"/>
        <v>108000</v>
      </c>
      <c r="V1149" s="24">
        <v>0.5</v>
      </c>
      <c r="W1149" s="70">
        <f t="shared" si="756"/>
        <v>54000</v>
      </c>
      <c r="X1149" s="24">
        <v>0.5</v>
      </c>
      <c r="Y1149" s="70">
        <f t="shared" si="757"/>
        <v>54000</v>
      </c>
      <c r="Z1149" s="70">
        <f t="shared" si="758"/>
        <v>108000</v>
      </c>
      <c r="AA1149" s="24">
        <v>11</v>
      </c>
      <c r="AB1149" s="70">
        <f t="shared" si="759"/>
        <v>1188000</v>
      </c>
      <c r="AC1149" s="70">
        <f t="shared" si="760"/>
        <v>4212000</v>
      </c>
      <c r="AD1149" s="24"/>
      <c r="AE1149" s="24"/>
      <c r="AF1149" s="5">
        <v>1188000</v>
      </c>
      <c r="AG1149" s="5">
        <f t="shared" ref="AG1149:AG1155" si="761">AF1149+W1149+Y1149-AB1149</f>
        <v>108000</v>
      </c>
    </row>
    <row r="1150" spans="1:33" s="1" customFormat="1" ht="10.5" x14ac:dyDescent="0.25">
      <c r="A1150" s="21">
        <v>3</v>
      </c>
      <c r="B1150" s="22" t="s">
        <v>1797</v>
      </c>
      <c r="C1150" s="22" t="s">
        <v>79</v>
      </c>
      <c r="D1150" s="65" t="s">
        <v>1393</v>
      </c>
      <c r="E1150" s="24"/>
      <c r="F1150" s="24"/>
      <c r="G1150" s="24" t="s">
        <v>466</v>
      </c>
      <c r="H1150" s="24" t="s">
        <v>62</v>
      </c>
      <c r="I1150" s="24">
        <v>2013</v>
      </c>
      <c r="J1150" s="24"/>
      <c r="K1150" s="24" t="s">
        <v>261</v>
      </c>
      <c r="L1150" s="24" t="s">
        <v>64</v>
      </c>
      <c r="M1150" s="24">
        <v>1</v>
      </c>
      <c r="N1150" s="41">
        <v>24745600</v>
      </c>
      <c r="O1150" s="41">
        <v>24745600</v>
      </c>
      <c r="P1150" s="24"/>
      <c r="Q1150" s="24"/>
      <c r="R1150" s="24"/>
      <c r="S1150" s="41">
        <f>SUM(O1150-R1150)</f>
        <v>24745600</v>
      </c>
      <c r="T1150" s="24">
        <v>50</v>
      </c>
      <c r="U1150" s="70">
        <f t="shared" si="755"/>
        <v>494912</v>
      </c>
      <c r="V1150" s="24">
        <v>0.5</v>
      </c>
      <c r="W1150" s="70">
        <f t="shared" si="756"/>
        <v>247456</v>
      </c>
      <c r="X1150" s="24">
        <v>0.5</v>
      </c>
      <c r="Y1150" s="70">
        <f t="shared" si="757"/>
        <v>247456</v>
      </c>
      <c r="Z1150" s="70">
        <f t="shared" si="758"/>
        <v>494912</v>
      </c>
      <c r="AA1150" s="24">
        <v>10</v>
      </c>
      <c r="AB1150" s="70">
        <f t="shared" si="759"/>
        <v>4949120</v>
      </c>
      <c r="AC1150" s="70">
        <f t="shared" si="760"/>
        <v>19796480</v>
      </c>
      <c r="AD1150" s="24"/>
      <c r="AE1150" s="24"/>
      <c r="AF1150" s="1">
        <v>4949120</v>
      </c>
      <c r="AG1150" s="5">
        <f t="shared" si="761"/>
        <v>494912</v>
      </c>
    </row>
    <row r="1151" spans="1:33" s="1" customFormat="1" ht="10.5" x14ac:dyDescent="0.25">
      <c r="A1151" s="21">
        <v>4</v>
      </c>
      <c r="B1151" s="22" t="s">
        <v>1797</v>
      </c>
      <c r="C1151" s="22" t="s">
        <v>84</v>
      </c>
      <c r="D1151" s="97" t="s">
        <v>1394</v>
      </c>
      <c r="E1151" s="24"/>
      <c r="F1151" s="24"/>
      <c r="G1151" s="24" t="s">
        <v>466</v>
      </c>
      <c r="H1151" s="24" t="s">
        <v>62</v>
      </c>
      <c r="I1151" s="24">
        <v>2014</v>
      </c>
      <c r="J1151" s="24"/>
      <c r="K1151" s="24" t="s">
        <v>261</v>
      </c>
      <c r="L1151" s="24" t="s">
        <v>64</v>
      </c>
      <c r="M1151" s="24">
        <v>1</v>
      </c>
      <c r="N1151" s="41">
        <v>39560000</v>
      </c>
      <c r="O1151" s="41">
        <v>39560000</v>
      </c>
      <c r="P1151" s="24"/>
      <c r="Q1151" s="24"/>
      <c r="R1151" s="24"/>
      <c r="S1151" s="41">
        <f>SUM(O1151-R1151)</f>
        <v>39560000</v>
      </c>
      <c r="T1151" s="24">
        <v>50</v>
      </c>
      <c r="U1151" s="70">
        <f t="shared" si="755"/>
        <v>791200</v>
      </c>
      <c r="V1151" s="24">
        <v>0.5</v>
      </c>
      <c r="W1151" s="70">
        <f t="shared" si="756"/>
        <v>395600</v>
      </c>
      <c r="X1151" s="24">
        <v>0.5</v>
      </c>
      <c r="Y1151" s="70">
        <f t="shared" si="757"/>
        <v>395600</v>
      </c>
      <c r="Z1151" s="70">
        <f t="shared" si="758"/>
        <v>791200</v>
      </c>
      <c r="AA1151" s="24">
        <v>9</v>
      </c>
      <c r="AB1151" s="70">
        <f t="shared" si="759"/>
        <v>7120800</v>
      </c>
      <c r="AC1151" s="70">
        <f t="shared" si="760"/>
        <v>32439200</v>
      </c>
      <c r="AD1151" s="24"/>
      <c r="AE1151" s="24"/>
      <c r="AF1151" s="1">
        <v>7120800</v>
      </c>
      <c r="AG1151" s="5">
        <f t="shared" si="761"/>
        <v>791200</v>
      </c>
    </row>
    <row r="1152" spans="1:33" s="1" customFormat="1" ht="10.5" x14ac:dyDescent="0.25">
      <c r="A1152" s="21">
        <v>5</v>
      </c>
      <c r="B1152" s="22" t="s">
        <v>1797</v>
      </c>
      <c r="C1152" s="22" t="s">
        <v>88</v>
      </c>
      <c r="D1152" s="65" t="s">
        <v>1395</v>
      </c>
      <c r="E1152" s="24"/>
      <c r="F1152" s="24"/>
      <c r="G1152" s="24" t="s">
        <v>466</v>
      </c>
      <c r="H1152" s="24" t="s">
        <v>62</v>
      </c>
      <c r="I1152" s="24">
        <v>2014</v>
      </c>
      <c r="J1152" s="24"/>
      <c r="K1152" s="24" t="s">
        <v>261</v>
      </c>
      <c r="L1152" s="24" t="s">
        <v>64</v>
      </c>
      <c r="M1152" s="24">
        <v>1</v>
      </c>
      <c r="N1152" s="41">
        <v>139985000</v>
      </c>
      <c r="O1152" s="41">
        <v>139985000</v>
      </c>
      <c r="P1152" s="24"/>
      <c r="Q1152" s="24"/>
      <c r="R1152" s="24"/>
      <c r="S1152" s="41">
        <f>SUM(O1152-R1152)</f>
        <v>139985000</v>
      </c>
      <c r="T1152" s="24">
        <v>50</v>
      </c>
      <c r="U1152" s="70">
        <f t="shared" si="755"/>
        <v>2799700</v>
      </c>
      <c r="V1152" s="24">
        <v>0.5</v>
      </c>
      <c r="W1152" s="70">
        <f t="shared" si="756"/>
        <v>1399850</v>
      </c>
      <c r="X1152" s="24">
        <v>0.5</v>
      </c>
      <c r="Y1152" s="70">
        <f t="shared" si="757"/>
        <v>1399850</v>
      </c>
      <c r="Z1152" s="70">
        <f t="shared" si="758"/>
        <v>2799700</v>
      </c>
      <c r="AA1152" s="24">
        <v>9</v>
      </c>
      <c r="AB1152" s="70">
        <f t="shared" si="759"/>
        <v>25197300</v>
      </c>
      <c r="AC1152" s="70">
        <f t="shared" si="760"/>
        <v>114787700</v>
      </c>
      <c r="AD1152" s="24"/>
      <c r="AE1152" s="24"/>
      <c r="AF1152" s="1">
        <v>25197300</v>
      </c>
      <c r="AG1152" s="5">
        <f t="shared" si="761"/>
        <v>2799700</v>
      </c>
    </row>
    <row r="1153" spans="1:33" s="1" customFormat="1" ht="10.5" x14ac:dyDescent="0.25">
      <c r="A1153" s="21">
        <v>6</v>
      </c>
      <c r="B1153" s="22" t="s">
        <v>1797</v>
      </c>
      <c r="C1153" s="42" t="s">
        <v>92</v>
      </c>
      <c r="D1153" s="85" t="s">
        <v>1396</v>
      </c>
      <c r="E1153" s="52"/>
      <c r="F1153" s="52"/>
      <c r="G1153" s="52" t="s">
        <v>466</v>
      </c>
      <c r="H1153" s="52" t="s">
        <v>62</v>
      </c>
      <c r="I1153" s="52">
        <v>2019</v>
      </c>
      <c r="J1153" s="52"/>
      <c r="K1153" s="52" t="s">
        <v>261</v>
      </c>
      <c r="L1153" s="52" t="s">
        <v>64</v>
      </c>
      <c r="M1153" s="52">
        <v>1</v>
      </c>
      <c r="N1153" s="53">
        <v>23745000</v>
      </c>
      <c r="O1153" s="53">
        <v>23745000</v>
      </c>
      <c r="P1153" s="53"/>
      <c r="Q1153" s="53"/>
      <c r="R1153" s="53"/>
      <c r="S1153" s="53">
        <v>23745000</v>
      </c>
      <c r="T1153" s="52">
        <v>50</v>
      </c>
      <c r="U1153" s="56">
        <f t="shared" si="755"/>
        <v>474900</v>
      </c>
      <c r="V1153" s="52">
        <v>0.5</v>
      </c>
      <c r="W1153" s="56">
        <f t="shared" si="756"/>
        <v>237450</v>
      </c>
      <c r="X1153" s="24">
        <v>0.5</v>
      </c>
      <c r="Y1153" s="56">
        <f>SUM(U1153*X1153)</f>
        <v>237450</v>
      </c>
      <c r="Z1153" s="56">
        <f t="shared" si="758"/>
        <v>474900</v>
      </c>
      <c r="AA1153" s="57">
        <f>1/12+0.5+0.5+0.5+0.5+0.5+0.5</f>
        <v>3.0833333333333335</v>
      </c>
      <c r="AB1153" s="56">
        <f t="shared" si="759"/>
        <v>1464275</v>
      </c>
      <c r="AC1153" s="56">
        <f t="shared" si="760"/>
        <v>22280725</v>
      </c>
      <c r="AD1153" s="24"/>
      <c r="AE1153" s="24"/>
      <c r="AF1153" s="1">
        <v>1464275</v>
      </c>
      <c r="AG1153" s="5">
        <f t="shared" si="761"/>
        <v>474900</v>
      </c>
    </row>
    <row r="1154" spans="1:33" s="1" customFormat="1" ht="10.5" x14ac:dyDescent="0.25">
      <c r="A1154" s="21"/>
      <c r="B1154" s="22" t="s">
        <v>1797</v>
      </c>
      <c r="C1154" s="73" t="s">
        <v>96</v>
      </c>
      <c r="D1154" s="85" t="s">
        <v>1397</v>
      </c>
      <c r="E1154" s="52"/>
      <c r="F1154" s="52"/>
      <c r="G1154" s="52" t="s">
        <v>466</v>
      </c>
      <c r="H1154" s="52" t="s">
        <v>62</v>
      </c>
      <c r="I1154" s="52">
        <v>2022</v>
      </c>
      <c r="J1154" s="52"/>
      <c r="K1154" s="52" t="s">
        <v>261</v>
      </c>
      <c r="L1154" s="52" t="s">
        <v>64</v>
      </c>
      <c r="M1154" s="52">
        <v>1</v>
      </c>
      <c r="N1154" s="53">
        <v>50000000</v>
      </c>
      <c r="O1154" s="53">
        <v>50000000</v>
      </c>
      <c r="P1154" s="52"/>
      <c r="Q1154" s="52"/>
      <c r="R1154" s="52"/>
      <c r="S1154" s="53">
        <v>50000000</v>
      </c>
      <c r="T1154" s="52">
        <v>50</v>
      </c>
      <c r="U1154" s="53">
        <f t="shared" si="755"/>
        <v>1000000</v>
      </c>
      <c r="V1154" s="57">
        <f>5/12</f>
        <v>0.41666666666666669</v>
      </c>
      <c r="W1154" s="53">
        <f t="shared" si="756"/>
        <v>416666.66666666669</v>
      </c>
      <c r="X1154" s="52"/>
      <c r="Y1154" s="87">
        <f>SUM(U1154*X1154)</f>
        <v>0</v>
      </c>
      <c r="Z1154" s="53">
        <f t="shared" si="758"/>
        <v>416666.66666666669</v>
      </c>
      <c r="AA1154" s="57">
        <f>5/12</f>
        <v>0.41666666666666669</v>
      </c>
      <c r="AB1154" s="53">
        <f t="shared" si="759"/>
        <v>416666.66666666669</v>
      </c>
      <c r="AC1154" s="53"/>
      <c r="AD1154" s="24"/>
      <c r="AE1154" s="24"/>
      <c r="AF1154" s="1">
        <v>416666.66666666669</v>
      </c>
      <c r="AG1154" s="5">
        <f t="shared" si="761"/>
        <v>416666.66666666669</v>
      </c>
    </row>
    <row r="1155" spans="1:33" s="1" customFormat="1" ht="10.5" x14ac:dyDescent="0.25">
      <c r="A1155" s="21"/>
      <c r="B1155" s="22"/>
      <c r="C1155" s="73"/>
      <c r="D1155" s="85"/>
      <c r="E1155" s="52"/>
      <c r="F1155" s="52"/>
      <c r="G1155" s="52"/>
      <c r="H1155" s="52"/>
      <c r="I1155" s="52"/>
      <c r="J1155" s="52"/>
      <c r="K1155" s="52"/>
      <c r="L1155" s="52"/>
      <c r="M1155" s="52"/>
      <c r="N1155" s="53">
        <v>40000000</v>
      </c>
      <c r="O1155" s="53">
        <v>40000000</v>
      </c>
      <c r="P1155" s="52"/>
      <c r="Q1155" s="52"/>
      <c r="R1155" s="52"/>
      <c r="S1155" s="53">
        <v>89583333.333333343</v>
      </c>
      <c r="T1155" s="57">
        <f>T1154-AA1154</f>
        <v>49.583333333333336</v>
      </c>
      <c r="U1155" s="53">
        <f t="shared" si="755"/>
        <v>1806722.6890756304</v>
      </c>
      <c r="V1155" s="57"/>
      <c r="W1155" s="53"/>
      <c r="X1155" s="57">
        <f>1/12</f>
        <v>8.3333333333333329E-2</v>
      </c>
      <c r="Y1155" s="87">
        <f>SUM(U1155*X1155)</f>
        <v>150560.22408963586</v>
      </c>
      <c r="Z1155" s="53">
        <f t="shared" si="758"/>
        <v>150560.22408963586</v>
      </c>
      <c r="AA1155" s="57">
        <f>1/12</f>
        <v>8.3333333333333329E-2</v>
      </c>
      <c r="AB1155" s="53">
        <f t="shared" si="759"/>
        <v>150560.22408963586</v>
      </c>
      <c r="AC1155" s="53">
        <f t="shared" ref="AC1155" si="762">SUM(S1155-AB1155)</f>
        <v>89432773.109243706</v>
      </c>
      <c r="AD1155" s="24"/>
      <c r="AE1155" s="24"/>
      <c r="AF1155" s="1">
        <v>150560.22408963586</v>
      </c>
      <c r="AG1155" s="5">
        <f t="shared" si="761"/>
        <v>150560.22408963586</v>
      </c>
    </row>
    <row r="1156" spans="1:33" s="189" customFormat="1" ht="10.5" x14ac:dyDescent="0.25">
      <c r="A1156" s="49"/>
      <c r="B1156" s="50" t="s">
        <v>1798</v>
      </c>
      <c r="C1156" s="73" t="s">
        <v>100</v>
      </c>
      <c r="D1156" s="85" t="s">
        <v>1398</v>
      </c>
      <c r="E1156" s="52"/>
      <c r="F1156" s="52"/>
      <c r="G1156" s="52" t="s">
        <v>466</v>
      </c>
      <c r="H1156" s="52" t="s">
        <v>62</v>
      </c>
      <c r="I1156" s="52">
        <v>2022</v>
      </c>
      <c r="J1156" s="52"/>
      <c r="K1156" s="52" t="s">
        <v>261</v>
      </c>
      <c r="L1156" s="52" t="s">
        <v>64</v>
      </c>
      <c r="M1156" s="52">
        <v>1</v>
      </c>
      <c r="N1156" s="53">
        <v>38730000</v>
      </c>
      <c r="O1156" s="53">
        <v>38730000</v>
      </c>
      <c r="P1156" s="52"/>
      <c r="Q1156" s="52"/>
      <c r="R1156" s="52"/>
      <c r="S1156" s="53">
        <v>38730000</v>
      </c>
      <c r="T1156" s="52">
        <v>50</v>
      </c>
      <c r="U1156" s="53">
        <f t="shared" si="755"/>
        <v>774600</v>
      </c>
      <c r="V1156" s="57">
        <f>5/12</f>
        <v>0.41666666666666669</v>
      </c>
      <c r="W1156" s="53">
        <f t="shared" si="756"/>
        <v>322750</v>
      </c>
      <c r="X1156" s="52"/>
      <c r="Y1156" s="87">
        <f t="shared" si="757"/>
        <v>0</v>
      </c>
      <c r="Z1156" s="53">
        <f t="shared" si="758"/>
        <v>322750</v>
      </c>
      <c r="AA1156" s="57">
        <f>5/12</f>
        <v>0.41666666666666669</v>
      </c>
      <c r="AB1156" s="53">
        <f t="shared" si="759"/>
        <v>322750</v>
      </c>
      <c r="AC1156" s="53"/>
      <c r="AD1156" s="188"/>
      <c r="AE1156" s="188"/>
      <c r="AF1156" s="189">
        <v>322750</v>
      </c>
      <c r="AG1156" s="190">
        <f>AF1156+W1156+Y1156-AB1156</f>
        <v>322750</v>
      </c>
    </row>
    <row r="1157" spans="1:33" s="1" customFormat="1" ht="10.5" x14ac:dyDescent="0.25">
      <c r="A1157" s="21"/>
      <c r="B1157" s="22"/>
      <c r="C1157" s="73"/>
      <c r="D1157" s="85"/>
      <c r="E1157" s="52"/>
      <c r="F1157" s="52"/>
      <c r="G1157" s="52"/>
      <c r="H1157" s="52"/>
      <c r="I1157" s="52"/>
      <c r="J1157" s="52"/>
      <c r="K1157" s="52"/>
      <c r="L1157" s="52"/>
      <c r="M1157" s="52"/>
      <c r="N1157" s="53">
        <v>39859000</v>
      </c>
      <c r="O1157" s="53">
        <v>39859000</v>
      </c>
      <c r="P1157" s="52"/>
      <c r="Q1157" s="52"/>
      <c r="R1157" s="52"/>
      <c r="S1157" s="53">
        <v>78266250</v>
      </c>
      <c r="T1157" s="57">
        <f>T1156-AA1156</f>
        <v>49.583333333333336</v>
      </c>
      <c r="U1157" s="53">
        <f t="shared" si="755"/>
        <v>1578478.9915966387</v>
      </c>
      <c r="V1157" s="57"/>
      <c r="W1157" s="53"/>
      <c r="X1157" s="57">
        <f>1/12</f>
        <v>8.3333333333333329E-2</v>
      </c>
      <c r="Y1157" s="87">
        <f t="shared" si="757"/>
        <v>131539.91596638656</v>
      </c>
      <c r="Z1157" s="53">
        <f t="shared" si="758"/>
        <v>131539.91596638656</v>
      </c>
      <c r="AA1157" s="57">
        <f>1/12</f>
        <v>8.3333333333333329E-2</v>
      </c>
      <c r="AB1157" s="53">
        <f t="shared" si="759"/>
        <v>131539.91596638656</v>
      </c>
      <c r="AC1157" s="53">
        <f t="shared" ref="AC1157" si="763">SUM(S1157-AB1157)</f>
        <v>78134710.084033608</v>
      </c>
      <c r="AD1157" s="24"/>
      <c r="AE1157" s="24"/>
      <c r="AF1157" s="1">
        <v>131539.91596638656</v>
      </c>
      <c r="AG1157" s="5">
        <f>AF1157+W1157+Y1157-AB1157</f>
        <v>131539.91596638656</v>
      </c>
    </row>
    <row r="1158" spans="1:33" s="1" customFormat="1" ht="10.5" x14ac:dyDescent="0.25">
      <c r="A1158" s="21"/>
      <c r="B1158" s="22"/>
      <c r="C1158" s="22"/>
      <c r="D1158" s="65"/>
      <c r="E1158" s="24"/>
      <c r="F1158" s="24"/>
      <c r="G1158" s="24"/>
      <c r="H1158" s="24"/>
      <c r="I1158" s="24"/>
      <c r="J1158" s="24"/>
      <c r="K1158" s="24"/>
      <c r="L1158" s="24"/>
      <c r="M1158" s="24"/>
      <c r="N1158" s="24"/>
      <c r="O1158" s="24"/>
      <c r="P1158" s="24"/>
      <c r="Q1158" s="24"/>
      <c r="R1158" s="24"/>
      <c r="S1158" s="24"/>
      <c r="T1158" s="24"/>
      <c r="U1158" s="24"/>
      <c r="V1158" s="24"/>
      <c r="W1158" s="24"/>
      <c r="X1158" s="24"/>
      <c r="Y1158" s="24"/>
      <c r="Z1158" s="24"/>
      <c r="AA1158" s="24"/>
      <c r="AB1158" s="24"/>
      <c r="AC1158" s="24"/>
      <c r="AD1158" s="24"/>
      <c r="AE1158" s="24"/>
    </row>
    <row r="1159" spans="1:33" s="1" customFormat="1" ht="10.5" x14ac:dyDescent="0.25">
      <c r="A1159" s="25"/>
      <c r="B1159" s="26" t="s">
        <v>1399</v>
      </c>
      <c r="C1159" s="26"/>
      <c r="D1159" s="64" t="s">
        <v>1400</v>
      </c>
      <c r="E1159" s="28"/>
      <c r="F1159" s="28"/>
      <c r="G1159" s="28"/>
      <c r="H1159" s="28"/>
      <c r="I1159" s="28"/>
      <c r="J1159" s="28"/>
      <c r="K1159" s="28"/>
      <c r="L1159" s="28"/>
      <c r="M1159" s="28">
        <f>SUM(M1160:M1162)</f>
        <v>0</v>
      </c>
      <c r="N1159" s="28"/>
      <c r="O1159" s="28">
        <f t="shared" ref="O1159:AC1159" si="764">SUM(O1160:O1162)</f>
        <v>0</v>
      </c>
      <c r="P1159" s="28">
        <f t="shared" si="764"/>
        <v>0</v>
      </c>
      <c r="Q1159" s="28">
        <f t="shared" si="764"/>
        <v>0</v>
      </c>
      <c r="R1159" s="28">
        <f t="shared" si="764"/>
        <v>0</v>
      </c>
      <c r="S1159" s="28">
        <f t="shared" si="764"/>
        <v>0</v>
      </c>
      <c r="T1159" s="28"/>
      <c r="U1159" s="28">
        <f t="shared" si="764"/>
        <v>0</v>
      </c>
      <c r="V1159" s="28"/>
      <c r="W1159" s="28">
        <f t="shared" si="764"/>
        <v>0</v>
      </c>
      <c r="X1159" s="28"/>
      <c r="Y1159" s="28">
        <f t="shared" si="764"/>
        <v>0</v>
      </c>
      <c r="Z1159" s="28">
        <f t="shared" si="764"/>
        <v>0</v>
      </c>
      <c r="AA1159" s="28"/>
      <c r="AB1159" s="28">
        <f t="shared" si="764"/>
        <v>0</v>
      </c>
      <c r="AC1159" s="28">
        <f t="shared" si="764"/>
        <v>0</v>
      </c>
      <c r="AD1159" s="28"/>
      <c r="AE1159" s="28"/>
    </row>
    <row r="1160" spans="1:33" s="1" customFormat="1" ht="10.5" x14ac:dyDescent="0.25">
      <c r="A1160" s="21"/>
      <c r="B1160" s="22"/>
      <c r="C1160" s="22"/>
      <c r="D1160" s="65"/>
      <c r="E1160" s="24"/>
      <c r="F1160" s="24"/>
      <c r="G1160" s="24"/>
      <c r="H1160" s="24"/>
      <c r="I1160" s="24"/>
      <c r="J1160" s="24"/>
      <c r="K1160" s="24"/>
      <c r="L1160" s="24"/>
      <c r="M1160" s="24"/>
      <c r="N1160" s="24"/>
      <c r="O1160" s="24"/>
      <c r="P1160" s="24"/>
      <c r="Q1160" s="24"/>
      <c r="R1160" s="24"/>
      <c r="S1160" s="24"/>
      <c r="T1160" s="24"/>
      <c r="U1160" s="24"/>
      <c r="V1160" s="24"/>
      <c r="W1160" s="24"/>
      <c r="X1160" s="24"/>
      <c r="Y1160" s="24"/>
      <c r="Z1160" s="24"/>
      <c r="AA1160" s="24"/>
      <c r="AB1160" s="24"/>
      <c r="AC1160" s="24"/>
      <c r="AD1160" s="24"/>
      <c r="AE1160" s="24"/>
    </row>
    <row r="1161" spans="1:33" s="1" customFormat="1" ht="10.5" x14ac:dyDescent="0.25">
      <c r="A1161" s="21"/>
      <c r="B1161" s="22"/>
      <c r="C1161" s="22"/>
      <c r="D1161" s="65"/>
      <c r="E1161" s="24"/>
      <c r="F1161" s="24"/>
      <c r="G1161" s="24"/>
      <c r="H1161" s="24"/>
      <c r="I1161" s="24"/>
      <c r="J1161" s="24"/>
      <c r="K1161" s="24"/>
      <c r="L1161" s="24"/>
      <c r="M1161" s="24"/>
      <c r="N1161" s="24"/>
      <c r="O1161" s="24"/>
      <c r="P1161" s="24"/>
      <c r="Q1161" s="24"/>
      <c r="R1161" s="24"/>
      <c r="S1161" s="24"/>
      <c r="T1161" s="24"/>
      <c r="U1161" s="24"/>
      <c r="V1161" s="24"/>
      <c r="W1161" s="24"/>
      <c r="X1161" s="24"/>
      <c r="Y1161" s="24"/>
      <c r="Z1161" s="24"/>
      <c r="AA1161" s="24"/>
      <c r="AB1161" s="24"/>
      <c r="AC1161" s="24"/>
      <c r="AD1161" s="24"/>
      <c r="AE1161" s="24"/>
    </row>
    <row r="1162" spans="1:33" s="1" customFormat="1" ht="10.5" x14ac:dyDescent="0.25">
      <c r="A1162" s="21"/>
      <c r="B1162" s="22"/>
      <c r="C1162" s="22"/>
      <c r="D1162" s="65"/>
      <c r="E1162" s="24"/>
      <c r="F1162" s="24"/>
      <c r="G1162" s="24"/>
      <c r="H1162" s="24"/>
      <c r="I1162" s="24"/>
      <c r="J1162" s="24"/>
      <c r="K1162" s="24"/>
      <c r="L1162" s="24"/>
      <c r="M1162" s="24"/>
      <c r="N1162" s="24"/>
      <c r="O1162" s="24"/>
      <c r="P1162" s="24"/>
      <c r="Q1162" s="24"/>
      <c r="R1162" s="24"/>
      <c r="S1162" s="24"/>
      <c r="T1162" s="24"/>
      <c r="U1162" s="24"/>
      <c r="V1162" s="24"/>
      <c r="W1162" s="24"/>
      <c r="X1162" s="24"/>
      <c r="Y1162" s="24"/>
      <c r="Z1162" s="24"/>
      <c r="AA1162" s="24"/>
      <c r="AB1162" s="24"/>
      <c r="AC1162" s="24"/>
      <c r="AD1162" s="24"/>
      <c r="AE1162" s="24"/>
    </row>
    <row r="1163" spans="1:33" s="1" customFormat="1" ht="10.5" x14ac:dyDescent="0.25">
      <c r="A1163" s="25"/>
      <c r="B1163" s="26" t="s">
        <v>1401</v>
      </c>
      <c r="C1163" s="26"/>
      <c r="D1163" s="64" t="s">
        <v>1402</v>
      </c>
      <c r="E1163" s="28"/>
      <c r="F1163" s="28"/>
      <c r="G1163" s="28"/>
      <c r="H1163" s="28"/>
      <c r="I1163" s="28"/>
      <c r="J1163" s="28"/>
      <c r="K1163" s="28"/>
      <c r="L1163" s="28"/>
      <c r="M1163" s="28">
        <f>SUM(M1164:M1166)</f>
        <v>0</v>
      </c>
      <c r="N1163" s="28"/>
      <c r="O1163" s="28">
        <f t="shared" ref="O1163:AC1163" si="765">SUM(O1164:O1166)</f>
        <v>0</v>
      </c>
      <c r="P1163" s="28">
        <f t="shared" si="765"/>
        <v>0</v>
      </c>
      <c r="Q1163" s="28">
        <f t="shared" si="765"/>
        <v>0</v>
      </c>
      <c r="R1163" s="28">
        <f t="shared" si="765"/>
        <v>0</v>
      </c>
      <c r="S1163" s="28">
        <f t="shared" si="765"/>
        <v>0</v>
      </c>
      <c r="T1163" s="28"/>
      <c r="U1163" s="28">
        <f t="shared" si="765"/>
        <v>0</v>
      </c>
      <c r="V1163" s="28"/>
      <c r="W1163" s="28">
        <f t="shared" si="765"/>
        <v>0</v>
      </c>
      <c r="X1163" s="28"/>
      <c r="Y1163" s="28">
        <f t="shared" si="765"/>
        <v>0</v>
      </c>
      <c r="Z1163" s="28">
        <f t="shared" si="765"/>
        <v>0</v>
      </c>
      <c r="AA1163" s="28"/>
      <c r="AB1163" s="28">
        <f t="shared" si="765"/>
        <v>0</v>
      </c>
      <c r="AC1163" s="28">
        <f t="shared" si="765"/>
        <v>0</v>
      </c>
      <c r="AD1163" s="28"/>
      <c r="AE1163" s="28"/>
    </row>
    <row r="1164" spans="1:33" s="1" customFormat="1" ht="10.5" x14ac:dyDescent="0.25">
      <c r="A1164" s="21"/>
      <c r="B1164" s="22"/>
      <c r="C1164" s="22"/>
      <c r="D1164" s="65"/>
      <c r="E1164" s="24"/>
      <c r="F1164" s="24"/>
      <c r="G1164" s="24"/>
      <c r="H1164" s="24"/>
      <c r="I1164" s="24"/>
      <c r="J1164" s="24"/>
      <c r="K1164" s="24"/>
      <c r="L1164" s="24"/>
      <c r="M1164" s="24"/>
      <c r="N1164" s="24"/>
      <c r="O1164" s="24"/>
      <c r="P1164" s="24"/>
      <c r="Q1164" s="24"/>
      <c r="R1164" s="24"/>
      <c r="S1164" s="24"/>
      <c r="T1164" s="24"/>
      <c r="U1164" s="24"/>
      <c r="V1164" s="24"/>
      <c r="W1164" s="24"/>
      <c r="X1164" s="24"/>
      <c r="Y1164" s="24"/>
      <c r="Z1164" s="24"/>
      <c r="AA1164" s="24"/>
      <c r="AB1164" s="24"/>
      <c r="AC1164" s="24"/>
      <c r="AD1164" s="24"/>
      <c r="AE1164" s="24"/>
    </row>
    <row r="1165" spans="1:33" s="1" customFormat="1" ht="10.5" x14ac:dyDescent="0.25">
      <c r="A1165" s="21"/>
      <c r="B1165" s="22"/>
      <c r="C1165" s="22"/>
      <c r="D1165" s="65"/>
      <c r="E1165" s="24"/>
      <c r="F1165" s="24"/>
      <c r="G1165" s="24"/>
      <c r="H1165" s="24"/>
      <c r="I1165" s="24"/>
      <c r="J1165" s="24"/>
      <c r="K1165" s="24"/>
      <c r="L1165" s="24"/>
      <c r="M1165" s="24"/>
      <c r="N1165" s="24"/>
      <c r="O1165" s="24"/>
      <c r="P1165" s="24"/>
      <c r="Q1165" s="24"/>
      <c r="R1165" s="24"/>
      <c r="S1165" s="24"/>
      <c r="T1165" s="24"/>
      <c r="U1165" s="24"/>
      <c r="V1165" s="24"/>
      <c r="W1165" s="24"/>
      <c r="X1165" s="24"/>
      <c r="Y1165" s="24"/>
      <c r="Z1165" s="24"/>
      <c r="AA1165" s="24"/>
      <c r="AB1165" s="24"/>
      <c r="AC1165" s="24"/>
      <c r="AD1165" s="24"/>
      <c r="AE1165" s="24"/>
    </row>
    <row r="1166" spans="1:33" s="1" customFormat="1" ht="10.5" x14ac:dyDescent="0.25">
      <c r="A1166" s="21"/>
      <c r="B1166" s="22"/>
      <c r="C1166" s="22"/>
      <c r="D1166" s="65"/>
      <c r="E1166" s="24"/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  <c r="S1166" s="24"/>
      <c r="T1166" s="24"/>
      <c r="U1166" s="24"/>
      <c r="V1166" s="24"/>
      <c r="W1166" s="24"/>
      <c r="X1166" s="24"/>
      <c r="Y1166" s="24"/>
      <c r="Z1166" s="24"/>
      <c r="AA1166" s="24"/>
      <c r="AB1166" s="24"/>
      <c r="AC1166" s="24"/>
      <c r="AD1166" s="24"/>
      <c r="AE1166" s="24"/>
    </row>
    <row r="1167" spans="1:33" s="1" customFormat="1" ht="21" x14ac:dyDescent="0.25">
      <c r="A1167" s="25"/>
      <c r="B1167" s="26" t="s">
        <v>1403</v>
      </c>
      <c r="C1167" s="26"/>
      <c r="D1167" s="64" t="s">
        <v>1404</v>
      </c>
      <c r="E1167" s="28"/>
      <c r="F1167" s="28"/>
      <c r="G1167" s="28"/>
      <c r="H1167" s="28"/>
      <c r="I1167" s="28"/>
      <c r="J1167" s="28"/>
      <c r="K1167" s="28"/>
      <c r="L1167" s="28"/>
      <c r="M1167" s="28">
        <f>SUM(M1168:M1170)</f>
        <v>0</v>
      </c>
      <c r="N1167" s="28"/>
      <c r="O1167" s="28">
        <f t="shared" ref="O1167:AC1167" si="766">SUM(O1168:O1170)</f>
        <v>0</v>
      </c>
      <c r="P1167" s="28">
        <f t="shared" si="766"/>
        <v>0</v>
      </c>
      <c r="Q1167" s="28">
        <f t="shared" si="766"/>
        <v>0</v>
      </c>
      <c r="R1167" s="28">
        <f t="shared" si="766"/>
        <v>0</v>
      </c>
      <c r="S1167" s="28">
        <f t="shared" si="766"/>
        <v>0</v>
      </c>
      <c r="T1167" s="28"/>
      <c r="U1167" s="28">
        <f t="shared" si="766"/>
        <v>0</v>
      </c>
      <c r="V1167" s="28"/>
      <c r="W1167" s="28">
        <f t="shared" si="766"/>
        <v>0</v>
      </c>
      <c r="X1167" s="28"/>
      <c r="Y1167" s="28">
        <f t="shared" si="766"/>
        <v>0</v>
      </c>
      <c r="Z1167" s="28">
        <f t="shared" si="766"/>
        <v>0</v>
      </c>
      <c r="AA1167" s="28"/>
      <c r="AB1167" s="28">
        <f t="shared" si="766"/>
        <v>0</v>
      </c>
      <c r="AC1167" s="28">
        <f t="shared" si="766"/>
        <v>0</v>
      </c>
      <c r="AD1167" s="28"/>
      <c r="AE1167" s="28"/>
    </row>
    <row r="1168" spans="1:33" s="1" customFormat="1" ht="10.5" x14ac:dyDescent="0.25">
      <c r="A1168" s="21"/>
      <c r="B1168" s="22"/>
      <c r="C1168" s="22"/>
      <c r="D1168" s="65"/>
      <c r="E1168" s="24"/>
      <c r="F1168" s="24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  <c r="S1168" s="24"/>
      <c r="T1168" s="24"/>
      <c r="U1168" s="24"/>
      <c r="V1168" s="24"/>
      <c r="W1168" s="24"/>
      <c r="X1168" s="24"/>
      <c r="Y1168" s="24"/>
      <c r="Z1168" s="24"/>
      <c r="AA1168" s="24"/>
      <c r="AB1168" s="24"/>
      <c r="AC1168" s="24"/>
      <c r="AD1168" s="24"/>
      <c r="AE1168" s="24"/>
    </row>
    <row r="1169" spans="1:31" s="1" customFormat="1" ht="10.5" x14ac:dyDescent="0.25">
      <c r="A1169" s="21"/>
      <c r="B1169" s="22"/>
      <c r="C1169" s="22"/>
      <c r="D1169" s="65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  <c r="S1169" s="24"/>
      <c r="T1169" s="24"/>
      <c r="U1169" s="24"/>
      <c r="V1169" s="24"/>
      <c r="W1169" s="24"/>
      <c r="X1169" s="24"/>
      <c r="Y1169" s="24"/>
      <c r="Z1169" s="24"/>
      <c r="AA1169" s="24"/>
      <c r="AB1169" s="24"/>
      <c r="AC1169" s="24"/>
      <c r="AD1169" s="24"/>
      <c r="AE1169" s="24"/>
    </row>
    <row r="1170" spans="1:31" s="1" customFormat="1" ht="10.5" x14ac:dyDescent="0.25">
      <c r="A1170" s="21"/>
      <c r="B1170" s="22"/>
      <c r="C1170" s="22"/>
      <c r="D1170" s="65"/>
      <c r="E1170" s="24"/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  <c r="S1170" s="24"/>
      <c r="T1170" s="24"/>
      <c r="U1170" s="24"/>
      <c r="V1170" s="24"/>
      <c r="W1170" s="24"/>
      <c r="X1170" s="24"/>
      <c r="Y1170" s="24"/>
      <c r="Z1170" s="24"/>
      <c r="AA1170" s="24"/>
      <c r="AB1170" s="24"/>
      <c r="AC1170" s="24"/>
      <c r="AD1170" s="24"/>
      <c r="AE1170" s="24"/>
    </row>
    <row r="1171" spans="1:31" s="1" customFormat="1" ht="10.5" x14ac:dyDescent="0.25">
      <c r="A1171" s="25"/>
      <c r="B1171" s="26" t="s">
        <v>1405</v>
      </c>
      <c r="C1171" s="26"/>
      <c r="D1171" s="64" t="s">
        <v>1406</v>
      </c>
      <c r="E1171" s="28"/>
      <c r="F1171" s="28"/>
      <c r="G1171" s="28"/>
      <c r="H1171" s="28"/>
      <c r="I1171" s="28"/>
      <c r="J1171" s="28"/>
      <c r="K1171" s="28"/>
      <c r="L1171" s="28"/>
      <c r="M1171" s="28">
        <f>SUM(M1172:M1174)</f>
        <v>0</v>
      </c>
      <c r="N1171" s="28"/>
      <c r="O1171" s="28">
        <f t="shared" ref="O1171:AC1171" si="767">SUM(O1172:O1174)</f>
        <v>0</v>
      </c>
      <c r="P1171" s="28">
        <f t="shared" si="767"/>
        <v>0</v>
      </c>
      <c r="Q1171" s="28">
        <f t="shared" si="767"/>
        <v>0</v>
      </c>
      <c r="R1171" s="28">
        <f t="shared" si="767"/>
        <v>0</v>
      </c>
      <c r="S1171" s="28">
        <f t="shared" si="767"/>
        <v>0</v>
      </c>
      <c r="T1171" s="28"/>
      <c r="U1171" s="28">
        <f t="shared" si="767"/>
        <v>0</v>
      </c>
      <c r="V1171" s="28"/>
      <c r="W1171" s="28">
        <f t="shared" si="767"/>
        <v>0</v>
      </c>
      <c r="X1171" s="28"/>
      <c r="Y1171" s="28">
        <f t="shared" si="767"/>
        <v>0</v>
      </c>
      <c r="Z1171" s="28">
        <f t="shared" si="767"/>
        <v>0</v>
      </c>
      <c r="AA1171" s="28"/>
      <c r="AB1171" s="28">
        <f t="shared" si="767"/>
        <v>0</v>
      </c>
      <c r="AC1171" s="28">
        <f t="shared" si="767"/>
        <v>0</v>
      </c>
      <c r="AD1171" s="28"/>
      <c r="AE1171" s="28"/>
    </row>
    <row r="1172" spans="1:31" s="1" customFormat="1" ht="10.5" x14ac:dyDescent="0.25">
      <c r="A1172" s="21"/>
      <c r="B1172" s="22"/>
      <c r="C1172" s="22"/>
      <c r="D1172" s="65"/>
      <c r="E1172" s="24"/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  <c r="S1172" s="24"/>
      <c r="T1172" s="24"/>
      <c r="U1172" s="24"/>
      <c r="V1172" s="24"/>
      <c r="W1172" s="24"/>
      <c r="X1172" s="24"/>
      <c r="Y1172" s="24"/>
      <c r="Z1172" s="24"/>
      <c r="AA1172" s="24"/>
      <c r="AB1172" s="24"/>
      <c r="AC1172" s="24"/>
      <c r="AD1172" s="24"/>
      <c r="AE1172" s="24"/>
    </row>
    <row r="1173" spans="1:31" s="1" customFormat="1" ht="10.5" x14ac:dyDescent="0.25">
      <c r="A1173" s="21"/>
      <c r="B1173" s="22"/>
      <c r="C1173" s="22"/>
      <c r="D1173" s="65"/>
      <c r="E1173" s="24"/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  <c r="S1173" s="24"/>
      <c r="T1173" s="24"/>
      <c r="U1173" s="24"/>
      <c r="V1173" s="24"/>
      <c r="W1173" s="24"/>
      <c r="X1173" s="24"/>
      <c r="Y1173" s="24"/>
      <c r="Z1173" s="24"/>
      <c r="AA1173" s="24"/>
      <c r="AB1173" s="24"/>
      <c r="AC1173" s="24"/>
      <c r="AD1173" s="24"/>
      <c r="AE1173" s="24"/>
    </row>
    <row r="1174" spans="1:31" s="1" customFormat="1" ht="10.5" x14ac:dyDescent="0.25">
      <c r="A1174" s="21"/>
      <c r="B1174" s="22"/>
      <c r="C1174" s="22"/>
      <c r="D1174" s="65"/>
      <c r="E1174" s="24"/>
      <c r="F1174" s="24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  <c r="S1174" s="24"/>
      <c r="T1174" s="24"/>
      <c r="U1174" s="24"/>
      <c r="V1174" s="24"/>
      <c r="W1174" s="24"/>
      <c r="X1174" s="24"/>
      <c r="Y1174" s="24"/>
      <c r="Z1174" s="24"/>
      <c r="AA1174" s="24"/>
      <c r="AB1174" s="24"/>
      <c r="AC1174" s="24"/>
      <c r="AD1174" s="24"/>
      <c r="AE1174" s="24"/>
    </row>
    <row r="1175" spans="1:31" s="1" customFormat="1" ht="10.5" x14ac:dyDescent="0.25">
      <c r="A1175" s="25"/>
      <c r="B1175" s="26" t="s">
        <v>1407</v>
      </c>
      <c r="C1175" s="26"/>
      <c r="D1175" s="64" t="s">
        <v>1408</v>
      </c>
      <c r="E1175" s="28"/>
      <c r="F1175" s="28"/>
      <c r="G1175" s="28"/>
      <c r="H1175" s="28"/>
      <c r="I1175" s="28"/>
      <c r="J1175" s="28"/>
      <c r="K1175" s="28"/>
      <c r="L1175" s="28"/>
      <c r="M1175" s="28">
        <f>SUM(M1176:M1178)</f>
        <v>0</v>
      </c>
      <c r="N1175" s="28"/>
      <c r="O1175" s="28">
        <f t="shared" ref="O1175:AC1175" si="768">SUM(O1176:O1178)</f>
        <v>0</v>
      </c>
      <c r="P1175" s="28">
        <f t="shared" si="768"/>
        <v>0</v>
      </c>
      <c r="Q1175" s="28">
        <f t="shared" si="768"/>
        <v>0</v>
      </c>
      <c r="R1175" s="28">
        <f t="shared" si="768"/>
        <v>0</v>
      </c>
      <c r="S1175" s="28">
        <f t="shared" si="768"/>
        <v>0</v>
      </c>
      <c r="T1175" s="28"/>
      <c r="U1175" s="28">
        <f t="shared" si="768"/>
        <v>0</v>
      </c>
      <c r="V1175" s="28"/>
      <c r="W1175" s="28">
        <f t="shared" si="768"/>
        <v>0</v>
      </c>
      <c r="X1175" s="28"/>
      <c r="Y1175" s="28">
        <f t="shared" si="768"/>
        <v>0</v>
      </c>
      <c r="Z1175" s="28">
        <f t="shared" si="768"/>
        <v>0</v>
      </c>
      <c r="AA1175" s="28"/>
      <c r="AB1175" s="28">
        <f t="shared" si="768"/>
        <v>0</v>
      </c>
      <c r="AC1175" s="28">
        <f t="shared" si="768"/>
        <v>0</v>
      </c>
      <c r="AD1175" s="28"/>
      <c r="AE1175" s="28"/>
    </row>
    <row r="1176" spans="1:31" s="1" customFormat="1" ht="10.5" x14ac:dyDescent="0.25">
      <c r="A1176" s="21"/>
      <c r="B1176" s="22"/>
      <c r="C1176" s="22"/>
      <c r="D1176" s="65"/>
      <c r="E1176" s="24"/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  <c r="S1176" s="24"/>
      <c r="T1176" s="24"/>
      <c r="U1176" s="24"/>
      <c r="V1176" s="24"/>
      <c r="W1176" s="24"/>
      <c r="X1176" s="24"/>
      <c r="Y1176" s="24"/>
      <c r="Z1176" s="24"/>
      <c r="AA1176" s="24"/>
      <c r="AB1176" s="24"/>
      <c r="AC1176" s="24"/>
      <c r="AD1176" s="24"/>
      <c r="AE1176" s="24"/>
    </row>
    <row r="1177" spans="1:31" s="1" customFormat="1" ht="10.5" x14ac:dyDescent="0.25">
      <c r="A1177" s="21"/>
      <c r="B1177" s="22"/>
      <c r="C1177" s="22"/>
      <c r="D1177" s="65"/>
      <c r="E1177" s="24"/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  <c r="S1177" s="24"/>
      <c r="T1177" s="24"/>
      <c r="U1177" s="24"/>
      <c r="V1177" s="24"/>
      <c r="W1177" s="24"/>
      <c r="X1177" s="24"/>
      <c r="Y1177" s="24"/>
      <c r="Z1177" s="24"/>
      <c r="AA1177" s="24"/>
      <c r="AB1177" s="24"/>
      <c r="AC1177" s="24"/>
      <c r="AD1177" s="24"/>
      <c r="AE1177" s="24"/>
    </row>
    <row r="1178" spans="1:31" s="1" customFormat="1" ht="10.5" x14ac:dyDescent="0.25">
      <c r="A1178" s="21"/>
      <c r="B1178" s="22"/>
      <c r="C1178" s="22"/>
      <c r="D1178" s="65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  <c r="S1178" s="24"/>
      <c r="T1178" s="24"/>
      <c r="U1178" s="24"/>
      <c r="V1178" s="24"/>
      <c r="W1178" s="24"/>
      <c r="X1178" s="24"/>
      <c r="Y1178" s="24"/>
      <c r="Z1178" s="24"/>
      <c r="AA1178" s="24"/>
      <c r="AB1178" s="24"/>
      <c r="AC1178" s="24"/>
      <c r="AD1178" s="24"/>
      <c r="AE1178" s="24"/>
    </row>
    <row r="1179" spans="1:31" s="1" customFormat="1" ht="10.5" x14ac:dyDescent="0.25">
      <c r="A1179" s="25"/>
      <c r="B1179" s="26" t="s">
        <v>1409</v>
      </c>
      <c r="C1179" s="26"/>
      <c r="D1179" s="64" t="s">
        <v>1410</v>
      </c>
      <c r="E1179" s="28"/>
      <c r="F1179" s="28"/>
      <c r="G1179" s="28"/>
      <c r="H1179" s="28"/>
      <c r="I1179" s="28"/>
      <c r="J1179" s="28"/>
      <c r="K1179" s="28"/>
      <c r="L1179" s="28"/>
      <c r="M1179" s="28">
        <f>SUM(M1180:M1182)</f>
        <v>0</v>
      </c>
      <c r="N1179" s="28"/>
      <c r="O1179" s="28">
        <f t="shared" ref="O1179:AC1179" si="769">SUM(O1180:O1182)</f>
        <v>0</v>
      </c>
      <c r="P1179" s="28">
        <f t="shared" si="769"/>
        <v>0</v>
      </c>
      <c r="Q1179" s="28">
        <f t="shared" si="769"/>
        <v>0</v>
      </c>
      <c r="R1179" s="28">
        <f t="shared" si="769"/>
        <v>0</v>
      </c>
      <c r="S1179" s="28">
        <f t="shared" si="769"/>
        <v>0</v>
      </c>
      <c r="T1179" s="28"/>
      <c r="U1179" s="28">
        <f t="shared" si="769"/>
        <v>0</v>
      </c>
      <c r="V1179" s="28"/>
      <c r="W1179" s="28">
        <f t="shared" si="769"/>
        <v>0</v>
      </c>
      <c r="X1179" s="28"/>
      <c r="Y1179" s="28">
        <f t="shared" si="769"/>
        <v>0</v>
      </c>
      <c r="Z1179" s="28">
        <f t="shared" si="769"/>
        <v>0</v>
      </c>
      <c r="AA1179" s="28"/>
      <c r="AB1179" s="28">
        <f t="shared" si="769"/>
        <v>0</v>
      </c>
      <c r="AC1179" s="28">
        <f t="shared" si="769"/>
        <v>0</v>
      </c>
      <c r="AD1179" s="28"/>
      <c r="AE1179" s="28"/>
    </row>
    <row r="1180" spans="1:31" s="1" customFormat="1" ht="10.5" x14ac:dyDescent="0.25">
      <c r="A1180" s="21"/>
      <c r="B1180" s="22"/>
      <c r="C1180" s="22"/>
      <c r="D1180" s="65"/>
      <c r="E1180" s="24"/>
      <c r="F1180" s="24"/>
      <c r="G1180" s="24"/>
      <c r="H1180" s="24"/>
      <c r="I1180" s="24"/>
      <c r="J1180" s="24"/>
      <c r="K1180" s="24"/>
      <c r="L1180" s="24"/>
      <c r="M1180" s="24"/>
      <c r="N1180" s="24"/>
      <c r="O1180" s="24"/>
      <c r="P1180" s="24"/>
      <c r="Q1180" s="24"/>
      <c r="R1180" s="24"/>
      <c r="S1180" s="24"/>
      <c r="T1180" s="24"/>
      <c r="U1180" s="24"/>
      <c r="V1180" s="24"/>
      <c r="W1180" s="24"/>
      <c r="X1180" s="24"/>
      <c r="Y1180" s="24"/>
      <c r="Z1180" s="24"/>
      <c r="AA1180" s="24"/>
      <c r="AB1180" s="24"/>
      <c r="AC1180" s="24"/>
      <c r="AD1180" s="24"/>
      <c r="AE1180" s="24"/>
    </row>
    <row r="1181" spans="1:31" s="1" customFormat="1" ht="10.5" x14ac:dyDescent="0.25">
      <c r="A1181" s="21"/>
      <c r="B1181" s="22"/>
      <c r="C1181" s="22"/>
      <c r="D1181" s="65"/>
      <c r="E1181" s="24"/>
      <c r="F1181" s="24"/>
      <c r="G1181" s="24"/>
      <c r="H1181" s="24"/>
      <c r="I1181" s="24"/>
      <c r="J1181" s="24"/>
      <c r="K1181" s="24"/>
      <c r="L1181" s="24"/>
      <c r="M1181" s="24"/>
      <c r="N1181" s="24"/>
      <c r="O1181" s="24"/>
      <c r="P1181" s="24"/>
      <c r="Q1181" s="24"/>
      <c r="R1181" s="24"/>
      <c r="S1181" s="24"/>
      <c r="T1181" s="24"/>
      <c r="U1181" s="24"/>
      <c r="V1181" s="24"/>
      <c r="W1181" s="24"/>
      <c r="X1181" s="24"/>
      <c r="Y1181" s="24"/>
      <c r="Z1181" s="24"/>
      <c r="AA1181" s="24"/>
      <c r="AB1181" s="24"/>
      <c r="AC1181" s="24"/>
      <c r="AD1181" s="24"/>
      <c r="AE1181" s="24"/>
    </row>
    <row r="1182" spans="1:31" s="1" customFormat="1" ht="10.5" x14ac:dyDescent="0.25">
      <c r="A1182" s="21"/>
      <c r="B1182" s="22"/>
      <c r="C1182" s="22"/>
      <c r="D1182" s="65"/>
      <c r="E1182" s="24"/>
      <c r="F1182" s="24"/>
      <c r="G1182" s="24"/>
      <c r="H1182" s="24"/>
      <c r="I1182" s="24"/>
      <c r="J1182" s="24"/>
      <c r="K1182" s="24"/>
      <c r="L1182" s="24"/>
      <c r="M1182" s="24"/>
      <c r="N1182" s="24"/>
      <c r="O1182" s="24"/>
      <c r="P1182" s="24"/>
      <c r="Q1182" s="24"/>
      <c r="R1182" s="24"/>
      <c r="S1182" s="24"/>
      <c r="T1182" s="24"/>
      <c r="U1182" s="24"/>
      <c r="V1182" s="24"/>
      <c r="W1182" s="24"/>
      <c r="X1182" s="24"/>
      <c r="Y1182" s="24"/>
      <c r="Z1182" s="24"/>
      <c r="AA1182" s="24"/>
      <c r="AB1182" s="24"/>
      <c r="AC1182" s="24"/>
      <c r="AD1182" s="24"/>
      <c r="AE1182" s="24"/>
    </row>
    <row r="1183" spans="1:31" s="1" customFormat="1" ht="10.5" x14ac:dyDescent="0.25">
      <c r="A1183" s="25"/>
      <c r="B1183" s="26" t="s">
        <v>1411</v>
      </c>
      <c r="C1183" s="26"/>
      <c r="D1183" s="64" t="s">
        <v>1412</v>
      </c>
      <c r="E1183" s="28"/>
      <c r="F1183" s="28"/>
      <c r="G1183" s="28"/>
      <c r="H1183" s="28"/>
      <c r="I1183" s="28"/>
      <c r="J1183" s="28"/>
      <c r="K1183" s="28"/>
      <c r="L1183" s="28"/>
      <c r="M1183" s="28">
        <f>SUM(M1184:M1186)</f>
        <v>0</v>
      </c>
      <c r="N1183" s="28"/>
      <c r="O1183" s="28">
        <f t="shared" ref="O1183:AC1183" si="770">SUM(O1184:O1186)</f>
        <v>0</v>
      </c>
      <c r="P1183" s="28">
        <f t="shared" si="770"/>
        <v>0</v>
      </c>
      <c r="Q1183" s="28">
        <f t="shared" si="770"/>
        <v>0</v>
      </c>
      <c r="R1183" s="28">
        <f t="shared" si="770"/>
        <v>0</v>
      </c>
      <c r="S1183" s="28">
        <f t="shared" si="770"/>
        <v>0</v>
      </c>
      <c r="T1183" s="28"/>
      <c r="U1183" s="28">
        <f t="shared" si="770"/>
        <v>0</v>
      </c>
      <c r="V1183" s="28"/>
      <c r="W1183" s="28">
        <f t="shared" si="770"/>
        <v>0</v>
      </c>
      <c r="X1183" s="28"/>
      <c r="Y1183" s="28">
        <f t="shared" si="770"/>
        <v>0</v>
      </c>
      <c r="Z1183" s="28">
        <f t="shared" si="770"/>
        <v>0</v>
      </c>
      <c r="AA1183" s="28"/>
      <c r="AB1183" s="28">
        <f t="shared" si="770"/>
        <v>0</v>
      </c>
      <c r="AC1183" s="28">
        <f t="shared" si="770"/>
        <v>0</v>
      </c>
      <c r="AD1183" s="28"/>
      <c r="AE1183" s="28"/>
    </row>
    <row r="1184" spans="1:31" s="1" customFormat="1" ht="10.5" x14ac:dyDescent="0.25">
      <c r="A1184" s="21"/>
      <c r="B1184" s="22"/>
      <c r="C1184" s="22"/>
      <c r="D1184" s="65"/>
      <c r="E1184" s="24"/>
      <c r="F1184" s="24"/>
      <c r="G1184" s="24"/>
      <c r="H1184" s="24"/>
      <c r="I1184" s="24"/>
      <c r="J1184" s="24"/>
      <c r="K1184" s="24"/>
      <c r="L1184" s="24"/>
      <c r="M1184" s="24"/>
      <c r="N1184" s="24"/>
      <c r="O1184" s="24"/>
      <c r="P1184" s="24"/>
      <c r="Q1184" s="24"/>
      <c r="R1184" s="24"/>
      <c r="S1184" s="24"/>
      <c r="T1184" s="24"/>
      <c r="U1184" s="24"/>
      <c r="V1184" s="24"/>
      <c r="W1184" s="24"/>
      <c r="X1184" s="24"/>
      <c r="Y1184" s="24"/>
      <c r="Z1184" s="24"/>
      <c r="AA1184" s="24"/>
      <c r="AB1184" s="24"/>
      <c r="AC1184" s="24"/>
      <c r="AD1184" s="24"/>
      <c r="AE1184" s="24"/>
    </row>
    <row r="1185" spans="1:33" s="1" customFormat="1" ht="10.5" x14ac:dyDescent="0.25">
      <c r="A1185" s="21"/>
      <c r="B1185" s="22"/>
      <c r="C1185" s="22"/>
      <c r="D1185" s="65"/>
      <c r="E1185" s="24"/>
      <c r="F1185" s="24"/>
      <c r="G1185" s="24"/>
      <c r="H1185" s="24"/>
      <c r="I1185" s="24"/>
      <c r="J1185" s="24"/>
      <c r="K1185" s="24"/>
      <c r="L1185" s="24"/>
      <c r="M1185" s="24"/>
      <c r="N1185" s="24"/>
      <c r="O1185" s="24"/>
      <c r="P1185" s="24"/>
      <c r="Q1185" s="24"/>
      <c r="R1185" s="24"/>
      <c r="S1185" s="24"/>
      <c r="T1185" s="24"/>
      <c r="U1185" s="24"/>
      <c r="V1185" s="24"/>
      <c r="W1185" s="24"/>
      <c r="X1185" s="24"/>
      <c r="Y1185" s="24"/>
      <c r="Z1185" s="24"/>
      <c r="AA1185" s="24"/>
      <c r="AB1185" s="24"/>
      <c r="AC1185" s="24"/>
      <c r="AD1185" s="24"/>
      <c r="AE1185" s="24"/>
    </row>
    <row r="1186" spans="1:33" s="1" customFormat="1" ht="10.5" x14ac:dyDescent="0.25">
      <c r="A1186" s="21"/>
      <c r="B1186" s="22"/>
      <c r="C1186" s="22"/>
      <c r="D1186" s="65"/>
      <c r="E1186" s="24"/>
      <c r="F1186" s="24"/>
      <c r="G1186" s="24"/>
      <c r="H1186" s="24"/>
      <c r="I1186" s="24"/>
      <c r="J1186" s="24"/>
      <c r="K1186" s="24"/>
      <c r="L1186" s="24"/>
      <c r="M1186" s="24"/>
      <c r="N1186" s="24"/>
      <c r="O1186" s="24"/>
      <c r="P1186" s="24"/>
      <c r="Q1186" s="24"/>
      <c r="R1186" s="24"/>
      <c r="S1186" s="24"/>
      <c r="T1186" s="24"/>
      <c r="U1186" s="24"/>
      <c r="V1186" s="24"/>
      <c r="W1186" s="24"/>
      <c r="X1186" s="24"/>
      <c r="Y1186" s="24"/>
      <c r="Z1186" s="24"/>
      <c r="AA1186" s="24"/>
      <c r="AB1186" s="24"/>
      <c r="AC1186" s="24"/>
      <c r="AD1186" s="24"/>
      <c r="AE1186" s="24"/>
    </row>
    <row r="1187" spans="1:33" s="1" customFormat="1" ht="10.5" x14ac:dyDescent="0.25">
      <c r="A1187" s="25"/>
      <c r="B1187" s="26" t="s">
        <v>1413</v>
      </c>
      <c r="C1187" s="26"/>
      <c r="D1187" s="64" t="s">
        <v>1414</v>
      </c>
      <c r="E1187" s="28"/>
      <c r="F1187" s="28"/>
      <c r="G1187" s="28"/>
      <c r="H1187" s="28"/>
      <c r="I1187" s="28"/>
      <c r="J1187" s="28"/>
      <c r="K1187" s="28"/>
      <c r="L1187" s="28"/>
      <c r="M1187" s="28">
        <f>SUM(M1188:M1190)</f>
        <v>0</v>
      </c>
      <c r="N1187" s="28"/>
      <c r="O1187" s="28">
        <f t="shared" ref="O1187:AC1187" si="771">SUM(O1188:O1190)</f>
        <v>0</v>
      </c>
      <c r="P1187" s="28">
        <f t="shared" si="771"/>
        <v>0</v>
      </c>
      <c r="Q1187" s="28">
        <f t="shared" si="771"/>
        <v>0</v>
      </c>
      <c r="R1187" s="28">
        <f t="shared" si="771"/>
        <v>0</v>
      </c>
      <c r="S1187" s="28">
        <f t="shared" si="771"/>
        <v>0</v>
      </c>
      <c r="T1187" s="28"/>
      <c r="U1187" s="28">
        <f t="shared" si="771"/>
        <v>0</v>
      </c>
      <c r="V1187" s="28"/>
      <c r="W1187" s="28">
        <f t="shared" si="771"/>
        <v>0</v>
      </c>
      <c r="X1187" s="28"/>
      <c r="Y1187" s="28">
        <f t="shared" si="771"/>
        <v>0</v>
      </c>
      <c r="Z1187" s="28">
        <f t="shared" si="771"/>
        <v>0</v>
      </c>
      <c r="AA1187" s="28"/>
      <c r="AB1187" s="28">
        <f t="shared" si="771"/>
        <v>0</v>
      </c>
      <c r="AC1187" s="28">
        <f t="shared" si="771"/>
        <v>0</v>
      </c>
      <c r="AD1187" s="28"/>
      <c r="AE1187" s="28"/>
    </row>
    <row r="1188" spans="1:33" s="1" customFormat="1" ht="10.5" x14ac:dyDescent="0.25">
      <c r="A1188" s="21"/>
      <c r="B1188" s="22"/>
      <c r="C1188" s="22"/>
      <c r="D1188" s="65"/>
      <c r="E1188" s="24"/>
      <c r="F1188" s="24"/>
      <c r="G1188" s="24"/>
      <c r="H1188" s="24"/>
      <c r="I1188" s="24"/>
      <c r="J1188" s="24"/>
      <c r="K1188" s="24"/>
      <c r="L1188" s="24"/>
      <c r="M1188" s="24"/>
      <c r="N1188" s="24"/>
      <c r="O1188" s="24"/>
      <c r="P1188" s="24"/>
      <c r="Q1188" s="24"/>
      <c r="R1188" s="24"/>
      <c r="S1188" s="24"/>
      <c r="T1188" s="24"/>
      <c r="U1188" s="24"/>
      <c r="V1188" s="24"/>
      <c r="W1188" s="24"/>
      <c r="X1188" s="24"/>
      <c r="Y1188" s="24"/>
      <c r="Z1188" s="24"/>
      <c r="AA1188" s="24"/>
      <c r="AB1188" s="24"/>
      <c r="AC1188" s="24"/>
      <c r="AD1188" s="24"/>
      <c r="AE1188" s="24"/>
    </row>
    <row r="1189" spans="1:33" s="1" customFormat="1" ht="10.5" x14ac:dyDescent="0.25">
      <c r="A1189" s="21"/>
      <c r="B1189" s="22"/>
      <c r="C1189" s="22"/>
      <c r="D1189" s="65"/>
      <c r="E1189" s="24"/>
      <c r="F1189" s="24"/>
      <c r="G1189" s="24"/>
      <c r="H1189" s="24"/>
      <c r="I1189" s="24"/>
      <c r="J1189" s="24"/>
      <c r="K1189" s="24"/>
      <c r="L1189" s="24"/>
      <c r="M1189" s="24"/>
      <c r="N1189" s="24"/>
      <c r="O1189" s="24"/>
      <c r="P1189" s="24"/>
      <c r="Q1189" s="24"/>
      <c r="R1189" s="24"/>
      <c r="S1189" s="24"/>
      <c r="T1189" s="24"/>
      <c r="U1189" s="24"/>
      <c r="V1189" s="24"/>
      <c r="W1189" s="24"/>
      <c r="X1189" s="24"/>
      <c r="Y1189" s="24"/>
      <c r="Z1189" s="24"/>
      <c r="AA1189" s="24"/>
      <c r="AB1189" s="24"/>
      <c r="AC1189" s="24"/>
      <c r="AD1189" s="24"/>
      <c r="AE1189" s="24"/>
    </row>
    <row r="1190" spans="1:33" s="1" customFormat="1" ht="10.5" x14ac:dyDescent="0.25">
      <c r="A1190" s="21"/>
      <c r="B1190" s="22"/>
      <c r="C1190" s="22"/>
      <c r="D1190" s="65"/>
      <c r="E1190" s="24"/>
      <c r="F1190" s="24"/>
      <c r="G1190" s="24"/>
      <c r="H1190" s="24"/>
      <c r="I1190" s="24"/>
      <c r="J1190" s="24"/>
      <c r="K1190" s="24"/>
      <c r="L1190" s="24"/>
      <c r="M1190" s="24"/>
      <c r="N1190" s="24"/>
      <c r="O1190" s="24"/>
      <c r="P1190" s="24"/>
      <c r="Q1190" s="24"/>
      <c r="R1190" s="24"/>
      <c r="S1190" s="24"/>
      <c r="T1190" s="24"/>
      <c r="U1190" s="24"/>
      <c r="V1190" s="24"/>
      <c r="W1190" s="24"/>
      <c r="X1190" s="24"/>
      <c r="Y1190" s="24"/>
      <c r="Z1190" s="24"/>
      <c r="AA1190" s="24"/>
      <c r="AB1190" s="24"/>
      <c r="AC1190" s="24"/>
      <c r="AD1190" s="24"/>
      <c r="AE1190" s="24"/>
    </row>
    <row r="1191" spans="1:33" s="1" customFormat="1" ht="10.5" x14ac:dyDescent="0.25">
      <c r="A1191" s="25"/>
      <c r="B1191" s="26" t="s">
        <v>1415</v>
      </c>
      <c r="C1191" s="26"/>
      <c r="D1191" s="64" t="s">
        <v>1416</v>
      </c>
      <c r="E1191" s="28"/>
      <c r="F1191" s="28"/>
      <c r="G1191" s="28"/>
      <c r="H1191" s="28"/>
      <c r="I1191" s="28"/>
      <c r="J1191" s="28"/>
      <c r="K1191" s="28"/>
      <c r="L1191" s="28"/>
      <c r="M1191" s="28">
        <f>SUM(M1192:M1194)</f>
        <v>0</v>
      </c>
      <c r="N1191" s="28"/>
      <c r="O1191" s="28">
        <f t="shared" ref="O1191:AC1191" si="772">SUM(O1192:O1194)</f>
        <v>0</v>
      </c>
      <c r="P1191" s="28">
        <f t="shared" si="772"/>
        <v>0</v>
      </c>
      <c r="Q1191" s="28">
        <f t="shared" si="772"/>
        <v>0</v>
      </c>
      <c r="R1191" s="28">
        <f t="shared" si="772"/>
        <v>0</v>
      </c>
      <c r="S1191" s="28">
        <f t="shared" si="772"/>
        <v>0</v>
      </c>
      <c r="T1191" s="28"/>
      <c r="U1191" s="28">
        <f t="shared" si="772"/>
        <v>0</v>
      </c>
      <c r="V1191" s="28"/>
      <c r="W1191" s="28">
        <f t="shared" si="772"/>
        <v>0</v>
      </c>
      <c r="X1191" s="28"/>
      <c r="Y1191" s="28">
        <f t="shared" si="772"/>
        <v>0</v>
      </c>
      <c r="Z1191" s="28">
        <f t="shared" si="772"/>
        <v>0</v>
      </c>
      <c r="AA1191" s="28"/>
      <c r="AB1191" s="28">
        <f t="shared" si="772"/>
        <v>0</v>
      </c>
      <c r="AC1191" s="28">
        <f t="shared" si="772"/>
        <v>0</v>
      </c>
      <c r="AD1191" s="28"/>
      <c r="AE1191" s="28"/>
    </row>
    <row r="1192" spans="1:33" s="1" customFormat="1" ht="10.5" x14ac:dyDescent="0.25">
      <c r="A1192" s="21"/>
      <c r="B1192" s="22"/>
      <c r="C1192" s="22"/>
      <c r="D1192" s="65"/>
      <c r="E1192" s="24"/>
      <c r="F1192" s="24"/>
      <c r="G1192" s="24"/>
      <c r="H1192" s="24"/>
      <c r="I1192" s="24"/>
      <c r="J1192" s="24"/>
      <c r="K1192" s="24"/>
      <c r="L1192" s="24"/>
      <c r="M1192" s="24"/>
      <c r="N1192" s="24"/>
      <c r="O1192" s="24"/>
      <c r="P1192" s="24"/>
      <c r="Q1192" s="24"/>
      <c r="R1192" s="24"/>
      <c r="S1192" s="24"/>
      <c r="T1192" s="24"/>
      <c r="U1192" s="24"/>
      <c r="V1192" s="24"/>
      <c r="W1192" s="24"/>
      <c r="X1192" s="24"/>
      <c r="Y1192" s="24"/>
      <c r="Z1192" s="24"/>
      <c r="AA1192" s="24"/>
      <c r="AB1192" s="24"/>
      <c r="AC1192" s="24"/>
      <c r="AD1192" s="24"/>
      <c r="AE1192" s="24"/>
    </row>
    <row r="1193" spans="1:33" s="1" customFormat="1" ht="10.5" x14ac:dyDescent="0.25">
      <c r="A1193" s="21"/>
      <c r="B1193" s="22"/>
      <c r="C1193" s="22"/>
      <c r="D1193" s="65"/>
      <c r="E1193" s="24"/>
      <c r="F1193" s="24"/>
      <c r="G1193" s="24"/>
      <c r="H1193" s="24"/>
      <c r="I1193" s="24"/>
      <c r="J1193" s="24"/>
      <c r="K1193" s="24"/>
      <c r="L1193" s="24"/>
      <c r="M1193" s="24"/>
      <c r="N1193" s="24"/>
      <c r="O1193" s="24"/>
      <c r="P1193" s="24"/>
      <c r="Q1193" s="24"/>
      <c r="R1193" s="24"/>
      <c r="S1193" s="24"/>
      <c r="T1193" s="24"/>
      <c r="U1193" s="24"/>
      <c r="V1193" s="24"/>
      <c r="W1193" s="24"/>
      <c r="X1193" s="24"/>
      <c r="Y1193" s="24"/>
      <c r="Z1193" s="24"/>
      <c r="AA1193" s="24"/>
      <c r="AB1193" s="24"/>
      <c r="AC1193" s="24"/>
      <c r="AD1193" s="24"/>
      <c r="AE1193" s="24"/>
    </row>
    <row r="1194" spans="1:33" s="1" customFormat="1" ht="10.5" x14ac:dyDescent="0.25">
      <c r="A1194" s="21"/>
      <c r="B1194" s="22"/>
      <c r="C1194" s="22"/>
      <c r="D1194" s="65"/>
      <c r="E1194" s="24"/>
      <c r="F1194" s="24"/>
      <c r="G1194" s="24"/>
      <c r="H1194" s="24"/>
      <c r="I1194" s="24"/>
      <c r="J1194" s="24"/>
      <c r="K1194" s="24"/>
      <c r="L1194" s="24"/>
      <c r="M1194" s="24"/>
      <c r="N1194" s="24"/>
      <c r="O1194" s="24"/>
      <c r="P1194" s="24"/>
      <c r="Q1194" s="24"/>
      <c r="R1194" s="24"/>
      <c r="S1194" s="24"/>
      <c r="T1194" s="24"/>
      <c r="U1194" s="24"/>
      <c r="V1194" s="24"/>
      <c r="W1194" s="24"/>
      <c r="X1194" s="24"/>
      <c r="Y1194" s="24"/>
      <c r="Z1194" s="24"/>
      <c r="AA1194" s="24"/>
      <c r="AB1194" s="24"/>
      <c r="AC1194" s="24"/>
      <c r="AD1194" s="24"/>
      <c r="AE1194" s="24"/>
    </row>
    <row r="1195" spans="1:33" s="1" customFormat="1" ht="10.5" x14ac:dyDescent="0.25">
      <c r="A1195" s="17"/>
      <c r="B1195" s="18" t="s">
        <v>1417</v>
      </c>
      <c r="C1195" s="18"/>
      <c r="D1195" s="84" t="s">
        <v>1418</v>
      </c>
      <c r="E1195" s="20"/>
      <c r="F1195" s="20"/>
      <c r="G1195" s="20"/>
      <c r="H1195" s="20"/>
      <c r="I1195" s="20"/>
      <c r="J1195" s="20"/>
      <c r="K1195" s="20"/>
      <c r="L1195" s="20"/>
      <c r="M1195" s="20">
        <f>M1196+M1200+M1212+M1216</f>
        <v>10</v>
      </c>
      <c r="N1195" s="20"/>
      <c r="O1195" s="37">
        <f>O1196+O1200+O1212+O1216</f>
        <v>1260745500</v>
      </c>
      <c r="P1195" s="20">
        <f>P1196+P1200+P1212+P1216</f>
        <v>0</v>
      </c>
      <c r="Q1195" s="20">
        <f>Q1196+Q1200+Q1212+Q1216</f>
        <v>0</v>
      </c>
      <c r="R1195" s="20">
        <f>R1196+R1200+R1212+R1216</f>
        <v>0</v>
      </c>
      <c r="S1195" s="37">
        <f>S1196+S1200+S1212+S1216</f>
        <v>1260745500</v>
      </c>
      <c r="T1195" s="20"/>
      <c r="U1195" s="37">
        <f>U1196+U1200+U1212+U1216</f>
        <v>31518637.5</v>
      </c>
      <c r="V1195" s="20"/>
      <c r="W1195" s="37">
        <f>W1196+W1200+W1212+W1216</f>
        <v>15759318.75</v>
      </c>
      <c r="X1195" s="20"/>
      <c r="Y1195" s="37">
        <f>Y1196+Y1200+Y1212+Y1216</f>
        <v>15759318.75</v>
      </c>
      <c r="Z1195" s="37">
        <f>Z1196+Z1200+Z1212+Z1216</f>
        <v>31518637.5</v>
      </c>
      <c r="AA1195" s="20"/>
      <c r="AB1195" s="37">
        <f>AB1196+AB1200+AB1212+AB1216</f>
        <v>266813962.5</v>
      </c>
      <c r="AC1195" s="37">
        <f>AC1196+AC1200+AC1212+AC1216</f>
        <v>993931537.5</v>
      </c>
      <c r="AD1195" s="20"/>
      <c r="AE1195" s="20"/>
    </row>
    <row r="1196" spans="1:33" s="1" customFormat="1" ht="10.5" x14ac:dyDescent="0.25">
      <c r="A1196" s="25"/>
      <c r="B1196" s="26" t="s">
        <v>1419</v>
      </c>
      <c r="C1196" s="26"/>
      <c r="D1196" s="64" t="s">
        <v>1420</v>
      </c>
      <c r="E1196" s="28"/>
      <c r="F1196" s="28"/>
      <c r="G1196" s="28"/>
      <c r="H1196" s="28"/>
      <c r="I1196" s="28"/>
      <c r="J1196" s="28"/>
      <c r="K1196" s="28"/>
      <c r="L1196" s="28"/>
      <c r="M1196" s="28">
        <f>SUM(M1197:M1199)</f>
        <v>0</v>
      </c>
      <c r="N1196" s="28"/>
      <c r="O1196" s="28">
        <f t="shared" ref="O1196:AC1196" si="773">SUM(O1197:O1199)</f>
        <v>0</v>
      </c>
      <c r="P1196" s="28">
        <f t="shared" si="773"/>
        <v>0</v>
      </c>
      <c r="Q1196" s="28">
        <f t="shared" si="773"/>
        <v>0</v>
      </c>
      <c r="R1196" s="28">
        <f t="shared" si="773"/>
        <v>0</v>
      </c>
      <c r="S1196" s="40">
        <f t="shared" si="773"/>
        <v>0</v>
      </c>
      <c r="T1196" s="28"/>
      <c r="U1196" s="48">
        <f t="shared" si="773"/>
        <v>0</v>
      </c>
      <c r="V1196" s="28"/>
      <c r="W1196" s="28">
        <f t="shared" si="773"/>
        <v>0</v>
      </c>
      <c r="X1196" s="28"/>
      <c r="Y1196" s="28">
        <f t="shared" si="773"/>
        <v>0</v>
      </c>
      <c r="Z1196" s="28">
        <f t="shared" si="773"/>
        <v>0</v>
      </c>
      <c r="AA1196" s="28"/>
      <c r="AB1196" s="28">
        <f t="shared" si="773"/>
        <v>0</v>
      </c>
      <c r="AC1196" s="28">
        <f t="shared" si="773"/>
        <v>0</v>
      </c>
      <c r="AD1196" s="28"/>
      <c r="AE1196" s="28"/>
    </row>
    <row r="1197" spans="1:33" s="1" customFormat="1" ht="10.5" x14ac:dyDescent="0.25">
      <c r="A1197" s="21"/>
      <c r="B1197" s="22"/>
      <c r="C1197" s="22"/>
      <c r="D1197" s="65"/>
      <c r="E1197" s="24"/>
      <c r="F1197" s="24"/>
      <c r="G1197" s="24"/>
      <c r="H1197" s="24"/>
      <c r="I1197" s="24"/>
      <c r="J1197" s="24"/>
      <c r="K1197" s="24"/>
      <c r="L1197" s="24"/>
      <c r="M1197" s="24"/>
      <c r="N1197" s="24"/>
      <c r="O1197" s="24"/>
      <c r="P1197" s="24"/>
      <c r="Q1197" s="24"/>
      <c r="R1197" s="24"/>
      <c r="S1197" s="41"/>
      <c r="T1197" s="24"/>
      <c r="U1197" s="44"/>
      <c r="V1197" s="24"/>
      <c r="W1197" s="24"/>
      <c r="X1197" s="24"/>
      <c r="Y1197" s="24"/>
      <c r="Z1197" s="24"/>
      <c r="AA1197" s="24"/>
      <c r="AB1197" s="24"/>
      <c r="AC1197" s="24"/>
      <c r="AD1197" s="24"/>
      <c r="AE1197" s="24"/>
    </row>
    <row r="1198" spans="1:33" s="1" customFormat="1" ht="10.5" x14ac:dyDescent="0.25">
      <c r="A1198" s="21"/>
      <c r="B1198" s="22"/>
      <c r="C1198" s="22"/>
      <c r="D1198" s="65"/>
      <c r="E1198" s="24"/>
      <c r="F1198" s="24"/>
      <c r="G1198" s="24"/>
      <c r="H1198" s="24"/>
      <c r="I1198" s="24"/>
      <c r="J1198" s="24"/>
      <c r="K1198" s="24"/>
      <c r="L1198" s="24"/>
      <c r="M1198" s="24"/>
      <c r="N1198" s="24"/>
      <c r="O1198" s="24"/>
      <c r="P1198" s="24"/>
      <c r="Q1198" s="24"/>
      <c r="R1198" s="24"/>
      <c r="S1198" s="41"/>
      <c r="T1198" s="24"/>
      <c r="U1198" s="44"/>
      <c r="V1198" s="24"/>
      <c r="W1198" s="24"/>
      <c r="X1198" s="24"/>
      <c r="Y1198" s="24"/>
      <c r="Z1198" s="24"/>
      <c r="AA1198" s="24"/>
      <c r="AB1198" s="24"/>
      <c r="AC1198" s="24"/>
      <c r="AD1198" s="24"/>
      <c r="AE1198" s="24"/>
    </row>
    <row r="1199" spans="1:33" s="1" customFormat="1" ht="10.5" x14ac:dyDescent="0.25">
      <c r="A1199" s="21"/>
      <c r="B1199" s="22"/>
      <c r="C1199" s="22"/>
      <c r="D1199" s="65"/>
      <c r="E1199" s="24"/>
      <c r="F1199" s="24"/>
      <c r="G1199" s="24"/>
      <c r="H1199" s="24"/>
      <c r="I1199" s="24"/>
      <c r="J1199" s="24"/>
      <c r="K1199" s="24"/>
      <c r="L1199" s="24"/>
      <c r="M1199" s="24"/>
      <c r="N1199" s="24"/>
      <c r="O1199" s="24"/>
      <c r="P1199" s="24"/>
      <c r="Q1199" s="24"/>
      <c r="R1199" s="24"/>
      <c r="S1199" s="41"/>
      <c r="T1199" s="24"/>
      <c r="U1199" s="44"/>
      <c r="V1199" s="24"/>
      <c r="W1199" s="24"/>
      <c r="X1199" s="24"/>
      <c r="Y1199" s="24"/>
      <c r="Z1199" s="24"/>
      <c r="AA1199" s="24"/>
      <c r="AB1199" s="24"/>
      <c r="AC1199" s="24"/>
      <c r="AD1199" s="24"/>
      <c r="AE1199" s="24"/>
    </row>
    <row r="1200" spans="1:33" s="1" customFormat="1" ht="10.5" x14ac:dyDescent="0.25">
      <c r="A1200" s="25"/>
      <c r="B1200" s="26" t="s">
        <v>1421</v>
      </c>
      <c r="C1200" s="26"/>
      <c r="D1200" s="64" t="s">
        <v>1422</v>
      </c>
      <c r="E1200" s="28"/>
      <c r="F1200" s="28"/>
      <c r="G1200" s="28"/>
      <c r="H1200" s="28"/>
      <c r="I1200" s="28"/>
      <c r="J1200" s="28"/>
      <c r="K1200" s="28"/>
      <c r="L1200" s="28"/>
      <c r="M1200" s="28">
        <f>SUM(M1201:M1211)</f>
        <v>10</v>
      </c>
      <c r="N1200" s="28"/>
      <c r="O1200" s="40">
        <f>SUM(O1201:O1211)</f>
        <v>1260745500</v>
      </c>
      <c r="P1200" s="28">
        <f>SUM(P1201:P1211)</f>
        <v>0</v>
      </c>
      <c r="Q1200" s="28">
        <f>SUM(Q1201:Q1211)</f>
        <v>0</v>
      </c>
      <c r="R1200" s="28">
        <f>SUM(R1201:R1211)</f>
        <v>0</v>
      </c>
      <c r="S1200" s="40">
        <f>SUM(S1201:S1211)</f>
        <v>1260745500</v>
      </c>
      <c r="T1200" s="28"/>
      <c r="U1200" s="40">
        <f>SUM(U1201:U1211)</f>
        <v>31518637.5</v>
      </c>
      <c r="V1200" s="28"/>
      <c r="W1200" s="40">
        <f>SUM(W1201:W1211)</f>
        <v>15759318.75</v>
      </c>
      <c r="X1200" s="28"/>
      <c r="Y1200" s="40">
        <f>SUM(Y1201:Y1211)</f>
        <v>15759318.75</v>
      </c>
      <c r="Z1200" s="40">
        <f>SUM(Z1201:Z1211)</f>
        <v>31518637.5</v>
      </c>
      <c r="AA1200" s="28"/>
      <c r="AB1200" s="98">
        <f>SUM(AB1201:AB1211)</f>
        <v>266813962.5</v>
      </c>
      <c r="AC1200" s="40">
        <f>SUM(AC1201:AC1211)</f>
        <v>993931537.5</v>
      </c>
      <c r="AD1200" s="28"/>
      <c r="AE1200" s="28"/>
      <c r="AG1200" s="8"/>
    </row>
    <row r="1201" spans="1:33" s="1" customFormat="1" ht="10.5" x14ac:dyDescent="0.25">
      <c r="A1201" s="21">
        <v>1</v>
      </c>
      <c r="B1201" s="22" t="s">
        <v>1799</v>
      </c>
      <c r="C1201" s="22" t="s">
        <v>58</v>
      </c>
      <c r="D1201" s="65" t="s">
        <v>1423</v>
      </c>
      <c r="E1201" s="24" t="s">
        <v>263</v>
      </c>
      <c r="F1201" s="24"/>
      <c r="G1201" s="24" t="s">
        <v>260</v>
      </c>
      <c r="H1201" s="24" t="s">
        <v>62</v>
      </c>
      <c r="I1201" s="24">
        <v>2009</v>
      </c>
      <c r="J1201" s="24"/>
      <c r="K1201" s="24" t="s">
        <v>261</v>
      </c>
      <c r="L1201" s="24" t="s">
        <v>64</v>
      </c>
      <c r="M1201" s="24">
        <v>1</v>
      </c>
      <c r="N1201" s="41">
        <v>16825000</v>
      </c>
      <c r="O1201" s="41">
        <v>16825000</v>
      </c>
      <c r="P1201" s="24"/>
      <c r="Q1201" s="24"/>
      <c r="R1201" s="24"/>
      <c r="S1201" s="41">
        <v>16825000</v>
      </c>
      <c r="T1201" s="24">
        <v>40</v>
      </c>
      <c r="U1201" s="41">
        <f t="shared" ref="U1201:U1210" si="774">SUM(S1201/T1201)</f>
        <v>420625</v>
      </c>
      <c r="V1201" s="24">
        <v>0.5</v>
      </c>
      <c r="W1201" s="41">
        <f t="shared" ref="W1201:W1210" si="775">SUM(U1201*V1201)</f>
        <v>210312.5</v>
      </c>
      <c r="X1201" s="24">
        <v>0.5</v>
      </c>
      <c r="Y1201" s="41">
        <f t="shared" ref="Y1201:Y1209" si="776">SUM(U1201*X1201)</f>
        <v>210312.5</v>
      </c>
      <c r="Z1201" s="70">
        <f>W1201+Y1201</f>
        <v>420625</v>
      </c>
      <c r="AA1201" s="24">
        <f t="shared" ref="AA1201:AA1206" si="777">2022-I1201+V1201+X1201</f>
        <v>14</v>
      </c>
      <c r="AB1201" s="41">
        <f t="shared" ref="AB1201:AB1210" si="778">SUM(U1201*AA1201)</f>
        <v>5888750</v>
      </c>
      <c r="AC1201" s="41">
        <f t="shared" ref="AC1201:AC1210" si="779">SUM(S1201-AB1201)</f>
        <v>10936250</v>
      </c>
      <c r="AD1201" s="24"/>
      <c r="AE1201" s="24"/>
      <c r="AF1201" s="1">
        <v>5888750</v>
      </c>
      <c r="AG1201" s="5">
        <f>AF1201+Z1201-AB1201</f>
        <v>420625</v>
      </c>
    </row>
    <row r="1202" spans="1:33" s="1" customFormat="1" ht="10.5" x14ac:dyDescent="0.25">
      <c r="A1202" s="21">
        <v>2</v>
      </c>
      <c r="B1202" s="22" t="s">
        <v>1799</v>
      </c>
      <c r="C1202" s="22" t="s">
        <v>75</v>
      </c>
      <c r="D1202" s="65" t="s">
        <v>1424</v>
      </c>
      <c r="E1202" s="24" t="s">
        <v>263</v>
      </c>
      <c r="F1202" s="24"/>
      <c r="G1202" s="24" t="s">
        <v>260</v>
      </c>
      <c r="H1202" s="24" t="s">
        <v>62</v>
      </c>
      <c r="I1202" s="24">
        <v>2011</v>
      </c>
      <c r="J1202" s="24"/>
      <c r="K1202" s="24" t="s">
        <v>261</v>
      </c>
      <c r="L1202" s="24" t="s">
        <v>64</v>
      </c>
      <c r="M1202" s="24">
        <v>1</v>
      </c>
      <c r="N1202" s="41">
        <v>198385000</v>
      </c>
      <c r="O1202" s="41">
        <v>198385000</v>
      </c>
      <c r="P1202" s="24"/>
      <c r="Q1202" s="24"/>
      <c r="R1202" s="24"/>
      <c r="S1202" s="41">
        <v>198385000</v>
      </c>
      <c r="T1202" s="24">
        <v>40</v>
      </c>
      <c r="U1202" s="41">
        <f t="shared" si="774"/>
        <v>4959625</v>
      </c>
      <c r="V1202" s="24">
        <v>0.5</v>
      </c>
      <c r="W1202" s="41">
        <f t="shared" si="775"/>
        <v>2479812.5</v>
      </c>
      <c r="X1202" s="24">
        <v>0.5</v>
      </c>
      <c r="Y1202" s="41">
        <f t="shared" si="776"/>
        <v>2479812.5</v>
      </c>
      <c r="Z1202" s="70">
        <f t="shared" ref="Z1202:Z1210" si="780">W1202+Y1202</f>
        <v>4959625</v>
      </c>
      <c r="AA1202" s="24">
        <f t="shared" si="777"/>
        <v>12</v>
      </c>
      <c r="AB1202" s="41">
        <f t="shared" si="778"/>
        <v>59515500</v>
      </c>
      <c r="AC1202" s="41">
        <f t="shared" si="779"/>
        <v>138869500</v>
      </c>
      <c r="AD1202" s="24"/>
      <c r="AE1202" s="24"/>
      <c r="AF1202" s="1">
        <v>59515500</v>
      </c>
      <c r="AG1202" s="5">
        <f t="shared" ref="AG1202:AG1210" si="781">AF1202+Z1202-AB1202</f>
        <v>4959625</v>
      </c>
    </row>
    <row r="1203" spans="1:33" s="1" customFormat="1" ht="10.5" x14ac:dyDescent="0.25">
      <c r="A1203" s="21">
        <v>3</v>
      </c>
      <c r="B1203" s="22" t="s">
        <v>1799</v>
      </c>
      <c r="C1203" s="22" t="s">
        <v>79</v>
      </c>
      <c r="D1203" s="65" t="s">
        <v>1424</v>
      </c>
      <c r="E1203" s="24" t="s">
        <v>263</v>
      </c>
      <c r="F1203" s="24"/>
      <c r="G1203" s="24" t="s">
        <v>260</v>
      </c>
      <c r="H1203" s="24" t="s">
        <v>62</v>
      </c>
      <c r="I1203" s="24">
        <v>2012</v>
      </c>
      <c r="J1203" s="24"/>
      <c r="K1203" s="24" t="s">
        <v>261</v>
      </c>
      <c r="L1203" s="24" t="s">
        <v>64</v>
      </c>
      <c r="M1203" s="24">
        <v>1</v>
      </c>
      <c r="N1203" s="41">
        <v>197879000</v>
      </c>
      <c r="O1203" s="41">
        <v>197879000</v>
      </c>
      <c r="P1203" s="24"/>
      <c r="Q1203" s="24"/>
      <c r="R1203" s="24"/>
      <c r="S1203" s="41">
        <v>197879000</v>
      </c>
      <c r="T1203" s="24">
        <v>40</v>
      </c>
      <c r="U1203" s="41">
        <f t="shared" si="774"/>
        <v>4946975</v>
      </c>
      <c r="V1203" s="24">
        <v>0.5</v>
      </c>
      <c r="W1203" s="41">
        <f t="shared" si="775"/>
        <v>2473487.5</v>
      </c>
      <c r="X1203" s="24">
        <v>0.5</v>
      </c>
      <c r="Y1203" s="41">
        <f t="shared" si="776"/>
        <v>2473487.5</v>
      </c>
      <c r="Z1203" s="70">
        <f t="shared" si="780"/>
        <v>4946975</v>
      </c>
      <c r="AA1203" s="24">
        <f t="shared" si="777"/>
        <v>11</v>
      </c>
      <c r="AB1203" s="41">
        <f t="shared" si="778"/>
        <v>54416725</v>
      </c>
      <c r="AC1203" s="41">
        <f t="shared" si="779"/>
        <v>143462275</v>
      </c>
      <c r="AD1203" s="24"/>
      <c r="AE1203" s="24"/>
      <c r="AF1203" s="1">
        <v>54416725</v>
      </c>
      <c r="AG1203" s="5">
        <f t="shared" si="781"/>
        <v>4946975</v>
      </c>
    </row>
    <row r="1204" spans="1:33" s="1" customFormat="1" ht="10.5" x14ac:dyDescent="0.25">
      <c r="A1204" s="21">
        <v>4</v>
      </c>
      <c r="B1204" s="22" t="s">
        <v>1799</v>
      </c>
      <c r="C1204" s="22" t="s">
        <v>84</v>
      </c>
      <c r="D1204" s="65" t="s">
        <v>1425</v>
      </c>
      <c r="E1204" s="24"/>
      <c r="F1204" s="24"/>
      <c r="G1204" s="24" t="s">
        <v>260</v>
      </c>
      <c r="H1204" s="24" t="s">
        <v>62</v>
      </c>
      <c r="I1204" s="24">
        <v>2014</v>
      </c>
      <c r="J1204" s="24"/>
      <c r="K1204" s="24" t="s">
        <v>261</v>
      </c>
      <c r="L1204" s="24" t="s">
        <v>64</v>
      </c>
      <c r="M1204" s="24">
        <v>1</v>
      </c>
      <c r="N1204" s="41">
        <v>189000000</v>
      </c>
      <c r="O1204" s="41">
        <v>189000000</v>
      </c>
      <c r="P1204" s="24"/>
      <c r="Q1204" s="24"/>
      <c r="R1204" s="24"/>
      <c r="S1204" s="41">
        <v>189000000</v>
      </c>
      <c r="T1204" s="24">
        <v>40</v>
      </c>
      <c r="U1204" s="41">
        <f t="shared" si="774"/>
        <v>4725000</v>
      </c>
      <c r="V1204" s="24">
        <v>0.5</v>
      </c>
      <c r="W1204" s="41">
        <f t="shared" si="775"/>
        <v>2362500</v>
      </c>
      <c r="X1204" s="24">
        <v>0.5</v>
      </c>
      <c r="Y1204" s="41">
        <f t="shared" si="776"/>
        <v>2362500</v>
      </c>
      <c r="Z1204" s="70">
        <f t="shared" si="780"/>
        <v>4725000</v>
      </c>
      <c r="AA1204" s="24">
        <f t="shared" si="777"/>
        <v>9</v>
      </c>
      <c r="AB1204" s="41">
        <f t="shared" si="778"/>
        <v>42525000</v>
      </c>
      <c r="AC1204" s="41">
        <f t="shared" si="779"/>
        <v>146475000</v>
      </c>
      <c r="AD1204" s="24"/>
      <c r="AE1204" s="24"/>
      <c r="AF1204" s="1">
        <v>42525000</v>
      </c>
      <c r="AG1204" s="5">
        <f t="shared" si="781"/>
        <v>4725000</v>
      </c>
    </row>
    <row r="1205" spans="1:33" s="1" customFormat="1" ht="10.5" x14ac:dyDescent="0.25">
      <c r="A1205" s="21">
        <v>5</v>
      </c>
      <c r="B1205" s="22" t="s">
        <v>1799</v>
      </c>
      <c r="C1205" s="22" t="s">
        <v>88</v>
      </c>
      <c r="D1205" s="65" t="s">
        <v>1426</v>
      </c>
      <c r="E1205" s="24"/>
      <c r="F1205" s="24"/>
      <c r="G1205" s="24" t="s">
        <v>260</v>
      </c>
      <c r="H1205" s="24" t="s">
        <v>62</v>
      </c>
      <c r="I1205" s="24">
        <v>2014</v>
      </c>
      <c r="J1205" s="24"/>
      <c r="K1205" s="24" t="s">
        <v>261</v>
      </c>
      <c r="L1205" s="24" t="s">
        <v>64</v>
      </c>
      <c r="M1205" s="24">
        <v>1</v>
      </c>
      <c r="N1205" s="41">
        <v>196130000</v>
      </c>
      <c r="O1205" s="41">
        <v>196130000</v>
      </c>
      <c r="P1205" s="24"/>
      <c r="Q1205" s="24"/>
      <c r="R1205" s="24"/>
      <c r="S1205" s="41">
        <v>196130000</v>
      </c>
      <c r="T1205" s="24">
        <v>40</v>
      </c>
      <c r="U1205" s="41">
        <f t="shared" si="774"/>
        <v>4903250</v>
      </c>
      <c r="V1205" s="24">
        <v>0.5</v>
      </c>
      <c r="W1205" s="41">
        <f t="shared" si="775"/>
        <v>2451625</v>
      </c>
      <c r="X1205" s="24">
        <v>0.5</v>
      </c>
      <c r="Y1205" s="41">
        <f t="shared" si="776"/>
        <v>2451625</v>
      </c>
      <c r="Z1205" s="70">
        <f t="shared" si="780"/>
        <v>4903250</v>
      </c>
      <c r="AA1205" s="24">
        <f t="shared" si="777"/>
        <v>9</v>
      </c>
      <c r="AB1205" s="41">
        <f t="shared" si="778"/>
        <v>44129250</v>
      </c>
      <c r="AC1205" s="41">
        <f t="shared" si="779"/>
        <v>152000750</v>
      </c>
      <c r="AD1205" s="24"/>
      <c r="AE1205" s="24"/>
      <c r="AF1205" s="1">
        <v>44129250</v>
      </c>
      <c r="AG1205" s="5">
        <f t="shared" si="781"/>
        <v>4903250</v>
      </c>
    </row>
    <row r="1206" spans="1:33" s="1" customFormat="1" ht="10.5" x14ac:dyDescent="0.25">
      <c r="A1206" s="21">
        <v>6</v>
      </c>
      <c r="B1206" s="22" t="s">
        <v>1799</v>
      </c>
      <c r="C1206" s="22" t="s">
        <v>92</v>
      </c>
      <c r="D1206" s="97" t="s">
        <v>1427</v>
      </c>
      <c r="E1206" s="24"/>
      <c r="F1206" s="24"/>
      <c r="G1206" s="24" t="s">
        <v>260</v>
      </c>
      <c r="H1206" s="24" t="s">
        <v>62</v>
      </c>
      <c r="I1206" s="24">
        <v>2014</v>
      </c>
      <c r="J1206" s="24"/>
      <c r="K1206" s="24" t="s">
        <v>261</v>
      </c>
      <c r="L1206" s="24" t="s">
        <v>64</v>
      </c>
      <c r="M1206" s="24">
        <v>1</v>
      </c>
      <c r="N1206" s="41">
        <v>49318500</v>
      </c>
      <c r="O1206" s="41">
        <v>49318500</v>
      </c>
      <c r="P1206" s="24"/>
      <c r="Q1206" s="24"/>
      <c r="R1206" s="24"/>
      <c r="S1206" s="41">
        <v>49318500</v>
      </c>
      <c r="T1206" s="24">
        <v>40</v>
      </c>
      <c r="U1206" s="41">
        <f t="shared" si="774"/>
        <v>1232962.5</v>
      </c>
      <c r="V1206" s="24">
        <v>0.5</v>
      </c>
      <c r="W1206" s="41">
        <f t="shared" si="775"/>
        <v>616481.25</v>
      </c>
      <c r="X1206" s="24">
        <v>0.5</v>
      </c>
      <c r="Y1206" s="41">
        <f t="shared" si="776"/>
        <v>616481.25</v>
      </c>
      <c r="Z1206" s="70">
        <f t="shared" si="780"/>
        <v>1232962.5</v>
      </c>
      <c r="AA1206" s="24">
        <f t="shared" si="777"/>
        <v>9</v>
      </c>
      <c r="AB1206" s="41">
        <f t="shared" si="778"/>
        <v>11096662.5</v>
      </c>
      <c r="AC1206" s="41">
        <f t="shared" si="779"/>
        <v>38221837.5</v>
      </c>
      <c r="AD1206" s="24"/>
      <c r="AE1206" s="24"/>
      <c r="AF1206" s="1">
        <v>11096662.5</v>
      </c>
      <c r="AG1206" s="5">
        <f t="shared" si="781"/>
        <v>1232962.5</v>
      </c>
    </row>
    <row r="1207" spans="1:33" s="1" customFormat="1" ht="10.5" x14ac:dyDescent="0.25">
      <c r="A1207" s="21">
        <v>7</v>
      </c>
      <c r="B1207" s="22" t="s">
        <v>1799</v>
      </c>
      <c r="C1207" s="22" t="s">
        <v>96</v>
      </c>
      <c r="D1207" s="65" t="s">
        <v>1423</v>
      </c>
      <c r="E1207" s="24"/>
      <c r="F1207" s="24"/>
      <c r="G1207" s="24" t="s">
        <v>260</v>
      </c>
      <c r="H1207" s="24" t="s">
        <v>62</v>
      </c>
      <c r="I1207" s="24">
        <v>2016</v>
      </c>
      <c r="J1207" s="24"/>
      <c r="K1207" s="24" t="s">
        <v>261</v>
      </c>
      <c r="L1207" s="24" t="s">
        <v>64</v>
      </c>
      <c r="M1207" s="24">
        <v>1</v>
      </c>
      <c r="N1207" s="41">
        <v>98800000</v>
      </c>
      <c r="O1207" s="41">
        <v>98800000</v>
      </c>
      <c r="P1207" s="24"/>
      <c r="Q1207" s="24"/>
      <c r="R1207" s="24"/>
      <c r="S1207" s="41">
        <v>98800000</v>
      </c>
      <c r="T1207" s="24">
        <v>40</v>
      </c>
      <c r="U1207" s="41">
        <f t="shared" si="774"/>
        <v>2470000</v>
      </c>
      <c r="V1207" s="24">
        <v>0.5</v>
      </c>
      <c r="W1207" s="41">
        <f t="shared" si="775"/>
        <v>1235000</v>
      </c>
      <c r="X1207" s="24">
        <v>0.5</v>
      </c>
      <c r="Y1207" s="41">
        <f t="shared" si="776"/>
        <v>1235000</v>
      </c>
      <c r="Z1207" s="70">
        <f t="shared" si="780"/>
        <v>2470000</v>
      </c>
      <c r="AA1207" s="72">
        <f>2022-I1207+V1207+X1207-2/12</f>
        <v>6.833333333333333</v>
      </c>
      <c r="AB1207" s="41">
        <f t="shared" si="778"/>
        <v>16878333.333333332</v>
      </c>
      <c r="AC1207" s="41">
        <f t="shared" si="779"/>
        <v>81921666.666666672</v>
      </c>
      <c r="AD1207" s="24"/>
      <c r="AE1207" s="24"/>
      <c r="AF1207" s="1">
        <v>16878333.333333332</v>
      </c>
      <c r="AG1207" s="5">
        <f t="shared" si="781"/>
        <v>2470000</v>
      </c>
    </row>
    <row r="1208" spans="1:33" s="189" customFormat="1" ht="10.5" x14ac:dyDescent="0.25">
      <c r="A1208" s="49">
        <v>8</v>
      </c>
      <c r="B1208" s="50" t="s">
        <v>1748</v>
      </c>
      <c r="C1208" s="50" t="s">
        <v>58</v>
      </c>
      <c r="D1208" s="85" t="s">
        <v>681</v>
      </c>
      <c r="E1208" s="52"/>
      <c r="F1208" s="52"/>
      <c r="G1208" s="52" t="s">
        <v>260</v>
      </c>
      <c r="H1208" s="52" t="s">
        <v>62</v>
      </c>
      <c r="I1208" s="52">
        <v>2017</v>
      </c>
      <c r="J1208" s="52"/>
      <c r="K1208" s="52" t="s">
        <v>261</v>
      </c>
      <c r="L1208" s="52" t="s">
        <v>64</v>
      </c>
      <c r="M1208" s="52">
        <v>1</v>
      </c>
      <c r="N1208" s="53">
        <v>39850000</v>
      </c>
      <c r="O1208" s="53">
        <v>39850000</v>
      </c>
      <c r="P1208" s="52"/>
      <c r="Q1208" s="52"/>
      <c r="R1208" s="52"/>
      <c r="S1208" s="53">
        <v>39850000</v>
      </c>
      <c r="T1208" s="52">
        <v>40</v>
      </c>
      <c r="U1208" s="53">
        <f t="shared" si="774"/>
        <v>996250</v>
      </c>
      <c r="V1208" s="52">
        <v>0.5</v>
      </c>
      <c r="W1208" s="53">
        <f t="shared" si="775"/>
        <v>498125</v>
      </c>
      <c r="X1208" s="52">
        <v>0.5</v>
      </c>
      <c r="Y1208" s="53">
        <f t="shared" si="776"/>
        <v>498125</v>
      </c>
      <c r="Z1208" s="56">
        <f t="shared" si="780"/>
        <v>996250</v>
      </c>
      <c r="AA1208" s="57">
        <f>2022-I1208+V1208+X1208-1/12</f>
        <v>5.916666666666667</v>
      </c>
      <c r="AB1208" s="53">
        <f t="shared" si="778"/>
        <v>5894479.166666667</v>
      </c>
      <c r="AC1208" s="53">
        <f t="shared" si="779"/>
        <v>33955520.833333336</v>
      </c>
      <c r="AD1208" s="52"/>
      <c r="AE1208" s="52"/>
      <c r="AF1208" s="189">
        <v>5894479.166666667</v>
      </c>
      <c r="AG1208" s="190">
        <f t="shared" si="781"/>
        <v>996250</v>
      </c>
    </row>
    <row r="1209" spans="1:33" s="1" customFormat="1" ht="10.5" x14ac:dyDescent="0.25">
      <c r="A1209" s="21">
        <v>9</v>
      </c>
      <c r="B1209" s="22" t="s">
        <v>1799</v>
      </c>
      <c r="C1209" s="22" t="s">
        <v>75</v>
      </c>
      <c r="D1209" s="65" t="s">
        <v>1428</v>
      </c>
      <c r="E1209" s="24"/>
      <c r="F1209" s="24"/>
      <c r="G1209" s="24" t="s">
        <v>260</v>
      </c>
      <c r="H1209" s="24" t="s">
        <v>62</v>
      </c>
      <c r="I1209" s="24">
        <v>2017</v>
      </c>
      <c r="J1209" s="24"/>
      <c r="K1209" s="24" t="s">
        <v>261</v>
      </c>
      <c r="L1209" s="24" t="s">
        <v>64</v>
      </c>
      <c r="M1209" s="24">
        <v>1</v>
      </c>
      <c r="N1209" s="41">
        <v>74900000</v>
      </c>
      <c r="O1209" s="41">
        <v>74900000</v>
      </c>
      <c r="P1209" s="24"/>
      <c r="Q1209" s="24"/>
      <c r="R1209" s="24"/>
      <c r="S1209" s="41">
        <v>74900000</v>
      </c>
      <c r="T1209" s="24">
        <v>40</v>
      </c>
      <c r="U1209" s="41">
        <f t="shared" si="774"/>
        <v>1872500</v>
      </c>
      <c r="V1209" s="24">
        <v>0.5</v>
      </c>
      <c r="W1209" s="41">
        <f t="shared" si="775"/>
        <v>936250</v>
      </c>
      <c r="X1209" s="24">
        <v>0.5</v>
      </c>
      <c r="Y1209" s="41">
        <f t="shared" si="776"/>
        <v>936250</v>
      </c>
      <c r="Z1209" s="70">
        <f t="shared" si="780"/>
        <v>1872500</v>
      </c>
      <c r="AA1209" s="72">
        <f>2022-I1209+V1209+X1209-1/12</f>
        <v>5.916666666666667</v>
      </c>
      <c r="AB1209" s="41">
        <f t="shared" si="778"/>
        <v>11078958.333333334</v>
      </c>
      <c r="AC1209" s="41">
        <f t="shared" si="779"/>
        <v>63821041.666666664</v>
      </c>
      <c r="AD1209" s="24"/>
      <c r="AE1209" s="24"/>
      <c r="AF1209" s="1">
        <v>11078958.333333334</v>
      </c>
      <c r="AG1209" s="5">
        <f t="shared" si="781"/>
        <v>1872500</v>
      </c>
    </row>
    <row r="1210" spans="1:33" s="1" customFormat="1" ht="10.5" x14ac:dyDescent="0.25">
      <c r="A1210" s="21">
        <v>10</v>
      </c>
      <c r="B1210" s="22" t="s">
        <v>1799</v>
      </c>
      <c r="C1210" s="42" t="s">
        <v>79</v>
      </c>
      <c r="D1210" s="85" t="s">
        <v>1428</v>
      </c>
      <c r="E1210" s="52"/>
      <c r="F1210" s="52"/>
      <c r="G1210" s="52" t="s">
        <v>260</v>
      </c>
      <c r="H1210" s="52" t="s">
        <v>62</v>
      </c>
      <c r="I1210" s="52">
        <v>2019</v>
      </c>
      <c r="J1210" s="52"/>
      <c r="K1210" s="52" t="s">
        <v>261</v>
      </c>
      <c r="L1210" s="52" t="s">
        <v>64</v>
      </c>
      <c r="M1210" s="52">
        <v>1</v>
      </c>
      <c r="N1210" s="53">
        <v>199658000</v>
      </c>
      <c r="O1210" s="53">
        <v>199658000</v>
      </c>
      <c r="P1210" s="53"/>
      <c r="Q1210" s="53"/>
      <c r="R1210" s="53"/>
      <c r="S1210" s="53">
        <v>199658000</v>
      </c>
      <c r="T1210" s="52">
        <v>40</v>
      </c>
      <c r="U1210" s="53">
        <f t="shared" si="774"/>
        <v>4991450</v>
      </c>
      <c r="V1210" s="52">
        <v>0.5</v>
      </c>
      <c r="W1210" s="53">
        <f t="shared" si="775"/>
        <v>2495725</v>
      </c>
      <c r="X1210" s="24">
        <v>0.5</v>
      </c>
      <c r="Y1210" s="53">
        <f t="shared" ref="Y1210" si="782">SUM(U1210*X1210)</f>
        <v>2495725</v>
      </c>
      <c r="Z1210" s="56">
        <f t="shared" si="780"/>
        <v>4991450</v>
      </c>
      <c r="AA1210" s="72">
        <f>2022-I1210+V1210+X1210-11/12</f>
        <v>3.0833333333333335</v>
      </c>
      <c r="AB1210" s="53">
        <f t="shared" si="778"/>
        <v>15390304.166666668</v>
      </c>
      <c r="AC1210" s="53">
        <f t="shared" si="779"/>
        <v>184267695.83333334</v>
      </c>
      <c r="AD1210" s="24"/>
      <c r="AE1210" s="24"/>
      <c r="AF1210" s="1">
        <v>15390304.166666668</v>
      </c>
      <c r="AG1210" s="5">
        <f t="shared" si="781"/>
        <v>4991450</v>
      </c>
    </row>
    <row r="1211" spans="1:33" s="1" customFormat="1" ht="10.5" x14ac:dyDescent="0.25">
      <c r="A1211" s="21"/>
      <c r="B1211" s="22"/>
      <c r="C1211" s="22"/>
      <c r="D1211" s="65"/>
      <c r="E1211" s="24"/>
      <c r="F1211" s="24"/>
      <c r="G1211" s="24"/>
      <c r="H1211" s="24"/>
      <c r="I1211" s="24"/>
      <c r="J1211" s="24"/>
      <c r="K1211" s="24"/>
      <c r="L1211" s="24"/>
      <c r="M1211" s="24"/>
      <c r="N1211" s="24"/>
      <c r="O1211" s="24"/>
      <c r="P1211" s="24"/>
      <c r="Q1211" s="24"/>
      <c r="R1211" s="24"/>
      <c r="S1211" s="24"/>
      <c r="T1211" s="24"/>
      <c r="U1211" s="24"/>
      <c r="V1211" s="24"/>
      <c r="W1211" s="24"/>
      <c r="X1211" s="24"/>
      <c r="Y1211" s="24"/>
      <c r="Z1211" s="24"/>
      <c r="AA1211" s="24"/>
      <c r="AB1211" s="24"/>
      <c r="AC1211" s="24"/>
      <c r="AD1211" s="24"/>
      <c r="AE1211" s="24"/>
    </row>
    <row r="1212" spans="1:33" s="1" customFormat="1" ht="10.5" x14ac:dyDescent="0.25">
      <c r="A1212" s="25"/>
      <c r="B1212" s="26" t="s">
        <v>1429</v>
      </c>
      <c r="C1212" s="26"/>
      <c r="D1212" s="64" t="s">
        <v>1430</v>
      </c>
      <c r="E1212" s="28"/>
      <c r="F1212" s="28"/>
      <c r="G1212" s="28"/>
      <c r="H1212" s="28"/>
      <c r="I1212" s="28"/>
      <c r="J1212" s="28"/>
      <c r="K1212" s="28"/>
      <c r="L1212" s="28"/>
      <c r="M1212" s="28">
        <f>SUM(M1213:M1215)</f>
        <v>0</v>
      </c>
      <c r="N1212" s="40"/>
      <c r="O1212" s="40">
        <f t="shared" ref="O1212:AC1212" si="783">SUM(O1213:O1215)</f>
        <v>0</v>
      </c>
      <c r="P1212" s="28">
        <f t="shared" si="783"/>
        <v>0</v>
      </c>
      <c r="Q1212" s="28">
        <f t="shared" si="783"/>
        <v>0</v>
      </c>
      <c r="R1212" s="28">
        <f t="shared" si="783"/>
        <v>0</v>
      </c>
      <c r="S1212" s="40">
        <f t="shared" si="783"/>
        <v>0</v>
      </c>
      <c r="T1212" s="28"/>
      <c r="U1212" s="40">
        <f t="shared" si="783"/>
        <v>0</v>
      </c>
      <c r="V1212" s="28"/>
      <c r="W1212" s="28">
        <f t="shared" si="783"/>
        <v>0</v>
      </c>
      <c r="X1212" s="28"/>
      <c r="Y1212" s="40">
        <f t="shared" si="783"/>
        <v>0</v>
      </c>
      <c r="Z1212" s="40">
        <f t="shared" si="783"/>
        <v>0</v>
      </c>
      <c r="AA1212" s="28"/>
      <c r="AB1212" s="40">
        <f t="shared" si="783"/>
        <v>0</v>
      </c>
      <c r="AC1212" s="40">
        <f t="shared" si="783"/>
        <v>0</v>
      </c>
      <c r="AD1212" s="28"/>
      <c r="AE1212" s="28"/>
    </row>
    <row r="1213" spans="1:33" s="1" customFormat="1" ht="10.5" x14ac:dyDescent="0.25">
      <c r="A1213" s="21"/>
      <c r="B1213" s="22"/>
      <c r="C1213" s="22"/>
      <c r="D1213" s="65"/>
      <c r="E1213" s="24"/>
      <c r="F1213" s="24"/>
      <c r="G1213" s="24"/>
      <c r="H1213" s="24"/>
      <c r="I1213" s="24"/>
      <c r="J1213" s="24"/>
      <c r="K1213" s="24"/>
      <c r="L1213" s="24"/>
      <c r="M1213" s="24"/>
      <c r="N1213" s="41"/>
      <c r="O1213" s="41"/>
      <c r="P1213" s="24"/>
      <c r="Q1213" s="24"/>
      <c r="R1213" s="24"/>
      <c r="S1213" s="41"/>
      <c r="T1213" s="24"/>
      <c r="U1213" s="41"/>
      <c r="V1213" s="24"/>
      <c r="W1213" s="24"/>
      <c r="X1213" s="72"/>
      <c r="Y1213" s="41"/>
      <c r="Z1213" s="41"/>
      <c r="AA1213" s="72"/>
      <c r="AB1213" s="41"/>
      <c r="AC1213" s="41"/>
      <c r="AD1213" s="24"/>
      <c r="AE1213" s="24"/>
    </row>
    <row r="1214" spans="1:33" s="1" customFormat="1" ht="10.5" x14ac:dyDescent="0.25">
      <c r="A1214" s="21"/>
      <c r="B1214" s="22"/>
      <c r="C1214" s="22"/>
      <c r="D1214" s="65"/>
      <c r="E1214" s="24"/>
      <c r="F1214" s="24"/>
      <c r="G1214" s="24"/>
      <c r="H1214" s="24"/>
      <c r="I1214" s="24"/>
      <c r="J1214" s="24"/>
      <c r="K1214" s="24"/>
      <c r="L1214" s="24"/>
      <c r="M1214" s="24"/>
      <c r="N1214" s="24"/>
      <c r="O1214" s="24"/>
      <c r="P1214" s="24"/>
      <c r="Q1214" s="24"/>
      <c r="R1214" s="24"/>
      <c r="S1214" s="24"/>
      <c r="T1214" s="24"/>
      <c r="U1214" s="24"/>
      <c r="V1214" s="24"/>
      <c r="W1214" s="24"/>
      <c r="X1214" s="24"/>
      <c r="Y1214" s="24"/>
      <c r="Z1214" s="24"/>
      <c r="AA1214" s="24"/>
      <c r="AB1214" s="24"/>
      <c r="AC1214" s="24"/>
      <c r="AD1214" s="24"/>
      <c r="AE1214" s="24"/>
    </row>
    <row r="1215" spans="1:33" s="1" customFormat="1" ht="10.5" x14ac:dyDescent="0.25">
      <c r="A1215" s="21"/>
      <c r="B1215" s="22"/>
      <c r="C1215" s="22"/>
      <c r="D1215" s="65"/>
      <c r="E1215" s="24"/>
      <c r="F1215" s="24"/>
      <c r="G1215" s="24"/>
      <c r="H1215" s="24"/>
      <c r="I1215" s="24"/>
      <c r="J1215" s="24"/>
      <c r="K1215" s="24"/>
      <c r="L1215" s="24"/>
      <c r="M1215" s="24"/>
      <c r="N1215" s="24"/>
      <c r="O1215" s="24"/>
      <c r="P1215" s="24"/>
      <c r="Q1215" s="24"/>
      <c r="R1215" s="24"/>
      <c r="S1215" s="24"/>
      <c r="T1215" s="24"/>
      <c r="U1215" s="24"/>
      <c r="V1215" s="24"/>
      <c r="W1215" s="24"/>
      <c r="X1215" s="24"/>
      <c r="Y1215" s="24"/>
      <c r="Z1215" s="24"/>
      <c r="AA1215" s="24"/>
      <c r="AB1215" s="24"/>
      <c r="AC1215" s="24"/>
      <c r="AD1215" s="24"/>
      <c r="AE1215" s="24"/>
    </row>
    <row r="1216" spans="1:33" s="1" customFormat="1" ht="10.5" x14ac:dyDescent="0.25">
      <c r="A1216" s="25"/>
      <c r="B1216" s="26" t="s">
        <v>1431</v>
      </c>
      <c r="C1216" s="26"/>
      <c r="D1216" s="64" t="s">
        <v>1432</v>
      </c>
      <c r="E1216" s="28"/>
      <c r="F1216" s="28"/>
      <c r="G1216" s="28"/>
      <c r="H1216" s="28"/>
      <c r="I1216" s="28"/>
      <c r="J1216" s="28"/>
      <c r="K1216" s="28"/>
      <c r="L1216" s="28"/>
      <c r="M1216" s="28">
        <f>SUM(M1217:M1219)</f>
        <v>0</v>
      </c>
      <c r="N1216" s="28"/>
      <c r="O1216" s="28">
        <f t="shared" ref="O1216:AC1216" si="784">SUM(O1217:O1219)</f>
        <v>0</v>
      </c>
      <c r="P1216" s="28">
        <f t="shared" si="784"/>
        <v>0</v>
      </c>
      <c r="Q1216" s="28">
        <f t="shared" si="784"/>
        <v>0</v>
      </c>
      <c r="R1216" s="28">
        <f t="shared" si="784"/>
        <v>0</v>
      </c>
      <c r="S1216" s="28">
        <f t="shared" si="784"/>
        <v>0</v>
      </c>
      <c r="T1216" s="28"/>
      <c r="U1216" s="28">
        <f t="shared" si="784"/>
        <v>0</v>
      </c>
      <c r="V1216" s="28"/>
      <c r="W1216" s="28">
        <f t="shared" si="784"/>
        <v>0</v>
      </c>
      <c r="X1216" s="28"/>
      <c r="Y1216" s="28">
        <f t="shared" si="784"/>
        <v>0</v>
      </c>
      <c r="Z1216" s="28">
        <f t="shared" si="784"/>
        <v>0</v>
      </c>
      <c r="AA1216" s="28"/>
      <c r="AB1216" s="28">
        <f t="shared" si="784"/>
        <v>0</v>
      </c>
      <c r="AC1216" s="28">
        <f t="shared" si="784"/>
        <v>0</v>
      </c>
      <c r="AD1216" s="28"/>
      <c r="AE1216" s="28"/>
    </row>
    <row r="1217" spans="1:34" s="1" customFormat="1" ht="10.5" x14ac:dyDescent="0.25">
      <c r="A1217" s="21"/>
      <c r="B1217" s="22"/>
      <c r="C1217" s="22"/>
      <c r="D1217" s="65"/>
      <c r="E1217" s="24"/>
      <c r="F1217" s="24"/>
      <c r="G1217" s="24"/>
      <c r="H1217" s="24"/>
      <c r="I1217" s="24"/>
      <c r="J1217" s="24"/>
      <c r="K1217" s="24"/>
      <c r="L1217" s="24"/>
      <c r="M1217" s="24"/>
      <c r="N1217" s="24"/>
      <c r="O1217" s="24"/>
      <c r="P1217" s="24"/>
      <c r="Q1217" s="24"/>
      <c r="R1217" s="24"/>
      <c r="S1217" s="24"/>
      <c r="T1217" s="24"/>
      <c r="U1217" s="24"/>
      <c r="V1217" s="24"/>
      <c r="W1217" s="24"/>
      <c r="X1217" s="24"/>
      <c r="Y1217" s="24"/>
      <c r="Z1217" s="24"/>
      <c r="AA1217" s="24"/>
      <c r="AB1217" s="24"/>
      <c r="AC1217" s="24"/>
      <c r="AD1217" s="24"/>
      <c r="AE1217" s="24"/>
    </row>
    <row r="1218" spans="1:34" s="1" customFormat="1" ht="10.5" x14ac:dyDescent="0.25">
      <c r="A1218" s="21"/>
      <c r="B1218" s="22"/>
      <c r="C1218" s="22"/>
      <c r="D1218" s="65"/>
      <c r="E1218" s="24"/>
      <c r="F1218" s="24"/>
      <c r="G1218" s="24"/>
      <c r="H1218" s="24"/>
      <c r="I1218" s="24"/>
      <c r="J1218" s="24"/>
      <c r="K1218" s="24"/>
      <c r="L1218" s="24"/>
      <c r="M1218" s="24"/>
      <c r="N1218" s="24"/>
      <c r="O1218" s="24"/>
      <c r="P1218" s="24"/>
      <c r="Q1218" s="24"/>
      <c r="R1218" s="24"/>
      <c r="S1218" s="24"/>
      <c r="T1218" s="24"/>
      <c r="U1218" s="24"/>
      <c r="V1218" s="24"/>
      <c r="W1218" s="24"/>
      <c r="X1218" s="24"/>
      <c r="Y1218" s="24"/>
      <c r="Z1218" s="24"/>
      <c r="AA1218" s="24"/>
      <c r="AB1218" s="24"/>
      <c r="AC1218" s="24"/>
      <c r="AD1218" s="24"/>
      <c r="AE1218" s="24"/>
    </row>
    <row r="1219" spans="1:34" s="1" customFormat="1" ht="10.5" x14ac:dyDescent="0.25">
      <c r="A1219" s="21"/>
      <c r="B1219" s="22"/>
      <c r="C1219" s="22"/>
      <c r="D1219" s="65"/>
      <c r="E1219" s="24"/>
      <c r="F1219" s="24"/>
      <c r="G1219" s="24"/>
      <c r="H1219" s="24"/>
      <c r="I1219" s="24"/>
      <c r="J1219" s="24"/>
      <c r="K1219" s="24"/>
      <c r="L1219" s="24"/>
      <c r="M1219" s="24"/>
      <c r="N1219" s="24"/>
      <c r="O1219" s="24"/>
      <c r="P1219" s="24"/>
      <c r="Q1219" s="24"/>
      <c r="R1219" s="24"/>
      <c r="S1219" s="24"/>
      <c r="T1219" s="24"/>
      <c r="U1219" s="24"/>
      <c r="V1219" s="24"/>
      <c r="W1219" s="24"/>
      <c r="X1219" s="24"/>
      <c r="Y1219" s="24"/>
      <c r="Z1219" s="24"/>
      <c r="AA1219" s="24"/>
      <c r="AB1219" s="24"/>
      <c r="AC1219" s="24"/>
      <c r="AD1219" s="24"/>
      <c r="AE1219" s="24"/>
    </row>
    <row r="1220" spans="1:34" s="16" customFormat="1" ht="25.5" customHeight="1" x14ac:dyDescent="0.25">
      <c r="A1220" s="29">
        <v>5</v>
      </c>
      <c r="B1220" s="30" t="s">
        <v>1433</v>
      </c>
      <c r="C1220" s="30"/>
      <c r="D1220" s="89" t="s">
        <v>1434</v>
      </c>
      <c r="E1220" s="32"/>
      <c r="F1220" s="32"/>
      <c r="G1220" s="32"/>
      <c r="H1220" s="32"/>
      <c r="I1220" s="32"/>
      <c r="J1220" s="32"/>
      <c r="K1220" s="32"/>
      <c r="L1220" s="32"/>
      <c r="M1220" s="32">
        <f>M1221+M1269+M1282+M1295+M1336+M1341+M1346</f>
        <v>924</v>
      </c>
      <c r="N1220" s="32"/>
      <c r="O1220" s="34">
        <f>O1221+O1269+O1282+O1295+O1336+O1341+O1346</f>
        <v>254806915</v>
      </c>
      <c r="P1220" s="32">
        <f>P1221+P1269+P1282+P1295+P1336+P1341+P1346</f>
        <v>0</v>
      </c>
      <c r="Q1220" s="32">
        <f>Q1221+Q1269+Q1282+Q1295+Q1336+Q1341+Q1346</f>
        <v>0</v>
      </c>
      <c r="R1220" s="32">
        <f>R1221+R1269+R1282+R1295+R1336+R1341+R1346</f>
        <v>0</v>
      </c>
      <c r="S1220" s="32">
        <f>S1221+S1269+S1282+S1295+S1336+S1341+S1346</f>
        <v>0</v>
      </c>
      <c r="T1220" s="32"/>
      <c r="U1220" s="32">
        <f>U1221+U1269+U1282+U1295+U1336+U1341+U1346</f>
        <v>0</v>
      </c>
      <c r="V1220" s="32"/>
      <c r="W1220" s="32">
        <f>W1221+W1269+W1282+W1295+W1336+W1341+W1346</f>
        <v>0</v>
      </c>
      <c r="X1220" s="32"/>
      <c r="Y1220" s="32">
        <f>Y1221+Y1269+Y1282+Y1295+Y1336+Y1341+Y1346</f>
        <v>0</v>
      </c>
      <c r="Z1220" s="32">
        <f>Z1221+Z1269+Z1282+Z1295+Z1336+Z1341+Z1346</f>
        <v>0</v>
      </c>
      <c r="AA1220" s="32"/>
      <c r="AB1220" s="32">
        <f>AB1221+AB1269+AB1282+AB1295+AB1336+AB1341+AB1346</f>
        <v>0</v>
      </c>
      <c r="AC1220" s="34">
        <f>AC1221+AC1269+AC1282+AC1295+AC1336+AC1341+AC1346</f>
        <v>254806915</v>
      </c>
      <c r="AD1220" s="32"/>
      <c r="AE1220" s="32"/>
      <c r="AH1220" s="1"/>
    </row>
    <row r="1221" spans="1:34" s="1" customFormat="1" ht="10.5" x14ac:dyDescent="0.25">
      <c r="A1221" s="17"/>
      <c r="B1221" s="18" t="s">
        <v>1435</v>
      </c>
      <c r="C1221" s="18"/>
      <c r="D1221" s="84" t="s">
        <v>1436</v>
      </c>
      <c r="E1221" s="20"/>
      <c r="F1221" s="20"/>
      <c r="G1221" s="20"/>
      <c r="H1221" s="20"/>
      <c r="I1221" s="20"/>
      <c r="J1221" s="20"/>
      <c r="K1221" s="20"/>
      <c r="L1221" s="20"/>
      <c r="M1221" s="20">
        <f>M1222+M1245+M1249+M1253+M1257+M1261+M1265</f>
        <v>924</v>
      </c>
      <c r="N1221" s="20"/>
      <c r="O1221" s="37">
        <f>O1222+O1245+O1249+O1253+O1257+O1261+O1265</f>
        <v>254806915</v>
      </c>
      <c r="P1221" s="20">
        <f>P1222+P1245+P1249+P1253+P1257+P1261+P1265</f>
        <v>0</v>
      </c>
      <c r="Q1221" s="20">
        <f>Q1222+Q1245+Q1249+Q1253+Q1257+Q1261+Q1265</f>
        <v>0</v>
      </c>
      <c r="R1221" s="20">
        <f>R1222+R1245+R1249+R1253+R1257+R1261+R1265</f>
        <v>0</v>
      </c>
      <c r="S1221" s="20">
        <f>S1222+S1245+S1249+S1253+S1257+S1261+S1265</f>
        <v>0</v>
      </c>
      <c r="T1221" s="20"/>
      <c r="U1221" s="20">
        <f>U1222+U1245+U1249+U1253+U1257+U1261+U1265</f>
        <v>0</v>
      </c>
      <c r="V1221" s="20"/>
      <c r="W1221" s="20">
        <f>W1222+W1245+W1249+W1253+W1257+W1261+W1265</f>
        <v>0</v>
      </c>
      <c r="X1221" s="20"/>
      <c r="Y1221" s="20">
        <f>Y1222+Y1245+Y1249+Y1253+Y1257+Y1261+Y1265</f>
        <v>0</v>
      </c>
      <c r="Z1221" s="20">
        <f>Z1222+Z1245+Z1249+Z1253+Z1257+Z1261+Z1265</f>
        <v>0</v>
      </c>
      <c r="AA1221" s="20"/>
      <c r="AB1221" s="20">
        <f>AB1222+AB1245+AB1249+AB1253+AB1257+AB1261+AB1265</f>
        <v>0</v>
      </c>
      <c r="AC1221" s="37">
        <f>AC1222+AC1245+AC1249+AC1253+AC1257+AC1261+AC1265</f>
        <v>254806915</v>
      </c>
      <c r="AD1221" s="20"/>
      <c r="AE1221" s="20"/>
    </row>
    <row r="1222" spans="1:34" s="1" customFormat="1" ht="11.45" x14ac:dyDescent="0.25">
      <c r="A1222" s="25"/>
      <c r="B1222" s="26" t="s">
        <v>1437</v>
      </c>
      <c r="C1222" s="26"/>
      <c r="D1222" s="64" t="s">
        <v>1438</v>
      </c>
      <c r="E1222" s="28"/>
      <c r="F1222" s="28"/>
      <c r="G1222" s="28"/>
      <c r="H1222" s="28"/>
      <c r="I1222" s="28"/>
      <c r="J1222" s="28"/>
      <c r="K1222" s="28"/>
      <c r="L1222" s="28"/>
      <c r="M1222" s="28">
        <f>SUM(M1223:M1244)</f>
        <v>924</v>
      </c>
      <c r="N1222" s="28"/>
      <c r="O1222" s="40">
        <f>SUM(O1223:O1244)</f>
        <v>254806915</v>
      </c>
      <c r="P1222" s="28">
        <f>SUM(P1223:P1244)</f>
        <v>0</v>
      </c>
      <c r="Q1222" s="28">
        <f>SUM(Q1223:Q1244)</f>
        <v>0</v>
      </c>
      <c r="R1222" s="28">
        <f>SUM(R1223:R1244)</f>
        <v>0</v>
      </c>
      <c r="S1222" s="28">
        <f>SUM(S1223:S1244)</f>
        <v>0</v>
      </c>
      <c r="T1222" s="28"/>
      <c r="U1222" s="28">
        <f>SUM(U1223:U1244)</f>
        <v>0</v>
      </c>
      <c r="V1222" s="28"/>
      <c r="W1222" s="28">
        <f>SUM(W1223:W1244)</f>
        <v>0</v>
      </c>
      <c r="X1222" s="28"/>
      <c r="Y1222" s="28">
        <f>SUM(Y1223:Y1244)</f>
        <v>0</v>
      </c>
      <c r="Z1222" s="28">
        <f>SUM(Z1223:Z1244)</f>
        <v>0</v>
      </c>
      <c r="AA1222" s="28"/>
      <c r="AB1222" s="28">
        <f>SUM(AB1223:AB1244)</f>
        <v>0</v>
      </c>
      <c r="AC1222" s="40">
        <f>SUM(AC1223:AC1244)</f>
        <v>254806915</v>
      </c>
      <c r="AD1222" s="28"/>
      <c r="AE1222" s="28"/>
      <c r="AH1222" s="16"/>
    </row>
    <row r="1223" spans="1:34" s="1" customFormat="1" ht="10.5" x14ac:dyDescent="0.25">
      <c r="A1223" s="21">
        <v>1</v>
      </c>
      <c r="B1223" s="22" t="s">
        <v>1800</v>
      </c>
      <c r="C1223" s="22" t="s">
        <v>1439</v>
      </c>
      <c r="D1223" s="65" t="s">
        <v>1440</v>
      </c>
      <c r="E1223" s="24" t="s">
        <v>263</v>
      </c>
      <c r="F1223" s="24"/>
      <c r="G1223" s="24" t="s">
        <v>1441</v>
      </c>
      <c r="H1223" s="24" t="s">
        <v>62</v>
      </c>
      <c r="I1223" s="24">
        <v>2004</v>
      </c>
      <c r="J1223" s="24"/>
      <c r="K1223" s="24" t="s">
        <v>63</v>
      </c>
      <c r="L1223" s="24" t="s">
        <v>64</v>
      </c>
      <c r="M1223" s="24">
        <v>30</v>
      </c>
      <c r="N1223" s="41">
        <v>1162000</v>
      </c>
      <c r="O1223" s="41">
        <v>1162000</v>
      </c>
      <c r="P1223" s="24"/>
      <c r="Q1223" s="24"/>
      <c r="R1223" s="24"/>
      <c r="S1223" s="24"/>
      <c r="T1223" s="24"/>
      <c r="U1223" s="24"/>
      <c r="V1223" s="24"/>
      <c r="W1223" s="24"/>
      <c r="X1223" s="24"/>
      <c r="Y1223" s="24"/>
      <c r="Z1223" s="24"/>
      <c r="AA1223" s="24"/>
      <c r="AB1223" s="24"/>
      <c r="AC1223" s="41">
        <v>1162000</v>
      </c>
      <c r="AD1223" s="24"/>
      <c r="AE1223" s="24"/>
    </row>
    <row r="1224" spans="1:34" s="1" customFormat="1" ht="10.5" x14ac:dyDescent="0.25">
      <c r="A1224" s="21">
        <v>2</v>
      </c>
      <c r="B1224" s="22" t="s">
        <v>1800</v>
      </c>
      <c r="C1224" s="22" t="s">
        <v>1439</v>
      </c>
      <c r="D1224" s="65" t="s">
        <v>1442</v>
      </c>
      <c r="E1224" s="24" t="s">
        <v>263</v>
      </c>
      <c r="F1224" s="24"/>
      <c r="G1224" s="24" t="s">
        <v>1441</v>
      </c>
      <c r="H1224" s="24" t="s">
        <v>62</v>
      </c>
      <c r="I1224" s="24">
        <v>2004</v>
      </c>
      <c r="J1224" s="24"/>
      <c r="K1224" s="24" t="s">
        <v>63</v>
      </c>
      <c r="L1224" s="24" t="s">
        <v>64</v>
      </c>
      <c r="M1224" s="24">
        <v>30</v>
      </c>
      <c r="N1224" s="41">
        <v>2214000</v>
      </c>
      <c r="O1224" s="41">
        <v>2214000</v>
      </c>
      <c r="P1224" s="24"/>
      <c r="Q1224" s="24"/>
      <c r="R1224" s="24"/>
      <c r="S1224" s="24"/>
      <c r="T1224" s="24"/>
      <c r="U1224" s="24"/>
      <c r="V1224" s="24"/>
      <c r="W1224" s="24"/>
      <c r="X1224" s="24"/>
      <c r="Y1224" s="24"/>
      <c r="Z1224" s="24"/>
      <c r="AA1224" s="24"/>
      <c r="AB1224" s="24"/>
      <c r="AC1224" s="41">
        <v>2214000</v>
      </c>
      <c r="AD1224" s="24"/>
      <c r="AE1224" s="24"/>
    </row>
    <row r="1225" spans="1:34" s="1" customFormat="1" ht="10.5" x14ac:dyDescent="0.25">
      <c r="A1225" s="21">
        <v>3</v>
      </c>
      <c r="B1225" s="22" t="s">
        <v>1800</v>
      </c>
      <c r="C1225" s="22" t="s">
        <v>868</v>
      </c>
      <c r="D1225" s="65" t="s">
        <v>1443</v>
      </c>
      <c r="E1225" s="24" t="s">
        <v>263</v>
      </c>
      <c r="F1225" s="24"/>
      <c r="G1225" s="24" t="s">
        <v>1441</v>
      </c>
      <c r="H1225" s="24" t="s">
        <v>62</v>
      </c>
      <c r="I1225" s="24">
        <v>2004</v>
      </c>
      <c r="J1225" s="24"/>
      <c r="K1225" s="24" t="s">
        <v>1444</v>
      </c>
      <c r="L1225" s="24" t="s">
        <v>64</v>
      </c>
      <c r="M1225" s="24">
        <v>4</v>
      </c>
      <c r="N1225" s="41">
        <v>520000</v>
      </c>
      <c r="O1225" s="41">
        <v>520000</v>
      </c>
      <c r="P1225" s="24"/>
      <c r="Q1225" s="24"/>
      <c r="R1225" s="24"/>
      <c r="S1225" s="24"/>
      <c r="T1225" s="24"/>
      <c r="U1225" s="24"/>
      <c r="V1225" s="24"/>
      <c r="W1225" s="24"/>
      <c r="X1225" s="24"/>
      <c r="Y1225" s="24"/>
      <c r="Z1225" s="24"/>
      <c r="AA1225" s="24"/>
      <c r="AB1225" s="24"/>
      <c r="AC1225" s="41">
        <v>520000</v>
      </c>
      <c r="AD1225" s="24"/>
      <c r="AE1225" s="24"/>
    </row>
    <row r="1226" spans="1:34" s="1" customFormat="1" ht="10.5" x14ac:dyDescent="0.25">
      <c r="A1226" s="21">
        <v>4</v>
      </c>
      <c r="B1226" s="22" t="s">
        <v>1800</v>
      </c>
      <c r="C1226" s="22" t="s">
        <v>274</v>
      </c>
      <c r="D1226" s="65" t="s">
        <v>1445</v>
      </c>
      <c r="E1226" s="24" t="s">
        <v>263</v>
      </c>
      <c r="F1226" s="24"/>
      <c r="G1226" s="24" t="s">
        <v>1441</v>
      </c>
      <c r="H1226" s="24" t="s">
        <v>62</v>
      </c>
      <c r="I1226" s="24">
        <v>2004</v>
      </c>
      <c r="J1226" s="24"/>
      <c r="K1226" s="24" t="s">
        <v>1444</v>
      </c>
      <c r="L1226" s="24" t="s">
        <v>64</v>
      </c>
      <c r="M1226" s="24">
        <v>5</v>
      </c>
      <c r="N1226" s="41">
        <v>1360000</v>
      </c>
      <c r="O1226" s="41">
        <v>1360000</v>
      </c>
      <c r="P1226" s="24"/>
      <c r="Q1226" s="24"/>
      <c r="R1226" s="24"/>
      <c r="S1226" s="24"/>
      <c r="T1226" s="24"/>
      <c r="U1226" s="24"/>
      <c r="V1226" s="24"/>
      <c r="W1226" s="24"/>
      <c r="X1226" s="24"/>
      <c r="Y1226" s="24"/>
      <c r="Z1226" s="24"/>
      <c r="AA1226" s="24"/>
      <c r="AB1226" s="24"/>
      <c r="AC1226" s="41">
        <v>1360000</v>
      </c>
      <c r="AD1226" s="24"/>
      <c r="AE1226" s="24"/>
    </row>
    <row r="1227" spans="1:34" s="1" customFormat="1" ht="10.5" x14ac:dyDescent="0.25">
      <c r="A1227" s="21">
        <v>5</v>
      </c>
      <c r="B1227" s="22" t="s">
        <v>1800</v>
      </c>
      <c r="C1227" s="22" t="s">
        <v>58</v>
      </c>
      <c r="D1227" s="65" t="s">
        <v>1446</v>
      </c>
      <c r="E1227" s="24" t="s">
        <v>263</v>
      </c>
      <c r="F1227" s="24"/>
      <c r="G1227" s="24" t="s">
        <v>1441</v>
      </c>
      <c r="H1227" s="24" t="s">
        <v>62</v>
      </c>
      <c r="I1227" s="24">
        <v>2004</v>
      </c>
      <c r="J1227" s="24"/>
      <c r="K1227" s="24" t="s">
        <v>202</v>
      </c>
      <c r="L1227" s="24" t="s">
        <v>64</v>
      </c>
      <c r="M1227" s="24">
        <v>1</v>
      </c>
      <c r="N1227" s="41">
        <v>1499200</v>
      </c>
      <c r="O1227" s="41">
        <v>1499200</v>
      </c>
      <c r="P1227" s="24"/>
      <c r="Q1227" s="24"/>
      <c r="R1227" s="24"/>
      <c r="S1227" s="24"/>
      <c r="T1227" s="24"/>
      <c r="U1227" s="24"/>
      <c r="V1227" s="24"/>
      <c r="W1227" s="24"/>
      <c r="X1227" s="24"/>
      <c r="Y1227" s="24"/>
      <c r="Z1227" s="24"/>
      <c r="AA1227" s="24"/>
      <c r="AB1227" s="24"/>
      <c r="AC1227" s="41">
        <v>1499200</v>
      </c>
      <c r="AD1227" s="24"/>
      <c r="AE1227" s="24"/>
    </row>
    <row r="1228" spans="1:34" s="1" customFormat="1" ht="10.5" x14ac:dyDescent="0.25">
      <c r="A1228" s="21">
        <v>6</v>
      </c>
      <c r="B1228" s="22" t="s">
        <v>1800</v>
      </c>
      <c r="C1228" s="22" t="s">
        <v>1439</v>
      </c>
      <c r="D1228" s="65" t="s">
        <v>1440</v>
      </c>
      <c r="E1228" s="24" t="s">
        <v>263</v>
      </c>
      <c r="F1228" s="24"/>
      <c r="G1228" s="24" t="s">
        <v>1441</v>
      </c>
      <c r="H1228" s="24" t="s">
        <v>62</v>
      </c>
      <c r="I1228" s="24">
        <v>2007</v>
      </c>
      <c r="J1228" s="24"/>
      <c r="K1228" s="24" t="s">
        <v>63</v>
      </c>
      <c r="L1228" s="24" t="s">
        <v>64</v>
      </c>
      <c r="M1228" s="24">
        <v>30</v>
      </c>
      <c r="N1228" s="41">
        <v>6146800</v>
      </c>
      <c r="O1228" s="41">
        <v>6146800</v>
      </c>
      <c r="P1228" s="24"/>
      <c r="Q1228" s="24"/>
      <c r="R1228" s="24"/>
      <c r="S1228" s="24"/>
      <c r="T1228" s="24"/>
      <c r="U1228" s="24"/>
      <c r="V1228" s="24"/>
      <c r="W1228" s="24"/>
      <c r="X1228" s="24"/>
      <c r="Y1228" s="24"/>
      <c r="Z1228" s="24"/>
      <c r="AA1228" s="24"/>
      <c r="AB1228" s="24"/>
      <c r="AC1228" s="41">
        <v>6146800</v>
      </c>
      <c r="AD1228" s="24"/>
      <c r="AE1228" s="24"/>
    </row>
    <row r="1229" spans="1:34" s="1" customFormat="1" ht="10.5" x14ac:dyDescent="0.25">
      <c r="A1229" s="21">
        <v>7</v>
      </c>
      <c r="B1229" s="22" t="s">
        <v>1800</v>
      </c>
      <c r="C1229" s="22" t="s">
        <v>1447</v>
      </c>
      <c r="D1229" s="65" t="s">
        <v>1448</v>
      </c>
      <c r="E1229" s="24" t="s">
        <v>263</v>
      </c>
      <c r="F1229" s="24"/>
      <c r="G1229" s="24" t="s">
        <v>1441</v>
      </c>
      <c r="H1229" s="24" t="s">
        <v>62</v>
      </c>
      <c r="I1229" s="24">
        <v>2007</v>
      </c>
      <c r="J1229" s="24"/>
      <c r="K1229" s="24" t="s">
        <v>63</v>
      </c>
      <c r="L1229" s="24" t="s">
        <v>64</v>
      </c>
      <c r="M1229" s="24">
        <v>48</v>
      </c>
      <c r="N1229" s="41">
        <v>3730700</v>
      </c>
      <c r="O1229" s="41">
        <v>3730700</v>
      </c>
      <c r="P1229" s="24"/>
      <c r="Q1229" s="24"/>
      <c r="R1229" s="24"/>
      <c r="S1229" s="24"/>
      <c r="T1229" s="24"/>
      <c r="U1229" s="24"/>
      <c r="V1229" s="24"/>
      <c r="W1229" s="24"/>
      <c r="X1229" s="24"/>
      <c r="Y1229" s="24"/>
      <c r="Z1229" s="24"/>
      <c r="AA1229" s="24"/>
      <c r="AB1229" s="24"/>
      <c r="AC1229" s="41">
        <v>3730700</v>
      </c>
      <c r="AD1229" s="24"/>
      <c r="AE1229" s="24"/>
    </row>
    <row r="1230" spans="1:34" s="1" customFormat="1" ht="10.5" x14ac:dyDescent="0.25">
      <c r="A1230" s="21">
        <v>8</v>
      </c>
      <c r="B1230" s="22" t="s">
        <v>1800</v>
      </c>
      <c r="C1230" s="22" t="s">
        <v>58</v>
      </c>
      <c r="D1230" s="65" t="s">
        <v>1449</v>
      </c>
      <c r="E1230" s="24" t="s">
        <v>263</v>
      </c>
      <c r="F1230" s="24"/>
      <c r="G1230" s="24" t="s">
        <v>1441</v>
      </c>
      <c r="H1230" s="24" t="s">
        <v>62</v>
      </c>
      <c r="I1230" s="24">
        <v>2007</v>
      </c>
      <c r="J1230" s="24"/>
      <c r="K1230" s="24" t="s">
        <v>63</v>
      </c>
      <c r="L1230" s="24" t="s">
        <v>64</v>
      </c>
      <c r="M1230" s="24">
        <v>1</v>
      </c>
      <c r="N1230" s="41">
        <v>1499200</v>
      </c>
      <c r="O1230" s="41">
        <v>1499200</v>
      </c>
      <c r="P1230" s="24"/>
      <c r="Q1230" s="24"/>
      <c r="R1230" s="24"/>
      <c r="S1230" s="24"/>
      <c r="T1230" s="24"/>
      <c r="U1230" s="24"/>
      <c r="V1230" s="24"/>
      <c r="W1230" s="24"/>
      <c r="X1230" s="24"/>
      <c r="Y1230" s="24"/>
      <c r="Z1230" s="24"/>
      <c r="AA1230" s="24"/>
      <c r="AB1230" s="24"/>
      <c r="AC1230" s="41">
        <v>1499200</v>
      </c>
      <c r="AD1230" s="24"/>
      <c r="AE1230" s="24"/>
    </row>
    <row r="1231" spans="1:34" s="1" customFormat="1" ht="10.5" x14ac:dyDescent="0.25">
      <c r="A1231" s="21">
        <v>9</v>
      </c>
      <c r="B1231" s="22" t="s">
        <v>1800</v>
      </c>
      <c r="C1231" s="22" t="s">
        <v>1450</v>
      </c>
      <c r="D1231" s="65" t="s">
        <v>1449</v>
      </c>
      <c r="E1231" s="24" t="s">
        <v>263</v>
      </c>
      <c r="F1231" s="24"/>
      <c r="G1231" s="24" t="s">
        <v>1441</v>
      </c>
      <c r="H1231" s="24" t="s">
        <v>62</v>
      </c>
      <c r="I1231" s="24">
        <v>2007</v>
      </c>
      <c r="J1231" s="24"/>
      <c r="K1231" s="24" t="s">
        <v>63</v>
      </c>
      <c r="L1231" s="24" t="s">
        <v>64</v>
      </c>
      <c r="M1231" s="24">
        <v>82</v>
      </c>
      <c r="N1231" s="41">
        <v>2997300</v>
      </c>
      <c r="O1231" s="41">
        <v>2997300</v>
      </c>
      <c r="P1231" s="24"/>
      <c r="Q1231" s="24"/>
      <c r="R1231" s="24"/>
      <c r="S1231" s="24"/>
      <c r="T1231" s="24"/>
      <c r="U1231" s="24"/>
      <c r="V1231" s="24"/>
      <c r="W1231" s="24"/>
      <c r="X1231" s="24"/>
      <c r="Y1231" s="24"/>
      <c r="Z1231" s="24"/>
      <c r="AA1231" s="24"/>
      <c r="AB1231" s="24"/>
      <c r="AC1231" s="41">
        <v>2997300</v>
      </c>
      <c r="AD1231" s="24"/>
      <c r="AE1231" s="24"/>
    </row>
    <row r="1232" spans="1:34" s="1" customFormat="1" ht="10.5" x14ac:dyDescent="0.25">
      <c r="A1232" s="21">
        <v>10</v>
      </c>
      <c r="B1232" s="22" t="s">
        <v>1800</v>
      </c>
      <c r="C1232" s="22" t="s">
        <v>1439</v>
      </c>
      <c r="D1232" s="65" t="s">
        <v>1451</v>
      </c>
      <c r="E1232" s="24" t="s">
        <v>263</v>
      </c>
      <c r="F1232" s="24"/>
      <c r="G1232" s="24" t="s">
        <v>1441</v>
      </c>
      <c r="H1232" s="24" t="s">
        <v>62</v>
      </c>
      <c r="I1232" s="24">
        <v>2007</v>
      </c>
      <c r="J1232" s="24"/>
      <c r="K1232" s="24" t="s">
        <v>63</v>
      </c>
      <c r="L1232" s="24" t="s">
        <v>64</v>
      </c>
      <c r="M1232" s="24">
        <v>30</v>
      </c>
      <c r="N1232" s="41">
        <v>2214000</v>
      </c>
      <c r="O1232" s="41">
        <v>2214000</v>
      </c>
      <c r="P1232" s="24"/>
      <c r="Q1232" s="24"/>
      <c r="R1232" s="24"/>
      <c r="S1232" s="24"/>
      <c r="T1232" s="24"/>
      <c r="U1232" s="24"/>
      <c r="V1232" s="24"/>
      <c r="W1232" s="24"/>
      <c r="X1232" s="24"/>
      <c r="Y1232" s="24"/>
      <c r="Z1232" s="24"/>
      <c r="AA1232" s="24"/>
      <c r="AB1232" s="24"/>
      <c r="AC1232" s="41">
        <v>2214000</v>
      </c>
      <c r="AD1232" s="24"/>
      <c r="AE1232" s="24"/>
    </row>
    <row r="1233" spans="1:31" s="1" customFormat="1" ht="10.5" x14ac:dyDescent="0.25">
      <c r="A1233" s="21">
        <v>11</v>
      </c>
      <c r="B1233" s="22" t="s">
        <v>1800</v>
      </c>
      <c r="C1233" s="22" t="s">
        <v>1452</v>
      </c>
      <c r="D1233" s="65" t="s">
        <v>1451</v>
      </c>
      <c r="E1233" s="24" t="s">
        <v>263</v>
      </c>
      <c r="F1233" s="24"/>
      <c r="G1233" s="24" t="s">
        <v>1441</v>
      </c>
      <c r="H1233" s="24" t="s">
        <v>62</v>
      </c>
      <c r="I1233" s="24">
        <v>2007</v>
      </c>
      <c r="J1233" s="24"/>
      <c r="K1233" s="24" t="s">
        <v>63</v>
      </c>
      <c r="L1233" s="24" t="s">
        <v>64</v>
      </c>
      <c r="M1233" s="24">
        <v>201</v>
      </c>
      <c r="N1233" s="41">
        <v>20124250</v>
      </c>
      <c r="O1233" s="41">
        <v>20124250</v>
      </c>
      <c r="P1233" s="24"/>
      <c r="Q1233" s="24"/>
      <c r="R1233" s="24"/>
      <c r="S1233" s="24"/>
      <c r="T1233" s="24"/>
      <c r="U1233" s="24"/>
      <c r="V1233" s="24"/>
      <c r="W1233" s="24"/>
      <c r="X1233" s="24"/>
      <c r="Y1233" s="24"/>
      <c r="Z1233" s="24"/>
      <c r="AA1233" s="24"/>
      <c r="AB1233" s="24"/>
      <c r="AC1233" s="41">
        <v>20124250</v>
      </c>
      <c r="AD1233" s="24"/>
      <c r="AE1233" s="24"/>
    </row>
    <row r="1234" spans="1:31" s="1" customFormat="1" ht="10.5" x14ac:dyDescent="0.25">
      <c r="A1234" s="21">
        <v>12</v>
      </c>
      <c r="B1234" s="22" t="s">
        <v>1800</v>
      </c>
      <c r="C1234" s="22" t="s">
        <v>1453</v>
      </c>
      <c r="D1234" s="65" t="s">
        <v>1454</v>
      </c>
      <c r="E1234" s="24" t="s">
        <v>263</v>
      </c>
      <c r="F1234" s="24"/>
      <c r="G1234" s="24" t="s">
        <v>1441</v>
      </c>
      <c r="H1234" s="24" t="s">
        <v>62</v>
      </c>
      <c r="I1234" s="24">
        <v>2007</v>
      </c>
      <c r="J1234" s="24"/>
      <c r="K1234" s="24" t="s">
        <v>63</v>
      </c>
      <c r="L1234" s="24" t="s">
        <v>64</v>
      </c>
      <c r="M1234" s="24">
        <v>79</v>
      </c>
      <c r="N1234" s="41">
        <v>6119000</v>
      </c>
      <c r="O1234" s="41">
        <v>6119000</v>
      </c>
      <c r="P1234" s="24"/>
      <c r="Q1234" s="24"/>
      <c r="R1234" s="24"/>
      <c r="S1234" s="24"/>
      <c r="T1234" s="24"/>
      <c r="U1234" s="24"/>
      <c r="V1234" s="24"/>
      <c r="W1234" s="24"/>
      <c r="X1234" s="24"/>
      <c r="Y1234" s="24"/>
      <c r="Z1234" s="24"/>
      <c r="AA1234" s="24"/>
      <c r="AB1234" s="24"/>
      <c r="AC1234" s="41">
        <v>6119000</v>
      </c>
      <c r="AD1234" s="24"/>
      <c r="AE1234" s="24"/>
    </row>
    <row r="1235" spans="1:31" s="1" customFormat="1" ht="10.5" x14ac:dyDescent="0.25">
      <c r="A1235" s="21">
        <v>13</v>
      </c>
      <c r="B1235" s="22" t="s">
        <v>1800</v>
      </c>
      <c r="C1235" s="22" t="s">
        <v>1455</v>
      </c>
      <c r="D1235" s="65" t="s">
        <v>1456</v>
      </c>
      <c r="E1235" s="24" t="s">
        <v>263</v>
      </c>
      <c r="F1235" s="24"/>
      <c r="G1235" s="24" t="s">
        <v>1441</v>
      </c>
      <c r="H1235" s="24" t="s">
        <v>62</v>
      </c>
      <c r="I1235" s="24">
        <v>2007</v>
      </c>
      <c r="J1235" s="24"/>
      <c r="K1235" s="24" t="s">
        <v>63</v>
      </c>
      <c r="L1235" s="24" t="s">
        <v>64</v>
      </c>
      <c r="M1235" s="24">
        <v>117</v>
      </c>
      <c r="N1235" s="41">
        <v>15926750</v>
      </c>
      <c r="O1235" s="41">
        <v>15926750</v>
      </c>
      <c r="P1235" s="24"/>
      <c r="Q1235" s="24"/>
      <c r="R1235" s="24"/>
      <c r="S1235" s="24"/>
      <c r="T1235" s="24"/>
      <c r="U1235" s="24"/>
      <c r="V1235" s="24"/>
      <c r="W1235" s="24"/>
      <c r="X1235" s="24"/>
      <c r="Y1235" s="24"/>
      <c r="Z1235" s="24"/>
      <c r="AA1235" s="24"/>
      <c r="AB1235" s="24"/>
      <c r="AC1235" s="41">
        <v>15926750</v>
      </c>
      <c r="AD1235" s="24"/>
      <c r="AE1235" s="24"/>
    </row>
    <row r="1236" spans="1:31" s="1" customFormat="1" ht="10.5" x14ac:dyDescent="0.25">
      <c r="A1236" s="21">
        <v>14</v>
      </c>
      <c r="B1236" s="22" t="s">
        <v>1800</v>
      </c>
      <c r="C1236" s="22" t="s">
        <v>1457</v>
      </c>
      <c r="D1236" s="65" t="s">
        <v>1456</v>
      </c>
      <c r="E1236" s="24" t="s">
        <v>263</v>
      </c>
      <c r="F1236" s="24"/>
      <c r="G1236" s="24" t="s">
        <v>1441</v>
      </c>
      <c r="H1236" s="24" t="s">
        <v>62</v>
      </c>
      <c r="I1236" s="24">
        <v>2007</v>
      </c>
      <c r="J1236" s="24"/>
      <c r="K1236" s="24" t="s">
        <v>63</v>
      </c>
      <c r="L1236" s="24" t="s">
        <v>64</v>
      </c>
      <c r="M1236" s="24">
        <v>68</v>
      </c>
      <c r="N1236" s="41">
        <v>8805900</v>
      </c>
      <c r="O1236" s="41">
        <v>8805900</v>
      </c>
      <c r="P1236" s="24"/>
      <c r="Q1236" s="24"/>
      <c r="R1236" s="24"/>
      <c r="S1236" s="24"/>
      <c r="T1236" s="24"/>
      <c r="U1236" s="24"/>
      <c r="V1236" s="24"/>
      <c r="W1236" s="24"/>
      <c r="X1236" s="24"/>
      <c r="Y1236" s="24"/>
      <c r="Z1236" s="24"/>
      <c r="AA1236" s="24"/>
      <c r="AB1236" s="24"/>
      <c r="AC1236" s="41">
        <v>8805900</v>
      </c>
      <c r="AD1236" s="24"/>
      <c r="AE1236" s="24"/>
    </row>
    <row r="1237" spans="1:31" s="1" customFormat="1" ht="10.5" x14ac:dyDescent="0.25">
      <c r="A1237" s="21">
        <v>15</v>
      </c>
      <c r="B1237" s="22" t="s">
        <v>1800</v>
      </c>
      <c r="C1237" s="22" t="s">
        <v>1458</v>
      </c>
      <c r="D1237" s="65" t="s">
        <v>1459</v>
      </c>
      <c r="E1237" s="24" t="s">
        <v>263</v>
      </c>
      <c r="F1237" s="24"/>
      <c r="G1237" s="24" t="s">
        <v>1441</v>
      </c>
      <c r="H1237" s="24" t="s">
        <v>62</v>
      </c>
      <c r="I1237" s="24">
        <v>2007</v>
      </c>
      <c r="J1237" s="24"/>
      <c r="K1237" s="24" t="s">
        <v>63</v>
      </c>
      <c r="L1237" s="24" t="s">
        <v>64</v>
      </c>
      <c r="M1237" s="24">
        <v>49</v>
      </c>
      <c r="N1237" s="41">
        <v>2496800</v>
      </c>
      <c r="O1237" s="41">
        <v>2496800</v>
      </c>
      <c r="P1237" s="24"/>
      <c r="Q1237" s="24"/>
      <c r="R1237" s="24"/>
      <c r="S1237" s="24"/>
      <c r="T1237" s="24"/>
      <c r="U1237" s="24"/>
      <c r="V1237" s="24"/>
      <c r="W1237" s="24"/>
      <c r="X1237" s="24"/>
      <c r="Y1237" s="24"/>
      <c r="Z1237" s="24"/>
      <c r="AA1237" s="24"/>
      <c r="AB1237" s="24"/>
      <c r="AC1237" s="41">
        <v>2496800</v>
      </c>
      <c r="AD1237" s="24"/>
      <c r="AE1237" s="24"/>
    </row>
    <row r="1238" spans="1:31" s="1" customFormat="1" ht="10.5" x14ac:dyDescent="0.25">
      <c r="A1238" s="21">
        <v>16</v>
      </c>
      <c r="B1238" s="22" t="s">
        <v>1800</v>
      </c>
      <c r="C1238" s="22" t="s">
        <v>1460</v>
      </c>
      <c r="D1238" s="65" t="s">
        <v>1461</v>
      </c>
      <c r="E1238" s="24" t="s">
        <v>263</v>
      </c>
      <c r="F1238" s="24"/>
      <c r="G1238" s="24" t="s">
        <v>1441</v>
      </c>
      <c r="H1238" s="24" t="s">
        <v>62</v>
      </c>
      <c r="I1238" s="24">
        <v>2007</v>
      </c>
      <c r="J1238" s="24"/>
      <c r="K1238" s="24" t="s">
        <v>63</v>
      </c>
      <c r="L1238" s="24" t="s">
        <v>64</v>
      </c>
      <c r="M1238" s="24">
        <v>144</v>
      </c>
      <c r="N1238" s="41">
        <v>8290800</v>
      </c>
      <c r="O1238" s="41">
        <v>8290800</v>
      </c>
      <c r="P1238" s="24"/>
      <c r="Q1238" s="24"/>
      <c r="R1238" s="24"/>
      <c r="S1238" s="24"/>
      <c r="T1238" s="24"/>
      <c r="U1238" s="24"/>
      <c r="V1238" s="24"/>
      <c r="W1238" s="24"/>
      <c r="X1238" s="24"/>
      <c r="Y1238" s="24"/>
      <c r="Z1238" s="24"/>
      <c r="AA1238" s="24"/>
      <c r="AB1238" s="24"/>
      <c r="AC1238" s="41">
        <v>8290800</v>
      </c>
      <c r="AD1238" s="24"/>
      <c r="AE1238" s="24"/>
    </row>
    <row r="1239" spans="1:31" s="1" customFormat="1" ht="10.5" x14ac:dyDescent="0.25">
      <c r="A1239" s="21">
        <v>17</v>
      </c>
      <c r="B1239" s="22" t="s">
        <v>1800</v>
      </c>
      <c r="C1239" s="22" t="s">
        <v>1028</v>
      </c>
      <c r="D1239" s="65" t="s">
        <v>1462</v>
      </c>
      <c r="E1239" s="24" t="s">
        <v>263</v>
      </c>
      <c r="F1239" s="24"/>
      <c r="G1239" s="24" t="s">
        <v>1441</v>
      </c>
      <c r="H1239" s="24" t="s">
        <v>62</v>
      </c>
      <c r="I1239" s="24">
        <v>2015</v>
      </c>
      <c r="J1239" s="24"/>
      <c r="K1239" s="24" t="s">
        <v>664</v>
      </c>
      <c r="L1239" s="24" t="s">
        <v>64</v>
      </c>
      <c r="M1239" s="24">
        <v>1</v>
      </c>
      <c r="N1239" s="41">
        <v>20373100</v>
      </c>
      <c r="O1239" s="41">
        <v>20373100</v>
      </c>
      <c r="P1239" s="24"/>
      <c r="Q1239" s="24"/>
      <c r="R1239" s="24"/>
      <c r="S1239" s="24"/>
      <c r="T1239" s="24"/>
      <c r="U1239" s="24"/>
      <c r="V1239" s="24"/>
      <c r="W1239" s="24"/>
      <c r="X1239" s="24"/>
      <c r="Y1239" s="24"/>
      <c r="Z1239" s="24"/>
      <c r="AA1239" s="24"/>
      <c r="AB1239" s="24"/>
      <c r="AC1239" s="41">
        <v>20373100</v>
      </c>
      <c r="AD1239" s="24"/>
      <c r="AE1239" s="24"/>
    </row>
    <row r="1240" spans="1:31" s="1" customFormat="1" ht="10.5" x14ac:dyDescent="0.25">
      <c r="A1240" s="21">
        <v>18</v>
      </c>
      <c r="B1240" s="22" t="s">
        <v>1800</v>
      </c>
      <c r="C1240" s="22" t="s">
        <v>1029</v>
      </c>
      <c r="D1240" s="65" t="s">
        <v>1462</v>
      </c>
      <c r="E1240" s="24" t="s">
        <v>263</v>
      </c>
      <c r="F1240" s="24"/>
      <c r="G1240" s="24" t="s">
        <v>1441</v>
      </c>
      <c r="H1240" s="24" t="s">
        <v>62</v>
      </c>
      <c r="I1240" s="24">
        <v>2016</v>
      </c>
      <c r="J1240" s="24"/>
      <c r="K1240" s="24" t="s">
        <v>664</v>
      </c>
      <c r="L1240" s="24" t="s">
        <v>64</v>
      </c>
      <c r="M1240" s="24">
        <v>1</v>
      </c>
      <c r="N1240" s="41">
        <v>24844600</v>
      </c>
      <c r="O1240" s="41">
        <v>24844600</v>
      </c>
      <c r="P1240" s="24"/>
      <c r="Q1240" s="24"/>
      <c r="R1240" s="24"/>
      <c r="S1240" s="24"/>
      <c r="T1240" s="24"/>
      <c r="U1240" s="24"/>
      <c r="V1240" s="24"/>
      <c r="W1240" s="24"/>
      <c r="X1240" s="24"/>
      <c r="Y1240" s="24"/>
      <c r="Z1240" s="24"/>
      <c r="AA1240" s="24"/>
      <c r="AB1240" s="24"/>
      <c r="AC1240" s="41">
        <v>24844600</v>
      </c>
      <c r="AD1240" s="24"/>
      <c r="AE1240" s="24"/>
    </row>
    <row r="1241" spans="1:31" s="1" customFormat="1" ht="10.5" x14ac:dyDescent="0.25">
      <c r="A1241" s="21">
        <v>19</v>
      </c>
      <c r="B1241" s="22" t="s">
        <v>1800</v>
      </c>
      <c r="C1241" s="22" t="s">
        <v>1030</v>
      </c>
      <c r="D1241" s="65" t="s">
        <v>1462</v>
      </c>
      <c r="E1241" s="24"/>
      <c r="F1241" s="24"/>
      <c r="G1241" s="24" t="s">
        <v>1441</v>
      </c>
      <c r="H1241" s="24" t="s">
        <v>62</v>
      </c>
      <c r="I1241" s="24">
        <v>2017</v>
      </c>
      <c r="J1241" s="24"/>
      <c r="K1241" s="24" t="s">
        <v>261</v>
      </c>
      <c r="L1241" s="24" t="s">
        <v>64</v>
      </c>
      <c r="M1241" s="24">
        <v>1</v>
      </c>
      <c r="N1241" s="41">
        <v>34989141</v>
      </c>
      <c r="O1241" s="41">
        <v>34989141</v>
      </c>
      <c r="P1241" s="24"/>
      <c r="Q1241" s="24"/>
      <c r="R1241" s="24"/>
      <c r="S1241" s="24"/>
      <c r="T1241" s="24"/>
      <c r="U1241" s="24"/>
      <c r="V1241" s="24"/>
      <c r="W1241" s="24"/>
      <c r="X1241" s="24"/>
      <c r="Y1241" s="24"/>
      <c r="Z1241" s="24"/>
      <c r="AA1241" s="24"/>
      <c r="AB1241" s="24"/>
      <c r="AC1241" s="41">
        <v>34989141</v>
      </c>
      <c r="AD1241" s="24"/>
      <c r="AE1241" s="24"/>
    </row>
    <row r="1242" spans="1:31" s="1" customFormat="1" ht="10.5" x14ac:dyDescent="0.25">
      <c r="A1242" s="21">
        <v>20</v>
      </c>
      <c r="B1242" s="22" t="s">
        <v>1800</v>
      </c>
      <c r="C1242" s="22" t="s">
        <v>1032</v>
      </c>
      <c r="D1242" s="65" t="s">
        <v>1462</v>
      </c>
      <c r="E1242" s="24"/>
      <c r="F1242" s="24"/>
      <c r="G1242" s="24" t="s">
        <v>1441</v>
      </c>
      <c r="H1242" s="24" t="s">
        <v>62</v>
      </c>
      <c r="I1242" s="24">
        <v>2018</v>
      </c>
      <c r="J1242" s="24"/>
      <c r="K1242" s="24" t="s">
        <v>261</v>
      </c>
      <c r="L1242" s="24" t="s">
        <v>64</v>
      </c>
      <c r="M1242" s="24">
        <v>1</v>
      </c>
      <c r="N1242" s="41">
        <v>51578800</v>
      </c>
      <c r="O1242" s="41">
        <v>51578800</v>
      </c>
      <c r="P1242" s="24"/>
      <c r="Q1242" s="24"/>
      <c r="R1242" s="24"/>
      <c r="S1242" s="24"/>
      <c r="T1242" s="24"/>
      <c r="U1242" s="24"/>
      <c r="V1242" s="24"/>
      <c r="W1242" s="24"/>
      <c r="X1242" s="24"/>
      <c r="Y1242" s="24"/>
      <c r="Z1242" s="24"/>
      <c r="AA1242" s="24"/>
      <c r="AB1242" s="24"/>
      <c r="AC1242" s="41">
        <v>51578800</v>
      </c>
      <c r="AD1242" s="24"/>
      <c r="AE1242" s="24"/>
    </row>
    <row r="1243" spans="1:31" s="1" customFormat="1" ht="10.5" x14ac:dyDescent="0.25">
      <c r="A1243" s="21">
        <v>21</v>
      </c>
      <c r="B1243" s="22" t="s">
        <v>1800</v>
      </c>
      <c r="C1243" s="99" t="s">
        <v>1212</v>
      </c>
      <c r="D1243" s="100" t="s">
        <v>1462</v>
      </c>
      <c r="E1243" s="101"/>
      <c r="F1243" s="101"/>
      <c r="G1243" s="101" t="s">
        <v>1441</v>
      </c>
      <c r="H1243" s="101" t="s">
        <v>62</v>
      </c>
      <c r="I1243" s="101">
        <v>2020</v>
      </c>
      <c r="J1243" s="101"/>
      <c r="K1243" s="101" t="s">
        <v>261</v>
      </c>
      <c r="L1243" s="101" t="s">
        <v>64</v>
      </c>
      <c r="M1243" s="101">
        <v>1</v>
      </c>
      <c r="N1243" s="77">
        <v>37914574</v>
      </c>
      <c r="O1243" s="77">
        <v>37914574</v>
      </c>
      <c r="P1243" s="24"/>
      <c r="Q1243" s="24"/>
      <c r="R1243" s="24"/>
      <c r="S1243" s="24"/>
      <c r="T1243" s="24"/>
      <c r="U1243" s="24"/>
      <c r="V1243" s="24"/>
      <c r="W1243" s="24"/>
      <c r="X1243" s="24"/>
      <c r="Y1243" s="24"/>
      <c r="Z1243" s="24"/>
      <c r="AA1243" s="24"/>
      <c r="AB1243" s="24"/>
      <c r="AC1243" s="53">
        <v>37914574</v>
      </c>
      <c r="AD1243" s="24"/>
      <c r="AE1243" s="24"/>
    </row>
    <row r="1244" spans="1:31" s="1" customFormat="1" ht="10.5" x14ac:dyDescent="0.25">
      <c r="A1244" s="21"/>
      <c r="B1244" s="22"/>
      <c r="C1244" s="22"/>
      <c r="D1244" s="65"/>
      <c r="E1244" s="24"/>
      <c r="F1244" s="24"/>
      <c r="G1244" s="24"/>
      <c r="H1244" s="24"/>
      <c r="I1244" s="24"/>
      <c r="J1244" s="24"/>
      <c r="K1244" s="24"/>
      <c r="L1244" s="24"/>
      <c r="M1244" s="24"/>
      <c r="N1244" s="24"/>
      <c r="O1244" s="24"/>
      <c r="P1244" s="24"/>
      <c r="Q1244" s="24"/>
      <c r="R1244" s="24"/>
      <c r="S1244" s="24"/>
      <c r="T1244" s="24"/>
      <c r="U1244" s="24"/>
      <c r="V1244" s="24"/>
      <c r="W1244" s="24"/>
      <c r="X1244" s="24"/>
      <c r="Y1244" s="24"/>
      <c r="Z1244" s="24"/>
      <c r="AA1244" s="24"/>
      <c r="AB1244" s="24"/>
      <c r="AC1244" s="24"/>
      <c r="AD1244" s="24"/>
      <c r="AE1244" s="24"/>
    </row>
    <row r="1245" spans="1:31" s="1" customFormat="1" ht="21" x14ac:dyDescent="0.25">
      <c r="A1245" s="25"/>
      <c r="B1245" s="26" t="s">
        <v>1463</v>
      </c>
      <c r="C1245" s="26"/>
      <c r="D1245" s="64" t="s">
        <v>1464</v>
      </c>
      <c r="E1245" s="28"/>
      <c r="F1245" s="28"/>
      <c r="G1245" s="28"/>
      <c r="H1245" s="28"/>
      <c r="I1245" s="28"/>
      <c r="J1245" s="28"/>
      <c r="K1245" s="28"/>
      <c r="L1245" s="28"/>
      <c r="M1245" s="28">
        <f>SUM(M1246:M1248)</f>
        <v>0</v>
      </c>
      <c r="N1245" s="28"/>
      <c r="O1245" s="28">
        <f>SUM(O1246:O1248)</f>
        <v>0</v>
      </c>
      <c r="P1245" s="28">
        <f t="shared" ref="P1245:AC1245" si="785">SUM(P1246:P1248)</f>
        <v>0</v>
      </c>
      <c r="Q1245" s="28">
        <f t="shared" si="785"/>
        <v>0</v>
      </c>
      <c r="R1245" s="28">
        <f t="shared" si="785"/>
        <v>0</v>
      </c>
      <c r="S1245" s="28">
        <f t="shared" si="785"/>
        <v>0</v>
      </c>
      <c r="T1245" s="28"/>
      <c r="U1245" s="28">
        <f t="shared" si="785"/>
        <v>0</v>
      </c>
      <c r="V1245" s="28"/>
      <c r="W1245" s="28">
        <f t="shared" si="785"/>
        <v>0</v>
      </c>
      <c r="X1245" s="28"/>
      <c r="Y1245" s="28">
        <f t="shared" si="785"/>
        <v>0</v>
      </c>
      <c r="Z1245" s="28">
        <f t="shared" si="785"/>
        <v>0</v>
      </c>
      <c r="AA1245" s="28"/>
      <c r="AB1245" s="28">
        <f t="shared" si="785"/>
        <v>0</v>
      </c>
      <c r="AC1245" s="28">
        <f t="shared" si="785"/>
        <v>0</v>
      </c>
      <c r="AD1245" s="28"/>
      <c r="AE1245" s="28"/>
    </row>
    <row r="1246" spans="1:31" s="1" customFormat="1" ht="10.5" x14ac:dyDescent="0.25">
      <c r="A1246" s="21"/>
      <c r="B1246" s="22"/>
      <c r="C1246" s="22"/>
      <c r="D1246" s="65"/>
      <c r="E1246" s="24"/>
      <c r="F1246" s="24"/>
      <c r="G1246" s="24"/>
      <c r="H1246" s="24"/>
      <c r="I1246" s="24"/>
      <c r="J1246" s="24"/>
      <c r="K1246" s="24"/>
      <c r="L1246" s="24"/>
      <c r="M1246" s="24"/>
      <c r="N1246" s="24"/>
      <c r="O1246" s="24"/>
      <c r="P1246" s="24"/>
      <c r="Q1246" s="24"/>
      <c r="R1246" s="24"/>
      <c r="S1246" s="24"/>
      <c r="T1246" s="24"/>
      <c r="U1246" s="24"/>
      <c r="V1246" s="24"/>
      <c r="W1246" s="24"/>
      <c r="X1246" s="24"/>
      <c r="Y1246" s="24"/>
      <c r="Z1246" s="24"/>
      <c r="AA1246" s="24"/>
      <c r="AB1246" s="24"/>
      <c r="AC1246" s="24"/>
      <c r="AD1246" s="24"/>
      <c r="AE1246" s="24"/>
    </row>
    <row r="1247" spans="1:31" s="1" customFormat="1" ht="10.5" x14ac:dyDescent="0.25">
      <c r="A1247" s="21"/>
      <c r="B1247" s="22"/>
      <c r="C1247" s="22"/>
      <c r="D1247" s="65"/>
      <c r="E1247" s="24"/>
      <c r="F1247" s="24"/>
      <c r="G1247" s="24"/>
      <c r="H1247" s="24"/>
      <c r="I1247" s="24"/>
      <c r="J1247" s="24"/>
      <c r="K1247" s="24"/>
      <c r="L1247" s="24"/>
      <c r="M1247" s="24"/>
      <c r="N1247" s="24"/>
      <c r="O1247" s="24"/>
      <c r="P1247" s="24"/>
      <c r="Q1247" s="24"/>
      <c r="R1247" s="24"/>
      <c r="S1247" s="24"/>
      <c r="T1247" s="24"/>
      <c r="U1247" s="24"/>
      <c r="V1247" s="24"/>
      <c r="W1247" s="24"/>
      <c r="X1247" s="24"/>
      <c r="Y1247" s="24"/>
      <c r="Z1247" s="24"/>
      <c r="AA1247" s="24"/>
      <c r="AB1247" s="24"/>
      <c r="AC1247" s="24"/>
      <c r="AD1247" s="24"/>
      <c r="AE1247" s="24"/>
    </row>
    <row r="1248" spans="1:31" s="1" customFormat="1" ht="10.5" x14ac:dyDescent="0.25">
      <c r="A1248" s="21"/>
      <c r="B1248" s="22"/>
      <c r="C1248" s="22"/>
      <c r="D1248" s="65"/>
      <c r="E1248" s="24"/>
      <c r="F1248" s="24"/>
      <c r="G1248" s="24"/>
      <c r="H1248" s="24"/>
      <c r="I1248" s="24"/>
      <c r="J1248" s="24"/>
      <c r="K1248" s="24"/>
      <c r="L1248" s="24"/>
      <c r="M1248" s="24"/>
      <c r="N1248" s="24"/>
      <c r="O1248" s="24"/>
      <c r="P1248" s="24"/>
      <c r="Q1248" s="24"/>
      <c r="R1248" s="24"/>
      <c r="S1248" s="24"/>
      <c r="T1248" s="24"/>
      <c r="U1248" s="24"/>
      <c r="V1248" s="24"/>
      <c r="W1248" s="24"/>
      <c r="X1248" s="24"/>
      <c r="Y1248" s="24"/>
      <c r="Z1248" s="24"/>
      <c r="AA1248" s="24"/>
      <c r="AB1248" s="24"/>
      <c r="AC1248" s="24"/>
      <c r="AD1248" s="24"/>
      <c r="AE1248" s="24"/>
    </row>
    <row r="1249" spans="1:31" s="1" customFormat="1" ht="10.5" x14ac:dyDescent="0.25">
      <c r="A1249" s="25"/>
      <c r="B1249" s="26" t="s">
        <v>1465</v>
      </c>
      <c r="C1249" s="26"/>
      <c r="D1249" s="64" t="s">
        <v>1466</v>
      </c>
      <c r="E1249" s="28"/>
      <c r="F1249" s="28"/>
      <c r="G1249" s="28"/>
      <c r="H1249" s="28"/>
      <c r="I1249" s="28"/>
      <c r="J1249" s="28"/>
      <c r="K1249" s="28"/>
      <c r="L1249" s="28"/>
      <c r="M1249" s="28">
        <f>SUM(M1250:M1252)</f>
        <v>0</v>
      </c>
      <c r="N1249" s="28"/>
      <c r="O1249" s="28">
        <f t="shared" ref="O1249:AC1249" si="786">SUM(O1250:O1252)</f>
        <v>0</v>
      </c>
      <c r="P1249" s="28">
        <f t="shared" si="786"/>
        <v>0</v>
      </c>
      <c r="Q1249" s="28">
        <f t="shared" si="786"/>
        <v>0</v>
      </c>
      <c r="R1249" s="28">
        <f t="shared" si="786"/>
        <v>0</v>
      </c>
      <c r="S1249" s="28">
        <f t="shared" si="786"/>
        <v>0</v>
      </c>
      <c r="T1249" s="28"/>
      <c r="U1249" s="28">
        <f t="shared" si="786"/>
        <v>0</v>
      </c>
      <c r="V1249" s="28"/>
      <c r="W1249" s="28">
        <f t="shared" si="786"/>
        <v>0</v>
      </c>
      <c r="X1249" s="28"/>
      <c r="Y1249" s="28">
        <f t="shared" si="786"/>
        <v>0</v>
      </c>
      <c r="Z1249" s="28">
        <f t="shared" si="786"/>
        <v>0</v>
      </c>
      <c r="AA1249" s="28"/>
      <c r="AB1249" s="28">
        <f t="shared" si="786"/>
        <v>0</v>
      </c>
      <c r="AC1249" s="28">
        <f t="shared" si="786"/>
        <v>0</v>
      </c>
      <c r="AD1249" s="28"/>
      <c r="AE1249" s="28"/>
    </row>
    <row r="1250" spans="1:31" s="1" customFormat="1" ht="10.5" x14ac:dyDescent="0.25">
      <c r="A1250" s="21"/>
      <c r="B1250" s="22"/>
      <c r="C1250" s="22"/>
      <c r="D1250" s="65"/>
      <c r="E1250" s="24"/>
      <c r="F1250" s="24"/>
      <c r="G1250" s="24"/>
      <c r="H1250" s="24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  <c r="S1250" s="24"/>
      <c r="T1250" s="24"/>
      <c r="U1250" s="24"/>
      <c r="V1250" s="24"/>
      <c r="W1250" s="24"/>
      <c r="X1250" s="24"/>
      <c r="Y1250" s="24"/>
      <c r="Z1250" s="24"/>
      <c r="AA1250" s="24"/>
      <c r="AB1250" s="24"/>
      <c r="AC1250" s="24"/>
      <c r="AD1250" s="24"/>
      <c r="AE1250" s="24"/>
    </row>
    <row r="1251" spans="1:31" s="1" customFormat="1" ht="10.5" x14ac:dyDescent="0.25">
      <c r="A1251" s="21"/>
      <c r="B1251" s="22"/>
      <c r="C1251" s="22"/>
      <c r="D1251" s="65"/>
      <c r="E1251" s="24"/>
      <c r="F1251" s="24"/>
      <c r="G1251" s="24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  <c r="S1251" s="24"/>
      <c r="T1251" s="24"/>
      <c r="U1251" s="24"/>
      <c r="V1251" s="24"/>
      <c r="W1251" s="24"/>
      <c r="X1251" s="24"/>
      <c r="Y1251" s="24"/>
      <c r="Z1251" s="24"/>
      <c r="AA1251" s="24"/>
      <c r="AB1251" s="24"/>
      <c r="AC1251" s="24"/>
      <c r="AD1251" s="24"/>
      <c r="AE1251" s="24"/>
    </row>
    <row r="1252" spans="1:31" s="1" customFormat="1" ht="10.5" x14ac:dyDescent="0.25">
      <c r="A1252" s="21"/>
      <c r="B1252" s="22"/>
      <c r="C1252" s="22"/>
      <c r="D1252" s="65"/>
      <c r="E1252" s="24"/>
      <c r="F1252" s="24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  <c r="S1252" s="24"/>
      <c r="T1252" s="24"/>
      <c r="U1252" s="24"/>
      <c r="V1252" s="24"/>
      <c r="W1252" s="24"/>
      <c r="X1252" s="24"/>
      <c r="Y1252" s="24"/>
      <c r="Z1252" s="24"/>
      <c r="AA1252" s="24"/>
      <c r="AB1252" s="24"/>
      <c r="AC1252" s="24"/>
      <c r="AD1252" s="24"/>
      <c r="AE1252" s="24"/>
    </row>
    <row r="1253" spans="1:31" s="1" customFormat="1" ht="10.5" x14ac:dyDescent="0.25">
      <c r="A1253" s="25"/>
      <c r="B1253" s="26" t="s">
        <v>1467</v>
      </c>
      <c r="C1253" s="26"/>
      <c r="D1253" s="64" t="s">
        <v>1468</v>
      </c>
      <c r="E1253" s="28"/>
      <c r="F1253" s="28"/>
      <c r="G1253" s="28"/>
      <c r="H1253" s="28"/>
      <c r="I1253" s="28"/>
      <c r="J1253" s="28"/>
      <c r="K1253" s="28"/>
      <c r="L1253" s="28"/>
      <c r="M1253" s="28">
        <f>SUM(M1254:M1256)</f>
        <v>0</v>
      </c>
      <c r="N1253" s="28"/>
      <c r="O1253" s="28">
        <f t="shared" ref="O1253:AC1253" si="787">SUM(O1254:O1256)</f>
        <v>0</v>
      </c>
      <c r="P1253" s="28">
        <f t="shared" si="787"/>
        <v>0</v>
      </c>
      <c r="Q1253" s="28">
        <f t="shared" si="787"/>
        <v>0</v>
      </c>
      <c r="R1253" s="28">
        <f t="shared" si="787"/>
        <v>0</v>
      </c>
      <c r="S1253" s="28">
        <f t="shared" si="787"/>
        <v>0</v>
      </c>
      <c r="T1253" s="28"/>
      <c r="U1253" s="28">
        <f t="shared" si="787"/>
        <v>0</v>
      </c>
      <c r="V1253" s="28"/>
      <c r="W1253" s="28">
        <f t="shared" si="787"/>
        <v>0</v>
      </c>
      <c r="X1253" s="28"/>
      <c r="Y1253" s="28">
        <f t="shared" si="787"/>
        <v>0</v>
      </c>
      <c r="Z1253" s="28">
        <f t="shared" si="787"/>
        <v>0</v>
      </c>
      <c r="AA1253" s="28"/>
      <c r="AB1253" s="28">
        <f t="shared" si="787"/>
        <v>0</v>
      </c>
      <c r="AC1253" s="28">
        <f t="shared" si="787"/>
        <v>0</v>
      </c>
      <c r="AD1253" s="28"/>
      <c r="AE1253" s="28"/>
    </row>
    <row r="1254" spans="1:31" s="1" customFormat="1" ht="10.5" x14ac:dyDescent="0.25">
      <c r="A1254" s="21"/>
      <c r="B1254" s="22"/>
      <c r="C1254" s="22"/>
      <c r="D1254" s="65"/>
      <c r="E1254" s="24"/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  <c r="S1254" s="24"/>
      <c r="T1254" s="24"/>
      <c r="U1254" s="24"/>
      <c r="V1254" s="24"/>
      <c r="W1254" s="24"/>
      <c r="X1254" s="24"/>
      <c r="Y1254" s="24"/>
      <c r="Z1254" s="24"/>
      <c r="AA1254" s="24"/>
      <c r="AB1254" s="24"/>
      <c r="AC1254" s="24"/>
      <c r="AD1254" s="24"/>
      <c r="AE1254" s="24"/>
    </row>
    <row r="1255" spans="1:31" s="1" customFormat="1" ht="10.5" x14ac:dyDescent="0.25">
      <c r="A1255" s="21"/>
      <c r="B1255" s="22"/>
      <c r="C1255" s="22"/>
      <c r="D1255" s="65"/>
      <c r="E1255" s="24"/>
      <c r="F1255" s="24"/>
      <c r="G1255" s="24"/>
      <c r="H1255" s="24"/>
      <c r="I1255" s="24"/>
      <c r="J1255" s="24"/>
      <c r="K1255" s="24"/>
      <c r="L1255" s="24"/>
      <c r="M1255" s="24"/>
      <c r="N1255" s="24"/>
      <c r="O1255" s="24"/>
      <c r="P1255" s="24"/>
      <c r="Q1255" s="24"/>
      <c r="R1255" s="24"/>
      <c r="S1255" s="24"/>
      <c r="T1255" s="24"/>
      <c r="U1255" s="24"/>
      <c r="V1255" s="24"/>
      <c r="W1255" s="24"/>
      <c r="X1255" s="24"/>
      <c r="Y1255" s="24"/>
      <c r="Z1255" s="24"/>
      <c r="AA1255" s="24"/>
      <c r="AB1255" s="24"/>
      <c r="AC1255" s="24"/>
      <c r="AD1255" s="24"/>
      <c r="AE1255" s="24"/>
    </row>
    <row r="1256" spans="1:31" s="1" customFormat="1" ht="10.5" x14ac:dyDescent="0.25">
      <c r="A1256" s="21"/>
      <c r="B1256" s="22"/>
      <c r="C1256" s="22"/>
      <c r="D1256" s="65"/>
      <c r="E1256" s="24"/>
      <c r="F1256" s="24"/>
      <c r="G1256" s="24"/>
      <c r="H1256" s="24"/>
      <c r="I1256" s="24"/>
      <c r="J1256" s="24"/>
      <c r="K1256" s="24"/>
      <c r="L1256" s="24"/>
      <c r="M1256" s="24"/>
      <c r="N1256" s="24"/>
      <c r="O1256" s="24"/>
      <c r="P1256" s="24"/>
      <c r="Q1256" s="24"/>
      <c r="R1256" s="24"/>
      <c r="S1256" s="24"/>
      <c r="T1256" s="24"/>
      <c r="U1256" s="24"/>
      <c r="V1256" s="24"/>
      <c r="W1256" s="24"/>
      <c r="X1256" s="24"/>
      <c r="Y1256" s="24"/>
      <c r="Z1256" s="24"/>
      <c r="AA1256" s="24"/>
      <c r="AB1256" s="24"/>
      <c r="AC1256" s="24"/>
      <c r="AD1256" s="24"/>
      <c r="AE1256" s="24"/>
    </row>
    <row r="1257" spans="1:31" s="1" customFormat="1" ht="10.5" x14ac:dyDescent="0.25">
      <c r="A1257" s="25"/>
      <c r="B1257" s="26" t="s">
        <v>1469</v>
      </c>
      <c r="C1257" s="26"/>
      <c r="D1257" s="64" t="s">
        <v>1470</v>
      </c>
      <c r="E1257" s="28"/>
      <c r="F1257" s="28"/>
      <c r="G1257" s="28"/>
      <c r="H1257" s="28"/>
      <c r="I1257" s="28"/>
      <c r="J1257" s="28"/>
      <c r="K1257" s="28"/>
      <c r="L1257" s="28"/>
      <c r="M1257" s="28">
        <f>SUM(M1258:M1260)</f>
        <v>0</v>
      </c>
      <c r="N1257" s="28"/>
      <c r="O1257" s="28">
        <f t="shared" ref="O1257:AC1257" si="788">SUM(O1258:O1260)</f>
        <v>0</v>
      </c>
      <c r="P1257" s="28">
        <f t="shared" si="788"/>
        <v>0</v>
      </c>
      <c r="Q1257" s="28">
        <f t="shared" si="788"/>
        <v>0</v>
      </c>
      <c r="R1257" s="28">
        <f t="shared" si="788"/>
        <v>0</v>
      </c>
      <c r="S1257" s="28">
        <f t="shared" si="788"/>
        <v>0</v>
      </c>
      <c r="T1257" s="28"/>
      <c r="U1257" s="28">
        <f t="shared" si="788"/>
        <v>0</v>
      </c>
      <c r="V1257" s="28"/>
      <c r="W1257" s="28">
        <f t="shared" si="788"/>
        <v>0</v>
      </c>
      <c r="X1257" s="28"/>
      <c r="Y1257" s="28">
        <f t="shared" si="788"/>
        <v>0</v>
      </c>
      <c r="Z1257" s="28">
        <f t="shared" si="788"/>
        <v>0</v>
      </c>
      <c r="AA1257" s="28"/>
      <c r="AB1257" s="28">
        <f t="shared" si="788"/>
        <v>0</v>
      </c>
      <c r="AC1257" s="28">
        <f t="shared" si="788"/>
        <v>0</v>
      </c>
      <c r="AD1257" s="28"/>
      <c r="AE1257" s="28"/>
    </row>
    <row r="1258" spans="1:31" s="1" customFormat="1" ht="10.5" x14ac:dyDescent="0.25">
      <c r="A1258" s="21"/>
      <c r="B1258" s="22"/>
      <c r="C1258" s="22"/>
      <c r="D1258" s="65"/>
      <c r="E1258" s="24"/>
      <c r="F1258" s="24"/>
      <c r="G1258" s="24"/>
      <c r="H1258" s="24"/>
      <c r="I1258" s="24"/>
      <c r="J1258" s="24"/>
      <c r="K1258" s="24"/>
      <c r="L1258" s="24"/>
      <c r="M1258" s="24"/>
      <c r="N1258" s="24"/>
      <c r="O1258" s="24"/>
      <c r="P1258" s="24"/>
      <c r="Q1258" s="24"/>
      <c r="R1258" s="24"/>
      <c r="S1258" s="24"/>
      <c r="T1258" s="24"/>
      <c r="U1258" s="24"/>
      <c r="V1258" s="24"/>
      <c r="W1258" s="24"/>
      <c r="X1258" s="24"/>
      <c r="Y1258" s="24"/>
      <c r="Z1258" s="24"/>
      <c r="AA1258" s="24"/>
      <c r="AB1258" s="24"/>
      <c r="AC1258" s="24"/>
      <c r="AD1258" s="24"/>
      <c r="AE1258" s="24"/>
    </row>
    <row r="1259" spans="1:31" s="1" customFormat="1" ht="10.5" x14ac:dyDescent="0.25">
      <c r="A1259" s="21"/>
      <c r="B1259" s="22"/>
      <c r="C1259" s="22"/>
      <c r="D1259" s="65"/>
      <c r="E1259" s="24"/>
      <c r="F1259" s="24"/>
      <c r="G1259" s="24"/>
      <c r="H1259" s="24"/>
      <c r="I1259" s="24"/>
      <c r="J1259" s="24"/>
      <c r="K1259" s="24"/>
      <c r="L1259" s="24"/>
      <c r="M1259" s="24"/>
      <c r="N1259" s="24"/>
      <c r="O1259" s="24"/>
      <c r="P1259" s="24"/>
      <c r="Q1259" s="24"/>
      <c r="R1259" s="24"/>
      <c r="S1259" s="24"/>
      <c r="T1259" s="24"/>
      <c r="U1259" s="24"/>
      <c r="V1259" s="24"/>
      <c r="W1259" s="24"/>
      <c r="X1259" s="24"/>
      <c r="Y1259" s="24"/>
      <c r="Z1259" s="24"/>
      <c r="AA1259" s="24"/>
      <c r="AB1259" s="24"/>
      <c r="AC1259" s="24"/>
      <c r="AD1259" s="24"/>
      <c r="AE1259" s="24"/>
    </row>
    <row r="1260" spans="1:31" s="1" customFormat="1" ht="10.5" x14ac:dyDescent="0.25">
      <c r="A1260" s="21"/>
      <c r="B1260" s="22"/>
      <c r="C1260" s="22"/>
      <c r="D1260" s="65"/>
      <c r="E1260" s="24"/>
      <c r="F1260" s="24"/>
      <c r="G1260" s="24"/>
      <c r="H1260" s="24"/>
      <c r="I1260" s="24"/>
      <c r="J1260" s="24"/>
      <c r="K1260" s="24"/>
      <c r="L1260" s="24"/>
      <c r="M1260" s="24"/>
      <c r="N1260" s="24"/>
      <c r="O1260" s="24"/>
      <c r="P1260" s="24"/>
      <c r="Q1260" s="24"/>
      <c r="R1260" s="24"/>
      <c r="S1260" s="24"/>
      <c r="T1260" s="24"/>
      <c r="U1260" s="24"/>
      <c r="V1260" s="24"/>
      <c r="W1260" s="24"/>
      <c r="X1260" s="24"/>
      <c r="Y1260" s="24"/>
      <c r="Z1260" s="24"/>
      <c r="AA1260" s="24"/>
      <c r="AB1260" s="24"/>
      <c r="AC1260" s="24"/>
      <c r="AD1260" s="24"/>
      <c r="AE1260" s="24"/>
    </row>
    <row r="1261" spans="1:31" s="1" customFormat="1" ht="21" x14ac:dyDescent="0.25">
      <c r="A1261" s="25"/>
      <c r="B1261" s="26" t="s">
        <v>1471</v>
      </c>
      <c r="C1261" s="26"/>
      <c r="D1261" s="64" t="s">
        <v>1472</v>
      </c>
      <c r="E1261" s="28"/>
      <c r="F1261" s="28"/>
      <c r="G1261" s="28"/>
      <c r="H1261" s="28"/>
      <c r="I1261" s="28"/>
      <c r="J1261" s="28"/>
      <c r="K1261" s="28"/>
      <c r="L1261" s="28"/>
      <c r="M1261" s="28">
        <f>SUM(M1262:M1264)</f>
        <v>0</v>
      </c>
      <c r="N1261" s="28"/>
      <c r="O1261" s="28">
        <f t="shared" ref="O1261:AC1261" si="789">SUM(O1262:O1264)</f>
        <v>0</v>
      </c>
      <c r="P1261" s="28">
        <f t="shared" si="789"/>
        <v>0</v>
      </c>
      <c r="Q1261" s="28">
        <f t="shared" si="789"/>
        <v>0</v>
      </c>
      <c r="R1261" s="28">
        <f t="shared" si="789"/>
        <v>0</v>
      </c>
      <c r="S1261" s="28">
        <f t="shared" si="789"/>
        <v>0</v>
      </c>
      <c r="T1261" s="28"/>
      <c r="U1261" s="28">
        <f t="shared" si="789"/>
        <v>0</v>
      </c>
      <c r="V1261" s="28"/>
      <c r="W1261" s="28">
        <f t="shared" si="789"/>
        <v>0</v>
      </c>
      <c r="X1261" s="28"/>
      <c r="Y1261" s="28">
        <f t="shared" si="789"/>
        <v>0</v>
      </c>
      <c r="Z1261" s="28">
        <f t="shared" si="789"/>
        <v>0</v>
      </c>
      <c r="AA1261" s="28"/>
      <c r="AB1261" s="28">
        <f t="shared" si="789"/>
        <v>0</v>
      </c>
      <c r="AC1261" s="28">
        <f t="shared" si="789"/>
        <v>0</v>
      </c>
      <c r="AD1261" s="28"/>
      <c r="AE1261" s="28"/>
    </row>
    <row r="1262" spans="1:31" s="1" customFormat="1" ht="10.5" x14ac:dyDescent="0.25">
      <c r="A1262" s="21"/>
      <c r="B1262" s="22"/>
      <c r="C1262" s="22"/>
      <c r="D1262" s="65"/>
      <c r="E1262" s="24"/>
      <c r="F1262" s="24"/>
      <c r="G1262" s="24"/>
      <c r="H1262" s="24"/>
      <c r="I1262" s="24"/>
      <c r="J1262" s="24"/>
      <c r="K1262" s="24"/>
      <c r="L1262" s="24"/>
      <c r="M1262" s="24"/>
      <c r="N1262" s="24"/>
      <c r="O1262" s="24"/>
      <c r="P1262" s="24"/>
      <c r="Q1262" s="24"/>
      <c r="R1262" s="24"/>
      <c r="S1262" s="24"/>
      <c r="T1262" s="24"/>
      <c r="U1262" s="24"/>
      <c r="V1262" s="24"/>
      <c r="W1262" s="24"/>
      <c r="X1262" s="24"/>
      <c r="Y1262" s="24"/>
      <c r="Z1262" s="24"/>
      <c r="AA1262" s="24"/>
      <c r="AB1262" s="24"/>
      <c r="AC1262" s="24"/>
      <c r="AD1262" s="24"/>
      <c r="AE1262" s="24"/>
    </row>
    <row r="1263" spans="1:31" s="1" customFormat="1" ht="10.5" x14ac:dyDescent="0.25">
      <c r="A1263" s="21"/>
      <c r="B1263" s="22"/>
      <c r="C1263" s="22"/>
      <c r="D1263" s="65"/>
      <c r="E1263" s="24"/>
      <c r="F1263" s="24"/>
      <c r="G1263" s="24"/>
      <c r="H1263" s="24"/>
      <c r="I1263" s="24"/>
      <c r="J1263" s="24"/>
      <c r="K1263" s="24"/>
      <c r="L1263" s="24"/>
      <c r="M1263" s="24"/>
      <c r="N1263" s="24"/>
      <c r="O1263" s="24"/>
      <c r="P1263" s="24"/>
      <c r="Q1263" s="24"/>
      <c r="R1263" s="24"/>
      <c r="S1263" s="24"/>
      <c r="T1263" s="24"/>
      <c r="U1263" s="24"/>
      <c r="V1263" s="24"/>
      <c r="W1263" s="24"/>
      <c r="X1263" s="24"/>
      <c r="Y1263" s="24"/>
      <c r="Z1263" s="24"/>
      <c r="AA1263" s="24"/>
      <c r="AB1263" s="24"/>
      <c r="AC1263" s="24"/>
      <c r="AD1263" s="24"/>
      <c r="AE1263" s="24"/>
    </row>
    <row r="1264" spans="1:31" s="1" customFormat="1" ht="10.5" x14ac:dyDescent="0.25">
      <c r="A1264" s="21"/>
      <c r="B1264" s="22"/>
      <c r="C1264" s="22"/>
      <c r="D1264" s="65"/>
      <c r="E1264" s="24"/>
      <c r="F1264" s="24"/>
      <c r="G1264" s="24"/>
      <c r="H1264" s="24"/>
      <c r="I1264" s="24"/>
      <c r="J1264" s="24"/>
      <c r="K1264" s="24"/>
      <c r="L1264" s="24"/>
      <c r="M1264" s="24"/>
      <c r="N1264" s="24"/>
      <c r="O1264" s="24"/>
      <c r="P1264" s="24"/>
      <c r="Q1264" s="24"/>
      <c r="R1264" s="24"/>
      <c r="S1264" s="24"/>
      <c r="T1264" s="24"/>
      <c r="U1264" s="24"/>
      <c r="V1264" s="24"/>
      <c r="W1264" s="24"/>
      <c r="X1264" s="24"/>
      <c r="Y1264" s="24"/>
      <c r="Z1264" s="24"/>
      <c r="AA1264" s="24"/>
      <c r="AB1264" s="24"/>
      <c r="AC1264" s="24"/>
      <c r="AD1264" s="24"/>
      <c r="AE1264" s="24"/>
    </row>
    <row r="1265" spans="1:31" s="1" customFormat="1" ht="10.5" x14ac:dyDescent="0.25">
      <c r="A1265" s="25"/>
      <c r="B1265" s="26" t="s">
        <v>1473</v>
      </c>
      <c r="C1265" s="26"/>
      <c r="D1265" s="64" t="s">
        <v>1474</v>
      </c>
      <c r="E1265" s="28"/>
      <c r="F1265" s="28"/>
      <c r="G1265" s="28"/>
      <c r="H1265" s="28"/>
      <c r="I1265" s="28"/>
      <c r="J1265" s="28"/>
      <c r="K1265" s="28"/>
      <c r="L1265" s="28"/>
      <c r="M1265" s="28">
        <f>SUM(M1266:M1268)</f>
        <v>0</v>
      </c>
      <c r="N1265" s="28"/>
      <c r="O1265" s="28">
        <f t="shared" ref="O1265:AC1265" si="790">SUM(O1266:O1268)</f>
        <v>0</v>
      </c>
      <c r="P1265" s="28">
        <f t="shared" si="790"/>
        <v>0</v>
      </c>
      <c r="Q1265" s="28">
        <f t="shared" si="790"/>
        <v>0</v>
      </c>
      <c r="R1265" s="28">
        <f t="shared" si="790"/>
        <v>0</v>
      </c>
      <c r="S1265" s="28">
        <f t="shared" si="790"/>
        <v>0</v>
      </c>
      <c r="T1265" s="28"/>
      <c r="U1265" s="28">
        <f t="shared" si="790"/>
        <v>0</v>
      </c>
      <c r="V1265" s="28"/>
      <c r="W1265" s="28">
        <f t="shared" si="790"/>
        <v>0</v>
      </c>
      <c r="X1265" s="28"/>
      <c r="Y1265" s="28">
        <f t="shared" si="790"/>
        <v>0</v>
      </c>
      <c r="Z1265" s="28">
        <f t="shared" si="790"/>
        <v>0</v>
      </c>
      <c r="AA1265" s="28"/>
      <c r="AB1265" s="28">
        <f t="shared" si="790"/>
        <v>0</v>
      </c>
      <c r="AC1265" s="28">
        <f t="shared" si="790"/>
        <v>0</v>
      </c>
      <c r="AD1265" s="28"/>
      <c r="AE1265" s="28"/>
    </row>
    <row r="1266" spans="1:31" s="1" customFormat="1" ht="10.5" x14ac:dyDescent="0.25">
      <c r="A1266" s="21"/>
      <c r="B1266" s="22"/>
      <c r="C1266" s="22"/>
      <c r="D1266" s="65"/>
      <c r="E1266" s="24"/>
      <c r="F1266" s="24"/>
      <c r="G1266" s="24"/>
      <c r="H1266" s="24"/>
      <c r="I1266" s="24"/>
      <c r="J1266" s="24"/>
      <c r="K1266" s="24"/>
      <c r="L1266" s="24"/>
      <c r="M1266" s="24"/>
      <c r="N1266" s="24"/>
      <c r="O1266" s="24"/>
      <c r="P1266" s="24"/>
      <c r="Q1266" s="24"/>
      <c r="R1266" s="24"/>
      <c r="S1266" s="24"/>
      <c r="T1266" s="24"/>
      <c r="U1266" s="24"/>
      <c r="V1266" s="24"/>
      <c r="W1266" s="24"/>
      <c r="X1266" s="24"/>
      <c r="Y1266" s="24"/>
      <c r="Z1266" s="24"/>
      <c r="AA1266" s="24"/>
      <c r="AB1266" s="24"/>
      <c r="AC1266" s="24"/>
      <c r="AD1266" s="24"/>
      <c r="AE1266" s="24"/>
    </row>
    <row r="1267" spans="1:31" s="1" customFormat="1" ht="10.5" x14ac:dyDescent="0.25">
      <c r="A1267" s="21"/>
      <c r="B1267" s="22"/>
      <c r="C1267" s="22"/>
      <c r="D1267" s="65"/>
      <c r="E1267" s="24"/>
      <c r="F1267" s="24"/>
      <c r="G1267" s="24"/>
      <c r="H1267" s="24"/>
      <c r="I1267" s="24"/>
      <c r="J1267" s="24"/>
      <c r="K1267" s="24"/>
      <c r="L1267" s="24"/>
      <c r="M1267" s="24"/>
      <c r="N1267" s="24"/>
      <c r="O1267" s="24"/>
      <c r="P1267" s="24"/>
      <c r="Q1267" s="24"/>
      <c r="R1267" s="24"/>
      <c r="S1267" s="24"/>
      <c r="T1267" s="24"/>
      <c r="U1267" s="24"/>
      <c r="V1267" s="24"/>
      <c r="W1267" s="24"/>
      <c r="X1267" s="24"/>
      <c r="Y1267" s="24"/>
      <c r="Z1267" s="24"/>
      <c r="AA1267" s="24"/>
      <c r="AB1267" s="24"/>
      <c r="AC1267" s="24"/>
      <c r="AD1267" s="24"/>
      <c r="AE1267" s="24"/>
    </row>
    <row r="1268" spans="1:31" s="1" customFormat="1" ht="10.5" x14ac:dyDescent="0.25">
      <c r="A1268" s="21"/>
      <c r="B1268" s="22"/>
      <c r="C1268" s="22"/>
      <c r="D1268" s="65"/>
      <c r="E1268" s="24"/>
      <c r="F1268" s="24"/>
      <c r="G1268" s="24"/>
      <c r="H1268" s="24"/>
      <c r="I1268" s="24"/>
      <c r="J1268" s="24"/>
      <c r="K1268" s="24"/>
      <c r="L1268" s="24"/>
      <c r="M1268" s="24"/>
      <c r="N1268" s="24"/>
      <c r="O1268" s="24"/>
      <c r="P1268" s="24"/>
      <c r="Q1268" s="24"/>
      <c r="R1268" s="24"/>
      <c r="S1268" s="24"/>
      <c r="T1268" s="24"/>
      <c r="U1268" s="24"/>
      <c r="V1268" s="24"/>
      <c r="W1268" s="24"/>
      <c r="X1268" s="24"/>
      <c r="Y1268" s="24"/>
      <c r="Z1268" s="24"/>
      <c r="AA1268" s="24"/>
      <c r="AB1268" s="24"/>
      <c r="AC1268" s="24"/>
      <c r="AD1268" s="24"/>
      <c r="AE1268" s="24"/>
    </row>
    <row r="1269" spans="1:31" s="1" customFormat="1" ht="21" x14ac:dyDescent="0.25">
      <c r="A1269" s="17"/>
      <c r="B1269" s="18" t="s">
        <v>1475</v>
      </c>
      <c r="C1269" s="18"/>
      <c r="D1269" s="84" t="s">
        <v>1476</v>
      </c>
      <c r="E1269" s="20"/>
      <c r="F1269" s="20"/>
      <c r="G1269" s="20"/>
      <c r="H1269" s="20"/>
      <c r="I1269" s="20"/>
      <c r="J1269" s="20"/>
      <c r="K1269" s="20"/>
      <c r="L1269" s="20"/>
      <c r="M1269" s="20">
        <f>M1270+M1274+M1278</f>
        <v>0</v>
      </c>
      <c r="N1269" s="20"/>
      <c r="O1269" s="20">
        <f t="shared" ref="O1269:AC1269" si="791">O1270+O1274+O1278</f>
        <v>0</v>
      </c>
      <c r="P1269" s="20">
        <f t="shared" si="791"/>
        <v>0</v>
      </c>
      <c r="Q1269" s="20">
        <f t="shared" si="791"/>
        <v>0</v>
      </c>
      <c r="R1269" s="20">
        <f t="shared" si="791"/>
        <v>0</v>
      </c>
      <c r="S1269" s="20">
        <f t="shared" si="791"/>
        <v>0</v>
      </c>
      <c r="T1269" s="20"/>
      <c r="U1269" s="20">
        <f t="shared" si="791"/>
        <v>0</v>
      </c>
      <c r="V1269" s="20"/>
      <c r="W1269" s="20">
        <f t="shared" si="791"/>
        <v>0</v>
      </c>
      <c r="X1269" s="20"/>
      <c r="Y1269" s="20">
        <f t="shared" si="791"/>
        <v>0</v>
      </c>
      <c r="Z1269" s="20">
        <f t="shared" si="791"/>
        <v>0</v>
      </c>
      <c r="AA1269" s="20"/>
      <c r="AB1269" s="20">
        <f t="shared" si="791"/>
        <v>0</v>
      </c>
      <c r="AC1269" s="20">
        <f t="shared" si="791"/>
        <v>0</v>
      </c>
      <c r="AD1269" s="20"/>
      <c r="AE1269" s="20"/>
    </row>
    <row r="1270" spans="1:31" s="1" customFormat="1" ht="10.5" x14ac:dyDescent="0.25">
      <c r="A1270" s="25"/>
      <c r="B1270" s="26" t="s">
        <v>1477</v>
      </c>
      <c r="C1270" s="26"/>
      <c r="D1270" s="64" t="s">
        <v>1478</v>
      </c>
      <c r="E1270" s="28"/>
      <c r="F1270" s="28"/>
      <c r="G1270" s="28"/>
      <c r="H1270" s="28"/>
      <c r="I1270" s="28"/>
      <c r="J1270" s="28"/>
      <c r="K1270" s="28"/>
      <c r="L1270" s="28"/>
      <c r="M1270" s="28">
        <f>SUM(M1271:M1273)</f>
        <v>0</v>
      </c>
      <c r="N1270" s="28"/>
      <c r="O1270" s="28">
        <f t="shared" ref="O1270:AC1270" si="792">SUM(O1271:O1273)</f>
        <v>0</v>
      </c>
      <c r="P1270" s="28">
        <f t="shared" si="792"/>
        <v>0</v>
      </c>
      <c r="Q1270" s="28">
        <f t="shared" si="792"/>
        <v>0</v>
      </c>
      <c r="R1270" s="28">
        <f t="shared" si="792"/>
        <v>0</v>
      </c>
      <c r="S1270" s="28">
        <f t="shared" si="792"/>
        <v>0</v>
      </c>
      <c r="T1270" s="28"/>
      <c r="U1270" s="28">
        <f t="shared" si="792"/>
        <v>0</v>
      </c>
      <c r="V1270" s="28"/>
      <c r="W1270" s="28">
        <f t="shared" si="792"/>
        <v>0</v>
      </c>
      <c r="X1270" s="28"/>
      <c r="Y1270" s="28">
        <f t="shared" si="792"/>
        <v>0</v>
      </c>
      <c r="Z1270" s="28">
        <f t="shared" si="792"/>
        <v>0</v>
      </c>
      <c r="AA1270" s="28"/>
      <c r="AB1270" s="28">
        <f t="shared" si="792"/>
        <v>0</v>
      </c>
      <c r="AC1270" s="28">
        <f t="shared" si="792"/>
        <v>0</v>
      </c>
      <c r="AD1270" s="28"/>
      <c r="AE1270" s="28"/>
    </row>
    <row r="1271" spans="1:31" s="1" customFormat="1" ht="10.5" x14ac:dyDescent="0.25">
      <c r="A1271" s="21"/>
      <c r="B1271" s="22"/>
      <c r="C1271" s="22"/>
      <c r="D1271" s="65"/>
      <c r="E1271" s="24"/>
      <c r="F1271" s="24"/>
      <c r="G1271" s="24"/>
      <c r="H1271" s="24"/>
      <c r="I1271" s="24"/>
      <c r="J1271" s="24"/>
      <c r="K1271" s="24"/>
      <c r="L1271" s="24"/>
      <c r="M1271" s="24"/>
      <c r="N1271" s="24"/>
      <c r="O1271" s="24"/>
      <c r="P1271" s="24"/>
      <c r="Q1271" s="24"/>
      <c r="R1271" s="24"/>
      <c r="S1271" s="24"/>
      <c r="T1271" s="24"/>
      <c r="U1271" s="24"/>
      <c r="V1271" s="24"/>
      <c r="W1271" s="24"/>
      <c r="X1271" s="24"/>
      <c r="Y1271" s="24"/>
      <c r="Z1271" s="24"/>
      <c r="AA1271" s="24"/>
      <c r="AB1271" s="24"/>
      <c r="AC1271" s="24"/>
      <c r="AD1271" s="24"/>
      <c r="AE1271" s="24"/>
    </row>
    <row r="1272" spans="1:31" s="1" customFormat="1" ht="10.5" x14ac:dyDescent="0.25">
      <c r="A1272" s="21"/>
      <c r="B1272" s="22"/>
      <c r="C1272" s="22"/>
      <c r="D1272" s="65"/>
      <c r="E1272" s="24"/>
      <c r="F1272" s="24"/>
      <c r="G1272" s="24"/>
      <c r="H1272" s="24"/>
      <c r="I1272" s="24"/>
      <c r="J1272" s="24"/>
      <c r="K1272" s="24"/>
      <c r="L1272" s="24"/>
      <c r="M1272" s="24"/>
      <c r="N1272" s="24"/>
      <c r="O1272" s="24"/>
      <c r="P1272" s="24"/>
      <c r="Q1272" s="24"/>
      <c r="R1272" s="24"/>
      <c r="S1272" s="24"/>
      <c r="T1272" s="24"/>
      <c r="U1272" s="24"/>
      <c r="V1272" s="24"/>
      <c r="W1272" s="24"/>
      <c r="X1272" s="24"/>
      <c r="Y1272" s="24"/>
      <c r="Z1272" s="24"/>
      <c r="AA1272" s="24"/>
      <c r="AB1272" s="24"/>
      <c r="AC1272" s="24"/>
      <c r="AD1272" s="24"/>
      <c r="AE1272" s="24"/>
    </row>
    <row r="1273" spans="1:31" s="1" customFormat="1" ht="10.5" x14ac:dyDescent="0.25">
      <c r="A1273" s="21"/>
      <c r="B1273" s="22"/>
      <c r="C1273" s="22"/>
      <c r="D1273" s="65"/>
      <c r="E1273" s="24"/>
      <c r="F1273" s="24"/>
      <c r="G1273" s="24"/>
      <c r="H1273" s="24"/>
      <c r="I1273" s="24"/>
      <c r="J1273" s="24"/>
      <c r="K1273" s="24"/>
      <c r="L1273" s="24"/>
      <c r="M1273" s="24"/>
      <c r="N1273" s="24"/>
      <c r="O1273" s="24"/>
      <c r="P1273" s="24"/>
      <c r="Q1273" s="24"/>
      <c r="R1273" s="24"/>
      <c r="S1273" s="24"/>
      <c r="T1273" s="24"/>
      <c r="U1273" s="24"/>
      <c r="V1273" s="24"/>
      <c r="W1273" s="24"/>
      <c r="X1273" s="24"/>
      <c r="Y1273" s="24"/>
      <c r="Z1273" s="24"/>
      <c r="AA1273" s="24"/>
      <c r="AB1273" s="24"/>
      <c r="AC1273" s="24"/>
      <c r="AD1273" s="24"/>
      <c r="AE1273" s="24"/>
    </row>
    <row r="1274" spans="1:31" s="1" customFormat="1" ht="10.5" x14ac:dyDescent="0.25">
      <c r="A1274" s="25"/>
      <c r="B1274" s="26" t="s">
        <v>1479</v>
      </c>
      <c r="C1274" s="26"/>
      <c r="D1274" s="64" t="s">
        <v>1480</v>
      </c>
      <c r="E1274" s="28"/>
      <c r="F1274" s="28"/>
      <c r="G1274" s="28"/>
      <c r="H1274" s="28"/>
      <c r="I1274" s="28"/>
      <c r="J1274" s="28"/>
      <c r="K1274" s="28"/>
      <c r="L1274" s="28"/>
      <c r="M1274" s="28">
        <f>SUM(M1275:M1277)</f>
        <v>0</v>
      </c>
      <c r="N1274" s="28"/>
      <c r="O1274" s="28">
        <f t="shared" ref="O1274:AC1274" si="793">SUM(O1275:O1277)</f>
        <v>0</v>
      </c>
      <c r="P1274" s="28">
        <f t="shared" si="793"/>
        <v>0</v>
      </c>
      <c r="Q1274" s="28">
        <f t="shared" si="793"/>
        <v>0</v>
      </c>
      <c r="R1274" s="28">
        <f t="shared" si="793"/>
        <v>0</v>
      </c>
      <c r="S1274" s="28">
        <f t="shared" si="793"/>
        <v>0</v>
      </c>
      <c r="T1274" s="28"/>
      <c r="U1274" s="28">
        <f t="shared" si="793"/>
        <v>0</v>
      </c>
      <c r="V1274" s="28"/>
      <c r="W1274" s="28">
        <f t="shared" si="793"/>
        <v>0</v>
      </c>
      <c r="X1274" s="28"/>
      <c r="Y1274" s="28">
        <f t="shared" si="793"/>
        <v>0</v>
      </c>
      <c r="Z1274" s="28">
        <f t="shared" si="793"/>
        <v>0</v>
      </c>
      <c r="AA1274" s="28"/>
      <c r="AB1274" s="28">
        <f t="shared" si="793"/>
        <v>0</v>
      </c>
      <c r="AC1274" s="28">
        <f t="shared" si="793"/>
        <v>0</v>
      </c>
      <c r="AD1274" s="28"/>
      <c r="AE1274" s="28"/>
    </row>
    <row r="1275" spans="1:31" s="1" customFormat="1" ht="10.5" x14ac:dyDescent="0.25">
      <c r="A1275" s="21"/>
      <c r="B1275" s="22"/>
      <c r="C1275" s="22"/>
      <c r="D1275" s="65"/>
      <c r="E1275" s="24"/>
      <c r="F1275" s="24"/>
      <c r="G1275" s="24"/>
      <c r="H1275" s="24"/>
      <c r="I1275" s="24"/>
      <c r="J1275" s="24"/>
      <c r="K1275" s="24"/>
      <c r="L1275" s="24"/>
      <c r="M1275" s="24"/>
      <c r="N1275" s="24"/>
      <c r="O1275" s="24"/>
      <c r="P1275" s="24"/>
      <c r="Q1275" s="24"/>
      <c r="R1275" s="24"/>
      <c r="S1275" s="24"/>
      <c r="T1275" s="24"/>
      <c r="U1275" s="24"/>
      <c r="V1275" s="24"/>
      <c r="W1275" s="24"/>
      <c r="X1275" s="24"/>
      <c r="Y1275" s="24"/>
      <c r="Z1275" s="24"/>
      <c r="AA1275" s="24"/>
      <c r="AB1275" s="24"/>
      <c r="AC1275" s="24"/>
      <c r="AD1275" s="24"/>
      <c r="AE1275" s="24"/>
    </row>
    <row r="1276" spans="1:31" s="1" customFormat="1" ht="10.5" x14ac:dyDescent="0.25">
      <c r="A1276" s="21"/>
      <c r="B1276" s="22"/>
      <c r="C1276" s="22"/>
      <c r="D1276" s="65"/>
      <c r="E1276" s="24"/>
      <c r="F1276" s="24"/>
      <c r="G1276" s="24"/>
      <c r="H1276" s="24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  <c r="S1276" s="24"/>
      <c r="T1276" s="24"/>
      <c r="U1276" s="24"/>
      <c r="V1276" s="24"/>
      <c r="W1276" s="24"/>
      <c r="X1276" s="24"/>
      <c r="Y1276" s="24"/>
      <c r="Z1276" s="24"/>
      <c r="AA1276" s="24"/>
      <c r="AB1276" s="24"/>
      <c r="AC1276" s="24"/>
      <c r="AD1276" s="24"/>
      <c r="AE1276" s="24"/>
    </row>
    <row r="1277" spans="1:31" s="1" customFormat="1" ht="10.5" x14ac:dyDescent="0.25">
      <c r="A1277" s="21"/>
      <c r="B1277" s="22"/>
      <c r="C1277" s="22"/>
      <c r="D1277" s="65"/>
      <c r="E1277" s="24"/>
      <c r="F1277" s="24"/>
      <c r="G1277" s="24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  <c r="S1277" s="24"/>
      <c r="T1277" s="24"/>
      <c r="U1277" s="24"/>
      <c r="V1277" s="24"/>
      <c r="W1277" s="24"/>
      <c r="X1277" s="24"/>
      <c r="Y1277" s="24"/>
      <c r="Z1277" s="24"/>
      <c r="AA1277" s="24"/>
      <c r="AB1277" s="24"/>
      <c r="AC1277" s="24"/>
      <c r="AD1277" s="24"/>
      <c r="AE1277" s="24"/>
    </row>
    <row r="1278" spans="1:31" s="1" customFormat="1" ht="10.5" x14ac:dyDescent="0.25">
      <c r="A1278" s="25"/>
      <c r="B1278" s="26" t="s">
        <v>1481</v>
      </c>
      <c r="C1278" s="26"/>
      <c r="D1278" s="64" t="s">
        <v>1482</v>
      </c>
      <c r="E1278" s="28"/>
      <c r="F1278" s="28"/>
      <c r="G1278" s="28"/>
      <c r="H1278" s="28"/>
      <c r="I1278" s="28"/>
      <c r="J1278" s="28"/>
      <c r="K1278" s="28"/>
      <c r="L1278" s="28"/>
      <c r="M1278" s="28">
        <f>SUM(M1279:M1281)</f>
        <v>0</v>
      </c>
      <c r="N1278" s="28"/>
      <c r="O1278" s="28">
        <f t="shared" ref="O1278:AC1278" si="794">SUM(O1279:O1281)</f>
        <v>0</v>
      </c>
      <c r="P1278" s="28">
        <f t="shared" si="794"/>
        <v>0</v>
      </c>
      <c r="Q1278" s="28">
        <f t="shared" si="794"/>
        <v>0</v>
      </c>
      <c r="R1278" s="28">
        <f t="shared" si="794"/>
        <v>0</v>
      </c>
      <c r="S1278" s="28">
        <f t="shared" si="794"/>
        <v>0</v>
      </c>
      <c r="T1278" s="28"/>
      <c r="U1278" s="28">
        <f t="shared" si="794"/>
        <v>0</v>
      </c>
      <c r="V1278" s="28"/>
      <c r="W1278" s="28">
        <f t="shared" si="794"/>
        <v>0</v>
      </c>
      <c r="X1278" s="28"/>
      <c r="Y1278" s="28">
        <f t="shared" si="794"/>
        <v>0</v>
      </c>
      <c r="Z1278" s="28">
        <f t="shared" si="794"/>
        <v>0</v>
      </c>
      <c r="AA1278" s="28"/>
      <c r="AB1278" s="28">
        <f t="shared" si="794"/>
        <v>0</v>
      </c>
      <c r="AC1278" s="28">
        <f t="shared" si="794"/>
        <v>0</v>
      </c>
      <c r="AD1278" s="28"/>
      <c r="AE1278" s="28"/>
    </row>
    <row r="1279" spans="1:31" s="1" customFormat="1" ht="10.5" x14ac:dyDescent="0.25">
      <c r="A1279" s="21"/>
      <c r="B1279" s="22"/>
      <c r="C1279" s="22"/>
      <c r="D1279" s="65"/>
      <c r="E1279" s="24"/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  <c r="S1279" s="24"/>
      <c r="T1279" s="24"/>
      <c r="U1279" s="24"/>
      <c r="V1279" s="24"/>
      <c r="W1279" s="24"/>
      <c r="X1279" s="24"/>
      <c r="Y1279" s="24"/>
      <c r="Z1279" s="24"/>
      <c r="AA1279" s="24"/>
      <c r="AB1279" s="24"/>
      <c r="AC1279" s="24"/>
      <c r="AD1279" s="24"/>
      <c r="AE1279" s="24"/>
    </row>
    <row r="1280" spans="1:31" s="1" customFormat="1" ht="10.5" x14ac:dyDescent="0.25">
      <c r="A1280" s="21"/>
      <c r="B1280" s="22"/>
      <c r="C1280" s="22"/>
      <c r="D1280" s="65"/>
      <c r="E1280" s="24"/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  <c r="S1280" s="24"/>
      <c r="T1280" s="24"/>
      <c r="U1280" s="24"/>
      <c r="V1280" s="24"/>
      <c r="W1280" s="24"/>
      <c r="X1280" s="24"/>
      <c r="Y1280" s="24"/>
      <c r="Z1280" s="24"/>
      <c r="AA1280" s="24"/>
      <c r="AB1280" s="24"/>
      <c r="AC1280" s="24"/>
      <c r="AD1280" s="24"/>
      <c r="AE1280" s="24"/>
    </row>
    <row r="1281" spans="1:31" s="1" customFormat="1" ht="10.5" x14ac:dyDescent="0.25">
      <c r="A1281" s="21"/>
      <c r="B1281" s="22"/>
      <c r="C1281" s="22"/>
      <c r="D1281" s="65"/>
      <c r="E1281" s="24"/>
      <c r="F1281" s="24"/>
      <c r="G1281" s="24"/>
      <c r="H1281" s="24"/>
      <c r="I1281" s="24"/>
      <c r="J1281" s="24"/>
      <c r="K1281" s="24"/>
      <c r="L1281" s="24"/>
      <c r="M1281" s="24"/>
      <c r="N1281" s="24"/>
      <c r="O1281" s="24"/>
      <c r="P1281" s="24"/>
      <c r="Q1281" s="24"/>
      <c r="R1281" s="24"/>
      <c r="S1281" s="24"/>
      <c r="T1281" s="24"/>
      <c r="U1281" s="24"/>
      <c r="V1281" s="24"/>
      <c r="W1281" s="24"/>
      <c r="X1281" s="24"/>
      <c r="Y1281" s="24"/>
      <c r="Z1281" s="24"/>
      <c r="AA1281" s="24"/>
      <c r="AB1281" s="24"/>
      <c r="AC1281" s="24"/>
      <c r="AD1281" s="24"/>
      <c r="AE1281" s="24"/>
    </row>
    <row r="1282" spans="1:31" s="1" customFormat="1" ht="10.5" x14ac:dyDescent="0.25">
      <c r="A1282" s="17"/>
      <c r="B1282" s="18" t="s">
        <v>1483</v>
      </c>
      <c r="C1282" s="18"/>
      <c r="D1282" s="84" t="s">
        <v>1484</v>
      </c>
      <c r="E1282" s="20"/>
      <c r="F1282" s="20"/>
      <c r="G1282" s="20"/>
      <c r="H1282" s="20"/>
      <c r="I1282" s="20"/>
      <c r="J1282" s="20"/>
      <c r="K1282" s="20"/>
      <c r="L1282" s="20"/>
      <c r="M1282" s="20">
        <f>M1283+M1287+M1291</f>
        <v>0</v>
      </c>
      <c r="N1282" s="20"/>
      <c r="O1282" s="20">
        <f t="shared" ref="O1282:AC1282" si="795">O1283+O1287+O1291</f>
        <v>0</v>
      </c>
      <c r="P1282" s="20">
        <f t="shared" si="795"/>
        <v>0</v>
      </c>
      <c r="Q1282" s="20">
        <f t="shared" si="795"/>
        <v>0</v>
      </c>
      <c r="R1282" s="20">
        <f t="shared" si="795"/>
        <v>0</v>
      </c>
      <c r="S1282" s="20">
        <f t="shared" si="795"/>
        <v>0</v>
      </c>
      <c r="T1282" s="20"/>
      <c r="U1282" s="20">
        <f t="shared" si="795"/>
        <v>0</v>
      </c>
      <c r="V1282" s="20"/>
      <c r="W1282" s="20">
        <f t="shared" si="795"/>
        <v>0</v>
      </c>
      <c r="X1282" s="20"/>
      <c r="Y1282" s="20">
        <f t="shared" si="795"/>
        <v>0</v>
      </c>
      <c r="Z1282" s="20">
        <f t="shared" si="795"/>
        <v>0</v>
      </c>
      <c r="AA1282" s="20"/>
      <c r="AB1282" s="20">
        <f t="shared" si="795"/>
        <v>0</v>
      </c>
      <c r="AC1282" s="20">
        <f t="shared" si="795"/>
        <v>0</v>
      </c>
      <c r="AD1282" s="20"/>
      <c r="AE1282" s="20"/>
    </row>
    <row r="1283" spans="1:31" s="1" customFormat="1" ht="10.5" x14ac:dyDescent="0.25">
      <c r="A1283" s="25"/>
      <c r="B1283" s="26" t="s">
        <v>1485</v>
      </c>
      <c r="C1283" s="26"/>
      <c r="D1283" s="64" t="s">
        <v>1486</v>
      </c>
      <c r="E1283" s="28"/>
      <c r="F1283" s="28"/>
      <c r="G1283" s="28"/>
      <c r="H1283" s="28"/>
      <c r="I1283" s="28"/>
      <c r="J1283" s="28"/>
      <c r="K1283" s="28"/>
      <c r="L1283" s="28"/>
      <c r="M1283" s="28">
        <f>SUM(M1284:M1286)</f>
        <v>0</v>
      </c>
      <c r="N1283" s="28"/>
      <c r="O1283" s="28">
        <f t="shared" ref="O1283:AC1283" si="796">SUM(O1284:O1286)</f>
        <v>0</v>
      </c>
      <c r="P1283" s="28">
        <f t="shared" si="796"/>
        <v>0</v>
      </c>
      <c r="Q1283" s="28">
        <f t="shared" si="796"/>
        <v>0</v>
      </c>
      <c r="R1283" s="28">
        <f t="shared" si="796"/>
        <v>0</v>
      </c>
      <c r="S1283" s="28">
        <f t="shared" si="796"/>
        <v>0</v>
      </c>
      <c r="T1283" s="28"/>
      <c r="U1283" s="28">
        <f t="shared" si="796"/>
        <v>0</v>
      </c>
      <c r="V1283" s="28"/>
      <c r="W1283" s="28">
        <f t="shared" si="796"/>
        <v>0</v>
      </c>
      <c r="X1283" s="28"/>
      <c r="Y1283" s="28">
        <f t="shared" si="796"/>
        <v>0</v>
      </c>
      <c r="Z1283" s="28">
        <f t="shared" si="796"/>
        <v>0</v>
      </c>
      <c r="AA1283" s="28"/>
      <c r="AB1283" s="28">
        <f t="shared" si="796"/>
        <v>0</v>
      </c>
      <c r="AC1283" s="28">
        <f t="shared" si="796"/>
        <v>0</v>
      </c>
      <c r="AD1283" s="28"/>
      <c r="AE1283" s="28"/>
    </row>
    <row r="1284" spans="1:31" s="1" customFormat="1" ht="10.5" x14ac:dyDescent="0.25">
      <c r="A1284" s="21"/>
      <c r="B1284" s="22"/>
      <c r="C1284" s="22"/>
      <c r="D1284" s="65"/>
      <c r="E1284" s="24"/>
      <c r="F1284" s="24"/>
      <c r="G1284" s="24"/>
      <c r="H1284" s="24"/>
      <c r="I1284" s="24"/>
      <c r="J1284" s="24"/>
      <c r="K1284" s="24"/>
      <c r="L1284" s="24"/>
      <c r="M1284" s="24"/>
      <c r="N1284" s="24"/>
      <c r="O1284" s="24"/>
      <c r="P1284" s="24"/>
      <c r="Q1284" s="24"/>
      <c r="R1284" s="24"/>
      <c r="S1284" s="24"/>
      <c r="T1284" s="24"/>
      <c r="U1284" s="24"/>
      <c r="V1284" s="24"/>
      <c r="W1284" s="24"/>
      <c r="X1284" s="24"/>
      <c r="Y1284" s="24"/>
      <c r="Z1284" s="24"/>
      <c r="AA1284" s="24"/>
      <c r="AB1284" s="24"/>
      <c r="AC1284" s="24"/>
      <c r="AD1284" s="24"/>
      <c r="AE1284" s="24"/>
    </row>
    <row r="1285" spans="1:31" s="1" customFormat="1" ht="10.5" x14ac:dyDescent="0.25">
      <c r="A1285" s="21"/>
      <c r="B1285" s="22"/>
      <c r="C1285" s="22"/>
      <c r="D1285" s="65"/>
      <c r="E1285" s="24"/>
      <c r="F1285" s="24"/>
      <c r="G1285" s="24"/>
      <c r="H1285" s="24"/>
      <c r="I1285" s="24"/>
      <c r="J1285" s="24"/>
      <c r="K1285" s="24"/>
      <c r="L1285" s="24"/>
      <c r="M1285" s="24"/>
      <c r="N1285" s="24"/>
      <c r="O1285" s="24"/>
      <c r="P1285" s="24"/>
      <c r="Q1285" s="24"/>
      <c r="R1285" s="24"/>
      <c r="S1285" s="24"/>
      <c r="T1285" s="24"/>
      <c r="U1285" s="24"/>
      <c r="V1285" s="24"/>
      <c r="W1285" s="24"/>
      <c r="X1285" s="24"/>
      <c r="Y1285" s="24"/>
      <c r="Z1285" s="24"/>
      <c r="AA1285" s="24"/>
      <c r="AB1285" s="24"/>
      <c r="AC1285" s="24"/>
      <c r="AD1285" s="24"/>
      <c r="AE1285" s="24"/>
    </row>
    <row r="1286" spans="1:31" s="1" customFormat="1" ht="10.5" x14ac:dyDescent="0.25">
      <c r="A1286" s="21"/>
      <c r="B1286" s="22"/>
      <c r="C1286" s="22"/>
      <c r="D1286" s="65"/>
      <c r="E1286" s="24"/>
      <c r="F1286" s="24"/>
      <c r="G1286" s="24"/>
      <c r="H1286" s="24"/>
      <c r="I1286" s="24"/>
      <c r="J1286" s="24"/>
      <c r="K1286" s="24"/>
      <c r="L1286" s="24"/>
      <c r="M1286" s="24"/>
      <c r="N1286" s="24"/>
      <c r="O1286" s="24"/>
      <c r="P1286" s="24"/>
      <c r="Q1286" s="24"/>
      <c r="R1286" s="24"/>
      <c r="S1286" s="24"/>
      <c r="T1286" s="24"/>
      <c r="U1286" s="24"/>
      <c r="V1286" s="24"/>
      <c r="W1286" s="24"/>
      <c r="X1286" s="24"/>
      <c r="Y1286" s="24"/>
      <c r="Z1286" s="24"/>
      <c r="AA1286" s="24"/>
      <c r="AB1286" s="24"/>
      <c r="AC1286" s="24"/>
      <c r="AD1286" s="24"/>
      <c r="AE1286" s="24"/>
    </row>
    <row r="1287" spans="1:31" s="1" customFormat="1" ht="10.5" x14ac:dyDescent="0.25">
      <c r="A1287" s="25"/>
      <c r="B1287" s="26" t="s">
        <v>1487</v>
      </c>
      <c r="C1287" s="26"/>
      <c r="D1287" s="64" t="s">
        <v>1488</v>
      </c>
      <c r="E1287" s="28"/>
      <c r="F1287" s="28"/>
      <c r="G1287" s="28"/>
      <c r="H1287" s="28"/>
      <c r="I1287" s="28"/>
      <c r="J1287" s="28"/>
      <c r="K1287" s="28"/>
      <c r="L1287" s="28"/>
      <c r="M1287" s="28">
        <f>SUM(M1288:M1290)</f>
        <v>0</v>
      </c>
      <c r="N1287" s="28"/>
      <c r="O1287" s="28">
        <f t="shared" ref="O1287:AC1287" si="797">SUM(O1288:O1290)</f>
        <v>0</v>
      </c>
      <c r="P1287" s="28">
        <f t="shared" si="797"/>
        <v>0</v>
      </c>
      <c r="Q1287" s="28">
        <f t="shared" si="797"/>
        <v>0</v>
      </c>
      <c r="R1287" s="28">
        <f t="shared" si="797"/>
        <v>0</v>
      </c>
      <c r="S1287" s="28">
        <f t="shared" si="797"/>
        <v>0</v>
      </c>
      <c r="T1287" s="28"/>
      <c r="U1287" s="28">
        <f t="shared" si="797"/>
        <v>0</v>
      </c>
      <c r="V1287" s="28"/>
      <c r="W1287" s="28">
        <f t="shared" si="797"/>
        <v>0</v>
      </c>
      <c r="X1287" s="28"/>
      <c r="Y1287" s="28">
        <f t="shared" si="797"/>
        <v>0</v>
      </c>
      <c r="Z1287" s="28">
        <f t="shared" si="797"/>
        <v>0</v>
      </c>
      <c r="AA1287" s="28"/>
      <c r="AB1287" s="28">
        <f t="shared" si="797"/>
        <v>0</v>
      </c>
      <c r="AC1287" s="28">
        <f t="shared" si="797"/>
        <v>0</v>
      </c>
      <c r="AD1287" s="28"/>
      <c r="AE1287" s="28"/>
    </row>
    <row r="1288" spans="1:31" s="1" customFormat="1" ht="10.5" x14ac:dyDescent="0.25">
      <c r="A1288" s="21"/>
      <c r="B1288" s="22"/>
      <c r="C1288" s="22"/>
      <c r="D1288" s="65"/>
      <c r="E1288" s="24"/>
      <c r="F1288" s="24"/>
      <c r="G1288" s="24"/>
      <c r="H1288" s="24"/>
      <c r="I1288" s="24"/>
      <c r="J1288" s="24"/>
      <c r="K1288" s="24"/>
      <c r="L1288" s="24"/>
      <c r="M1288" s="24"/>
      <c r="N1288" s="24"/>
      <c r="O1288" s="24"/>
      <c r="P1288" s="24"/>
      <c r="Q1288" s="24"/>
      <c r="R1288" s="24"/>
      <c r="S1288" s="24"/>
      <c r="T1288" s="24"/>
      <c r="U1288" s="24"/>
      <c r="V1288" s="24"/>
      <c r="W1288" s="24"/>
      <c r="X1288" s="24"/>
      <c r="Y1288" s="24"/>
      <c r="Z1288" s="24"/>
      <c r="AA1288" s="24"/>
      <c r="AB1288" s="24"/>
      <c r="AC1288" s="24"/>
      <c r="AD1288" s="24"/>
      <c r="AE1288" s="24"/>
    </row>
    <row r="1289" spans="1:31" s="1" customFormat="1" ht="10.5" x14ac:dyDescent="0.25">
      <c r="A1289" s="21"/>
      <c r="B1289" s="22"/>
      <c r="C1289" s="22"/>
      <c r="D1289" s="65"/>
      <c r="E1289" s="24"/>
      <c r="F1289" s="24"/>
      <c r="G1289" s="24"/>
      <c r="H1289" s="24"/>
      <c r="I1289" s="24"/>
      <c r="J1289" s="24"/>
      <c r="K1289" s="24"/>
      <c r="L1289" s="24"/>
      <c r="M1289" s="24"/>
      <c r="N1289" s="24"/>
      <c r="O1289" s="24"/>
      <c r="P1289" s="24"/>
      <c r="Q1289" s="24"/>
      <c r="R1289" s="24"/>
      <c r="S1289" s="24"/>
      <c r="T1289" s="24"/>
      <c r="U1289" s="24"/>
      <c r="V1289" s="24"/>
      <c r="W1289" s="24"/>
      <c r="X1289" s="24"/>
      <c r="Y1289" s="24"/>
      <c r="Z1289" s="24"/>
      <c r="AA1289" s="24"/>
      <c r="AB1289" s="24"/>
      <c r="AC1289" s="24"/>
      <c r="AD1289" s="24"/>
      <c r="AE1289" s="24"/>
    </row>
    <row r="1290" spans="1:31" s="1" customFormat="1" ht="10.5" x14ac:dyDescent="0.25">
      <c r="A1290" s="21"/>
      <c r="B1290" s="22"/>
      <c r="C1290" s="22"/>
      <c r="D1290" s="65"/>
      <c r="E1290" s="24"/>
      <c r="F1290" s="24"/>
      <c r="G1290" s="24"/>
      <c r="H1290" s="24"/>
      <c r="I1290" s="24"/>
      <c r="J1290" s="24"/>
      <c r="K1290" s="24"/>
      <c r="L1290" s="24"/>
      <c r="M1290" s="24"/>
      <c r="N1290" s="24"/>
      <c r="O1290" s="24"/>
      <c r="P1290" s="24"/>
      <c r="Q1290" s="24"/>
      <c r="R1290" s="24"/>
      <c r="S1290" s="24"/>
      <c r="T1290" s="24"/>
      <c r="U1290" s="24"/>
      <c r="V1290" s="24"/>
      <c r="W1290" s="24"/>
      <c r="X1290" s="24"/>
      <c r="Y1290" s="24"/>
      <c r="Z1290" s="24"/>
      <c r="AA1290" s="24"/>
      <c r="AB1290" s="24"/>
      <c r="AC1290" s="24"/>
      <c r="AD1290" s="24"/>
      <c r="AE1290" s="24"/>
    </row>
    <row r="1291" spans="1:31" s="1" customFormat="1" ht="10.5" x14ac:dyDescent="0.25">
      <c r="A1291" s="25"/>
      <c r="B1291" s="26" t="s">
        <v>1489</v>
      </c>
      <c r="C1291" s="26"/>
      <c r="D1291" s="64" t="s">
        <v>1490</v>
      </c>
      <c r="E1291" s="28"/>
      <c r="F1291" s="28"/>
      <c r="G1291" s="28"/>
      <c r="H1291" s="28"/>
      <c r="I1291" s="28"/>
      <c r="J1291" s="28"/>
      <c r="K1291" s="28"/>
      <c r="L1291" s="28"/>
      <c r="M1291" s="28">
        <f>SUM(M1292:M1294)</f>
        <v>0</v>
      </c>
      <c r="N1291" s="28"/>
      <c r="O1291" s="28">
        <f t="shared" ref="O1291:AC1291" si="798">SUM(O1292:O1294)</f>
        <v>0</v>
      </c>
      <c r="P1291" s="28">
        <f t="shared" si="798"/>
        <v>0</v>
      </c>
      <c r="Q1291" s="28">
        <f t="shared" si="798"/>
        <v>0</v>
      </c>
      <c r="R1291" s="28">
        <f t="shared" si="798"/>
        <v>0</v>
      </c>
      <c r="S1291" s="28">
        <f t="shared" si="798"/>
        <v>0</v>
      </c>
      <c r="T1291" s="28"/>
      <c r="U1291" s="28">
        <f t="shared" si="798"/>
        <v>0</v>
      </c>
      <c r="V1291" s="28"/>
      <c r="W1291" s="28">
        <f t="shared" si="798"/>
        <v>0</v>
      </c>
      <c r="X1291" s="28"/>
      <c r="Y1291" s="28">
        <f t="shared" si="798"/>
        <v>0</v>
      </c>
      <c r="Z1291" s="28">
        <f t="shared" si="798"/>
        <v>0</v>
      </c>
      <c r="AA1291" s="28"/>
      <c r="AB1291" s="28">
        <f t="shared" si="798"/>
        <v>0</v>
      </c>
      <c r="AC1291" s="28">
        <f t="shared" si="798"/>
        <v>0</v>
      </c>
      <c r="AD1291" s="28"/>
      <c r="AE1291" s="28"/>
    </row>
    <row r="1292" spans="1:31" s="1" customFormat="1" ht="10.5" x14ac:dyDescent="0.25">
      <c r="A1292" s="21"/>
      <c r="B1292" s="22"/>
      <c r="C1292" s="22"/>
      <c r="D1292" s="65"/>
      <c r="E1292" s="24"/>
      <c r="F1292" s="24"/>
      <c r="G1292" s="24"/>
      <c r="H1292" s="24"/>
      <c r="I1292" s="24"/>
      <c r="J1292" s="24"/>
      <c r="K1292" s="24"/>
      <c r="L1292" s="24"/>
      <c r="M1292" s="24"/>
      <c r="N1292" s="24"/>
      <c r="O1292" s="24"/>
      <c r="P1292" s="24"/>
      <c r="Q1292" s="24"/>
      <c r="R1292" s="24"/>
      <c r="S1292" s="24"/>
      <c r="T1292" s="24"/>
      <c r="U1292" s="24"/>
      <c r="V1292" s="24"/>
      <c r="W1292" s="24"/>
      <c r="X1292" s="24"/>
      <c r="Y1292" s="24"/>
      <c r="Z1292" s="24"/>
      <c r="AA1292" s="24"/>
      <c r="AB1292" s="24"/>
      <c r="AC1292" s="24"/>
      <c r="AD1292" s="24"/>
      <c r="AE1292" s="24"/>
    </row>
    <row r="1293" spans="1:31" s="1" customFormat="1" ht="10.5" x14ac:dyDescent="0.25">
      <c r="A1293" s="21"/>
      <c r="B1293" s="22"/>
      <c r="C1293" s="22"/>
      <c r="D1293" s="65"/>
      <c r="E1293" s="24"/>
      <c r="F1293" s="24"/>
      <c r="G1293" s="24"/>
      <c r="H1293" s="24"/>
      <c r="I1293" s="24"/>
      <c r="J1293" s="24"/>
      <c r="K1293" s="24"/>
      <c r="L1293" s="24"/>
      <c r="M1293" s="24"/>
      <c r="N1293" s="24"/>
      <c r="O1293" s="24"/>
      <c r="P1293" s="24"/>
      <c r="Q1293" s="24"/>
      <c r="R1293" s="24"/>
      <c r="S1293" s="24"/>
      <c r="T1293" s="24"/>
      <c r="U1293" s="24"/>
      <c r="V1293" s="24"/>
      <c r="W1293" s="24"/>
      <c r="X1293" s="24"/>
      <c r="Y1293" s="24"/>
      <c r="Z1293" s="24"/>
      <c r="AA1293" s="24"/>
      <c r="AB1293" s="24"/>
      <c r="AC1293" s="24"/>
      <c r="AD1293" s="24"/>
      <c r="AE1293" s="24"/>
    </row>
    <row r="1294" spans="1:31" s="1" customFormat="1" ht="10.5" x14ac:dyDescent="0.25">
      <c r="A1294" s="21"/>
      <c r="B1294" s="22"/>
      <c r="C1294" s="22"/>
      <c r="D1294" s="65"/>
      <c r="E1294" s="24"/>
      <c r="F1294" s="24"/>
      <c r="G1294" s="24"/>
      <c r="H1294" s="24"/>
      <c r="I1294" s="24"/>
      <c r="J1294" s="24"/>
      <c r="K1294" s="24"/>
      <c r="L1294" s="24"/>
      <c r="M1294" s="24"/>
      <c r="N1294" s="24"/>
      <c r="O1294" s="24"/>
      <c r="P1294" s="24"/>
      <c r="Q1294" s="24"/>
      <c r="R1294" s="24"/>
      <c r="S1294" s="24"/>
      <c r="T1294" s="24"/>
      <c r="U1294" s="24"/>
      <c r="V1294" s="24"/>
      <c r="W1294" s="24"/>
      <c r="X1294" s="24"/>
      <c r="Y1294" s="24"/>
      <c r="Z1294" s="24"/>
      <c r="AA1294" s="24"/>
      <c r="AB1294" s="24"/>
      <c r="AC1294" s="24"/>
      <c r="AD1294" s="24"/>
      <c r="AE1294" s="24"/>
    </row>
    <row r="1295" spans="1:31" s="1" customFormat="1" ht="10.5" x14ac:dyDescent="0.25">
      <c r="A1295" s="17"/>
      <c r="B1295" s="18" t="s">
        <v>1491</v>
      </c>
      <c r="C1295" s="18"/>
      <c r="D1295" s="84" t="s">
        <v>1492</v>
      </c>
      <c r="E1295" s="20"/>
      <c r="F1295" s="20"/>
      <c r="G1295" s="20"/>
      <c r="H1295" s="20"/>
      <c r="I1295" s="20"/>
      <c r="J1295" s="20"/>
      <c r="K1295" s="20"/>
      <c r="L1295" s="20"/>
      <c r="M1295" s="20">
        <f>M1296+M1300+M1304+M1308+M1312+M1316+M1320+M1324+M1328+M1332</f>
        <v>0</v>
      </c>
      <c r="N1295" s="20"/>
      <c r="O1295" s="20">
        <f t="shared" ref="O1295:AC1295" si="799">O1296+O1300+O1304+O1308+O1312+O1316+O1320+O1324+O1328+O1332</f>
        <v>0</v>
      </c>
      <c r="P1295" s="20">
        <f t="shared" si="799"/>
        <v>0</v>
      </c>
      <c r="Q1295" s="20">
        <f t="shared" si="799"/>
        <v>0</v>
      </c>
      <c r="R1295" s="20">
        <f t="shared" si="799"/>
        <v>0</v>
      </c>
      <c r="S1295" s="20">
        <f t="shared" si="799"/>
        <v>0</v>
      </c>
      <c r="T1295" s="20"/>
      <c r="U1295" s="20">
        <f t="shared" si="799"/>
        <v>0</v>
      </c>
      <c r="V1295" s="20"/>
      <c r="W1295" s="20">
        <f t="shared" si="799"/>
        <v>0</v>
      </c>
      <c r="X1295" s="20"/>
      <c r="Y1295" s="20">
        <f t="shared" si="799"/>
        <v>0</v>
      </c>
      <c r="Z1295" s="20">
        <f t="shared" si="799"/>
        <v>0</v>
      </c>
      <c r="AA1295" s="20"/>
      <c r="AB1295" s="20">
        <f t="shared" si="799"/>
        <v>0</v>
      </c>
      <c r="AC1295" s="20">
        <f t="shared" si="799"/>
        <v>0</v>
      </c>
      <c r="AD1295" s="20"/>
      <c r="AE1295" s="20"/>
    </row>
    <row r="1296" spans="1:31" s="1" customFormat="1" ht="10.5" x14ac:dyDescent="0.25">
      <c r="A1296" s="25"/>
      <c r="B1296" s="26" t="s">
        <v>1493</v>
      </c>
      <c r="C1296" s="26"/>
      <c r="D1296" s="64" t="s">
        <v>1494</v>
      </c>
      <c r="E1296" s="28"/>
      <c r="F1296" s="28"/>
      <c r="G1296" s="28"/>
      <c r="H1296" s="28"/>
      <c r="I1296" s="28"/>
      <c r="J1296" s="28"/>
      <c r="K1296" s="28"/>
      <c r="L1296" s="28"/>
      <c r="M1296" s="28">
        <f>SUM(M1297:M1299)</f>
        <v>0</v>
      </c>
      <c r="N1296" s="28"/>
      <c r="O1296" s="28">
        <f t="shared" ref="O1296:AC1296" si="800">SUM(O1297:O1299)</f>
        <v>0</v>
      </c>
      <c r="P1296" s="28">
        <f t="shared" si="800"/>
        <v>0</v>
      </c>
      <c r="Q1296" s="28">
        <f t="shared" si="800"/>
        <v>0</v>
      </c>
      <c r="R1296" s="28">
        <f t="shared" si="800"/>
        <v>0</v>
      </c>
      <c r="S1296" s="28">
        <f t="shared" si="800"/>
        <v>0</v>
      </c>
      <c r="T1296" s="28"/>
      <c r="U1296" s="28">
        <f t="shared" si="800"/>
        <v>0</v>
      </c>
      <c r="V1296" s="28"/>
      <c r="W1296" s="28">
        <f t="shared" si="800"/>
        <v>0</v>
      </c>
      <c r="X1296" s="28"/>
      <c r="Y1296" s="28">
        <f t="shared" si="800"/>
        <v>0</v>
      </c>
      <c r="Z1296" s="28">
        <f t="shared" si="800"/>
        <v>0</v>
      </c>
      <c r="AA1296" s="28"/>
      <c r="AB1296" s="28">
        <f t="shared" si="800"/>
        <v>0</v>
      </c>
      <c r="AC1296" s="28">
        <f t="shared" si="800"/>
        <v>0</v>
      </c>
      <c r="AD1296" s="28"/>
      <c r="AE1296" s="28"/>
    </row>
    <row r="1297" spans="1:31" s="1" customFormat="1" ht="10.5" x14ac:dyDescent="0.25">
      <c r="A1297" s="21"/>
      <c r="B1297" s="22"/>
      <c r="C1297" s="22"/>
      <c r="D1297" s="65"/>
      <c r="E1297" s="24"/>
      <c r="F1297" s="24"/>
      <c r="G1297" s="24"/>
      <c r="H1297" s="24"/>
      <c r="I1297" s="24"/>
      <c r="J1297" s="24"/>
      <c r="K1297" s="24"/>
      <c r="L1297" s="24"/>
      <c r="M1297" s="24"/>
      <c r="N1297" s="24"/>
      <c r="O1297" s="24"/>
      <c r="P1297" s="24"/>
      <c r="Q1297" s="24"/>
      <c r="R1297" s="24"/>
      <c r="S1297" s="24"/>
      <c r="T1297" s="24"/>
      <c r="U1297" s="24"/>
      <c r="V1297" s="24"/>
      <c r="W1297" s="24"/>
      <c r="X1297" s="24"/>
      <c r="Y1297" s="24"/>
      <c r="Z1297" s="24"/>
      <c r="AA1297" s="24"/>
      <c r="AB1297" s="24"/>
      <c r="AC1297" s="24"/>
      <c r="AD1297" s="24"/>
      <c r="AE1297" s="24"/>
    </row>
    <row r="1298" spans="1:31" s="1" customFormat="1" ht="10.5" x14ac:dyDescent="0.25">
      <c r="A1298" s="21"/>
      <c r="B1298" s="22"/>
      <c r="C1298" s="22"/>
      <c r="D1298" s="65"/>
      <c r="E1298" s="24"/>
      <c r="F1298" s="24"/>
      <c r="G1298" s="24"/>
      <c r="H1298" s="24"/>
      <c r="I1298" s="24"/>
      <c r="J1298" s="24"/>
      <c r="K1298" s="24"/>
      <c r="L1298" s="24"/>
      <c r="M1298" s="24"/>
      <c r="N1298" s="24"/>
      <c r="O1298" s="24"/>
      <c r="P1298" s="24"/>
      <c r="Q1298" s="24"/>
      <c r="R1298" s="24"/>
      <c r="S1298" s="24"/>
      <c r="T1298" s="24"/>
      <c r="U1298" s="24"/>
      <c r="V1298" s="24"/>
      <c r="W1298" s="24"/>
      <c r="X1298" s="24"/>
      <c r="Y1298" s="24"/>
      <c r="Z1298" s="24"/>
      <c r="AA1298" s="24"/>
      <c r="AB1298" s="24"/>
      <c r="AC1298" s="24"/>
      <c r="AD1298" s="24"/>
      <c r="AE1298" s="24"/>
    </row>
    <row r="1299" spans="1:31" s="1" customFormat="1" ht="10.5" x14ac:dyDescent="0.25">
      <c r="A1299" s="21"/>
      <c r="B1299" s="22"/>
      <c r="C1299" s="22"/>
      <c r="D1299" s="65"/>
      <c r="E1299" s="24"/>
      <c r="F1299" s="24"/>
      <c r="G1299" s="24"/>
      <c r="H1299" s="24"/>
      <c r="I1299" s="24"/>
      <c r="J1299" s="24"/>
      <c r="K1299" s="24"/>
      <c r="L1299" s="24"/>
      <c r="M1299" s="24"/>
      <c r="N1299" s="24"/>
      <c r="O1299" s="24"/>
      <c r="P1299" s="24"/>
      <c r="Q1299" s="24"/>
      <c r="R1299" s="24"/>
      <c r="S1299" s="24"/>
      <c r="T1299" s="24"/>
      <c r="U1299" s="24"/>
      <c r="V1299" s="24"/>
      <c r="W1299" s="24"/>
      <c r="X1299" s="24"/>
      <c r="Y1299" s="24"/>
      <c r="Z1299" s="24"/>
      <c r="AA1299" s="24"/>
      <c r="AB1299" s="24"/>
      <c r="AC1299" s="24"/>
      <c r="AD1299" s="24"/>
      <c r="AE1299" s="24"/>
    </row>
    <row r="1300" spans="1:31" s="1" customFormat="1" ht="21" x14ac:dyDescent="0.25">
      <c r="A1300" s="25"/>
      <c r="B1300" s="26" t="s">
        <v>1495</v>
      </c>
      <c r="C1300" s="26"/>
      <c r="D1300" s="64" t="s">
        <v>1496</v>
      </c>
      <c r="E1300" s="28"/>
      <c r="F1300" s="28"/>
      <c r="G1300" s="28"/>
      <c r="H1300" s="28"/>
      <c r="I1300" s="28"/>
      <c r="J1300" s="28"/>
      <c r="K1300" s="28"/>
      <c r="L1300" s="28"/>
      <c r="M1300" s="28">
        <f>SUM(M1301:M1303)</f>
        <v>0</v>
      </c>
      <c r="N1300" s="28"/>
      <c r="O1300" s="28">
        <f t="shared" ref="O1300:AC1300" si="801">SUM(O1301:O1303)</f>
        <v>0</v>
      </c>
      <c r="P1300" s="28">
        <f t="shared" si="801"/>
        <v>0</v>
      </c>
      <c r="Q1300" s="28">
        <f t="shared" si="801"/>
        <v>0</v>
      </c>
      <c r="R1300" s="28">
        <f t="shared" si="801"/>
        <v>0</v>
      </c>
      <c r="S1300" s="28">
        <f t="shared" si="801"/>
        <v>0</v>
      </c>
      <c r="T1300" s="28"/>
      <c r="U1300" s="28">
        <f t="shared" si="801"/>
        <v>0</v>
      </c>
      <c r="V1300" s="28"/>
      <c r="W1300" s="28">
        <f t="shared" si="801"/>
        <v>0</v>
      </c>
      <c r="X1300" s="28"/>
      <c r="Y1300" s="28">
        <f t="shared" si="801"/>
        <v>0</v>
      </c>
      <c r="Z1300" s="28">
        <f t="shared" si="801"/>
        <v>0</v>
      </c>
      <c r="AA1300" s="28"/>
      <c r="AB1300" s="28">
        <f t="shared" si="801"/>
        <v>0</v>
      </c>
      <c r="AC1300" s="28">
        <f t="shared" si="801"/>
        <v>0</v>
      </c>
      <c r="AD1300" s="28"/>
      <c r="AE1300" s="28"/>
    </row>
    <row r="1301" spans="1:31" s="1" customFormat="1" ht="10.5" x14ac:dyDescent="0.25">
      <c r="A1301" s="21"/>
      <c r="B1301" s="22"/>
      <c r="C1301" s="22"/>
      <c r="D1301" s="65"/>
      <c r="E1301" s="24"/>
      <c r="F1301" s="24"/>
      <c r="G1301" s="24"/>
      <c r="H1301" s="24"/>
      <c r="I1301" s="24"/>
      <c r="J1301" s="24"/>
      <c r="K1301" s="24"/>
      <c r="L1301" s="24"/>
      <c r="M1301" s="24"/>
      <c r="N1301" s="24"/>
      <c r="O1301" s="24"/>
      <c r="P1301" s="24"/>
      <c r="Q1301" s="24"/>
      <c r="R1301" s="24"/>
      <c r="S1301" s="24"/>
      <c r="T1301" s="24"/>
      <c r="U1301" s="24"/>
      <c r="V1301" s="24"/>
      <c r="W1301" s="24"/>
      <c r="X1301" s="24"/>
      <c r="Y1301" s="24"/>
      <c r="Z1301" s="24"/>
      <c r="AA1301" s="24"/>
      <c r="AB1301" s="24"/>
      <c r="AC1301" s="24"/>
      <c r="AD1301" s="24"/>
      <c r="AE1301" s="24"/>
    </row>
    <row r="1302" spans="1:31" s="1" customFormat="1" ht="10.5" x14ac:dyDescent="0.25">
      <c r="A1302" s="21"/>
      <c r="B1302" s="22"/>
      <c r="C1302" s="22"/>
      <c r="D1302" s="65"/>
      <c r="E1302" s="24"/>
      <c r="F1302" s="24"/>
      <c r="G1302" s="24"/>
      <c r="H1302" s="24"/>
      <c r="I1302" s="24"/>
      <c r="J1302" s="24"/>
      <c r="K1302" s="24"/>
      <c r="L1302" s="24"/>
      <c r="M1302" s="24"/>
      <c r="N1302" s="24"/>
      <c r="O1302" s="24"/>
      <c r="P1302" s="24"/>
      <c r="Q1302" s="24"/>
      <c r="R1302" s="24"/>
      <c r="S1302" s="24"/>
      <c r="T1302" s="24"/>
      <c r="U1302" s="24"/>
      <c r="V1302" s="24"/>
      <c r="W1302" s="24"/>
      <c r="X1302" s="24"/>
      <c r="Y1302" s="24"/>
      <c r="Z1302" s="24"/>
      <c r="AA1302" s="24"/>
      <c r="AB1302" s="24"/>
      <c r="AC1302" s="24"/>
      <c r="AD1302" s="24"/>
      <c r="AE1302" s="24"/>
    </row>
    <row r="1303" spans="1:31" s="1" customFormat="1" ht="10.5" x14ac:dyDescent="0.25">
      <c r="A1303" s="21"/>
      <c r="B1303" s="22"/>
      <c r="C1303" s="22"/>
      <c r="D1303" s="65"/>
      <c r="E1303" s="24"/>
      <c r="F1303" s="24"/>
      <c r="G1303" s="24"/>
      <c r="H1303" s="24"/>
      <c r="I1303" s="24"/>
      <c r="J1303" s="24"/>
      <c r="K1303" s="24"/>
      <c r="L1303" s="24"/>
      <c r="M1303" s="24"/>
      <c r="N1303" s="24"/>
      <c r="O1303" s="24"/>
      <c r="P1303" s="24"/>
      <c r="Q1303" s="24"/>
      <c r="R1303" s="24"/>
      <c r="S1303" s="24"/>
      <c r="T1303" s="24"/>
      <c r="U1303" s="24"/>
      <c r="V1303" s="24"/>
      <c r="W1303" s="24"/>
      <c r="X1303" s="24"/>
      <c r="Y1303" s="24"/>
      <c r="Z1303" s="24"/>
      <c r="AA1303" s="24"/>
      <c r="AB1303" s="24"/>
      <c r="AC1303" s="24"/>
      <c r="AD1303" s="24"/>
      <c r="AE1303" s="24"/>
    </row>
    <row r="1304" spans="1:31" s="1" customFormat="1" ht="21" x14ac:dyDescent="0.25">
      <c r="A1304" s="25"/>
      <c r="B1304" s="26" t="s">
        <v>1497</v>
      </c>
      <c r="C1304" s="26"/>
      <c r="D1304" s="64" t="s">
        <v>1498</v>
      </c>
      <c r="E1304" s="28"/>
      <c r="F1304" s="28"/>
      <c r="G1304" s="28"/>
      <c r="H1304" s="28"/>
      <c r="I1304" s="28"/>
      <c r="J1304" s="28"/>
      <c r="K1304" s="28"/>
      <c r="L1304" s="28"/>
      <c r="M1304" s="28">
        <f>SUM(M1305:M1307)</f>
        <v>0</v>
      </c>
      <c r="N1304" s="28"/>
      <c r="O1304" s="28">
        <f t="shared" ref="O1304:AC1304" si="802">SUM(O1305:O1307)</f>
        <v>0</v>
      </c>
      <c r="P1304" s="28">
        <f t="shared" si="802"/>
        <v>0</v>
      </c>
      <c r="Q1304" s="28">
        <f t="shared" si="802"/>
        <v>0</v>
      </c>
      <c r="R1304" s="28">
        <f t="shared" si="802"/>
        <v>0</v>
      </c>
      <c r="S1304" s="28">
        <f t="shared" si="802"/>
        <v>0</v>
      </c>
      <c r="T1304" s="28"/>
      <c r="U1304" s="28">
        <f t="shared" si="802"/>
        <v>0</v>
      </c>
      <c r="V1304" s="28"/>
      <c r="W1304" s="28">
        <f t="shared" si="802"/>
        <v>0</v>
      </c>
      <c r="X1304" s="28"/>
      <c r="Y1304" s="28">
        <f t="shared" si="802"/>
        <v>0</v>
      </c>
      <c r="Z1304" s="28">
        <f t="shared" si="802"/>
        <v>0</v>
      </c>
      <c r="AA1304" s="28"/>
      <c r="AB1304" s="28">
        <f t="shared" si="802"/>
        <v>0</v>
      </c>
      <c r="AC1304" s="28">
        <f t="shared" si="802"/>
        <v>0</v>
      </c>
      <c r="AD1304" s="28"/>
      <c r="AE1304" s="28"/>
    </row>
    <row r="1305" spans="1:31" s="1" customFormat="1" ht="10.5" x14ac:dyDescent="0.25">
      <c r="A1305" s="21"/>
      <c r="B1305" s="22"/>
      <c r="C1305" s="22"/>
      <c r="D1305" s="65"/>
      <c r="E1305" s="24"/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4"/>
      <c r="R1305" s="24"/>
      <c r="S1305" s="24"/>
      <c r="T1305" s="24"/>
      <c r="U1305" s="24"/>
      <c r="V1305" s="24"/>
      <c r="W1305" s="24"/>
      <c r="X1305" s="24"/>
      <c r="Y1305" s="24"/>
      <c r="Z1305" s="24"/>
      <c r="AA1305" s="24"/>
      <c r="AB1305" s="24"/>
      <c r="AC1305" s="24"/>
      <c r="AD1305" s="24"/>
      <c r="AE1305" s="24"/>
    </row>
    <row r="1306" spans="1:31" s="1" customFormat="1" ht="10.5" x14ac:dyDescent="0.25">
      <c r="A1306" s="21"/>
      <c r="B1306" s="22"/>
      <c r="C1306" s="22"/>
      <c r="D1306" s="65"/>
      <c r="E1306" s="24"/>
      <c r="F1306" s="24"/>
      <c r="G1306" s="24"/>
      <c r="H1306" s="24"/>
      <c r="I1306" s="24"/>
      <c r="J1306" s="24"/>
      <c r="K1306" s="24"/>
      <c r="L1306" s="24"/>
      <c r="M1306" s="24"/>
      <c r="N1306" s="24"/>
      <c r="O1306" s="24"/>
      <c r="P1306" s="24"/>
      <c r="Q1306" s="24"/>
      <c r="R1306" s="24"/>
      <c r="S1306" s="24"/>
      <c r="T1306" s="24"/>
      <c r="U1306" s="24"/>
      <c r="V1306" s="24"/>
      <c r="W1306" s="24"/>
      <c r="X1306" s="24"/>
      <c r="Y1306" s="24"/>
      <c r="Z1306" s="24"/>
      <c r="AA1306" s="24"/>
      <c r="AB1306" s="24"/>
      <c r="AC1306" s="24"/>
      <c r="AD1306" s="24"/>
      <c r="AE1306" s="24"/>
    </row>
    <row r="1307" spans="1:31" s="1" customFormat="1" ht="10.5" x14ac:dyDescent="0.25">
      <c r="A1307" s="21"/>
      <c r="B1307" s="22"/>
      <c r="C1307" s="22"/>
      <c r="D1307" s="65"/>
      <c r="E1307" s="24"/>
      <c r="F1307" s="24"/>
      <c r="G1307" s="24"/>
      <c r="H1307" s="24"/>
      <c r="I1307" s="24"/>
      <c r="J1307" s="24"/>
      <c r="K1307" s="24"/>
      <c r="L1307" s="24"/>
      <c r="M1307" s="24"/>
      <c r="N1307" s="24"/>
      <c r="O1307" s="24"/>
      <c r="P1307" s="24"/>
      <c r="Q1307" s="24"/>
      <c r="R1307" s="24"/>
      <c r="S1307" s="24"/>
      <c r="T1307" s="24"/>
      <c r="U1307" s="24"/>
      <c r="V1307" s="24"/>
      <c r="W1307" s="24"/>
      <c r="X1307" s="24"/>
      <c r="Y1307" s="24"/>
      <c r="Z1307" s="24"/>
      <c r="AA1307" s="24"/>
      <c r="AB1307" s="24"/>
      <c r="AC1307" s="24"/>
      <c r="AD1307" s="24"/>
      <c r="AE1307" s="24"/>
    </row>
    <row r="1308" spans="1:31" s="1" customFormat="1" ht="21" x14ac:dyDescent="0.25">
      <c r="A1308" s="25"/>
      <c r="B1308" s="26" t="s">
        <v>1499</v>
      </c>
      <c r="C1308" s="26"/>
      <c r="D1308" s="64" t="s">
        <v>1500</v>
      </c>
      <c r="E1308" s="28"/>
      <c r="F1308" s="28"/>
      <c r="G1308" s="28"/>
      <c r="H1308" s="28"/>
      <c r="I1308" s="28"/>
      <c r="J1308" s="28"/>
      <c r="K1308" s="28"/>
      <c r="L1308" s="28"/>
      <c r="M1308" s="28">
        <f>SUM(M1309:M1311)</f>
        <v>0</v>
      </c>
      <c r="N1308" s="28"/>
      <c r="O1308" s="28">
        <f t="shared" ref="O1308:AC1308" si="803">SUM(O1309:O1311)</f>
        <v>0</v>
      </c>
      <c r="P1308" s="28">
        <f t="shared" si="803"/>
        <v>0</v>
      </c>
      <c r="Q1308" s="28">
        <f t="shared" si="803"/>
        <v>0</v>
      </c>
      <c r="R1308" s="28">
        <f t="shared" si="803"/>
        <v>0</v>
      </c>
      <c r="S1308" s="28">
        <f t="shared" si="803"/>
        <v>0</v>
      </c>
      <c r="T1308" s="28"/>
      <c r="U1308" s="28">
        <f t="shared" si="803"/>
        <v>0</v>
      </c>
      <c r="V1308" s="28"/>
      <c r="W1308" s="28">
        <f t="shared" si="803"/>
        <v>0</v>
      </c>
      <c r="X1308" s="28"/>
      <c r="Y1308" s="28">
        <f t="shared" si="803"/>
        <v>0</v>
      </c>
      <c r="Z1308" s="28">
        <f t="shared" si="803"/>
        <v>0</v>
      </c>
      <c r="AA1308" s="28"/>
      <c r="AB1308" s="28">
        <f t="shared" si="803"/>
        <v>0</v>
      </c>
      <c r="AC1308" s="28">
        <f t="shared" si="803"/>
        <v>0</v>
      </c>
      <c r="AD1308" s="28"/>
      <c r="AE1308" s="28"/>
    </row>
    <row r="1309" spans="1:31" s="1" customFormat="1" ht="10.5" x14ac:dyDescent="0.25">
      <c r="A1309" s="21"/>
      <c r="B1309" s="22"/>
      <c r="C1309" s="22"/>
      <c r="D1309" s="65"/>
      <c r="E1309" s="24"/>
      <c r="F1309" s="24"/>
      <c r="G1309" s="24"/>
      <c r="H1309" s="24"/>
      <c r="I1309" s="24"/>
      <c r="J1309" s="24"/>
      <c r="K1309" s="24"/>
      <c r="L1309" s="24"/>
      <c r="M1309" s="24"/>
      <c r="N1309" s="24"/>
      <c r="O1309" s="24"/>
      <c r="P1309" s="24"/>
      <c r="Q1309" s="24"/>
      <c r="R1309" s="24"/>
      <c r="S1309" s="24"/>
      <c r="T1309" s="24"/>
      <c r="U1309" s="24"/>
      <c r="V1309" s="24"/>
      <c r="W1309" s="24"/>
      <c r="X1309" s="24"/>
      <c r="Y1309" s="24"/>
      <c r="Z1309" s="24"/>
      <c r="AA1309" s="24"/>
      <c r="AB1309" s="24"/>
      <c r="AC1309" s="24"/>
      <c r="AD1309" s="24"/>
      <c r="AE1309" s="24"/>
    </row>
    <row r="1310" spans="1:31" s="1" customFormat="1" ht="10.5" x14ac:dyDescent="0.25">
      <c r="A1310" s="21"/>
      <c r="B1310" s="22"/>
      <c r="C1310" s="22"/>
      <c r="D1310" s="65"/>
      <c r="E1310" s="24"/>
      <c r="F1310" s="24"/>
      <c r="G1310" s="24"/>
      <c r="H1310" s="24"/>
      <c r="I1310" s="24"/>
      <c r="J1310" s="24"/>
      <c r="K1310" s="24"/>
      <c r="L1310" s="24"/>
      <c r="M1310" s="24"/>
      <c r="N1310" s="24"/>
      <c r="O1310" s="24"/>
      <c r="P1310" s="24"/>
      <c r="Q1310" s="24"/>
      <c r="R1310" s="24"/>
      <c r="S1310" s="24"/>
      <c r="T1310" s="24"/>
      <c r="U1310" s="24"/>
      <c r="V1310" s="24"/>
      <c r="W1310" s="24"/>
      <c r="X1310" s="24"/>
      <c r="Y1310" s="24"/>
      <c r="Z1310" s="24"/>
      <c r="AA1310" s="24"/>
      <c r="AB1310" s="24"/>
      <c r="AC1310" s="24"/>
      <c r="AD1310" s="24"/>
      <c r="AE1310" s="24"/>
    </row>
    <row r="1311" spans="1:31" s="1" customFormat="1" ht="10.5" x14ac:dyDescent="0.25">
      <c r="A1311" s="21"/>
      <c r="B1311" s="22"/>
      <c r="C1311" s="22"/>
      <c r="D1311" s="65"/>
      <c r="E1311" s="24"/>
      <c r="F1311" s="24"/>
      <c r="G1311" s="24"/>
      <c r="H1311" s="24"/>
      <c r="I1311" s="24"/>
      <c r="J1311" s="24"/>
      <c r="K1311" s="24"/>
      <c r="L1311" s="24"/>
      <c r="M1311" s="24"/>
      <c r="N1311" s="24"/>
      <c r="O1311" s="24"/>
      <c r="P1311" s="24"/>
      <c r="Q1311" s="24"/>
      <c r="R1311" s="24"/>
      <c r="S1311" s="24"/>
      <c r="T1311" s="24"/>
      <c r="U1311" s="24"/>
      <c r="V1311" s="24"/>
      <c r="W1311" s="24"/>
      <c r="X1311" s="24"/>
      <c r="Y1311" s="24"/>
      <c r="Z1311" s="24"/>
      <c r="AA1311" s="24"/>
      <c r="AB1311" s="24"/>
      <c r="AC1311" s="24"/>
      <c r="AD1311" s="24"/>
      <c r="AE1311" s="24"/>
    </row>
    <row r="1312" spans="1:31" s="1" customFormat="1" ht="21" x14ac:dyDescent="0.25">
      <c r="A1312" s="25"/>
      <c r="B1312" s="26" t="s">
        <v>1501</v>
      </c>
      <c r="C1312" s="26"/>
      <c r="D1312" s="64" t="s">
        <v>1502</v>
      </c>
      <c r="E1312" s="28"/>
      <c r="F1312" s="28"/>
      <c r="G1312" s="28"/>
      <c r="H1312" s="28"/>
      <c r="I1312" s="28"/>
      <c r="J1312" s="28"/>
      <c r="K1312" s="28"/>
      <c r="L1312" s="28"/>
      <c r="M1312" s="28">
        <f>SUM(M1313:M1315)</f>
        <v>0</v>
      </c>
      <c r="N1312" s="28"/>
      <c r="O1312" s="28">
        <f t="shared" ref="O1312:AC1312" si="804">SUM(O1313:O1315)</f>
        <v>0</v>
      </c>
      <c r="P1312" s="28">
        <f t="shared" si="804"/>
        <v>0</v>
      </c>
      <c r="Q1312" s="28">
        <f t="shared" si="804"/>
        <v>0</v>
      </c>
      <c r="R1312" s="28">
        <f t="shared" si="804"/>
        <v>0</v>
      </c>
      <c r="S1312" s="28">
        <f t="shared" si="804"/>
        <v>0</v>
      </c>
      <c r="T1312" s="28"/>
      <c r="U1312" s="28">
        <f t="shared" si="804"/>
        <v>0</v>
      </c>
      <c r="V1312" s="28"/>
      <c r="W1312" s="28">
        <f t="shared" si="804"/>
        <v>0</v>
      </c>
      <c r="X1312" s="28"/>
      <c r="Y1312" s="28">
        <f t="shared" si="804"/>
        <v>0</v>
      </c>
      <c r="Z1312" s="28">
        <f t="shared" si="804"/>
        <v>0</v>
      </c>
      <c r="AA1312" s="28"/>
      <c r="AB1312" s="28">
        <f t="shared" si="804"/>
        <v>0</v>
      </c>
      <c r="AC1312" s="28">
        <f t="shared" si="804"/>
        <v>0</v>
      </c>
      <c r="AD1312" s="28"/>
      <c r="AE1312" s="28"/>
    </row>
    <row r="1313" spans="1:31" s="1" customFormat="1" ht="10.5" x14ac:dyDescent="0.25">
      <c r="A1313" s="21"/>
      <c r="B1313" s="22"/>
      <c r="C1313" s="22"/>
      <c r="D1313" s="65"/>
      <c r="E1313" s="24"/>
      <c r="F1313" s="24"/>
      <c r="G1313" s="24"/>
      <c r="H1313" s="24"/>
      <c r="I1313" s="24"/>
      <c r="J1313" s="24"/>
      <c r="K1313" s="24"/>
      <c r="L1313" s="24"/>
      <c r="M1313" s="24"/>
      <c r="N1313" s="24"/>
      <c r="O1313" s="24"/>
      <c r="P1313" s="24"/>
      <c r="Q1313" s="24"/>
      <c r="R1313" s="24"/>
      <c r="S1313" s="24"/>
      <c r="T1313" s="24"/>
      <c r="U1313" s="24"/>
      <c r="V1313" s="24"/>
      <c r="W1313" s="24"/>
      <c r="X1313" s="24"/>
      <c r="Y1313" s="24"/>
      <c r="Z1313" s="24"/>
      <c r="AA1313" s="24"/>
      <c r="AB1313" s="24"/>
      <c r="AC1313" s="24"/>
      <c r="AD1313" s="24"/>
      <c r="AE1313" s="24"/>
    </row>
    <row r="1314" spans="1:31" s="1" customFormat="1" ht="10.5" x14ac:dyDescent="0.25">
      <c r="A1314" s="21"/>
      <c r="B1314" s="22"/>
      <c r="C1314" s="22"/>
      <c r="D1314" s="65"/>
      <c r="E1314" s="24"/>
      <c r="F1314" s="24"/>
      <c r="G1314" s="24"/>
      <c r="H1314" s="24"/>
      <c r="I1314" s="24"/>
      <c r="J1314" s="24"/>
      <c r="K1314" s="24"/>
      <c r="L1314" s="24"/>
      <c r="M1314" s="24"/>
      <c r="N1314" s="24"/>
      <c r="O1314" s="24"/>
      <c r="P1314" s="24"/>
      <c r="Q1314" s="24"/>
      <c r="R1314" s="24"/>
      <c r="S1314" s="24"/>
      <c r="T1314" s="24"/>
      <c r="U1314" s="24"/>
      <c r="V1314" s="24"/>
      <c r="W1314" s="24"/>
      <c r="X1314" s="24"/>
      <c r="Y1314" s="24"/>
      <c r="Z1314" s="24"/>
      <c r="AA1314" s="24"/>
      <c r="AB1314" s="24"/>
      <c r="AC1314" s="24"/>
      <c r="AD1314" s="24"/>
      <c r="AE1314" s="24"/>
    </row>
    <row r="1315" spans="1:31" s="1" customFormat="1" ht="10.5" x14ac:dyDescent="0.25">
      <c r="A1315" s="21"/>
      <c r="B1315" s="22"/>
      <c r="C1315" s="22"/>
      <c r="D1315" s="65"/>
      <c r="E1315" s="24"/>
      <c r="F1315" s="24"/>
      <c r="G1315" s="24"/>
      <c r="H1315" s="24"/>
      <c r="I1315" s="24"/>
      <c r="J1315" s="24"/>
      <c r="K1315" s="24"/>
      <c r="L1315" s="24"/>
      <c r="M1315" s="24"/>
      <c r="N1315" s="24"/>
      <c r="O1315" s="24"/>
      <c r="P1315" s="24"/>
      <c r="Q1315" s="24"/>
      <c r="R1315" s="24"/>
      <c r="S1315" s="24"/>
      <c r="T1315" s="24"/>
      <c r="U1315" s="24"/>
      <c r="V1315" s="24"/>
      <c r="W1315" s="24"/>
      <c r="X1315" s="24"/>
      <c r="Y1315" s="24"/>
      <c r="Z1315" s="24"/>
      <c r="AA1315" s="24"/>
      <c r="AB1315" s="24"/>
      <c r="AC1315" s="24"/>
      <c r="AD1315" s="24"/>
      <c r="AE1315" s="24"/>
    </row>
    <row r="1316" spans="1:31" s="1" customFormat="1" ht="10.5" x14ac:dyDescent="0.25">
      <c r="A1316" s="25"/>
      <c r="B1316" s="26" t="s">
        <v>1503</v>
      </c>
      <c r="C1316" s="26"/>
      <c r="D1316" s="64" t="s">
        <v>1504</v>
      </c>
      <c r="E1316" s="28"/>
      <c r="F1316" s="28"/>
      <c r="G1316" s="28"/>
      <c r="H1316" s="28"/>
      <c r="I1316" s="28"/>
      <c r="J1316" s="28"/>
      <c r="K1316" s="28"/>
      <c r="L1316" s="28"/>
      <c r="M1316" s="28">
        <f>SUM(M1317:M1319)</f>
        <v>0</v>
      </c>
      <c r="N1316" s="28"/>
      <c r="O1316" s="28">
        <f t="shared" ref="O1316:AC1316" si="805">SUM(O1317:O1319)</f>
        <v>0</v>
      </c>
      <c r="P1316" s="28">
        <f t="shared" si="805"/>
        <v>0</v>
      </c>
      <c r="Q1316" s="28">
        <f t="shared" si="805"/>
        <v>0</v>
      </c>
      <c r="R1316" s="28">
        <f t="shared" si="805"/>
        <v>0</v>
      </c>
      <c r="S1316" s="28">
        <f t="shared" si="805"/>
        <v>0</v>
      </c>
      <c r="T1316" s="28"/>
      <c r="U1316" s="28">
        <f t="shared" si="805"/>
        <v>0</v>
      </c>
      <c r="V1316" s="28"/>
      <c r="W1316" s="28">
        <f t="shared" si="805"/>
        <v>0</v>
      </c>
      <c r="X1316" s="28"/>
      <c r="Y1316" s="28">
        <f t="shared" si="805"/>
        <v>0</v>
      </c>
      <c r="Z1316" s="28">
        <f t="shared" si="805"/>
        <v>0</v>
      </c>
      <c r="AA1316" s="28"/>
      <c r="AB1316" s="28">
        <f t="shared" si="805"/>
        <v>0</v>
      </c>
      <c r="AC1316" s="28">
        <f t="shared" si="805"/>
        <v>0</v>
      </c>
      <c r="AD1316" s="28"/>
      <c r="AE1316" s="28"/>
    </row>
    <row r="1317" spans="1:31" s="1" customFormat="1" ht="10.5" x14ac:dyDescent="0.25">
      <c r="A1317" s="21"/>
      <c r="B1317" s="22"/>
      <c r="C1317" s="22"/>
      <c r="D1317" s="65"/>
      <c r="E1317" s="24"/>
      <c r="F1317" s="24"/>
      <c r="G1317" s="24"/>
      <c r="H1317" s="24"/>
      <c r="I1317" s="24"/>
      <c r="J1317" s="24"/>
      <c r="K1317" s="24"/>
      <c r="L1317" s="24"/>
      <c r="M1317" s="24"/>
      <c r="N1317" s="24"/>
      <c r="O1317" s="24"/>
      <c r="P1317" s="24"/>
      <c r="Q1317" s="24"/>
      <c r="R1317" s="24"/>
      <c r="S1317" s="24"/>
      <c r="T1317" s="24"/>
      <c r="U1317" s="24"/>
      <c r="V1317" s="24"/>
      <c r="W1317" s="24"/>
      <c r="X1317" s="24"/>
      <c r="Y1317" s="24"/>
      <c r="Z1317" s="24"/>
      <c r="AA1317" s="24"/>
      <c r="AB1317" s="24"/>
      <c r="AC1317" s="24"/>
      <c r="AD1317" s="24"/>
      <c r="AE1317" s="24"/>
    </row>
    <row r="1318" spans="1:31" s="1" customFormat="1" ht="10.5" x14ac:dyDescent="0.25">
      <c r="A1318" s="21"/>
      <c r="B1318" s="22"/>
      <c r="C1318" s="22"/>
      <c r="D1318" s="65"/>
      <c r="E1318" s="24"/>
      <c r="F1318" s="24"/>
      <c r="G1318" s="24"/>
      <c r="H1318" s="24"/>
      <c r="I1318" s="24"/>
      <c r="J1318" s="24"/>
      <c r="K1318" s="24"/>
      <c r="L1318" s="24"/>
      <c r="M1318" s="24"/>
      <c r="N1318" s="24"/>
      <c r="O1318" s="24"/>
      <c r="P1318" s="24"/>
      <c r="Q1318" s="24"/>
      <c r="R1318" s="24"/>
      <c r="S1318" s="24"/>
      <c r="T1318" s="24"/>
      <c r="U1318" s="24"/>
      <c r="V1318" s="24"/>
      <c r="W1318" s="24"/>
      <c r="X1318" s="24"/>
      <c r="Y1318" s="24"/>
      <c r="Z1318" s="24"/>
      <c r="AA1318" s="24"/>
      <c r="AB1318" s="24"/>
      <c r="AC1318" s="24"/>
      <c r="AD1318" s="24"/>
      <c r="AE1318" s="24"/>
    </row>
    <row r="1319" spans="1:31" s="1" customFormat="1" ht="10.5" x14ac:dyDescent="0.25">
      <c r="A1319" s="21"/>
      <c r="B1319" s="22"/>
      <c r="C1319" s="22"/>
      <c r="D1319" s="65"/>
      <c r="E1319" s="24"/>
      <c r="F1319" s="24"/>
      <c r="G1319" s="24"/>
      <c r="H1319" s="24"/>
      <c r="I1319" s="24"/>
      <c r="J1319" s="24"/>
      <c r="K1319" s="24"/>
      <c r="L1319" s="24"/>
      <c r="M1319" s="24"/>
      <c r="N1319" s="24"/>
      <c r="O1319" s="24"/>
      <c r="P1319" s="24"/>
      <c r="Q1319" s="24"/>
      <c r="R1319" s="24"/>
      <c r="S1319" s="24"/>
      <c r="T1319" s="24"/>
      <c r="U1319" s="24"/>
      <c r="V1319" s="24"/>
      <c r="W1319" s="24"/>
      <c r="X1319" s="24"/>
      <c r="Y1319" s="24"/>
      <c r="Z1319" s="24"/>
      <c r="AA1319" s="24"/>
      <c r="AB1319" s="24"/>
      <c r="AC1319" s="24"/>
      <c r="AD1319" s="24"/>
      <c r="AE1319" s="24"/>
    </row>
    <row r="1320" spans="1:31" s="1" customFormat="1" ht="21" x14ac:dyDescent="0.25">
      <c r="A1320" s="25"/>
      <c r="B1320" s="26" t="s">
        <v>1505</v>
      </c>
      <c r="C1320" s="26"/>
      <c r="D1320" s="64" t="s">
        <v>1506</v>
      </c>
      <c r="E1320" s="28"/>
      <c r="F1320" s="28"/>
      <c r="G1320" s="28"/>
      <c r="H1320" s="28"/>
      <c r="I1320" s="28"/>
      <c r="J1320" s="28"/>
      <c r="K1320" s="28"/>
      <c r="L1320" s="28"/>
      <c r="M1320" s="28">
        <f>SUM(M1321:M1323)</f>
        <v>0</v>
      </c>
      <c r="N1320" s="28"/>
      <c r="O1320" s="28">
        <f t="shared" ref="O1320:AC1320" si="806">SUM(O1321:O1323)</f>
        <v>0</v>
      </c>
      <c r="P1320" s="28">
        <f t="shared" si="806"/>
        <v>0</v>
      </c>
      <c r="Q1320" s="28">
        <f t="shared" si="806"/>
        <v>0</v>
      </c>
      <c r="R1320" s="28">
        <f t="shared" si="806"/>
        <v>0</v>
      </c>
      <c r="S1320" s="28">
        <f t="shared" si="806"/>
        <v>0</v>
      </c>
      <c r="T1320" s="28"/>
      <c r="U1320" s="28">
        <f t="shared" si="806"/>
        <v>0</v>
      </c>
      <c r="V1320" s="28"/>
      <c r="W1320" s="28">
        <f t="shared" si="806"/>
        <v>0</v>
      </c>
      <c r="X1320" s="28"/>
      <c r="Y1320" s="28">
        <f t="shared" si="806"/>
        <v>0</v>
      </c>
      <c r="Z1320" s="28">
        <f t="shared" si="806"/>
        <v>0</v>
      </c>
      <c r="AA1320" s="28"/>
      <c r="AB1320" s="28">
        <f t="shared" si="806"/>
        <v>0</v>
      </c>
      <c r="AC1320" s="28">
        <f t="shared" si="806"/>
        <v>0</v>
      </c>
      <c r="AD1320" s="28"/>
      <c r="AE1320" s="28"/>
    </row>
    <row r="1321" spans="1:31" s="1" customFormat="1" ht="10.5" x14ac:dyDescent="0.25">
      <c r="A1321" s="21"/>
      <c r="B1321" s="22"/>
      <c r="C1321" s="22"/>
      <c r="D1321" s="65"/>
      <c r="E1321" s="24"/>
      <c r="F1321" s="24"/>
      <c r="G1321" s="24"/>
      <c r="H1321" s="24"/>
      <c r="I1321" s="24"/>
      <c r="J1321" s="24"/>
      <c r="K1321" s="24"/>
      <c r="L1321" s="24"/>
      <c r="M1321" s="24"/>
      <c r="N1321" s="24"/>
      <c r="O1321" s="24"/>
      <c r="P1321" s="24"/>
      <c r="Q1321" s="24"/>
      <c r="R1321" s="24"/>
      <c r="S1321" s="24"/>
      <c r="T1321" s="24"/>
      <c r="U1321" s="24"/>
      <c r="V1321" s="24"/>
      <c r="W1321" s="24"/>
      <c r="X1321" s="24"/>
      <c r="Y1321" s="24"/>
      <c r="Z1321" s="24"/>
      <c r="AA1321" s="24"/>
      <c r="AB1321" s="24"/>
      <c r="AC1321" s="24"/>
      <c r="AD1321" s="24"/>
      <c r="AE1321" s="24"/>
    </row>
    <row r="1322" spans="1:31" s="1" customFormat="1" ht="10.5" x14ac:dyDescent="0.25">
      <c r="A1322" s="21"/>
      <c r="B1322" s="22"/>
      <c r="C1322" s="22"/>
      <c r="D1322" s="65"/>
      <c r="E1322" s="24"/>
      <c r="F1322" s="24"/>
      <c r="G1322" s="24"/>
      <c r="H1322" s="24"/>
      <c r="I1322" s="24"/>
      <c r="J1322" s="24"/>
      <c r="K1322" s="24"/>
      <c r="L1322" s="24"/>
      <c r="M1322" s="24"/>
      <c r="N1322" s="24"/>
      <c r="O1322" s="24"/>
      <c r="P1322" s="24"/>
      <c r="Q1322" s="24"/>
      <c r="R1322" s="24"/>
      <c r="S1322" s="24"/>
      <c r="T1322" s="24"/>
      <c r="U1322" s="24"/>
      <c r="V1322" s="24"/>
      <c r="W1322" s="24"/>
      <c r="X1322" s="24"/>
      <c r="Y1322" s="24"/>
      <c r="Z1322" s="24"/>
      <c r="AA1322" s="24"/>
      <c r="AB1322" s="24"/>
      <c r="AC1322" s="24"/>
      <c r="AD1322" s="24"/>
      <c r="AE1322" s="24"/>
    </row>
    <row r="1323" spans="1:31" s="1" customFormat="1" ht="10.5" x14ac:dyDescent="0.25">
      <c r="A1323" s="21"/>
      <c r="B1323" s="22"/>
      <c r="C1323" s="22"/>
      <c r="D1323" s="65"/>
      <c r="E1323" s="24"/>
      <c r="F1323" s="24"/>
      <c r="G1323" s="24"/>
      <c r="H1323" s="24"/>
      <c r="I1323" s="24"/>
      <c r="J1323" s="24"/>
      <c r="K1323" s="24"/>
      <c r="L1323" s="24"/>
      <c r="M1323" s="24"/>
      <c r="N1323" s="24"/>
      <c r="O1323" s="24"/>
      <c r="P1323" s="24"/>
      <c r="Q1323" s="24"/>
      <c r="R1323" s="24"/>
      <c r="S1323" s="24"/>
      <c r="T1323" s="24"/>
      <c r="U1323" s="24"/>
      <c r="V1323" s="24"/>
      <c r="W1323" s="24"/>
      <c r="X1323" s="24"/>
      <c r="Y1323" s="24"/>
      <c r="Z1323" s="24"/>
      <c r="AA1323" s="24"/>
      <c r="AB1323" s="24"/>
      <c r="AC1323" s="24"/>
      <c r="AD1323" s="24"/>
      <c r="AE1323" s="24"/>
    </row>
    <row r="1324" spans="1:31" s="1" customFormat="1" ht="21" x14ac:dyDescent="0.25">
      <c r="A1324" s="25"/>
      <c r="B1324" s="26" t="s">
        <v>1507</v>
      </c>
      <c r="C1324" s="26"/>
      <c r="D1324" s="64" t="s">
        <v>1508</v>
      </c>
      <c r="E1324" s="28"/>
      <c r="F1324" s="28"/>
      <c r="G1324" s="28"/>
      <c r="H1324" s="28"/>
      <c r="I1324" s="28"/>
      <c r="J1324" s="28"/>
      <c r="K1324" s="28"/>
      <c r="L1324" s="28"/>
      <c r="M1324" s="28">
        <f>SUM(M1325:M1327)</f>
        <v>0</v>
      </c>
      <c r="N1324" s="28"/>
      <c r="O1324" s="28">
        <f t="shared" ref="O1324:AC1324" si="807">SUM(O1325:O1327)</f>
        <v>0</v>
      </c>
      <c r="P1324" s="28">
        <f t="shared" si="807"/>
        <v>0</v>
      </c>
      <c r="Q1324" s="28">
        <f t="shared" si="807"/>
        <v>0</v>
      </c>
      <c r="R1324" s="28">
        <f t="shared" si="807"/>
        <v>0</v>
      </c>
      <c r="S1324" s="28">
        <f t="shared" si="807"/>
        <v>0</v>
      </c>
      <c r="T1324" s="28"/>
      <c r="U1324" s="28">
        <f t="shared" si="807"/>
        <v>0</v>
      </c>
      <c r="V1324" s="28"/>
      <c r="W1324" s="28">
        <f t="shared" si="807"/>
        <v>0</v>
      </c>
      <c r="X1324" s="28"/>
      <c r="Y1324" s="28">
        <f t="shared" si="807"/>
        <v>0</v>
      </c>
      <c r="Z1324" s="28">
        <f t="shared" si="807"/>
        <v>0</v>
      </c>
      <c r="AA1324" s="28"/>
      <c r="AB1324" s="28">
        <f t="shared" si="807"/>
        <v>0</v>
      </c>
      <c r="AC1324" s="28">
        <f t="shared" si="807"/>
        <v>0</v>
      </c>
      <c r="AD1324" s="28"/>
      <c r="AE1324" s="28"/>
    </row>
    <row r="1325" spans="1:31" s="1" customFormat="1" ht="10.5" x14ac:dyDescent="0.25">
      <c r="A1325" s="21"/>
      <c r="B1325" s="22"/>
      <c r="C1325" s="22"/>
      <c r="D1325" s="65"/>
      <c r="E1325" s="24"/>
      <c r="F1325" s="24"/>
      <c r="G1325" s="24"/>
      <c r="H1325" s="24"/>
      <c r="I1325" s="24"/>
      <c r="J1325" s="24"/>
      <c r="K1325" s="24"/>
      <c r="L1325" s="24"/>
      <c r="M1325" s="24"/>
      <c r="N1325" s="24"/>
      <c r="O1325" s="24"/>
      <c r="P1325" s="24"/>
      <c r="Q1325" s="24"/>
      <c r="R1325" s="24"/>
      <c r="S1325" s="24"/>
      <c r="T1325" s="24"/>
      <c r="U1325" s="24"/>
      <c r="V1325" s="24"/>
      <c r="W1325" s="24"/>
      <c r="X1325" s="24"/>
      <c r="Y1325" s="24"/>
      <c r="Z1325" s="24"/>
      <c r="AA1325" s="24"/>
      <c r="AB1325" s="24"/>
      <c r="AC1325" s="24"/>
      <c r="AD1325" s="24"/>
      <c r="AE1325" s="24"/>
    </row>
    <row r="1326" spans="1:31" s="1" customFormat="1" ht="10.5" x14ac:dyDescent="0.25">
      <c r="A1326" s="21"/>
      <c r="B1326" s="22"/>
      <c r="C1326" s="22"/>
      <c r="D1326" s="65"/>
      <c r="E1326" s="24"/>
      <c r="F1326" s="24"/>
      <c r="G1326" s="24"/>
      <c r="H1326" s="24"/>
      <c r="I1326" s="24"/>
      <c r="J1326" s="24"/>
      <c r="K1326" s="24"/>
      <c r="L1326" s="24"/>
      <c r="M1326" s="24"/>
      <c r="N1326" s="24"/>
      <c r="O1326" s="24"/>
      <c r="P1326" s="24"/>
      <c r="Q1326" s="24"/>
      <c r="R1326" s="24"/>
      <c r="S1326" s="24"/>
      <c r="T1326" s="24"/>
      <c r="U1326" s="24"/>
      <c r="V1326" s="24"/>
      <c r="W1326" s="24"/>
      <c r="X1326" s="24"/>
      <c r="Y1326" s="24"/>
      <c r="Z1326" s="24"/>
      <c r="AA1326" s="24"/>
      <c r="AB1326" s="24"/>
      <c r="AC1326" s="24"/>
      <c r="AD1326" s="24"/>
      <c r="AE1326" s="24"/>
    </row>
    <row r="1327" spans="1:31" s="1" customFormat="1" ht="10.5" x14ac:dyDescent="0.25">
      <c r="A1327" s="21"/>
      <c r="B1327" s="22"/>
      <c r="C1327" s="22"/>
      <c r="D1327" s="65"/>
      <c r="E1327" s="24"/>
      <c r="F1327" s="24"/>
      <c r="G1327" s="24"/>
      <c r="H1327" s="24"/>
      <c r="I1327" s="24"/>
      <c r="J1327" s="24"/>
      <c r="K1327" s="24"/>
      <c r="L1327" s="24"/>
      <c r="M1327" s="24"/>
      <c r="N1327" s="24"/>
      <c r="O1327" s="24"/>
      <c r="P1327" s="24"/>
      <c r="Q1327" s="24"/>
      <c r="R1327" s="24"/>
      <c r="S1327" s="24"/>
      <c r="T1327" s="24"/>
      <c r="U1327" s="24"/>
      <c r="V1327" s="24"/>
      <c r="W1327" s="24"/>
      <c r="X1327" s="24"/>
      <c r="Y1327" s="24"/>
      <c r="Z1327" s="24"/>
      <c r="AA1327" s="24"/>
      <c r="AB1327" s="24"/>
      <c r="AC1327" s="24"/>
      <c r="AD1327" s="24"/>
      <c r="AE1327" s="24"/>
    </row>
    <row r="1328" spans="1:31" s="1" customFormat="1" ht="31.5" x14ac:dyDescent="0.25">
      <c r="A1328" s="25"/>
      <c r="B1328" s="26" t="s">
        <v>1509</v>
      </c>
      <c r="C1328" s="26"/>
      <c r="D1328" s="64" t="s">
        <v>1510</v>
      </c>
      <c r="E1328" s="28"/>
      <c r="F1328" s="28"/>
      <c r="G1328" s="28"/>
      <c r="H1328" s="28"/>
      <c r="I1328" s="28"/>
      <c r="J1328" s="28"/>
      <c r="K1328" s="28"/>
      <c r="L1328" s="28"/>
      <c r="M1328" s="28">
        <f>SUM(M1329:M1331)</f>
        <v>0</v>
      </c>
      <c r="N1328" s="28"/>
      <c r="O1328" s="28">
        <f t="shared" ref="O1328:AC1328" si="808">SUM(O1329:O1331)</f>
        <v>0</v>
      </c>
      <c r="P1328" s="28">
        <f t="shared" si="808"/>
        <v>0</v>
      </c>
      <c r="Q1328" s="28">
        <f t="shared" si="808"/>
        <v>0</v>
      </c>
      <c r="R1328" s="28">
        <f t="shared" si="808"/>
        <v>0</v>
      </c>
      <c r="S1328" s="28">
        <f t="shared" si="808"/>
        <v>0</v>
      </c>
      <c r="T1328" s="28"/>
      <c r="U1328" s="28">
        <f t="shared" si="808"/>
        <v>0</v>
      </c>
      <c r="V1328" s="28"/>
      <c r="W1328" s="28">
        <f t="shared" si="808"/>
        <v>0</v>
      </c>
      <c r="X1328" s="28"/>
      <c r="Y1328" s="28">
        <f t="shared" si="808"/>
        <v>0</v>
      </c>
      <c r="Z1328" s="28">
        <f t="shared" si="808"/>
        <v>0</v>
      </c>
      <c r="AA1328" s="28"/>
      <c r="AB1328" s="28">
        <f t="shared" si="808"/>
        <v>0</v>
      </c>
      <c r="AC1328" s="28">
        <f t="shared" si="808"/>
        <v>0</v>
      </c>
      <c r="AD1328" s="28"/>
      <c r="AE1328" s="28"/>
    </row>
    <row r="1329" spans="1:31" s="1" customFormat="1" ht="10.5" x14ac:dyDescent="0.25">
      <c r="A1329" s="21"/>
      <c r="B1329" s="22"/>
      <c r="C1329" s="22"/>
      <c r="D1329" s="65"/>
      <c r="E1329" s="24"/>
      <c r="F1329" s="24"/>
      <c r="G1329" s="24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  <c r="S1329" s="24"/>
      <c r="T1329" s="24"/>
      <c r="U1329" s="24"/>
      <c r="V1329" s="24"/>
      <c r="W1329" s="24"/>
      <c r="X1329" s="24"/>
      <c r="Y1329" s="24"/>
      <c r="Z1329" s="24"/>
      <c r="AA1329" s="24"/>
      <c r="AB1329" s="24"/>
      <c r="AC1329" s="24"/>
      <c r="AD1329" s="24"/>
      <c r="AE1329" s="24"/>
    </row>
    <row r="1330" spans="1:31" s="1" customFormat="1" ht="10.5" x14ac:dyDescent="0.25">
      <c r="A1330" s="21"/>
      <c r="B1330" s="22"/>
      <c r="C1330" s="22"/>
      <c r="D1330" s="65"/>
      <c r="E1330" s="24"/>
      <c r="F1330" s="24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  <c r="S1330" s="24"/>
      <c r="T1330" s="24"/>
      <c r="U1330" s="24"/>
      <c r="V1330" s="24"/>
      <c r="W1330" s="24"/>
      <c r="X1330" s="24"/>
      <c r="Y1330" s="24"/>
      <c r="Z1330" s="24"/>
      <c r="AA1330" s="24"/>
      <c r="AB1330" s="24"/>
      <c r="AC1330" s="24"/>
      <c r="AD1330" s="24"/>
      <c r="AE1330" s="24"/>
    </row>
    <row r="1331" spans="1:31" s="1" customFormat="1" ht="10.5" x14ac:dyDescent="0.25">
      <c r="A1331" s="21"/>
      <c r="B1331" s="22"/>
      <c r="C1331" s="22"/>
      <c r="D1331" s="65"/>
      <c r="E1331" s="24"/>
      <c r="F1331" s="24"/>
      <c r="G1331" s="24"/>
      <c r="H1331" s="24"/>
      <c r="I1331" s="24"/>
      <c r="J1331" s="24"/>
      <c r="K1331" s="24"/>
      <c r="L1331" s="24"/>
      <c r="M1331" s="24"/>
      <c r="N1331" s="24"/>
      <c r="O1331" s="24"/>
      <c r="P1331" s="24"/>
      <c r="Q1331" s="24"/>
      <c r="R1331" s="24"/>
      <c r="S1331" s="24"/>
      <c r="T1331" s="24"/>
      <c r="U1331" s="24"/>
      <c r="V1331" s="24"/>
      <c r="W1331" s="24"/>
      <c r="X1331" s="24"/>
      <c r="Y1331" s="24"/>
      <c r="Z1331" s="24"/>
      <c r="AA1331" s="24"/>
      <c r="AB1331" s="24"/>
      <c r="AC1331" s="24"/>
      <c r="AD1331" s="24"/>
      <c r="AE1331" s="24"/>
    </row>
    <row r="1332" spans="1:31" s="1" customFormat="1" ht="10.5" x14ac:dyDescent="0.25">
      <c r="A1332" s="25"/>
      <c r="B1332" s="26" t="s">
        <v>1511</v>
      </c>
      <c r="C1332" s="26"/>
      <c r="D1332" s="64" t="s">
        <v>1512</v>
      </c>
      <c r="E1332" s="28"/>
      <c r="F1332" s="28"/>
      <c r="G1332" s="28"/>
      <c r="H1332" s="28"/>
      <c r="I1332" s="28"/>
      <c r="J1332" s="28"/>
      <c r="K1332" s="28"/>
      <c r="L1332" s="28"/>
      <c r="M1332" s="28">
        <f>SUM(M1333:M1335)</f>
        <v>0</v>
      </c>
      <c r="N1332" s="28"/>
      <c r="O1332" s="28">
        <f t="shared" ref="O1332:AC1332" si="809">SUM(O1333:O1335)</f>
        <v>0</v>
      </c>
      <c r="P1332" s="28">
        <f t="shared" si="809"/>
        <v>0</v>
      </c>
      <c r="Q1332" s="28">
        <f t="shared" si="809"/>
        <v>0</v>
      </c>
      <c r="R1332" s="28">
        <f t="shared" si="809"/>
        <v>0</v>
      </c>
      <c r="S1332" s="28">
        <f t="shared" si="809"/>
        <v>0</v>
      </c>
      <c r="T1332" s="28"/>
      <c r="U1332" s="28">
        <f t="shared" si="809"/>
        <v>0</v>
      </c>
      <c r="V1332" s="28"/>
      <c r="W1332" s="28">
        <f t="shared" si="809"/>
        <v>0</v>
      </c>
      <c r="X1332" s="28"/>
      <c r="Y1332" s="28">
        <f t="shared" si="809"/>
        <v>0</v>
      </c>
      <c r="Z1332" s="28">
        <f t="shared" si="809"/>
        <v>0</v>
      </c>
      <c r="AA1332" s="28"/>
      <c r="AB1332" s="28">
        <f t="shared" si="809"/>
        <v>0</v>
      </c>
      <c r="AC1332" s="28">
        <f t="shared" si="809"/>
        <v>0</v>
      </c>
      <c r="AD1332" s="28"/>
      <c r="AE1332" s="28"/>
    </row>
    <row r="1333" spans="1:31" s="1" customFormat="1" ht="10.5" x14ac:dyDescent="0.25">
      <c r="A1333" s="21"/>
      <c r="B1333" s="22"/>
      <c r="C1333" s="22"/>
      <c r="D1333" s="65"/>
      <c r="E1333" s="24"/>
      <c r="F1333" s="24"/>
      <c r="G1333" s="24"/>
      <c r="H1333" s="24"/>
      <c r="I1333" s="24"/>
      <c r="J1333" s="24"/>
      <c r="K1333" s="24"/>
      <c r="L1333" s="24"/>
      <c r="M1333" s="24"/>
      <c r="N1333" s="24"/>
      <c r="O1333" s="24"/>
      <c r="P1333" s="24"/>
      <c r="Q1333" s="24"/>
      <c r="R1333" s="24"/>
      <c r="S1333" s="24"/>
      <c r="T1333" s="24"/>
      <c r="U1333" s="24"/>
      <c r="V1333" s="24"/>
      <c r="W1333" s="24"/>
      <c r="X1333" s="24"/>
      <c r="Y1333" s="24"/>
      <c r="Z1333" s="24"/>
      <c r="AA1333" s="24"/>
      <c r="AB1333" s="24"/>
      <c r="AC1333" s="24"/>
      <c r="AD1333" s="24"/>
      <c r="AE1333" s="24"/>
    </row>
    <row r="1334" spans="1:31" s="1" customFormat="1" ht="10.5" x14ac:dyDescent="0.25">
      <c r="A1334" s="21"/>
      <c r="B1334" s="22"/>
      <c r="C1334" s="22"/>
      <c r="D1334" s="65"/>
      <c r="E1334" s="24"/>
      <c r="F1334" s="24"/>
      <c r="G1334" s="24"/>
      <c r="H1334" s="24"/>
      <c r="I1334" s="24"/>
      <c r="J1334" s="24"/>
      <c r="K1334" s="24"/>
      <c r="L1334" s="24"/>
      <c r="M1334" s="24"/>
      <c r="N1334" s="24"/>
      <c r="O1334" s="24"/>
      <c r="P1334" s="24"/>
      <c r="Q1334" s="24"/>
      <c r="R1334" s="24"/>
      <c r="S1334" s="24"/>
      <c r="T1334" s="24"/>
      <c r="U1334" s="24"/>
      <c r="V1334" s="24"/>
      <c r="W1334" s="24"/>
      <c r="X1334" s="24"/>
      <c r="Y1334" s="24"/>
      <c r="Z1334" s="24"/>
      <c r="AA1334" s="24"/>
      <c r="AB1334" s="24"/>
      <c r="AC1334" s="24"/>
      <c r="AD1334" s="24"/>
      <c r="AE1334" s="24"/>
    </row>
    <row r="1335" spans="1:31" s="1" customFormat="1" ht="10.5" x14ac:dyDescent="0.25">
      <c r="A1335" s="21"/>
      <c r="B1335" s="22"/>
      <c r="C1335" s="22"/>
      <c r="D1335" s="65"/>
      <c r="E1335" s="24"/>
      <c r="F1335" s="24"/>
      <c r="G1335" s="24"/>
      <c r="H1335" s="24"/>
      <c r="I1335" s="24"/>
      <c r="J1335" s="24"/>
      <c r="K1335" s="24"/>
      <c r="L1335" s="24"/>
      <c r="M1335" s="24"/>
      <c r="N1335" s="24"/>
      <c r="O1335" s="24"/>
      <c r="P1335" s="24"/>
      <c r="Q1335" s="24"/>
      <c r="R1335" s="24"/>
      <c r="S1335" s="24"/>
      <c r="T1335" s="24"/>
      <c r="U1335" s="24"/>
      <c r="V1335" s="24"/>
      <c r="W1335" s="24"/>
      <c r="X1335" s="24"/>
      <c r="Y1335" s="24"/>
      <c r="Z1335" s="24"/>
      <c r="AA1335" s="24"/>
      <c r="AB1335" s="24"/>
      <c r="AC1335" s="24"/>
      <c r="AD1335" s="24"/>
      <c r="AE1335" s="24"/>
    </row>
    <row r="1336" spans="1:31" s="1" customFormat="1" ht="10.5" x14ac:dyDescent="0.25">
      <c r="A1336" s="17"/>
      <c r="B1336" s="18" t="s">
        <v>1513</v>
      </c>
      <c r="C1336" s="18"/>
      <c r="D1336" s="84" t="s">
        <v>1514</v>
      </c>
      <c r="E1336" s="20"/>
      <c r="F1336" s="20"/>
      <c r="G1336" s="20"/>
      <c r="H1336" s="20"/>
      <c r="I1336" s="20"/>
      <c r="J1336" s="20"/>
      <c r="K1336" s="20"/>
      <c r="L1336" s="20"/>
      <c r="M1336" s="20">
        <f>M1337</f>
        <v>0</v>
      </c>
      <c r="N1336" s="20"/>
      <c r="O1336" s="20">
        <f t="shared" ref="O1336:AC1336" si="810">O1337</f>
        <v>0</v>
      </c>
      <c r="P1336" s="20">
        <f t="shared" si="810"/>
        <v>0</v>
      </c>
      <c r="Q1336" s="20">
        <f t="shared" si="810"/>
        <v>0</v>
      </c>
      <c r="R1336" s="20">
        <f t="shared" si="810"/>
        <v>0</v>
      </c>
      <c r="S1336" s="20">
        <f t="shared" si="810"/>
        <v>0</v>
      </c>
      <c r="T1336" s="20"/>
      <c r="U1336" s="20">
        <f t="shared" si="810"/>
        <v>0</v>
      </c>
      <c r="V1336" s="20"/>
      <c r="W1336" s="20">
        <f t="shared" si="810"/>
        <v>0</v>
      </c>
      <c r="X1336" s="20"/>
      <c r="Y1336" s="20">
        <f t="shared" si="810"/>
        <v>0</v>
      </c>
      <c r="Z1336" s="20">
        <f t="shared" si="810"/>
        <v>0</v>
      </c>
      <c r="AA1336" s="20"/>
      <c r="AB1336" s="20">
        <f t="shared" si="810"/>
        <v>0</v>
      </c>
      <c r="AC1336" s="20">
        <f t="shared" si="810"/>
        <v>0</v>
      </c>
      <c r="AD1336" s="20"/>
      <c r="AE1336" s="20"/>
    </row>
    <row r="1337" spans="1:31" s="1" customFormat="1" ht="10.5" x14ac:dyDescent="0.25">
      <c r="A1337" s="25"/>
      <c r="B1337" s="26" t="s">
        <v>1515</v>
      </c>
      <c r="C1337" s="26"/>
      <c r="D1337" s="64" t="s">
        <v>1514</v>
      </c>
      <c r="E1337" s="28"/>
      <c r="F1337" s="28"/>
      <c r="G1337" s="28"/>
      <c r="H1337" s="28"/>
      <c r="I1337" s="28"/>
      <c r="J1337" s="28"/>
      <c r="K1337" s="28"/>
      <c r="L1337" s="28"/>
      <c r="M1337" s="28">
        <f>SUM(M1338:M1340)</f>
        <v>0</v>
      </c>
      <c r="N1337" s="28"/>
      <c r="O1337" s="28">
        <f t="shared" ref="O1337:AC1337" si="811">SUM(O1338:O1340)</f>
        <v>0</v>
      </c>
      <c r="P1337" s="28">
        <f t="shared" si="811"/>
        <v>0</v>
      </c>
      <c r="Q1337" s="28">
        <f t="shared" si="811"/>
        <v>0</v>
      </c>
      <c r="R1337" s="28">
        <f t="shared" si="811"/>
        <v>0</v>
      </c>
      <c r="S1337" s="28">
        <f t="shared" si="811"/>
        <v>0</v>
      </c>
      <c r="T1337" s="28"/>
      <c r="U1337" s="28">
        <f t="shared" si="811"/>
        <v>0</v>
      </c>
      <c r="V1337" s="28"/>
      <c r="W1337" s="28">
        <f t="shared" si="811"/>
        <v>0</v>
      </c>
      <c r="X1337" s="28"/>
      <c r="Y1337" s="28">
        <f t="shared" si="811"/>
        <v>0</v>
      </c>
      <c r="Z1337" s="28">
        <f t="shared" si="811"/>
        <v>0</v>
      </c>
      <c r="AA1337" s="28"/>
      <c r="AB1337" s="28">
        <f t="shared" si="811"/>
        <v>0</v>
      </c>
      <c r="AC1337" s="28">
        <f t="shared" si="811"/>
        <v>0</v>
      </c>
      <c r="AD1337" s="28"/>
      <c r="AE1337" s="28"/>
    </row>
    <row r="1338" spans="1:31" s="1" customFormat="1" ht="10.5" x14ac:dyDescent="0.25">
      <c r="A1338" s="21"/>
      <c r="B1338" s="22"/>
      <c r="C1338" s="22"/>
      <c r="D1338" s="65"/>
      <c r="E1338" s="24"/>
      <c r="F1338" s="24"/>
      <c r="G1338" s="24"/>
      <c r="H1338" s="24"/>
      <c r="I1338" s="24"/>
      <c r="J1338" s="24"/>
      <c r="K1338" s="24"/>
      <c r="L1338" s="24"/>
      <c r="M1338" s="24"/>
      <c r="N1338" s="24"/>
      <c r="O1338" s="24"/>
      <c r="P1338" s="24"/>
      <c r="Q1338" s="24"/>
      <c r="R1338" s="24"/>
      <c r="S1338" s="24"/>
      <c r="T1338" s="24"/>
      <c r="U1338" s="24"/>
      <c r="V1338" s="24"/>
      <c r="W1338" s="24"/>
      <c r="X1338" s="24"/>
      <c r="Y1338" s="24"/>
      <c r="Z1338" s="24"/>
      <c r="AA1338" s="24"/>
      <c r="AB1338" s="24"/>
      <c r="AC1338" s="24"/>
      <c r="AD1338" s="24"/>
      <c r="AE1338" s="24"/>
    </row>
    <row r="1339" spans="1:31" s="1" customFormat="1" ht="10.5" x14ac:dyDescent="0.25">
      <c r="A1339" s="21"/>
      <c r="B1339" s="22"/>
      <c r="C1339" s="22"/>
      <c r="D1339" s="65"/>
      <c r="E1339" s="24"/>
      <c r="F1339" s="24"/>
      <c r="G1339" s="24"/>
      <c r="H1339" s="24"/>
      <c r="I1339" s="24"/>
      <c r="J1339" s="24"/>
      <c r="K1339" s="24"/>
      <c r="L1339" s="24"/>
      <c r="M1339" s="24"/>
      <c r="N1339" s="24"/>
      <c r="O1339" s="24"/>
      <c r="P1339" s="24"/>
      <c r="Q1339" s="24"/>
      <c r="R1339" s="24"/>
      <c r="S1339" s="24"/>
      <c r="T1339" s="24"/>
      <c r="U1339" s="24"/>
      <c r="V1339" s="24"/>
      <c r="W1339" s="24"/>
      <c r="X1339" s="24"/>
      <c r="Y1339" s="24"/>
      <c r="Z1339" s="24"/>
      <c r="AA1339" s="24"/>
      <c r="AB1339" s="24"/>
      <c r="AC1339" s="24"/>
      <c r="AD1339" s="24"/>
      <c r="AE1339" s="24"/>
    </row>
    <row r="1340" spans="1:31" s="1" customFormat="1" ht="10.5" x14ac:dyDescent="0.25">
      <c r="A1340" s="21"/>
      <c r="B1340" s="22"/>
      <c r="C1340" s="22"/>
      <c r="D1340" s="65"/>
      <c r="E1340" s="24"/>
      <c r="F1340" s="24"/>
      <c r="G1340" s="24"/>
      <c r="H1340" s="24"/>
      <c r="I1340" s="24"/>
      <c r="J1340" s="24"/>
      <c r="K1340" s="24"/>
      <c r="L1340" s="24"/>
      <c r="M1340" s="24"/>
      <c r="N1340" s="24"/>
      <c r="O1340" s="24"/>
      <c r="P1340" s="24"/>
      <c r="Q1340" s="24"/>
      <c r="R1340" s="24"/>
      <c r="S1340" s="24"/>
      <c r="T1340" s="24"/>
      <c r="U1340" s="24"/>
      <c r="V1340" s="24"/>
      <c r="W1340" s="24"/>
      <c r="X1340" s="24"/>
      <c r="Y1340" s="24"/>
      <c r="Z1340" s="24"/>
      <c r="AA1340" s="24"/>
      <c r="AB1340" s="24"/>
      <c r="AC1340" s="24"/>
      <c r="AD1340" s="24"/>
      <c r="AE1340" s="24"/>
    </row>
    <row r="1341" spans="1:31" s="1" customFormat="1" ht="10.5" x14ac:dyDescent="0.25">
      <c r="A1341" s="17"/>
      <c r="B1341" s="18" t="s">
        <v>1516</v>
      </c>
      <c r="C1341" s="18"/>
      <c r="D1341" s="84" t="s">
        <v>1517</v>
      </c>
      <c r="E1341" s="20"/>
      <c r="F1341" s="20"/>
      <c r="G1341" s="20"/>
      <c r="H1341" s="20"/>
      <c r="I1341" s="20"/>
      <c r="J1341" s="20"/>
      <c r="K1341" s="20"/>
      <c r="L1341" s="20"/>
      <c r="M1341" s="20">
        <f>M1342</f>
        <v>0</v>
      </c>
      <c r="N1341" s="20"/>
      <c r="O1341" s="20">
        <f t="shared" ref="O1341:AC1341" si="812">O1342</f>
        <v>0</v>
      </c>
      <c r="P1341" s="20">
        <f t="shared" si="812"/>
        <v>0</v>
      </c>
      <c r="Q1341" s="20">
        <f t="shared" si="812"/>
        <v>0</v>
      </c>
      <c r="R1341" s="20">
        <f t="shared" si="812"/>
        <v>0</v>
      </c>
      <c r="S1341" s="20">
        <f t="shared" si="812"/>
        <v>0</v>
      </c>
      <c r="T1341" s="20"/>
      <c r="U1341" s="20">
        <f t="shared" si="812"/>
        <v>0</v>
      </c>
      <c r="V1341" s="20"/>
      <c r="W1341" s="20">
        <f t="shared" si="812"/>
        <v>0</v>
      </c>
      <c r="X1341" s="20"/>
      <c r="Y1341" s="20">
        <f t="shared" si="812"/>
        <v>0</v>
      </c>
      <c r="Z1341" s="20">
        <f t="shared" si="812"/>
        <v>0</v>
      </c>
      <c r="AA1341" s="20"/>
      <c r="AB1341" s="20">
        <f t="shared" si="812"/>
        <v>0</v>
      </c>
      <c r="AC1341" s="20">
        <f t="shared" si="812"/>
        <v>0</v>
      </c>
      <c r="AD1341" s="20"/>
      <c r="AE1341" s="20"/>
    </row>
    <row r="1342" spans="1:31" s="1" customFormat="1" ht="10.5" x14ac:dyDescent="0.25">
      <c r="A1342" s="25"/>
      <c r="B1342" s="26" t="s">
        <v>1518</v>
      </c>
      <c r="C1342" s="26"/>
      <c r="D1342" s="64" t="s">
        <v>1517</v>
      </c>
      <c r="E1342" s="28"/>
      <c r="F1342" s="28"/>
      <c r="G1342" s="28"/>
      <c r="H1342" s="28"/>
      <c r="I1342" s="28"/>
      <c r="J1342" s="28"/>
      <c r="K1342" s="28"/>
      <c r="L1342" s="28"/>
      <c r="M1342" s="28">
        <f>SUM(M1343:M1345)</f>
        <v>0</v>
      </c>
      <c r="N1342" s="28"/>
      <c r="O1342" s="28">
        <f t="shared" ref="O1342:AC1342" si="813">SUM(O1343:O1345)</f>
        <v>0</v>
      </c>
      <c r="P1342" s="28">
        <f t="shared" si="813"/>
        <v>0</v>
      </c>
      <c r="Q1342" s="28">
        <f t="shared" si="813"/>
        <v>0</v>
      </c>
      <c r="R1342" s="28">
        <f t="shared" si="813"/>
        <v>0</v>
      </c>
      <c r="S1342" s="28">
        <f t="shared" si="813"/>
        <v>0</v>
      </c>
      <c r="T1342" s="28"/>
      <c r="U1342" s="28">
        <f t="shared" si="813"/>
        <v>0</v>
      </c>
      <c r="V1342" s="28"/>
      <c r="W1342" s="28">
        <f t="shared" si="813"/>
        <v>0</v>
      </c>
      <c r="X1342" s="28"/>
      <c r="Y1342" s="28">
        <f t="shared" si="813"/>
        <v>0</v>
      </c>
      <c r="Z1342" s="28">
        <f t="shared" si="813"/>
        <v>0</v>
      </c>
      <c r="AA1342" s="28"/>
      <c r="AB1342" s="28">
        <f t="shared" si="813"/>
        <v>0</v>
      </c>
      <c r="AC1342" s="28">
        <f t="shared" si="813"/>
        <v>0</v>
      </c>
      <c r="AD1342" s="28"/>
      <c r="AE1342" s="28"/>
    </row>
    <row r="1343" spans="1:31" s="1" customFormat="1" ht="10.5" x14ac:dyDescent="0.25">
      <c r="A1343" s="21"/>
      <c r="B1343" s="22"/>
      <c r="C1343" s="22"/>
      <c r="D1343" s="65"/>
      <c r="E1343" s="24"/>
      <c r="F1343" s="24"/>
      <c r="G1343" s="24"/>
      <c r="H1343" s="24"/>
      <c r="I1343" s="24"/>
      <c r="J1343" s="24"/>
      <c r="K1343" s="24"/>
      <c r="L1343" s="24"/>
      <c r="M1343" s="24"/>
      <c r="N1343" s="24"/>
      <c r="O1343" s="24"/>
      <c r="P1343" s="24"/>
      <c r="Q1343" s="24"/>
      <c r="R1343" s="24"/>
      <c r="S1343" s="24"/>
      <c r="T1343" s="24"/>
      <c r="U1343" s="24"/>
      <c r="V1343" s="24"/>
      <c r="W1343" s="24"/>
      <c r="X1343" s="24"/>
      <c r="Y1343" s="24"/>
      <c r="Z1343" s="24"/>
      <c r="AA1343" s="24"/>
      <c r="AB1343" s="24"/>
      <c r="AC1343" s="24"/>
      <c r="AD1343" s="24"/>
      <c r="AE1343" s="24"/>
    </row>
    <row r="1344" spans="1:31" s="1" customFormat="1" ht="10.5" x14ac:dyDescent="0.25">
      <c r="A1344" s="21"/>
      <c r="B1344" s="22"/>
      <c r="C1344" s="22"/>
      <c r="D1344" s="65"/>
      <c r="E1344" s="24"/>
      <c r="F1344" s="24"/>
      <c r="G1344" s="24"/>
      <c r="H1344" s="24"/>
      <c r="I1344" s="24"/>
      <c r="J1344" s="24"/>
      <c r="K1344" s="24"/>
      <c r="L1344" s="24"/>
      <c r="M1344" s="24"/>
      <c r="N1344" s="24"/>
      <c r="O1344" s="24"/>
      <c r="P1344" s="24"/>
      <c r="Q1344" s="24"/>
      <c r="R1344" s="24"/>
      <c r="S1344" s="24"/>
      <c r="T1344" s="24"/>
      <c r="U1344" s="24"/>
      <c r="V1344" s="24"/>
      <c r="W1344" s="24"/>
      <c r="X1344" s="24"/>
      <c r="Y1344" s="24"/>
      <c r="Z1344" s="24"/>
      <c r="AA1344" s="24"/>
      <c r="AB1344" s="24"/>
      <c r="AC1344" s="24"/>
      <c r="AD1344" s="24"/>
      <c r="AE1344" s="24"/>
    </row>
    <row r="1345" spans="1:34" s="1" customFormat="1" ht="10.5" x14ac:dyDescent="0.25">
      <c r="A1345" s="21"/>
      <c r="B1345" s="22"/>
      <c r="C1345" s="22"/>
      <c r="D1345" s="65"/>
      <c r="E1345" s="24"/>
      <c r="F1345" s="24"/>
      <c r="G1345" s="24"/>
      <c r="H1345" s="24"/>
      <c r="I1345" s="24"/>
      <c r="J1345" s="24"/>
      <c r="K1345" s="24"/>
      <c r="L1345" s="24"/>
      <c r="M1345" s="24"/>
      <c r="N1345" s="24"/>
      <c r="O1345" s="24"/>
      <c r="P1345" s="24"/>
      <c r="Q1345" s="24"/>
      <c r="R1345" s="24"/>
      <c r="S1345" s="24"/>
      <c r="T1345" s="24"/>
      <c r="U1345" s="24"/>
      <c r="V1345" s="24"/>
      <c r="W1345" s="24"/>
      <c r="X1345" s="24"/>
      <c r="Y1345" s="24"/>
      <c r="Z1345" s="24"/>
      <c r="AA1345" s="24"/>
      <c r="AB1345" s="24"/>
      <c r="AC1345" s="24"/>
      <c r="AD1345" s="24"/>
      <c r="AE1345" s="24"/>
    </row>
    <row r="1346" spans="1:34" s="1" customFormat="1" ht="10.5" x14ac:dyDescent="0.25">
      <c r="A1346" s="17"/>
      <c r="B1346" s="18" t="s">
        <v>1519</v>
      </c>
      <c r="C1346" s="18"/>
      <c r="D1346" s="84" t="s">
        <v>1520</v>
      </c>
      <c r="E1346" s="20"/>
      <c r="F1346" s="20"/>
      <c r="G1346" s="20"/>
      <c r="H1346" s="20"/>
      <c r="I1346" s="20"/>
      <c r="J1346" s="20"/>
      <c r="K1346" s="20"/>
      <c r="L1346" s="20"/>
      <c r="M1346" s="20">
        <f>M1347</f>
        <v>0</v>
      </c>
      <c r="N1346" s="20"/>
      <c r="O1346" s="37">
        <f t="shared" ref="O1346:AC1346" si="814">O1347</f>
        <v>0</v>
      </c>
      <c r="P1346" s="20">
        <f t="shared" si="814"/>
        <v>0</v>
      </c>
      <c r="Q1346" s="20">
        <f t="shared" si="814"/>
        <v>0</v>
      </c>
      <c r="R1346" s="20">
        <f t="shared" si="814"/>
        <v>0</v>
      </c>
      <c r="S1346" s="20">
        <f t="shared" si="814"/>
        <v>0</v>
      </c>
      <c r="T1346" s="20"/>
      <c r="U1346" s="20">
        <f t="shared" si="814"/>
        <v>0</v>
      </c>
      <c r="V1346" s="20"/>
      <c r="W1346" s="20">
        <f t="shared" si="814"/>
        <v>0</v>
      </c>
      <c r="X1346" s="20"/>
      <c r="Y1346" s="20">
        <f t="shared" si="814"/>
        <v>0</v>
      </c>
      <c r="Z1346" s="20">
        <f t="shared" si="814"/>
        <v>0</v>
      </c>
      <c r="AA1346" s="20"/>
      <c r="AB1346" s="20">
        <f t="shared" si="814"/>
        <v>0</v>
      </c>
      <c r="AC1346" s="20">
        <f t="shared" si="814"/>
        <v>0</v>
      </c>
      <c r="AD1346" s="20"/>
      <c r="AE1346" s="20"/>
    </row>
    <row r="1347" spans="1:34" s="1" customFormat="1" ht="10.5" x14ac:dyDescent="0.25">
      <c r="A1347" s="25"/>
      <c r="B1347" s="26" t="s">
        <v>1521</v>
      </c>
      <c r="C1347" s="26"/>
      <c r="D1347" s="64" t="s">
        <v>1520</v>
      </c>
      <c r="E1347" s="28"/>
      <c r="F1347" s="28"/>
      <c r="G1347" s="28"/>
      <c r="H1347" s="28"/>
      <c r="I1347" s="28"/>
      <c r="J1347" s="28"/>
      <c r="K1347" s="28"/>
      <c r="L1347" s="28"/>
      <c r="M1347" s="28">
        <f>SUM(M1348:M1350)</f>
        <v>0</v>
      </c>
      <c r="N1347" s="28"/>
      <c r="O1347" s="40">
        <f>SUM(O1348:O1350)</f>
        <v>0</v>
      </c>
      <c r="P1347" s="28">
        <f t="shared" ref="P1347:AC1347" si="815">SUM(P1348:P1350)</f>
        <v>0</v>
      </c>
      <c r="Q1347" s="28">
        <f t="shared" si="815"/>
        <v>0</v>
      </c>
      <c r="R1347" s="28">
        <f t="shared" si="815"/>
        <v>0</v>
      </c>
      <c r="S1347" s="28">
        <f t="shared" si="815"/>
        <v>0</v>
      </c>
      <c r="T1347" s="28"/>
      <c r="U1347" s="28">
        <f t="shared" si="815"/>
        <v>0</v>
      </c>
      <c r="V1347" s="28"/>
      <c r="W1347" s="28">
        <f t="shared" si="815"/>
        <v>0</v>
      </c>
      <c r="X1347" s="28"/>
      <c r="Y1347" s="28">
        <f t="shared" si="815"/>
        <v>0</v>
      </c>
      <c r="Z1347" s="28">
        <f t="shared" si="815"/>
        <v>0</v>
      </c>
      <c r="AA1347" s="28"/>
      <c r="AB1347" s="28">
        <f t="shared" si="815"/>
        <v>0</v>
      </c>
      <c r="AC1347" s="28">
        <f t="shared" si="815"/>
        <v>0</v>
      </c>
      <c r="AD1347" s="28"/>
      <c r="AE1347" s="28"/>
    </row>
    <row r="1348" spans="1:34" s="1" customFormat="1" ht="10.5" x14ac:dyDescent="0.25">
      <c r="A1348" s="21"/>
      <c r="B1348" s="22"/>
      <c r="C1348" s="42"/>
      <c r="D1348" s="65"/>
      <c r="E1348" s="24"/>
      <c r="F1348" s="24"/>
      <c r="G1348" s="24"/>
      <c r="H1348" s="24"/>
      <c r="I1348" s="24"/>
      <c r="J1348" s="24"/>
      <c r="K1348" s="24"/>
      <c r="L1348" s="24"/>
      <c r="M1348" s="24"/>
      <c r="N1348" s="41"/>
      <c r="O1348" s="41"/>
      <c r="P1348" s="24"/>
      <c r="Q1348" s="24"/>
      <c r="R1348" s="24"/>
      <c r="S1348" s="24"/>
      <c r="T1348" s="24"/>
      <c r="U1348" s="24"/>
      <c r="V1348" s="24"/>
      <c r="W1348" s="24"/>
      <c r="X1348" s="24"/>
      <c r="Y1348" s="24"/>
      <c r="Z1348" s="24"/>
      <c r="AA1348" s="24"/>
      <c r="AB1348" s="24"/>
      <c r="AC1348" s="24"/>
      <c r="AD1348" s="24"/>
      <c r="AE1348" s="24"/>
    </row>
    <row r="1349" spans="1:34" s="1" customFormat="1" ht="10.5" x14ac:dyDescent="0.25">
      <c r="A1349" s="21"/>
      <c r="B1349" s="22"/>
      <c r="C1349" s="22"/>
      <c r="D1349" s="65"/>
      <c r="E1349" s="24"/>
      <c r="F1349" s="24"/>
      <c r="G1349" s="24"/>
      <c r="H1349" s="24"/>
      <c r="I1349" s="24"/>
      <c r="J1349" s="24"/>
      <c r="K1349" s="24"/>
      <c r="L1349" s="24"/>
      <c r="M1349" s="24"/>
      <c r="N1349" s="24"/>
      <c r="O1349" s="24"/>
      <c r="P1349" s="24"/>
      <c r="Q1349" s="24"/>
      <c r="R1349" s="24"/>
      <c r="S1349" s="24"/>
      <c r="T1349" s="24"/>
      <c r="U1349" s="24"/>
      <c r="V1349" s="24"/>
      <c r="W1349" s="24"/>
      <c r="X1349" s="24"/>
      <c r="Y1349" s="24"/>
      <c r="Z1349" s="24"/>
      <c r="AA1349" s="24"/>
      <c r="AB1349" s="24"/>
      <c r="AC1349" s="24"/>
      <c r="AD1349" s="24"/>
      <c r="AE1349" s="24"/>
    </row>
    <row r="1350" spans="1:34" s="1" customFormat="1" ht="10.5" x14ac:dyDescent="0.25">
      <c r="A1350" s="21"/>
      <c r="B1350" s="22"/>
      <c r="C1350" s="22"/>
      <c r="D1350" s="65"/>
      <c r="E1350" s="24"/>
      <c r="F1350" s="24"/>
      <c r="G1350" s="24"/>
      <c r="H1350" s="24"/>
      <c r="I1350" s="24"/>
      <c r="J1350" s="24"/>
      <c r="K1350" s="24"/>
      <c r="L1350" s="24"/>
      <c r="M1350" s="24"/>
      <c r="N1350" s="24"/>
      <c r="O1350" s="24"/>
      <c r="P1350" s="24"/>
      <c r="Q1350" s="24"/>
      <c r="R1350" s="24"/>
      <c r="S1350" s="24"/>
      <c r="T1350" s="24"/>
      <c r="U1350" s="24"/>
      <c r="V1350" s="24"/>
      <c r="W1350" s="24"/>
      <c r="X1350" s="24"/>
      <c r="Y1350" s="24"/>
      <c r="Z1350" s="24"/>
      <c r="AA1350" s="24"/>
      <c r="AB1350" s="24"/>
      <c r="AC1350" s="24"/>
      <c r="AD1350" s="24"/>
      <c r="AE1350" s="24"/>
    </row>
    <row r="1351" spans="1:34" s="103" customFormat="1" ht="28.5" customHeight="1" x14ac:dyDescent="0.25">
      <c r="A1351" s="29">
        <v>6</v>
      </c>
      <c r="B1351" s="30" t="s">
        <v>1522</v>
      </c>
      <c r="C1351" s="30"/>
      <c r="D1351" s="89" t="s">
        <v>1523</v>
      </c>
      <c r="E1351" s="102"/>
      <c r="F1351" s="102"/>
      <c r="G1351" s="102"/>
      <c r="H1351" s="102"/>
      <c r="I1351" s="102"/>
      <c r="J1351" s="102"/>
      <c r="K1351" s="102"/>
      <c r="L1351" s="102"/>
      <c r="M1351" s="102">
        <f>M1352</f>
        <v>0</v>
      </c>
      <c r="N1351" s="102"/>
      <c r="O1351" s="102">
        <f t="shared" ref="O1351:AC1352" si="816">O1352</f>
        <v>0</v>
      </c>
      <c r="P1351" s="102">
        <f t="shared" si="816"/>
        <v>0</v>
      </c>
      <c r="Q1351" s="102">
        <f t="shared" si="816"/>
        <v>0</v>
      </c>
      <c r="R1351" s="102">
        <f t="shared" si="816"/>
        <v>0</v>
      </c>
      <c r="S1351" s="102">
        <f t="shared" si="816"/>
        <v>0</v>
      </c>
      <c r="T1351" s="102"/>
      <c r="U1351" s="102">
        <f t="shared" si="816"/>
        <v>0</v>
      </c>
      <c r="V1351" s="102"/>
      <c r="W1351" s="102">
        <f t="shared" si="816"/>
        <v>0</v>
      </c>
      <c r="X1351" s="102"/>
      <c r="Y1351" s="102">
        <f t="shared" si="816"/>
        <v>0</v>
      </c>
      <c r="Z1351" s="102">
        <f t="shared" si="816"/>
        <v>0</v>
      </c>
      <c r="AA1351" s="102"/>
      <c r="AB1351" s="102">
        <f t="shared" si="816"/>
        <v>0</v>
      </c>
      <c r="AC1351" s="102">
        <f t="shared" si="816"/>
        <v>0</v>
      </c>
      <c r="AD1351" s="102"/>
      <c r="AE1351" s="102"/>
      <c r="AH1351" s="1"/>
    </row>
    <row r="1352" spans="1:34" s="1" customFormat="1" ht="10.5" x14ac:dyDescent="0.25">
      <c r="A1352" s="17"/>
      <c r="B1352" s="18" t="s">
        <v>1524</v>
      </c>
      <c r="C1352" s="18"/>
      <c r="D1352" s="84" t="s">
        <v>1523</v>
      </c>
      <c r="E1352" s="20"/>
      <c r="F1352" s="20"/>
      <c r="G1352" s="20"/>
      <c r="H1352" s="20"/>
      <c r="I1352" s="20"/>
      <c r="J1352" s="20"/>
      <c r="K1352" s="20"/>
      <c r="L1352" s="20"/>
      <c r="M1352" s="20">
        <f>M1353</f>
        <v>0</v>
      </c>
      <c r="N1352" s="20"/>
      <c r="O1352" s="20">
        <f t="shared" si="816"/>
        <v>0</v>
      </c>
      <c r="P1352" s="20">
        <f t="shared" si="816"/>
        <v>0</v>
      </c>
      <c r="Q1352" s="20">
        <f t="shared" si="816"/>
        <v>0</v>
      </c>
      <c r="R1352" s="20">
        <f t="shared" si="816"/>
        <v>0</v>
      </c>
      <c r="S1352" s="20">
        <f t="shared" si="816"/>
        <v>0</v>
      </c>
      <c r="T1352" s="20"/>
      <c r="U1352" s="20">
        <f t="shared" si="816"/>
        <v>0</v>
      </c>
      <c r="V1352" s="20"/>
      <c r="W1352" s="20">
        <f t="shared" si="816"/>
        <v>0</v>
      </c>
      <c r="X1352" s="20"/>
      <c r="Y1352" s="20">
        <f t="shared" si="816"/>
        <v>0</v>
      </c>
      <c r="Z1352" s="20">
        <f t="shared" si="816"/>
        <v>0</v>
      </c>
      <c r="AA1352" s="20"/>
      <c r="AB1352" s="20">
        <f t="shared" si="816"/>
        <v>0</v>
      </c>
      <c r="AC1352" s="20">
        <f t="shared" si="816"/>
        <v>0</v>
      </c>
      <c r="AD1352" s="20"/>
      <c r="AE1352" s="20"/>
    </row>
    <row r="1353" spans="1:34" s="1" customFormat="1" ht="11.45" x14ac:dyDescent="0.25">
      <c r="A1353" s="25"/>
      <c r="B1353" s="26" t="s">
        <v>1525</v>
      </c>
      <c r="C1353" s="26"/>
      <c r="D1353" s="64" t="s">
        <v>1523</v>
      </c>
      <c r="E1353" s="28"/>
      <c r="F1353" s="28"/>
      <c r="G1353" s="28"/>
      <c r="H1353" s="28"/>
      <c r="I1353" s="28"/>
      <c r="J1353" s="28"/>
      <c r="K1353" s="28"/>
      <c r="L1353" s="28"/>
      <c r="M1353" s="28">
        <f>SUM(M1354:M1356)</f>
        <v>0</v>
      </c>
      <c r="N1353" s="28"/>
      <c r="O1353" s="28">
        <f t="shared" ref="O1353:AC1353" si="817">SUM(O1354:O1356)</f>
        <v>0</v>
      </c>
      <c r="P1353" s="28">
        <f t="shared" si="817"/>
        <v>0</v>
      </c>
      <c r="Q1353" s="28">
        <f t="shared" si="817"/>
        <v>0</v>
      </c>
      <c r="R1353" s="28">
        <f t="shared" si="817"/>
        <v>0</v>
      </c>
      <c r="S1353" s="28">
        <f t="shared" si="817"/>
        <v>0</v>
      </c>
      <c r="T1353" s="28"/>
      <c r="U1353" s="28">
        <f t="shared" si="817"/>
        <v>0</v>
      </c>
      <c r="V1353" s="28"/>
      <c r="W1353" s="28">
        <f t="shared" si="817"/>
        <v>0</v>
      </c>
      <c r="X1353" s="28"/>
      <c r="Y1353" s="28">
        <f t="shared" si="817"/>
        <v>0</v>
      </c>
      <c r="Z1353" s="28">
        <f t="shared" si="817"/>
        <v>0</v>
      </c>
      <c r="AA1353" s="28"/>
      <c r="AB1353" s="28">
        <f t="shared" si="817"/>
        <v>0</v>
      </c>
      <c r="AC1353" s="28">
        <f t="shared" si="817"/>
        <v>0</v>
      </c>
      <c r="AD1353" s="28"/>
      <c r="AE1353" s="28"/>
      <c r="AH1353" s="103"/>
    </row>
    <row r="1354" spans="1:34" s="1" customFormat="1" ht="10.5" x14ac:dyDescent="0.25">
      <c r="A1354" s="21"/>
      <c r="B1354" s="22"/>
      <c r="C1354" s="22"/>
      <c r="D1354" s="65"/>
      <c r="E1354" s="24"/>
      <c r="F1354" s="24"/>
      <c r="G1354" s="24"/>
      <c r="H1354" s="24"/>
      <c r="I1354" s="24"/>
      <c r="J1354" s="24"/>
      <c r="K1354" s="24"/>
      <c r="L1354" s="24"/>
      <c r="M1354" s="24"/>
      <c r="N1354" s="24"/>
      <c r="O1354" s="24"/>
      <c r="P1354" s="24"/>
      <c r="Q1354" s="24"/>
      <c r="R1354" s="24"/>
      <c r="S1354" s="24"/>
      <c r="T1354" s="24"/>
      <c r="U1354" s="24"/>
      <c r="V1354" s="24"/>
      <c r="W1354" s="24"/>
      <c r="X1354" s="24"/>
      <c r="Y1354" s="24"/>
      <c r="Z1354" s="24"/>
      <c r="AA1354" s="24"/>
      <c r="AB1354" s="24"/>
      <c r="AC1354" s="24"/>
      <c r="AD1354" s="24"/>
      <c r="AE1354" s="24"/>
    </row>
    <row r="1355" spans="1:34" s="1" customFormat="1" ht="10.5" x14ac:dyDescent="0.25">
      <c r="A1355" s="21"/>
      <c r="B1355" s="22"/>
      <c r="C1355" s="22"/>
      <c r="D1355" s="65"/>
      <c r="E1355" s="24"/>
      <c r="F1355" s="24"/>
      <c r="G1355" s="24"/>
      <c r="H1355" s="24"/>
      <c r="I1355" s="24"/>
      <c r="J1355" s="24"/>
      <c r="K1355" s="24"/>
      <c r="L1355" s="24"/>
      <c r="M1355" s="24"/>
      <c r="N1355" s="24"/>
      <c r="O1355" s="24"/>
      <c r="P1355" s="24"/>
      <c r="Q1355" s="24"/>
      <c r="R1355" s="24"/>
      <c r="S1355" s="24"/>
      <c r="T1355" s="24"/>
      <c r="U1355" s="24"/>
      <c r="V1355" s="24"/>
      <c r="W1355" s="24"/>
      <c r="X1355" s="24"/>
      <c r="Y1355" s="24"/>
      <c r="Z1355" s="24"/>
      <c r="AA1355" s="24"/>
      <c r="AB1355" s="24"/>
      <c r="AC1355" s="24"/>
      <c r="AD1355" s="24"/>
      <c r="AE1355" s="24"/>
    </row>
    <row r="1356" spans="1:34" s="1" customFormat="1" ht="10.5" x14ac:dyDescent="0.25">
      <c r="A1356" s="21"/>
      <c r="B1356" s="22"/>
      <c r="C1356" s="22"/>
      <c r="D1356" s="65"/>
      <c r="E1356" s="24"/>
      <c r="F1356" s="24"/>
      <c r="G1356" s="24"/>
      <c r="H1356" s="24"/>
      <c r="I1356" s="24"/>
      <c r="J1356" s="24"/>
      <c r="K1356" s="24"/>
      <c r="L1356" s="24"/>
      <c r="M1356" s="24"/>
      <c r="N1356" s="24"/>
      <c r="O1356" s="24"/>
      <c r="P1356" s="24"/>
      <c r="Q1356" s="24"/>
      <c r="R1356" s="24"/>
      <c r="S1356" s="24"/>
      <c r="T1356" s="24"/>
      <c r="U1356" s="24"/>
      <c r="V1356" s="24"/>
      <c r="W1356" s="24"/>
      <c r="X1356" s="24"/>
      <c r="Y1356" s="24"/>
      <c r="Z1356" s="24"/>
      <c r="AA1356" s="24"/>
      <c r="AB1356" s="24"/>
      <c r="AC1356" s="24"/>
      <c r="AD1356" s="24"/>
      <c r="AE1356" s="24"/>
    </row>
    <row r="1357" spans="1:34" s="103" customFormat="1" ht="24.75" customHeight="1" x14ac:dyDescent="0.25">
      <c r="A1357" s="29">
        <v>7</v>
      </c>
      <c r="B1357" s="30" t="s">
        <v>1526</v>
      </c>
      <c r="C1357" s="30"/>
      <c r="D1357" s="89" t="s">
        <v>1527</v>
      </c>
      <c r="E1357" s="102"/>
      <c r="F1357" s="102"/>
      <c r="G1357" s="102"/>
      <c r="H1357" s="102"/>
      <c r="I1357" s="102"/>
      <c r="J1357" s="102"/>
      <c r="K1357" s="102"/>
      <c r="L1357" s="102"/>
      <c r="M1357" s="102">
        <f>M1358+M1435+M1452+M1469</f>
        <v>0</v>
      </c>
      <c r="N1357" s="102"/>
      <c r="O1357" s="104">
        <f t="shared" ref="O1357:AC1357" si="818">O1358+O1435+O1452+O1469</f>
        <v>20532999135.023712</v>
      </c>
      <c r="P1357" s="102">
        <f t="shared" si="818"/>
        <v>0</v>
      </c>
      <c r="Q1357" s="102">
        <f t="shared" si="818"/>
        <v>0</v>
      </c>
      <c r="R1357" s="102">
        <f t="shared" si="818"/>
        <v>0</v>
      </c>
      <c r="S1357" s="102">
        <f t="shared" si="818"/>
        <v>0</v>
      </c>
      <c r="T1357" s="102"/>
      <c r="U1357" s="102">
        <f t="shared" si="818"/>
        <v>0</v>
      </c>
      <c r="V1357" s="102"/>
      <c r="W1357" s="102">
        <f t="shared" si="818"/>
        <v>0</v>
      </c>
      <c r="X1357" s="102"/>
      <c r="Y1357" s="102">
        <f t="shared" si="818"/>
        <v>0</v>
      </c>
      <c r="Z1357" s="102">
        <f t="shared" si="818"/>
        <v>0</v>
      </c>
      <c r="AA1357" s="102"/>
      <c r="AB1357" s="102">
        <f t="shared" si="818"/>
        <v>0</v>
      </c>
      <c r="AC1357" s="102">
        <f t="shared" si="818"/>
        <v>0</v>
      </c>
      <c r="AD1357" s="102"/>
      <c r="AE1357" s="102"/>
      <c r="AH1357" s="1"/>
    </row>
    <row r="1358" spans="1:34" s="1" customFormat="1" ht="21" x14ac:dyDescent="0.25">
      <c r="A1358" s="17"/>
      <c r="B1358" s="18" t="s">
        <v>1528</v>
      </c>
      <c r="C1358" s="18"/>
      <c r="D1358" s="84" t="s">
        <v>1529</v>
      </c>
      <c r="E1358" s="20"/>
      <c r="F1358" s="20"/>
      <c r="G1358" s="20"/>
      <c r="H1358" s="20"/>
      <c r="I1358" s="20"/>
      <c r="J1358" s="20"/>
      <c r="K1358" s="20"/>
      <c r="L1358" s="20"/>
      <c r="M1358" s="20">
        <f>M1359+M1363+M1367+M1371+M1375+M1379+M1383+M1387+M1391+M1395+M1399+M1403+M1407+M1411+M1415+M1419+M1423+M1427+M1431</f>
        <v>0</v>
      </c>
      <c r="N1358" s="20"/>
      <c r="O1358" s="37">
        <f t="shared" ref="O1358:AC1358" si="819">O1359+O1363+O1367+O1371+O1375+O1379+O1383+O1387+O1391+O1395+O1399+O1403+O1407+O1411+O1415+O1419+O1423+O1427+O1431</f>
        <v>11577219499.83057</v>
      </c>
      <c r="P1358" s="20">
        <f t="shared" si="819"/>
        <v>0</v>
      </c>
      <c r="Q1358" s="20">
        <f t="shared" si="819"/>
        <v>0</v>
      </c>
      <c r="R1358" s="20">
        <f t="shared" si="819"/>
        <v>0</v>
      </c>
      <c r="S1358" s="20">
        <f t="shared" si="819"/>
        <v>0</v>
      </c>
      <c r="T1358" s="20"/>
      <c r="U1358" s="20">
        <f t="shared" si="819"/>
        <v>0</v>
      </c>
      <c r="V1358" s="20"/>
      <c r="W1358" s="20">
        <f t="shared" si="819"/>
        <v>0</v>
      </c>
      <c r="X1358" s="20"/>
      <c r="Y1358" s="20">
        <f t="shared" si="819"/>
        <v>0</v>
      </c>
      <c r="Z1358" s="20">
        <f t="shared" si="819"/>
        <v>0</v>
      </c>
      <c r="AA1358" s="20"/>
      <c r="AB1358" s="20">
        <f t="shared" si="819"/>
        <v>0</v>
      </c>
      <c r="AC1358" s="20">
        <f t="shared" si="819"/>
        <v>0</v>
      </c>
      <c r="AD1358" s="20"/>
      <c r="AE1358" s="20"/>
    </row>
    <row r="1359" spans="1:34" s="1" customFormat="1" ht="11.45" x14ac:dyDescent="0.25">
      <c r="A1359" s="25"/>
      <c r="B1359" s="26" t="s">
        <v>1530</v>
      </c>
      <c r="C1359" s="26"/>
      <c r="D1359" s="64" t="s">
        <v>1531</v>
      </c>
      <c r="E1359" s="28"/>
      <c r="F1359" s="28"/>
      <c r="G1359" s="28"/>
      <c r="H1359" s="28"/>
      <c r="I1359" s="28"/>
      <c r="J1359" s="28"/>
      <c r="K1359" s="28"/>
      <c r="L1359" s="28"/>
      <c r="M1359" s="28">
        <f>SUM(M1360:M1362)</f>
        <v>0</v>
      </c>
      <c r="N1359" s="28"/>
      <c r="O1359" s="40">
        <f t="shared" ref="O1359:AC1359" si="820">SUM(O1360:O1362)</f>
        <v>509600000</v>
      </c>
      <c r="P1359" s="28">
        <f t="shared" si="820"/>
        <v>0</v>
      </c>
      <c r="Q1359" s="28">
        <f t="shared" si="820"/>
        <v>0</v>
      </c>
      <c r="R1359" s="28">
        <f t="shared" si="820"/>
        <v>0</v>
      </c>
      <c r="S1359" s="28">
        <f t="shared" si="820"/>
        <v>0</v>
      </c>
      <c r="T1359" s="28"/>
      <c r="U1359" s="28">
        <f t="shared" si="820"/>
        <v>0</v>
      </c>
      <c r="V1359" s="28"/>
      <c r="W1359" s="28">
        <f t="shared" si="820"/>
        <v>0</v>
      </c>
      <c r="X1359" s="28"/>
      <c r="Y1359" s="28">
        <f t="shared" si="820"/>
        <v>0</v>
      </c>
      <c r="Z1359" s="28">
        <f t="shared" si="820"/>
        <v>0</v>
      </c>
      <c r="AA1359" s="28"/>
      <c r="AB1359" s="28">
        <f t="shared" si="820"/>
        <v>0</v>
      </c>
      <c r="AC1359" s="28">
        <f t="shared" si="820"/>
        <v>0</v>
      </c>
      <c r="AD1359" s="28"/>
      <c r="AE1359" s="28"/>
      <c r="AH1359" s="103"/>
    </row>
    <row r="1360" spans="1:34" s="1" customFormat="1" ht="10.5" x14ac:dyDescent="0.25">
      <c r="A1360" s="21"/>
      <c r="B1360" s="22"/>
      <c r="C1360" s="22"/>
      <c r="D1360" s="65"/>
      <c r="E1360" s="24"/>
      <c r="F1360" s="24"/>
      <c r="G1360" s="24"/>
      <c r="H1360" s="24"/>
      <c r="I1360" s="24"/>
      <c r="J1360" s="24"/>
      <c r="K1360" s="24"/>
      <c r="L1360" s="24"/>
      <c r="M1360" s="24"/>
      <c r="N1360" s="24"/>
      <c r="O1360" s="41">
        <f>AB31</f>
        <v>509600000</v>
      </c>
      <c r="P1360" s="24"/>
      <c r="Q1360" s="24"/>
      <c r="R1360" s="24"/>
      <c r="S1360" s="24"/>
      <c r="T1360" s="24"/>
      <c r="U1360" s="24"/>
      <c r="V1360" s="24"/>
      <c r="W1360" s="24"/>
      <c r="X1360" s="24"/>
      <c r="Y1360" s="24"/>
      <c r="Z1360" s="24"/>
      <c r="AA1360" s="24"/>
      <c r="AB1360" s="24"/>
      <c r="AC1360" s="24"/>
      <c r="AD1360" s="24"/>
      <c r="AE1360" s="24"/>
    </row>
    <row r="1361" spans="1:31" s="1" customFormat="1" ht="10.5" x14ac:dyDescent="0.25">
      <c r="A1361" s="21"/>
      <c r="B1361" s="22"/>
      <c r="C1361" s="22"/>
      <c r="D1361" s="65"/>
      <c r="E1361" s="24"/>
      <c r="F1361" s="24"/>
      <c r="G1361" s="24"/>
      <c r="H1361" s="24"/>
      <c r="I1361" s="24"/>
      <c r="J1361" s="24"/>
      <c r="K1361" s="24"/>
      <c r="L1361" s="24"/>
      <c r="M1361" s="24"/>
      <c r="N1361" s="24"/>
      <c r="O1361" s="41"/>
      <c r="P1361" s="24"/>
      <c r="Q1361" s="24"/>
      <c r="R1361" s="24"/>
      <c r="S1361" s="24"/>
      <c r="T1361" s="24"/>
      <c r="U1361" s="24"/>
      <c r="V1361" s="24"/>
      <c r="W1361" s="24"/>
      <c r="X1361" s="24"/>
      <c r="Y1361" s="24"/>
      <c r="Z1361" s="24"/>
      <c r="AA1361" s="24"/>
      <c r="AB1361" s="24"/>
      <c r="AC1361" s="24"/>
      <c r="AD1361" s="24"/>
      <c r="AE1361" s="24"/>
    </row>
    <row r="1362" spans="1:31" s="1" customFormat="1" ht="10.5" x14ac:dyDescent="0.25">
      <c r="A1362" s="21"/>
      <c r="B1362" s="22"/>
      <c r="C1362" s="22"/>
      <c r="D1362" s="65"/>
      <c r="E1362" s="24"/>
      <c r="F1362" s="24"/>
      <c r="G1362" s="24"/>
      <c r="H1362" s="24"/>
      <c r="I1362" s="24"/>
      <c r="J1362" s="24"/>
      <c r="K1362" s="24"/>
      <c r="L1362" s="24"/>
      <c r="M1362" s="24"/>
      <c r="N1362" s="24"/>
      <c r="O1362" s="41"/>
      <c r="P1362" s="24"/>
      <c r="Q1362" s="24"/>
      <c r="R1362" s="24"/>
      <c r="S1362" s="24"/>
      <c r="T1362" s="24"/>
      <c r="U1362" s="24"/>
      <c r="V1362" s="24"/>
      <c r="W1362" s="24"/>
      <c r="X1362" s="24"/>
      <c r="Y1362" s="24"/>
      <c r="Z1362" s="24"/>
      <c r="AA1362" s="24"/>
      <c r="AB1362" s="24"/>
      <c r="AC1362" s="24"/>
      <c r="AD1362" s="24"/>
      <c r="AE1362" s="24"/>
    </row>
    <row r="1363" spans="1:31" s="1" customFormat="1" ht="21" x14ac:dyDescent="0.25">
      <c r="A1363" s="25"/>
      <c r="B1363" s="26" t="s">
        <v>1532</v>
      </c>
      <c r="C1363" s="26"/>
      <c r="D1363" s="64" t="s">
        <v>1533</v>
      </c>
      <c r="E1363" s="28"/>
      <c r="F1363" s="28"/>
      <c r="G1363" s="28"/>
      <c r="H1363" s="28"/>
      <c r="I1363" s="28"/>
      <c r="J1363" s="28"/>
      <c r="K1363" s="28"/>
      <c r="L1363" s="28"/>
      <c r="M1363" s="28">
        <f>SUM(M1364:M1366)</f>
        <v>0</v>
      </c>
      <c r="N1363" s="28"/>
      <c r="O1363" s="40">
        <f t="shared" ref="O1363:AC1363" si="821">SUM(O1364:O1366)</f>
        <v>2286732519.0476189</v>
      </c>
      <c r="P1363" s="28">
        <f t="shared" si="821"/>
        <v>0</v>
      </c>
      <c r="Q1363" s="28">
        <f t="shared" si="821"/>
        <v>0</v>
      </c>
      <c r="R1363" s="28">
        <f t="shared" si="821"/>
        <v>0</v>
      </c>
      <c r="S1363" s="28">
        <f t="shared" si="821"/>
        <v>0</v>
      </c>
      <c r="T1363" s="28"/>
      <c r="U1363" s="28">
        <f t="shared" si="821"/>
        <v>0</v>
      </c>
      <c r="V1363" s="28"/>
      <c r="W1363" s="28">
        <f t="shared" si="821"/>
        <v>0</v>
      </c>
      <c r="X1363" s="28"/>
      <c r="Y1363" s="28">
        <f t="shared" si="821"/>
        <v>0</v>
      </c>
      <c r="Z1363" s="28">
        <f t="shared" si="821"/>
        <v>0</v>
      </c>
      <c r="AA1363" s="28"/>
      <c r="AB1363" s="28">
        <f t="shared" si="821"/>
        <v>0</v>
      </c>
      <c r="AC1363" s="28">
        <f t="shared" si="821"/>
        <v>0</v>
      </c>
      <c r="AD1363" s="28"/>
      <c r="AE1363" s="28"/>
    </row>
    <row r="1364" spans="1:31" s="1" customFormat="1" ht="10.5" x14ac:dyDescent="0.25">
      <c r="A1364" s="21"/>
      <c r="B1364" s="22"/>
      <c r="C1364" s="22"/>
      <c r="D1364" s="65"/>
      <c r="E1364" s="24"/>
      <c r="F1364" s="24"/>
      <c r="G1364" s="24"/>
      <c r="H1364" s="24"/>
      <c r="I1364" s="24"/>
      <c r="J1364" s="24"/>
      <c r="K1364" s="24"/>
      <c r="L1364" s="24"/>
      <c r="M1364" s="24"/>
      <c r="N1364" s="24"/>
      <c r="O1364" s="41">
        <f>AB44</f>
        <v>2286732519.0476189</v>
      </c>
      <c r="P1364" s="24"/>
      <c r="Q1364" s="24"/>
      <c r="R1364" s="24"/>
      <c r="S1364" s="24"/>
      <c r="T1364" s="24"/>
      <c r="U1364" s="24"/>
      <c r="V1364" s="24"/>
      <c r="W1364" s="24"/>
      <c r="X1364" s="24"/>
      <c r="Y1364" s="24"/>
      <c r="Z1364" s="24"/>
      <c r="AA1364" s="24"/>
      <c r="AB1364" s="24"/>
      <c r="AC1364" s="24"/>
      <c r="AD1364" s="24"/>
      <c r="AE1364" s="24"/>
    </row>
    <row r="1365" spans="1:31" s="1" customFormat="1" ht="10.5" x14ac:dyDescent="0.25">
      <c r="A1365" s="21"/>
      <c r="B1365" s="22"/>
      <c r="C1365" s="22"/>
      <c r="D1365" s="65"/>
      <c r="E1365" s="24"/>
      <c r="F1365" s="24"/>
      <c r="G1365" s="24"/>
      <c r="H1365" s="24"/>
      <c r="I1365" s="24"/>
      <c r="J1365" s="24"/>
      <c r="K1365" s="24"/>
      <c r="L1365" s="24"/>
      <c r="M1365" s="24"/>
      <c r="N1365" s="24"/>
      <c r="O1365" s="41"/>
      <c r="P1365" s="24"/>
      <c r="Q1365" s="24"/>
      <c r="R1365" s="24"/>
      <c r="S1365" s="24"/>
      <c r="T1365" s="24"/>
      <c r="U1365" s="24"/>
      <c r="V1365" s="24"/>
      <c r="W1365" s="24"/>
      <c r="X1365" s="24"/>
      <c r="Y1365" s="24"/>
      <c r="Z1365" s="24"/>
      <c r="AA1365" s="24"/>
      <c r="AB1365" s="24"/>
      <c r="AC1365" s="24"/>
      <c r="AD1365" s="24"/>
      <c r="AE1365" s="24"/>
    </row>
    <row r="1366" spans="1:31" s="1" customFormat="1" ht="10.5" x14ac:dyDescent="0.25">
      <c r="A1366" s="21"/>
      <c r="B1366" s="22"/>
      <c r="C1366" s="22"/>
      <c r="D1366" s="65"/>
      <c r="E1366" s="24"/>
      <c r="F1366" s="24"/>
      <c r="G1366" s="24"/>
      <c r="H1366" s="24"/>
      <c r="I1366" s="24"/>
      <c r="J1366" s="24"/>
      <c r="K1366" s="24"/>
      <c r="L1366" s="24"/>
      <c r="M1366" s="24"/>
      <c r="N1366" s="24"/>
      <c r="O1366" s="41"/>
      <c r="P1366" s="24"/>
      <c r="Q1366" s="24"/>
      <c r="R1366" s="24"/>
      <c r="S1366" s="24"/>
      <c r="T1366" s="24"/>
      <c r="U1366" s="24"/>
      <c r="V1366" s="24"/>
      <c r="W1366" s="24"/>
      <c r="X1366" s="24"/>
      <c r="Y1366" s="24"/>
      <c r="Z1366" s="24"/>
      <c r="AA1366" s="24"/>
      <c r="AB1366" s="24"/>
      <c r="AC1366" s="24"/>
      <c r="AD1366" s="24"/>
      <c r="AE1366" s="24"/>
    </row>
    <row r="1367" spans="1:31" s="1" customFormat="1" ht="21" x14ac:dyDescent="0.25">
      <c r="A1367" s="25"/>
      <c r="B1367" s="26" t="s">
        <v>1534</v>
      </c>
      <c r="C1367" s="26"/>
      <c r="D1367" s="64" t="s">
        <v>1535</v>
      </c>
      <c r="E1367" s="28"/>
      <c r="F1367" s="28"/>
      <c r="G1367" s="28"/>
      <c r="H1367" s="28"/>
      <c r="I1367" s="28"/>
      <c r="J1367" s="28"/>
      <c r="K1367" s="28"/>
      <c r="L1367" s="28"/>
      <c r="M1367" s="28">
        <f>SUM(M1368:M1370)</f>
        <v>0</v>
      </c>
      <c r="N1367" s="28"/>
      <c r="O1367" s="40">
        <f t="shared" ref="O1367:AC1367" si="822">SUM(O1368:O1370)</f>
        <v>0</v>
      </c>
      <c r="P1367" s="28">
        <f t="shared" si="822"/>
        <v>0</v>
      </c>
      <c r="Q1367" s="28">
        <f t="shared" si="822"/>
        <v>0</v>
      </c>
      <c r="R1367" s="28">
        <f t="shared" si="822"/>
        <v>0</v>
      </c>
      <c r="S1367" s="28">
        <f t="shared" si="822"/>
        <v>0</v>
      </c>
      <c r="T1367" s="28"/>
      <c r="U1367" s="28">
        <f t="shared" si="822"/>
        <v>0</v>
      </c>
      <c r="V1367" s="28"/>
      <c r="W1367" s="28">
        <f t="shared" si="822"/>
        <v>0</v>
      </c>
      <c r="X1367" s="28"/>
      <c r="Y1367" s="28">
        <f t="shared" si="822"/>
        <v>0</v>
      </c>
      <c r="Z1367" s="28">
        <f t="shared" si="822"/>
        <v>0</v>
      </c>
      <c r="AA1367" s="28"/>
      <c r="AB1367" s="28">
        <f t="shared" si="822"/>
        <v>0</v>
      </c>
      <c r="AC1367" s="28">
        <f t="shared" si="822"/>
        <v>0</v>
      </c>
      <c r="AD1367" s="28"/>
      <c r="AE1367" s="28"/>
    </row>
    <row r="1368" spans="1:31" s="1" customFormat="1" ht="10.5" x14ac:dyDescent="0.25">
      <c r="A1368" s="21"/>
      <c r="B1368" s="22"/>
      <c r="C1368" s="22"/>
      <c r="D1368" s="65"/>
      <c r="E1368" s="24"/>
      <c r="F1368" s="24"/>
      <c r="G1368" s="24"/>
      <c r="H1368" s="24"/>
      <c r="I1368" s="24"/>
      <c r="J1368" s="24"/>
      <c r="K1368" s="24"/>
      <c r="L1368" s="24"/>
      <c r="M1368" s="24"/>
      <c r="N1368" s="24"/>
      <c r="O1368" s="41">
        <f>AB89</f>
        <v>0</v>
      </c>
      <c r="P1368" s="24"/>
      <c r="Q1368" s="24"/>
      <c r="R1368" s="24"/>
      <c r="S1368" s="24"/>
      <c r="T1368" s="24"/>
      <c r="U1368" s="24"/>
      <c r="V1368" s="24"/>
      <c r="W1368" s="24"/>
      <c r="X1368" s="24"/>
      <c r="Y1368" s="24"/>
      <c r="Z1368" s="24"/>
      <c r="AA1368" s="24"/>
      <c r="AB1368" s="24"/>
      <c r="AC1368" s="24"/>
      <c r="AD1368" s="24"/>
      <c r="AE1368" s="24"/>
    </row>
    <row r="1369" spans="1:31" s="1" customFormat="1" ht="10.5" x14ac:dyDescent="0.25">
      <c r="A1369" s="21"/>
      <c r="B1369" s="22"/>
      <c r="C1369" s="22"/>
      <c r="D1369" s="65"/>
      <c r="E1369" s="24"/>
      <c r="F1369" s="24"/>
      <c r="G1369" s="24"/>
      <c r="H1369" s="24"/>
      <c r="I1369" s="24"/>
      <c r="J1369" s="24"/>
      <c r="K1369" s="24"/>
      <c r="L1369" s="24"/>
      <c r="M1369" s="24"/>
      <c r="N1369" s="24"/>
      <c r="O1369" s="41"/>
      <c r="P1369" s="24"/>
      <c r="Q1369" s="24"/>
      <c r="R1369" s="24"/>
      <c r="S1369" s="24"/>
      <c r="T1369" s="24"/>
      <c r="U1369" s="24"/>
      <c r="V1369" s="24"/>
      <c r="W1369" s="24"/>
      <c r="X1369" s="24"/>
      <c r="Y1369" s="24"/>
      <c r="Z1369" s="24"/>
      <c r="AA1369" s="24"/>
      <c r="AB1369" s="24"/>
      <c r="AC1369" s="24"/>
      <c r="AD1369" s="24"/>
      <c r="AE1369" s="24"/>
    </row>
    <row r="1370" spans="1:31" s="1" customFormat="1" ht="10.5" x14ac:dyDescent="0.25">
      <c r="A1370" s="21"/>
      <c r="B1370" s="22"/>
      <c r="C1370" s="22"/>
      <c r="D1370" s="65"/>
      <c r="E1370" s="24"/>
      <c r="F1370" s="24"/>
      <c r="G1370" s="24"/>
      <c r="H1370" s="24"/>
      <c r="I1370" s="24"/>
      <c r="J1370" s="24"/>
      <c r="K1370" s="24"/>
      <c r="L1370" s="24"/>
      <c r="M1370" s="24"/>
      <c r="N1370" s="24"/>
      <c r="O1370" s="41"/>
      <c r="P1370" s="24"/>
      <c r="Q1370" s="24"/>
      <c r="R1370" s="24"/>
      <c r="S1370" s="24"/>
      <c r="T1370" s="24"/>
      <c r="U1370" s="24"/>
      <c r="V1370" s="24"/>
      <c r="W1370" s="24"/>
      <c r="X1370" s="24"/>
      <c r="Y1370" s="24"/>
      <c r="Z1370" s="24"/>
      <c r="AA1370" s="24"/>
      <c r="AB1370" s="24"/>
      <c r="AC1370" s="24"/>
      <c r="AD1370" s="24"/>
      <c r="AE1370" s="24"/>
    </row>
    <row r="1371" spans="1:31" s="1" customFormat="1" ht="21" x14ac:dyDescent="0.25">
      <c r="A1371" s="25"/>
      <c r="B1371" s="26" t="s">
        <v>1536</v>
      </c>
      <c r="C1371" s="26"/>
      <c r="D1371" s="64" t="s">
        <v>1537</v>
      </c>
      <c r="E1371" s="28"/>
      <c r="F1371" s="28"/>
      <c r="G1371" s="28"/>
      <c r="H1371" s="28"/>
      <c r="I1371" s="28"/>
      <c r="J1371" s="28"/>
      <c r="K1371" s="28"/>
      <c r="L1371" s="28"/>
      <c r="M1371" s="28">
        <f>SUM(M1372:M1374)</f>
        <v>0</v>
      </c>
      <c r="N1371" s="28"/>
      <c r="O1371" s="40">
        <f t="shared" ref="O1371:AC1371" si="823">SUM(O1372:O1374)</f>
        <v>0</v>
      </c>
      <c r="P1371" s="28">
        <f t="shared" si="823"/>
        <v>0</v>
      </c>
      <c r="Q1371" s="28">
        <f t="shared" si="823"/>
        <v>0</v>
      </c>
      <c r="R1371" s="28">
        <f t="shared" si="823"/>
        <v>0</v>
      </c>
      <c r="S1371" s="28">
        <f t="shared" si="823"/>
        <v>0</v>
      </c>
      <c r="T1371" s="28"/>
      <c r="U1371" s="28">
        <f t="shared" si="823"/>
        <v>0</v>
      </c>
      <c r="V1371" s="28"/>
      <c r="W1371" s="28">
        <f t="shared" si="823"/>
        <v>0</v>
      </c>
      <c r="X1371" s="28"/>
      <c r="Y1371" s="28">
        <f t="shared" si="823"/>
        <v>0</v>
      </c>
      <c r="Z1371" s="28">
        <f t="shared" si="823"/>
        <v>0</v>
      </c>
      <c r="AA1371" s="28"/>
      <c r="AB1371" s="28">
        <f t="shared" si="823"/>
        <v>0</v>
      </c>
      <c r="AC1371" s="28">
        <f t="shared" si="823"/>
        <v>0</v>
      </c>
      <c r="AD1371" s="28"/>
      <c r="AE1371" s="28"/>
    </row>
    <row r="1372" spans="1:31" s="1" customFormat="1" ht="10.5" x14ac:dyDescent="0.25">
      <c r="A1372" s="21"/>
      <c r="B1372" s="22"/>
      <c r="C1372" s="22"/>
      <c r="D1372" s="65"/>
      <c r="E1372" s="24"/>
      <c r="F1372" s="24"/>
      <c r="G1372" s="24"/>
      <c r="H1372" s="24"/>
      <c r="I1372" s="24"/>
      <c r="J1372" s="24"/>
      <c r="K1372" s="24"/>
      <c r="L1372" s="24"/>
      <c r="M1372" s="24"/>
      <c r="N1372" s="24"/>
      <c r="O1372" s="41">
        <f>AB96</f>
        <v>0</v>
      </c>
      <c r="P1372" s="24"/>
      <c r="Q1372" s="24"/>
      <c r="R1372" s="24"/>
      <c r="S1372" s="24"/>
      <c r="T1372" s="24"/>
      <c r="U1372" s="24"/>
      <c r="V1372" s="24"/>
      <c r="W1372" s="24"/>
      <c r="X1372" s="24"/>
      <c r="Y1372" s="24"/>
      <c r="Z1372" s="24"/>
      <c r="AA1372" s="24"/>
      <c r="AB1372" s="24"/>
      <c r="AC1372" s="24"/>
      <c r="AD1372" s="24"/>
      <c r="AE1372" s="24"/>
    </row>
    <row r="1373" spans="1:31" s="1" customFormat="1" ht="10.5" x14ac:dyDescent="0.25">
      <c r="A1373" s="21"/>
      <c r="B1373" s="22"/>
      <c r="C1373" s="22"/>
      <c r="D1373" s="65"/>
      <c r="E1373" s="24"/>
      <c r="F1373" s="24"/>
      <c r="G1373" s="24"/>
      <c r="H1373" s="24"/>
      <c r="I1373" s="24"/>
      <c r="J1373" s="24"/>
      <c r="K1373" s="24"/>
      <c r="L1373" s="24"/>
      <c r="M1373" s="24"/>
      <c r="N1373" s="24"/>
      <c r="O1373" s="41"/>
      <c r="P1373" s="24"/>
      <c r="Q1373" s="24"/>
      <c r="R1373" s="24"/>
      <c r="S1373" s="24"/>
      <c r="T1373" s="24"/>
      <c r="U1373" s="24"/>
      <c r="V1373" s="24"/>
      <c r="W1373" s="24"/>
      <c r="X1373" s="24"/>
      <c r="Y1373" s="24"/>
      <c r="Z1373" s="24"/>
      <c r="AA1373" s="24"/>
      <c r="AB1373" s="24"/>
      <c r="AC1373" s="24"/>
      <c r="AD1373" s="24"/>
      <c r="AE1373" s="24"/>
    </row>
    <row r="1374" spans="1:31" s="1" customFormat="1" ht="10.5" x14ac:dyDescent="0.25">
      <c r="A1374" s="21"/>
      <c r="B1374" s="22"/>
      <c r="C1374" s="22"/>
      <c r="D1374" s="65"/>
      <c r="E1374" s="24"/>
      <c r="F1374" s="24"/>
      <c r="G1374" s="24"/>
      <c r="H1374" s="24"/>
      <c r="I1374" s="24"/>
      <c r="J1374" s="24"/>
      <c r="K1374" s="24"/>
      <c r="L1374" s="24"/>
      <c r="M1374" s="24"/>
      <c r="N1374" s="24"/>
      <c r="O1374" s="41"/>
      <c r="P1374" s="24"/>
      <c r="Q1374" s="24"/>
      <c r="R1374" s="24"/>
      <c r="S1374" s="24"/>
      <c r="T1374" s="24"/>
      <c r="U1374" s="24"/>
      <c r="V1374" s="24"/>
      <c r="W1374" s="24"/>
      <c r="X1374" s="24"/>
      <c r="Y1374" s="24"/>
      <c r="Z1374" s="24"/>
      <c r="AA1374" s="24"/>
      <c r="AB1374" s="24"/>
      <c r="AC1374" s="24"/>
      <c r="AD1374" s="24"/>
      <c r="AE1374" s="24"/>
    </row>
    <row r="1375" spans="1:31" s="1" customFormat="1" ht="21" x14ac:dyDescent="0.25">
      <c r="A1375" s="25"/>
      <c r="B1375" s="26" t="s">
        <v>1538</v>
      </c>
      <c r="C1375" s="26"/>
      <c r="D1375" s="64" t="s">
        <v>1539</v>
      </c>
      <c r="E1375" s="28"/>
      <c r="F1375" s="28"/>
      <c r="G1375" s="28"/>
      <c r="H1375" s="28"/>
      <c r="I1375" s="28"/>
      <c r="J1375" s="28"/>
      <c r="K1375" s="28"/>
      <c r="L1375" s="28"/>
      <c r="M1375" s="28">
        <f>SUM(M1376:M1378)</f>
        <v>0</v>
      </c>
      <c r="N1375" s="28"/>
      <c r="O1375" s="40">
        <f t="shared" ref="O1375:AC1375" si="824">SUM(O1376:O1378)</f>
        <v>6940158212.2146168</v>
      </c>
      <c r="P1375" s="28">
        <f t="shared" si="824"/>
        <v>0</v>
      </c>
      <c r="Q1375" s="28">
        <f t="shared" si="824"/>
        <v>0</v>
      </c>
      <c r="R1375" s="28">
        <f t="shared" si="824"/>
        <v>0</v>
      </c>
      <c r="S1375" s="28">
        <f t="shared" si="824"/>
        <v>0</v>
      </c>
      <c r="T1375" s="28"/>
      <c r="U1375" s="28">
        <f t="shared" si="824"/>
        <v>0</v>
      </c>
      <c r="V1375" s="28"/>
      <c r="W1375" s="28">
        <f t="shared" si="824"/>
        <v>0</v>
      </c>
      <c r="X1375" s="28"/>
      <c r="Y1375" s="28">
        <f t="shared" si="824"/>
        <v>0</v>
      </c>
      <c r="Z1375" s="28">
        <f t="shared" si="824"/>
        <v>0</v>
      </c>
      <c r="AA1375" s="28"/>
      <c r="AB1375" s="28">
        <f t="shared" si="824"/>
        <v>0</v>
      </c>
      <c r="AC1375" s="28">
        <f t="shared" si="824"/>
        <v>0</v>
      </c>
      <c r="AD1375" s="28"/>
      <c r="AE1375" s="28"/>
    </row>
    <row r="1376" spans="1:31" s="1" customFormat="1" ht="10.5" x14ac:dyDescent="0.25">
      <c r="A1376" s="21"/>
      <c r="B1376" s="22"/>
      <c r="C1376" s="22"/>
      <c r="D1376" s="65"/>
      <c r="E1376" s="24"/>
      <c r="F1376" s="24"/>
      <c r="G1376" s="24"/>
      <c r="H1376" s="24"/>
      <c r="I1376" s="24"/>
      <c r="J1376" s="24"/>
      <c r="K1376" s="24"/>
      <c r="L1376" s="24"/>
      <c r="M1376" s="24"/>
      <c r="N1376" s="24"/>
      <c r="O1376" s="41">
        <f>AB101</f>
        <v>6940158212.2146168</v>
      </c>
      <c r="P1376" s="24"/>
      <c r="Q1376" s="24"/>
      <c r="R1376" s="24"/>
      <c r="S1376" s="24"/>
      <c r="T1376" s="24"/>
      <c r="U1376" s="24"/>
      <c r="V1376" s="24"/>
      <c r="W1376" s="24"/>
      <c r="X1376" s="24"/>
      <c r="Y1376" s="24"/>
      <c r="Z1376" s="24"/>
      <c r="AA1376" s="24"/>
      <c r="AB1376" s="24"/>
      <c r="AC1376" s="24"/>
      <c r="AD1376" s="24"/>
      <c r="AE1376" s="24"/>
    </row>
    <row r="1377" spans="1:31" s="1" customFormat="1" ht="10.5" x14ac:dyDescent="0.25">
      <c r="A1377" s="21"/>
      <c r="B1377" s="22"/>
      <c r="C1377" s="22"/>
      <c r="D1377" s="65"/>
      <c r="E1377" s="24"/>
      <c r="F1377" s="24"/>
      <c r="G1377" s="24"/>
      <c r="H1377" s="24"/>
      <c r="I1377" s="24"/>
      <c r="J1377" s="24"/>
      <c r="K1377" s="24"/>
      <c r="L1377" s="24"/>
      <c r="M1377" s="24"/>
      <c r="N1377" s="24"/>
      <c r="O1377" s="41"/>
      <c r="P1377" s="24"/>
      <c r="Q1377" s="24"/>
      <c r="R1377" s="24"/>
      <c r="S1377" s="24"/>
      <c r="T1377" s="24"/>
      <c r="U1377" s="24"/>
      <c r="V1377" s="24"/>
      <c r="W1377" s="24"/>
      <c r="X1377" s="24"/>
      <c r="Y1377" s="24"/>
      <c r="Z1377" s="24"/>
      <c r="AA1377" s="24"/>
      <c r="AB1377" s="24"/>
      <c r="AC1377" s="24"/>
      <c r="AD1377" s="24"/>
      <c r="AE1377" s="24"/>
    </row>
    <row r="1378" spans="1:31" s="1" customFormat="1" ht="10.5" x14ac:dyDescent="0.25">
      <c r="A1378" s="21"/>
      <c r="B1378" s="22"/>
      <c r="C1378" s="22"/>
      <c r="D1378" s="65"/>
      <c r="E1378" s="24"/>
      <c r="F1378" s="24"/>
      <c r="G1378" s="24"/>
      <c r="H1378" s="24"/>
      <c r="I1378" s="24"/>
      <c r="J1378" s="24"/>
      <c r="K1378" s="24"/>
      <c r="L1378" s="24"/>
      <c r="M1378" s="24"/>
      <c r="N1378" s="24"/>
      <c r="O1378" s="41"/>
      <c r="P1378" s="24"/>
      <c r="Q1378" s="24"/>
      <c r="R1378" s="24"/>
      <c r="S1378" s="24"/>
      <c r="T1378" s="24"/>
      <c r="U1378" s="24"/>
      <c r="V1378" s="24"/>
      <c r="W1378" s="24"/>
      <c r="X1378" s="24"/>
      <c r="Y1378" s="24"/>
      <c r="Z1378" s="24"/>
      <c r="AA1378" s="24"/>
      <c r="AB1378" s="24"/>
      <c r="AC1378" s="24"/>
      <c r="AD1378" s="24"/>
      <c r="AE1378" s="24"/>
    </row>
    <row r="1379" spans="1:31" s="1" customFormat="1" ht="21" x14ac:dyDescent="0.25">
      <c r="A1379" s="25"/>
      <c r="B1379" s="26" t="s">
        <v>1540</v>
      </c>
      <c r="C1379" s="26"/>
      <c r="D1379" s="64" t="s">
        <v>1541</v>
      </c>
      <c r="E1379" s="28"/>
      <c r="F1379" s="28"/>
      <c r="G1379" s="28"/>
      <c r="H1379" s="28"/>
      <c r="I1379" s="28"/>
      <c r="J1379" s="28"/>
      <c r="K1379" s="28"/>
      <c r="L1379" s="28"/>
      <c r="M1379" s="28">
        <f>SUM(M1380:M1382)</f>
        <v>0</v>
      </c>
      <c r="N1379" s="28"/>
      <c r="O1379" s="40">
        <f t="shared" ref="O1379:AC1379" si="825">SUM(O1380:O1382)</f>
        <v>187050500</v>
      </c>
      <c r="P1379" s="28">
        <f t="shared" si="825"/>
        <v>0</v>
      </c>
      <c r="Q1379" s="28">
        <f t="shared" si="825"/>
        <v>0</v>
      </c>
      <c r="R1379" s="28">
        <f t="shared" si="825"/>
        <v>0</v>
      </c>
      <c r="S1379" s="28">
        <f t="shared" si="825"/>
        <v>0</v>
      </c>
      <c r="T1379" s="28"/>
      <c r="U1379" s="28">
        <f t="shared" si="825"/>
        <v>0</v>
      </c>
      <c r="V1379" s="28"/>
      <c r="W1379" s="28">
        <f t="shared" si="825"/>
        <v>0</v>
      </c>
      <c r="X1379" s="28"/>
      <c r="Y1379" s="28">
        <f t="shared" si="825"/>
        <v>0</v>
      </c>
      <c r="Z1379" s="28">
        <f t="shared" si="825"/>
        <v>0</v>
      </c>
      <c r="AA1379" s="28"/>
      <c r="AB1379" s="28">
        <f t="shared" si="825"/>
        <v>0</v>
      </c>
      <c r="AC1379" s="28">
        <f t="shared" si="825"/>
        <v>0</v>
      </c>
      <c r="AD1379" s="28"/>
      <c r="AE1379" s="28"/>
    </row>
    <row r="1380" spans="1:31" s="1" customFormat="1" ht="10.5" x14ac:dyDescent="0.25">
      <c r="A1380" s="21"/>
      <c r="B1380" s="22"/>
      <c r="C1380" s="22"/>
      <c r="D1380" s="65"/>
      <c r="E1380" s="24"/>
      <c r="F1380" s="24"/>
      <c r="G1380" s="24"/>
      <c r="H1380" s="24"/>
      <c r="I1380" s="24"/>
      <c r="J1380" s="24"/>
      <c r="K1380" s="24"/>
      <c r="L1380" s="24"/>
      <c r="M1380" s="24"/>
      <c r="N1380" s="24"/>
      <c r="O1380" s="41">
        <f>AB742</f>
        <v>187050500</v>
      </c>
      <c r="P1380" s="24"/>
      <c r="Q1380" s="24"/>
      <c r="R1380" s="24"/>
      <c r="S1380" s="24"/>
      <c r="T1380" s="24"/>
      <c r="U1380" s="24"/>
      <c r="V1380" s="24"/>
      <c r="W1380" s="24"/>
      <c r="X1380" s="24"/>
      <c r="Y1380" s="24"/>
      <c r="Z1380" s="24"/>
      <c r="AA1380" s="24"/>
      <c r="AB1380" s="24"/>
      <c r="AC1380" s="24"/>
      <c r="AD1380" s="24"/>
      <c r="AE1380" s="24"/>
    </row>
    <row r="1381" spans="1:31" s="1" customFormat="1" ht="10.5" x14ac:dyDescent="0.25">
      <c r="A1381" s="21"/>
      <c r="B1381" s="22"/>
      <c r="C1381" s="22"/>
      <c r="D1381" s="65"/>
      <c r="E1381" s="24"/>
      <c r="F1381" s="24"/>
      <c r="G1381" s="24"/>
      <c r="H1381" s="24"/>
      <c r="I1381" s="24"/>
      <c r="J1381" s="24"/>
      <c r="K1381" s="24"/>
      <c r="L1381" s="24"/>
      <c r="M1381" s="24"/>
      <c r="N1381" s="24"/>
      <c r="O1381" s="41"/>
      <c r="P1381" s="24"/>
      <c r="Q1381" s="24"/>
      <c r="R1381" s="24"/>
      <c r="S1381" s="24"/>
      <c r="T1381" s="24"/>
      <c r="U1381" s="24"/>
      <c r="V1381" s="24"/>
      <c r="W1381" s="24"/>
      <c r="X1381" s="24"/>
      <c r="Y1381" s="24"/>
      <c r="Z1381" s="24"/>
      <c r="AA1381" s="24"/>
      <c r="AB1381" s="24"/>
      <c r="AC1381" s="24"/>
      <c r="AD1381" s="24"/>
      <c r="AE1381" s="24"/>
    </row>
    <row r="1382" spans="1:31" s="1" customFormat="1" ht="10.5" x14ac:dyDescent="0.25">
      <c r="A1382" s="21"/>
      <c r="B1382" s="22"/>
      <c r="C1382" s="22"/>
      <c r="D1382" s="65"/>
      <c r="E1382" s="24"/>
      <c r="F1382" s="24"/>
      <c r="G1382" s="24"/>
      <c r="H1382" s="24"/>
      <c r="I1382" s="24"/>
      <c r="J1382" s="24"/>
      <c r="K1382" s="24"/>
      <c r="L1382" s="24"/>
      <c r="M1382" s="24"/>
      <c r="N1382" s="24"/>
      <c r="O1382" s="41"/>
      <c r="P1382" s="24"/>
      <c r="Q1382" s="24"/>
      <c r="R1382" s="24"/>
      <c r="S1382" s="24"/>
      <c r="T1382" s="24"/>
      <c r="U1382" s="24"/>
      <c r="V1382" s="24"/>
      <c r="W1382" s="24"/>
      <c r="X1382" s="24"/>
      <c r="Y1382" s="24"/>
      <c r="Z1382" s="24"/>
      <c r="AA1382" s="24"/>
      <c r="AB1382" s="24"/>
      <c r="AC1382" s="24"/>
      <c r="AD1382" s="24"/>
      <c r="AE1382" s="24"/>
    </row>
    <row r="1383" spans="1:31" s="1" customFormat="1" ht="21" x14ac:dyDescent="0.25">
      <c r="A1383" s="25"/>
      <c r="B1383" s="26" t="s">
        <v>1542</v>
      </c>
      <c r="C1383" s="26"/>
      <c r="D1383" s="64" t="s">
        <v>1543</v>
      </c>
      <c r="E1383" s="28"/>
      <c r="F1383" s="28"/>
      <c r="G1383" s="28"/>
      <c r="H1383" s="28"/>
      <c r="I1383" s="28"/>
      <c r="J1383" s="28"/>
      <c r="K1383" s="28"/>
      <c r="L1383" s="28"/>
      <c r="M1383" s="28">
        <f>SUM(M1384:M1386)</f>
        <v>0</v>
      </c>
      <c r="N1383" s="28"/>
      <c r="O1383" s="40">
        <f t="shared" ref="O1383:AC1383" si="826">SUM(O1384:O1386)</f>
        <v>1473333.3333333335</v>
      </c>
      <c r="P1383" s="28">
        <f t="shared" si="826"/>
        <v>0</v>
      </c>
      <c r="Q1383" s="28">
        <f t="shared" si="826"/>
        <v>0</v>
      </c>
      <c r="R1383" s="28">
        <f t="shared" si="826"/>
        <v>0</v>
      </c>
      <c r="S1383" s="28">
        <f t="shared" si="826"/>
        <v>0</v>
      </c>
      <c r="T1383" s="28"/>
      <c r="U1383" s="28">
        <f t="shared" si="826"/>
        <v>0</v>
      </c>
      <c r="V1383" s="28"/>
      <c r="W1383" s="28">
        <f t="shared" si="826"/>
        <v>0</v>
      </c>
      <c r="X1383" s="28"/>
      <c r="Y1383" s="28">
        <f t="shared" si="826"/>
        <v>0</v>
      </c>
      <c r="Z1383" s="28">
        <f t="shared" si="826"/>
        <v>0</v>
      </c>
      <c r="AA1383" s="28"/>
      <c r="AB1383" s="28">
        <f t="shared" si="826"/>
        <v>0</v>
      </c>
      <c r="AC1383" s="28">
        <f t="shared" si="826"/>
        <v>0</v>
      </c>
      <c r="AD1383" s="28"/>
      <c r="AE1383" s="28"/>
    </row>
    <row r="1384" spans="1:31" s="1" customFormat="1" ht="10.5" x14ac:dyDescent="0.25">
      <c r="A1384" s="21"/>
      <c r="B1384" s="22"/>
      <c r="C1384" s="22"/>
      <c r="D1384" s="65"/>
      <c r="E1384" s="24"/>
      <c r="F1384" s="24"/>
      <c r="G1384" s="24"/>
      <c r="H1384" s="24"/>
      <c r="I1384" s="24"/>
      <c r="J1384" s="24"/>
      <c r="K1384" s="24"/>
      <c r="L1384" s="24"/>
      <c r="M1384" s="24"/>
      <c r="N1384" s="24"/>
      <c r="O1384" s="41">
        <f>AB764</f>
        <v>1473333.3333333335</v>
      </c>
      <c r="P1384" s="24"/>
      <c r="Q1384" s="24"/>
      <c r="R1384" s="24"/>
      <c r="S1384" s="24"/>
      <c r="T1384" s="24"/>
      <c r="U1384" s="24"/>
      <c r="V1384" s="24"/>
      <c r="W1384" s="24"/>
      <c r="X1384" s="24"/>
      <c r="Y1384" s="24"/>
      <c r="Z1384" s="24"/>
      <c r="AA1384" s="24"/>
      <c r="AB1384" s="24"/>
      <c r="AC1384" s="24"/>
      <c r="AD1384" s="24"/>
      <c r="AE1384" s="24"/>
    </row>
    <row r="1385" spans="1:31" s="1" customFormat="1" ht="10.5" x14ac:dyDescent="0.25">
      <c r="A1385" s="21"/>
      <c r="B1385" s="22"/>
      <c r="C1385" s="22"/>
      <c r="D1385" s="65"/>
      <c r="E1385" s="24"/>
      <c r="F1385" s="24"/>
      <c r="G1385" s="24"/>
      <c r="H1385" s="24"/>
      <c r="I1385" s="24"/>
      <c r="J1385" s="24"/>
      <c r="K1385" s="24"/>
      <c r="L1385" s="24"/>
      <c r="M1385" s="24"/>
      <c r="N1385" s="24"/>
      <c r="O1385" s="41"/>
      <c r="P1385" s="24"/>
      <c r="Q1385" s="24"/>
      <c r="R1385" s="24"/>
      <c r="S1385" s="24"/>
      <c r="T1385" s="24"/>
      <c r="U1385" s="24"/>
      <c r="V1385" s="24"/>
      <c r="W1385" s="24"/>
      <c r="X1385" s="24"/>
      <c r="Y1385" s="24"/>
      <c r="Z1385" s="24"/>
      <c r="AA1385" s="24"/>
      <c r="AB1385" s="24"/>
      <c r="AC1385" s="24"/>
      <c r="AD1385" s="24"/>
      <c r="AE1385" s="24"/>
    </row>
    <row r="1386" spans="1:31" s="1" customFormat="1" ht="10.5" x14ac:dyDescent="0.25">
      <c r="A1386" s="21"/>
      <c r="B1386" s="22"/>
      <c r="C1386" s="22"/>
      <c r="D1386" s="65"/>
      <c r="E1386" s="24"/>
      <c r="F1386" s="24"/>
      <c r="G1386" s="24"/>
      <c r="H1386" s="24"/>
      <c r="I1386" s="24"/>
      <c r="J1386" s="24"/>
      <c r="K1386" s="24"/>
      <c r="L1386" s="24"/>
      <c r="M1386" s="24"/>
      <c r="N1386" s="24"/>
      <c r="O1386" s="41"/>
      <c r="P1386" s="24"/>
      <c r="Q1386" s="24"/>
      <c r="R1386" s="24"/>
      <c r="S1386" s="24"/>
      <c r="T1386" s="24"/>
      <c r="U1386" s="24"/>
      <c r="V1386" s="24"/>
      <c r="W1386" s="24"/>
      <c r="X1386" s="24"/>
      <c r="Y1386" s="24"/>
      <c r="Z1386" s="24"/>
      <c r="AA1386" s="24"/>
      <c r="AB1386" s="24"/>
      <c r="AC1386" s="24"/>
      <c r="AD1386" s="24"/>
      <c r="AE1386" s="24"/>
    </row>
    <row r="1387" spans="1:31" s="1" customFormat="1" ht="21" x14ac:dyDescent="0.25">
      <c r="A1387" s="25"/>
      <c r="B1387" s="26" t="s">
        <v>1544</v>
      </c>
      <c r="C1387" s="26"/>
      <c r="D1387" s="64" t="s">
        <v>1545</v>
      </c>
      <c r="E1387" s="28"/>
      <c r="F1387" s="28"/>
      <c r="G1387" s="28"/>
      <c r="H1387" s="28"/>
      <c r="I1387" s="28"/>
      <c r="J1387" s="28"/>
      <c r="K1387" s="28"/>
      <c r="L1387" s="28"/>
      <c r="M1387" s="28">
        <f>SUM(M1388:M1390)</f>
        <v>0</v>
      </c>
      <c r="N1387" s="28"/>
      <c r="O1387" s="40">
        <f t="shared" ref="O1387:AC1387" si="827">SUM(O1388:O1390)</f>
        <v>0</v>
      </c>
      <c r="P1387" s="28">
        <f t="shared" si="827"/>
        <v>0</v>
      </c>
      <c r="Q1387" s="28">
        <f t="shared" si="827"/>
        <v>0</v>
      </c>
      <c r="R1387" s="28">
        <f t="shared" si="827"/>
        <v>0</v>
      </c>
      <c r="S1387" s="28">
        <f t="shared" si="827"/>
        <v>0</v>
      </c>
      <c r="T1387" s="28"/>
      <c r="U1387" s="28">
        <f t="shared" si="827"/>
        <v>0</v>
      </c>
      <c r="V1387" s="28"/>
      <c r="W1387" s="28">
        <f t="shared" si="827"/>
        <v>0</v>
      </c>
      <c r="X1387" s="28"/>
      <c r="Y1387" s="28">
        <f t="shared" si="827"/>
        <v>0</v>
      </c>
      <c r="Z1387" s="28">
        <f t="shared" si="827"/>
        <v>0</v>
      </c>
      <c r="AA1387" s="28"/>
      <c r="AB1387" s="28">
        <f t="shared" si="827"/>
        <v>0</v>
      </c>
      <c r="AC1387" s="28">
        <f t="shared" si="827"/>
        <v>0</v>
      </c>
      <c r="AD1387" s="28"/>
      <c r="AE1387" s="28"/>
    </row>
    <row r="1388" spans="1:31" s="1" customFormat="1" ht="10.5" x14ac:dyDescent="0.25">
      <c r="A1388" s="21"/>
      <c r="B1388" s="22"/>
      <c r="C1388" s="22"/>
      <c r="D1388" s="65"/>
      <c r="E1388" s="24"/>
      <c r="F1388" s="24"/>
      <c r="G1388" s="24"/>
      <c r="H1388" s="24"/>
      <c r="I1388" s="24"/>
      <c r="J1388" s="24"/>
      <c r="K1388" s="24"/>
      <c r="L1388" s="24"/>
      <c r="M1388" s="24"/>
      <c r="N1388" s="24"/>
      <c r="O1388" s="41">
        <f>AB772</f>
        <v>0</v>
      </c>
      <c r="P1388" s="24"/>
      <c r="Q1388" s="24"/>
      <c r="R1388" s="24"/>
      <c r="S1388" s="24"/>
      <c r="T1388" s="24"/>
      <c r="U1388" s="24"/>
      <c r="V1388" s="24"/>
      <c r="W1388" s="24"/>
      <c r="X1388" s="24"/>
      <c r="Y1388" s="24"/>
      <c r="Z1388" s="24"/>
      <c r="AA1388" s="24"/>
      <c r="AB1388" s="24"/>
      <c r="AC1388" s="24"/>
      <c r="AD1388" s="24"/>
      <c r="AE1388" s="24"/>
    </row>
    <row r="1389" spans="1:31" s="1" customFormat="1" ht="10.5" x14ac:dyDescent="0.25">
      <c r="A1389" s="21"/>
      <c r="B1389" s="22"/>
      <c r="C1389" s="22"/>
      <c r="D1389" s="65"/>
      <c r="E1389" s="24"/>
      <c r="F1389" s="24"/>
      <c r="G1389" s="24"/>
      <c r="H1389" s="24"/>
      <c r="I1389" s="24"/>
      <c r="J1389" s="24"/>
      <c r="K1389" s="24"/>
      <c r="L1389" s="24"/>
      <c r="M1389" s="24"/>
      <c r="N1389" s="24"/>
      <c r="O1389" s="41"/>
      <c r="P1389" s="24"/>
      <c r="Q1389" s="24"/>
      <c r="R1389" s="24"/>
      <c r="S1389" s="24"/>
      <c r="T1389" s="24"/>
      <c r="U1389" s="24"/>
      <c r="V1389" s="24"/>
      <c r="W1389" s="24"/>
      <c r="X1389" s="24"/>
      <c r="Y1389" s="24"/>
      <c r="Z1389" s="24"/>
      <c r="AA1389" s="24"/>
      <c r="AB1389" s="24"/>
      <c r="AC1389" s="24"/>
      <c r="AD1389" s="24"/>
      <c r="AE1389" s="24"/>
    </row>
    <row r="1390" spans="1:31" s="1" customFormat="1" ht="10.5" x14ac:dyDescent="0.25">
      <c r="A1390" s="21"/>
      <c r="B1390" s="22"/>
      <c r="C1390" s="22"/>
      <c r="D1390" s="65"/>
      <c r="E1390" s="24"/>
      <c r="F1390" s="24"/>
      <c r="G1390" s="24"/>
      <c r="H1390" s="24"/>
      <c r="I1390" s="24"/>
      <c r="J1390" s="24"/>
      <c r="K1390" s="24"/>
      <c r="L1390" s="24"/>
      <c r="M1390" s="24"/>
      <c r="N1390" s="24"/>
      <c r="O1390" s="41"/>
      <c r="P1390" s="24"/>
      <c r="Q1390" s="24"/>
      <c r="R1390" s="24"/>
      <c r="S1390" s="24"/>
      <c r="T1390" s="24"/>
      <c r="U1390" s="24"/>
      <c r="V1390" s="24"/>
      <c r="W1390" s="24"/>
      <c r="X1390" s="24"/>
      <c r="Y1390" s="24"/>
      <c r="Z1390" s="24"/>
      <c r="AA1390" s="24"/>
      <c r="AB1390" s="24"/>
      <c r="AC1390" s="24"/>
      <c r="AD1390" s="24"/>
      <c r="AE1390" s="24"/>
    </row>
    <row r="1391" spans="1:31" s="1" customFormat="1" ht="21" x14ac:dyDescent="0.25">
      <c r="A1391" s="25"/>
      <c r="B1391" s="26" t="s">
        <v>1546</v>
      </c>
      <c r="C1391" s="26"/>
      <c r="D1391" s="64" t="s">
        <v>1547</v>
      </c>
      <c r="E1391" s="28"/>
      <c r="F1391" s="28"/>
      <c r="G1391" s="28"/>
      <c r="H1391" s="28"/>
      <c r="I1391" s="28"/>
      <c r="J1391" s="28"/>
      <c r="K1391" s="28"/>
      <c r="L1391" s="28"/>
      <c r="M1391" s="28">
        <f>SUM(M1392:M1394)</f>
        <v>0</v>
      </c>
      <c r="N1391" s="28"/>
      <c r="O1391" s="40">
        <f t="shared" ref="O1391:AC1391" si="828">SUM(O1392:O1394)</f>
        <v>0</v>
      </c>
      <c r="P1391" s="28">
        <f t="shared" si="828"/>
        <v>0</v>
      </c>
      <c r="Q1391" s="28">
        <f t="shared" si="828"/>
        <v>0</v>
      </c>
      <c r="R1391" s="28">
        <f t="shared" si="828"/>
        <v>0</v>
      </c>
      <c r="S1391" s="28">
        <f t="shared" si="828"/>
        <v>0</v>
      </c>
      <c r="T1391" s="28"/>
      <c r="U1391" s="28">
        <f t="shared" si="828"/>
        <v>0</v>
      </c>
      <c r="V1391" s="28"/>
      <c r="W1391" s="28">
        <f t="shared" si="828"/>
        <v>0</v>
      </c>
      <c r="X1391" s="28"/>
      <c r="Y1391" s="28">
        <f t="shared" si="828"/>
        <v>0</v>
      </c>
      <c r="Z1391" s="28">
        <f t="shared" si="828"/>
        <v>0</v>
      </c>
      <c r="AA1391" s="28"/>
      <c r="AB1391" s="28">
        <f t="shared" si="828"/>
        <v>0</v>
      </c>
      <c r="AC1391" s="28">
        <f t="shared" si="828"/>
        <v>0</v>
      </c>
      <c r="AD1391" s="28"/>
      <c r="AE1391" s="28"/>
    </row>
    <row r="1392" spans="1:31" s="1" customFormat="1" ht="10.5" x14ac:dyDescent="0.25">
      <c r="A1392" s="21"/>
      <c r="B1392" s="22"/>
      <c r="C1392" s="22"/>
      <c r="D1392" s="65"/>
      <c r="E1392" s="24"/>
      <c r="F1392" s="24"/>
      <c r="G1392" s="24"/>
      <c r="H1392" s="24"/>
      <c r="I1392" s="24"/>
      <c r="J1392" s="24"/>
      <c r="K1392" s="24"/>
      <c r="L1392" s="24"/>
      <c r="M1392" s="24"/>
      <c r="N1392" s="24"/>
      <c r="O1392" s="41">
        <f>AB793</f>
        <v>0</v>
      </c>
      <c r="P1392" s="24"/>
      <c r="Q1392" s="24"/>
      <c r="R1392" s="24"/>
      <c r="S1392" s="24"/>
      <c r="T1392" s="24"/>
      <c r="U1392" s="24"/>
      <c r="V1392" s="24"/>
      <c r="W1392" s="24"/>
      <c r="X1392" s="24"/>
      <c r="Y1392" s="24"/>
      <c r="Z1392" s="24"/>
      <c r="AA1392" s="24"/>
      <c r="AB1392" s="24"/>
      <c r="AC1392" s="24"/>
      <c r="AD1392" s="24"/>
      <c r="AE1392" s="24"/>
    </row>
    <row r="1393" spans="1:31" s="1" customFormat="1" ht="10.5" x14ac:dyDescent="0.25">
      <c r="A1393" s="21"/>
      <c r="B1393" s="22"/>
      <c r="C1393" s="22"/>
      <c r="D1393" s="65"/>
      <c r="E1393" s="24"/>
      <c r="F1393" s="24"/>
      <c r="G1393" s="24"/>
      <c r="H1393" s="24"/>
      <c r="I1393" s="24"/>
      <c r="J1393" s="24"/>
      <c r="K1393" s="24"/>
      <c r="L1393" s="24"/>
      <c r="M1393" s="24"/>
      <c r="N1393" s="24"/>
      <c r="O1393" s="41"/>
      <c r="P1393" s="24"/>
      <c r="Q1393" s="24"/>
      <c r="R1393" s="24"/>
      <c r="S1393" s="24"/>
      <c r="T1393" s="24"/>
      <c r="U1393" s="24"/>
      <c r="V1393" s="24"/>
      <c r="W1393" s="24"/>
      <c r="X1393" s="24"/>
      <c r="Y1393" s="24"/>
      <c r="Z1393" s="24"/>
      <c r="AA1393" s="24"/>
      <c r="AB1393" s="24"/>
      <c r="AC1393" s="24"/>
      <c r="AD1393" s="24"/>
      <c r="AE1393" s="24"/>
    </row>
    <row r="1394" spans="1:31" s="1" customFormat="1" ht="10.5" x14ac:dyDescent="0.25">
      <c r="A1394" s="21"/>
      <c r="B1394" s="22"/>
      <c r="C1394" s="22"/>
      <c r="D1394" s="65"/>
      <c r="E1394" s="24"/>
      <c r="F1394" s="24"/>
      <c r="G1394" s="24"/>
      <c r="H1394" s="24"/>
      <c r="I1394" s="24"/>
      <c r="J1394" s="24"/>
      <c r="K1394" s="24"/>
      <c r="L1394" s="24"/>
      <c r="M1394" s="24"/>
      <c r="N1394" s="24"/>
      <c r="O1394" s="41"/>
      <c r="P1394" s="24"/>
      <c r="Q1394" s="24"/>
      <c r="R1394" s="24"/>
      <c r="S1394" s="24"/>
      <c r="T1394" s="24"/>
      <c r="U1394" s="24"/>
      <c r="V1394" s="24"/>
      <c r="W1394" s="24"/>
      <c r="X1394" s="24"/>
      <c r="Y1394" s="24"/>
      <c r="Z1394" s="24"/>
      <c r="AA1394" s="24"/>
      <c r="AB1394" s="24"/>
      <c r="AC1394" s="24"/>
      <c r="AD1394" s="24"/>
      <c r="AE1394" s="24"/>
    </row>
    <row r="1395" spans="1:31" s="1" customFormat="1" ht="10.5" x14ac:dyDescent="0.25">
      <c r="A1395" s="25"/>
      <c r="B1395" s="26" t="s">
        <v>1548</v>
      </c>
      <c r="C1395" s="26"/>
      <c r="D1395" s="64" t="s">
        <v>1549</v>
      </c>
      <c r="E1395" s="28"/>
      <c r="F1395" s="28"/>
      <c r="G1395" s="28"/>
      <c r="H1395" s="28"/>
      <c r="I1395" s="28"/>
      <c r="J1395" s="28"/>
      <c r="K1395" s="28"/>
      <c r="L1395" s="28"/>
      <c r="M1395" s="28">
        <f>SUM(M1396:M1398)</f>
        <v>0</v>
      </c>
      <c r="N1395" s="28"/>
      <c r="O1395" s="40">
        <f t="shared" ref="O1395:AC1395" si="829">SUM(O1396:O1398)</f>
        <v>1617086560.2349997</v>
      </c>
      <c r="P1395" s="28">
        <f t="shared" si="829"/>
        <v>0</v>
      </c>
      <c r="Q1395" s="28">
        <f t="shared" si="829"/>
        <v>0</v>
      </c>
      <c r="R1395" s="28">
        <f t="shared" si="829"/>
        <v>0</v>
      </c>
      <c r="S1395" s="28">
        <f t="shared" si="829"/>
        <v>0</v>
      </c>
      <c r="T1395" s="28"/>
      <c r="U1395" s="28">
        <f t="shared" si="829"/>
        <v>0</v>
      </c>
      <c r="V1395" s="28"/>
      <c r="W1395" s="28">
        <f t="shared" si="829"/>
        <v>0</v>
      </c>
      <c r="X1395" s="28"/>
      <c r="Y1395" s="28">
        <f t="shared" si="829"/>
        <v>0</v>
      </c>
      <c r="Z1395" s="28">
        <f t="shared" si="829"/>
        <v>0</v>
      </c>
      <c r="AA1395" s="28"/>
      <c r="AB1395" s="28">
        <f t="shared" si="829"/>
        <v>0</v>
      </c>
      <c r="AC1395" s="28">
        <f t="shared" si="829"/>
        <v>0</v>
      </c>
      <c r="AD1395" s="28"/>
      <c r="AE1395" s="28"/>
    </row>
    <row r="1396" spans="1:31" s="1" customFormat="1" ht="10.5" x14ac:dyDescent="0.25">
      <c r="A1396" s="21"/>
      <c r="B1396" s="22"/>
      <c r="C1396" s="22"/>
      <c r="D1396" s="65"/>
      <c r="E1396" s="24"/>
      <c r="F1396" s="24"/>
      <c r="G1396" s="24"/>
      <c r="H1396" s="24"/>
      <c r="I1396" s="24"/>
      <c r="J1396" s="24"/>
      <c r="K1396" s="24"/>
      <c r="L1396" s="24"/>
      <c r="M1396" s="24"/>
      <c r="N1396" s="24"/>
      <c r="O1396" s="41">
        <f>AB802</f>
        <v>1617086560.2349997</v>
      </c>
      <c r="P1396" s="24"/>
      <c r="Q1396" s="24"/>
      <c r="R1396" s="24"/>
      <c r="S1396" s="24"/>
      <c r="T1396" s="24"/>
      <c r="U1396" s="24"/>
      <c r="V1396" s="24"/>
      <c r="W1396" s="24"/>
      <c r="X1396" s="24"/>
      <c r="Y1396" s="24"/>
      <c r="Z1396" s="24"/>
      <c r="AA1396" s="24"/>
      <c r="AB1396" s="24"/>
      <c r="AC1396" s="24"/>
      <c r="AD1396" s="24"/>
      <c r="AE1396" s="24"/>
    </row>
    <row r="1397" spans="1:31" s="1" customFormat="1" ht="10.5" x14ac:dyDescent="0.25">
      <c r="A1397" s="21"/>
      <c r="B1397" s="22"/>
      <c r="C1397" s="22"/>
      <c r="D1397" s="65"/>
      <c r="E1397" s="24"/>
      <c r="F1397" s="24"/>
      <c r="G1397" s="24"/>
      <c r="H1397" s="24"/>
      <c r="I1397" s="24"/>
      <c r="J1397" s="24"/>
      <c r="K1397" s="24"/>
      <c r="L1397" s="24"/>
      <c r="M1397" s="24"/>
      <c r="N1397" s="24"/>
      <c r="O1397" s="41"/>
      <c r="P1397" s="24"/>
      <c r="Q1397" s="24"/>
      <c r="R1397" s="24"/>
      <c r="S1397" s="24"/>
      <c r="T1397" s="24"/>
      <c r="U1397" s="24"/>
      <c r="V1397" s="24"/>
      <c r="W1397" s="24"/>
      <c r="X1397" s="24"/>
      <c r="Y1397" s="24"/>
      <c r="Z1397" s="24"/>
      <c r="AA1397" s="24"/>
      <c r="AB1397" s="24"/>
      <c r="AC1397" s="24"/>
      <c r="AD1397" s="24"/>
      <c r="AE1397" s="24"/>
    </row>
    <row r="1398" spans="1:31" s="1" customFormat="1" ht="10.5" x14ac:dyDescent="0.25">
      <c r="A1398" s="21"/>
      <c r="B1398" s="22"/>
      <c r="C1398" s="22"/>
      <c r="D1398" s="65"/>
      <c r="E1398" s="24"/>
      <c r="F1398" s="24"/>
      <c r="G1398" s="24"/>
      <c r="H1398" s="24"/>
      <c r="I1398" s="24"/>
      <c r="J1398" s="24"/>
      <c r="K1398" s="24"/>
      <c r="L1398" s="24"/>
      <c r="M1398" s="24"/>
      <c r="N1398" s="24"/>
      <c r="O1398" s="41"/>
      <c r="P1398" s="24"/>
      <c r="Q1398" s="24"/>
      <c r="R1398" s="24"/>
      <c r="S1398" s="24"/>
      <c r="T1398" s="24"/>
      <c r="U1398" s="24"/>
      <c r="V1398" s="24"/>
      <c r="W1398" s="24"/>
      <c r="X1398" s="24"/>
      <c r="Y1398" s="24"/>
      <c r="Z1398" s="24"/>
      <c r="AA1398" s="24"/>
      <c r="AB1398" s="24"/>
      <c r="AC1398" s="24"/>
      <c r="AD1398" s="24"/>
      <c r="AE1398" s="24"/>
    </row>
    <row r="1399" spans="1:31" s="1" customFormat="1" ht="21" x14ac:dyDescent="0.25">
      <c r="A1399" s="25"/>
      <c r="B1399" s="26" t="s">
        <v>1550</v>
      </c>
      <c r="C1399" s="26"/>
      <c r="D1399" s="64" t="s">
        <v>1551</v>
      </c>
      <c r="E1399" s="28"/>
      <c r="F1399" s="28"/>
      <c r="G1399" s="28"/>
      <c r="H1399" s="28"/>
      <c r="I1399" s="28"/>
      <c r="J1399" s="28"/>
      <c r="K1399" s="28"/>
      <c r="L1399" s="28"/>
      <c r="M1399" s="28">
        <f>SUM(M1400:M1402)</f>
        <v>0</v>
      </c>
      <c r="N1399" s="28"/>
      <c r="O1399" s="40">
        <f t="shared" ref="O1399:AC1399" si="830">SUM(O1400:O1402)</f>
        <v>0</v>
      </c>
      <c r="P1399" s="28">
        <f t="shared" si="830"/>
        <v>0</v>
      </c>
      <c r="Q1399" s="28">
        <f t="shared" si="830"/>
        <v>0</v>
      </c>
      <c r="R1399" s="28">
        <f t="shared" si="830"/>
        <v>0</v>
      </c>
      <c r="S1399" s="28">
        <f t="shared" si="830"/>
        <v>0</v>
      </c>
      <c r="T1399" s="28"/>
      <c r="U1399" s="28">
        <f t="shared" si="830"/>
        <v>0</v>
      </c>
      <c r="V1399" s="28"/>
      <c r="W1399" s="28">
        <f t="shared" si="830"/>
        <v>0</v>
      </c>
      <c r="X1399" s="28"/>
      <c r="Y1399" s="28">
        <f t="shared" si="830"/>
        <v>0</v>
      </c>
      <c r="Z1399" s="28">
        <f t="shared" si="830"/>
        <v>0</v>
      </c>
      <c r="AA1399" s="28"/>
      <c r="AB1399" s="28">
        <f t="shared" si="830"/>
        <v>0</v>
      </c>
      <c r="AC1399" s="28">
        <f t="shared" si="830"/>
        <v>0</v>
      </c>
      <c r="AD1399" s="28"/>
      <c r="AE1399" s="28"/>
    </row>
    <row r="1400" spans="1:31" s="1" customFormat="1" ht="10.5" x14ac:dyDescent="0.25">
      <c r="A1400" s="21"/>
      <c r="B1400" s="22"/>
      <c r="C1400" s="22"/>
      <c r="D1400" s="65"/>
      <c r="E1400" s="24"/>
      <c r="F1400" s="24"/>
      <c r="G1400" s="24"/>
      <c r="H1400" s="24"/>
      <c r="I1400" s="24"/>
      <c r="J1400" s="24"/>
      <c r="K1400" s="24"/>
      <c r="L1400" s="24"/>
      <c r="M1400" s="24"/>
      <c r="N1400" s="24"/>
      <c r="O1400" s="41">
        <f>AB951</f>
        <v>0</v>
      </c>
      <c r="P1400" s="24"/>
      <c r="Q1400" s="24"/>
      <c r="R1400" s="24"/>
      <c r="S1400" s="24"/>
      <c r="T1400" s="24"/>
      <c r="U1400" s="24"/>
      <c r="V1400" s="24"/>
      <c r="W1400" s="24"/>
      <c r="X1400" s="24"/>
      <c r="Y1400" s="24"/>
      <c r="Z1400" s="24"/>
      <c r="AA1400" s="24"/>
      <c r="AB1400" s="24"/>
      <c r="AC1400" s="24"/>
      <c r="AD1400" s="24"/>
      <c r="AE1400" s="24"/>
    </row>
    <row r="1401" spans="1:31" s="1" customFormat="1" ht="10.5" x14ac:dyDescent="0.25">
      <c r="A1401" s="21"/>
      <c r="B1401" s="22"/>
      <c r="C1401" s="22"/>
      <c r="D1401" s="65"/>
      <c r="E1401" s="24"/>
      <c r="F1401" s="24"/>
      <c r="G1401" s="24"/>
      <c r="H1401" s="24"/>
      <c r="I1401" s="24"/>
      <c r="J1401" s="24"/>
      <c r="K1401" s="24"/>
      <c r="L1401" s="24"/>
      <c r="M1401" s="24"/>
      <c r="N1401" s="24"/>
      <c r="O1401" s="41"/>
      <c r="P1401" s="24"/>
      <c r="Q1401" s="24"/>
      <c r="R1401" s="24"/>
      <c r="S1401" s="24"/>
      <c r="T1401" s="24"/>
      <c r="U1401" s="24"/>
      <c r="V1401" s="24"/>
      <c r="W1401" s="24"/>
      <c r="X1401" s="24"/>
      <c r="Y1401" s="24"/>
      <c r="Z1401" s="24"/>
      <c r="AA1401" s="24"/>
      <c r="AB1401" s="24"/>
      <c r="AC1401" s="24"/>
      <c r="AD1401" s="24"/>
      <c r="AE1401" s="24"/>
    </row>
    <row r="1402" spans="1:31" s="1" customFormat="1" ht="10.5" x14ac:dyDescent="0.25">
      <c r="A1402" s="21"/>
      <c r="B1402" s="22"/>
      <c r="C1402" s="22"/>
      <c r="D1402" s="65"/>
      <c r="E1402" s="24"/>
      <c r="F1402" s="24"/>
      <c r="G1402" s="24"/>
      <c r="H1402" s="24"/>
      <c r="I1402" s="24"/>
      <c r="J1402" s="24"/>
      <c r="K1402" s="24"/>
      <c r="L1402" s="24"/>
      <c r="M1402" s="24"/>
      <c r="N1402" s="24"/>
      <c r="O1402" s="41"/>
      <c r="P1402" s="24"/>
      <c r="Q1402" s="24"/>
      <c r="R1402" s="24"/>
      <c r="S1402" s="24"/>
      <c r="T1402" s="24"/>
      <c r="U1402" s="24"/>
      <c r="V1402" s="24"/>
      <c r="W1402" s="24"/>
      <c r="X1402" s="24"/>
      <c r="Y1402" s="24"/>
      <c r="Z1402" s="24"/>
      <c r="AA1402" s="24"/>
      <c r="AB1402" s="24"/>
      <c r="AC1402" s="24"/>
      <c r="AD1402" s="24"/>
      <c r="AE1402" s="24"/>
    </row>
    <row r="1403" spans="1:31" s="1" customFormat="1" ht="21" x14ac:dyDescent="0.25">
      <c r="A1403" s="25"/>
      <c r="B1403" s="26" t="s">
        <v>1552</v>
      </c>
      <c r="C1403" s="26"/>
      <c r="D1403" s="64" t="s">
        <v>1553</v>
      </c>
      <c r="E1403" s="28"/>
      <c r="F1403" s="28"/>
      <c r="G1403" s="28"/>
      <c r="H1403" s="28"/>
      <c r="I1403" s="28"/>
      <c r="J1403" s="28"/>
      <c r="K1403" s="28"/>
      <c r="L1403" s="28"/>
      <c r="M1403" s="28">
        <f>SUM(M1404:M1406)</f>
        <v>0</v>
      </c>
      <c r="N1403" s="28"/>
      <c r="O1403" s="40">
        <f t="shared" ref="O1403:AC1403" si="831">SUM(O1404:O1406)</f>
        <v>0</v>
      </c>
      <c r="P1403" s="28">
        <f t="shared" si="831"/>
        <v>0</v>
      </c>
      <c r="Q1403" s="28">
        <f t="shared" si="831"/>
        <v>0</v>
      </c>
      <c r="R1403" s="28">
        <f t="shared" si="831"/>
        <v>0</v>
      </c>
      <c r="S1403" s="28">
        <f t="shared" si="831"/>
        <v>0</v>
      </c>
      <c r="T1403" s="28"/>
      <c r="U1403" s="28">
        <f t="shared" si="831"/>
        <v>0</v>
      </c>
      <c r="V1403" s="28"/>
      <c r="W1403" s="28">
        <f t="shared" si="831"/>
        <v>0</v>
      </c>
      <c r="X1403" s="28"/>
      <c r="Y1403" s="28">
        <f t="shared" si="831"/>
        <v>0</v>
      </c>
      <c r="Z1403" s="28">
        <f t="shared" si="831"/>
        <v>0</v>
      </c>
      <c r="AA1403" s="28"/>
      <c r="AB1403" s="28">
        <f t="shared" si="831"/>
        <v>0</v>
      </c>
      <c r="AC1403" s="28">
        <f t="shared" si="831"/>
        <v>0</v>
      </c>
      <c r="AD1403" s="28"/>
      <c r="AE1403" s="28"/>
    </row>
    <row r="1404" spans="1:31" s="1" customFormat="1" ht="10.5" x14ac:dyDescent="0.25">
      <c r="A1404" s="21"/>
      <c r="B1404" s="22"/>
      <c r="C1404" s="22"/>
      <c r="D1404" s="65"/>
      <c r="E1404" s="24"/>
      <c r="F1404" s="24"/>
      <c r="G1404" s="24"/>
      <c r="H1404" s="24"/>
      <c r="I1404" s="24"/>
      <c r="J1404" s="24"/>
      <c r="K1404" s="24"/>
      <c r="L1404" s="24"/>
      <c r="M1404" s="24"/>
      <c r="N1404" s="24"/>
      <c r="O1404" s="41">
        <f>AB956</f>
        <v>0</v>
      </c>
      <c r="P1404" s="24"/>
      <c r="Q1404" s="24"/>
      <c r="R1404" s="24"/>
      <c r="S1404" s="24"/>
      <c r="T1404" s="24"/>
      <c r="U1404" s="24"/>
      <c r="V1404" s="24"/>
      <c r="W1404" s="24"/>
      <c r="X1404" s="24"/>
      <c r="Y1404" s="24"/>
      <c r="Z1404" s="24"/>
      <c r="AA1404" s="24"/>
      <c r="AB1404" s="24"/>
      <c r="AC1404" s="24"/>
      <c r="AD1404" s="24"/>
      <c r="AE1404" s="24"/>
    </row>
    <row r="1405" spans="1:31" s="1" customFormat="1" ht="10.5" x14ac:dyDescent="0.25">
      <c r="A1405" s="21"/>
      <c r="B1405" s="22"/>
      <c r="C1405" s="22"/>
      <c r="D1405" s="65"/>
      <c r="E1405" s="24"/>
      <c r="F1405" s="24"/>
      <c r="G1405" s="24"/>
      <c r="H1405" s="24"/>
      <c r="I1405" s="24"/>
      <c r="J1405" s="24"/>
      <c r="K1405" s="24"/>
      <c r="L1405" s="24"/>
      <c r="M1405" s="24"/>
      <c r="N1405" s="24"/>
      <c r="O1405" s="41"/>
      <c r="P1405" s="24"/>
      <c r="Q1405" s="24"/>
      <c r="R1405" s="24"/>
      <c r="S1405" s="24"/>
      <c r="T1405" s="24"/>
      <c r="U1405" s="24"/>
      <c r="V1405" s="24"/>
      <c r="W1405" s="24"/>
      <c r="X1405" s="24"/>
      <c r="Y1405" s="24"/>
      <c r="Z1405" s="24"/>
      <c r="AA1405" s="24"/>
      <c r="AB1405" s="24"/>
      <c r="AC1405" s="24"/>
      <c r="AD1405" s="24"/>
      <c r="AE1405" s="24"/>
    </row>
    <row r="1406" spans="1:31" s="1" customFormat="1" ht="10.5" x14ac:dyDescent="0.25">
      <c r="A1406" s="21"/>
      <c r="B1406" s="22"/>
      <c r="C1406" s="22"/>
      <c r="D1406" s="65"/>
      <c r="E1406" s="24"/>
      <c r="F1406" s="24"/>
      <c r="G1406" s="24"/>
      <c r="H1406" s="24"/>
      <c r="I1406" s="24"/>
      <c r="J1406" s="24"/>
      <c r="K1406" s="24"/>
      <c r="L1406" s="24"/>
      <c r="M1406" s="24"/>
      <c r="N1406" s="24"/>
      <c r="O1406" s="41"/>
      <c r="P1406" s="24"/>
      <c r="Q1406" s="24"/>
      <c r="R1406" s="24"/>
      <c r="S1406" s="24"/>
      <c r="T1406" s="24"/>
      <c r="U1406" s="24"/>
      <c r="V1406" s="24"/>
      <c r="W1406" s="24"/>
      <c r="X1406" s="24"/>
      <c r="Y1406" s="24"/>
      <c r="Z1406" s="24"/>
      <c r="AA1406" s="24"/>
      <c r="AB1406" s="24"/>
      <c r="AC1406" s="24"/>
      <c r="AD1406" s="24"/>
      <c r="AE1406" s="24"/>
    </row>
    <row r="1407" spans="1:31" s="1" customFormat="1" ht="31.5" x14ac:dyDescent="0.25">
      <c r="A1407" s="25"/>
      <c r="B1407" s="26" t="s">
        <v>1554</v>
      </c>
      <c r="C1407" s="26"/>
      <c r="D1407" s="64" t="s">
        <v>1555</v>
      </c>
      <c r="E1407" s="28"/>
      <c r="F1407" s="28"/>
      <c r="G1407" s="28"/>
      <c r="H1407" s="28"/>
      <c r="I1407" s="28"/>
      <c r="J1407" s="28"/>
      <c r="K1407" s="28"/>
      <c r="L1407" s="28"/>
      <c r="M1407" s="28">
        <f>SUM(M1408:M1410)</f>
        <v>0</v>
      </c>
      <c r="N1407" s="28"/>
      <c r="O1407" s="40">
        <f t="shared" ref="O1407:AC1407" si="832">SUM(O1408:O1410)</f>
        <v>0</v>
      </c>
      <c r="P1407" s="28">
        <f t="shared" si="832"/>
        <v>0</v>
      </c>
      <c r="Q1407" s="28">
        <f t="shared" si="832"/>
        <v>0</v>
      </c>
      <c r="R1407" s="28">
        <f t="shared" si="832"/>
        <v>0</v>
      </c>
      <c r="S1407" s="28">
        <f t="shared" si="832"/>
        <v>0</v>
      </c>
      <c r="T1407" s="28"/>
      <c r="U1407" s="28">
        <f t="shared" si="832"/>
        <v>0</v>
      </c>
      <c r="V1407" s="28"/>
      <c r="W1407" s="28">
        <f t="shared" si="832"/>
        <v>0</v>
      </c>
      <c r="X1407" s="28"/>
      <c r="Y1407" s="28">
        <f t="shared" si="832"/>
        <v>0</v>
      </c>
      <c r="Z1407" s="28">
        <f t="shared" si="832"/>
        <v>0</v>
      </c>
      <c r="AA1407" s="28"/>
      <c r="AB1407" s="28">
        <f t="shared" si="832"/>
        <v>0</v>
      </c>
      <c r="AC1407" s="28">
        <f t="shared" si="832"/>
        <v>0</v>
      </c>
      <c r="AD1407" s="28"/>
      <c r="AE1407" s="28"/>
    </row>
    <row r="1408" spans="1:31" s="1" customFormat="1" ht="10.5" x14ac:dyDescent="0.25">
      <c r="A1408" s="21"/>
      <c r="B1408" s="22"/>
      <c r="C1408" s="22"/>
      <c r="D1408" s="65"/>
      <c r="E1408" s="24"/>
      <c r="F1408" s="24"/>
      <c r="G1408" s="24"/>
      <c r="H1408" s="24"/>
      <c r="I1408" s="24"/>
      <c r="J1408" s="24"/>
      <c r="K1408" s="24"/>
      <c r="L1408" s="24"/>
      <c r="M1408" s="24"/>
      <c r="N1408" s="24"/>
      <c r="O1408" s="41">
        <f>AB961</f>
        <v>0</v>
      </c>
      <c r="P1408" s="24"/>
      <c r="Q1408" s="24"/>
      <c r="R1408" s="24"/>
      <c r="S1408" s="24"/>
      <c r="T1408" s="24"/>
      <c r="U1408" s="24"/>
      <c r="V1408" s="24"/>
      <c r="W1408" s="24"/>
      <c r="X1408" s="24"/>
      <c r="Y1408" s="24"/>
      <c r="Z1408" s="24"/>
      <c r="AA1408" s="24"/>
      <c r="AB1408" s="24"/>
      <c r="AC1408" s="24"/>
      <c r="AD1408" s="24"/>
      <c r="AE1408" s="24"/>
    </row>
    <row r="1409" spans="1:31" s="1" customFormat="1" ht="10.5" x14ac:dyDescent="0.25">
      <c r="A1409" s="21"/>
      <c r="B1409" s="22"/>
      <c r="C1409" s="22"/>
      <c r="D1409" s="65"/>
      <c r="E1409" s="24"/>
      <c r="F1409" s="24"/>
      <c r="G1409" s="24"/>
      <c r="H1409" s="24"/>
      <c r="I1409" s="24"/>
      <c r="J1409" s="24"/>
      <c r="K1409" s="24"/>
      <c r="L1409" s="24"/>
      <c r="M1409" s="24"/>
      <c r="N1409" s="24"/>
      <c r="O1409" s="41"/>
      <c r="P1409" s="24"/>
      <c r="Q1409" s="24"/>
      <c r="R1409" s="24"/>
      <c r="S1409" s="24"/>
      <c r="T1409" s="24"/>
      <c r="U1409" s="24"/>
      <c r="V1409" s="24"/>
      <c r="W1409" s="24"/>
      <c r="X1409" s="24"/>
      <c r="Y1409" s="24"/>
      <c r="Z1409" s="24"/>
      <c r="AA1409" s="24"/>
      <c r="AB1409" s="24"/>
      <c r="AC1409" s="24"/>
      <c r="AD1409" s="24"/>
      <c r="AE1409" s="24"/>
    </row>
    <row r="1410" spans="1:31" s="1" customFormat="1" ht="10.5" x14ac:dyDescent="0.25">
      <c r="A1410" s="21"/>
      <c r="B1410" s="22"/>
      <c r="C1410" s="22"/>
      <c r="D1410" s="65"/>
      <c r="E1410" s="24"/>
      <c r="F1410" s="24"/>
      <c r="G1410" s="24"/>
      <c r="H1410" s="24"/>
      <c r="I1410" s="24"/>
      <c r="J1410" s="24"/>
      <c r="K1410" s="24"/>
      <c r="L1410" s="24"/>
      <c r="M1410" s="24"/>
      <c r="N1410" s="24"/>
      <c r="O1410" s="41"/>
      <c r="P1410" s="24"/>
      <c r="Q1410" s="24"/>
      <c r="R1410" s="24"/>
      <c r="S1410" s="24"/>
      <c r="T1410" s="24"/>
      <c r="U1410" s="24"/>
      <c r="V1410" s="24"/>
      <c r="W1410" s="24"/>
      <c r="X1410" s="24"/>
      <c r="Y1410" s="24"/>
      <c r="Z1410" s="24"/>
      <c r="AA1410" s="24"/>
      <c r="AB1410" s="24"/>
      <c r="AC1410" s="24"/>
      <c r="AD1410" s="24"/>
      <c r="AE1410" s="24"/>
    </row>
    <row r="1411" spans="1:31" s="1" customFormat="1" ht="21" x14ac:dyDescent="0.25">
      <c r="A1411" s="25"/>
      <c r="B1411" s="26" t="s">
        <v>1556</v>
      </c>
      <c r="C1411" s="26"/>
      <c r="D1411" s="64" t="s">
        <v>1557</v>
      </c>
      <c r="E1411" s="28"/>
      <c r="F1411" s="28"/>
      <c r="G1411" s="28"/>
      <c r="H1411" s="28"/>
      <c r="I1411" s="28"/>
      <c r="J1411" s="28"/>
      <c r="K1411" s="28"/>
      <c r="L1411" s="28"/>
      <c r="M1411" s="28">
        <f>SUM(M1412:M1414)</f>
        <v>0</v>
      </c>
      <c r="N1411" s="28"/>
      <c r="O1411" s="40">
        <f t="shared" ref="O1411:AC1411" si="833">SUM(O1412:O1414)</f>
        <v>0</v>
      </c>
      <c r="P1411" s="28">
        <f t="shared" si="833"/>
        <v>0</v>
      </c>
      <c r="Q1411" s="28">
        <f t="shared" si="833"/>
        <v>0</v>
      </c>
      <c r="R1411" s="28">
        <f t="shared" si="833"/>
        <v>0</v>
      </c>
      <c r="S1411" s="28">
        <f t="shared" si="833"/>
        <v>0</v>
      </c>
      <c r="T1411" s="28"/>
      <c r="U1411" s="28">
        <f t="shared" si="833"/>
        <v>0</v>
      </c>
      <c r="V1411" s="28"/>
      <c r="W1411" s="28">
        <f t="shared" si="833"/>
        <v>0</v>
      </c>
      <c r="X1411" s="28"/>
      <c r="Y1411" s="28">
        <f t="shared" si="833"/>
        <v>0</v>
      </c>
      <c r="Z1411" s="28">
        <f t="shared" si="833"/>
        <v>0</v>
      </c>
      <c r="AA1411" s="28"/>
      <c r="AB1411" s="28">
        <f t="shared" si="833"/>
        <v>0</v>
      </c>
      <c r="AC1411" s="28">
        <f t="shared" si="833"/>
        <v>0</v>
      </c>
      <c r="AD1411" s="28"/>
      <c r="AE1411" s="28"/>
    </row>
    <row r="1412" spans="1:31" s="1" customFormat="1" ht="10.5" x14ac:dyDescent="0.25">
      <c r="A1412" s="21"/>
      <c r="B1412" s="22"/>
      <c r="C1412" s="22"/>
      <c r="D1412" s="65"/>
      <c r="E1412" s="24"/>
      <c r="F1412" s="24"/>
      <c r="G1412" s="24"/>
      <c r="H1412" s="24"/>
      <c r="I1412" s="24"/>
      <c r="J1412" s="24"/>
      <c r="K1412" s="24"/>
      <c r="L1412" s="24"/>
      <c r="M1412" s="24"/>
      <c r="N1412" s="24"/>
      <c r="O1412" s="41">
        <f>AB970</f>
        <v>0</v>
      </c>
      <c r="P1412" s="24"/>
      <c r="Q1412" s="24"/>
      <c r="R1412" s="24"/>
      <c r="S1412" s="24"/>
      <c r="T1412" s="24"/>
      <c r="U1412" s="24"/>
      <c r="V1412" s="24"/>
      <c r="W1412" s="24"/>
      <c r="X1412" s="24"/>
      <c r="Y1412" s="24"/>
      <c r="Z1412" s="24"/>
      <c r="AA1412" s="24"/>
      <c r="AB1412" s="24"/>
      <c r="AC1412" s="24"/>
      <c r="AD1412" s="24"/>
      <c r="AE1412" s="24"/>
    </row>
    <row r="1413" spans="1:31" s="1" customFormat="1" ht="10.5" x14ac:dyDescent="0.25">
      <c r="A1413" s="21"/>
      <c r="B1413" s="22"/>
      <c r="C1413" s="22"/>
      <c r="D1413" s="65"/>
      <c r="E1413" s="24"/>
      <c r="F1413" s="24"/>
      <c r="G1413" s="24"/>
      <c r="H1413" s="24"/>
      <c r="I1413" s="24"/>
      <c r="J1413" s="24"/>
      <c r="K1413" s="24"/>
      <c r="L1413" s="24"/>
      <c r="M1413" s="24"/>
      <c r="N1413" s="24"/>
      <c r="O1413" s="41"/>
      <c r="P1413" s="24"/>
      <c r="Q1413" s="24"/>
      <c r="R1413" s="24"/>
      <c r="S1413" s="24"/>
      <c r="T1413" s="24"/>
      <c r="U1413" s="24"/>
      <c r="V1413" s="24"/>
      <c r="W1413" s="24"/>
      <c r="X1413" s="24"/>
      <c r="Y1413" s="24"/>
      <c r="Z1413" s="24"/>
      <c r="AA1413" s="24"/>
      <c r="AB1413" s="24"/>
      <c r="AC1413" s="24"/>
      <c r="AD1413" s="24"/>
      <c r="AE1413" s="24"/>
    </row>
    <row r="1414" spans="1:31" s="1" customFormat="1" ht="10.5" x14ac:dyDescent="0.25">
      <c r="A1414" s="21"/>
      <c r="B1414" s="22"/>
      <c r="C1414" s="22"/>
      <c r="D1414" s="65"/>
      <c r="E1414" s="24"/>
      <c r="F1414" s="24"/>
      <c r="G1414" s="24"/>
      <c r="H1414" s="24"/>
      <c r="I1414" s="24"/>
      <c r="J1414" s="24"/>
      <c r="K1414" s="24"/>
      <c r="L1414" s="24"/>
      <c r="M1414" s="24"/>
      <c r="N1414" s="24"/>
      <c r="O1414" s="41"/>
      <c r="P1414" s="24"/>
      <c r="Q1414" s="24"/>
      <c r="R1414" s="24"/>
      <c r="S1414" s="24"/>
      <c r="T1414" s="24"/>
      <c r="U1414" s="24"/>
      <c r="V1414" s="24"/>
      <c r="W1414" s="24"/>
      <c r="X1414" s="24"/>
      <c r="Y1414" s="24"/>
      <c r="Z1414" s="24"/>
      <c r="AA1414" s="24"/>
      <c r="AB1414" s="24"/>
      <c r="AC1414" s="24"/>
      <c r="AD1414" s="24"/>
      <c r="AE1414" s="24"/>
    </row>
    <row r="1415" spans="1:31" s="1" customFormat="1" ht="21" x14ac:dyDescent="0.25">
      <c r="A1415" s="25"/>
      <c r="B1415" s="26" t="s">
        <v>1558</v>
      </c>
      <c r="C1415" s="26"/>
      <c r="D1415" s="64" t="s">
        <v>1559</v>
      </c>
      <c r="E1415" s="28"/>
      <c r="F1415" s="28"/>
      <c r="G1415" s="28"/>
      <c r="H1415" s="28"/>
      <c r="I1415" s="28"/>
      <c r="J1415" s="28"/>
      <c r="K1415" s="28"/>
      <c r="L1415" s="28"/>
      <c r="M1415" s="28">
        <f>SUM(M1416:M1418)</f>
        <v>0</v>
      </c>
      <c r="N1415" s="28"/>
      <c r="O1415" s="40">
        <f t="shared" ref="O1415:AC1415" si="834">SUM(O1416:O1418)</f>
        <v>0</v>
      </c>
      <c r="P1415" s="28">
        <f t="shared" si="834"/>
        <v>0</v>
      </c>
      <c r="Q1415" s="28">
        <f t="shared" si="834"/>
        <v>0</v>
      </c>
      <c r="R1415" s="28">
        <f t="shared" si="834"/>
        <v>0</v>
      </c>
      <c r="S1415" s="28">
        <f t="shared" si="834"/>
        <v>0</v>
      </c>
      <c r="T1415" s="28"/>
      <c r="U1415" s="28">
        <f t="shared" si="834"/>
        <v>0</v>
      </c>
      <c r="V1415" s="28"/>
      <c r="W1415" s="28">
        <f t="shared" si="834"/>
        <v>0</v>
      </c>
      <c r="X1415" s="28"/>
      <c r="Y1415" s="28">
        <f t="shared" si="834"/>
        <v>0</v>
      </c>
      <c r="Z1415" s="28">
        <f t="shared" si="834"/>
        <v>0</v>
      </c>
      <c r="AA1415" s="28"/>
      <c r="AB1415" s="28">
        <f t="shared" si="834"/>
        <v>0</v>
      </c>
      <c r="AC1415" s="28">
        <f t="shared" si="834"/>
        <v>0</v>
      </c>
      <c r="AD1415" s="28"/>
      <c r="AE1415" s="28"/>
    </row>
    <row r="1416" spans="1:31" s="1" customFormat="1" ht="10.5" x14ac:dyDescent="0.25">
      <c r="A1416" s="21"/>
      <c r="B1416" s="22"/>
      <c r="C1416" s="22"/>
      <c r="D1416" s="65"/>
      <c r="E1416" s="24"/>
      <c r="F1416" s="24"/>
      <c r="G1416" s="24"/>
      <c r="H1416" s="24"/>
      <c r="I1416" s="24"/>
      <c r="J1416" s="24"/>
      <c r="K1416" s="24"/>
      <c r="L1416" s="24"/>
      <c r="M1416" s="24"/>
      <c r="N1416" s="24"/>
      <c r="O1416" s="41">
        <f>AB977</f>
        <v>0</v>
      </c>
      <c r="P1416" s="24"/>
      <c r="Q1416" s="24"/>
      <c r="R1416" s="24"/>
      <c r="S1416" s="24"/>
      <c r="T1416" s="24"/>
      <c r="U1416" s="24"/>
      <c r="V1416" s="24"/>
      <c r="W1416" s="24"/>
      <c r="X1416" s="24"/>
      <c r="Y1416" s="24"/>
      <c r="Z1416" s="24"/>
      <c r="AA1416" s="24"/>
      <c r="AB1416" s="24"/>
      <c r="AC1416" s="24"/>
      <c r="AD1416" s="24"/>
      <c r="AE1416" s="24"/>
    </row>
    <row r="1417" spans="1:31" s="1" customFormat="1" ht="10.5" x14ac:dyDescent="0.25">
      <c r="A1417" s="21"/>
      <c r="B1417" s="22"/>
      <c r="C1417" s="22"/>
      <c r="D1417" s="65"/>
      <c r="E1417" s="24"/>
      <c r="F1417" s="24"/>
      <c r="G1417" s="24"/>
      <c r="H1417" s="24"/>
      <c r="I1417" s="24"/>
      <c r="J1417" s="24"/>
      <c r="K1417" s="24"/>
      <c r="L1417" s="24"/>
      <c r="M1417" s="24"/>
      <c r="N1417" s="24"/>
      <c r="O1417" s="41"/>
      <c r="P1417" s="24"/>
      <c r="Q1417" s="24"/>
      <c r="R1417" s="24"/>
      <c r="S1417" s="24"/>
      <c r="T1417" s="24"/>
      <c r="U1417" s="24"/>
      <c r="V1417" s="24"/>
      <c r="W1417" s="24"/>
      <c r="X1417" s="24"/>
      <c r="Y1417" s="24"/>
      <c r="Z1417" s="24"/>
      <c r="AA1417" s="24"/>
      <c r="AB1417" s="24"/>
      <c r="AC1417" s="24"/>
      <c r="AD1417" s="24"/>
      <c r="AE1417" s="24"/>
    </row>
    <row r="1418" spans="1:31" s="1" customFormat="1" ht="10.5" x14ac:dyDescent="0.25">
      <c r="A1418" s="21"/>
      <c r="B1418" s="22"/>
      <c r="C1418" s="22"/>
      <c r="D1418" s="65"/>
      <c r="E1418" s="24"/>
      <c r="F1418" s="24"/>
      <c r="G1418" s="24"/>
      <c r="H1418" s="24"/>
      <c r="I1418" s="24"/>
      <c r="J1418" s="24"/>
      <c r="K1418" s="24"/>
      <c r="L1418" s="24"/>
      <c r="M1418" s="24"/>
      <c r="N1418" s="24"/>
      <c r="O1418" s="41"/>
      <c r="P1418" s="24"/>
      <c r="Q1418" s="24"/>
      <c r="R1418" s="24"/>
      <c r="S1418" s="24"/>
      <c r="T1418" s="24"/>
      <c r="U1418" s="24"/>
      <c r="V1418" s="24"/>
      <c r="W1418" s="24"/>
      <c r="X1418" s="24"/>
      <c r="Y1418" s="24"/>
      <c r="Z1418" s="24"/>
      <c r="AA1418" s="24"/>
      <c r="AB1418" s="24"/>
      <c r="AC1418" s="24"/>
      <c r="AD1418" s="24"/>
      <c r="AE1418" s="24"/>
    </row>
    <row r="1419" spans="1:31" s="1" customFormat="1" ht="10.5" x14ac:dyDescent="0.25">
      <c r="A1419" s="25"/>
      <c r="B1419" s="26" t="s">
        <v>1560</v>
      </c>
      <c r="C1419" s="26"/>
      <c r="D1419" s="64" t="s">
        <v>1561</v>
      </c>
      <c r="E1419" s="28"/>
      <c r="F1419" s="28"/>
      <c r="G1419" s="28"/>
      <c r="H1419" s="28"/>
      <c r="I1419" s="28"/>
      <c r="J1419" s="28"/>
      <c r="K1419" s="28"/>
      <c r="L1419" s="28"/>
      <c r="M1419" s="28">
        <f>SUM(M1420:M1422)</f>
        <v>0</v>
      </c>
      <c r="N1419" s="28"/>
      <c r="O1419" s="40">
        <f t="shared" ref="O1419:AC1419" si="835">SUM(O1420:O1422)</f>
        <v>0</v>
      </c>
      <c r="P1419" s="28">
        <f t="shared" si="835"/>
        <v>0</v>
      </c>
      <c r="Q1419" s="28">
        <f t="shared" si="835"/>
        <v>0</v>
      </c>
      <c r="R1419" s="28">
        <f t="shared" si="835"/>
        <v>0</v>
      </c>
      <c r="S1419" s="28">
        <f t="shared" si="835"/>
        <v>0</v>
      </c>
      <c r="T1419" s="28"/>
      <c r="U1419" s="28">
        <f t="shared" si="835"/>
        <v>0</v>
      </c>
      <c r="V1419" s="28"/>
      <c r="W1419" s="28">
        <f t="shared" si="835"/>
        <v>0</v>
      </c>
      <c r="X1419" s="28"/>
      <c r="Y1419" s="28">
        <f t="shared" si="835"/>
        <v>0</v>
      </c>
      <c r="Z1419" s="28">
        <f t="shared" si="835"/>
        <v>0</v>
      </c>
      <c r="AA1419" s="28"/>
      <c r="AB1419" s="28">
        <f t="shared" si="835"/>
        <v>0</v>
      </c>
      <c r="AC1419" s="28">
        <f t="shared" si="835"/>
        <v>0</v>
      </c>
      <c r="AD1419" s="28"/>
      <c r="AE1419" s="28"/>
    </row>
    <row r="1420" spans="1:31" s="1" customFormat="1" ht="10.5" x14ac:dyDescent="0.25">
      <c r="A1420" s="21"/>
      <c r="B1420" s="22"/>
      <c r="C1420" s="22"/>
      <c r="D1420" s="65"/>
      <c r="E1420" s="24"/>
      <c r="F1420" s="24"/>
      <c r="G1420" s="24"/>
      <c r="H1420" s="24"/>
      <c r="I1420" s="24"/>
      <c r="J1420" s="24"/>
      <c r="K1420" s="24"/>
      <c r="L1420" s="24"/>
      <c r="M1420" s="24"/>
      <c r="N1420" s="24"/>
      <c r="O1420" s="41">
        <f>AB986</f>
        <v>0</v>
      </c>
      <c r="P1420" s="24"/>
      <c r="Q1420" s="24"/>
      <c r="R1420" s="24"/>
      <c r="S1420" s="24"/>
      <c r="T1420" s="24"/>
      <c r="U1420" s="24"/>
      <c r="V1420" s="24"/>
      <c r="W1420" s="24"/>
      <c r="X1420" s="24"/>
      <c r="Y1420" s="24"/>
      <c r="Z1420" s="24"/>
      <c r="AA1420" s="24"/>
      <c r="AB1420" s="24"/>
      <c r="AC1420" s="24"/>
      <c r="AD1420" s="24"/>
      <c r="AE1420" s="24"/>
    </row>
    <row r="1421" spans="1:31" s="1" customFormat="1" ht="10.5" x14ac:dyDescent="0.25">
      <c r="A1421" s="21"/>
      <c r="B1421" s="22"/>
      <c r="C1421" s="22"/>
      <c r="D1421" s="65"/>
      <c r="E1421" s="24"/>
      <c r="F1421" s="24"/>
      <c r="G1421" s="24"/>
      <c r="H1421" s="24"/>
      <c r="I1421" s="24"/>
      <c r="J1421" s="24"/>
      <c r="K1421" s="24"/>
      <c r="L1421" s="24"/>
      <c r="M1421" s="24"/>
      <c r="N1421" s="24"/>
      <c r="O1421" s="41"/>
      <c r="P1421" s="24"/>
      <c r="Q1421" s="24"/>
      <c r="R1421" s="24"/>
      <c r="S1421" s="24"/>
      <c r="T1421" s="24"/>
      <c r="U1421" s="24"/>
      <c r="V1421" s="24"/>
      <c r="W1421" s="24"/>
      <c r="X1421" s="24"/>
      <c r="Y1421" s="24"/>
      <c r="Z1421" s="24"/>
      <c r="AA1421" s="24"/>
      <c r="AB1421" s="24"/>
      <c r="AC1421" s="24"/>
      <c r="AD1421" s="24"/>
      <c r="AE1421" s="24"/>
    </row>
    <row r="1422" spans="1:31" s="1" customFormat="1" ht="10.5" x14ac:dyDescent="0.25">
      <c r="A1422" s="21"/>
      <c r="B1422" s="22"/>
      <c r="C1422" s="22"/>
      <c r="D1422" s="65"/>
      <c r="E1422" s="24"/>
      <c r="F1422" s="24"/>
      <c r="G1422" s="24"/>
      <c r="H1422" s="24"/>
      <c r="I1422" s="24"/>
      <c r="J1422" s="24"/>
      <c r="K1422" s="24"/>
      <c r="L1422" s="24"/>
      <c r="M1422" s="24"/>
      <c r="N1422" s="24"/>
      <c r="O1422" s="41"/>
      <c r="P1422" s="24"/>
      <c r="Q1422" s="24"/>
      <c r="R1422" s="24"/>
      <c r="S1422" s="24"/>
      <c r="T1422" s="24"/>
      <c r="U1422" s="24"/>
      <c r="V1422" s="24"/>
      <c r="W1422" s="24"/>
      <c r="X1422" s="24"/>
      <c r="Y1422" s="24"/>
      <c r="Z1422" s="24"/>
      <c r="AA1422" s="24"/>
      <c r="AB1422" s="24"/>
      <c r="AC1422" s="24"/>
      <c r="AD1422" s="24"/>
      <c r="AE1422" s="24"/>
    </row>
    <row r="1423" spans="1:31" s="1" customFormat="1" ht="21" x14ac:dyDescent="0.25">
      <c r="A1423" s="25"/>
      <c r="B1423" s="26" t="s">
        <v>1562</v>
      </c>
      <c r="C1423" s="26"/>
      <c r="D1423" s="64" t="s">
        <v>1563</v>
      </c>
      <c r="E1423" s="28"/>
      <c r="F1423" s="28"/>
      <c r="G1423" s="28"/>
      <c r="H1423" s="28"/>
      <c r="I1423" s="28"/>
      <c r="J1423" s="28"/>
      <c r="K1423" s="28"/>
      <c r="L1423" s="28"/>
      <c r="M1423" s="28">
        <f>SUM(M1424:M1426)</f>
        <v>0</v>
      </c>
      <c r="N1423" s="28"/>
      <c r="O1423" s="40">
        <f t="shared" ref="O1423:AC1423" si="836">SUM(O1424:O1426)</f>
        <v>0</v>
      </c>
      <c r="P1423" s="28">
        <f t="shared" si="836"/>
        <v>0</v>
      </c>
      <c r="Q1423" s="28">
        <f t="shared" si="836"/>
        <v>0</v>
      </c>
      <c r="R1423" s="28">
        <f t="shared" si="836"/>
        <v>0</v>
      </c>
      <c r="S1423" s="28">
        <f t="shared" si="836"/>
        <v>0</v>
      </c>
      <c r="T1423" s="28"/>
      <c r="U1423" s="28">
        <f t="shared" si="836"/>
        <v>0</v>
      </c>
      <c r="V1423" s="28"/>
      <c r="W1423" s="28">
        <f t="shared" si="836"/>
        <v>0</v>
      </c>
      <c r="X1423" s="28"/>
      <c r="Y1423" s="28">
        <f t="shared" si="836"/>
        <v>0</v>
      </c>
      <c r="Z1423" s="28">
        <f t="shared" si="836"/>
        <v>0</v>
      </c>
      <c r="AA1423" s="28"/>
      <c r="AB1423" s="28">
        <f t="shared" si="836"/>
        <v>0</v>
      </c>
      <c r="AC1423" s="28">
        <f t="shared" si="836"/>
        <v>0</v>
      </c>
      <c r="AD1423" s="28"/>
      <c r="AE1423" s="28"/>
    </row>
    <row r="1424" spans="1:31" s="1" customFormat="1" ht="10.5" x14ac:dyDescent="0.25">
      <c r="A1424" s="21"/>
      <c r="B1424" s="22"/>
      <c r="C1424" s="22"/>
      <c r="D1424" s="65"/>
      <c r="E1424" s="24"/>
      <c r="F1424" s="24"/>
      <c r="G1424" s="24"/>
      <c r="H1424" s="24"/>
      <c r="I1424" s="24"/>
      <c r="J1424" s="24"/>
      <c r="K1424" s="24"/>
      <c r="L1424" s="24"/>
      <c r="M1424" s="24"/>
      <c r="N1424" s="24"/>
      <c r="O1424" s="41">
        <f>AB989</f>
        <v>0</v>
      </c>
      <c r="P1424" s="24"/>
      <c r="Q1424" s="24"/>
      <c r="R1424" s="24"/>
      <c r="S1424" s="24"/>
      <c r="T1424" s="24"/>
      <c r="U1424" s="24"/>
      <c r="V1424" s="24"/>
      <c r="W1424" s="24"/>
      <c r="X1424" s="24"/>
      <c r="Y1424" s="24"/>
      <c r="Z1424" s="24"/>
      <c r="AA1424" s="24"/>
      <c r="AB1424" s="24"/>
      <c r="AC1424" s="24"/>
      <c r="AD1424" s="24"/>
      <c r="AE1424" s="24"/>
    </row>
    <row r="1425" spans="1:31" s="1" customFormat="1" ht="10.5" x14ac:dyDescent="0.25">
      <c r="A1425" s="21"/>
      <c r="B1425" s="22"/>
      <c r="C1425" s="22"/>
      <c r="D1425" s="65"/>
      <c r="E1425" s="24"/>
      <c r="F1425" s="24"/>
      <c r="G1425" s="24"/>
      <c r="H1425" s="24"/>
      <c r="I1425" s="24"/>
      <c r="J1425" s="24"/>
      <c r="K1425" s="24"/>
      <c r="L1425" s="24"/>
      <c r="M1425" s="24"/>
      <c r="N1425" s="24"/>
      <c r="O1425" s="41"/>
      <c r="P1425" s="24"/>
      <c r="Q1425" s="24"/>
      <c r="R1425" s="24"/>
      <c r="S1425" s="24"/>
      <c r="T1425" s="24"/>
      <c r="U1425" s="24"/>
      <c r="V1425" s="24"/>
      <c r="W1425" s="24"/>
      <c r="X1425" s="24"/>
      <c r="Y1425" s="24"/>
      <c r="Z1425" s="24"/>
      <c r="AA1425" s="24"/>
      <c r="AB1425" s="24"/>
      <c r="AC1425" s="24"/>
      <c r="AD1425" s="24"/>
      <c r="AE1425" s="24"/>
    </row>
    <row r="1426" spans="1:31" s="1" customFormat="1" ht="10.5" x14ac:dyDescent="0.25">
      <c r="A1426" s="21"/>
      <c r="B1426" s="22"/>
      <c r="C1426" s="22"/>
      <c r="D1426" s="65"/>
      <c r="E1426" s="24"/>
      <c r="F1426" s="24"/>
      <c r="G1426" s="24"/>
      <c r="H1426" s="24"/>
      <c r="I1426" s="24"/>
      <c r="J1426" s="24"/>
      <c r="K1426" s="24"/>
      <c r="L1426" s="24"/>
      <c r="M1426" s="24"/>
      <c r="N1426" s="24"/>
      <c r="O1426" s="41"/>
      <c r="P1426" s="24"/>
      <c r="Q1426" s="24"/>
      <c r="R1426" s="24"/>
      <c r="S1426" s="24"/>
      <c r="T1426" s="24"/>
      <c r="U1426" s="24"/>
      <c r="V1426" s="24"/>
      <c r="W1426" s="24"/>
      <c r="X1426" s="24"/>
      <c r="Y1426" s="24"/>
      <c r="Z1426" s="24"/>
      <c r="AA1426" s="24"/>
      <c r="AB1426" s="24"/>
      <c r="AC1426" s="24"/>
      <c r="AD1426" s="24"/>
      <c r="AE1426" s="24"/>
    </row>
    <row r="1427" spans="1:31" s="1" customFormat="1" ht="21" x14ac:dyDescent="0.25">
      <c r="A1427" s="25"/>
      <c r="B1427" s="26" t="s">
        <v>1564</v>
      </c>
      <c r="C1427" s="26"/>
      <c r="D1427" s="64" t="s">
        <v>1565</v>
      </c>
      <c r="E1427" s="28"/>
      <c r="F1427" s="28"/>
      <c r="G1427" s="28"/>
      <c r="H1427" s="28"/>
      <c r="I1427" s="28"/>
      <c r="J1427" s="28"/>
      <c r="K1427" s="28"/>
      <c r="L1427" s="28"/>
      <c r="M1427" s="28">
        <f>SUM(M1428:M1430)</f>
        <v>0</v>
      </c>
      <c r="N1427" s="28"/>
      <c r="O1427" s="40">
        <f t="shared" ref="O1427:AC1427" si="837">SUM(O1428:O1430)</f>
        <v>0</v>
      </c>
      <c r="P1427" s="28">
        <f t="shared" si="837"/>
        <v>0</v>
      </c>
      <c r="Q1427" s="28">
        <f t="shared" si="837"/>
        <v>0</v>
      </c>
      <c r="R1427" s="28">
        <f t="shared" si="837"/>
        <v>0</v>
      </c>
      <c r="S1427" s="28">
        <f t="shared" si="837"/>
        <v>0</v>
      </c>
      <c r="T1427" s="28"/>
      <c r="U1427" s="28">
        <f t="shared" si="837"/>
        <v>0</v>
      </c>
      <c r="V1427" s="28"/>
      <c r="W1427" s="28">
        <f t="shared" si="837"/>
        <v>0</v>
      </c>
      <c r="X1427" s="28"/>
      <c r="Y1427" s="28">
        <f t="shared" si="837"/>
        <v>0</v>
      </c>
      <c r="Z1427" s="28">
        <f t="shared" si="837"/>
        <v>0</v>
      </c>
      <c r="AA1427" s="28"/>
      <c r="AB1427" s="28">
        <f t="shared" si="837"/>
        <v>0</v>
      </c>
      <c r="AC1427" s="28">
        <f t="shared" si="837"/>
        <v>0</v>
      </c>
      <c r="AD1427" s="28"/>
      <c r="AE1427" s="28"/>
    </row>
    <row r="1428" spans="1:31" s="1" customFormat="1" ht="10.5" x14ac:dyDescent="0.25">
      <c r="A1428" s="21"/>
      <c r="B1428" s="22"/>
      <c r="C1428" s="22"/>
      <c r="D1428" s="65"/>
      <c r="E1428" s="24"/>
      <c r="F1428" s="24"/>
      <c r="G1428" s="24"/>
      <c r="H1428" s="24"/>
      <c r="I1428" s="24"/>
      <c r="J1428" s="24"/>
      <c r="K1428" s="24"/>
      <c r="L1428" s="24"/>
      <c r="M1428" s="24"/>
      <c r="N1428" s="24"/>
      <c r="O1428" s="41">
        <f>AB992</f>
        <v>0</v>
      </c>
      <c r="P1428" s="24"/>
      <c r="Q1428" s="24"/>
      <c r="R1428" s="24"/>
      <c r="S1428" s="24"/>
      <c r="T1428" s="24"/>
      <c r="U1428" s="24"/>
      <c r="V1428" s="24"/>
      <c r="W1428" s="24"/>
      <c r="X1428" s="24"/>
      <c r="Y1428" s="24"/>
      <c r="Z1428" s="24"/>
      <c r="AA1428" s="24"/>
      <c r="AB1428" s="24"/>
      <c r="AC1428" s="24"/>
      <c r="AD1428" s="24"/>
      <c r="AE1428" s="24"/>
    </row>
    <row r="1429" spans="1:31" s="1" customFormat="1" ht="10.5" x14ac:dyDescent="0.25">
      <c r="A1429" s="21"/>
      <c r="B1429" s="22"/>
      <c r="C1429" s="22"/>
      <c r="D1429" s="65"/>
      <c r="E1429" s="24"/>
      <c r="F1429" s="24"/>
      <c r="G1429" s="24"/>
      <c r="H1429" s="24"/>
      <c r="I1429" s="24"/>
      <c r="J1429" s="24"/>
      <c r="K1429" s="24"/>
      <c r="L1429" s="24"/>
      <c r="M1429" s="24"/>
      <c r="N1429" s="24"/>
      <c r="O1429" s="41"/>
      <c r="P1429" s="24"/>
      <c r="Q1429" s="24"/>
      <c r="R1429" s="24"/>
      <c r="S1429" s="24"/>
      <c r="T1429" s="24"/>
      <c r="U1429" s="24"/>
      <c r="V1429" s="24"/>
      <c r="W1429" s="24"/>
      <c r="X1429" s="24"/>
      <c r="Y1429" s="24"/>
      <c r="Z1429" s="24"/>
      <c r="AA1429" s="24"/>
      <c r="AB1429" s="24"/>
      <c r="AC1429" s="24"/>
      <c r="AD1429" s="24"/>
      <c r="AE1429" s="24"/>
    </row>
    <row r="1430" spans="1:31" s="1" customFormat="1" ht="10.5" x14ac:dyDescent="0.25">
      <c r="A1430" s="21"/>
      <c r="B1430" s="22"/>
      <c r="C1430" s="22"/>
      <c r="D1430" s="65"/>
      <c r="E1430" s="24"/>
      <c r="F1430" s="24"/>
      <c r="G1430" s="24"/>
      <c r="H1430" s="24"/>
      <c r="I1430" s="24"/>
      <c r="J1430" s="24"/>
      <c r="K1430" s="24"/>
      <c r="L1430" s="24"/>
      <c r="M1430" s="24"/>
      <c r="N1430" s="24"/>
      <c r="O1430" s="41"/>
      <c r="P1430" s="24"/>
      <c r="Q1430" s="24"/>
      <c r="R1430" s="24"/>
      <c r="S1430" s="24"/>
      <c r="T1430" s="24"/>
      <c r="U1430" s="24"/>
      <c r="V1430" s="24"/>
      <c r="W1430" s="24"/>
      <c r="X1430" s="24"/>
      <c r="Y1430" s="24"/>
      <c r="Z1430" s="24"/>
      <c r="AA1430" s="24"/>
      <c r="AB1430" s="24"/>
      <c r="AC1430" s="24"/>
      <c r="AD1430" s="24"/>
      <c r="AE1430" s="24"/>
    </row>
    <row r="1431" spans="1:31" s="1" customFormat="1" ht="21" x14ac:dyDescent="0.25">
      <c r="A1431" s="25"/>
      <c r="B1431" s="26" t="s">
        <v>1566</v>
      </c>
      <c r="C1431" s="26"/>
      <c r="D1431" s="64" t="s">
        <v>1567</v>
      </c>
      <c r="E1431" s="28"/>
      <c r="F1431" s="28"/>
      <c r="G1431" s="28"/>
      <c r="H1431" s="28"/>
      <c r="I1431" s="28"/>
      <c r="J1431" s="28"/>
      <c r="K1431" s="28"/>
      <c r="L1431" s="28"/>
      <c r="M1431" s="28">
        <f>SUM(M1432:M1434)</f>
        <v>0</v>
      </c>
      <c r="N1431" s="28"/>
      <c r="O1431" s="40">
        <f t="shared" ref="O1431:AC1431" si="838">SUM(O1432:O1434)</f>
        <v>35118375</v>
      </c>
      <c r="P1431" s="28">
        <f t="shared" si="838"/>
        <v>0</v>
      </c>
      <c r="Q1431" s="28">
        <f t="shared" si="838"/>
        <v>0</v>
      </c>
      <c r="R1431" s="28">
        <f t="shared" si="838"/>
        <v>0</v>
      </c>
      <c r="S1431" s="28">
        <f t="shared" si="838"/>
        <v>0</v>
      </c>
      <c r="T1431" s="28"/>
      <c r="U1431" s="28">
        <f t="shared" si="838"/>
        <v>0</v>
      </c>
      <c r="V1431" s="28"/>
      <c r="W1431" s="28">
        <f t="shared" si="838"/>
        <v>0</v>
      </c>
      <c r="X1431" s="28"/>
      <c r="Y1431" s="28">
        <f t="shared" si="838"/>
        <v>0</v>
      </c>
      <c r="Z1431" s="28">
        <f t="shared" si="838"/>
        <v>0</v>
      </c>
      <c r="AA1431" s="28"/>
      <c r="AB1431" s="28">
        <f t="shared" si="838"/>
        <v>0</v>
      </c>
      <c r="AC1431" s="28">
        <f t="shared" si="838"/>
        <v>0</v>
      </c>
      <c r="AD1431" s="28"/>
      <c r="AE1431" s="28"/>
    </row>
    <row r="1432" spans="1:31" s="1" customFormat="1" ht="10.5" x14ac:dyDescent="0.25">
      <c r="A1432" s="21"/>
      <c r="B1432" s="22"/>
      <c r="C1432" s="22"/>
      <c r="D1432" s="65"/>
      <c r="E1432" s="24"/>
      <c r="F1432" s="24"/>
      <c r="G1432" s="24"/>
      <c r="H1432" s="24"/>
      <c r="I1432" s="24"/>
      <c r="J1432" s="24"/>
      <c r="K1432" s="24"/>
      <c r="L1432" s="24"/>
      <c r="M1432" s="24"/>
      <c r="N1432" s="24"/>
      <c r="O1432" s="41">
        <f>AB999</f>
        <v>35118375</v>
      </c>
      <c r="P1432" s="24"/>
      <c r="Q1432" s="24"/>
      <c r="R1432" s="24"/>
      <c r="S1432" s="24"/>
      <c r="T1432" s="24"/>
      <c r="U1432" s="24"/>
      <c r="V1432" s="24"/>
      <c r="W1432" s="24"/>
      <c r="X1432" s="24"/>
      <c r="Y1432" s="24"/>
      <c r="Z1432" s="24"/>
      <c r="AA1432" s="24"/>
      <c r="AB1432" s="24"/>
      <c r="AC1432" s="24"/>
      <c r="AD1432" s="24"/>
      <c r="AE1432" s="24"/>
    </row>
    <row r="1433" spans="1:31" s="1" customFormat="1" ht="10.5" x14ac:dyDescent="0.25">
      <c r="A1433" s="21"/>
      <c r="B1433" s="22"/>
      <c r="C1433" s="22"/>
      <c r="D1433" s="65"/>
      <c r="E1433" s="24"/>
      <c r="F1433" s="24"/>
      <c r="G1433" s="24"/>
      <c r="H1433" s="24"/>
      <c r="I1433" s="24"/>
      <c r="J1433" s="24"/>
      <c r="K1433" s="24"/>
      <c r="L1433" s="24"/>
      <c r="M1433" s="24"/>
      <c r="N1433" s="24"/>
      <c r="O1433" s="24"/>
      <c r="P1433" s="24"/>
      <c r="Q1433" s="24"/>
      <c r="R1433" s="24"/>
      <c r="S1433" s="24"/>
      <c r="T1433" s="24"/>
      <c r="U1433" s="24"/>
      <c r="V1433" s="24"/>
      <c r="W1433" s="24"/>
      <c r="X1433" s="24"/>
      <c r="Y1433" s="24"/>
      <c r="Z1433" s="24"/>
      <c r="AA1433" s="24"/>
      <c r="AB1433" s="24"/>
      <c r="AC1433" s="24"/>
      <c r="AD1433" s="24"/>
      <c r="AE1433" s="24"/>
    </row>
    <row r="1434" spans="1:31" s="1" customFormat="1" ht="10.5" x14ac:dyDescent="0.25">
      <c r="A1434" s="21"/>
      <c r="B1434" s="22"/>
      <c r="C1434" s="22"/>
      <c r="D1434" s="65"/>
      <c r="E1434" s="24"/>
      <c r="F1434" s="24"/>
      <c r="G1434" s="24"/>
      <c r="H1434" s="24"/>
      <c r="I1434" s="24"/>
      <c r="J1434" s="24"/>
      <c r="K1434" s="24"/>
      <c r="L1434" s="24"/>
      <c r="M1434" s="24"/>
      <c r="N1434" s="24"/>
      <c r="O1434" s="24"/>
      <c r="P1434" s="24"/>
      <c r="Q1434" s="24"/>
      <c r="R1434" s="24"/>
      <c r="S1434" s="24"/>
      <c r="T1434" s="24"/>
      <c r="U1434" s="24"/>
      <c r="V1434" s="24"/>
      <c r="W1434" s="24"/>
      <c r="X1434" s="24"/>
      <c r="Y1434" s="24"/>
      <c r="Z1434" s="24"/>
      <c r="AA1434" s="24"/>
      <c r="AB1434" s="24"/>
      <c r="AC1434" s="24"/>
      <c r="AD1434" s="24"/>
      <c r="AE1434" s="24"/>
    </row>
    <row r="1435" spans="1:31" s="1" customFormat="1" ht="21" x14ac:dyDescent="0.25">
      <c r="A1435" s="17"/>
      <c r="B1435" s="18" t="s">
        <v>1568</v>
      </c>
      <c r="C1435" s="18"/>
      <c r="D1435" s="84" t="s">
        <v>1569</v>
      </c>
      <c r="E1435" s="20"/>
      <c r="F1435" s="20"/>
      <c r="G1435" s="20"/>
      <c r="H1435" s="20"/>
      <c r="I1435" s="20"/>
      <c r="J1435" s="20"/>
      <c r="K1435" s="20"/>
      <c r="L1435" s="20"/>
      <c r="M1435" s="20">
        <f>M1436+M1440+M1444+M1448</f>
        <v>0</v>
      </c>
      <c r="N1435" s="20"/>
      <c r="O1435" s="37">
        <f t="shared" ref="O1435:AC1435" si="839">O1436+O1440+O1444+O1448</f>
        <v>8627144660.8864174</v>
      </c>
      <c r="P1435" s="20">
        <f t="shared" si="839"/>
        <v>0</v>
      </c>
      <c r="Q1435" s="20">
        <f t="shared" si="839"/>
        <v>0</v>
      </c>
      <c r="R1435" s="20">
        <f t="shared" si="839"/>
        <v>0</v>
      </c>
      <c r="S1435" s="20">
        <f t="shared" si="839"/>
        <v>0</v>
      </c>
      <c r="T1435" s="20"/>
      <c r="U1435" s="20">
        <f t="shared" si="839"/>
        <v>0</v>
      </c>
      <c r="V1435" s="20"/>
      <c r="W1435" s="20">
        <f t="shared" si="839"/>
        <v>0</v>
      </c>
      <c r="X1435" s="20"/>
      <c r="Y1435" s="20">
        <f t="shared" si="839"/>
        <v>0</v>
      </c>
      <c r="Z1435" s="20">
        <f t="shared" si="839"/>
        <v>0</v>
      </c>
      <c r="AA1435" s="20"/>
      <c r="AB1435" s="20">
        <f t="shared" si="839"/>
        <v>0</v>
      </c>
      <c r="AC1435" s="20">
        <f t="shared" si="839"/>
        <v>0</v>
      </c>
      <c r="AD1435" s="20"/>
      <c r="AE1435" s="20"/>
    </row>
    <row r="1436" spans="1:31" s="1" customFormat="1" ht="21" x14ac:dyDescent="0.25">
      <c r="A1436" s="25"/>
      <c r="B1436" s="26" t="s">
        <v>1570</v>
      </c>
      <c r="C1436" s="26"/>
      <c r="D1436" s="64" t="s">
        <v>1571</v>
      </c>
      <c r="E1436" s="28"/>
      <c r="F1436" s="28"/>
      <c r="G1436" s="28"/>
      <c r="H1436" s="28"/>
      <c r="I1436" s="28"/>
      <c r="J1436" s="28"/>
      <c r="K1436" s="28"/>
      <c r="L1436" s="28"/>
      <c r="M1436" s="28">
        <f>SUM(M1437:M1439)</f>
        <v>0</v>
      </c>
      <c r="N1436" s="28"/>
      <c r="O1436" s="40">
        <f t="shared" ref="O1436:AC1436" si="840">SUM(O1437:O1439)</f>
        <v>8609588660.8864174</v>
      </c>
      <c r="P1436" s="28">
        <f t="shared" si="840"/>
        <v>0</v>
      </c>
      <c r="Q1436" s="28">
        <f t="shared" si="840"/>
        <v>0</v>
      </c>
      <c r="R1436" s="28">
        <f t="shared" si="840"/>
        <v>0</v>
      </c>
      <c r="S1436" s="28">
        <f t="shared" si="840"/>
        <v>0</v>
      </c>
      <c r="T1436" s="28"/>
      <c r="U1436" s="28">
        <f t="shared" si="840"/>
        <v>0</v>
      </c>
      <c r="V1436" s="28"/>
      <c r="W1436" s="28">
        <f t="shared" si="840"/>
        <v>0</v>
      </c>
      <c r="X1436" s="28"/>
      <c r="Y1436" s="28">
        <f t="shared" si="840"/>
        <v>0</v>
      </c>
      <c r="Z1436" s="28">
        <f t="shared" si="840"/>
        <v>0</v>
      </c>
      <c r="AA1436" s="28"/>
      <c r="AB1436" s="28">
        <f t="shared" si="840"/>
        <v>0</v>
      </c>
      <c r="AC1436" s="28">
        <f t="shared" si="840"/>
        <v>0</v>
      </c>
      <c r="AD1436" s="28"/>
      <c r="AE1436" s="28"/>
    </row>
    <row r="1437" spans="1:31" s="1" customFormat="1" ht="10.5" x14ac:dyDescent="0.25">
      <c r="A1437" s="21"/>
      <c r="B1437" s="22"/>
      <c r="C1437" s="22"/>
      <c r="D1437" s="65"/>
      <c r="E1437" s="24"/>
      <c r="F1437" s="24"/>
      <c r="G1437" s="24"/>
      <c r="H1437" s="24"/>
      <c r="I1437" s="24"/>
      <c r="J1437" s="24"/>
      <c r="K1437" s="24"/>
      <c r="L1437" s="24"/>
      <c r="M1437" s="24"/>
      <c r="N1437" s="24"/>
      <c r="O1437" s="41">
        <f>AB1008</f>
        <v>8609588660.8864174</v>
      </c>
      <c r="P1437" s="24"/>
      <c r="Q1437" s="24"/>
      <c r="R1437" s="24"/>
      <c r="S1437" s="24"/>
      <c r="T1437" s="24"/>
      <c r="U1437" s="24"/>
      <c r="V1437" s="24"/>
      <c r="W1437" s="24"/>
      <c r="X1437" s="24"/>
      <c r="Y1437" s="24"/>
      <c r="Z1437" s="24"/>
      <c r="AA1437" s="24"/>
      <c r="AB1437" s="24"/>
      <c r="AC1437" s="24"/>
      <c r="AD1437" s="24"/>
      <c r="AE1437" s="24"/>
    </row>
    <row r="1438" spans="1:31" s="1" customFormat="1" ht="10.5" x14ac:dyDescent="0.25">
      <c r="A1438" s="21"/>
      <c r="B1438" s="22"/>
      <c r="C1438" s="22"/>
      <c r="D1438" s="65"/>
      <c r="E1438" s="24"/>
      <c r="F1438" s="24"/>
      <c r="G1438" s="24"/>
      <c r="H1438" s="24"/>
      <c r="I1438" s="24"/>
      <c r="J1438" s="24"/>
      <c r="K1438" s="24"/>
      <c r="L1438" s="24"/>
      <c r="M1438" s="24"/>
      <c r="N1438" s="24"/>
      <c r="O1438" s="41"/>
      <c r="P1438" s="24"/>
      <c r="Q1438" s="24"/>
      <c r="R1438" s="24"/>
      <c r="S1438" s="24"/>
      <c r="T1438" s="24"/>
      <c r="U1438" s="24"/>
      <c r="V1438" s="24"/>
      <c r="W1438" s="24"/>
      <c r="X1438" s="24"/>
      <c r="Y1438" s="24"/>
      <c r="Z1438" s="24"/>
      <c r="AA1438" s="24"/>
      <c r="AB1438" s="24"/>
      <c r="AC1438" s="24"/>
      <c r="AD1438" s="24"/>
      <c r="AE1438" s="24"/>
    </row>
    <row r="1439" spans="1:31" s="1" customFormat="1" ht="10.5" x14ac:dyDescent="0.25">
      <c r="A1439" s="21"/>
      <c r="B1439" s="22"/>
      <c r="C1439" s="22"/>
      <c r="D1439" s="65"/>
      <c r="E1439" s="24"/>
      <c r="F1439" s="24"/>
      <c r="G1439" s="24"/>
      <c r="H1439" s="24"/>
      <c r="I1439" s="24"/>
      <c r="J1439" s="24"/>
      <c r="K1439" s="24"/>
      <c r="L1439" s="24"/>
      <c r="M1439" s="24"/>
      <c r="N1439" s="24"/>
      <c r="O1439" s="41"/>
      <c r="P1439" s="24"/>
      <c r="Q1439" s="24"/>
      <c r="R1439" s="24"/>
      <c r="S1439" s="24"/>
      <c r="T1439" s="24"/>
      <c r="U1439" s="24"/>
      <c r="V1439" s="24"/>
      <c r="W1439" s="24"/>
      <c r="X1439" s="24"/>
      <c r="Y1439" s="24"/>
      <c r="Z1439" s="24"/>
      <c r="AA1439" s="24"/>
      <c r="AB1439" s="24"/>
      <c r="AC1439" s="24"/>
      <c r="AD1439" s="24"/>
      <c r="AE1439" s="24"/>
    </row>
    <row r="1440" spans="1:31" s="1" customFormat="1" ht="10.5" x14ac:dyDescent="0.25">
      <c r="A1440" s="25"/>
      <c r="B1440" s="26" t="s">
        <v>1572</v>
      </c>
      <c r="C1440" s="26"/>
      <c r="D1440" s="64" t="s">
        <v>1573</v>
      </c>
      <c r="E1440" s="28"/>
      <c r="F1440" s="28"/>
      <c r="G1440" s="28"/>
      <c r="H1440" s="28"/>
      <c r="I1440" s="28"/>
      <c r="J1440" s="28"/>
      <c r="K1440" s="28"/>
      <c r="L1440" s="28"/>
      <c r="M1440" s="28">
        <f>SUM(M1441:M1443)</f>
        <v>0</v>
      </c>
      <c r="N1440" s="28"/>
      <c r="O1440" s="40">
        <f t="shared" ref="O1440:AC1440" si="841">SUM(O1441:O1443)</f>
        <v>0</v>
      </c>
      <c r="P1440" s="28">
        <f t="shared" si="841"/>
        <v>0</v>
      </c>
      <c r="Q1440" s="28">
        <f t="shared" si="841"/>
        <v>0</v>
      </c>
      <c r="R1440" s="28">
        <f t="shared" si="841"/>
        <v>0</v>
      </c>
      <c r="S1440" s="28">
        <f t="shared" si="841"/>
        <v>0</v>
      </c>
      <c r="T1440" s="28"/>
      <c r="U1440" s="28">
        <f t="shared" si="841"/>
        <v>0</v>
      </c>
      <c r="V1440" s="28"/>
      <c r="W1440" s="28">
        <f t="shared" si="841"/>
        <v>0</v>
      </c>
      <c r="X1440" s="28"/>
      <c r="Y1440" s="28">
        <f t="shared" si="841"/>
        <v>0</v>
      </c>
      <c r="Z1440" s="28">
        <f t="shared" si="841"/>
        <v>0</v>
      </c>
      <c r="AA1440" s="28"/>
      <c r="AB1440" s="28">
        <f t="shared" si="841"/>
        <v>0</v>
      </c>
      <c r="AC1440" s="28">
        <f t="shared" si="841"/>
        <v>0</v>
      </c>
      <c r="AD1440" s="28"/>
      <c r="AE1440" s="28"/>
    </row>
    <row r="1441" spans="1:31" s="1" customFormat="1" ht="10.5" x14ac:dyDescent="0.25">
      <c r="A1441" s="21"/>
      <c r="B1441" s="22"/>
      <c r="C1441" s="22"/>
      <c r="D1441" s="85"/>
      <c r="E1441" s="24"/>
      <c r="F1441" s="24"/>
      <c r="G1441" s="24"/>
      <c r="H1441" s="24"/>
      <c r="I1441" s="24"/>
      <c r="J1441" s="24"/>
      <c r="K1441" s="24"/>
      <c r="L1441" s="24"/>
      <c r="M1441" s="24"/>
      <c r="N1441" s="24"/>
      <c r="O1441" s="41">
        <f>AB1113</f>
        <v>0</v>
      </c>
      <c r="P1441" s="24"/>
      <c r="Q1441" s="24"/>
      <c r="R1441" s="24"/>
      <c r="S1441" s="24"/>
      <c r="T1441" s="24"/>
      <c r="U1441" s="24"/>
      <c r="V1441" s="24"/>
      <c r="W1441" s="24"/>
      <c r="X1441" s="24"/>
      <c r="Y1441" s="24"/>
      <c r="Z1441" s="24"/>
      <c r="AA1441" s="24"/>
      <c r="AB1441" s="24"/>
      <c r="AC1441" s="24"/>
      <c r="AD1441" s="24"/>
      <c r="AE1441" s="24"/>
    </row>
    <row r="1442" spans="1:31" s="1" customFormat="1" ht="10.5" x14ac:dyDescent="0.25">
      <c r="A1442" s="21"/>
      <c r="B1442" s="22"/>
      <c r="C1442" s="22"/>
      <c r="D1442" s="85"/>
      <c r="E1442" s="24"/>
      <c r="F1442" s="24"/>
      <c r="G1442" s="24"/>
      <c r="H1442" s="24"/>
      <c r="I1442" s="24"/>
      <c r="J1442" s="24"/>
      <c r="K1442" s="24"/>
      <c r="L1442" s="24"/>
      <c r="M1442" s="24"/>
      <c r="N1442" s="24"/>
      <c r="O1442" s="41"/>
      <c r="P1442" s="24"/>
      <c r="Q1442" s="24"/>
      <c r="R1442" s="24"/>
      <c r="S1442" s="24"/>
      <c r="T1442" s="24"/>
      <c r="U1442" s="24"/>
      <c r="V1442" s="24"/>
      <c r="W1442" s="24"/>
      <c r="X1442" s="24"/>
      <c r="Y1442" s="24"/>
      <c r="Z1442" s="24"/>
      <c r="AA1442" s="24"/>
      <c r="AB1442" s="24"/>
      <c r="AC1442" s="24"/>
      <c r="AD1442" s="24"/>
      <c r="AE1442" s="24"/>
    </row>
    <row r="1443" spans="1:31" s="1" customFormat="1" ht="10.5" x14ac:dyDescent="0.25">
      <c r="A1443" s="21"/>
      <c r="B1443" s="22"/>
      <c r="C1443" s="22"/>
      <c r="D1443" s="85"/>
      <c r="E1443" s="24"/>
      <c r="F1443" s="24"/>
      <c r="G1443" s="24"/>
      <c r="H1443" s="24"/>
      <c r="I1443" s="24"/>
      <c r="J1443" s="24"/>
      <c r="K1443" s="24"/>
      <c r="L1443" s="24"/>
      <c r="M1443" s="24"/>
      <c r="N1443" s="24"/>
      <c r="O1443" s="41"/>
      <c r="P1443" s="24"/>
      <c r="Q1443" s="24"/>
      <c r="R1443" s="24"/>
      <c r="S1443" s="24"/>
      <c r="T1443" s="24"/>
      <c r="U1443" s="24"/>
      <c r="V1443" s="24"/>
      <c r="W1443" s="24"/>
      <c r="X1443" s="24"/>
      <c r="Y1443" s="24"/>
      <c r="Z1443" s="24"/>
      <c r="AA1443" s="24"/>
      <c r="AB1443" s="24"/>
      <c r="AC1443" s="24"/>
      <c r="AD1443" s="24"/>
      <c r="AE1443" s="24"/>
    </row>
    <row r="1444" spans="1:31" s="1" customFormat="1" ht="21" x14ac:dyDescent="0.25">
      <c r="A1444" s="25"/>
      <c r="B1444" s="26" t="s">
        <v>1574</v>
      </c>
      <c r="C1444" s="26"/>
      <c r="D1444" s="64" t="s">
        <v>1575</v>
      </c>
      <c r="E1444" s="28"/>
      <c r="F1444" s="28"/>
      <c r="G1444" s="28"/>
      <c r="H1444" s="28"/>
      <c r="I1444" s="28"/>
      <c r="J1444" s="28"/>
      <c r="K1444" s="28"/>
      <c r="L1444" s="28"/>
      <c r="M1444" s="28">
        <f>SUM(M1445:M1447)</f>
        <v>0</v>
      </c>
      <c r="N1444" s="28"/>
      <c r="O1444" s="40">
        <f t="shared" ref="O1444:AC1444" si="842">SUM(O1445:O1447)</f>
        <v>17556000</v>
      </c>
      <c r="P1444" s="28">
        <f t="shared" si="842"/>
        <v>0</v>
      </c>
      <c r="Q1444" s="28">
        <f t="shared" si="842"/>
        <v>0</v>
      </c>
      <c r="R1444" s="28">
        <f t="shared" si="842"/>
        <v>0</v>
      </c>
      <c r="S1444" s="28">
        <f t="shared" si="842"/>
        <v>0</v>
      </c>
      <c r="T1444" s="28"/>
      <c r="U1444" s="28">
        <f t="shared" si="842"/>
        <v>0</v>
      </c>
      <c r="V1444" s="28"/>
      <c r="W1444" s="28">
        <f t="shared" si="842"/>
        <v>0</v>
      </c>
      <c r="X1444" s="28"/>
      <c r="Y1444" s="28">
        <f t="shared" si="842"/>
        <v>0</v>
      </c>
      <c r="Z1444" s="28">
        <f t="shared" si="842"/>
        <v>0</v>
      </c>
      <c r="AA1444" s="28"/>
      <c r="AB1444" s="28">
        <f t="shared" si="842"/>
        <v>0</v>
      </c>
      <c r="AC1444" s="28">
        <f t="shared" si="842"/>
        <v>0</v>
      </c>
      <c r="AD1444" s="28"/>
      <c r="AE1444" s="28"/>
    </row>
    <row r="1445" spans="1:31" s="1" customFormat="1" ht="10.5" x14ac:dyDescent="0.25">
      <c r="A1445" s="21"/>
      <c r="B1445" s="22"/>
      <c r="C1445" s="22"/>
      <c r="D1445" s="65"/>
      <c r="E1445" s="24"/>
      <c r="F1445" s="24"/>
      <c r="G1445" s="24"/>
      <c r="H1445" s="24"/>
      <c r="I1445" s="24"/>
      <c r="J1445" s="24"/>
      <c r="K1445" s="24"/>
      <c r="L1445" s="24"/>
      <c r="M1445" s="24"/>
      <c r="N1445" s="24"/>
      <c r="O1445" s="41">
        <f>AB1116</f>
        <v>17556000</v>
      </c>
      <c r="P1445" s="24"/>
      <c r="Q1445" s="24"/>
      <c r="R1445" s="24"/>
      <c r="S1445" s="24"/>
      <c r="T1445" s="24"/>
      <c r="U1445" s="24"/>
      <c r="V1445" s="24"/>
      <c r="W1445" s="24"/>
      <c r="X1445" s="24"/>
      <c r="Y1445" s="24"/>
      <c r="Z1445" s="24"/>
      <c r="AA1445" s="24"/>
      <c r="AB1445" s="24"/>
      <c r="AC1445" s="24"/>
      <c r="AD1445" s="24"/>
      <c r="AE1445" s="24"/>
    </row>
    <row r="1446" spans="1:31" s="1" customFormat="1" ht="10.5" x14ac:dyDescent="0.25">
      <c r="A1446" s="21"/>
      <c r="B1446" s="22"/>
      <c r="C1446" s="22"/>
      <c r="D1446" s="65"/>
      <c r="E1446" s="24"/>
      <c r="F1446" s="24"/>
      <c r="G1446" s="24"/>
      <c r="H1446" s="24"/>
      <c r="I1446" s="24"/>
      <c r="J1446" s="24"/>
      <c r="K1446" s="24"/>
      <c r="L1446" s="24"/>
      <c r="M1446" s="24"/>
      <c r="N1446" s="24"/>
      <c r="O1446" s="41"/>
      <c r="P1446" s="24"/>
      <c r="Q1446" s="24"/>
      <c r="R1446" s="24"/>
      <c r="S1446" s="24"/>
      <c r="T1446" s="24"/>
      <c r="U1446" s="24"/>
      <c r="V1446" s="24"/>
      <c r="W1446" s="24"/>
      <c r="X1446" s="24"/>
      <c r="Y1446" s="24"/>
      <c r="Z1446" s="24"/>
      <c r="AA1446" s="24"/>
      <c r="AB1446" s="24"/>
      <c r="AC1446" s="24"/>
      <c r="AD1446" s="24"/>
      <c r="AE1446" s="24"/>
    </row>
    <row r="1447" spans="1:31" s="1" customFormat="1" ht="10.5" x14ac:dyDescent="0.25">
      <c r="A1447" s="21"/>
      <c r="B1447" s="22"/>
      <c r="C1447" s="22"/>
      <c r="D1447" s="65"/>
      <c r="E1447" s="24"/>
      <c r="F1447" s="24"/>
      <c r="G1447" s="24"/>
      <c r="H1447" s="24"/>
      <c r="I1447" s="24"/>
      <c r="J1447" s="24"/>
      <c r="K1447" s="24"/>
      <c r="L1447" s="24"/>
      <c r="M1447" s="24"/>
      <c r="N1447" s="24"/>
      <c r="O1447" s="41"/>
      <c r="P1447" s="24"/>
      <c r="Q1447" s="24"/>
      <c r="R1447" s="24"/>
      <c r="S1447" s="24"/>
      <c r="T1447" s="24"/>
      <c r="U1447" s="24"/>
      <c r="V1447" s="24"/>
      <c r="W1447" s="24"/>
      <c r="X1447" s="24"/>
      <c r="Y1447" s="24"/>
      <c r="Z1447" s="24"/>
      <c r="AA1447" s="24"/>
      <c r="AB1447" s="24"/>
      <c r="AC1447" s="24"/>
      <c r="AD1447" s="24"/>
      <c r="AE1447" s="24"/>
    </row>
    <row r="1448" spans="1:31" s="1" customFormat="1" ht="21" x14ac:dyDescent="0.25">
      <c r="A1448" s="25"/>
      <c r="B1448" s="26" t="s">
        <v>1576</v>
      </c>
      <c r="C1448" s="26"/>
      <c r="D1448" s="64" t="s">
        <v>1577</v>
      </c>
      <c r="E1448" s="28"/>
      <c r="F1448" s="28"/>
      <c r="G1448" s="28"/>
      <c r="H1448" s="28"/>
      <c r="I1448" s="28"/>
      <c r="J1448" s="28"/>
      <c r="K1448" s="28"/>
      <c r="L1448" s="28"/>
      <c r="M1448" s="28">
        <f>SUM(M1449:M1451)</f>
        <v>0</v>
      </c>
      <c r="N1448" s="28"/>
      <c r="O1448" s="40">
        <f t="shared" ref="O1448:AC1448" si="843">SUM(O1449:O1451)</f>
        <v>0</v>
      </c>
      <c r="P1448" s="28">
        <f t="shared" si="843"/>
        <v>0</v>
      </c>
      <c r="Q1448" s="28">
        <f t="shared" si="843"/>
        <v>0</v>
      </c>
      <c r="R1448" s="28">
        <f t="shared" si="843"/>
        <v>0</v>
      </c>
      <c r="S1448" s="28">
        <f t="shared" si="843"/>
        <v>0</v>
      </c>
      <c r="T1448" s="28"/>
      <c r="U1448" s="28">
        <f t="shared" si="843"/>
        <v>0</v>
      </c>
      <c r="V1448" s="28"/>
      <c r="W1448" s="28">
        <f t="shared" si="843"/>
        <v>0</v>
      </c>
      <c r="X1448" s="28"/>
      <c r="Y1448" s="28">
        <f t="shared" si="843"/>
        <v>0</v>
      </c>
      <c r="Z1448" s="28">
        <f t="shared" si="843"/>
        <v>0</v>
      </c>
      <c r="AA1448" s="28"/>
      <c r="AB1448" s="28">
        <f t="shared" si="843"/>
        <v>0</v>
      </c>
      <c r="AC1448" s="28">
        <f t="shared" si="843"/>
        <v>0</v>
      </c>
      <c r="AD1448" s="28"/>
      <c r="AE1448" s="28"/>
    </row>
    <row r="1449" spans="1:31" s="1" customFormat="1" ht="10.5" x14ac:dyDescent="0.25">
      <c r="A1449" s="21"/>
      <c r="B1449" s="22"/>
      <c r="C1449" s="22"/>
      <c r="D1449" s="65"/>
      <c r="E1449" s="24"/>
      <c r="F1449" s="24"/>
      <c r="G1449" s="24"/>
      <c r="H1449" s="24"/>
      <c r="I1449" s="24"/>
      <c r="J1449" s="24"/>
      <c r="K1449" s="24"/>
      <c r="L1449" s="24"/>
      <c r="M1449" s="24"/>
      <c r="N1449" s="24"/>
      <c r="O1449" s="41">
        <f>AB1120</f>
        <v>0</v>
      </c>
      <c r="P1449" s="24"/>
      <c r="Q1449" s="24"/>
      <c r="R1449" s="24"/>
      <c r="S1449" s="24"/>
      <c r="T1449" s="24"/>
      <c r="U1449" s="24"/>
      <c r="V1449" s="24"/>
      <c r="W1449" s="24"/>
      <c r="X1449" s="24"/>
      <c r="Y1449" s="24"/>
      <c r="Z1449" s="24"/>
      <c r="AA1449" s="24"/>
      <c r="AB1449" s="24"/>
      <c r="AC1449" s="24"/>
      <c r="AD1449" s="24"/>
      <c r="AE1449" s="24"/>
    </row>
    <row r="1450" spans="1:31" s="1" customFormat="1" ht="10.5" x14ac:dyDescent="0.25">
      <c r="A1450" s="21"/>
      <c r="B1450" s="22"/>
      <c r="C1450" s="22"/>
      <c r="D1450" s="65"/>
      <c r="E1450" s="24"/>
      <c r="F1450" s="24"/>
      <c r="G1450" s="24"/>
      <c r="H1450" s="24"/>
      <c r="I1450" s="24"/>
      <c r="J1450" s="24"/>
      <c r="K1450" s="24"/>
      <c r="L1450" s="24"/>
      <c r="M1450" s="24"/>
      <c r="N1450" s="24"/>
      <c r="O1450" s="41"/>
      <c r="P1450" s="24"/>
      <c r="Q1450" s="24"/>
      <c r="R1450" s="24"/>
      <c r="S1450" s="24"/>
      <c r="T1450" s="24"/>
      <c r="U1450" s="24"/>
      <c r="V1450" s="24"/>
      <c r="W1450" s="24"/>
      <c r="X1450" s="24"/>
      <c r="Y1450" s="24"/>
      <c r="Z1450" s="24"/>
      <c r="AA1450" s="24"/>
      <c r="AB1450" s="24"/>
      <c r="AC1450" s="24"/>
      <c r="AD1450" s="24"/>
      <c r="AE1450" s="24"/>
    </row>
    <row r="1451" spans="1:31" s="1" customFormat="1" ht="10.5" x14ac:dyDescent="0.25">
      <c r="A1451" s="21"/>
      <c r="B1451" s="22"/>
      <c r="C1451" s="22"/>
      <c r="D1451" s="65"/>
      <c r="E1451" s="24"/>
      <c r="F1451" s="24"/>
      <c r="G1451" s="24"/>
      <c r="H1451" s="24"/>
      <c r="I1451" s="24"/>
      <c r="J1451" s="24"/>
      <c r="K1451" s="24"/>
      <c r="L1451" s="24"/>
      <c r="M1451" s="24"/>
      <c r="N1451" s="24"/>
      <c r="O1451" s="41"/>
      <c r="P1451" s="24"/>
      <c r="Q1451" s="24"/>
      <c r="R1451" s="24"/>
      <c r="S1451" s="24"/>
      <c r="T1451" s="24"/>
      <c r="U1451" s="24"/>
      <c r="V1451" s="24"/>
      <c r="W1451" s="24"/>
      <c r="X1451" s="24"/>
      <c r="Y1451" s="24"/>
      <c r="Z1451" s="24"/>
      <c r="AA1451" s="24"/>
      <c r="AB1451" s="24"/>
      <c r="AC1451" s="24"/>
      <c r="AD1451" s="24"/>
      <c r="AE1451" s="24"/>
    </row>
    <row r="1452" spans="1:31" s="1" customFormat="1" ht="21" x14ac:dyDescent="0.25">
      <c r="A1452" s="17"/>
      <c r="B1452" s="18" t="s">
        <v>1578</v>
      </c>
      <c r="C1452" s="18"/>
      <c r="D1452" s="84" t="s">
        <v>1579</v>
      </c>
      <c r="E1452" s="20"/>
      <c r="F1452" s="20"/>
      <c r="G1452" s="20"/>
      <c r="H1452" s="20"/>
      <c r="I1452" s="20"/>
      <c r="J1452" s="20"/>
      <c r="K1452" s="20"/>
      <c r="L1452" s="20"/>
      <c r="M1452" s="20">
        <f>M1453+M1457+M1461+M1465</f>
        <v>0</v>
      </c>
      <c r="N1452" s="20"/>
      <c r="O1452" s="37">
        <f t="shared" ref="O1452:AC1452" si="844">O1453+O1457+O1461+O1465</f>
        <v>328634974.3067227</v>
      </c>
      <c r="P1452" s="20">
        <f t="shared" si="844"/>
        <v>0</v>
      </c>
      <c r="Q1452" s="20">
        <f t="shared" si="844"/>
        <v>0</v>
      </c>
      <c r="R1452" s="20">
        <f t="shared" si="844"/>
        <v>0</v>
      </c>
      <c r="S1452" s="20">
        <f t="shared" si="844"/>
        <v>0</v>
      </c>
      <c r="T1452" s="20"/>
      <c r="U1452" s="20">
        <f t="shared" si="844"/>
        <v>0</v>
      </c>
      <c r="V1452" s="20"/>
      <c r="W1452" s="20">
        <f t="shared" si="844"/>
        <v>0</v>
      </c>
      <c r="X1452" s="20"/>
      <c r="Y1452" s="20">
        <f t="shared" si="844"/>
        <v>0</v>
      </c>
      <c r="Z1452" s="20">
        <f t="shared" si="844"/>
        <v>0</v>
      </c>
      <c r="AA1452" s="20"/>
      <c r="AB1452" s="20">
        <f t="shared" si="844"/>
        <v>0</v>
      </c>
      <c r="AC1452" s="20">
        <f t="shared" si="844"/>
        <v>0</v>
      </c>
      <c r="AD1452" s="20"/>
      <c r="AE1452" s="20"/>
    </row>
    <row r="1453" spans="1:31" s="1" customFormat="1" ht="21" x14ac:dyDescent="0.25">
      <c r="A1453" s="25"/>
      <c r="B1453" s="26" t="s">
        <v>1580</v>
      </c>
      <c r="C1453" s="26"/>
      <c r="D1453" s="64" t="s">
        <v>1581</v>
      </c>
      <c r="E1453" s="28"/>
      <c r="F1453" s="28"/>
      <c r="G1453" s="28"/>
      <c r="H1453" s="28"/>
      <c r="I1453" s="28"/>
      <c r="J1453" s="28"/>
      <c r="K1453" s="28"/>
      <c r="L1453" s="28"/>
      <c r="M1453" s="28">
        <f>SUM(M1454:M1456)</f>
        <v>0</v>
      </c>
      <c r="N1453" s="28"/>
      <c r="O1453" s="40">
        <f t="shared" ref="O1453:AC1453" si="845">SUM(O1454:O1456)</f>
        <v>0</v>
      </c>
      <c r="P1453" s="28">
        <f t="shared" si="845"/>
        <v>0</v>
      </c>
      <c r="Q1453" s="28">
        <f t="shared" si="845"/>
        <v>0</v>
      </c>
      <c r="R1453" s="28">
        <f t="shared" si="845"/>
        <v>0</v>
      </c>
      <c r="S1453" s="28">
        <f t="shared" si="845"/>
        <v>0</v>
      </c>
      <c r="T1453" s="28"/>
      <c r="U1453" s="28">
        <f t="shared" si="845"/>
        <v>0</v>
      </c>
      <c r="V1453" s="28"/>
      <c r="W1453" s="28">
        <f t="shared" si="845"/>
        <v>0</v>
      </c>
      <c r="X1453" s="28"/>
      <c r="Y1453" s="28">
        <f t="shared" si="845"/>
        <v>0</v>
      </c>
      <c r="Z1453" s="28">
        <f t="shared" si="845"/>
        <v>0</v>
      </c>
      <c r="AA1453" s="28"/>
      <c r="AB1453" s="28">
        <f t="shared" si="845"/>
        <v>0</v>
      </c>
      <c r="AC1453" s="28">
        <f t="shared" si="845"/>
        <v>0</v>
      </c>
      <c r="AD1453" s="28"/>
      <c r="AE1453" s="28"/>
    </row>
    <row r="1454" spans="1:31" s="1" customFormat="1" ht="10.5" x14ac:dyDescent="0.25">
      <c r="A1454" s="21"/>
      <c r="B1454" s="22"/>
      <c r="C1454" s="22"/>
      <c r="D1454" s="65"/>
      <c r="E1454" s="24"/>
      <c r="F1454" s="24"/>
      <c r="G1454" s="24"/>
      <c r="H1454" s="24"/>
      <c r="I1454" s="24"/>
      <c r="J1454" s="24"/>
      <c r="K1454" s="24"/>
      <c r="L1454" s="24"/>
      <c r="M1454" s="24"/>
      <c r="N1454" s="24"/>
      <c r="O1454" s="41">
        <f>AB1124</f>
        <v>0</v>
      </c>
      <c r="P1454" s="24"/>
      <c r="Q1454" s="24"/>
      <c r="R1454" s="24"/>
      <c r="S1454" s="24"/>
      <c r="T1454" s="24"/>
      <c r="U1454" s="24"/>
      <c r="V1454" s="24"/>
      <c r="W1454" s="24"/>
      <c r="X1454" s="24"/>
      <c r="Y1454" s="24"/>
      <c r="Z1454" s="24"/>
      <c r="AA1454" s="24"/>
      <c r="AB1454" s="24"/>
      <c r="AC1454" s="24"/>
      <c r="AD1454" s="24"/>
      <c r="AE1454" s="24"/>
    </row>
    <row r="1455" spans="1:31" s="1" customFormat="1" ht="10.5" x14ac:dyDescent="0.25">
      <c r="A1455" s="21"/>
      <c r="B1455" s="22"/>
      <c r="C1455" s="22"/>
      <c r="D1455" s="65"/>
      <c r="E1455" s="24"/>
      <c r="F1455" s="24"/>
      <c r="G1455" s="24"/>
      <c r="H1455" s="24"/>
      <c r="I1455" s="24"/>
      <c r="J1455" s="24"/>
      <c r="K1455" s="24"/>
      <c r="L1455" s="24"/>
      <c r="M1455" s="24"/>
      <c r="N1455" s="24"/>
      <c r="O1455" s="41"/>
      <c r="P1455" s="24"/>
      <c r="Q1455" s="24"/>
      <c r="R1455" s="24"/>
      <c r="S1455" s="24"/>
      <c r="T1455" s="24"/>
      <c r="U1455" s="24"/>
      <c r="V1455" s="24"/>
      <c r="W1455" s="24"/>
      <c r="X1455" s="24"/>
      <c r="Y1455" s="24"/>
      <c r="Z1455" s="24"/>
      <c r="AA1455" s="24"/>
      <c r="AB1455" s="24"/>
      <c r="AC1455" s="24"/>
      <c r="AD1455" s="24"/>
      <c r="AE1455" s="24"/>
    </row>
    <row r="1456" spans="1:31" s="1" customFormat="1" ht="10.5" x14ac:dyDescent="0.25">
      <c r="A1456" s="21"/>
      <c r="B1456" s="22"/>
      <c r="C1456" s="22"/>
      <c r="D1456" s="65"/>
      <c r="E1456" s="24"/>
      <c r="F1456" s="24"/>
      <c r="G1456" s="24"/>
      <c r="H1456" s="24"/>
      <c r="I1456" s="24"/>
      <c r="J1456" s="24"/>
      <c r="K1456" s="24"/>
      <c r="L1456" s="24"/>
      <c r="M1456" s="24"/>
      <c r="N1456" s="24"/>
      <c r="O1456" s="41"/>
      <c r="P1456" s="24"/>
      <c r="Q1456" s="24"/>
      <c r="R1456" s="24"/>
      <c r="S1456" s="24"/>
      <c r="T1456" s="24"/>
      <c r="U1456" s="24"/>
      <c r="V1456" s="24"/>
      <c r="W1456" s="24"/>
      <c r="X1456" s="24"/>
      <c r="Y1456" s="24"/>
      <c r="Z1456" s="24"/>
      <c r="AA1456" s="24"/>
      <c r="AB1456" s="24"/>
      <c r="AC1456" s="24"/>
      <c r="AD1456" s="24"/>
      <c r="AE1456" s="24"/>
    </row>
    <row r="1457" spans="1:31" s="1" customFormat="1" ht="10.5" x14ac:dyDescent="0.25">
      <c r="A1457" s="25"/>
      <c r="B1457" s="26" t="s">
        <v>1582</v>
      </c>
      <c r="C1457" s="26"/>
      <c r="D1457" s="64" t="s">
        <v>1583</v>
      </c>
      <c r="E1457" s="28"/>
      <c r="F1457" s="28"/>
      <c r="G1457" s="28"/>
      <c r="H1457" s="28"/>
      <c r="I1457" s="28"/>
      <c r="J1457" s="28"/>
      <c r="K1457" s="28"/>
      <c r="L1457" s="28"/>
      <c r="M1457" s="28">
        <f>SUM(M1458:M1460)</f>
        <v>0</v>
      </c>
      <c r="N1457" s="28"/>
      <c r="O1457" s="40">
        <f t="shared" ref="O1457:AC1457" si="846">SUM(O1458:O1460)</f>
        <v>0</v>
      </c>
      <c r="P1457" s="28">
        <f t="shared" si="846"/>
        <v>0</v>
      </c>
      <c r="Q1457" s="28">
        <f t="shared" si="846"/>
        <v>0</v>
      </c>
      <c r="R1457" s="28">
        <f t="shared" si="846"/>
        <v>0</v>
      </c>
      <c r="S1457" s="28">
        <f t="shared" si="846"/>
        <v>0</v>
      </c>
      <c r="T1457" s="28"/>
      <c r="U1457" s="28">
        <f t="shared" si="846"/>
        <v>0</v>
      </c>
      <c r="V1457" s="28"/>
      <c r="W1457" s="28">
        <f t="shared" si="846"/>
        <v>0</v>
      </c>
      <c r="X1457" s="28"/>
      <c r="Y1457" s="28">
        <f t="shared" si="846"/>
        <v>0</v>
      </c>
      <c r="Z1457" s="28">
        <f t="shared" si="846"/>
        <v>0</v>
      </c>
      <c r="AA1457" s="28"/>
      <c r="AB1457" s="28">
        <f t="shared" si="846"/>
        <v>0</v>
      </c>
      <c r="AC1457" s="28">
        <f t="shared" si="846"/>
        <v>0</v>
      </c>
      <c r="AD1457" s="28"/>
      <c r="AE1457" s="28"/>
    </row>
    <row r="1458" spans="1:31" s="1" customFormat="1" ht="10.5" x14ac:dyDescent="0.25">
      <c r="A1458" s="21"/>
      <c r="B1458" s="22"/>
      <c r="C1458" s="22"/>
      <c r="D1458" s="65"/>
      <c r="E1458" s="24"/>
      <c r="F1458" s="24"/>
      <c r="G1458" s="24"/>
      <c r="H1458" s="24"/>
      <c r="I1458" s="24"/>
      <c r="J1458" s="24"/>
      <c r="K1458" s="24"/>
      <c r="L1458" s="24"/>
      <c r="M1458" s="24"/>
      <c r="N1458" s="24"/>
      <c r="O1458" s="41">
        <f>AB1131</f>
        <v>0</v>
      </c>
      <c r="P1458" s="24"/>
      <c r="Q1458" s="24"/>
      <c r="R1458" s="24"/>
      <c r="S1458" s="24"/>
      <c r="T1458" s="24"/>
      <c r="U1458" s="24"/>
      <c r="V1458" s="24"/>
      <c r="W1458" s="24"/>
      <c r="X1458" s="24"/>
      <c r="Y1458" s="24"/>
      <c r="Z1458" s="24"/>
      <c r="AA1458" s="24"/>
      <c r="AB1458" s="24"/>
      <c r="AC1458" s="24"/>
      <c r="AD1458" s="24"/>
      <c r="AE1458" s="24"/>
    </row>
    <row r="1459" spans="1:31" s="1" customFormat="1" ht="10.5" x14ac:dyDescent="0.25">
      <c r="A1459" s="21"/>
      <c r="B1459" s="22"/>
      <c r="C1459" s="22"/>
      <c r="D1459" s="65"/>
      <c r="E1459" s="24"/>
      <c r="F1459" s="24"/>
      <c r="G1459" s="24"/>
      <c r="H1459" s="24"/>
      <c r="I1459" s="24"/>
      <c r="J1459" s="24"/>
      <c r="K1459" s="24"/>
      <c r="L1459" s="24"/>
      <c r="M1459" s="24"/>
      <c r="N1459" s="24"/>
      <c r="O1459" s="41"/>
      <c r="P1459" s="24"/>
      <c r="Q1459" s="24"/>
      <c r="R1459" s="24"/>
      <c r="S1459" s="24"/>
      <c r="T1459" s="24"/>
      <c r="U1459" s="24"/>
      <c r="V1459" s="24"/>
      <c r="W1459" s="24"/>
      <c r="X1459" s="24"/>
      <c r="Y1459" s="24"/>
      <c r="Z1459" s="24"/>
      <c r="AA1459" s="24"/>
      <c r="AB1459" s="24"/>
      <c r="AC1459" s="24"/>
      <c r="AD1459" s="24"/>
      <c r="AE1459" s="24"/>
    </row>
    <row r="1460" spans="1:31" s="1" customFormat="1" ht="10.5" x14ac:dyDescent="0.25">
      <c r="A1460" s="21"/>
      <c r="B1460" s="22"/>
      <c r="C1460" s="22"/>
      <c r="D1460" s="65"/>
      <c r="E1460" s="24"/>
      <c r="F1460" s="24"/>
      <c r="G1460" s="24"/>
      <c r="H1460" s="24"/>
      <c r="I1460" s="24"/>
      <c r="J1460" s="24"/>
      <c r="K1460" s="24"/>
      <c r="L1460" s="24"/>
      <c r="M1460" s="24"/>
      <c r="N1460" s="24"/>
      <c r="O1460" s="41"/>
      <c r="P1460" s="24"/>
      <c r="Q1460" s="24"/>
      <c r="R1460" s="24"/>
      <c r="S1460" s="24"/>
      <c r="T1460" s="24"/>
      <c r="U1460" s="24"/>
      <c r="V1460" s="24"/>
      <c r="W1460" s="24"/>
      <c r="X1460" s="24"/>
      <c r="Y1460" s="24"/>
      <c r="Z1460" s="24"/>
      <c r="AA1460" s="24"/>
      <c r="AB1460" s="24"/>
      <c r="AC1460" s="24"/>
      <c r="AD1460" s="24"/>
      <c r="AE1460" s="24"/>
    </row>
    <row r="1461" spans="1:31" s="1" customFormat="1" ht="21" x14ac:dyDescent="0.25">
      <c r="A1461" s="25"/>
      <c r="B1461" s="26" t="s">
        <v>1584</v>
      </c>
      <c r="C1461" s="26"/>
      <c r="D1461" s="64" t="s">
        <v>1585</v>
      </c>
      <c r="E1461" s="28"/>
      <c r="F1461" s="28"/>
      <c r="G1461" s="28"/>
      <c r="H1461" s="28"/>
      <c r="I1461" s="28"/>
      <c r="J1461" s="28"/>
      <c r="K1461" s="28"/>
      <c r="L1461" s="28"/>
      <c r="M1461" s="28">
        <f>SUM(M1462:M1464)</f>
        <v>0</v>
      </c>
      <c r="N1461" s="28"/>
      <c r="O1461" s="40">
        <f t="shared" ref="O1461:AC1461" si="847">SUM(O1462:O1464)</f>
        <v>61821011.806722686</v>
      </c>
      <c r="P1461" s="28">
        <f t="shared" si="847"/>
        <v>0</v>
      </c>
      <c r="Q1461" s="28">
        <f t="shared" si="847"/>
        <v>0</v>
      </c>
      <c r="R1461" s="28">
        <f t="shared" si="847"/>
        <v>0</v>
      </c>
      <c r="S1461" s="28">
        <f t="shared" si="847"/>
        <v>0</v>
      </c>
      <c r="T1461" s="28"/>
      <c r="U1461" s="28">
        <f t="shared" si="847"/>
        <v>0</v>
      </c>
      <c r="V1461" s="28"/>
      <c r="W1461" s="28">
        <f t="shared" si="847"/>
        <v>0</v>
      </c>
      <c r="X1461" s="28"/>
      <c r="Y1461" s="28">
        <f t="shared" si="847"/>
        <v>0</v>
      </c>
      <c r="Z1461" s="28">
        <f t="shared" si="847"/>
        <v>0</v>
      </c>
      <c r="AA1461" s="28"/>
      <c r="AB1461" s="28">
        <f t="shared" si="847"/>
        <v>0</v>
      </c>
      <c r="AC1461" s="28">
        <f t="shared" si="847"/>
        <v>0</v>
      </c>
      <c r="AD1461" s="28"/>
      <c r="AE1461" s="28"/>
    </row>
    <row r="1462" spans="1:31" s="1" customFormat="1" ht="10.5" x14ac:dyDescent="0.25">
      <c r="A1462" s="21"/>
      <c r="B1462" s="22"/>
      <c r="C1462" s="22"/>
      <c r="D1462" s="65"/>
      <c r="E1462" s="24"/>
      <c r="F1462" s="24"/>
      <c r="G1462" s="24"/>
      <c r="H1462" s="24"/>
      <c r="I1462" s="24"/>
      <c r="J1462" s="24"/>
      <c r="K1462" s="24"/>
      <c r="L1462" s="24"/>
      <c r="M1462" s="24"/>
      <c r="N1462" s="24"/>
      <c r="O1462" s="41">
        <f>AB1146</f>
        <v>61821011.806722686</v>
      </c>
      <c r="P1462" s="24"/>
      <c r="Q1462" s="24"/>
      <c r="R1462" s="24"/>
      <c r="S1462" s="24"/>
      <c r="T1462" s="24"/>
      <c r="U1462" s="24"/>
      <c r="V1462" s="24"/>
      <c r="W1462" s="24"/>
      <c r="X1462" s="24"/>
      <c r="Y1462" s="24"/>
      <c r="Z1462" s="24"/>
      <c r="AA1462" s="24"/>
      <c r="AB1462" s="24"/>
      <c r="AC1462" s="24"/>
      <c r="AD1462" s="24"/>
      <c r="AE1462" s="24"/>
    </row>
    <row r="1463" spans="1:31" s="1" customFormat="1" ht="10.5" x14ac:dyDescent="0.25">
      <c r="A1463" s="21"/>
      <c r="B1463" s="22"/>
      <c r="C1463" s="22"/>
      <c r="D1463" s="65"/>
      <c r="E1463" s="24"/>
      <c r="F1463" s="24"/>
      <c r="G1463" s="24"/>
      <c r="H1463" s="24"/>
      <c r="I1463" s="24"/>
      <c r="J1463" s="24"/>
      <c r="K1463" s="24"/>
      <c r="L1463" s="24"/>
      <c r="M1463" s="24"/>
      <c r="N1463" s="24"/>
      <c r="O1463" s="41"/>
      <c r="P1463" s="24"/>
      <c r="Q1463" s="24"/>
      <c r="R1463" s="24"/>
      <c r="S1463" s="24"/>
      <c r="T1463" s="24"/>
      <c r="U1463" s="24"/>
      <c r="V1463" s="24"/>
      <c r="W1463" s="24"/>
      <c r="X1463" s="24"/>
      <c r="Y1463" s="24"/>
      <c r="Z1463" s="24"/>
      <c r="AA1463" s="24"/>
      <c r="AB1463" s="24"/>
      <c r="AC1463" s="24"/>
      <c r="AD1463" s="24"/>
      <c r="AE1463" s="24"/>
    </row>
    <row r="1464" spans="1:31" s="1" customFormat="1" ht="10.5" x14ac:dyDescent="0.25">
      <c r="A1464" s="21"/>
      <c r="B1464" s="22"/>
      <c r="C1464" s="22"/>
      <c r="D1464" s="65"/>
      <c r="E1464" s="24"/>
      <c r="F1464" s="24"/>
      <c r="G1464" s="24"/>
      <c r="H1464" s="24"/>
      <c r="I1464" s="24"/>
      <c r="J1464" s="24"/>
      <c r="K1464" s="24"/>
      <c r="L1464" s="24"/>
      <c r="M1464" s="24"/>
      <c r="N1464" s="24"/>
      <c r="O1464" s="41"/>
      <c r="P1464" s="24"/>
      <c r="Q1464" s="24"/>
      <c r="R1464" s="24"/>
      <c r="S1464" s="24"/>
      <c r="T1464" s="24"/>
      <c r="U1464" s="24"/>
      <c r="V1464" s="24"/>
      <c r="W1464" s="24"/>
      <c r="X1464" s="24"/>
      <c r="Y1464" s="24"/>
      <c r="Z1464" s="24"/>
      <c r="AA1464" s="24"/>
      <c r="AB1464" s="24"/>
      <c r="AC1464" s="24"/>
      <c r="AD1464" s="24"/>
      <c r="AE1464" s="24"/>
    </row>
    <row r="1465" spans="1:31" s="1" customFormat="1" ht="10.5" x14ac:dyDescent="0.25">
      <c r="A1465" s="25"/>
      <c r="B1465" s="26" t="s">
        <v>1586</v>
      </c>
      <c r="C1465" s="26"/>
      <c r="D1465" s="64" t="s">
        <v>1587</v>
      </c>
      <c r="E1465" s="28"/>
      <c r="F1465" s="28"/>
      <c r="G1465" s="28"/>
      <c r="H1465" s="28"/>
      <c r="I1465" s="28"/>
      <c r="J1465" s="28"/>
      <c r="K1465" s="28"/>
      <c r="L1465" s="28"/>
      <c r="M1465" s="28">
        <f>SUM(M1466:M1468)</f>
        <v>0</v>
      </c>
      <c r="N1465" s="28"/>
      <c r="O1465" s="40">
        <f t="shared" ref="O1465:AC1465" si="848">SUM(O1466:O1468)</f>
        <v>266813962.5</v>
      </c>
      <c r="P1465" s="28">
        <f t="shared" si="848"/>
        <v>0</v>
      </c>
      <c r="Q1465" s="28">
        <f t="shared" si="848"/>
        <v>0</v>
      </c>
      <c r="R1465" s="28">
        <f t="shared" si="848"/>
        <v>0</v>
      </c>
      <c r="S1465" s="28">
        <f t="shared" si="848"/>
        <v>0</v>
      </c>
      <c r="T1465" s="28"/>
      <c r="U1465" s="28">
        <f t="shared" si="848"/>
        <v>0</v>
      </c>
      <c r="V1465" s="28"/>
      <c r="W1465" s="28">
        <f t="shared" si="848"/>
        <v>0</v>
      </c>
      <c r="X1465" s="28"/>
      <c r="Y1465" s="28">
        <f t="shared" si="848"/>
        <v>0</v>
      </c>
      <c r="Z1465" s="28">
        <f t="shared" si="848"/>
        <v>0</v>
      </c>
      <c r="AA1465" s="28"/>
      <c r="AB1465" s="28">
        <f t="shared" si="848"/>
        <v>0</v>
      </c>
      <c r="AC1465" s="28">
        <f t="shared" si="848"/>
        <v>0</v>
      </c>
      <c r="AD1465" s="28"/>
      <c r="AE1465" s="28"/>
    </row>
    <row r="1466" spans="1:31" s="1" customFormat="1" ht="10.5" x14ac:dyDescent="0.25">
      <c r="A1466" s="21"/>
      <c r="B1466" s="22"/>
      <c r="C1466" s="22"/>
      <c r="D1466" s="65"/>
      <c r="E1466" s="24"/>
      <c r="F1466" s="24"/>
      <c r="G1466" s="24"/>
      <c r="H1466" s="24"/>
      <c r="I1466" s="24"/>
      <c r="J1466" s="24"/>
      <c r="K1466" s="24"/>
      <c r="L1466" s="24"/>
      <c r="M1466" s="24"/>
      <c r="N1466" s="24"/>
      <c r="O1466" s="41">
        <f>AB1195</f>
        <v>266813962.5</v>
      </c>
      <c r="P1466" s="24"/>
      <c r="Q1466" s="24"/>
      <c r="R1466" s="24"/>
      <c r="S1466" s="24"/>
      <c r="T1466" s="24"/>
      <c r="U1466" s="24"/>
      <c r="V1466" s="24"/>
      <c r="W1466" s="24"/>
      <c r="X1466" s="24"/>
      <c r="Y1466" s="24"/>
      <c r="Z1466" s="24"/>
      <c r="AA1466" s="24"/>
      <c r="AB1466" s="24"/>
      <c r="AC1466" s="24"/>
      <c r="AD1466" s="24"/>
      <c r="AE1466" s="24"/>
    </row>
    <row r="1467" spans="1:31" s="1" customFormat="1" ht="10.5" x14ac:dyDescent="0.25">
      <c r="A1467" s="21"/>
      <c r="B1467" s="22"/>
      <c r="C1467" s="22"/>
      <c r="D1467" s="65"/>
      <c r="E1467" s="24"/>
      <c r="F1467" s="24"/>
      <c r="G1467" s="24"/>
      <c r="H1467" s="24"/>
      <c r="I1467" s="24"/>
      <c r="J1467" s="24"/>
      <c r="K1467" s="24"/>
      <c r="L1467" s="24"/>
      <c r="M1467" s="24"/>
      <c r="N1467" s="24"/>
      <c r="O1467" s="41"/>
      <c r="P1467" s="24"/>
      <c r="Q1467" s="24"/>
      <c r="R1467" s="24"/>
      <c r="S1467" s="24"/>
      <c r="T1467" s="24"/>
      <c r="U1467" s="24"/>
      <c r="V1467" s="24"/>
      <c r="W1467" s="24"/>
      <c r="X1467" s="24"/>
      <c r="Y1467" s="24"/>
      <c r="Z1467" s="24"/>
      <c r="AA1467" s="24"/>
      <c r="AB1467" s="24"/>
      <c r="AC1467" s="24"/>
      <c r="AD1467" s="24"/>
      <c r="AE1467" s="24"/>
    </row>
    <row r="1468" spans="1:31" s="1" customFormat="1" ht="10.5" x14ac:dyDescent="0.25">
      <c r="A1468" s="21"/>
      <c r="B1468" s="22"/>
      <c r="C1468" s="22"/>
      <c r="D1468" s="65"/>
      <c r="E1468" s="24"/>
      <c r="F1468" s="24"/>
      <c r="G1468" s="24"/>
      <c r="H1468" s="24"/>
      <c r="I1468" s="24"/>
      <c r="J1468" s="24"/>
      <c r="K1468" s="24"/>
      <c r="L1468" s="24"/>
      <c r="M1468" s="24"/>
      <c r="N1468" s="24"/>
      <c r="O1468" s="41"/>
      <c r="P1468" s="24"/>
      <c r="Q1468" s="24"/>
      <c r="R1468" s="24"/>
      <c r="S1468" s="24"/>
      <c r="T1468" s="24"/>
      <c r="U1468" s="24"/>
      <c r="V1468" s="24"/>
      <c r="W1468" s="24"/>
      <c r="X1468" s="24"/>
      <c r="Y1468" s="24"/>
      <c r="Z1468" s="24"/>
      <c r="AA1468" s="24"/>
      <c r="AB1468" s="24"/>
      <c r="AC1468" s="24"/>
      <c r="AD1468" s="24"/>
      <c r="AE1468" s="24"/>
    </row>
    <row r="1469" spans="1:31" s="1" customFormat="1" ht="21" x14ac:dyDescent="0.25">
      <c r="A1469" s="17"/>
      <c r="B1469" s="18" t="s">
        <v>1588</v>
      </c>
      <c r="C1469" s="18"/>
      <c r="D1469" s="84" t="s">
        <v>1589</v>
      </c>
      <c r="E1469" s="20"/>
      <c r="F1469" s="20"/>
      <c r="G1469" s="20"/>
      <c r="H1469" s="20"/>
      <c r="I1469" s="20"/>
      <c r="J1469" s="20"/>
      <c r="K1469" s="20"/>
      <c r="L1469" s="20"/>
      <c r="M1469" s="20">
        <f>M1470</f>
        <v>0</v>
      </c>
      <c r="N1469" s="20"/>
      <c r="O1469" s="37">
        <f t="shared" ref="O1469:AC1469" si="849">O1470</f>
        <v>0</v>
      </c>
      <c r="P1469" s="20">
        <f t="shared" si="849"/>
        <v>0</v>
      </c>
      <c r="Q1469" s="20">
        <f t="shared" si="849"/>
        <v>0</v>
      </c>
      <c r="R1469" s="20">
        <f t="shared" si="849"/>
        <v>0</v>
      </c>
      <c r="S1469" s="20">
        <f t="shared" si="849"/>
        <v>0</v>
      </c>
      <c r="T1469" s="20"/>
      <c r="U1469" s="20">
        <f t="shared" si="849"/>
        <v>0</v>
      </c>
      <c r="V1469" s="20"/>
      <c r="W1469" s="20">
        <f t="shared" si="849"/>
        <v>0</v>
      </c>
      <c r="X1469" s="20"/>
      <c r="Y1469" s="20">
        <f t="shared" si="849"/>
        <v>0</v>
      </c>
      <c r="Z1469" s="20">
        <f t="shared" si="849"/>
        <v>0</v>
      </c>
      <c r="AA1469" s="20"/>
      <c r="AB1469" s="20">
        <f t="shared" si="849"/>
        <v>0</v>
      </c>
      <c r="AC1469" s="20">
        <f t="shared" si="849"/>
        <v>0</v>
      </c>
      <c r="AD1469" s="20"/>
      <c r="AE1469" s="20"/>
    </row>
    <row r="1470" spans="1:31" s="1" customFormat="1" ht="21" x14ac:dyDescent="0.25">
      <c r="A1470" s="25"/>
      <c r="B1470" s="26" t="s">
        <v>1590</v>
      </c>
      <c r="C1470" s="26"/>
      <c r="D1470" s="64" t="s">
        <v>1589</v>
      </c>
      <c r="E1470" s="28"/>
      <c r="F1470" s="28"/>
      <c r="G1470" s="28"/>
      <c r="H1470" s="28"/>
      <c r="I1470" s="28"/>
      <c r="J1470" s="28"/>
      <c r="K1470" s="28"/>
      <c r="L1470" s="28"/>
      <c r="M1470" s="28">
        <f>SUM(M1471:M1473)</f>
        <v>0</v>
      </c>
      <c r="N1470" s="28"/>
      <c r="O1470" s="40">
        <f t="shared" ref="O1470:AC1470" si="850">SUM(O1471:O1473)</f>
        <v>0</v>
      </c>
      <c r="P1470" s="28">
        <f t="shared" si="850"/>
        <v>0</v>
      </c>
      <c r="Q1470" s="28">
        <f t="shared" si="850"/>
        <v>0</v>
      </c>
      <c r="R1470" s="28">
        <f t="shared" si="850"/>
        <v>0</v>
      </c>
      <c r="S1470" s="28">
        <f t="shared" si="850"/>
        <v>0</v>
      </c>
      <c r="T1470" s="28"/>
      <c r="U1470" s="28">
        <f t="shared" si="850"/>
        <v>0</v>
      </c>
      <c r="V1470" s="28"/>
      <c r="W1470" s="28">
        <f t="shared" si="850"/>
        <v>0</v>
      </c>
      <c r="X1470" s="28"/>
      <c r="Y1470" s="28">
        <f t="shared" si="850"/>
        <v>0</v>
      </c>
      <c r="Z1470" s="28">
        <f t="shared" si="850"/>
        <v>0</v>
      </c>
      <c r="AA1470" s="28"/>
      <c r="AB1470" s="28">
        <f t="shared" si="850"/>
        <v>0</v>
      </c>
      <c r="AC1470" s="28">
        <f t="shared" si="850"/>
        <v>0</v>
      </c>
      <c r="AD1470" s="28"/>
      <c r="AE1470" s="28"/>
    </row>
    <row r="1471" spans="1:31" s="1" customFormat="1" ht="10.5" x14ac:dyDescent="0.25">
      <c r="A1471" s="21"/>
      <c r="B1471" s="22"/>
      <c r="C1471" s="22"/>
      <c r="D1471" s="65"/>
      <c r="E1471" s="24"/>
      <c r="F1471" s="24"/>
      <c r="G1471" s="24"/>
      <c r="H1471" s="24"/>
      <c r="I1471" s="24"/>
      <c r="J1471" s="24"/>
      <c r="K1471" s="24"/>
      <c r="L1471" s="24"/>
      <c r="M1471" s="24"/>
      <c r="N1471" s="24"/>
      <c r="O1471" s="41">
        <f>AB1220</f>
        <v>0</v>
      </c>
      <c r="P1471" s="24"/>
      <c r="Q1471" s="24"/>
      <c r="R1471" s="24"/>
      <c r="S1471" s="24"/>
      <c r="T1471" s="24"/>
      <c r="U1471" s="24"/>
      <c r="V1471" s="24"/>
      <c r="W1471" s="24"/>
      <c r="X1471" s="24"/>
      <c r="Y1471" s="24"/>
      <c r="Z1471" s="24"/>
      <c r="AA1471" s="24"/>
      <c r="AB1471" s="24"/>
      <c r="AC1471" s="24"/>
      <c r="AD1471" s="24"/>
      <c r="AE1471" s="24"/>
    </row>
    <row r="1472" spans="1:31" s="1" customFormat="1" ht="10.5" x14ac:dyDescent="0.25">
      <c r="A1472" s="21"/>
      <c r="B1472" s="22"/>
      <c r="C1472" s="22"/>
      <c r="D1472" s="65"/>
      <c r="E1472" s="24"/>
      <c r="F1472" s="24"/>
      <c r="G1472" s="24"/>
      <c r="H1472" s="24"/>
      <c r="I1472" s="24"/>
      <c r="J1472" s="24"/>
      <c r="K1472" s="24"/>
      <c r="L1472" s="24"/>
      <c r="M1472" s="24"/>
      <c r="N1472" s="24"/>
      <c r="O1472" s="41"/>
      <c r="P1472" s="24"/>
      <c r="Q1472" s="24"/>
      <c r="R1472" s="24"/>
      <c r="S1472" s="24"/>
      <c r="T1472" s="24"/>
      <c r="U1472" s="24"/>
      <c r="V1472" s="24"/>
      <c r="W1472" s="24"/>
      <c r="X1472" s="24"/>
      <c r="Y1472" s="24"/>
      <c r="Z1472" s="24"/>
      <c r="AA1472" s="24"/>
      <c r="AB1472" s="24"/>
      <c r="AC1472" s="24"/>
      <c r="AD1472" s="24"/>
      <c r="AE1472" s="24"/>
    </row>
    <row r="1473" spans="1:34" s="1" customFormat="1" ht="10.5" x14ac:dyDescent="0.25">
      <c r="A1473" s="21"/>
      <c r="B1473" s="22"/>
      <c r="C1473" s="22"/>
      <c r="D1473" s="65"/>
      <c r="E1473" s="24"/>
      <c r="F1473" s="24"/>
      <c r="G1473" s="24"/>
      <c r="H1473" s="24"/>
      <c r="I1473" s="24"/>
      <c r="J1473" s="24"/>
      <c r="K1473" s="24"/>
      <c r="L1473" s="24"/>
      <c r="M1473" s="24"/>
      <c r="N1473" s="24"/>
      <c r="O1473" s="41"/>
      <c r="P1473" s="24"/>
      <c r="Q1473" s="24"/>
      <c r="R1473" s="24"/>
      <c r="S1473" s="24"/>
      <c r="T1473" s="24"/>
      <c r="U1473" s="24"/>
      <c r="V1473" s="24"/>
      <c r="W1473" s="24"/>
      <c r="X1473" s="24"/>
      <c r="Y1473" s="24"/>
      <c r="Z1473" s="24"/>
      <c r="AA1473" s="24"/>
      <c r="AB1473" s="24"/>
      <c r="AC1473" s="24"/>
      <c r="AD1473" s="24"/>
      <c r="AE1473" s="24"/>
    </row>
    <row r="1474" spans="1:34" s="110" customFormat="1" ht="33" customHeight="1" x14ac:dyDescent="0.25">
      <c r="A1474" s="105"/>
      <c r="B1474" s="106" t="s">
        <v>1591</v>
      </c>
      <c r="C1474" s="106"/>
      <c r="D1474" s="107" t="s">
        <v>1592</v>
      </c>
      <c r="E1474" s="108"/>
      <c r="F1474" s="108"/>
      <c r="G1474" s="108"/>
      <c r="H1474" s="108"/>
      <c r="I1474" s="108"/>
      <c r="J1474" s="108"/>
      <c r="K1474" s="108"/>
      <c r="L1474" s="108"/>
      <c r="M1474" s="108">
        <f>M1475+M1481+M1487+M1495+M1501</f>
        <v>4</v>
      </c>
      <c r="N1474" s="108"/>
      <c r="O1474" s="109">
        <f>O1475+O1481+O1487+O1495+O1501</f>
        <v>50400000</v>
      </c>
      <c r="P1474" s="108">
        <f>P1475+P1481+P1487+P1495+P1501</f>
        <v>0</v>
      </c>
      <c r="Q1474" s="108">
        <f>Q1475+Q1481+Q1487+Q1495+Q1501</f>
        <v>0</v>
      </c>
      <c r="R1474" s="108">
        <f>R1475+R1481+R1487+R1495+R1501</f>
        <v>0</v>
      </c>
      <c r="S1474" s="108">
        <f>S1475+S1481+S1487+S1495+S1501</f>
        <v>25200000</v>
      </c>
      <c r="T1474" s="108"/>
      <c r="U1474" s="108">
        <f>U1475+U1481+U1487+U1495+U1501</f>
        <v>0</v>
      </c>
      <c r="V1474" s="108"/>
      <c r="W1474" s="108">
        <f>W1475+W1481+W1487+W1495+W1501</f>
        <v>0</v>
      </c>
      <c r="X1474" s="108"/>
      <c r="Y1474" s="108">
        <f>Y1475+Y1481+Y1487+Y1495+Y1501</f>
        <v>0</v>
      </c>
      <c r="Z1474" s="108">
        <f>Z1475+Z1481+Z1487+Z1495+Z1501</f>
        <v>0</v>
      </c>
      <c r="AA1474" s="108"/>
      <c r="AB1474" s="109">
        <f>AB1475+AB1481+AB1487+AB1495+AB1501</f>
        <v>25200000</v>
      </c>
      <c r="AC1474" s="108">
        <f>AC1475+AC1481+AC1487+AC1495+AC1501</f>
        <v>0</v>
      </c>
      <c r="AD1474" s="108"/>
      <c r="AE1474" s="108"/>
      <c r="AH1474" s="1"/>
    </row>
    <row r="1475" spans="1:34" s="16" customFormat="1" ht="27.75" customHeight="1" x14ac:dyDescent="0.25">
      <c r="A1475" s="29"/>
      <c r="B1475" s="30" t="s">
        <v>1593</v>
      </c>
      <c r="C1475" s="30"/>
      <c r="D1475" s="89" t="s">
        <v>1594</v>
      </c>
      <c r="E1475" s="32"/>
      <c r="F1475" s="32"/>
      <c r="G1475" s="32"/>
      <c r="H1475" s="32"/>
      <c r="I1475" s="32"/>
      <c r="J1475" s="32"/>
      <c r="K1475" s="32"/>
      <c r="L1475" s="32"/>
      <c r="M1475" s="32">
        <f>M1476</f>
        <v>0</v>
      </c>
      <c r="N1475" s="32"/>
      <c r="O1475" s="34">
        <f t="shared" ref="O1475:AC1476" si="851">O1476</f>
        <v>0</v>
      </c>
      <c r="P1475" s="32">
        <f t="shared" si="851"/>
        <v>0</v>
      </c>
      <c r="Q1475" s="32">
        <f t="shared" si="851"/>
        <v>0</v>
      </c>
      <c r="R1475" s="32">
        <f t="shared" si="851"/>
        <v>0</v>
      </c>
      <c r="S1475" s="32">
        <f t="shared" si="851"/>
        <v>0</v>
      </c>
      <c r="T1475" s="32"/>
      <c r="U1475" s="32">
        <f t="shared" si="851"/>
        <v>0</v>
      </c>
      <c r="V1475" s="32"/>
      <c r="W1475" s="32">
        <f t="shared" si="851"/>
        <v>0</v>
      </c>
      <c r="X1475" s="32"/>
      <c r="Y1475" s="32">
        <f t="shared" si="851"/>
        <v>0</v>
      </c>
      <c r="Z1475" s="32">
        <f t="shared" si="851"/>
        <v>0</v>
      </c>
      <c r="AA1475" s="32"/>
      <c r="AB1475" s="32">
        <f t="shared" si="851"/>
        <v>0</v>
      </c>
      <c r="AC1475" s="32">
        <f t="shared" si="851"/>
        <v>0</v>
      </c>
      <c r="AD1475" s="32"/>
      <c r="AE1475" s="32"/>
      <c r="AH1475" s="1"/>
    </row>
    <row r="1476" spans="1:34" s="1" customFormat="1" ht="12.95" x14ac:dyDescent="0.25">
      <c r="A1476" s="17"/>
      <c r="B1476" s="18" t="s">
        <v>1595</v>
      </c>
      <c r="C1476" s="18"/>
      <c r="D1476" s="84" t="s">
        <v>1594</v>
      </c>
      <c r="E1476" s="20"/>
      <c r="F1476" s="20"/>
      <c r="G1476" s="20"/>
      <c r="H1476" s="20"/>
      <c r="I1476" s="20"/>
      <c r="J1476" s="20"/>
      <c r="K1476" s="20"/>
      <c r="L1476" s="20"/>
      <c r="M1476" s="20">
        <f>M1477</f>
        <v>0</v>
      </c>
      <c r="N1476" s="20"/>
      <c r="O1476" s="37">
        <f t="shared" si="851"/>
        <v>0</v>
      </c>
      <c r="P1476" s="20">
        <f t="shared" si="851"/>
        <v>0</v>
      </c>
      <c r="Q1476" s="20">
        <f t="shared" si="851"/>
        <v>0</v>
      </c>
      <c r="R1476" s="20">
        <f t="shared" si="851"/>
        <v>0</v>
      </c>
      <c r="S1476" s="20">
        <f t="shared" si="851"/>
        <v>0</v>
      </c>
      <c r="T1476" s="20"/>
      <c r="U1476" s="20">
        <f t="shared" si="851"/>
        <v>0</v>
      </c>
      <c r="V1476" s="20"/>
      <c r="W1476" s="20">
        <f t="shared" si="851"/>
        <v>0</v>
      </c>
      <c r="X1476" s="20"/>
      <c r="Y1476" s="20">
        <f t="shared" si="851"/>
        <v>0</v>
      </c>
      <c r="Z1476" s="20">
        <f t="shared" si="851"/>
        <v>0</v>
      </c>
      <c r="AA1476" s="20"/>
      <c r="AB1476" s="20">
        <f t="shared" si="851"/>
        <v>0</v>
      </c>
      <c r="AC1476" s="20">
        <f t="shared" si="851"/>
        <v>0</v>
      </c>
      <c r="AD1476" s="20"/>
      <c r="AE1476" s="20"/>
      <c r="AH1476" s="110"/>
    </row>
    <row r="1477" spans="1:34" s="1" customFormat="1" ht="11.45" x14ac:dyDescent="0.25">
      <c r="A1477" s="25"/>
      <c r="B1477" s="26" t="s">
        <v>1596</v>
      </c>
      <c r="C1477" s="26"/>
      <c r="D1477" s="64" t="s">
        <v>1594</v>
      </c>
      <c r="E1477" s="28"/>
      <c r="F1477" s="28"/>
      <c r="G1477" s="28"/>
      <c r="H1477" s="28"/>
      <c r="I1477" s="28"/>
      <c r="J1477" s="28"/>
      <c r="K1477" s="28"/>
      <c r="L1477" s="28"/>
      <c r="M1477" s="28">
        <f>SUM(M1478:M1480)</f>
        <v>0</v>
      </c>
      <c r="N1477" s="28"/>
      <c r="O1477" s="40">
        <f t="shared" ref="O1477:AC1477" si="852">SUM(O1478:O1480)</f>
        <v>0</v>
      </c>
      <c r="P1477" s="28">
        <f t="shared" si="852"/>
        <v>0</v>
      </c>
      <c r="Q1477" s="28">
        <f t="shared" si="852"/>
        <v>0</v>
      </c>
      <c r="R1477" s="28">
        <f t="shared" si="852"/>
        <v>0</v>
      </c>
      <c r="S1477" s="28">
        <f t="shared" si="852"/>
        <v>0</v>
      </c>
      <c r="T1477" s="28"/>
      <c r="U1477" s="28">
        <f t="shared" si="852"/>
        <v>0</v>
      </c>
      <c r="V1477" s="28"/>
      <c r="W1477" s="28">
        <f t="shared" si="852"/>
        <v>0</v>
      </c>
      <c r="X1477" s="28"/>
      <c r="Y1477" s="28">
        <f t="shared" si="852"/>
        <v>0</v>
      </c>
      <c r="Z1477" s="28">
        <f t="shared" si="852"/>
        <v>0</v>
      </c>
      <c r="AA1477" s="28"/>
      <c r="AB1477" s="28">
        <f t="shared" si="852"/>
        <v>0</v>
      </c>
      <c r="AC1477" s="28">
        <f t="shared" si="852"/>
        <v>0</v>
      </c>
      <c r="AD1477" s="28"/>
      <c r="AE1477" s="28"/>
      <c r="AH1477" s="16"/>
    </row>
    <row r="1478" spans="1:34" s="1" customFormat="1" ht="10.5" x14ac:dyDescent="0.25">
      <c r="A1478" s="21"/>
      <c r="B1478" s="22"/>
      <c r="C1478" s="22"/>
      <c r="D1478" s="65"/>
      <c r="E1478" s="24"/>
      <c r="F1478" s="24"/>
      <c r="G1478" s="24"/>
      <c r="H1478" s="24"/>
      <c r="I1478" s="24"/>
      <c r="J1478" s="24"/>
      <c r="K1478" s="24"/>
      <c r="L1478" s="24"/>
      <c r="M1478" s="24"/>
      <c r="N1478" s="24"/>
      <c r="O1478" s="41"/>
      <c r="P1478" s="24"/>
      <c r="Q1478" s="24"/>
      <c r="R1478" s="24"/>
      <c r="S1478" s="24"/>
      <c r="T1478" s="24"/>
      <c r="U1478" s="24"/>
      <c r="V1478" s="24"/>
      <c r="W1478" s="24"/>
      <c r="X1478" s="24"/>
      <c r="Y1478" s="24"/>
      <c r="Z1478" s="24"/>
      <c r="AA1478" s="24"/>
      <c r="AB1478" s="24"/>
      <c r="AC1478" s="24"/>
      <c r="AD1478" s="24"/>
      <c r="AE1478" s="24"/>
    </row>
    <row r="1479" spans="1:34" s="1" customFormat="1" ht="10.5" x14ac:dyDescent="0.25">
      <c r="A1479" s="21"/>
      <c r="B1479" s="22"/>
      <c r="C1479" s="22"/>
      <c r="D1479" s="65"/>
      <c r="E1479" s="24"/>
      <c r="F1479" s="24"/>
      <c r="G1479" s="24"/>
      <c r="H1479" s="24"/>
      <c r="I1479" s="24"/>
      <c r="J1479" s="24"/>
      <c r="K1479" s="24"/>
      <c r="L1479" s="24"/>
      <c r="M1479" s="24"/>
      <c r="N1479" s="24"/>
      <c r="O1479" s="41"/>
      <c r="P1479" s="24"/>
      <c r="Q1479" s="24"/>
      <c r="R1479" s="24"/>
      <c r="S1479" s="24"/>
      <c r="T1479" s="24"/>
      <c r="U1479" s="24"/>
      <c r="V1479" s="24"/>
      <c r="W1479" s="24"/>
      <c r="X1479" s="24"/>
      <c r="Y1479" s="24"/>
      <c r="Z1479" s="24"/>
      <c r="AA1479" s="24"/>
      <c r="AB1479" s="24"/>
      <c r="AC1479" s="24"/>
      <c r="AD1479" s="24"/>
      <c r="AE1479" s="24"/>
    </row>
    <row r="1480" spans="1:34" s="1" customFormat="1" ht="10.5" x14ac:dyDescent="0.25">
      <c r="A1480" s="21"/>
      <c r="B1480" s="22"/>
      <c r="C1480" s="22"/>
      <c r="D1480" s="65"/>
      <c r="E1480" s="24"/>
      <c r="F1480" s="24"/>
      <c r="G1480" s="24"/>
      <c r="H1480" s="24"/>
      <c r="I1480" s="24"/>
      <c r="J1480" s="24"/>
      <c r="K1480" s="24"/>
      <c r="L1480" s="24"/>
      <c r="M1480" s="24"/>
      <c r="N1480" s="24"/>
      <c r="O1480" s="41"/>
      <c r="P1480" s="24"/>
      <c r="Q1480" s="24"/>
      <c r="R1480" s="24"/>
      <c r="S1480" s="24"/>
      <c r="T1480" s="24"/>
      <c r="U1480" s="24"/>
      <c r="V1480" s="24"/>
      <c r="W1480" s="24"/>
      <c r="X1480" s="24"/>
      <c r="Y1480" s="24"/>
      <c r="Z1480" s="24"/>
      <c r="AA1480" s="24"/>
      <c r="AB1480" s="24"/>
      <c r="AC1480" s="24"/>
      <c r="AD1480" s="24"/>
      <c r="AE1480" s="24"/>
    </row>
    <row r="1481" spans="1:34" s="115" customFormat="1" ht="27.75" customHeight="1" x14ac:dyDescent="0.25">
      <c r="A1481" s="111"/>
      <c r="B1481" s="30" t="s">
        <v>1597</v>
      </c>
      <c r="C1481" s="112"/>
      <c r="D1481" s="89" t="s">
        <v>1598</v>
      </c>
      <c r="E1481" s="113"/>
      <c r="F1481" s="113"/>
      <c r="G1481" s="113"/>
      <c r="H1481" s="113"/>
      <c r="I1481" s="113"/>
      <c r="J1481" s="113"/>
      <c r="K1481" s="113"/>
      <c r="L1481" s="113"/>
      <c r="M1481" s="113">
        <f>M1482</f>
        <v>0</v>
      </c>
      <c r="N1481" s="113"/>
      <c r="O1481" s="114">
        <f t="shared" ref="O1481:AC1482" si="853">O1482</f>
        <v>0</v>
      </c>
      <c r="P1481" s="113">
        <f t="shared" si="853"/>
        <v>0</v>
      </c>
      <c r="Q1481" s="113">
        <f t="shared" si="853"/>
        <v>0</v>
      </c>
      <c r="R1481" s="113">
        <f t="shared" si="853"/>
        <v>0</v>
      </c>
      <c r="S1481" s="113">
        <f t="shared" si="853"/>
        <v>0</v>
      </c>
      <c r="T1481" s="113"/>
      <c r="U1481" s="113">
        <f t="shared" si="853"/>
        <v>0</v>
      </c>
      <c r="V1481" s="113"/>
      <c r="W1481" s="113">
        <f t="shared" si="853"/>
        <v>0</v>
      </c>
      <c r="X1481" s="113"/>
      <c r="Y1481" s="113">
        <f t="shared" si="853"/>
        <v>0</v>
      </c>
      <c r="Z1481" s="113">
        <f t="shared" si="853"/>
        <v>0</v>
      </c>
      <c r="AA1481" s="113"/>
      <c r="AB1481" s="113">
        <f t="shared" si="853"/>
        <v>0</v>
      </c>
      <c r="AC1481" s="113">
        <f t="shared" si="853"/>
        <v>0</v>
      </c>
      <c r="AD1481" s="113"/>
      <c r="AE1481" s="113"/>
      <c r="AH1481" s="1"/>
    </row>
    <row r="1482" spans="1:34" s="1" customFormat="1" ht="10.5" x14ac:dyDescent="0.25">
      <c r="A1482" s="17"/>
      <c r="B1482" s="18" t="s">
        <v>1599</v>
      </c>
      <c r="C1482" s="18"/>
      <c r="D1482" s="84" t="s">
        <v>1598</v>
      </c>
      <c r="E1482" s="20"/>
      <c r="F1482" s="20"/>
      <c r="G1482" s="20"/>
      <c r="H1482" s="20"/>
      <c r="I1482" s="20"/>
      <c r="J1482" s="20"/>
      <c r="K1482" s="20"/>
      <c r="L1482" s="20"/>
      <c r="M1482" s="20">
        <f>M1483</f>
        <v>0</v>
      </c>
      <c r="N1482" s="20"/>
      <c r="O1482" s="37">
        <f t="shared" si="853"/>
        <v>0</v>
      </c>
      <c r="P1482" s="20">
        <f t="shared" si="853"/>
        <v>0</v>
      </c>
      <c r="Q1482" s="20">
        <f t="shared" si="853"/>
        <v>0</v>
      </c>
      <c r="R1482" s="20">
        <f t="shared" si="853"/>
        <v>0</v>
      </c>
      <c r="S1482" s="20">
        <f t="shared" si="853"/>
        <v>0</v>
      </c>
      <c r="T1482" s="20"/>
      <c r="U1482" s="20">
        <f t="shared" si="853"/>
        <v>0</v>
      </c>
      <c r="V1482" s="20"/>
      <c r="W1482" s="20">
        <f t="shared" si="853"/>
        <v>0</v>
      </c>
      <c r="X1482" s="20"/>
      <c r="Y1482" s="20">
        <f t="shared" si="853"/>
        <v>0</v>
      </c>
      <c r="Z1482" s="20">
        <f t="shared" si="853"/>
        <v>0</v>
      </c>
      <c r="AA1482" s="20"/>
      <c r="AB1482" s="20">
        <f t="shared" si="853"/>
        <v>0</v>
      </c>
      <c r="AC1482" s="20">
        <f t="shared" si="853"/>
        <v>0</v>
      </c>
      <c r="AD1482" s="20"/>
      <c r="AE1482" s="20"/>
    </row>
    <row r="1483" spans="1:34" s="1" customFormat="1" ht="11.45" x14ac:dyDescent="0.25">
      <c r="A1483" s="25"/>
      <c r="B1483" s="26" t="s">
        <v>1600</v>
      </c>
      <c r="C1483" s="26"/>
      <c r="D1483" s="64" t="s">
        <v>1598</v>
      </c>
      <c r="E1483" s="28"/>
      <c r="F1483" s="28"/>
      <c r="G1483" s="28"/>
      <c r="H1483" s="28"/>
      <c r="I1483" s="28"/>
      <c r="J1483" s="28"/>
      <c r="K1483" s="28"/>
      <c r="L1483" s="28"/>
      <c r="M1483" s="28">
        <f>SUM(M1484:M1485)</f>
        <v>0</v>
      </c>
      <c r="N1483" s="28"/>
      <c r="O1483" s="40">
        <f t="shared" ref="O1483:AC1483" si="854">SUM(O1484:O1485)</f>
        <v>0</v>
      </c>
      <c r="P1483" s="28">
        <f t="shared" si="854"/>
        <v>0</v>
      </c>
      <c r="Q1483" s="28">
        <f t="shared" si="854"/>
        <v>0</v>
      </c>
      <c r="R1483" s="28">
        <f t="shared" si="854"/>
        <v>0</v>
      </c>
      <c r="S1483" s="28">
        <f t="shared" si="854"/>
        <v>0</v>
      </c>
      <c r="T1483" s="28"/>
      <c r="U1483" s="28">
        <f t="shared" si="854"/>
        <v>0</v>
      </c>
      <c r="V1483" s="28"/>
      <c r="W1483" s="28">
        <f t="shared" si="854"/>
        <v>0</v>
      </c>
      <c r="X1483" s="28"/>
      <c r="Y1483" s="28">
        <f t="shared" si="854"/>
        <v>0</v>
      </c>
      <c r="Z1483" s="28">
        <f t="shared" si="854"/>
        <v>0</v>
      </c>
      <c r="AA1483" s="28"/>
      <c r="AB1483" s="28">
        <f t="shared" si="854"/>
        <v>0</v>
      </c>
      <c r="AC1483" s="28">
        <f t="shared" si="854"/>
        <v>0</v>
      </c>
      <c r="AD1483" s="28"/>
      <c r="AE1483" s="28"/>
      <c r="AH1483" s="115"/>
    </row>
    <row r="1484" spans="1:34" s="1" customFormat="1" ht="10.5" x14ac:dyDescent="0.25">
      <c r="A1484" s="21"/>
      <c r="B1484" s="22"/>
      <c r="C1484" s="22"/>
      <c r="D1484" s="85"/>
      <c r="E1484" s="24"/>
      <c r="F1484" s="24"/>
      <c r="G1484" s="24"/>
      <c r="H1484" s="24"/>
      <c r="I1484" s="24"/>
      <c r="J1484" s="24"/>
      <c r="K1484" s="24"/>
      <c r="L1484" s="24"/>
      <c r="M1484" s="24"/>
      <c r="N1484" s="24"/>
      <c r="O1484" s="41"/>
      <c r="P1484" s="24"/>
      <c r="Q1484" s="24"/>
      <c r="R1484" s="24"/>
      <c r="S1484" s="24"/>
      <c r="T1484" s="24"/>
      <c r="U1484" s="24"/>
      <c r="V1484" s="24"/>
      <c r="W1484" s="24"/>
      <c r="X1484" s="24"/>
      <c r="Y1484" s="24"/>
      <c r="Z1484" s="24"/>
      <c r="AA1484" s="24"/>
      <c r="AB1484" s="24"/>
      <c r="AC1484" s="24"/>
      <c r="AD1484" s="24"/>
      <c r="AE1484" s="24"/>
    </row>
    <row r="1485" spans="1:34" s="1" customFormat="1" ht="10.5" x14ac:dyDescent="0.25">
      <c r="A1485" s="21"/>
      <c r="B1485" s="22"/>
      <c r="C1485" s="22"/>
      <c r="D1485" s="85"/>
      <c r="E1485" s="24"/>
      <c r="F1485" s="24"/>
      <c r="G1485" s="24"/>
      <c r="H1485" s="24"/>
      <c r="I1485" s="24"/>
      <c r="J1485" s="24"/>
      <c r="K1485" s="24"/>
      <c r="L1485" s="24"/>
      <c r="M1485" s="24"/>
      <c r="N1485" s="24"/>
      <c r="O1485" s="41"/>
      <c r="P1485" s="24"/>
      <c r="Q1485" s="24"/>
      <c r="R1485" s="24"/>
      <c r="S1485" s="24"/>
      <c r="T1485" s="24"/>
      <c r="U1485" s="24"/>
      <c r="V1485" s="24"/>
      <c r="W1485" s="24"/>
      <c r="X1485" s="24"/>
      <c r="Y1485" s="24"/>
      <c r="Z1485" s="24"/>
      <c r="AA1485" s="24"/>
      <c r="AB1485" s="24"/>
      <c r="AC1485" s="24"/>
      <c r="AD1485" s="24"/>
      <c r="AE1485" s="24"/>
    </row>
    <row r="1486" spans="1:34" s="1" customFormat="1" ht="10.5" x14ac:dyDescent="0.25">
      <c r="A1486" s="21"/>
      <c r="B1486" s="22"/>
      <c r="C1486" s="22"/>
      <c r="D1486" s="85"/>
      <c r="E1486" s="24"/>
      <c r="F1486" s="24"/>
      <c r="G1486" s="24"/>
      <c r="H1486" s="24"/>
      <c r="I1486" s="24"/>
      <c r="J1486" s="24"/>
      <c r="K1486" s="24"/>
      <c r="L1486" s="24"/>
      <c r="M1486" s="24"/>
      <c r="N1486" s="24"/>
      <c r="O1486" s="41"/>
      <c r="P1486" s="24"/>
      <c r="Q1486" s="24"/>
      <c r="R1486" s="24"/>
      <c r="S1486" s="24"/>
      <c r="T1486" s="24"/>
      <c r="U1486" s="24"/>
      <c r="V1486" s="24"/>
      <c r="W1486" s="24"/>
      <c r="X1486" s="24"/>
      <c r="Y1486" s="24"/>
      <c r="Z1486" s="24"/>
      <c r="AA1486" s="24"/>
      <c r="AB1486" s="24"/>
      <c r="AC1486" s="24"/>
      <c r="AD1486" s="24"/>
      <c r="AE1486" s="24"/>
    </row>
    <row r="1487" spans="1:34" s="16" customFormat="1" ht="24.75" customHeight="1" x14ac:dyDescent="0.25">
      <c r="A1487" s="29"/>
      <c r="B1487" s="30" t="s">
        <v>1601</v>
      </c>
      <c r="C1487" s="30"/>
      <c r="D1487" s="89" t="s">
        <v>1602</v>
      </c>
      <c r="E1487" s="32"/>
      <c r="F1487" s="32"/>
      <c r="G1487" s="32"/>
      <c r="H1487" s="32"/>
      <c r="I1487" s="32"/>
      <c r="J1487" s="32"/>
      <c r="K1487" s="32"/>
      <c r="L1487" s="32"/>
      <c r="M1487" s="32">
        <f>M1488</f>
        <v>4</v>
      </c>
      <c r="N1487" s="32"/>
      <c r="O1487" s="34">
        <f t="shared" ref="O1487:AC1488" si="855">O1488</f>
        <v>25200000</v>
      </c>
      <c r="P1487" s="32">
        <f t="shared" si="855"/>
        <v>0</v>
      </c>
      <c r="Q1487" s="32">
        <f t="shared" si="855"/>
        <v>0</v>
      </c>
      <c r="R1487" s="32">
        <f t="shared" si="855"/>
        <v>0</v>
      </c>
      <c r="S1487" s="34">
        <f t="shared" si="855"/>
        <v>25200000</v>
      </c>
      <c r="T1487" s="32"/>
      <c r="U1487" s="34">
        <f t="shared" si="855"/>
        <v>0</v>
      </c>
      <c r="V1487" s="32"/>
      <c r="W1487" s="34">
        <f t="shared" si="855"/>
        <v>0</v>
      </c>
      <c r="X1487" s="32"/>
      <c r="Y1487" s="34">
        <f t="shared" si="855"/>
        <v>0</v>
      </c>
      <c r="Z1487" s="34">
        <f t="shared" si="855"/>
        <v>0</v>
      </c>
      <c r="AA1487" s="32"/>
      <c r="AB1487" s="34">
        <f t="shared" si="855"/>
        <v>25200000</v>
      </c>
      <c r="AC1487" s="34">
        <f t="shared" si="855"/>
        <v>0</v>
      </c>
      <c r="AD1487" s="32"/>
      <c r="AE1487" s="32"/>
      <c r="AH1487" s="1"/>
    </row>
    <row r="1488" spans="1:34" s="1" customFormat="1" ht="10.5" x14ac:dyDescent="0.25">
      <c r="A1488" s="17"/>
      <c r="B1488" s="18" t="s">
        <v>1603</v>
      </c>
      <c r="C1488" s="18"/>
      <c r="D1488" s="84" t="s">
        <v>1602</v>
      </c>
      <c r="E1488" s="20"/>
      <c r="F1488" s="20"/>
      <c r="G1488" s="20"/>
      <c r="H1488" s="20"/>
      <c r="I1488" s="20"/>
      <c r="J1488" s="20"/>
      <c r="K1488" s="20"/>
      <c r="L1488" s="20"/>
      <c r="M1488" s="20">
        <f>M1489</f>
        <v>4</v>
      </c>
      <c r="N1488" s="20"/>
      <c r="O1488" s="37">
        <f t="shared" si="855"/>
        <v>25200000</v>
      </c>
      <c r="P1488" s="20">
        <f t="shared" si="855"/>
        <v>0</v>
      </c>
      <c r="Q1488" s="20">
        <f t="shared" si="855"/>
        <v>0</v>
      </c>
      <c r="R1488" s="20">
        <f t="shared" si="855"/>
        <v>0</v>
      </c>
      <c r="S1488" s="37">
        <f t="shared" si="855"/>
        <v>25200000</v>
      </c>
      <c r="T1488" s="20"/>
      <c r="U1488" s="37">
        <f t="shared" si="855"/>
        <v>0</v>
      </c>
      <c r="V1488" s="20"/>
      <c r="W1488" s="37">
        <f t="shared" si="855"/>
        <v>0</v>
      </c>
      <c r="X1488" s="20"/>
      <c r="Y1488" s="37">
        <f t="shared" si="855"/>
        <v>0</v>
      </c>
      <c r="Z1488" s="37">
        <f t="shared" si="855"/>
        <v>0</v>
      </c>
      <c r="AA1488" s="20"/>
      <c r="AB1488" s="37">
        <f t="shared" si="855"/>
        <v>25200000</v>
      </c>
      <c r="AC1488" s="37">
        <f t="shared" si="855"/>
        <v>0</v>
      </c>
      <c r="AD1488" s="20"/>
      <c r="AE1488" s="20"/>
    </row>
    <row r="1489" spans="1:34" s="1" customFormat="1" ht="11.45" x14ac:dyDescent="0.25">
      <c r="A1489" s="25"/>
      <c r="B1489" s="26" t="s">
        <v>1604</v>
      </c>
      <c r="C1489" s="26"/>
      <c r="D1489" s="64" t="s">
        <v>1602</v>
      </c>
      <c r="E1489" s="28"/>
      <c r="F1489" s="28"/>
      <c r="G1489" s="28"/>
      <c r="H1489" s="28"/>
      <c r="I1489" s="28"/>
      <c r="J1489" s="28"/>
      <c r="K1489" s="28"/>
      <c r="L1489" s="28"/>
      <c r="M1489" s="28">
        <f>SUM(M1490:M1493)</f>
        <v>4</v>
      </c>
      <c r="N1489" s="28"/>
      <c r="O1489" s="40">
        <f t="shared" ref="O1489:AC1489" si="856">SUM(O1490:O1493)</f>
        <v>25200000</v>
      </c>
      <c r="P1489" s="28">
        <f t="shared" si="856"/>
        <v>0</v>
      </c>
      <c r="Q1489" s="28">
        <f t="shared" si="856"/>
        <v>0</v>
      </c>
      <c r="R1489" s="28">
        <f t="shared" si="856"/>
        <v>0</v>
      </c>
      <c r="S1489" s="40">
        <f t="shared" si="856"/>
        <v>25200000</v>
      </c>
      <c r="T1489" s="28"/>
      <c r="U1489" s="40">
        <f t="shared" si="856"/>
        <v>0</v>
      </c>
      <c r="V1489" s="28"/>
      <c r="W1489" s="40">
        <f t="shared" si="856"/>
        <v>0</v>
      </c>
      <c r="X1489" s="28"/>
      <c r="Y1489" s="40">
        <f t="shared" si="856"/>
        <v>0</v>
      </c>
      <c r="Z1489" s="40">
        <f t="shared" si="856"/>
        <v>0</v>
      </c>
      <c r="AA1489" s="28"/>
      <c r="AB1489" s="40">
        <f t="shared" si="856"/>
        <v>25200000</v>
      </c>
      <c r="AC1489" s="40">
        <f t="shared" si="856"/>
        <v>0</v>
      </c>
      <c r="AD1489" s="28"/>
      <c r="AE1489" s="28"/>
      <c r="AH1489" s="16"/>
    </row>
    <row r="1490" spans="1:34" s="1" customFormat="1" ht="10.5" x14ac:dyDescent="0.25">
      <c r="A1490" s="21">
        <v>1</v>
      </c>
      <c r="B1490" s="22" t="s">
        <v>1801</v>
      </c>
      <c r="C1490" s="22" t="s">
        <v>58</v>
      </c>
      <c r="D1490" s="65" t="s">
        <v>1605</v>
      </c>
      <c r="E1490" s="24" t="s">
        <v>1606</v>
      </c>
      <c r="F1490" s="24" t="s">
        <v>1607</v>
      </c>
      <c r="G1490" s="24"/>
      <c r="H1490" s="24" t="s">
        <v>62</v>
      </c>
      <c r="I1490" s="24">
        <v>1995</v>
      </c>
      <c r="J1490" s="24"/>
      <c r="K1490" s="24" t="s">
        <v>63</v>
      </c>
      <c r="L1490" s="24" t="s">
        <v>167</v>
      </c>
      <c r="M1490" s="24">
        <v>1</v>
      </c>
      <c r="N1490" s="41">
        <v>6000000</v>
      </c>
      <c r="O1490" s="41">
        <v>6000000</v>
      </c>
      <c r="P1490" s="24"/>
      <c r="Q1490" s="24"/>
      <c r="R1490" s="24"/>
      <c r="S1490" s="41">
        <v>6000000</v>
      </c>
      <c r="T1490" s="24">
        <v>7</v>
      </c>
      <c r="U1490" s="41"/>
      <c r="V1490" s="24">
        <v>0.5</v>
      </c>
      <c r="W1490" s="41">
        <f t="shared" ref="W1490:W1493" si="857">SUM(U1490*V1490)</f>
        <v>0</v>
      </c>
      <c r="X1490" s="24">
        <v>0.5</v>
      </c>
      <c r="Y1490" s="41">
        <f t="shared" ref="Y1490:Y1493" si="858">SUM(U1490*X1490)</f>
        <v>0</v>
      </c>
      <c r="Z1490" s="41">
        <f t="shared" ref="Z1490:Z1493" si="859">SUM(W1490+Y1490)</f>
        <v>0</v>
      </c>
      <c r="AA1490" s="24">
        <v>7</v>
      </c>
      <c r="AB1490" s="41">
        <v>6000000</v>
      </c>
      <c r="AC1490" s="41"/>
      <c r="AD1490" s="70"/>
      <c r="AE1490" s="24"/>
    </row>
    <row r="1491" spans="1:34" s="1" customFormat="1" ht="10.5" x14ac:dyDescent="0.25">
      <c r="A1491" s="21">
        <v>2</v>
      </c>
      <c r="B1491" s="22" t="s">
        <v>1801</v>
      </c>
      <c r="C1491" s="22" t="s">
        <v>75</v>
      </c>
      <c r="D1491" s="65" t="s">
        <v>1605</v>
      </c>
      <c r="E1491" s="24" t="s">
        <v>1608</v>
      </c>
      <c r="F1491" s="24" t="s">
        <v>1609</v>
      </c>
      <c r="G1491" s="24"/>
      <c r="H1491" s="24" t="s">
        <v>62</v>
      </c>
      <c r="I1491" s="24">
        <v>1997</v>
      </c>
      <c r="J1491" s="24"/>
      <c r="K1491" s="24" t="s">
        <v>63</v>
      </c>
      <c r="L1491" s="24" t="s">
        <v>167</v>
      </c>
      <c r="M1491" s="24">
        <v>1</v>
      </c>
      <c r="N1491" s="41">
        <v>6400000</v>
      </c>
      <c r="O1491" s="41">
        <v>6400000</v>
      </c>
      <c r="P1491" s="24"/>
      <c r="Q1491" s="24"/>
      <c r="R1491" s="24"/>
      <c r="S1491" s="41">
        <v>6400000</v>
      </c>
      <c r="T1491" s="24">
        <v>7</v>
      </c>
      <c r="U1491" s="41"/>
      <c r="V1491" s="24">
        <v>0.5</v>
      </c>
      <c r="W1491" s="41">
        <f t="shared" si="857"/>
        <v>0</v>
      </c>
      <c r="X1491" s="24">
        <v>0.5</v>
      </c>
      <c r="Y1491" s="41">
        <f t="shared" si="858"/>
        <v>0</v>
      </c>
      <c r="Z1491" s="41">
        <f t="shared" si="859"/>
        <v>0</v>
      </c>
      <c r="AA1491" s="24">
        <v>7</v>
      </c>
      <c r="AB1491" s="41">
        <v>6400000</v>
      </c>
      <c r="AC1491" s="41"/>
      <c r="AD1491" s="70"/>
      <c r="AE1491" s="24"/>
    </row>
    <row r="1492" spans="1:34" s="1" customFormat="1" ht="10.5" x14ac:dyDescent="0.25">
      <c r="A1492" s="21">
        <v>3</v>
      </c>
      <c r="B1492" s="22" t="s">
        <v>1801</v>
      </c>
      <c r="C1492" s="22" t="s">
        <v>79</v>
      </c>
      <c r="D1492" s="65" t="s">
        <v>1605</v>
      </c>
      <c r="E1492" s="24" t="s">
        <v>1608</v>
      </c>
      <c r="F1492" s="24" t="s">
        <v>1610</v>
      </c>
      <c r="G1492" s="24"/>
      <c r="H1492" s="24" t="s">
        <v>62</v>
      </c>
      <c r="I1492" s="24">
        <v>1997</v>
      </c>
      <c r="J1492" s="24"/>
      <c r="K1492" s="24" t="s">
        <v>63</v>
      </c>
      <c r="L1492" s="24" t="s">
        <v>167</v>
      </c>
      <c r="M1492" s="24">
        <v>1</v>
      </c>
      <c r="N1492" s="41">
        <v>6400000</v>
      </c>
      <c r="O1492" s="41">
        <v>6400000</v>
      </c>
      <c r="P1492" s="24"/>
      <c r="Q1492" s="24"/>
      <c r="R1492" s="24"/>
      <c r="S1492" s="41">
        <v>6400000</v>
      </c>
      <c r="T1492" s="24">
        <v>7</v>
      </c>
      <c r="U1492" s="41"/>
      <c r="V1492" s="24">
        <v>0.5</v>
      </c>
      <c r="W1492" s="41">
        <f t="shared" si="857"/>
        <v>0</v>
      </c>
      <c r="X1492" s="24">
        <v>0.5</v>
      </c>
      <c r="Y1492" s="41">
        <f t="shared" si="858"/>
        <v>0</v>
      </c>
      <c r="Z1492" s="41">
        <f t="shared" si="859"/>
        <v>0</v>
      </c>
      <c r="AA1492" s="24">
        <v>7</v>
      </c>
      <c r="AB1492" s="41">
        <v>6400000</v>
      </c>
      <c r="AC1492" s="41"/>
      <c r="AD1492" s="70"/>
      <c r="AE1492" s="24"/>
    </row>
    <row r="1493" spans="1:34" s="1" customFormat="1" ht="10.5" x14ac:dyDescent="0.25">
      <c r="A1493" s="21">
        <v>4</v>
      </c>
      <c r="B1493" s="22" t="s">
        <v>1801</v>
      </c>
      <c r="C1493" s="22" t="s">
        <v>84</v>
      </c>
      <c r="D1493" s="65" t="s">
        <v>1605</v>
      </c>
      <c r="E1493" s="24" t="s">
        <v>1608</v>
      </c>
      <c r="F1493" s="24" t="s">
        <v>1611</v>
      </c>
      <c r="G1493" s="24"/>
      <c r="H1493" s="24" t="s">
        <v>62</v>
      </c>
      <c r="I1493" s="24">
        <v>1997</v>
      </c>
      <c r="J1493" s="24"/>
      <c r="K1493" s="24" t="s">
        <v>63</v>
      </c>
      <c r="L1493" s="24" t="s">
        <v>167</v>
      </c>
      <c r="M1493" s="24">
        <v>1</v>
      </c>
      <c r="N1493" s="41">
        <v>6400000</v>
      </c>
      <c r="O1493" s="41">
        <v>6400000</v>
      </c>
      <c r="P1493" s="24"/>
      <c r="Q1493" s="24"/>
      <c r="R1493" s="24"/>
      <c r="S1493" s="41">
        <v>6400000</v>
      </c>
      <c r="T1493" s="24">
        <v>7</v>
      </c>
      <c r="U1493" s="41"/>
      <c r="V1493" s="24">
        <v>0.5</v>
      </c>
      <c r="W1493" s="41">
        <f t="shared" si="857"/>
        <v>0</v>
      </c>
      <c r="X1493" s="24">
        <v>0.5</v>
      </c>
      <c r="Y1493" s="41">
        <f t="shared" si="858"/>
        <v>0</v>
      </c>
      <c r="Z1493" s="41">
        <f t="shared" si="859"/>
        <v>0</v>
      </c>
      <c r="AA1493" s="24">
        <v>7</v>
      </c>
      <c r="AB1493" s="41">
        <v>6400000</v>
      </c>
      <c r="AC1493" s="41"/>
      <c r="AD1493" s="70"/>
      <c r="AE1493" s="24"/>
    </row>
    <row r="1494" spans="1:34" s="1" customFormat="1" ht="10.5" x14ac:dyDescent="0.25">
      <c r="A1494" s="21"/>
      <c r="B1494" s="22"/>
      <c r="C1494" s="22"/>
      <c r="D1494" s="65"/>
      <c r="E1494" s="24"/>
      <c r="F1494" s="24"/>
      <c r="G1494" s="24"/>
      <c r="H1494" s="24"/>
      <c r="I1494" s="24"/>
      <c r="J1494" s="24"/>
      <c r="K1494" s="24"/>
      <c r="L1494" s="24"/>
      <c r="M1494" s="24"/>
      <c r="N1494" s="24"/>
      <c r="O1494" s="41"/>
      <c r="P1494" s="24"/>
      <c r="Q1494" s="24"/>
      <c r="R1494" s="24"/>
      <c r="S1494" s="24"/>
      <c r="T1494" s="24"/>
      <c r="U1494" s="24"/>
      <c r="V1494" s="24"/>
      <c r="W1494" s="24"/>
      <c r="X1494" s="24"/>
      <c r="Y1494" s="24"/>
      <c r="Z1494" s="24"/>
      <c r="AA1494" s="24"/>
      <c r="AB1494" s="24"/>
      <c r="AC1494" s="24"/>
      <c r="AD1494" s="24"/>
      <c r="AE1494" s="24"/>
    </row>
    <row r="1495" spans="1:34" s="16" customFormat="1" ht="25.5" customHeight="1" x14ac:dyDescent="0.25">
      <c r="A1495" s="29"/>
      <c r="B1495" s="30" t="s">
        <v>1612</v>
      </c>
      <c r="C1495" s="30"/>
      <c r="D1495" s="89" t="s">
        <v>1613</v>
      </c>
      <c r="E1495" s="32"/>
      <c r="F1495" s="32"/>
      <c r="G1495" s="32"/>
      <c r="H1495" s="32"/>
      <c r="I1495" s="32"/>
      <c r="J1495" s="32"/>
      <c r="K1495" s="32"/>
      <c r="L1495" s="32"/>
      <c r="M1495" s="32">
        <f>M1496</f>
        <v>0</v>
      </c>
      <c r="N1495" s="32"/>
      <c r="O1495" s="34">
        <f t="shared" ref="O1495:AC1496" si="860">O1496</f>
        <v>0</v>
      </c>
      <c r="P1495" s="32">
        <f t="shared" si="860"/>
        <v>0</v>
      </c>
      <c r="Q1495" s="32">
        <f t="shared" si="860"/>
        <v>0</v>
      </c>
      <c r="R1495" s="32">
        <f t="shared" si="860"/>
        <v>0</v>
      </c>
      <c r="S1495" s="32">
        <f t="shared" si="860"/>
        <v>0</v>
      </c>
      <c r="T1495" s="32"/>
      <c r="U1495" s="32">
        <f t="shared" si="860"/>
        <v>0</v>
      </c>
      <c r="V1495" s="32"/>
      <c r="W1495" s="32">
        <f t="shared" si="860"/>
        <v>0</v>
      </c>
      <c r="X1495" s="32"/>
      <c r="Y1495" s="32">
        <f t="shared" si="860"/>
        <v>0</v>
      </c>
      <c r="Z1495" s="32">
        <f t="shared" si="860"/>
        <v>0</v>
      </c>
      <c r="AA1495" s="32"/>
      <c r="AB1495" s="32">
        <f t="shared" si="860"/>
        <v>0</v>
      </c>
      <c r="AC1495" s="32">
        <f t="shared" si="860"/>
        <v>0</v>
      </c>
      <c r="AD1495" s="32"/>
      <c r="AE1495" s="32"/>
      <c r="AH1495" s="1"/>
    </row>
    <row r="1496" spans="1:34" s="1" customFormat="1" ht="21" x14ac:dyDescent="0.25">
      <c r="A1496" s="17"/>
      <c r="B1496" s="18" t="s">
        <v>1614</v>
      </c>
      <c r="C1496" s="18"/>
      <c r="D1496" s="84" t="s">
        <v>1613</v>
      </c>
      <c r="E1496" s="20"/>
      <c r="F1496" s="20"/>
      <c r="G1496" s="20"/>
      <c r="H1496" s="20"/>
      <c r="I1496" s="20"/>
      <c r="J1496" s="20"/>
      <c r="K1496" s="20"/>
      <c r="L1496" s="20"/>
      <c r="M1496" s="20">
        <f>M1497</f>
        <v>0</v>
      </c>
      <c r="N1496" s="20"/>
      <c r="O1496" s="37">
        <f t="shared" si="860"/>
        <v>0</v>
      </c>
      <c r="P1496" s="20">
        <f t="shared" si="860"/>
        <v>0</v>
      </c>
      <c r="Q1496" s="20">
        <f t="shared" si="860"/>
        <v>0</v>
      </c>
      <c r="R1496" s="20">
        <f t="shared" si="860"/>
        <v>0</v>
      </c>
      <c r="S1496" s="20">
        <f t="shared" si="860"/>
        <v>0</v>
      </c>
      <c r="T1496" s="20"/>
      <c r="U1496" s="20">
        <f t="shared" si="860"/>
        <v>0</v>
      </c>
      <c r="V1496" s="20"/>
      <c r="W1496" s="20">
        <f t="shared" si="860"/>
        <v>0</v>
      </c>
      <c r="X1496" s="20"/>
      <c r="Y1496" s="20">
        <f t="shared" si="860"/>
        <v>0</v>
      </c>
      <c r="Z1496" s="20">
        <f t="shared" si="860"/>
        <v>0</v>
      </c>
      <c r="AA1496" s="20"/>
      <c r="AB1496" s="20">
        <f t="shared" si="860"/>
        <v>0</v>
      </c>
      <c r="AC1496" s="20">
        <f t="shared" si="860"/>
        <v>0</v>
      </c>
      <c r="AD1496" s="20"/>
      <c r="AE1496" s="20"/>
    </row>
    <row r="1497" spans="1:34" s="1" customFormat="1" ht="21" x14ac:dyDescent="0.25">
      <c r="A1497" s="25"/>
      <c r="B1497" s="26" t="s">
        <v>1615</v>
      </c>
      <c r="C1497" s="26"/>
      <c r="D1497" s="64" t="s">
        <v>1613</v>
      </c>
      <c r="E1497" s="28"/>
      <c r="F1497" s="28"/>
      <c r="G1497" s="28"/>
      <c r="H1497" s="28"/>
      <c r="I1497" s="28"/>
      <c r="J1497" s="28"/>
      <c r="K1497" s="28"/>
      <c r="L1497" s="28"/>
      <c r="M1497" s="28">
        <f>SUM(M1498:M1500)</f>
        <v>0</v>
      </c>
      <c r="N1497" s="28"/>
      <c r="O1497" s="40">
        <f t="shared" ref="O1497:AC1497" si="861">SUM(O1498:O1500)</f>
        <v>0</v>
      </c>
      <c r="P1497" s="28">
        <f t="shared" si="861"/>
        <v>0</v>
      </c>
      <c r="Q1497" s="28">
        <f t="shared" si="861"/>
        <v>0</v>
      </c>
      <c r="R1497" s="28">
        <f t="shared" si="861"/>
        <v>0</v>
      </c>
      <c r="S1497" s="28">
        <f t="shared" si="861"/>
        <v>0</v>
      </c>
      <c r="T1497" s="28"/>
      <c r="U1497" s="28">
        <f t="shared" si="861"/>
        <v>0</v>
      </c>
      <c r="V1497" s="28"/>
      <c r="W1497" s="28">
        <f t="shared" si="861"/>
        <v>0</v>
      </c>
      <c r="X1497" s="28"/>
      <c r="Y1497" s="28">
        <f t="shared" si="861"/>
        <v>0</v>
      </c>
      <c r="Z1497" s="28">
        <f t="shared" si="861"/>
        <v>0</v>
      </c>
      <c r="AA1497" s="28"/>
      <c r="AB1497" s="28">
        <f t="shared" si="861"/>
        <v>0</v>
      </c>
      <c r="AC1497" s="28">
        <f t="shared" si="861"/>
        <v>0</v>
      </c>
      <c r="AD1497" s="28"/>
      <c r="AE1497" s="28"/>
      <c r="AH1497" s="16"/>
    </row>
    <row r="1498" spans="1:34" s="1" customFormat="1" ht="10.5" x14ac:dyDescent="0.25">
      <c r="A1498" s="21"/>
      <c r="B1498" s="22"/>
      <c r="C1498" s="22"/>
      <c r="D1498" s="65"/>
      <c r="E1498" s="24"/>
      <c r="F1498" s="24"/>
      <c r="G1498" s="24"/>
      <c r="H1498" s="24"/>
      <c r="I1498" s="24"/>
      <c r="J1498" s="24"/>
      <c r="K1498" s="24"/>
      <c r="L1498" s="24"/>
      <c r="M1498" s="24"/>
      <c r="N1498" s="24"/>
      <c r="O1498" s="41"/>
      <c r="P1498" s="24"/>
      <c r="Q1498" s="24"/>
      <c r="R1498" s="24"/>
      <c r="S1498" s="24"/>
      <c r="T1498" s="24"/>
      <c r="U1498" s="24"/>
      <c r="V1498" s="24"/>
      <c r="W1498" s="24"/>
      <c r="X1498" s="24"/>
      <c r="Y1498" s="24"/>
      <c r="Z1498" s="24"/>
      <c r="AA1498" s="24"/>
      <c r="AB1498" s="24"/>
      <c r="AC1498" s="24"/>
      <c r="AD1498" s="24"/>
      <c r="AE1498" s="24"/>
    </row>
    <row r="1499" spans="1:34" s="1" customFormat="1" ht="10.5" x14ac:dyDescent="0.25">
      <c r="A1499" s="21"/>
      <c r="B1499" s="22"/>
      <c r="C1499" s="22"/>
      <c r="D1499" s="65"/>
      <c r="E1499" s="24"/>
      <c r="F1499" s="24"/>
      <c r="G1499" s="24"/>
      <c r="H1499" s="24"/>
      <c r="I1499" s="24"/>
      <c r="J1499" s="24"/>
      <c r="K1499" s="24"/>
      <c r="L1499" s="24"/>
      <c r="M1499" s="24"/>
      <c r="N1499" s="24"/>
      <c r="O1499" s="41"/>
      <c r="P1499" s="24"/>
      <c r="Q1499" s="24"/>
      <c r="R1499" s="24"/>
      <c r="S1499" s="24"/>
      <c r="T1499" s="24"/>
      <c r="U1499" s="24"/>
      <c r="V1499" s="24"/>
      <c r="W1499" s="24"/>
      <c r="X1499" s="24"/>
      <c r="Y1499" s="24"/>
      <c r="Z1499" s="24"/>
      <c r="AA1499" s="24"/>
      <c r="AB1499" s="24"/>
      <c r="AC1499" s="24"/>
      <c r="AD1499" s="24"/>
      <c r="AE1499" s="24"/>
    </row>
    <row r="1500" spans="1:34" s="1" customFormat="1" ht="10.5" x14ac:dyDescent="0.25">
      <c r="A1500" s="21"/>
      <c r="B1500" s="22"/>
      <c r="C1500" s="22"/>
      <c r="D1500" s="65"/>
      <c r="E1500" s="24"/>
      <c r="F1500" s="24"/>
      <c r="G1500" s="24"/>
      <c r="H1500" s="24"/>
      <c r="I1500" s="24"/>
      <c r="J1500" s="24"/>
      <c r="K1500" s="24"/>
      <c r="L1500" s="24"/>
      <c r="M1500" s="24"/>
      <c r="N1500" s="24"/>
      <c r="O1500" s="41"/>
      <c r="P1500" s="24"/>
      <c r="Q1500" s="24"/>
      <c r="R1500" s="24"/>
      <c r="S1500" s="24"/>
      <c r="T1500" s="24"/>
      <c r="U1500" s="24"/>
      <c r="V1500" s="24"/>
      <c r="W1500" s="24"/>
      <c r="X1500" s="24"/>
      <c r="Y1500" s="24"/>
      <c r="Z1500" s="24"/>
      <c r="AA1500" s="24"/>
      <c r="AB1500" s="24"/>
      <c r="AC1500" s="24"/>
      <c r="AD1500" s="24"/>
      <c r="AE1500" s="24"/>
    </row>
    <row r="1501" spans="1:34" s="16" customFormat="1" ht="23.1" x14ac:dyDescent="0.25">
      <c r="A1501" s="29"/>
      <c r="B1501" s="30" t="s">
        <v>1616</v>
      </c>
      <c r="C1501" s="30"/>
      <c r="D1501" s="89" t="s">
        <v>1617</v>
      </c>
      <c r="E1501" s="32"/>
      <c r="F1501" s="32"/>
      <c r="G1501" s="32"/>
      <c r="H1501" s="32"/>
      <c r="I1501" s="32"/>
      <c r="J1501" s="32"/>
      <c r="K1501" s="32"/>
      <c r="L1501" s="32"/>
      <c r="M1501" s="32">
        <f>M1502</f>
        <v>0</v>
      </c>
      <c r="N1501" s="32"/>
      <c r="O1501" s="34">
        <f t="shared" ref="O1501:AC1502" si="862">O1502</f>
        <v>25200000</v>
      </c>
      <c r="P1501" s="32">
        <f t="shared" si="862"/>
        <v>0</v>
      </c>
      <c r="Q1501" s="32">
        <f t="shared" si="862"/>
        <v>0</v>
      </c>
      <c r="R1501" s="32">
        <f t="shared" si="862"/>
        <v>0</v>
      </c>
      <c r="S1501" s="32">
        <f t="shared" si="862"/>
        <v>0</v>
      </c>
      <c r="T1501" s="32"/>
      <c r="U1501" s="32">
        <f t="shared" si="862"/>
        <v>0</v>
      </c>
      <c r="V1501" s="32"/>
      <c r="W1501" s="32">
        <f t="shared" si="862"/>
        <v>0</v>
      </c>
      <c r="X1501" s="32"/>
      <c r="Y1501" s="32">
        <f t="shared" si="862"/>
        <v>0</v>
      </c>
      <c r="Z1501" s="32">
        <f t="shared" si="862"/>
        <v>0</v>
      </c>
      <c r="AA1501" s="32"/>
      <c r="AB1501" s="32">
        <f t="shared" si="862"/>
        <v>0</v>
      </c>
      <c r="AC1501" s="32">
        <f t="shared" si="862"/>
        <v>0</v>
      </c>
      <c r="AD1501" s="32"/>
      <c r="AE1501" s="32"/>
      <c r="AH1501" s="1"/>
    </row>
    <row r="1502" spans="1:34" s="1" customFormat="1" ht="10.5" x14ac:dyDescent="0.25">
      <c r="A1502" s="17"/>
      <c r="B1502" s="18" t="s">
        <v>1618</v>
      </c>
      <c r="C1502" s="18"/>
      <c r="D1502" s="84" t="s">
        <v>1617</v>
      </c>
      <c r="E1502" s="20"/>
      <c r="F1502" s="20"/>
      <c r="G1502" s="20"/>
      <c r="H1502" s="20"/>
      <c r="I1502" s="20"/>
      <c r="J1502" s="20"/>
      <c r="K1502" s="20"/>
      <c r="L1502" s="20"/>
      <c r="M1502" s="20">
        <f>M1503</f>
        <v>0</v>
      </c>
      <c r="N1502" s="20"/>
      <c r="O1502" s="37">
        <f t="shared" si="862"/>
        <v>25200000</v>
      </c>
      <c r="P1502" s="20">
        <f t="shared" si="862"/>
        <v>0</v>
      </c>
      <c r="Q1502" s="20">
        <f t="shared" si="862"/>
        <v>0</v>
      </c>
      <c r="R1502" s="20">
        <f t="shared" si="862"/>
        <v>0</v>
      </c>
      <c r="S1502" s="20">
        <f t="shared" si="862"/>
        <v>0</v>
      </c>
      <c r="T1502" s="20"/>
      <c r="U1502" s="20">
        <f t="shared" si="862"/>
        <v>0</v>
      </c>
      <c r="V1502" s="20"/>
      <c r="W1502" s="20">
        <f t="shared" si="862"/>
        <v>0</v>
      </c>
      <c r="X1502" s="20"/>
      <c r="Y1502" s="20">
        <f t="shared" si="862"/>
        <v>0</v>
      </c>
      <c r="Z1502" s="20">
        <f t="shared" si="862"/>
        <v>0</v>
      </c>
      <c r="AA1502" s="20"/>
      <c r="AB1502" s="20">
        <f t="shared" si="862"/>
        <v>0</v>
      </c>
      <c r="AC1502" s="20">
        <f t="shared" si="862"/>
        <v>0</v>
      </c>
      <c r="AD1502" s="20"/>
      <c r="AE1502" s="20"/>
    </row>
    <row r="1503" spans="1:34" s="1" customFormat="1" ht="11.45" x14ac:dyDescent="0.25">
      <c r="A1503" s="25"/>
      <c r="B1503" s="26" t="s">
        <v>1619</v>
      </c>
      <c r="C1503" s="26"/>
      <c r="D1503" s="64" t="s">
        <v>1617</v>
      </c>
      <c r="E1503" s="28"/>
      <c r="F1503" s="28"/>
      <c r="G1503" s="28"/>
      <c r="H1503" s="28"/>
      <c r="I1503" s="28"/>
      <c r="J1503" s="28"/>
      <c r="K1503" s="28"/>
      <c r="L1503" s="28"/>
      <c r="M1503" s="28">
        <f>SUM(M1504:M1506)</f>
        <v>0</v>
      </c>
      <c r="N1503" s="28"/>
      <c r="O1503" s="40">
        <f t="shared" ref="O1503:AC1503" si="863">SUM(O1504:O1506)</f>
        <v>25200000</v>
      </c>
      <c r="P1503" s="28">
        <f t="shared" si="863"/>
        <v>0</v>
      </c>
      <c r="Q1503" s="28">
        <f t="shared" si="863"/>
        <v>0</v>
      </c>
      <c r="R1503" s="28">
        <f t="shared" si="863"/>
        <v>0</v>
      </c>
      <c r="S1503" s="28">
        <f t="shared" si="863"/>
        <v>0</v>
      </c>
      <c r="T1503" s="28"/>
      <c r="U1503" s="28">
        <f t="shared" si="863"/>
        <v>0</v>
      </c>
      <c r="V1503" s="28"/>
      <c r="W1503" s="28">
        <f t="shared" si="863"/>
        <v>0</v>
      </c>
      <c r="X1503" s="28"/>
      <c r="Y1503" s="28">
        <f t="shared" si="863"/>
        <v>0</v>
      </c>
      <c r="Z1503" s="28">
        <f t="shared" si="863"/>
        <v>0</v>
      </c>
      <c r="AA1503" s="28"/>
      <c r="AB1503" s="28">
        <f t="shared" si="863"/>
        <v>0</v>
      </c>
      <c r="AC1503" s="28">
        <f t="shared" si="863"/>
        <v>0</v>
      </c>
      <c r="AD1503" s="28"/>
      <c r="AE1503" s="28"/>
      <c r="AH1503" s="16"/>
    </row>
    <row r="1504" spans="1:34" s="1" customFormat="1" ht="10.5" x14ac:dyDescent="0.25">
      <c r="A1504" s="21"/>
      <c r="B1504" s="24"/>
      <c r="C1504" s="24"/>
      <c r="D1504" s="116"/>
      <c r="E1504" s="24"/>
      <c r="F1504" s="24"/>
      <c r="G1504" s="24"/>
      <c r="H1504" s="24"/>
      <c r="I1504" s="24"/>
      <c r="J1504" s="24"/>
      <c r="K1504" s="24"/>
      <c r="L1504" s="24"/>
      <c r="M1504" s="24"/>
      <c r="N1504" s="24"/>
      <c r="O1504" s="41">
        <f>AB1474</f>
        <v>25200000</v>
      </c>
      <c r="P1504" s="24"/>
      <c r="Q1504" s="24"/>
      <c r="R1504" s="24"/>
      <c r="S1504" s="24"/>
      <c r="T1504" s="24"/>
      <c r="U1504" s="24"/>
      <c r="V1504" s="24"/>
      <c r="W1504" s="24"/>
      <c r="X1504" s="24"/>
      <c r="Y1504" s="24"/>
      <c r="Z1504" s="24"/>
      <c r="AA1504" s="24"/>
      <c r="AB1504" s="24"/>
      <c r="AC1504" s="24"/>
      <c r="AD1504" s="24"/>
      <c r="AE1504" s="24"/>
    </row>
    <row r="1505" spans="1:34" s="1" customFormat="1" ht="10.5" x14ac:dyDescent="0.25">
      <c r="A1505" s="21"/>
      <c r="B1505" s="24"/>
      <c r="C1505" s="24"/>
      <c r="D1505" s="116"/>
      <c r="E1505" s="24"/>
      <c r="F1505" s="24"/>
      <c r="G1505" s="24"/>
      <c r="H1505" s="24"/>
      <c r="I1505" s="24"/>
      <c r="J1505" s="24"/>
      <c r="K1505" s="24"/>
      <c r="L1505" s="24"/>
      <c r="M1505" s="24"/>
      <c r="N1505" s="24"/>
      <c r="O1505" s="41"/>
      <c r="P1505" s="24"/>
      <c r="Q1505" s="24"/>
      <c r="R1505" s="24"/>
      <c r="S1505" s="24"/>
      <c r="T1505" s="24"/>
      <c r="U1505" s="24"/>
      <c r="V1505" s="24"/>
      <c r="W1505" s="24"/>
      <c r="X1505" s="24"/>
      <c r="Y1505" s="24"/>
      <c r="Z1505" s="24"/>
      <c r="AA1505" s="24"/>
      <c r="AB1505" s="24"/>
      <c r="AC1505" s="24"/>
      <c r="AD1505" s="24"/>
      <c r="AE1505" s="24"/>
    </row>
    <row r="1506" spans="1:34" s="1" customFormat="1" ht="10.5" x14ac:dyDescent="0.25">
      <c r="A1506" s="117"/>
      <c r="B1506" s="118"/>
      <c r="C1506" s="118"/>
      <c r="D1506" s="119"/>
      <c r="E1506" s="118"/>
      <c r="F1506" s="118"/>
      <c r="G1506" s="118"/>
      <c r="H1506" s="118"/>
      <c r="I1506" s="118"/>
      <c r="J1506" s="118"/>
      <c r="K1506" s="118"/>
      <c r="L1506" s="118"/>
      <c r="M1506" s="118"/>
      <c r="N1506" s="118"/>
      <c r="O1506" s="120"/>
      <c r="P1506" s="118"/>
      <c r="Q1506" s="118"/>
      <c r="R1506" s="118"/>
      <c r="S1506" s="118"/>
      <c r="T1506" s="118"/>
      <c r="U1506" s="118"/>
      <c r="V1506" s="118"/>
      <c r="W1506" s="118"/>
      <c r="X1506" s="118"/>
      <c r="Y1506" s="118"/>
      <c r="Z1506" s="118"/>
      <c r="AA1506" s="118"/>
      <c r="AB1506" s="118"/>
      <c r="AC1506" s="118"/>
      <c r="AD1506" s="118"/>
      <c r="AE1506" s="118"/>
    </row>
    <row r="1507" spans="1:34" s="124" customFormat="1" ht="26.25" customHeight="1" x14ac:dyDescent="0.25">
      <c r="A1507" s="414" t="s">
        <v>1620</v>
      </c>
      <c r="B1507" s="414"/>
      <c r="C1507" s="414"/>
      <c r="D1507" s="414"/>
      <c r="E1507" s="414"/>
      <c r="F1507" s="414"/>
      <c r="G1507" s="414"/>
      <c r="H1507" s="414"/>
      <c r="I1507" s="414"/>
      <c r="J1507" s="414"/>
      <c r="K1507" s="414"/>
      <c r="L1507" s="414"/>
      <c r="M1507" s="121">
        <f>SUM(M30+M1007+M1123+M1220+M1351+M1487)</f>
        <v>5996</v>
      </c>
      <c r="N1507" s="121">
        <f>SUM(N30+N1007+N1123+N1220+N1351+N1487)</f>
        <v>0</v>
      </c>
      <c r="O1507" s="122">
        <f>SUM(O30+O1007+O1123+O1220+O1351+O1487)</f>
        <v>37218900264.004616</v>
      </c>
      <c r="P1507" s="122">
        <f>P1474+P1357+P1351+P1220+P1123+P1007+P30+P8</f>
        <v>3121945214</v>
      </c>
      <c r="Q1507" s="122">
        <f>Q1474+Q1357+Q1351+Q1220+Q1123+Q1007+Q30+Q8</f>
        <v>0</v>
      </c>
      <c r="R1507" s="123">
        <f>R1474+R1357+R1351+R1220+R1123+R1007+R30+R8</f>
        <v>0</v>
      </c>
      <c r="S1507" s="122">
        <f t="shared" ref="S1507:AA1507" si="864">SUM(S30+S1007+S1123+S1220+S1351+S1487)</f>
        <v>47926925799.462723</v>
      </c>
      <c r="T1507" s="122">
        <f t="shared" si="864"/>
        <v>0</v>
      </c>
      <c r="U1507" s="122">
        <f t="shared" si="864"/>
        <v>1992112062.3672652</v>
      </c>
      <c r="V1507" s="122">
        <f t="shared" si="864"/>
        <v>0</v>
      </c>
      <c r="W1507" s="122">
        <f t="shared" si="864"/>
        <v>539777083.8139931</v>
      </c>
      <c r="X1507" s="122">
        <f t="shared" si="864"/>
        <v>0</v>
      </c>
      <c r="Y1507" s="122">
        <f t="shared" si="864"/>
        <v>560276411.62551415</v>
      </c>
      <c r="Z1507" s="122">
        <f t="shared" si="864"/>
        <v>1100053495.4395072</v>
      </c>
      <c r="AA1507" s="122">
        <f t="shared" si="864"/>
        <v>0</v>
      </c>
      <c r="AB1507" s="122">
        <f>SUM(AB30+AB1007+AB1123+AB1220+AB1351)+0.04</f>
        <v>20532999135.663712</v>
      </c>
      <c r="AC1507" s="122">
        <f>SUM(AC30+AC1007+AC1123+AC1220+AC1351)</f>
        <v>16660701128.380909</v>
      </c>
      <c r="AD1507" s="122"/>
      <c r="AE1507" s="123"/>
      <c r="AH1507" s="1"/>
    </row>
    <row r="1508" spans="1:34" ht="10.5" x14ac:dyDescent="0.25">
      <c r="M1508" s="125"/>
      <c r="N1508" s="125"/>
      <c r="O1508" s="126"/>
      <c r="W1508" s="127"/>
      <c r="AB1508" s="128"/>
      <c r="AC1508" s="129"/>
      <c r="AF1508" s="129"/>
      <c r="AH1508" s="1"/>
    </row>
    <row r="1509" spans="1:34" ht="22.5" x14ac:dyDescent="0.25">
      <c r="M1509" s="130"/>
      <c r="O1509" s="131"/>
      <c r="Y1509" s="129"/>
      <c r="Z1509" s="415"/>
      <c r="AA1509" s="415"/>
      <c r="AB1509" s="415"/>
      <c r="AC1509" s="128"/>
      <c r="AH1509" s="124"/>
    </row>
    <row r="1510" spans="1:34" ht="24.95" x14ac:dyDescent="0.5">
      <c r="D1510" s="191"/>
      <c r="E1510"/>
      <c r="M1510" s="130"/>
      <c r="O1510" s="132"/>
      <c r="P1510" s="132"/>
      <c r="Q1510" s="132"/>
      <c r="R1510" s="132"/>
      <c r="S1510" s="132"/>
      <c r="T1510" s="132"/>
      <c r="U1510" s="132"/>
      <c r="V1510" s="132"/>
      <c r="W1510" s="133"/>
      <c r="X1510" s="134"/>
      <c r="Y1510" s="134"/>
      <c r="Z1510" s="415"/>
      <c r="AA1510" s="415"/>
      <c r="AB1510" s="415"/>
      <c r="AC1510" s="129"/>
    </row>
    <row r="1511" spans="1:34" ht="24.95" x14ac:dyDescent="0.5">
      <c r="D1511" s="191"/>
      <c r="E1511"/>
      <c r="M1511" s="130"/>
      <c r="O1511" s="132"/>
      <c r="P1511" s="132"/>
      <c r="Q1511" s="132"/>
      <c r="R1511" s="134"/>
      <c r="S1511" s="132"/>
      <c r="T1511" s="132"/>
      <c r="U1511" s="132"/>
      <c r="V1511" s="132"/>
      <c r="W1511" s="134"/>
      <c r="X1511" s="132"/>
      <c r="Y1511" s="134"/>
      <c r="Z1511" s="415"/>
      <c r="AA1511" s="415"/>
      <c r="AB1511" s="415"/>
    </row>
    <row r="1512" spans="1:34" ht="24.95" x14ac:dyDescent="0.5">
      <c r="A1512" s="3"/>
      <c r="D1512" s="191"/>
      <c r="E1512"/>
      <c r="O1512" s="132"/>
      <c r="P1512" s="132"/>
      <c r="Q1512" s="132"/>
      <c r="R1512" s="132"/>
      <c r="S1512" s="132"/>
      <c r="T1512" s="132"/>
      <c r="U1512" s="132"/>
      <c r="V1512" s="132"/>
      <c r="W1512" s="135"/>
      <c r="X1512" s="135"/>
      <c r="Y1512" s="132"/>
      <c r="Z1512" s="415"/>
      <c r="AA1512" s="415"/>
      <c r="AB1512" s="415"/>
    </row>
    <row r="1513" spans="1:34" ht="24.95" x14ac:dyDescent="0.5">
      <c r="A1513" s="3"/>
      <c r="D1513" s="192"/>
      <c r="E1513"/>
      <c r="O1513" s="132"/>
      <c r="P1513" s="132"/>
      <c r="Q1513" s="132"/>
      <c r="R1513" s="132"/>
      <c r="S1513" s="132"/>
      <c r="T1513" s="132"/>
      <c r="U1513" s="132"/>
      <c r="V1513" s="132"/>
      <c r="W1513" s="132"/>
      <c r="X1513" s="135"/>
      <c r="Y1513" s="134"/>
      <c r="Z1513" s="193"/>
      <c r="AA1513" s="193"/>
      <c r="AB1513" s="193"/>
    </row>
    <row r="1514" spans="1:34" ht="24.95" x14ac:dyDescent="0.5">
      <c r="D1514" s="191"/>
      <c r="E1514"/>
      <c r="O1514" s="132"/>
      <c r="P1514" s="132"/>
      <c r="Q1514" s="132"/>
      <c r="R1514" s="132"/>
      <c r="S1514" s="132"/>
      <c r="T1514" s="132"/>
      <c r="U1514" s="132"/>
      <c r="V1514" s="132"/>
      <c r="W1514" s="132"/>
      <c r="X1514" s="132"/>
      <c r="Y1514" s="132"/>
      <c r="Z1514" s="193"/>
      <c r="AA1514" s="193"/>
      <c r="AB1514" s="193"/>
      <c r="AC1514" s="129"/>
    </row>
    <row r="1515" spans="1:34" ht="22.5" x14ac:dyDescent="0.35">
      <c r="O1515" s="132"/>
      <c r="P1515" s="132"/>
      <c r="Q1515" s="132"/>
      <c r="R1515" s="132"/>
      <c r="S1515" s="132"/>
      <c r="T1515" s="132"/>
      <c r="U1515" s="132"/>
      <c r="V1515" s="132"/>
      <c r="W1515" s="132"/>
      <c r="X1515" s="132"/>
      <c r="Y1515" s="132"/>
      <c r="Z1515" s="193"/>
      <c r="AA1515" s="193"/>
      <c r="AB1515" s="193"/>
    </row>
    <row r="1516" spans="1:34" ht="22.5" x14ac:dyDescent="0.35">
      <c r="A1516" s="3"/>
      <c r="D1516" s="3"/>
      <c r="O1516" s="132"/>
      <c r="P1516" s="132"/>
      <c r="Q1516" s="132"/>
      <c r="R1516" s="132"/>
      <c r="S1516" s="132"/>
      <c r="T1516" s="132"/>
      <c r="U1516" s="132"/>
      <c r="V1516" s="132"/>
      <c r="W1516" s="134"/>
      <c r="X1516" s="135"/>
      <c r="Y1516" s="132"/>
      <c r="Z1516" s="410"/>
      <c r="AA1516" s="410"/>
      <c r="AB1516" s="410"/>
      <c r="AC1516" s="410"/>
    </row>
    <row r="1517" spans="1:34" ht="22.5" x14ac:dyDescent="0.35">
      <c r="A1517" s="3"/>
      <c r="D1517" s="3"/>
      <c r="O1517" s="132"/>
      <c r="P1517" s="132"/>
      <c r="Q1517" s="132"/>
      <c r="R1517" s="132"/>
      <c r="S1517" s="132"/>
      <c r="T1517" s="132"/>
      <c r="U1517" s="132"/>
      <c r="V1517" s="132"/>
      <c r="W1517" s="132"/>
      <c r="X1517" s="135"/>
      <c r="Y1517" s="132"/>
      <c r="Z1517" s="411"/>
      <c r="AA1517" s="411"/>
      <c r="AB1517" s="411"/>
    </row>
    <row r="1518" spans="1:34" ht="22.5" x14ac:dyDescent="0.25">
      <c r="Z1518" s="411"/>
      <c r="AA1518" s="411"/>
      <c r="AB1518" s="411"/>
      <c r="AC1518" s="411"/>
    </row>
  </sheetData>
  <mergeCells count="58">
    <mergeCell ref="A1:AE1"/>
    <mergeCell ref="A2:AE2"/>
    <mergeCell ref="A3:AE3"/>
    <mergeCell ref="A4:C4"/>
    <mergeCell ref="D4:F4"/>
    <mergeCell ref="G4:G6"/>
    <mergeCell ref="H4:H6"/>
    <mergeCell ref="I4:I6"/>
    <mergeCell ref="J4:J6"/>
    <mergeCell ref="K4:K6"/>
    <mergeCell ref="AC4:AC6"/>
    <mergeCell ref="V5:W5"/>
    <mergeCell ref="X5:Y5"/>
    <mergeCell ref="L4:L5"/>
    <mergeCell ref="M4:O4"/>
    <mergeCell ref="P4:P6"/>
    <mergeCell ref="S4:S6"/>
    <mergeCell ref="T4:T6"/>
    <mergeCell ref="O5:O6"/>
    <mergeCell ref="Q5:Q6"/>
    <mergeCell ref="R5:R6"/>
    <mergeCell ref="AD4:AD6"/>
    <mergeCell ref="AE4:AE6"/>
    <mergeCell ref="A5:A6"/>
    <mergeCell ref="B5:B6"/>
    <mergeCell ref="C5:C6"/>
    <mergeCell ref="D5:D6"/>
    <mergeCell ref="E5:E6"/>
    <mergeCell ref="F5:F6"/>
    <mergeCell ref="M5:M6"/>
    <mergeCell ref="N5:N6"/>
    <mergeCell ref="U4:U6"/>
    <mergeCell ref="V4:Y4"/>
    <mergeCell ref="Z4:Z6"/>
    <mergeCell ref="AA4:AA6"/>
    <mergeCell ref="AB4:AB6"/>
    <mergeCell ref="Q4:R4"/>
    <mergeCell ref="AD77:AE77"/>
    <mergeCell ref="AD63:AE63"/>
    <mergeCell ref="AD64:AE64"/>
    <mergeCell ref="AD65:AE65"/>
    <mergeCell ref="AD66:AE66"/>
    <mergeCell ref="AD68:AE68"/>
    <mergeCell ref="AD70:AE70"/>
    <mergeCell ref="AD71:AE71"/>
    <mergeCell ref="AD72:AE72"/>
    <mergeCell ref="AD73:AE73"/>
    <mergeCell ref="AD74:AE74"/>
    <mergeCell ref="AD75:AE75"/>
    <mergeCell ref="Z1516:AC1516"/>
    <mergeCell ref="Z1517:AB1517"/>
    <mergeCell ref="Z1518:AC1518"/>
    <mergeCell ref="E616:F616"/>
    <mergeCell ref="A1507:L1507"/>
    <mergeCell ref="Z1509:AB1509"/>
    <mergeCell ref="Z1511:AB1511"/>
    <mergeCell ref="Z1512:AB1512"/>
    <mergeCell ref="Z1510:AB1510"/>
  </mergeCells>
  <pageMargins left="0.11811023622047245" right="0.70866141732283472" top="0.74803149606299213" bottom="0.74803149606299213" header="0.31496062992125984" footer="0.31496062992125984"/>
  <pageSetup paperSize="5" scale="39" orientation="landscape" horizontalDpi="200" verticalDpi="200" r:id="rId1"/>
  <headerFoot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E8DB1-7DF3-4B73-B58F-1FBFA80B7100}">
  <dimension ref="A1:AL1874"/>
  <sheetViews>
    <sheetView view="pageBreakPreview" zoomScale="85" zoomScaleNormal="100" zoomScaleSheetLayoutView="85" workbookViewId="0">
      <pane xSplit="8" ySplit="10" topLeftCell="I688" activePane="bottomRight" state="frozen"/>
      <selection pane="topRight" activeCell="I1" sqref="I1"/>
      <selection pane="bottomLeft" activeCell="A11" sqref="A11"/>
      <selection pane="bottomRight" activeCell="N1844" sqref="N1844"/>
    </sheetView>
  </sheetViews>
  <sheetFormatPr defaultColWidth="9.140625" defaultRowHeight="15" x14ac:dyDescent="0.25"/>
  <cols>
    <col min="1" max="1" width="3.42578125" style="290" bestFit="1" customWidth="1"/>
    <col min="2" max="2" width="7" style="296" bestFit="1" customWidth="1"/>
    <col min="3" max="3" width="8.140625" style="296" customWidth="1"/>
    <col min="4" max="4" width="7.28515625" style="296" customWidth="1"/>
    <col min="5" max="5" width="8.140625" style="296" customWidth="1"/>
    <col min="6" max="6" width="10" style="296" customWidth="1"/>
    <col min="7" max="7" width="9.85546875" style="296" customWidth="1"/>
    <col min="8" max="8" width="43.5703125" style="296" customWidth="1"/>
    <col min="9" max="9" width="24.42578125" style="293" bestFit="1" customWidth="1"/>
    <col min="10" max="10" width="23.42578125" style="296" customWidth="1"/>
    <col min="11" max="11" width="24.140625" style="296" customWidth="1"/>
    <col min="12" max="12" width="23.5703125" style="296" customWidth="1"/>
    <col min="13" max="13" width="22.42578125" style="296" customWidth="1"/>
    <col min="14" max="14" width="24.28515625" style="295" customWidth="1"/>
    <col min="15" max="15" width="23.140625" style="295" customWidth="1"/>
    <col min="16" max="16" width="20.42578125" style="295" customWidth="1"/>
    <col min="17" max="17" width="51.85546875" style="295" customWidth="1"/>
    <col min="18" max="19" width="9.140625" style="295"/>
    <col min="20" max="20" width="16.5703125" style="295" bestFit="1" customWidth="1"/>
    <col min="21" max="16384" width="9.140625" style="295"/>
  </cols>
  <sheetData>
    <row r="1" spans="1:36" s="196" customFormat="1" ht="17.25" customHeight="1" x14ac:dyDescent="0.25">
      <c r="A1" s="195"/>
      <c r="B1" s="457" t="s">
        <v>1804</v>
      </c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</row>
    <row r="2" spans="1:36" s="196" customFormat="1" ht="18" customHeight="1" x14ac:dyDescent="0.25">
      <c r="A2" s="195"/>
      <c r="B2" s="457" t="s">
        <v>1805</v>
      </c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</row>
    <row r="3" spans="1:36" s="196" customFormat="1" ht="15" customHeight="1" x14ac:dyDescent="0.25">
      <c r="A3" s="195"/>
      <c r="B3" s="458" t="s">
        <v>1806</v>
      </c>
      <c r="C3" s="458"/>
      <c r="D3" s="458"/>
      <c r="E3" s="458"/>
      <c r="F3" s="458"/>
      <c r="G3" s="458"/>
      <c r="H3" s="458"/>
      <c r="I3" s="458"/>
      <c r="J3" s="458"/>
      <c r="K3" s="458"/>
      <c r="L3" s="458"/>
      <c r="M3" s="458"/>
      <c r="N3" s="458"/>
      <c r="O3" s="458"/>
      <c r="P3" s="458"/>
    </row>
    <row r="4" spans="1:36" s="196" customFormat="1" ht="15" customHeight="1" x14ac:dyDescent="0.25">
      <c r="A4" s="195"/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8"/>
      <c r="O4" s="198"/>
      <c r="P4" s="197"/>
    </row>
    <row r="5" spans="1:36" s="202" customFormat="1" ht="15" customHeight="1" x14ac:dyDescent="0.25">
      <c r="A5" s="199"/>
      <c r="B5" s="200" t="s">
        <v>1807</v>
      </c>
      <c r="C5" s="201" t="s">
        <v>1808</v>
      </c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1"/>
      <c r="W5" s="201"/>
      <c r="X5" s="201"/>
      <c r="Y5" s="201"/>
      <c r="Z5" s="201"/>
      <c r="AA5" s="201"/>
      <c r="AB5" s="201"/>
      <c r="AC5" s="201"/>
      <c r="AD5" s="201"/>
      <c r="AE5" s="201"/>
      <c r="AF5" s="201"/>
      <c r="AG5" s="201"/>
      <c r="AH5" s="201"/>
      <c r="AI5" s="201"/>
      <c r="AJ5" s="201"/>
    </row>
    <row r="6" spans="1:36" s="196" customFormat="1" x14ac:dyDescent="0.25">
      <c r="A6" s="195"/>
      <c r="I6" s="203"/>
      <c r="Q6" s="305">
        <f>N93-Q79</f>
        <v>0</v>
      </c>
    </row>
    <row r="7" spans="1:36" s="196" customFormat="1" ht="22.5" customHeight="1" x14ac:dyDescent="0.25">
      <c r="A7" s="195"/>
      <c r="B7" s="459" t="s">
        <v>22</v>
      </c>
      <c r="C7" s="459" t="s">
        <v>1809</v>
      </c>
      <c r="D7" s="459" t="s">
        <v>1810</v>
      </c>
      <c r="E7" s="459" t="s">
        <v>1811</v>
      </c>
      <c r="F7" s="459" t="s">
        <v>1812</v>
      </c>
      <c r="G7" s="459" t="s">
        <v>1813</v>
      </c>
      <c r="H7" s="455" t="s">
        <v>1814</v>
      </c>
      <c r="I7" s="455" t="s">
        <v>1815</v>
      </c>
      <c r="J7" s="455" t="s">
        <v>1816</v>
      </c>
      <c r="K7" s="455" t="s">
        <v>1817</v>
      </c>
      <c r="L7" s="455" t="s">
        <v>1818</v>
      </c>
      <c r="M7" s="455" t="s">
        <v>1819</v>
      </c>
      <c r="N7" s="456" t="s">
        <v>1820</v>
      </c>
      <c r="O7" s="456" t="s">
        <v>1821</v>
      </c>
      <c r="P7" s="455" t="s">
        <v>21</v>
      </c>
      <c r="Q7" s="305">
        <f>Q74-O54</f>
        <v>0</v>
      </c>
    </row>
    <row r="8" spans="1:36" s="196" customFormat="1" ht="24.75" customHeight="1" x14ac:dyDescent="0.25">
      <c r="A8" s="195"/>
      <c r="B8" s="460"/>
      <c r="C8" s="460"/>
      <c r="D8" s="460"/>
      <c r="E8" s="460"/>
      <c r="F8" s="460"/>
      <c r="G8" s="460"/>
      <c r="H8" s="455"/>
      <c r="I8" s="455"/>
      <c r="J8" s="455"/>
      <c r="K8" s="455"/>
      <c r="L8" s="455"/>
      <c r="M8" s="455"/>
      <c r="N8" s="456"/>
      <c r="O8" s="456"/>
      <c r="P8" s="455"/>
    </row>
    <row r="9" spans="1:36" s="196" customFormat="1" ht="15" customHeight="1" x14ac:dyDescent="0.25">
      <c r="A9" s="195"/>
      <c r="B9" s="461"/>
      <c r="C9" s="461"/>
      <c r="D9" s="461"/>
      <c r="E9" s="461"/>
      <c r="F9" s="461"/>
      <c r="G9" s="461"/>
      <c r="H9" s="455"/>
      <c r="I9" s="455"/>
      <c r="J9" s="455"/>
      <c r="K9" s="455"/>
      <c r="L9" s="455"/>
      <c r="M9" s="455"/>
      <c r="N9" s="456"/>
      <c r="O9" s="456"/>
      <c r="P9" s="455"/>
      <c r="Q9" s="304" t="e">
        <f>N54-#REF!</f>
        <v>#REF!</v>
      </c>
    </row>
    <row r="10" spans="1:36" s="196" customFormat="1" x14ac:dyDescent="0.25">
      <c r="A10" s="195"/>
      <c r="B10" s="204">
        <v>1</v>
      </c>
      <c r="C10" s="204">
        <v>2</v>
      </c>
      <c r="D10" s="204"/>
      <c r="E10" s="204"/>
      <c r="F10" s="204"/>
      <c r="G10" s="204">
        <v>3</v>
      </c>
      <c r="H10" s="204">
        <v>4</v>
      </c>
      <c r="I10" s="205">
        <v>5</v>
      </c>
      <c r="J10" s="204">
        <v>6</v>
      </c>
      <c r="K10" s="205">
        <v>7</v>
      </c>
      <c r="L10" s="204">
        <v>8</v>
      </c>
      <c r="M10" s="205">
        <v>9</v>
      </c>
      <c r="N10" s="206">
        <v>10</v>
      </c>
      <c r="O10" s="207">
        <v>11</v>
      </c>
      <c r="P10" s="204">
        <v>12</v>
      </c>
      <c r="Q10" s="196">
        <v>11582048071.799141</v>
      </c>
      <c r="R10" s="196">
        <v>1110385086.215476</v>
      </c>
    </row>
    <row r="11" spans="1:36" s="213" customFormat="1" x14ac:dyDescent="0.25">
      <c r="A11" s="208"/>
      <c r="B11" s="209" t="s">
        <v>1822</v>
      </c>
      <c r="C11" s="209" t="s">
        <v>1823</v>
      </c>
      <c r="D11" s="209"/>
      <c r="E11" s="209"/>
      <c r="F11" s="209"/>
      <c r="G11" s="209"/>
      <c r="H11" s="210" t="s">
        <v>1824</v>
      </c>
      <c r="I11" s="211">
        <f>SUM(I13+I54+I628+I703+I868+I968)</f>
        <v>37193700264.004616</v>
      </c>
      <c r="J11" s="211">
        <f t="shared" ref="J11:P11" si="0">SUM(J13+J54+J628+J703+J868+J968)</f>
        <v>1992112062.3672652</v>
      </c>
      <c r="K11" s="211">
        <f t="shared" si="0"/>
        <v>539777083.8139931</v>
      </c>
      <c r="L11" s="211">
        <f t="shared" si="0"/>
        <v>560276411.62551415</v>
      </c>
      <c r="M11" s="211">
        <f t="shared" si="0"/>
        <v>1100053495.4395072</v>
      </c>
      <c r="N11" s="211">
        <f>SUM(N13+N54+N628+N703+N868+N968)+0.04</f>
        <v>20532999135.663712</v>
      </c>
      <c r="O11" s="211">
        <f t="shared" si="0"/>
        <v>16660701128.380909</v>
      </c>
      <c r="P11" s="211">
        <f t="shared" si="0"/>
        <v>0</v>
      </c>
      <c r="Q11" s="212"/>
    </row>
    <row r="12" spans="1:36" s="219" customFormat="1" hidden="1" x14ac:dyDescent="0.25">
      <c r="A12" s="214"/>
      <c r="B12" s="215"/>
      <c r="C12" s="215"/>
      <c r="D12" s="215"/>
      <c r="E12" s="215"/>
      <c r="F12" s="215"/>
      <c r="G12" s="215"/>
      <c r="H12" s="216"/>
      <c r="I12" s="217"/>
      <c r="J12" s="217"/>
      <c r="K12" s="217"/>
      <c r="L12" s="217"/>
      <c r="M12" s="217"/>
      <c r="N12" s="217"/>
      <c r="O12" s="217"/>
      <c r="P12" s="217"/>
      <c r="Q12" s="218"/>
    </row>
    <row r="13" spans="1:36" s="213" customFormat="1" hidden="1" x14ac:dyDescent="0.25">
      <c r="A13" s="208">
        <v>1</v>
      </c>
      <c r="B13" s="209" t="s">
        <v>1822</v>
      </c>
      <c r="C13" s="209" t="s">
        <v>1823</v>
      </c>
      <c r="D13" s="209" t="s">
        <v>1825</v>
      </c>
      <c r="E13" s="209"/>
      <c r="F13" s="209"/>
      <c r="G13" s="209"/>
      <c r="H13" s="210" t="s">
        <v>1826</v>
      </c>
      <c r="I13" s="211">
        <f>I14</f>
        <v>0</v>
      </c>
      <c r="J13" s="211">
        <f t="shared" ref="J13:P13" si="1">J14</f>
        <v>0</v>
      </c>
      <c r="K13" s="211">
        <f t="shared" si="1"/>
        <v>0</v>
      </c>
      <c r="L13" s="211">
        <f t="shared" si="1"/>
        <v>0</v>
      </c>
      <c r="M13" s="211">
        <f t="shared" si="1"/>
        <v>0</v>
      </c>
      <c r="N13" s="211">
        <f t="shared" si="1"/>
        <v>0</v>
      </c>
      <c r="O13" s="211">
        <f t="shared" si="1"/>
        <v>0</v>
      </c>
      <c r="P13" s="211">
        <f t="shared" si="1"/>
        <v>0</v>
      </c>
      <c r="Q13" s="212"/>
    </row>
    <row r="14" spans="1:36" s="213" customFormat="1" hidden="1" x14ac:dyDescent="0.25">
      <c r="A14" s="208" t="s">
        <v>1827</v>
      </c>
      <c r="B14" s="209" t="s">
        <v>1822</v>
      </c>
      <c r="C14" s="209" t="s">
        <v>1823</v>
      </c>
      <c r="D14" s="209" t="s">
        <v>1825</v>
      </c>
      <c r="E14" s="209" t="s">
        <v>1825</v>
      </c>
      <c r="F14" s="209"/>
      <c r="G14" s="209"/>
      <c r="H14" s="210" t="s">
        <v>1826</v>
      </c>
      <c r="I14" s="211">
        <f>SUM(I15+I23+I33)</f>
        <v>0</v>
      </c>
      <c r="J14" s="211">
        <f t="shared" ref="J14:P14" si="2">SUM(J15+J23+J33)</f>
        <v>0</v>
      </c>
      <c r="K14" s="211">
        <f t="shared" si="2"/>
        <v>0</v>
      </c>
      <c r="L14" s="211">
        <f t="shared" si="2"/>
        <v>0</v>
      </c>
      <c r="M14" s="211">
        <f t="shared" si="2"/>
        <v>0</v>
      </c>
      <c r="N14" s="211">
        <f t="shared" si="2"/>
        <v>0</v>
      </c>
      <c r="O14" s="211">
        <f t="shared" si="2"/>
        <v>0</v>
      </c>
      <c r="P14" s="211">
        <f t="shared" si="2"/>
        <v>0</v>
      </c>
      <c r="Q14" s="212"/>
    </row>
    <row r="15" spans="1:36" s="213" customFormat="1" hidden="1" x14ac:dyDescent="0.25">
      <c r="A15" s="208" t="s">
        <v>263</v>
      </c>
      <c r="B15" s="209" t="s">
        <v>1822</v>
      </c>
      <c r="C15" s="209" t="s">
        <v>1823</v>
      </c>
      <c r="D15" s="209" t="s">
        <v>1825</v>
      </c>
      <c r="E15" s="209" t="s">
        <v>1825</v>
      </c>
      <c r="F15" s="209" t="s">
        <v>1825</v>
      </c>
      <c r="G15" s="209"/>
      <c r="H15" s="210" t="s">
        <v>1828</v>
      </c>
      <c r="I15" s="211">
        <f>SUM(I16:I22)</f>
        <v>0</v>
      </c>
      <c r="J15" s="211">
        <f t="shared" ref="J15:P15" si="3">SUM(J16:J22)</f>
        <v>0</v>
      </c>
      <c r="K15" s="211">
        <f t="shared" si="3"/>
        <v>0</v>
      </c>
      <c r="L15" s="211">
        <f t="shared" si="3"/>
        <v>0</v>
      </c>
      <c r="M15" s="211">
        <f t="shared" si="3"/>
        <v>0</v>
      </c>
      <c r="N15" s="211">
        <f t="shared" si="3"/>
        <v>0</v>
      </c>
      <c r="O15" s="211">
        <f t="shared" si="3"/>
        <v>0</v>
      </c>
      <c r="P15" s="211">
        <f t="shared" si="3"/>
        <v>0</v>
      </c>
      <c r="Q15" s="212"/>
    </row>
    <row r="16" spans="1:36" s="219" customFormat="1" ht="30" hidden="1" x14ac:dyDescent="0.25">
      <c r="A16" s="214"/>
      <c r="B16" s="215" t="s">
        <v>1822</v>
      </c>
      <c r="C16" s="215" t="s">
        <v>1823</v>
      </c>
      <c r="D16" s="215" t="s">
        <v>1825</v>
      </c>
      <c r="E16" s="215" t="s">
        <v>1825</v>
      </c>
      <c r="F16" s="215" t="s">
        <v>1825</v>
      </c>
      <c r="G16" s="215" t="s">
        <v>58</v>
      </c>
      <c r="H16" s="216" t="s">
        <v>1829</v>
      </c>
      <c r="I16" s="220"/>
      <c r="J16" s="220"/>
      <c r="K16" s="220"/>
      <c r="L16" s="220"/>
      <c r="M16" s="220"/>
      <c r="N16" s="220"/>
      <c r="O16" s="220"/>
      <c r="P16" s="220"/>
      <c r="Q16" s="218"/>
    </row>
    <row r="17" spans="1:17" s="219" customFormat="1" ht="30" hidden="1" x14ac:dyDescent="0.25">
      <c r="A17" s="214"/>
      <c r="B17" s="215" t="s">
        <v>1822</v>
      </c>
      <c r="C17" s="215" t="s">
        <v>1823</v>
      </c>
      <c r="D17" s="215" t="s">
        <v>1825</v>
      </c>
      <c r="E17" s="215" t="s">
        <v>1825</v>
      </c>
      <c r="F17" s="215" t="s">
        <v>1825</v>
      </c>
      <c r="G17" s="215" t="s">
        <v>75</v>
      </c>
      <c r="H17" s="216" t="s">
        <v>1830</v>
      </c>
      <c r="I17" s="217"/>
      <c r="J17" s="217"/>
      <c r="K17" s="217"/>
      <c r="L17" s="217"/>
      <c r="M17" s="217"/>
      <c r="N17" s="217"/>
      <c r="O17" s="217"/>
      <c r="P17" s="217"/>
      <c r="Q17" s="218"/>
    </row>
    <row r="18" spans="1:17" s="219" customFormat="1" hidden="1" x14ac:dyDescent="0.25">
      <c r="A18" s="214"/>
      <c r="B18" s="215" t="s">
        <v>1822</v>
      </c>
      <c r="C18" s="215" t="s">
        <v>1823</v>
      </c>
      <c r="D18" s="215" t="s">
        <v>1825</v>
      </c>
      <c r="E18" s="215" t="s">
        <v>1825</v>
      </c>
      <c r="F18" s="215" t="s">
        <v>1825</v>
      </c>
      <c r="G18" s="215" t="s">
        <v>79</v>
      </c>
      <c r="H18" s="216" t="s">
        <v>1831</v>
      </c>
      <c r="I18" s="217"/>
      <c r="J18" s="217"/>
      <c r="K18" s="217"/>
      <c r="L18" s="217"/>
      <c r="M18" s="217"/>
      <c r="N18" s="217"/>
      <c r="O18" s="217"/>
      <c r="P18" s="217"/>
      <c r="Q18" s="218"/>
    </row>
    <row r="19" spans="1:17" s="219" customFormat="1" hidden="1" x14ac:dyDescent="0.25">
      <c r="A19" s="214"/>
      <c r="B19" s="215" t="s">
        <v>1822</v>
      </c>
      <c r="C19" s="215" t="s">
        <v>1823</v>
      </c>
      <c r="D19" s="215" t="s">
        <v>1825</v>
      </c>
      <c r="E19" s="215" t="s">
        <v>1825</v>
      </c>
      <c r="F19" s="215" t="s">
        <v>1825</v>
      </c>
      <c r="G19" s="215" t="s">
        <v>84</v>
      </c>
      <c r="H19" s="216" t="s">
        <v>1832</v>
      </c>
      <c r="I19" s="217"/>
      <c r="J19" s="217"/>
      <c r="K19" s="217"/>
      <c r="L19" s="217"/>
      <c r="M19" s="217"/>
      <c r="N19" s="217"/>
      <c r="O19" s="217"/>
      <c r="P19" s="217"/>
      <c r="Q19" s="218"/>
    </row>
    <row r="20" spans="1:17" s="219" customFormat="1" ht="30" hidden="1" x14ac:dyDescent="0.25">
      <c r="A20" s="214"/>
      <c r="B20" s="215" t="s">
        <v>1822</v>
      </c>
      <c r="C20" s="215" t="s">
        <v>1823</v>
      </c>
      <c r="D20" s="215" t="s">
        <v>1825</v>
      </c>
      <c r="E20" s="215" t="s">
        <v>1825</v>
      </c>
      <c r="F20" s="215" t="s">
        <v>1825</v>
      </c>
      <c r="G20" s="215" t="s">
        <v>88</v>
      </c>
      <c r="H20" s="216" t="s">
        <v>1833</v>
      </c>
      <c r="I20" s="217"/>
      <c r="J20" s="217"/>
      <c r="K20" s="217"/>
      <c r="L20" s="217"/>
      <c r="M20" s="217"/>
      <c r="N20" s="217"/>
      <c r="O20" s="217"/>
      <c r="P20" s="217"/>
      <c r="Q20" s="218"/>
    </row>
    <row r="21" spans="1:17" s="219" customFormat="1" ht="30" hidden="1" x14ac:dyDescent="0.25">
      <c r="A21" s="214"/>
      <c r="B21" s="215" t="s">
        <v>1822</v>
      </c>
      <c r="C21" s="215" t="s">
        <v>1823</v>
      </c>
      <c r="D21" s="215" t="s">
        <v>1825</v>
      </c>
      <c r="E21" s="215" t="s">
        <v>1825</v>
      </c>
      <c r="F21" s="215" t="s">
        <v>1825</v>
      </c>
      <c r="G21" s="215" t="s">
        <v>92</v>
      </c>
      <c r="H21" s="216" t="s">
        <v>1834</v>
      </c>
      <c r="I21" s="217"/>
      <c r="J21" s="217"/>
      <c r="K21" s="217"/>
      <c r="L21" s="217"/>
      <c r="M21" s="217"/>
      <c r="N21" s="217"/>
      <c r="O21" s="217"/>
      <c r="P21" s="217"/>
      <c r="Q21" s="218"/>
    </row>
    <row r="22" spans="1:17" s="219" customFormat="1" hidden="1" x14ac:dyDescent="0.25">
      <c r="A22" s="214"/>
      <c r="B22" s="215" t="s">
        <v>1822</v>
      </c>
      <c r="C22" s="215" t="s">
        <v>1823</v>
      </c>
      <c r="D22" s="215" t="s">
        <v>1825</v>
      </c>
      <c r="E22" s="215" t="s">
        <v>1825</v>
      </c>
      <c r="F22" s="215" t="s">
        <v>1825</v>
      </c>
      <c r="G22" s="215" t="s">
        <v>96</v>
      </c>
      <c r="H22" s="216" t="s">
        <v>1835</v>
      </c>
      <c r="I22" s="217"/>
      <c r="J22" s="217"/>
      <c r="K22" s="217"/>
      <c r="L22" s="217"/>
      <c r="M22" s="217"/>
      <c r="N22" s="217"/>
      <c r="O22" s="217"/>
      <c r="P22" s="217"/>
      <c r="Q22" s="218"/>
    </row>
    <row r="23" spans="1:17" s="213" customFormat="1" hidden="1" x14ac:dyDescent="0.25">
      <c r="A23" s="208" t="s">
        <v>263</v>
      </c>
      <c r="B23" s="209" t="s">
        <v>1822</v>
      </c>
      <c r="C23" s="209" t="s">
        <v>1823</v>
      </c>
      <c r="D23" s="209" t="s">
        <v>1825</v>
      </c>
      <c r="E23" s="209" t="s">
        <v>1825</v>
      </c>
      <c r="F23" s="209" t="s">
        <v>1836</v>
      </c>
      <c r="G23" s="209"/>
      <c r="H23" s="210" t="s">
        <v>1837</v>
      </c>
      <c r="I23" s="211">
        <f>SUM(I24:I32)</f>
        <v>0</v>
      </c>
      <c r="J23" s="211">
        <f t="shared" ref="J23:P23" si="4">SUM(J24:J32)</f>
        <v>0</v>
      </c>
      <c r="K23" s="211">
        <f t="shared" si="4"/>
        <v>0</v>
      </c>
      <c r="L23" s="211">
        <f t="shared" si="4"/>
        <v>0</v>
      </c>
      <c r="M23" s="211">
        <f t="shared" si="4"/>
        <v>0</v>
      </c>
      <c r="N23" s="211">
        <f t="shared" si="4"/>
        <v>0</v>
      </c>
      <c r="O23" s="211">
        <f t="shared" si="4"/>
        <v>0</v>
      </c>
      <c r="P23" s="211">
        <f t="shared" si="4"/>
        <v>0</v>
      </c>
      <c r="Q23" s="212"/>
    </row>
    <row r="24" spans="1:17" s="219" customFormat="1" hidden="1" x14ac:dyDescent="0.25">
      <c r="A24" s="214"/>
      <c r="B24" s="215" t="s">
        <v>1822</v>
      </c>
      <c r="C24" s="215" t="s">
        <v>1823</v>
      </c>
      <c r="D24" s="215" t="s">
        <v>1825</v>
      </c>
      <c r="E24" s="215" t="s">
        <v>1825</v>
      </c>
      <c r="F24" s="215" t="s">
        <v>1836</v>
      </c>
      <c r="G24" s="215" t="s">
        <v>58</v>
      </c>
      <c r="H24" s="216" t="s">
        <v>1838</v>
      </c>
      <c r="I24" s="217"/>
      <c r="J24" s="217"/>
      <c r="K24" s="217"/>
      <c r="L24" s="217"/>
      <c r="M24" s="217"/>
      <c r="N24" s="217"/>
      <c r="O24" s="217"/>
      <c r="P24" s="217"/>
      <c r="Q24" s="218"/>
    </row>
    <row r="25" spans="1:17" s="219" customFormat="1" hidden="1" x14ac:dyDescent="0.25">
      <c r="A25" s="214"/>
      <c r="B25" s="215" t="s">
        <v>1822</v>
      </c>
      <c r="C25" s="215" t="s">
        <v>1823</v>
      </c>
      <c r="D25" s="215" t="s">
        <v>1825</v>
      </c>
      <c r="E25" s="215" t="s">
        <v>1825</v>
      </c>
      <c r="F25" s="215" t="s">
        <v>1836</v>
      </c>
      <c r="G25" s="215" t="s">
        <v>75</v>
      </c>
      <c r="H25" s="216" t="s">
        <v>1839</v>
      </c>
      <c r="I25" s="217"/>
      <c r="J25" s="217"/>
      <c r="K25" s="217"/>
      <c r="L25" s="217"/>
      <c r="M25" s="217"/>
      <c r="N25" s="217"/>
      <c r="O25" s="217"/>
      <c r="P25" s="217"/>
      <c r="Q25" s="218"/>
    </row>
    <row r="26" spans="1:17" s="219" customFormat="1" hidden="1" x14ac:dyDescent="0.25">
      <c r="A26" s="214"/>
      <c r="B26" s="215" t="s">
        <v>1822</v>
      </c>
      <c r="C26" s="215" t="s">
        <v>1823</v>
      </c>
      <c r="D26" s="215" t="s">
        <v>1825</v>
      </c>
      <c r="E26" s="215" t="s">
        <v>1825</v>
      </c>
      <c r="F26" s="215" t="s">
        <v>1836</v>
      </c>
      <c r="G26" s="215" t="s">
        <v>79</v>
      </c>
      <c r="H26" s="216" t="s">
        <v>1840</v>
      </c>
      <c r="I26" s="217"/>
      <c r="J26" s="217"/>
      <c r="K26" s="217"/>
      <c r="L26" s="217"/>
      <c r="M26" s="217"/>
      <c r="N26" s="217"/>
      <c r="O26" s="217"/>
      <c r="P26" s="217"/>
      <c r="Q26" s="218"/>
    </row>
    <row r="27" spans="1:17" s="219" customFormat="1" hidden="1" x14ac:dyDescent="0.25">
      <c r="A27" s="214"/>
      <c r="B27" s="215" t="s">
        <v>1822</v>
      </c>
      <c r="C27" s="215" t="s">
        <v>1823</v>
      </c>
      <c r="D27" s="215" t="s">
        <v>1825</v>
      </c>
      <c r="E27" s="215" t="s">
        <v>1825</v>
      </c>
      <c r="F27" s="215" t="s">
        <v>1836</v>
      </c>
      <c r="G27" s="215" t="s">
        <v>84</v>
      </c>
      <c r="H27" s="216" t="s">
        <v>1841</v>
      </c>
      <c r="I27" s="217"/>
      <c r="J27" s="217"/>
      <c r="K27" s="217"/>
      <c r="L27" s="217"/>
      <c r="M27" s="217"/>
      <c r="N27" s="217"/>
      <c r="O27" s="217"/>
      <c r="P27" s="217"/>
      <c r="Q27" s="218"/>
    </row>
    <row r="28" spans="1:17" s="219" customFormat="1" hidden="1" x14ac:dyDescent="0.25">
      <c r="A28" s="214"/>
      <c r="B28" s="215" t="s">
        <v>1822</v>
      </c>
      <c r="C28" s="215" t="s">
        <v>1823</v>
      </c>
      <c r="D28" s="215" t="s">
        <v>1825</v>
      </c>
      <c r="E28" s="215" t="s">
        <v>1825</v>
      </c>
      <c r="F28" s="215" t="s">
        <v>1836</v>
      </c>
      <c r="G28" s="215" t="s">
        <v>88</v>
      </c>
      <c r="H28" s="216" t="s">
        <v>1842</v>
      </c>
      <c r="I28" s="217"/>
      <c r="J28" s="217"/>
      <c r="K28" s="217"/>
      <c r="L28" s="217"/>
      <c r="M28" s="217"/>
      <c r="N28" s="217"/>
      <c r="O28" s="217"/>
      <c r="P28" s="217"/>
      <c r="Q28" s="218"/>
    </row>
    <row r="29" spans="1:17" s="219" customFormat="1" hidden="1" x14ac:dyDescent="0.25">
      <c r="A29" s="214"/>
      <c r="B29" s="215" t="s">
        <v>1822</v>
      </c>
      <c r="C29" s="215" t="s">
        <v>1823</v>
      </c>
      <c r="D29" s="215" t="s">
        <v>1825</v>
      </c>
      <c r="E29" s="215" t="s">
        <v>1825</v>
      </c>
      <c r="F29" s="215" t="s">
        <v>1836</v>
      </c>
      <c r="G29" s="215" t="s">
        <v>92</v>
      </c>
      <c r="H29" s="216" t="s">
        <v>1843</v>
      </c>
      <c r="I29" s="217"/>
      <c r="J29" s="217"/>
      <c r="K29" s="217"/>
      <c r="L29" s="217"/>
      <c r="M29" s="217"/>
      <c r="N29" s="217"/>
      <c r="O29" s="217"/>
      <c r="P29" s="217"/>
      <c r="Q29" s="218"/>
    </row>
    <row r="30" spans="1:17" s="219" customFormat="1" hidden="1" x14ac:dyDescent="0.25">
      <c r="A30" s="214"/>
      <c r="B30" s="215" t="s">
        <v>1822</v>
      </c>
      <c r="C30" s="215" t="s">
        <v>1823</v>
      </c>
      <c r="D30" s="215" t="s">
        <v>1825</v>
      </c>
      <c r="E30" s="215" t="s">
        <v>1825</v>
      </c>
      <c r="F30" s="215" t="s">
        <v>1836</v>
      </c>
      <c r="G30" s="215" t="s">
        <v>96</v>
      </c>
      <c r="H30" s="216" t="s">
        <v>1844</v>
      </c>
      <c r="I30" s="217"/>
      <c r="J30" s="217"/>
      <c r="K30" s="217"/>
      <c r="L30" s="217"/>
      <c r="M30" s="217"/>
      <c r="N30" s="217"/>
      <c r="O30" s="217"/>
      <c r="P30" s="217"/>
      <c r="Q30" s="218"/>
    </row>
    <row r="31" spans="1:17" s="219" customFormat="1" hidden="1" x14ac:dyDescent="0.25">
      <c r="A31" s="214"/>
      <c r="B31" s="215" t="s">
        <v>1822</v>
      </c>
      <c r="C31" s="215" t="s">
        <v>1823</v>
      </c>
      <c r="D31" s="215" t="s">
        <v>1825</v>
      </c>
      <c r="E31" s="215" t="s">
        <v>1825</v>
      </c>
      <c r="F31" s="215" t="s">
        <v>1836</v>
      </c>
      <c r="G31" s="215" t="s">
        <v>100</v>
      </c>
      <c r="H31" s="216" t="s">
        <v>1845</v>
      </c>
      <c r="I31" s="217"/>
      <c r="J31" s="217"/>
      <c r="K31" s="217"/>
      <c r="L31" s="217"/>
      <c r="M31" s="217"/>
      <c r="N31" s="217"/>
      <c r="O31" s="217"/>
      <c r="P31" s="217"/>
      <c r="Q31" s="218"/>
    </row>
    <row r="32" spans="1:17" s="219" customFormat="1" hidden="1" x14ac:dyDescent="0.25">
      <c r="A32" s="214"/>
      <c r="B32" s="215" t="s">
        <v>1822</v>
      </c>
      <c r="C32" s="215" t="s">
        <v>1823</v>
      </c>
      <c r="D32" s="215" t="s">
        <v>1825</v>
      </c>
      <c r="E32" s="215" t="s">
        <v>1825</v>
      </c>
      <c r="F32" s="215" t="s">
        <v>1836</v>
      </c>
      <c r="G32" s="215" t="s">
        <v>105</v>
      </c>
      <c r="H32" s="216" t="s">
        <v>1846</v>
      </c>
      <c r="I32" s="217"/>
      <c r="J32" s="217"/>
      <c r="K32" s="217"/>
      <c r="L32" s="217"/>
      <c r="M32" s="217"/>
      <c r="N32" s="217"/>
      <c r="O32" s="217"/>
      <c r="P32" s="217"/>
      <c r="Q32" s="218"/>
    </row>
    <row r="33" spans="1:17" s="213" customFormat="1" hidden="1" x14ac:dyDescent="0.25">
      <c r="A33" s="208" t="s">
        <v>263</v>
      </c>
      <c r="B33" s="209" t="s">
        <v>1822</v>
      </c>
      <c r="C33" s="209" t="s">
        <v>1823</v>
      </c>
      <c r="D33" s="209" t="s">
        <v>1825</v>
      </c>
      <c r="E33" s="209" t="s">
        <v>1825</v>
      </c>
      <c r="F33" s="209" t="s">
        <v>1847</v>
      </c>
      <c r="G33" s="209"/>
      <c r="H33" s="210" t="s">
        <v>1848</v>
      </c>
      <c r="I33" s="211">
        <f>SUM(I34:I52)</f>
        <v>0</v>
      </c>
      <c r="J33" s="211">
        <f t="shared" ref="J33:P33" si="5">SUM(J34:J52)</f>
        <v>0</v>
      </c>
      <c r="K33" s="211">
        <f t="shared" si="5"/>
        <v>0</v>
      </c>
      <c r="L33" s="211">
        <f t="shared" si="5"/>
        <v>0</v>
      </c>
      <c r="M33" s="211">
        <f t="shared" si="5"/>
        <v>0</v>
      </c>
      <c r="N33" s="211">
        <f t="shared" si="5"/>
        <v>0</v>
      </c>
      <c r="O33" s="211">
        <f t="shared" si="5"/>
        <v>0</v>
      </c>
      <c r="P33" s="211">
        <f t="shared" si="5"/>
        <v>0</v>
      </c>
      <c r="Q33" s="212"/>
    </row>
    <row r="34" spans="1:17" s="219" customFormat="1" hidden="1" x14ac:dyDescent="0.25">
      <c r="A34" s="214"/>
      <c r="B34" s="215" t="s">
        <v>1822</v>
      </c>
      <c r="C34" s="215" t="s">
        <v>1823</v>
      </c>
      <c r="D34" s="215" t="s">
        <v>1825</v>
      </c>
      <c r="E34" s="215" t="s">
        <v>1825</v>
      </c>
      <c r="F34" s="215" t="s">
        <v>1847</v>
      </c>
      <c r="G34" s="215" t="s">
        <v>58</v>
      </c>
      <c r="H34" s="216" t="s">
        <v>1849</v>
      </c>
      <c r="I34" s="217"/>
      <c r="J34" s="217"/>
      <c r="K34" s="217"/>
      <c r="L34" s="217"/>
      <c r="M34" s="217"/>
      <c r="N34" s="217"/>
      <c r="O34" s="217"/>
      <c r="P34" s="217"/>
      <c r="Q34" s="218"/>
    </row>
    <row r="35" spans="1:17" s="219" customFormat="1" hidden="1" x14ac:dyDescent="0.25">
      <c r="A35" s="214"/>
      <c r="B35" s="215" t="s">
        <v>1822</v>
      </c>
      <c r="C35" s="215" t="s">
        <v>1823</v>
      </c>
      <c r="D35" s="215" t="s">
        <v>1825</v>
      </c>
      <c r="E35" s="215" t="s">
        <v>1825</v>
      </c>
      <c r="F35" s="215" t="s">
        <v>1847</v>
      </c>
      <c r="G35" s="215" t="s">
        <v>75</v>
      </c>
      <c r="H35" s="216" t="s">
        <v>1850</v>
      </c>
      <c r="I35" s="217"/>
      <c r="J35" s="217"/>
      <c r="K35" s="217"/>
      <c r="L35" s="217"/>
      <c r="M35" s="217"/>
      <c r="N35" s="217"/>
      <c r="O35" s="217"/>
      <c r="P35" s="217"/>
      <c r="Q35" s="218"/>
    </row>
    <row r="36" spans="1:17" s="219" customFormat="1" hidden="1" x14ac:dyDescent="0.25">
      <c r="A36" s="214"/>
      <c r="B36" s="215" t="s">
        <v>1822</v>
      </c>
      <c r="C36" s="215" t="s">
        <v>1823</v>
      </c>
      <c r="D36" s="215" t="s">
        <v>1825</v>
      </c>
      <c r="E36" s="215" t="s">
        <v>1825</v>
      </c>
      <c r="F36" s="215" t="s">
        <v>1847</v>
      </c>
      <c r="G36" s="215" t="s">
        <v>79</v>
      </c>
      <c r="H36" s="216" t="s">
        <v>1851</v>
      </c>
      <c r="I36" s="217"/>
      <c r="J36" s="217"/>
      <c r="K36" s="217"/>
      <c r="L36" s="217"/>
      <c r="M36" s="217"/>
      <c r="N36" s="217"/>
      <c r="O36" s="217"/>
      <c r="P36" s="217"/>
      <c r="Q36" s="218"/>
    </row>
    <row r="37" spans="1:17" s="219" customFormat="1" ht="30" hidden="1" x14ac:dyDescent="0.25">
      <c r="A37" s="214"/>
      <c r="B37" s="215" t="s">
        <v>1822</v>
      </c>
      <c r="C37" s="215" t="s">
        <v>1823</v>
      </c>
      <c r="D37" s="215" t="s">
        <v>1825</v>
      </c>
      <c r="E37" s="215" t="s">
        <v>1825</v>
      </c>
      <c r="F37" s="215" t="s">
        <v>1847</v>
      </c>
      <c r="G37" s="215" t="s">
        <v>84</v>
      </c>
      <c r="H37" s="216" t="s">
        <v>1852</v>
      </c>
      <c r="I37" s="217"/>
      <c r="J37" s="217"/>
      <c r="K37" s="217"/>
      <c r="L37" s="217"/>
      <c r="M37" s="217"/>
      <c r="N37" s="217"/>
      <c r="O37" s="217"/>
      <c r="P37" s="217"/>
      <c r="Q37" s="218"/>
    </row>
    <row r="38" spans="1:17" s="219" customFormat="1" ht="30" hidden="1" x14ac:dyDescent="0.25">
      <c r="A38" s="214"/>
      <c r="B38" s="215" t="s">
        <v>1822</v>
      </c>
      <c r="C38" s="215" t="s">
        <v>1823</v>
      </c>
      <c r="D38" s="215" t="s">
        <v>1825</v>
      </c>
      <c r="E38" s="215" t="s">
        <v>1825</v>
      </c>
      <c r="F38" s="215" t="s">
        <v>1847</v>
      </c>
      <c r="G38" s="215" t="s">
        <v>88</v>
      </c>
      <c r="H38" s="216" t="s">
        <v>1853</v>
      </c>
      <c r="I38" s="217"/>
      <c r="J38" s="217"/>
      <c r="K38" s="217"/>
      <c r="L38" s="217"/>
      <c r="M38" s="217"/>
      <c r="N38" s="217"/>
      <c r="O38" s="217"/>
      <c r="P38" s="217"/>
      <c r="Q38" s="218"/>
    </row>
    <row r="39" spans="1:17" s="219" customFormat="1" hidden="1" x14ac:dyDescent="0.25">
      <c r="A39" s="214"/>
      <c r="B39" s="215" t="s">
        <v>1822</v>
      </c>
      <c r="C39" s="215" t="s">
        <v>1823</v>
      </c>
      <c r="D39" s="215" t="s">
        <v>1825</v>
      </c>
      <c r="E39" s="215" t="s">
        <v>1825</v>
      </c>
      <c r="F39" s="215" t="s">
        <v>1847</v>
      </c>
      <c r="G39" s="215" t="s">
        <v>92</v>
      </c>
      <c r="H39" s="216" t="s">
        <v>1854</v>
      </c>
      <c r="I39" s="217"/>
      <c r="J39" s="217"/>
      <c r="K39" s="217"/>
      <c r="L39" s="217"/>
      <c r="M39" s="217"/>
      <c r="N39" s="217"/>
      <c r="O39" s="217"/>
      <c r="P39" s="217"/>
      <c r="Q39" s="218"/>
    </row>
    <row r="40" spans="1:17" s="219" customFormat="1" hidden="1" x14ac:dyDescent="0.25">
      <c r="A40" s="214"/>
      <c r="B40" s="215" t="s">
        <v>1822</v>
      </c>
      <c r="C40" s="215" t="s">
        <v>1823</v>
      </c>
      <c r="D40" s="215" t="s">
        <v>1825</v>
      </c>
      <c r="E40" s="215" t="s">
        <v>1825</v>
      </c>
      <c r="F40" s="215" t="s">
        <v>1847</v>
      </c>
      <c r="G40" s="215" t="s">
        <v>96</v>
      </c>
      <c r="H40" s="216" t="s">
        <v>1855</v>
      </c>
      <c r="I40" s="217"/>
      <c r="J40" s="217"/>
      <c r="K40" s="217"/>
      <c r="L40" s="217"/>
      <c r="M40" s="217"/>
      <c r="N40" s="217"/>
      <c r="O40" s="217"/>
      <c r="P40" s="217"/>
      <c r="Q40" s="218"/>
    </row>
    <row r="41" spans="1:17" s="219" customFormat="1" hidden="1" x14ac:dyDescent="0.25">
      <c r="A41" s="214"/>
      <c r="B41" s="215" t="s">
        <v>1822</v>
      </c>
      <c r="C41" s="215" t="s">
        <v>1823</v>
      </c>
      <c r="D41" s="215" t="s">
        <v>1825</v>
      </c>
      <c r="E41" s="215" t="s">
        <v>1825</v>
      </c>
      <c r="F41" s="215" t="s">
        <v>1847</v>
      </c>
      <c r="G41" s="215" t="s">
        <v>100</v>
      </c>
      <c r="H41" s="216" t="s">
        <v>1856</v>
      </c>
      <c r="I41" s="217"/>
      <c r="J41" s="217"/>
      <c r="K41" s="217"/>
      <c r="L41" s="217"/>
      <c r="M41" s="217"/>
      <c r="N41" s="217"/>
      <c r="O41" s="217"/>
      <c r="P41" s="217"/>
      <c r="Q41" s="218"/>
    </row>
    <row r="42" spans="1:17" s="219" customFormat="1" hidden="1" x14ac:dyDescent="0.25">
      <c r="A42" s="214"/>
      <c r="B42" s="215" t="s">
        <v>1822</v>
      </c>
      <c r="C42" s="215" t="s">
        <v>1823</v>
      </c>
      <c r="D42" s="215" t="s">
        <v>1825</v>
      </c>
      <c r="E42" s="215" t="s">
        <v>1825</v>
      </c>
      <c r="F42" s="215" t="s">
        <v>1847</v>
      </c>
      <c r="G42" s="215" t="s">
        <v>105</v>
      </c>
      <c r="H42" s="216" t="s">
        <v>1857</v>
      </c>
      <c r="I42" s="217"/>
      <c r="J42" s="217"/>
      <c r="K42" s="217"/>
      <c r="L42" s="217"/>
      <c r="M42" s="217"/>
      <c r="N42" s="217"/>
      <c r="O42" s="217"/>
      <c r="P42" s="217"/>
      <c r="Q42" s="218"/>
    </row>
    <row r="43" spans="1:17" s="219" customFormat="1" hidden="1" x14ac:dyDescent="0.25">
      <c r="A43" s="214"/>
      <c r="B43" s="215" t="s">
        <v>1822</v>
      </c>
      <c r="C43" s="215" t="s">
        <v>1823</v>
      </c>
      <c r="D43" s="215" t="s">
        <v>1825</v>
      </c>
      <c r="E43" s="215" t="s">
        <v>1825</v>
      </c>
      <c r="F43" s="215" t="s">
        <v>1847</v>
      </c>
      <c r="G43" s="215" t="s">
        <v>108</v>
      </c>
      <c r="H43" s="216" t="s">
        <v>1858</v>
      </c>
      <c r="I43" s="217"/>
      <c r="J43" s="217"/>
      <c r="K43" s="217"/>
      <c r="L43" s="217"/>
      <c r="M43" s="217"/>
      <c r="N43" s="217"/>
      <c r="O43" s="217"/>
      <c r="P43" s="217"/>
      <c r="Q43" s="218"/>
    </row>
    <row r="44" spans="1:17" s="219" customFormat="1" hidden="1" x14ac:dyDescent="0.25">
      <c r="A44" s="214"/>
      <c r="B44" s="215" t="s">
        <v>1822</v>
      </c>
      <c r="C44" s="215" t="s">
        <v>1823</v>
      </c>
      <c r="D44" s="215" t="s">
        <v>1825</v>
      </c>
      <c r="E44" s="215" t="s">
        <v>1825</v>
      </c>
      <c r="F44" s="215" t="s">
        <v>1847</v>
      </c>
      <c r="G44" s="215" t="s">
        <v>135</v>
      </c>
      <c r="H44" s="216" t="s">
        <v>1859</v>
      </c>
      <c r="I44" s="217"/>
      <c r="J44" s="217"/>
      <c r="K44" s="217"/>
      <c r="L44" s="217"/>
      <c r="M44" s="217"/>
      <c r="N44" s="217"/>
      <c r="O44" s="217"/>
      <c r="P44" s="217"/>
      <c r="Q44" s="218"/>
    </row>
    <row r="45" spans="1:17" s="219" customFormat="1" hidden="1" x14ac:dyDescent="0.25">
      <c r="A45" s="214"/>
      <c r="B45" s="215" t="s">
        <v>1822</v>
      </c>
      <c r="C45" s="215" t="s">
        <v>1823</v>
      </c>
      <c r="D45" s="215" t="s">
        <v>1825</v>
      </c>
      <c r="E45" s="215" t="s">
        <v>1825</v>
      </c>
      <c r="F45" s="215" t="s">
        <v>1847</v>
      </c>
      <c r="G45" s="215" t="s">
        <v>138</v>
      </c>
      <c r="H45" s="216" t="s">
        <v>1860</v>
      </c>
      <c r="I45" s="217"/>
      <c r="J45" s="217"/>
      <c r="K45" s="217"/>
      <c r="L45" s="217"/>
      <c r="M45" s="217"/>
      <c r="N45" s="217"/>
      <c r="O45" s="217"/>
      <c r="P45" s="217"/>
      <c r="Q45" s="218"/>
    </row>
    <row r="46" spans="1:17" s="219" customFormat="1" hidden="1" x14ac:dyDescent="0.25">
      <c r="A46" s="214"/>
      <c r="B46" s="215" t="s">
        <v>1822</v>
      </c>
      <c r="C46" s="215" t="s">
        <v>1823</v>
      </c>
      <c r="D46" s="215" t="s">
        <v>1825</v>
      </c>
      <c r="E46" s="215" t="s">
        <v>1825</v>
      </c>
      <c r="F46" s="215" t="s">
        <v>1847</v>
      </c>
      <c r="G46" s="215" t="s">
        <v>140</v>
      </c>
      <c r="H46" s="216" t="s">
        <v>1861</v>
      </c>
      <c r="I46" s="217"/>
      <c r="J46" s="217"/>
      <c r="K46" s="217"/>
      <c r="L46" s="217"/>
      <c r="M46" s="217"/>
      <c r="N46" s="217"/>
      <c r="O46" s="217"/>
      <c r="P46" s="217"/>
      <c r="Q46" s="218"/>
    </row>
    <row r="47" spans="1:17" s="219" customFormat="1" hidden="1" x14ac:dyDescent="0.25">
      <c r="A47" s="214"/>
      <c r="B47" s="215" t="s">
        <v>1822</v>
      </c>
      <c r="C47" s="215" t="s">
        <v>1823</v>
      </c>
      <c r="D47" s="215" t="s">
        <v>1825</v>
      </c>
      <c r="E47" s="215" t="s">
        <v>1825</v>
      </c>
      <c r="F47" s="215" t="s">
        <v>1847</v>
      </c>
      <c r="G47" s="215" t="s">
        <v>143</v>
      </c>
      <c r="H47" s="216" t="s">
        <v>1862</v>
      </c>
      <c r="I47" s="217"/>
      <c r="J47" s="217"/>
      <c r="K47" s="217"/>
      <c r="L47" s="217"/>
      <c r="M47" s="217"/>
      <c r="N47" s="217"/>
      <c r="O47" s="217"/>
      <c r="P47" s="217"/>
      <c r="Q47" s="218"/>
    </row>
    <row r="48" spans="1:17" s="219" customFormat="1" hidden="1" x14ac:dyDescent="0.25">
      <c r="A48" s="214"/>
      <c r="B48" s="215" t="s">
        <v>1822</v>
      </c>
      <c r="C48" s="215" t="s">
        <v>1823</v>
      </c>
      <c r="D48" s="215" t="s">
        <v>1825</v>
      </c>
      <c r="E48" s="215" t="s">
        <v>1825</v>
      </c>
      <c r="F48" s="215" t="s">
        <v>1847</v>
      </c>
      <c r="G48" s="215" t="s">
        <v>146</v>
      </c>
      <c r="H48" s="216" t="s">
        <v>1863</v>
      </c>
      <c r="I48" s="217"/>
      <c r="J48" s="217"/>
      <c r="K48" s="217"/>
      <c r="L48" s="217"/>
      <c r="M48" s="217"/>
      <c r="N48" s="217"/>
      <c r="O48" s="217"/>
      <c r="P48" s="217"/>
      <c r="Q48" s="218"/>
    </row>
    <row r="49" spans="1:17" s="219" customFormat="1" hidden="1" x14ac:dyDescent="0.25">
      <c r="A49" s="214"/>
      <c r="B49" s="215" t="s">
        <v>1822</v>
      </c>
      <c r="C49" s="215" t="s">
        <v>1823</v>
      </c>
      <c r="D49" s="215" t="s">
        <v>1825</v>
      </c>
      <c r="E49" s="215" t="s">
        <v>1825</v>
      </c>
      <c r="F49" s="215" t="s">
        <v>1847</v>
      </c>
      <c r="G49" s="215" t="s">
        <v>150</v>
      </c>
      <c r="H49" s="216" t="s">
        <v>1864</v>
      </c>
      <c r="I49" s="217"/>
      <c r="J49" s="217"/>
      <c r="K49" s="217"/>
      <c r="L49" s="217"/>
      <c r="M49" s="217"/>
      <c r="N49" s="217"/>
      <c r="O49" s="217"/>
      <c r="P49" s="217"/>
      <c r="Q49" s="218"/>
    </row>
    <row r="50" spans="1:17" s="219" customFormat="1" hidden="1" x14ac:dyDescent="0.25">
      <c r="A50" s="214"/>
      <c r="B50" s="215" t="s">
        <v>1822</v>
      </c>
      <c r="C50" s="215" t="s">
        <v>1823</v>
      </c>
      <c r="D50" s="215" t="s">
        <v>1825</v>
      </c>
      <c r="E50" s="215" t="s">
        <v>1825</v>
      </c>
      <c r="F50" s="215" t="s">
        <v>1847</v>
      </c>
      <c r="G50" s="215" t="s">
        <v>153</v>
      </c>
      <c r="H50" s="216" t="s">
        <v>1865</v>
      </c>
      <c r="I50" s="217"/>
      <c r="J50" s="217"/>
      <c r="K50" s="217"/>
      <c r="L50" s="217"/>
      <c r="M50" s="217"/>
      <c r="N50" s="217"/>
      <c r="O50" s="217"/>
      <c r="P50" s="217"/>
      <c r="Q50" s="218"/>
    </row>
    <row r="51" spans="1:17" s="219" customFormat="1" hidden="1" x14ac:dyDescent="0.25">
      <c r="A51" s="214"/>
      <c r="B51" s="215" t="s">
        <v>1822</v>
      </c>
      <c r="C51" s="215" t="s">
        <v>1823</v>
      </c>
      <c r="D51" s="215" t="s">
        <v>1825</v>
      </c>
      <c r="E51" s="215" t="s">
        <v>1825</v>
      </c>
      <c r="F51" s="215" t="s">
        <v>1847</v>
      </c>
      <c r="G51" s="215" t="s">
        <v>156</v>
      </c>
      <c r="H51" s="216" t="s">
        <v>1866</v>
      </c>
      <c r="I51" s="217"/>
      <c r="J51" s="217"/>
      <c r="K51" s="217"/>
      <c r="L51" s="217"/>
      <c r="M51" s="217"/>
      <c r="N51" s="217"/>
      <c r="O51" s="217"/>
      <c r="P51" s="217"/>
      <c r="Q51" s="218"/>
    </row>
    <row r="52" spans="1:17" s="219" customFormat="1" hidden="1" x14ac:dyDescent="0.25">
      <c r="A52" s="214"/>
      <c r="B52" s="215" t="s">
        <v>1822</v>
      </c>
      <c r="C52" s="215" t="s">
        <v>1823</v>
      </c>
      <c r="D52" s="215" t="s">
        <v>1825</v>
      </c>
      <c r="E52" s="215" t="s">
        <v>1825</v>
      </c>
      <c r="F52" s="215" t="s">
        <v>1847</v>
      </c>
      <c r="G52" s="215" t="s">
        <v>159</v>
      </c>
      <c r="H52" s="216" t="s">
        <v>1867</v>
      </c>
      <c r="I52" s="217"/>
      <c r="J52" s="217"/>
      <c r="K52" s="217"/>
      <c r="L52" s="217"/>
      <c r="M52" s="217"/>
      <c r="N52" s="217"/>
      <c r="O52" s="217"/>
      <c r="P52" s="217"/>
      <c r="Q52" s="218"/>
    </row>
    <row r="53" spans="1:17" s="227" customFormat="1" x14ac:dyDescent="0.25">
      <c r="A53" s="221"/>
      <c r="B53" s="222"/>
      <c r="C53" s="223"/>
      <c r="D53" s="223"/>
      <c r="E53" s="223"/>
      <c r="F53" s="223"/>
      <c r="G53" s="224"/>
      <c r="H53" s="225"/>
      <c r="I53" s="226"/>
      <c r="J53" s="226"/>
      <c r="K53" s="226"/>
      <c r="L53" s="226"/>
      <c r="M53" s="226"/>
      <c r="N53" s="226"/>
      <c r="O53" s="226"/>
      <c r="P53" s="226"/>
      <c r="Q53" s="303">
        <f>Q54-L54</f>
        <v>10427347.583333313</v>
      </c>
    </row>
    <row r="54" spans="1:17" s="231" customFormat="1" x14ac:dyDescent="0.25">
      <c r="A54" s="228">
        <v>2</v>
      </c>
      <c r="B54" s="229">
        <v>2</v>
      </c>
      <c r="C54" s="223" t="s">
        <v>1836</v>
      </c>
      <c r="D54" s="223"/>
      <c r="E54" s="223"/>
      <c r="F54" s="223"/>
      <c r="G54" s="223"/>
      <c r="H54" s="225" t="s">
        <v>48</v>
      </c>
      <c r="I54" s="230">
        <f>SUM(I55+I93+I123+I171+I183+I206+I283+I320+I469+I490+I501+I511+I522+I536+I545+I570+I575+I603+I619)</f>
        <v>12692433158.004616</v>
      </c>
      <c r="J54" s="230">
        <f t="shared" ref="J54:P54" si="6">SUM(J55+J93+J123+J171+J183+J206+J283+J320+J469+J490+J501+J511+J522+J536+J545+J570+J575+J603+J619)</f>
        <v>979377679.52857149</v>
      </c>
      <c r="K54" s="230">
        <f>SUM(K55+K93+K123+K171+K183+K206+K283+K320+K469+K490+K501+K511+K522+K536+K545+K570+K575+K603+K619)+0.06</f>
        <v>281560011.12904769</v>
      </c>
      <c r="L54" s="230">
        <f t="shared" si="6"/>
        <v>272782174.60238099</v>
      </c>
      <c r="M54" s="230">
        <f>SUM(M55+M93+M123+M171+M183+M206+M283+M320+M469+M490+M501+M511+M522+M536+M545+M570+M575+M603+M619)+0.06</f>
        <v>554342185.73142862</v>
      </c>
      <c r="N54" s="230">
        <f>SUM(N55+N93+N123+N171+N183+N206+N283+N320+N469+N490+N501+N511+N522+N536+N545+N570+N575+N603+N619)+0.06</f>
        <v>11577219500.430569</v>
      </c>
      <c r="O54" s="230">
        <f>SUM(O55+O93+O123+O171+O183+O206+O283+O320+O469+O490+O501+O511+O522+O536+O545+O570+O575+O603+O619)-0.07</f>
        <v>1115213657.5740476</v>
      </c>
      <c r="P54" s="230">
        <f t="shared" si="6"/>
        <v>0</v>
      </c>
      <c r="Q54" s="231">
        <v>283209522.1857143</v>
      </c>
    </row>
    <row r="55" spans="1:17" s="213" customFormat="1" x14ac:dyDescent="0.25">
      <c r="A55" s="208" t="s">
        <v>1827</v>
      </c>
      <c r="B55" s="209" t="s">
        <v>1822</v>
      </c>
      <c r="C55" s="209" t="s">
        <v>1823</v>
      </c>
      <c r="D55" s="209" t="s">
        <v>1836</v>
      </c>
      <c r="E55" s="209" t="s">
        <v>1825</v>
      </c>
      <c r="F55" s="209"/>
      <c r="G55" s="209"/>
      <c r="H55" s="210" t="s">
        <v>1868</v>
      </c>
      <c r="I55" s="211">
        <f>SUM(I56+I69+I76)</f>
        <v>509600000</v>
      </c>
      <c r="J55" s="211">
        <f t="shared" ref="J55:P55" si="7">SUM(J56+J69+J76)</f>
        <v>50960000</v>
      </c>
      <c r="K55" s="211">
        <f t="shared" si="7"/>
        <v>25480000</v>
      </c>
      <c r="L55" s="211">
        <f t="shared" si="7"/>
        <v>25480000</v>
      </c>
      <c r="M55" s="211">
        <f t="shared" si="7"/>
        <v>50960000</v>
      </c>
      <c r="N55" s="211">
        <f t="shared" si="7"/>
        <v>509600000</v>
      </c>
      <c r="O55" s="211">
        <f t="shared" si="7"/>
        <v>0</v>
      </c>
      <c r="P55" s="211">
        <f t="shared" si="7"/>
        <v>0</v>
      </c>
      <c r="Q55" s="212"/>
    </row>
    <row r="56" spans="1:17" s="213" customFormat="1" x14ac:dyDescent="0.25">
      <c r="A56" s="208" t="s">
        <v>263</v>
      </c>
      <c r="B56" s="209" t="s">
        <v>1822</v>
      </c>
      <c r="C56" s="209" t="s">
        <v>1823</v>
      </c>
      <c r="D56" s="209" t="s">
        <v>1836</v>
      </c>
      <c r="E56" s="209" t="s">
        <v>1825</v>
      </c>
      <c r="F56" s="209" t="s">
        <v>1825</v>
      </c>
      <c r="G56" s="209"/>
      <c r="H56" s="210" t="s">
        <v>1869</v>
      </c>
      <c r="I56" s="211">
        <f>SUM(I57:I68)</f>
        <v>0</v>
      </c>
      <c r="J56" s="211">
        <f t="shared" ref="J56:P56" si="8">SUM(J57:J68)</f>
        <v>0</v>
      </c>
      <c r="K56" s="211">
        <f t="shared" si="8"/>
        <v>0</v>
      </c>
      <c r="L56" s="211">
        <f t="shared" si="8"/>
        <v>0</v>
      </c>
      <c r="M56" s="211">
        <f t="shared" si="8"/>
        <v>0</v>
      </c>
      <c r="N56" s="211">
        <f t="shared" si="8"/>
        <v>0</v>
      </c>
      <c r="O56" s="211">
        <f t="shared" si="8"/>
        <v>0</v>
      </c>
      <c r="P56" s="211">
        <f t="shared" si="8"/>
        <v>0</v>
      </c>
      <c r="Q56" s="212"/>
    </row>
    <row r="57" spans="1:17" s="219" customFormat="1" hidden="1" x14ac:dyDescent="0.25">
      <c r="A57" s="214"/>
      <c r="B57" s="215" t="s">
        <v>1822</v>
      </c>
      <c r="C57" s="215" t="s">
        <v>1823</v>
      </c>
      <c r="D57" s="215" t="s">
        <v>1836</v>
      </c>
      <c r="E57" s="215" t="s">
        <v>1825</v>
      </c>
      <c r="F57" s="215" t="s">
        <v>1825</v>
      </c>
      <c r="G57" s="215" t="s">
        <v>58</v>
      </c>
      <c r="H57" s="216" t="s">
        <v>1870</v>
      </c>
      <c r="I57" s="217"/>
      <c r="J57" s="217"/>
      <c r="K57" s="217"/>
      <c r="L57" s="217"/>
      <c r="M57" s="217"/>
      <c r="N57" s="217"/>
      <c r="O57" s="217"/>
      <c r="P57" s="217"/>
      <c r="Q57" s="218"/>
    </row>
    <row r="58" spans="1:17" s="219" customFormat="1" hidden="1" x14ac:dyDescent="0.25">
      <c r="A58" s="214"/>
      <c r="B58" s="215" t="s">
        <v>1822</v>
      </c>
      <c r="C58" s="215" t="s">
        <v>1823</v>
      </c>
      <c r="D58" s="215" t="s">
        <v>1836</v>
      </c>
      <c r="E58" s="215" t="s">
        <v>1825</v>
      </c>
      <c r="F58" s="215" t="s">
        <v>1825</v>
      </c>
      <c r="G58" s="215" t="s">
        <v>75</v>
      </c>
      <c r="H58" s="216" t="s">
        <v>1871</v>
      </c>
      <c r="I58" s="217"/>
      <c r="J58" s="217"/>
      <c r="K58" s="217"/>
      <c r="L58" s="217"/>
      <c r="M58" s="217"/>
      <c r="N58" s="217"/>
      <c r="O58" s="217"/>
      <c r="P58" s="217"/>
      <c r="Q58" s="218"/>
    </row>
    <row r="59" spans="1:17" s="219" customFormat="1" hidden="1" x14ac:dyDescent="0.25">
      <c r="A59" s="214"/>
      <c r="B59" s="215" t="s">
        <v>1822</v>
      </c>
      <c r="C59" s="215" t="s">
        <v>1823</v>
      </c>
      <c r="D59" s="215" t="s">
        <v>1836</v>
      </c>
      <c r="E59" s="215" t="s">
        <v>1825</v>
      </c>
      <c r="F59" s="215" t="s">
        <v>1825</v>
      </c>
      <c r="G59" s="215" t="s">
        <v>79</v>
      </c>
      <c r="H59" s="216" t="s">
        <v>1872</v>
      </c>
      <c r="I59" s="217"/>
      <c r="J59" s="217"/>
      <c r="K59" s="217"/>
      <c r="L59" s="217"/>
      <c r="M59" s="217"/>
      <c r="N59" s="217"/>
      <c r="O59" s="217"/>
      <c r="P59" s="217"/>
      <c r="Q59" s="218"/>
    </row>
    <row r="60" spans="1:17" s="219" customFormat="1" hidden="1" x14ac:dyDescent="0.25">
      <c r="A60" s="214"/>
      <c r="B60" s="215" t="s">
        <v>1822</v>
      </c>
      <c r="C60" s="215" t="s">
        <v>1823</v>
      </c>
      <c r="D60" s="215" t="s">
        <v>1836</v>
      </c>
      <c r="E60" s="215" t="s">
        <v>1825</v>
      </c>
      <c r="F60" s="215" t="s">
        <v>1825</v>
      </c>
      <c r="G60" s="215" t="s">
        <v>84</v>
      </c>
      <c r="H60" s="216" t="s">
        <v>1873</v>
      </c>
      <c r="I60" s="217"/>
      <c r="J60" s="217"/>
      <c r="K60" s="217"/>
      <c r="L60" s="217"/>
      <c r="M60" s="217"/>
      <c r="N60" s="217"/>
      <c r="O60" s="217"/>
      <c r="P60" s="217"/>
      <c r="Q60" s="218"/>
    </row>
    <row r="61" spans="1:17" s="219" customFormat="1" hidden="1" x14ac:dyDescent="0.25">
      <c r="A61" s="214"/>
      <c r="B61" s="215" t="s">
        <v>1822</v>
      </c>
      <c r="C61" s="215" t="s">
        <v>1823</v>
      </c>
      <c r="D61" s="215" t="s">
        <v>1836</v>
      </c>
      <c r="E61" s="215" t="s">
        <v>1825</v>
      </c>
      <c r="F61" s="215" t="s">
        <v>1825</v>
      </c>
      <c r="G61" s="215" t="s">
        <v>88</v>
      </c>
      <c r="H61" s="216" t="s">
        <v>1874</v>
      </c>
      <c r="I61" s="217"/>
      <c r="J61" s="217"/>
      <c r="K61" s="217"/>
      <c r="L61" s="217"/>
      <c r="M61" s="217"/>
      <c r="N61" s="217"/>
      <c r="O61" s="217"/>
      <c r="P61" s="217"/>
      <c r="Q61" s="218"/>
    </row>
    <row r="62" spans="1:17" s="219" customFormat="1" hidden="1" x14ac:dyDescent="0.25">
      <c r="A62" s="214"/>
      <c r="B62" s="215" t="s">
        <v>1822</v>
      </c>
      <c r="C62" s="215" t="s">
        <v>1823</v>
      </c>
      <c r="D62" s="215" t="s">
        <v>1836</v>
      </c>
      <c r="E62" s="215" t="s">
        <v>1825</v>
      </c>
      <c r="F62" s="215" t="s">
        <v>1825</v>
      </c>
      <c r="G62" s="215" t="s">
        <v>92</v>
      </c>
      <c r="H62" s="216" t="s">
        <v>1875</v>
      </c>
      <c r="I62" s="217"/>
      <c r="J62" s="217"/>
      <c r="K62" s="217"/>
      <c r="L62" s="217"/>
      <c r="M62" s="217"/>
      <c r="N62" s="217"/>
      <c r="O62" s="217"/>
      <c r="P62" s="217"/>
      <c r="Q62" s="218"/>
    </row>
    <row r="63" spans="1:17" s="219" customFormat="1" hidden="1" x14ac:dyDescent="0.25">
      <c r="A63" s="214"/>
      <c r="B63" s="215" t="s">
        <v>1822</v>
      </c>
      <c r="C63" s="215" t="s">
        <v>1823</v>
      </c>
      <c r="D63" s="215" t="s">
        <v>1836</v>
      </c>
      <c r="E63" s="215" t="s">
        <v>1825</v>
      </c>
      <c r="F63" s="215" t="s">
        <v>1825</v>
      </c>
      <c r="G63" s="215" t="s">
        <v>96</v>
      </c>
      <c r="H63" s="216" t="s">
        <v>1876</v>
      </c>
      <c r="I63" s="217"/>
      <c r="J63" s="217"/>
      <c r="K63" s="217"/>
      <c r="L63" s="217"/>
      <c r="M63" s="217"/>
      <c r="N63" s="217"/>
      <c r="O63" s="217"/>
      <c r="P63" s="217"/>
      <c r="Q63" s="218"/>
    </row>
    <row r="64" spans="1:17" s="219" customFormat="1" hidden="1" x14ac:dyDescent="0.25">
      <c r="A64" s="214"/>
      <c r="B64" s="215" t="s">
        <v>1822</v>
      </c>
      <c r="C64" s="215" t="s">
        <v>1823</v>
      </c>
      <c r="D64" s="215" t="s">
        <v>1836</v>
      </c>
      <c r="E64" s="215" t="s">
        <v>1825</v>
      </c>
      <c r="F64" s="215" t="s">
        <v>1825</v>
      </c>
      <c r="G64" s="215" t="s">
        <v>100</v>
      </c>
      <c r="H64" s="216" t="s">
        <v>1877</v>
      </c>
      <c r="I64" s="217"/>
      <c r="J64" s="217"/>
      <c r="K64" s="217"/>
      <c r="L64" s="217"/>
      <c r="M64" s="217"/>
      <c r="N64" s="217"/>
      <c r="O64" s="217"/>
      <c r="P64" s="217"/>
      <c r="Q64" s="218"/>
    </row>
    <row r="65" spans="1:17" s="219" customFormat="1" hidden="1" x14ac:dyDescent="0.25">
      <c r="A65" s="214"/>
      <c r="B65" s="215" t="s">
        <v>1822</v>
      </c>
      <c r="C65" s="215" t="s">
        <v>1823</v>
      </c>
      <c r="D65" s="215" t="s">
        <v>1836</v>
      </c>
      <c r="E65" s="215" t="s">
        <v>1825</v>
      </c>
      <c r="F65" s="215" t="s">
        <v>1825</v>
      </c>
      <c r="G65" s="215" t="s">
        <v>105</v>
      </c>
      <c r="H65" s="216" t="s">
        <v>1878</v>
      </c>
      <c r="I65" s="217"/>
      <c r="J65" s="217"/>
      <c r="K65" s="217"/>
      <c r="L65" s="217"/>
      <c r="M65" s="217"/>
      <c r="N65" s="217"/>
      <c r="O65" s="217"/>
      <c r="P65" s="217"/>
      <c r="Q65" s="218"/>
    </row>
    <row r="66" spans="1:17" s="219" customFormat="1" hidden="1" x14ac:dyDescent="0.25">
      <c r="A66" s="214"/>
      <c r="B66" s="215" t="s">
        <v>1822</v>
      </c>
      <c r="C66" s="215" t="s">
        <v>1823</v>
      </c>
      <c r="D66" s="215" t="s">
        <v>1836</v>
      </c>
      <c r="E66" s="215" t="s">
        <v>1825</v>
      </c>
      <c r="F66" s="215" t="s">
        <v>1825</v>
      </c>
      <c r="G66" s="215" t="s">
        <v>108</v>
      </c>
      <c r="H66" s="216" t="s">
        <v>1879</v>
      </c>
      <c r="I66" s="217"/>
      <c r="J66" s="217"/>
      <c r="K66" s="217"/>
      <c r="L66" s="217"/>
      <c r="M66" s="217"/>
      <c r="N66" s="217"/>
      <c r="O66" s="217"/>
      <c r="P66" s="217"/>
      <c r="Q66" s="218"/>
    </row>
    <row r="67" spans="1:17" s="219" customFormat="1" hidden="1" x14ac:dyDescent="0.25">
      <c r="A67" s="214"/>
      <c r="B67" s="215" t="s">
        <v>1822</v>
      </c>
      <c r="C67" s="215" t="s">
        <v>1823</v>
      </c>
      <c r="D67" s="215" t="s">
        <v>1836</v>
      </c>
      <c r="E67" s="215" t="s">
        <v>1825</v>
      </c>
      <c r="F67" s="215" t="s">
        <v>1825</v>
      </c>
      <c r="G67" s="215" t="s">
        <v>135</v>
      </c>
      <c r="H67" s="216" t="s">
        <v>1880</v>
      </c>
      <c r="I67" s="217"/>
      <c r="J67" s="217"/>
      <c r="K67" s="217"/>
      <c r="L67" s="217"/>
      <c r="M67" s="217"/>
      <c r="N67" s="217"/>
      <c r="O67" s="217"/>
      <c r="P67" s="217"/>
      <c r="Q67" s="218"/>
    </row>
    <row r="68" spans="1:17" s="219" customFormat="1" hidden="1" x14ac:dyDescent="0.25">
      <c r="A68" s="214"/>
      <c r="B68" s="215" t="s">
        <v>1822</v>
      </c>
      <c r="C68" s="215" t="s">
        <v>1823</v>
      </c>
      <c r="D68" s="215" t="s">
        <v>1836</v>
      </c>
      <c r="E68" s="215" t="s">
        <v>1825</v>
      </c>
      <c r="F68" s="215" t="s">
        <v>1825</v>
      </c>
      <c r="G68" s="215" t="s">
        <v>138</v>
      </c>
      <c r="H68" s="216" t="s">
        <v>1881</v>
      </c>
      <c r="I68" s="217"/>
      <c r="J68" s="217"/>
      <c r="K68" s="217"/>
      <c r="L68" s="217"/>
      <c r="M68" s="217"/>
      <c r="N68" s="217"/>
      <c r="O68" s="217"/>
      <c r="P68" s="217"/>
      <c r="Q68" s="218"/>
    </row>
    <row r="69" spans="1:17" s="213" customFormat="1" hidden="1" x14ac:dyDescent="0.25">
      <c r="A69" s="208" t="s">
        <v>263</v>
      </c>
      <c r="B69" s="209" t="s">
        <v>1822</v>
      </c>
      <c r="C69" s="209" t="s">
        <v>1823</v>
      </c>
      <c r="D69" s="209" t="s">
        <v>1836</v>
      </c>
      <c r="E69" s="209" t="s">
        <v>1825</v>
      </c>
      <c r="F69" s="209" t="s">
        <v>1836</v>
      </c>
      <c r="G69" s="209"/>
      <c r="H69" s="210" t="s">
        <v>1882</v>
      </c>
      <c r="I69" s="211">
        <f>SUM(I70:I75)</f>
        <v>0</v>
      </c>
      <c r="J69" s="211">
        <f t="shared" ref="J69:P69" si="9">SUM(J70:J75)</f>
        <v>0</v>
      </c>
      <c r="K69" s="211">
        <f t="shared" si="9"/>
        <v>0</v>
      </c>
      <c r="L69" s="211">
        <f t="shared" si="9"/>
        <v>0</v>
      </c>
      <c r="M69" s="211">
        <f t="shared" si="9"/>
        <v>0</v>
      </c>
      <c r="N69" s="211">
        <f t="shared" si="9"/>
        <v>0</v>
      </c>
      <c r="O69" s="211">
        <f t="shared" si="9"/>
        <v>0</v>
      </c>
      <c r="P69" s="211">
        <f t="shared" si="9"/>
        <v>0</v>
      </c>
      <c r="Q69" s="212"/>
    </row>
    <row r="70" spans="1:17" s="219" customFormat="1" hidden="1" x14ac:dyDescent="0.25">
      <c r="A70" s="214"/>
      <c r="B70" s="215" t="s">
        <v>1822</v>
      </c>
      <c r="C70" s="215" t="s">
        <v>1823</v>
      </c>
      <c r="D70" s="215" t="s">
        <v>1836</v>
      </c>
      <c r="E70" s="215" t="s">
        <v>1825</v>
      </c>
      <c r="F70" s="215" t="s">
        <v>1836</v>
      </c>
      <c r="G70" s="215" t="s">
        <v>58</v>
      </c>
      <c r="H70" s="216" t="s">
        <v>1883</v>
      </c>
      <c r="I70" s="217"/>
      <c r="J70" s="217"/>
      <c r="K70" s="217"/>
      <c r="L70" s="217"/>
      <c r="M70" s="217"/>
      <c r="N70" s="217"/>
      <c r="O70" s="217"/>
      <c r="P70" s="217"/>
      <c r="Q70" s="218"/>
    </row>
    <row r="71" spans="1:17" s="219" customFormat="1" hidden="1" x14ac:dyDescent="0.25">
      <c r="A71" s="214"/>
      <c r="B71" s="215" t="s">
        <v>1822</v>
      </c>
      <c r="C71" s="215" t="s">
        <v>1823</v>
      </c>
      <c r="D71" s="215" t="s">
        <v>1836</v>
      </c>
      <c r="E71" s="215" t="s">
        <v>1825</v>
      </c>
      <c r="F71" s="215" t="s">
        <v>1836</v>
      </c>
      <c r="G71" s="215" t="s">
        <v>75</v>
      </c>
      <c r="H71" s="216" t="s">
        <v>1884</v>
      </c>
      <c r="I71" s="217"/>
      <c r="J71" s="217"/>
      <c r="K71" s="217"/>
      <c r="L71" s="217"/>
      <c r="M71" s="217"/>
      <c r="N71" s="217"/>
      <c r="O71" s="217"/>
      <c r="P71" s="217"/>
      <c r="Q71" s="218"/>
    </row>
    <row r="72" spans="1:17" s="219" customFormat="1" hidden="1" x14ac:dyDescent="0.25">
      <c r="A72" s="214"/>
      <c r="B72" s="215" t="s">
        <v>1822</v>
      </c>
      <c r="C72" s="215" t="s">
        <v>1823</v>
      </c>
      <c r="D72" s="215" t="s">
        <v>1836</v>
      </c>
      <c r="E72" s="215" t="s">
        <v>1825</v>
      </c>
      <c r="F72" s="215" t="s">
        <v>1836</v>
      </c>
      <c r="G72" s="215" t="s">
        <v>79</v>
      </c>
      <c r="H72" s="216" t="s">
        <v>1885</v>
      </c>
      <c r="I72" s="217"/>
      <c r="J72" s="217"/>
      <c r="K72" s="217"/>
      <c r="L72" s="217"/>
      <c r="M72" s="217"/>
      <c r="N72" s="217"/>
      <c r="O72" s="217"/>
      <c r="P72" s="217"/>
      <c r="Q72" s="218"/>
    </row>
    <row r="73" spans="1:17" s="219" customFormat="1" hidden="1" x14ac:dyDescent="0.25">
      <c r="A73" s="214"/>
      <c r="B73" s="215" t="s">
        <v>1822</v>
      </c>
      <c r="C73" s="215" t="s">
        <v>1823</v>
      </c>
      <c r="D73" s="215" t="s">
        <v>1836</v>
      </c>
      <c r="E73" s="215" t="s">
        <v>1825</v>
      </c>
      <c r="F73" s="215" t="s">
        <v>1836</v>
      </c>
      <c r="G73" s="215" t="s">
        <v>84</v>
      </c>
      <c r="H73" s="216" t="s">
        <v>1886</v>
      </c>
      <c r="I73" s="217"/>
      <c r="J73" s="217"/>
      <c r="K73" s="217"/>
      <c r="L73" s="217"/>
      <c r="M73" s="217"/>
      <c r="N73" s="217"/>
      <c r="O73" s="217"/>
      <c r="P73" s="217"/>
      <c r="Q73" s="218"/>
    </row>
    <row r="74" spans="1:17" s="219" customFormat="1" x14ac:dyDescent="0.25">
      <c r="A74" s="214"/>
      <c r="B74" s="215" t="s">
        <v>1822</v>
      </c>
      <c r="C74" s="215" t="s">
        <v>1823</v>
      </c>
      <c r="D74" s="215" t="s">
        <v>1836</v>
      </c>
      <c r="E74" s="215" t="s">
        <v>1825</v>
      </c>
      <c r="F74" s="215" t="s">
        <v>1836</v>
      </c>
      <c r="G74" s="215" t="s">
        <v>88</v>
      </c>
      <c r="H74" s="216" t="s">
        <v>1887</v>
      </c>
      <c r="I74" s="217"/>
      <c r="J74" s="217"/>
      <c r="K74" s="217"/>
      <c r="L74" s="217"/>
      <c r="M74" s="217"/>
      <c r="N74" s="217"/>
      <c r="O74" s="217"/>
      <c r="P74" s="217"/>
      <c r="Q74" s="218">
        <v>1115213657.5740473</v>
      </c>
    </row>
    <row r="75" spans="1:17" s="219" customFormat="1" x14ac:dyDescent="0.25">
      <c r="A75" s="214"/>
      <c r="B75" s="215" t="s">
        <v>1822</v>
      </c>
      <c r="C75" s="215" t="s">
        <v>1823</v>
      </c>
      <c r="D75" s="215" t="s">
        <v>1836</v>
      </c>
      <c r="E75" s="215" t="s">
        <v>1825</v>
      </c>
      <c r="F75" s="215" t="s">
        <v>1836</v>
      </c>
      <c r="G75" s="215" t="s">
        <v>92</v>
      </c>
      <c r="H75" s="216" t="s">
        <v>1888</v>
      </c>
      <c r="I75" s="217"/>
      <c r="J75" s="217"/>
      <c r="K75" s="217"/>
      <c r="L75" s="217"/>
      <c r="M75" s="217"/>
      <c r="N75" s="217"/>
      <c r="O75" s="217"/>
      <c r="P75" s="217"/>
      <c r="Q75" s="218"/>
    </row>
    <row r="76" spans="1:17" s="213" customFormat="1" x14ac:dyDescent="0.25">
      <c r="A76" s="208" t="s">
        <v>263</v>
      </c>
      <c r="B76" s="209" t="s">
        <v>1822</v>
      </c>
      <c r="C76" s="209" t="s">
        <v>1823</v>
      </c>
      <c r="D76" s="209" t="s">
        <v>1836</v>
      </c>
      <c r="E76" s="209" t="s">
        <v>1825</v>
      </c>
      <c r="F76" s="209" t="s">
        <v>1847</v>
      </c>
      <c r="G76" s="209"/>
      <c r="H76" s="210" t="s">
        <v>1889</v>
      </c>
      <c r="I76" s="211">
        <f>SUM(I77:I92)</f>
        <v>509600000</v>
      </c>
      <c r="J76" s="211">
        <f t="shared" ref="J76:P76" si="10">SUM(J77:J92)</f>
        <v>50960000</v>
      </c>
      <c r="K76" s="211">
        <f t="shared" si="10"/>
        <v>25480000</v>
      </c>
      <c r="L76" s="211">
        <f t="shared" si="10"/>
        <v>25480000</v>
      </c>
      <c r="M76" s="211">
        <f t="shared" si="10"/>
        <v>50960000</v>
      </c>
      <c r="N76" s="211">
        <f t="shared" si="10"/>
        <v>509600000</v>
      </c>
      <c r="O76" s="211">
        <f t="shared" si="10"/>
        <v>0</v>
      </c>
      <c r="P76" s="211">
        <f t="shared" si="10"/>
        <v>0</v>
      </c>
      <c r="Q76" s="212"/>
    </row>
    <row r="77" spans="1:17" s="219" customFormat="1" x14ac:dyDescent="0.25">
      <c r="A77" s="214"/>
      <c r="B77" s="215" t="s">
        <v>1822</v>
      </c>
      <c r="C77" s="215" t="s">
        <v>1823</v>
      </c>
      <c r="D77" s="215" t="s">
        <v>1836</v>
      </c>
      <c r="E77" s="215" t="s">
        <v>1825</v>
      </c>
      <c r="F77" s="215" t="s">
        <v>1847</v>
      </c>
      <c r="G77" s="215" t="s">
        <v>58</v>
      </c>
      <c r="H77" s="216" t="s">
        <v>1890</v>
      </c>
      <c r="I77" s="217"/>
      <c r="J77" s="217"/>
      <c r="K77" s="217"/>
      <c r="L77" s="217"/>
      <c r="M77" s="217"/>
      <c r="N77" s="217"/>
      <c r="O77" s="217"/>
      <c r="P77" s="217"/>
      <c r="Q77" s="218"/>
    </row>
    <row r="78" spans="1:17" s="219" customFormat="1" x14ac:dyDescent="0.25">
      <c r="A78" s="214"/>
      <c r="B78" s="215" t="s">
        <v>1822</v>
      </c>
      <c r="C78" s="215" t="s">
        <v>1823</v>
      </c>
      <c r="D78" s="215" t="s">
        <v>1836</v>
      </c>
      <c r="E78" s="215" t="s">
        <v>1825</v>
      </c>
      <c r="F78" s="215" t="s">
        <v>1847</v>
      </c>
      <c r="G78" s="215" t="s">
        <v>75</v>
      </c>
      <c r="H78" s="216" t="s">
        <v>1891</v>
      </c>
      <c r="I78" s="217"/>
      <c r="J78" s="217"/>
      <c r="K78" s="217"/>
      <c r="L78" s="217"/>
      <c r="M78" s="217"/>
      <c r="N78" s="217"/>
      <c r="O78" s="217"/>
      <c r="P78" s="217"/>
      <c r="Q78" s="218"/>
    </row>
    <row r="79" spans="1:17" s="219" customFormat="1" x14ac:dyDescent="0.25">
      <c r="A79" s="214"/>
      <c r="B79" s="215" t="s">
        <v>1822</v>
      </c>
      <c r="C79" s="215" t="s">
        <v>1823</v>
      </c>
      <c r="D79" s="215" t="s">
        <v>1836</v>
      </c>
      <c r="E79" s="215" t="s">
        <v>1825</v>
      </c>
      <c r="F79" s="215" t="s">
        <v>1847</v>
      </c>
      <c r="G79" s="215" t="s">
        <v>79</v>
      </c>
      <c r="H79" s="216" t="s">
        <v>1892</v>
      </c>
      <c r="I79" s="217"/>
      <c r="J79" s="217"/>
      <c r="K79" s="217"/>
      <c r="L79" s="217"/>
      <c r="M79" s="217"/>
      <c r="N79" s="217"/>
      <c r="O79" s="217"/>
      <c r="P79" s="217"/>
      <c r="Q79" s="218">
        <v>2286732519.0476179</v>
      </c>
    </row>
    <row r="80" spans="1:17" s="219" customFormat="1" ht="15.75" customHeight="1" x14ac:dyDescent="0.25">
      <c r="A80" s="214"/>
      <c r="B80" s="215" t="s">
        <v>1822</v>
      </c>
      <c r="C80" s="215" t="s">
        <v>1823</v>
      </c>
      <c r="D80" s="215" t="s">
        <v>1836</v>
      </c>
      <c r="E80" s="215" t="s">
        <v>1825</v>
      </c>
      <c r="F80" s="215" t="s">
        <v>1847</v>
      </c>
      <c r="G80" s="215" t="s">
        <v>84</v>
      </c>
      <c r="H80" s="216" t="s">
        <v>1624</v>
      </c>
      <c r="I80" s="217">
        <v>509600000</v>
      </c>
      <c r="J80" s="217">
        <v>50960000</v>
      </c>
      <c r="K80" s="232">
        <v>25480000</v>
      </c>
      <c r="L80" s="217">
        <v>25480000</v>
      </c>
      <c r="M80" s="217">
        <v>50960000</v>
      </c>
      <c r="N80" s="217">
        <v>509600000</v>
      </c>
      <c r="O80" s="217">
        <v>0</v>
      </c>
      <c r="P80" s="217"/>
      <c r="Q80" s="218"/>
    </row>
    <row r="81" spans="1:17" s="219" customFormat="1" x14ac:dyDescent="0.25">
      <c r="A81" s="214"/>
      <c r="B81" s="215" t="s">
        <v>1822</v>
      </c>
      <c r="C81" s="215" t="s">
        <v>1823</v>
      </c>
      <c r="D81" s="215" t="s">
        <v>1836</v>
      </c>
      <c r="E81" s="215" t="s">
        <v>1825</v>
      </c>
      <c r="F81" s="215" t="s">
        <v>1847</v>
      </c>
      <c r="G81" s="215" t="s">
        <v>88</v>
      </c>
      <c r="H81" s="216" t="s">
        <v>1893</v>
      </c>
      <c r="I81" s="217"/>
      <c r="J81" s="217"/>
      <c r="K81" s="217"/>
      <c r="L81" s="217"/>
      <c r="M81" s="217"/>
      <c r="N81" s="217"/>
      <c r="O81" s="217"/>
      <c r="P81" s="217"/>
      <c r="Q81" s="218"/>
    </row>
    <row r="82" spans="1:17" s="219" customFormat="1" hidden="1" x14ac:dyDescent="0.25">
      <c r="A82" s="214"/>
      <c r="B82" s="215" t="s">
        <v>1822</v>
      </c>
      <c r="C82" s="215" t="s">
        <v>1823</v>
      </c>
      <c r="D82" s="215" t="s">
        <v>1836</v>
      </c>
      <c r="E82" s="215" t="s">
        <v>1825</v>
      </c>
      <c r="F82" s="215" t="s">
        <v>1847</v>
      </c>
      <c r="G82" s="215" t="s">
        <v>92</v>
      </c>
      <c r="H82" s="216" t="s">
        <v>1894</v>
      </c>
      <c r="I82" s="217"/>
      <c r="J82" s="217"/>
      <c r="K82" s="217"/>
      <c r="L82" s="217"/>
      <c r="M82" s="217"/>
      <c r="N82" s="217"/>
      <c r="O82" s="217"/>
      <c r="P82" s="217"/>
      <c r="Q82" s="218"/>
    </row>
    <row r="83" spans="1:17" s="219" customFormat="1" hidden="1" x14ac:dyDescent="0.25">
      <c r="A83" s="214"/>
      <c r="B83" s="215" t="s">
        <v>1822</v>
      </c>
      <c r="C83" s="215" t="s">
        <v>1823</v>
      </c>
      <c r="D83" s="215" t="s">
        <v>1836</v>
      </c>
      <c r="E83" s="215" t="s">
        <v>1825</v>
      </c>
      <c r="F83" s="215" t="s">
        <v>1847</v>
      </c>
      <c r="G83" s="215" t="s">
        <v>96</v>
      </c>
      <c r="H83" s="216" t="s">
        <v>1895</v>
      </c>
      <c r="I83" s="217"/>
      <c r="J83" s="217"/>
      <c r="K83" s="217"/>
      <c r="L83" s="217"/>
      <c r="M83" s="217"/>
      <c r="N83" s="217"/>
      <c r="O83" s="217"/>
      <c r="P83" s="217"/>
      <c r="Q83" s="218"/>
    </row>
    <row r="84" spans="1:17" s="219" customFormat="1" hidden="1" x14ac:dyDescent="0.25">
      <c r="A84" s="214"/>
      <c r="B84" s="215" t="s">
        <v>1822</v>
      </c>
      <c r="C84" s="215" t="s">
        <v>1823</v>
      </c>
      <c r="D84" s="215" t="s">
        <v>1836</v>
      </c>
      <c r="E84" s="215" t="s">
        <v>1825</v>
      </c>
      <c r="F84" s="215" t="s">
        <v>1847</v>
      </c>
      <c r="G84" s="215" t="s">
        <v>100</v>
      </c>
      <c r="H84" s="216" t="s">
        <v>1896</v>
      </c>
      <c r="I84" s="217"/>
      <c r="J84" s="217"/>
      <c r="K84" s="217"/>
      <c r="L84" s="217"/>
      <c r="M84" s="217"/>
      <c r="N84" s="217"/>
      <c r="O84" s="217"/>
      <c r="P84" s="217"/>
      <c r="Q84" s="218"/>
    </row>
    <row r="85" spans="1:17" s="219" customFormat="1" ht="30" hidden="1" x14ac:dyDescent="0.25">
      <c r="A85" s="214"/>
      <c r="B85" s="215" t="s">
        <v>1822</v>
      </c>
      <c r="C85" s="215" t="s">
        <v>1823</v>
      </c>
      <c r="D85" s="215" t="s">
        <v>1836</v>
      </c>
      <c r="E85" s="215" t="s">
        <v>1825</v>
      </c>
      <c r="F85" s="215" t="s">
        <v>1847</v>
      </c>
      <c r="G85" s="215" t="s">
        <v>105</v>
      </c>
      <c r="H85" s="216" t="s">
        <v>1897</v>
      </c>
      <c r="I85" s="217"/>
      <c r="J85" s="217"/>
      <c r="K85" s="217"/>
      <c r="L85" s="217"/>
      <c r="M85" s="217"/>
      <c r="N85" s="217"/>
      <c r="O85" s="217"/>
      <c r="P85" s="217"/>
      <c r="Q85" s="218"/>
    </row>
    <row r="86" spans="1:17" s="219" customFormat="1" ht="30" hidden="1" x14ac:dyDescent="0.25">
      <c r="A86" s="214"/>
      <c r="B86" s="215" t="s">
        <v>1822</v>
      </c>
      <c r="C86" s="215" t="s">
        <v>1823</v>
      </c>
      <c r="D86" s="215" t="s">
        <v>1836</v>
      </c>
      <c r="E86" s="215" t="s">
        <v>1825</v>
      </c>
      <c r="F86" s="215" t="s">
        <v>1847</v>
      </c>
      <c r="G86" s="215" t="s">
        <v>108</v>
      </c>
      <c r="H86" s="216" t="s">
        <v>1898</v>
      </c>
      <c r="I86" s="217"/>
      <c r="J86" s="217"/>
      <c r="K86" s="217"/>
      <c r="L86" s="217"/>
      <c r="M86" s="217"/>
      <c r="N86" s="217"/>
      <c r="O86" s="217"/>
      <c r="P86" s="217"/>
      <c r="Q86" s="218"/>
    </row>
    <row r="87" spans="1:17" s="219" customFormat="1" hidden="1" x14ac:dyDescent="0.25">
      <c r="A87" s="214"/>
      <c r="B87" s="215" t="s">
        <v>1822</v>
      </c>
      <c r="C87" s="215" t="s">
        <v>1823</v>
      </c>
      <c r="D87" s="215" t="s">
        <v>1836</v>
      </c>
      <c r="E87" s="215" t="s">
        <v>1825</v>
      </c>
      <c r="F87" s="215" t="s">
        <v>1847</v>
      </c>
      <c r="G87" s="215" t="s">
        <v>135</v>
      </c>
      <c r="H87" s="216" t="s">
        <v>1899</v>
      </c>
      <c r="I87" s="217"/>
      <c r="J87" s="217"/>
      <c r="K87" s="217"/>
      <c r="L87" s="217"/>
      <c r="M87" s="217"/>
      <c r="N87" s="217"/>
      <c r="O87" s="217"/>
      <c r="P87" s="217"/>
      <c r="Q87" s="218"/>
    </row>
    <row r="88" spans="1:17" s="219" customFormat="1" hidden="1" x14ac:dyDescent="0.25">
      <c r="A88" s="214"/>
      <c r="B88" s="215" t="s">
        <v>1822</v>
      </c>
      <c r="C88" s="215" t="s">
        <v>1823</v>
      </c>
      <c r="D88" s="215" t="s">
        <v>1836</v>
      </c>
      <c r="E88" s="215" t="s">
        <v>1825</v>
      </c>
      <c r="F88" s="215" t="s">
        <v>1847</v>
      </c>
      <c r="G88" s="215" t="s">
        <v>138</v>
      </c>
      <c r="H88" s="216" t="s">
        <v>1900</v>
      </c>
      <c r="I88" s="217"/>
      <c r="J88" s="217"/>
      <c r="K88" s="217"/>
      <c r="L88" s="217"/>
      <c r="M88" s="217"/>
      <c r="N88" s="217"/>
      <c r="O88" s="217"/>
      <c r="P88" s="217"/>
      <c r="Q88" s="218"/>
    </row>
    <row r="89" spans="1:17" s="219" customFormat="1" hidden="1" x14ac:dyDescent="0.25">
      <c r="A89" s="214"/>
      <c r="B89" s="215" t="s">
        <v>1822</v>
      </c>
      <c r="C89" s="215" t="s">
        <v>1823</v>
      </c>
      <c r="D89" s="215" t="s">
        <v>1836</v>
      </c>
      <c r="E89" s="215" t="s">
        <v>1825</v>
      </c>
      <c r="F89" s="215" t="s">
        <v>1847</v>
      </c>
      <c r="G89" s="215" t="s">
        <v>140</v>
      </c>
      <c r="H89" s="216" t="s">
        <v>1901</v>
      </c>
      <c r="I89" s="217"/>
      <c r="J89" s="217"/>
      <c r="K89" s="217"/>
      <c r="L89" s="217"/>
      <c r="M89" s="217"/>
      <c r="N89" s="217"/>
      <c r="O89" s="217"/>
      <c r="P89" s="217"/>
      <c r="Q89" s="218"/>
    </row>
    <row r="90" spans="1:17" s="219" customFormat="1" hidden="1" x14ac:dyDescent="0.25">
      <c r="A90" s="214"/>
      <c r="B90" s="215" t="s">
        <v>1822</v>
      </c>
      <c r="C90" s="215" t="s">
        <v>1823</v>
      </c>
      <c r="D90" s="215" t="s">
        <v>1836</v>
      </c>
      <c r="E90" s="215" t="s">
        <v>1825</v>
      </c>
      <c r="F90" s="215" t="s">
        <v>1847</v>
      </c>
      <c r="G90" s="215" t="s">
        <v>143</v>
      </c>
      <c r="H90" s="216" t="s">
        <v>1902</v>
      </c>
      <c r="I90" s="217"/>
      <c r="J90" s="217"/>
      <c r="K90" s="217"/>
      <c r="L90" s="217"/>
      <c r="M90" s="217"/>
      <c r="N90" s="217"/>
      <c r="O90" s="217"/>
      <c r="P90" s="217"/>
      <c r="Q90" s="218"/>
    </row>
    <row r="91" spans="1:17" s="219" customFormat="1" hidden="1" x14ac:dyDescent="0.25">
      <c r="A91" s="214"/>
      <c r="B91" s="215" t="s">
        <v>1822</v>
      </c>
      <c r="C91" s="215" t="s">
        <v>1823</v>
      </c>
      <c r="D91" s="215" t="s">
        <v>1836</v>
      </c>
      <c r="E91" s="215" t="s">
        <v>1825</v>
      </c>
      <c r="F91" s="215" t="s">
        <v>1847</v>
      </c>
      <c r="G91" s="215" t="s">
        <v>146</v>
      </c>
      <c r="H91" s="216" t="s">
        <v>1903</v>
      </c>
      <c r="I91" s="217"/>
      <c r="J91" s="217"/>
      <c r="K91" s="217"/>
      <c r="L91" s="217"/>
      <c r="M91" s="217"/>
      <c r="N91" s="217"/>
      <c r="O91" s="217"/>
      <c r="P91" s="217"/>
      <c r="Q91" s="218"/>
    </row>
    <row r="92" spans="1:17" s="219" customFormat="1" x14ac:dyDescent="0.25">
      <c r="A92" s="214"/>
      <c r="B92" s="215" t="s">
        <v>1822</v>
      </c>
      <c r="C92" s="215" t="s">
        <v>1823</v>
      </c>
      <c r="D92" s="215" t="s">
        <v>1836</v>
      </c>
      <c r="E92" s="215" t="s">
        <v>1825</v>
      </c>
      <c r="F92" s="215" t="s">
        <v>1847</v>
      </c>
      <c r="G92" s="215" t="s">
        <v>150</v>
      </c>
      <c r="H92" s="216" t="s">
        <v>1904</v>
      </c>
      <c r="I92" s="217"/>
      <c r="J92" s="217"/>
      <c r="K92" s="217"/>
      <c r="L92" s="217"/>
      <c r="M92" s="217"/>
      <c r="N92" s="217"/>
      <c r="O92" s="217"/>
      <c r="P92" s="217"/>
      <c r="Q92" s="218"/>
    </row>
    <row r="93" spans="1:17" s="213" customFormat="1" x14ac:dyDescent="0.25">
      <c r="A93" s="208" t="s">
        <v>1905</v>
      </c>
      <c r="B93" s="209" t="s">
        <v>1822</v>
      </c>
      <c r="C93" s="209" t="s">
        <v>1823</v>
      </c>
      <c r="D93" s="209" t="s">
        <v>1836</v>
      </c>
      <c r="E93" s="209" t="s">
        <v>1836</v>
      </c>
      <c r="F93" s="209"/>
      <c r="G93" s="209"/>
      <c r="H93" s="210" t="s">
        <v>1906</v>
      </c>
      <c r="I93" s="211">
        <f>SUM(I94+I104+I109+I115+I120)</f>
        <v>2493984900</v>
      </c>
      <c r="J93" s="211">
        <f t="shared" ref="J93:P93" si="11">SUM(J94+J104+J109+J115+J120)</f>
        <v>227918571.42857143</v>
      </c>
      <c r="K93" s="211">
        <f t="shared" si="11"/>
        <v>43335714.285714284</v>
      </c>
      <c r="L93" s="211">
        <f t="shared" si="11"/>
        <v>41010714.285714284</v>
      </c>
      <c r="M93" s="211">
        <f t="shared" si="11"/>
        <v>84346428.571428567</v>
      </c>
      <c r="N93" s="211">
        <f t="shared" si="11"/>
        <v>2286732519.0476189</v>
      </c>
      <c r="O93" s="211">
        <f t="shared" si="11"/>
        <v>207252380.96238095</v>
      </c>
      <c r="P93" s="211">
        <f t="shared" si="11"/>
        <v>0</v>
      </c>
      <c r="Q93" s="212"/>
    </row>
    <row r="94" spans="1:17" s="213" customFormat="1" x14ac:dyDescent="0.25">
      <c r="A94" s="208" t="s">
        <v>263</v>
      </c>
      <c r="B94" s="209" t="s">
        <v>1822</v>
      </c>
      <c r="C94" s="209" t="s">
        <v>1823</v>
      </c>
      <c r="D94" s="209" t="s">
        <v>1836</v>
      </c>
      <c r="E94" s="209" t="s">
        <v>1836</v>
      </c>
      <c r="F94" s="209" t="s">
        <v>1825</v>
      </c>
      <c r="G94" s="209"/>
      <c r="H94" s="210" t="s">
        <v>1907</v>
      </c>
      <c r="I94" s="211">
        <f>SUM(I95:I103)</f>
        <v>2481994900</v>
      </c>
      <c r="J94" s="211">
        <f t="shared" ref="J94:P94" si="12">SUM(J95:J103)</f>
        <v>227918571.42857143</v>
      </c>
      <c r="K94" s="211">
        <f>SUM(K95:K103)</f>
        <v>43335714.285714284</v>
      </c>
      <c r="L94" s="211">
        <f t="shared" si="12"/>
        <v>41010714.285714284</v>
      </c>
      <c r="M94" s="211">
        <f t="shared" si="12"/>
        <v>84346428.571428567</v>
      </c>
      <c r="N94" s="211">
        <f t="shared" si="12"/>
        <v>2274742519.0476189</v>
      </c>
      <c r="O94" s="211">
        <f t="shared" si="12"/>
        <v>207252380.96238095</v>
      </c>
      <c r="P94" s="211">
        <f t="shared" si="12"/>
        <v>0</v>
      </c>
      <c r="Q94" s="212"/>
    </row>
    <row r="95" spans="1:17" s="219" customFormat="1" ht="30" x14ac:dyDescent="0.25">
      <c r="A95" s="214"/>
      <c r="B95" s="215" t="s">
        <v>1822</v>
      </c>
      <c r="C95" s="215" t="s">
        <v>1823</v>
      </c>
      <c r="D95" s="215" t="s">
        <v>1836</v>
      </c>
      <c r="E95" s="215" t="s">
        <v>1836</v>
      </c>
      <c r="F95" s="215" t="s">
        <v>1825</v>
      </c>
      <c r="G95" s="215" t="s">
        <v>58</v>
      </c>
      <c r="H95" s="216" t="s">
        <v>1908</v>
      </c>
      <c r="I95" s="217">
        <v>1963604900</v>
      </c>
      <c r="J95" s="217">
        <v>162104285.71428573</v>
      </c>
      <c r="K95" s="217">
        <v>22142857.142857142</v>
      </c>
      <c r="L95" s="217">
        <v>22142857.142857142</v>
      </c>
      <c r="M95" s="217">
        <v>44285714.285714284</v>
      </c>
      <c r="N95" s="217">
        <v>1790152519.0476191</v>
      </c>
      <c r="O95" s="217">
        <v>173452380.96238095</v>
      </c>
      <c r="P95" s="217"/>
      <c r="Q95" s="218"/>
    </row>
    <row r="96" spans="1:17" s="219" customFormat="1" x14ac:dyDescent="0.25">
      <c r="A96" s="214"/>
      <c r="B96" s="215" t="s">
        <v>1822</v>
      </c>
      <c r="C96" s="215" t="s">
        <v>1823</v>
      </c>
      <c r="D96" s="215" t="s">
        <v>1836</v>
      </c>
      <c r="E96" s="215" t="s">
        <v>1836</v>
      </c>
      <c r="F96" s="215" t="s">
        <v>1825</v>
      </c>
      <c r="G96" s="215" t="s">
        <v>75</v>
      </c>
      <c r="H96" s="216" t="s">
        <v>1909</v>
      </c>
      <c r="I96" s="217"/>
      <c r="J96" s="217"/>
      <c r="K96" s="217"/>
      <c r="L96" s="217"/>
      <c r="M96" s="217"/>
      <c r="N96" s="217"/>
      <c r="O96" s="217"/>
      <c r="P96" s="217"/>
      <c r="Q96" s="218"/>
    </row>
    <row r="97" spans="1:17" s="219" customFormat="1" ht="30" x14ac:dyDescent="0.25">
      <c r="A97" s="214"/>
      <c r="B97" s="215" t="s">
        <v>1822</v>
      </c>
      <c r="C97" s="215" t="s">
        <v>1823</v>
      </c>
      <c r="D97" s="215" t="s">
        <v>1836</v>
      </c>
      <c r="E97" s="215" t="s">
        <v>1836</v>
      </c>
      <c r="F97" s="215" t="s">
        <v>1825</v>
      </c>
      <c r="G97" s="215" t="s">
        <v>79</v>
      </c>
      <c r="H97" s="216" t="s">
        <v>1910</v>
      </c>
      <c r="I97" s="217">
        <v>195300000</v>
      </c>
      <c r="J97" s="217">
        <v>27900000</v>
      </c>
      <c r="K97" s="217">
        <v>13950000</v>
      </c>
      <c r="L97" s="217">
        <v>11625000</v>
      </c>
      <c r="M97" s="217">
        <v>25575000</v>
      </c>
      <c r="N97" s="217">
        <v>195300000</v>
      </c>
      <c r="O97" s="217"/>
      <c r="P97" s="217"/>
      <c r="Q97" s="218"/>
    </row>
    <row r="98" spans="1:17" s="219" customFormat="1" x14ac:dyDescent="0.25">
      <c r="A98" s="214"/>
      <c r="B98" s="215" t="s">
        <v>1822</v>
      </c>
      <c r="C98" s="215" t="s">
        <v>1823</v>
      </c>
      <c r="D98" s="215" t="s">
        <v>1836</v>
      </c>
      <c r="E98" s="215" t="s">
        <v>1836</v>
      </c>
      <c r="F98" s="215" t="s">
        <v>1825</v>
      </c>
      <c r="G98" s="215" t="s">
        <v>84</v>
      </c>
      <c r="H98" s="216" t="s">
        <v>1911</v>
      </c>
      <c r="I98" s="217">
        <v>323090000</v>
      </c>
      <c r="J98" s="217">
        <v>37914285.714285702</v>
      </c>
      <c r="K98" s="217">
        <v>7242857.1428571427</v>
      </c>
      <c r="L98" s="217">
        <v>7242857.1428571427</v>
      </c>
      <c r="M98" s="217">
        <v>14485714.285714285</v>
      </c>
      <c r="N98" s="217">
        <v>289290000</v>
      </c>
      <c r="O98" s="217">
        <v>33800000.000000007</v>
      </c>
      <c r="P98" s="217"/>
      <c r="Q98" s="218"/>
    </row>
    <row r="99" spans="1:17" s="219" customFormat="1" x14ac:dyDescent="0.25">
      <c r="A99" s="214"/>
      <c r="B99" s="215" t="s">
        <v>1822</v>
      </c>
      <c r="C99" s="215" t="s">
        <v>1823</v>
      </c>
      <c r="D99" s="215" t="s">
        <v>1836</v>
      </c>
      <c r="E99" s="215" t="s">
        <v>1836</v>
      </c>
      <c r="F99" s="215" t="s">
        <v>1825</v>
      </c>
      <c r="G99" s="215" t="s">
        <v>88</v>
      </c>
      <c r="H99" s="216" t="s">
        <v>1912</v>
      </c>
      <c r="I99" s="217"/>
      <c r="J99" s="217"/>
      <c r="K99" s="217"/>
      <c r="L99" s="217"/>
      <c r="M99" s="217"/>
      <c r="N99" s="217"/>
      <c r="O99" s="217"/>
      <c r="P99" s="217"/>
      <c r="Q99" s="218"/>
    </row>
    <row r="100" spans="1:17" s="219" customFormat="1" x14ac:dyDescent="0.25">
      <c r="A100" s="214"/>
      <c r="B100" s="215" t="s">
        <v>1822</v>
      </c>
      <c r="C100" s="215" t="s">
        <v>1823</v>
      </c>
      <c r="D100" s="215" t="s">
        <v>1836</v>
      </c>
      <c r="E100" s="215" t="s">
        <v>1836</v>
      </c>
      <c r="F100" s="215" t="s">
        <v>1825</v>
      </c>
      <c r="G100" s="215" t="s">
        <v>92</v>
      </c>
      <c r="H100" s="216" t="s">
        <v>1913</v>
      </c>
      <c r="I100" s="217"/>
      <c r="J100" s="217"/>
      <c r="K100" s="217"/>
      <c r="L100" s="217"/>
      <c r="M100" s="217"/>
      <c r="N100" s="217"/>
      <c r="O100" s="217"/>
      <c r="P100" s="217"/>
      <c r="Q100" s="218"/>
    </row>
    <row r="101" spans="1:17" s="219" customFormat="1" x14ac:dyDescent="0.25">
      <c r="A101" s="214"/>
      <c r="B101" s="215" t="s">
        <v>1822</v>
      </c>
      <c r="C101" s="215" t="s">
        <v>1823</v>
      </c>
      <c r="D101" s="215" t="s">
        <v>1836</v>
      </c>
      <c r="E101" s="215" t="s">
        <v>1836</v>
      </c>
      <c r="F101" s="215" t="s">
        <v>1825</v>
      </c>
      <c r="G101" s="215" t="s">
        <v>96</v>
      </c>
      <c r="H101" s="216" t="s">
        <v>1914</v>
      </c>
      <c r="I101" s="217"/>
      <c r="J101" s="217"/>
      <c r="K101" s="217"/>
      <c r="L101" s="217"/>
      <c r="M101" s="217"/>
      <c r="N101" s="217"/>
      <c r="O101" s="217"/>
      <c r="P101" s="217"/>
      <c r="Q101" s="218"/>
    </row>
    <row r="102" spans="1:17" s="219" customFormat="1" x14ac:dyDescent="0.25">
      <c r="A102" s="214"/>
      <c r="B102" s="215" t="s">
        <v>1822</v>
      </c>
      <c r="C102" s="215" t="s">
        <v>1823</v>
      </c>
      <c r="D102" s="215" t="s">
        <v>1836</v>
      </c>
      <c r="E102" s="215" t="s">
        <v>1836</v>
      </c>
      <c r="F102" s="215" t="s">
        <v>1825</v>
      </c>
      <c r="G102" s="215" t="s">
        <v>100</v>
      </c>
      <c r="H102" s="216" t="s">
        <v>1915</v>
      </c>
      <c r="I102" s="217"/>
      <c r="J102" s="217"/>
      <c r="K102" s="217"/>
      <c r="L102" s="217"/>
      <c r="M102" s="217"/>
      <c r="N102" s="217"/>
      <c r="O102" s="217"/>
      <c r="P102" s="217"/>
      <c r="Q102" s="218"/>
    </row>
    <row r="103" spans="1:17" s="219" customFormat="1" ht="30" x14ac:dyDescent="0.25">
      <c r="A103" s="214"/>
      <c r="B103" s="215" t="s">
        <v>1822</v>
      </c>
      <c r="C103" s="215" t="s">
        <v>1823</v>
      </c>
      <c r="D103" s="215" t="s">
        <v>1836</v>
      </c>
      <c r="E103" s="215" t="s">
        <v>1836</v>
      </c>
      <c r="F103" s="215" t="s">
        <v>1825</v>
      </c>
      <c r="G103" s="215" t="s">
        <v>105</v>
      </c>
      <c r="H103" s="216" t="s">
        <v>1916</v>
      </c>
      <c r="I103" s="217"/>
      <c r="J103" s="217"/>
      <c r="K103" s="217"/>
      <c r="L103" s="217"/>
      <c r="M103" s="217"/>
      <c r="N103" s="217"/>
      <c r="O103" s="217"/>
      <c r="P103" s="217"/>
      <c r="Q103" s="218"/>
    </row>
    <row r="104" spans="1:17" s="213" customFormat="1" x14ac:dyDescent="0.25">
      <c r="A104" s="208" t="s">
        <v>263</v>
      </c>
      <c r="B104" s="209" t="s">
        <v>1822</v>
      </c>
      <c r="C104" s="209" t="s">
        <v>1823</v>
      </c>
      <c r="D104" s="209" t="s">
        <v>1836</v>
      </c>
      <c r="E104" s="209" t="s">
        <v>1836</v>
      </c>
      <c r="F104" s="209" t="s">
        <v>1836</v>
      </c>
      <c r="G104" s="209"/>
      <c r="H104" s="210" t="s">
        <v>1917</v>
      </c>
      <c r="I104" s="211">
        <f>SUM(I105:I108)</f>
        <v>11990000</v>
      </c>
      <c r="J104" s="211">
        <f t="shared" ref="J104:P104" si="13">SUM(J105:J108)</f>
        <v>0</v>
      </c>
      <c r="K104" s="211">
        <f t="shared" si="13"/>
        <v>0</v>
      </c>
      <c r="L104" s="211">
        <f t="shared" si="13"/>
        <v>0</v>
      </c>
      <c r="M104" s="211">
        <f t="shared" si="13"/>
        <v>0</v>
      </c>
      <c r="N104" s="211">
        <f t="shared" si="13"/>
        <v>11990000</v>
      </c>
      <c r="O104" s="211">
        <f t="shared" si="13"/>
        <v>0</v>
      </c>
      <c r="P104" s="211">
        <f t="shared" si="13"/>
        <v>0</v>
      </c>
      <c r="Q104" s="212"/>
    </row>
    <row r="105" spans="1:17" s="219" customFormat="1" ht="30" x14ac:dyDescent="0.25">
      <c r="A105" s="214"/>
      <c r="B105" s="215" t="s">
        <v>1822</v>
      </c>
      <c r="C105" s="215" t="s">
        <v>1823</v>
      </c>
      <c r="D105" s="215" t="s">
        <v>1836</v>
      </c>
      <c r="E105" s="215" t="s">
        <v>1836</v>
      </c>
      <c r="F105" s="215" t="s">
        <v>1836</v>
      </c>
      <c r="G105" s="215" t="s">
        <v>58</v>
      </c>
      <c r="H105" s="216" t="s">
        <v>1918</v>
      </c>
      <c r="I105" s="217">
        <v>11990000</v>
      </c>
      <c r="J105" s="217"/>
      <c r="K105" s="217"/>
      <c r="L105" s="217"/>
      <c r="M105" s="217"/>
      <c r="N105" s="217">
        <v>11990000</v>
      </c>
      <c r="O105" s="217"/>
      <c r="P105" s="217"/>
      <c r="Q105" s="218"/>
    </row>
    <row r="106" spans="1:17" s="219" customFormat="1" hidden="1" x14ac:dyDescent="0.25">
      <c r="A106" s="214"/>
      <c r="B106" s="215" t="s">
        <v>1822</v>
      </c>
      <c r="C106" s="215" t="s">
        <v>1823</v>
      </c>
      <c r="D106" s="215" t="s">
        <v>1836</v>
      </c>
      <c r="E106" s="215" t="s">
        <v>1836</v>
      </c>
      <c r="F106" s="215" t="s">
        <v>1836</v>
      </c>
      <c r="G106" s="215" t="s">
        <v>75</v>
      </c>
      <c r="H106" s="216" t="s">
        <v>1919</v>
      </c>
      <c r="I106" s="217"/>
      <c r="J106" s="217"/>
      <c r="K106" s="217"/>
      <c r="L106" s="217"/>
      <c r="M106" s="217"/>
      <c r="N106" s="217"/>
      <c r="O106" s="217"/>
      <c r="P106" s="217"/>
      <c r="Q106" s="218"/>
    </row>
    <row r="107" spans="1:17" s="219" customFormat="1" ht="30" hidden="1" x14ac:dyDescent="0.25">
      <c r="A107" s="214"/>
      <c r="B107" s="215" t="s">
        <v>1822</v>
      </c>
      <c r="C107" s="215" t="s">
        <v>1823</v>
      </c>
      <c r="D107" s="215" t="s">
        <v>1836</v>
      </c>
      <c r="E107" s="215" t="s">
        <v>1836</v>
      </c>
      <c r="F107" s="215" t="s">
        <v>1836</v>
      </c>
      <c r="G107" s="215" t="s">
        <v>79</v>
      </c>
      <c r="H107" s="216" t="s">
        <v>1920</v>
      </c>
      <c r="I107" s="217"/>
      <c r="J107" s="217"/>
      <c r="K107" s="217"/>
      <c r="L107" s="217"/>
      <c r="M107" s="217"/>
      <c r="N107" s="217"/>
      <c r="O107" s="217"/>
      <c r="P107" s="217"/>
      <c r="Q107" s="218"/>
    </row>
    <row r="108" spans="1:17" s="219" customFormat="1" ht="30" hidden="1" x14ac:dyDescent="0.25">
      <c r="A108" s="214"/>
      <c r="B108" s="215" t="s">
        <v>1822</v>
      </c>
      <c r="C108" s="215" t="s">
        <v>1823</v>
      </c>
      <c r="D108" s="215" t="s">
        <v>1836</v>
      </c>
      <c r="E108" s="215" t="s">
        <v>1836</v>
      </c>
      <c r="F108" s="215" t="s">
        <v>1836</v>
      </c>
      <c r="G108" s="215" t="s">
        <v>84</v>
      </c>
      <c r="H108" s="216" t="s">
        <v>1921</v>
      </c>
      <c r="I108" s="217"/>
      <c r="J108" s="217"/>
      <c r="K108" s="217"/>
      <c r="L108" s="217"/>
      <c r="M108" s="217"/>
      <c r="N108" s="217"/>
      <c r="O108" s="217"/>
      <c r="P108" s="217"/>
      <c r="Q108" s="218"/>
    </row>
    <row r="109" spans="1:17" s="213" customFormat="1" hidden="1" x14ac:dyDescent="0.25">
      <c r="A109" s="208" t="s">
        <v>263</v>
      </c>
      <c r="B109" s="209" t="s">
        <v>1822</v>
      </c>
      <c r="C109" s="209" t="s">
        <v>1823</v>
      </c>
      <c r="D109" s="209" t="s">
        <v>1836</v>
      </c>
      <c r="E109" s="209" t="s">
        <v>1836</v>
      </c>
      <c r="F109" s="209" t="s">
        <v>1847</v>
      </c>
      <c r="G109" s="209"/>
      <c r="H109" s="210" t="s">
        <v>1922</v>
      </c>
      <c r="I109" s="211">
        <f>SUM(I110:I114)</f>
        <v>0</v>
      </c>
      <c r="J109" s="211">
        <f t="shared" ref="J109:P109" si="14">SUM(J110:J114)</f>
        <v>0</v>
      </c>
      <c r="K109" s="211">
        <f t="shared" si="14"/>
        <v>0</v>
      </c>
      <c r="L109" s="211">
        <f t="shared" si="14"/>
        <v>0</v>
      </c>
      <c r="M109" s="211">
        <f t="shared" si="14"/>
        <v>0</v>
      </c>
      <c r="N109" s="211">
        <f t="shared" si="14"/>
        <v>0</v>
      </c>
      <c r="O109" s="211">
        <f t="shared" si="14"/>
        <v>0</v>
      </c>
      <c r="P109" s="211">
        <f t="shared" si="14"/>
        <v>0</v>
      </c>
      <c r="Q109" s="212"/>
    </row>
    <row r="110" spans="1:17" s="219" customFormat="1" ht="30" hidden="1" x14ac:dyDescent="0.25">
      <c r="A110" s="214"/>
      <c r="B110" s="215" t="s">
        <v>1822</v>
      </c>
      <c r="C110" s="215" t="s">
        <v>1823</v>
      </c>
      <c r="D110" s="215" t="s">
        <v>1836</v>
      </c>
      <c r="E110" s="215" t="s">
        <v>1836</v>
      </c>
      <c r="F110" s="215" t="s">
        <v>1847</v>
      </c>
      <c r="G110" s="215" t="s">
        <v>58</v>
      </c>
      <c r="H110" s="216" t="s">
        <v>1923</v>
      </c>
      <c r="I110" s="217"/>
      <c r="J110" s="217"/>
      <c r="K110" s="217"/>
      <c r="L110" s="217"/>
      <c r="M110" s="217"/>
      <c r="N110" s="217"/>
      <c r="O110" s="217"/>
      <c r="P110" s="217"/>
      <c r="Q110" s="218"/>
    </row>
    <row r="111" spans="1:17" s="219" customFormat="1" ht="30" hidden="1" x14ac:dyDescent="0.25">
      <c r="A111" s="214"/>
      <c r="B111" s="215" t="s">
        <v>1822</v>
      </c>
      <c r="C111" s="215" t="s">
        <v>1823</v>
      </c>
      <c r="D111" s="215" t="s">
        <v>1836</v>
      </c>
      <c r="E111" s="215" t="s">
        <v>1836</v>
      </c>
      <c r="F111" s="215" t="s">
        <v>1847</v>
      </c>
      <c r="G111" s="215" t="s">
        <v>75</v>
      </c>
      <c r="H111" s="216" t="s">
        <v>1924</v>
      </c>
      <c r="I111" s="217"/>
      <c r="J111" s="217"/>
      <c r="K111" s="217"/>
      <c r="L111" s="217"/>
      <c r="M111" s="217"/>
      <c r="N111" s="217"/>
      <c r="O111" s="217"/>
      <c r="P111" s="217"/>
      <c r="Q111" s="218"/>
    </row>
    <row r="112" spans="1:17" s="219" customFormat="1" ht="30" hidden="1" x14ac:dyDescent="0.25">
      <c r="A112" s="214"/>
      <c r="B112" s="215" t="s">
        <v>1822</v>
      </c>
      <c r="C112" s="215" t="s">
        <v>1823</v>
      </c>
      <c r="D112" s="215" t="s">
        <v>1836</v>
      </c>
      <c r="E112" s="215" t="s">
        <v>1836</v>
      </c>
      <c r="F112" s="215" t="s">
        <v>1847</v>
      </c>
      <c r="G112" s="215" t="s">
        <v>79</v>
      </c>
      <c r="H112" s="216" t="s">
        <v>1925</v>
      </c>
      <c r="I112" s="217"/>
      <c r="J112" s="217"/>
      <c r="K112" s="217"/>
      <c r="L112" s="217"/>
      <c r="M112" s="217"/>
      <c r="N112" s="217"/>
      <c r="O112" s="217"/>
      <c r="P112" s="217"/>
      <c r="Q112" s="218"/>
    </row>
    <row r="113" spans="1:17" s="219" customFormat="1" hidden="1" x14ac:dyDescent="0.25">
      <c r="A113" s="214"/>
      <c r="B113" s="215" t="s">
        <v>1822</v>
      </c>
      <c r="C113" s="215" t="s">
        <v>1823</v>
      </c>
      <c r="D113" s="215" t="s">
        <v>1836</v>
      </c>
      <c r="E113" s="215" t="s">
        <v>1836</v>
      </c>
      <c r="F113" s="215" t="s">
        <v>1847</v>
      </c>
      <c r="G113" s="215" t="s">
        <v>84</v>
      </c>
      <c r="H113" s="216" t="s">
        <v>1926</v>
      </c>
      <c r="I113" s="217"/>
      <c r="J113" s="217"/>
      <c r="K113" s="217"/>
      <c r="L113" s="217"/>
      <c r="M113" s="217"/>
      <c r="N113" s="217"/>
      <c r="O113" s="217"/>
      <c r="P113" s="217"/>
      <c r="Q113" s="218"/>
    </row>
    <row r="114" spans="1:17" s="219" customFormat="1" ht="30" hidden="1" x14ac:dyDescent="0.25">
      <c r="A114" s="214"/>
      <c r="B114" s="215" t="s">
        <v>1822</v>
      </c>
      <c r="C114" s="215" t="s">
        <v>1823</v>
      </c>
      <c r="D114" s="215" t="s">
        <v>1836</v>
      </c>
      <c r="E114" s="215" t="s">
        <v>1836</v>
      </c>
      <c r="F114" s="215" t="s">
        <v>1847</v>
      </c>
      <c r="G114" s="215" t="s">
        <v>88</v>
      </c>
      <c r="H114" s="216" t="s">
        <v>1927</v>
      </c>
      <c r="I114" s="217"/>
      <c r="J114" s="217"/>
      <c r="K114" s="217"/>
      <c r="L114" s="217"/>
      <c r="M114" s="217"/>
      <c r="N114" s="217"/>
      <c r="O114" s="217"/>
      <c r="P114" s="217"/>
      <c r="Q114" s="218"/>
    </row>
    <row r="115" spans="1:17" s="213" customFormat="1" hidden="1" x14ac:dyDescent="0.25">
      <c r="A115" s="208" t="s">
        <v>263</v>
      </c>
      <c r="B115" s="209" t="s">
        <v>1822</v>
      </c>
      <c r="C115" s="209" t="s">
        <v>1823</v>
      </c>
      <c r="D115" s="209" t="s">
        <v>1836</v>
      </c>
      <c r="E115" s="209" t="s">
        <v>1836</v>
      </c>
      <c r="F115" s="209" t="s">
        <v>1928</v>
      </c>
      <c r="G115" s="209"/>
      <c r="H115" s="210" t="s">
        <v>1929</v>
      </c>
      <c r="I115" s="211">
        <f>SUM(I116:I119)</f>
        <v>0</v>
      </c>
      <c r="J115" s="211">
        <f t="shared" ref="J115:P115" si="15">SUM(J116:J119)</f>
        <v>0</v>
      </c>
      <c r="K115" s="211">
        <f t="shared" si="15"/>
        <v>0</v>
      </c>
      <c r="L115" s="211">
        <f t="shared" si="15"/>
        <v>0</v>
      </c>
      <c r="M115" s="211">
        <f t="shared" si="15"/>
        <v>0</v>
      </c>
      <c r="N115" s="211">
        <f t="shared" si="15"/>
        <v>0</v>
      </c>
      <c r="O115" s="211">
        <f t="shared" si="15"/>
        <v>0</v>
      </c>
      <c r="P115" s="211">
        <f t="shared" si="15"/>
        <v>0</v>
      </c>
      <c r="Q115" s="212"/>
    </row>
    <row r="116" spans="1:17" s="219" customFormat="1" ht="30" hidden="1" x14ac:dyDescent="0.25">
      <c r="A116" s="214"/>
      <c r="B116" s="215" t="s">
        <v>1822</v>
      </c>
      <c r="C116" s="215" t="s">
        <v>1823</v>
      </c>
      <c r="D116" s="215" t="s">
        <v>1836</v>
      </c>
      <c r="E116" s="215" t="s">
        <v>1836</v>
      </c>
      <c r="F116" s="215" t="s">
        <v>1928</v>
      </c>
      <c r="G116" s="215" t="s">
        <v>58</v>
      </c>
      <c r="H116" s="216" t="s">
        <v>1930</v>
      </c>
      <c r="I116" s="217"/>
      <c r="J116" s="217"/>
      <c r="K116" s="217"/>
      <c r="L116" s="217"/>
      <c r="M116" s="217"/>
      <c r="N116" s="217"/>
      <c r="O116" s="217"/>
      <c r="P116" s="217"/>
      <c r="Q116" s="218"/>
    </row>
    <row r="117" spans="1:17" s="219" customFormat="1" ht="30" hidden="1" x14ac:dyDescent="0.25">
      <c r="A117" s="214"/>
      <c r="B117" s="215" t="s">
        <v>1822</v>
      </c>
      <c r="C117" s="215" t="s">
        <v>1823</v>
      </c>
      <c r="D117" s="215" t="s">
        <v>1836</v>
      </c>
      <c r="E117" s="215" t="s">
        <v>1836</v>
      </c>
      <c r="F117" s="215" t="s">
        <v>1928</v>
      </c>
      <c r="G117" s="215" t="s">
        <v>75</v>
      </c>
      <c r="H117" s="216" t="s">
        <v>1931</v>
      </c>
      <c r="I117" s="217"/>
      <c r="J117" s="217"/>
      <c r="K117" s="217"/>
      <c r="L117" s="217"/>
      <c r="M117" s="217"/>
      <c r="N117" s="217"/>
      <c r="O117" s="217"/>
      <c r="P117" s="217"/>
      <c r="Q117" s="218"/>
    </row>
    <row r="118" spans="1:17" s="219" customFormat="1" ht="30" hidden="1" x14ac:dyDescent="0.25">
      <c r="A118" s="214"/>
      <c r="B118" s="215" t="s">
        <v>1822</v>
      </c>
      <c r="C118" s="215" t="s">
        <v>1823</v>
      </c>
      <c r="D118" s="215" t="s">
        <v>1836</v>
      </c>
      <c r="E118" s="215" t="s">
        <v>1836</v>
      </c>
      <c r="F118" s="215" t="s">
        <v>1928</v>
      </c>
      <c r="G118" s="215" t="s">
        <v>79</v>
      </c>
      <c r="H118" s="216" t="s">
        <v>1932</v>
      </c>
      <c r="I118" s="217"/>
      <c r="J118" s="217"/>
      <c r="K118" s="217"/>
      <c r="L118" s="217"/>
      <c r="M118" s="217"/>
      <c r="N118" s="217"/>
      <c r="O118" s="217"/>
      <c r="P118" s="217"/>
      <c r="Q118" s="218"/>
    </row>
    <row r="119" spans="1:17" s="219" customFormat="1" ht="30" hidden="1" x14ac:dyDescent="0.25">
      <c r="A119" s="214"/>
      <c r="B119" s="215" t="s">
        <v>1822</v>
      </c>
      <c r="C119" s="215" t="s">
        <v>1823</v>
      </c>
      <c r="D119" s="215" t="s">
        <v>1836</v>
      </c>
      <c r="E119" s="215" t="s">
        <v>1836</v>
      </c>
      <c r="F119" s="215" t="s">
        <v>1928</v>
      </c>
      <c r="G119" s="215" t="s">
        <v>84</v>
      </c>
      <c r="H119" s="216" t="s">
        <v>1933</v>
      </c>
      <c r="I119" s="217"/>
      <c r="J119" s="217"/>
      <c r="K119" s="217"/>
      <c r="L119" s="217"/>
      <c r="M119" s="217"/>
      <c r="N119" s="217"/>
      <c r="O119" s="217"/>
      <c r="P119" s="217"/>
      <c r="Q119" s="218"/>
    </row>
    <row r="120" spans="1:17" s="213" customFormat="1" hidden="1" x14ac:dyDescent="0.25">
      <c r="A120" s="208" t="s">
        <v>263</v>
      </c>
      <c r="B120" s="209" t="s">
        <v>1822</v>
      </c>
      <c r="C120" s="209" t="s">
        <v>1823</v>
      </c>
      <c r="D120" s="209" t="s">
        <v>1836</v>
      </c>
      <c r="E120" s="209" t="s">
        <v>1836</v>
      </c>
      <c r="F120" s="209" t="s">
        <v>1934</v>
      </c>
      <c r="G120" s="209"/>
      <c r="H120" s="210" t="s">
        <v>1935</v>
      </c>
      <c r="I120" s="211">
        <f>SUM(I121:I122)</f>
        <v>0</v>
      </c>
      <c r="J120" s="211">
        <f t="shared" ref="J120:P120" si="16">SUM(J121:J122)</f>
        <v>0</v>
      </c>
      <c r="K120" s="211">
        <f t="shared" si="16"/>
        <v>0</v>
      </c>
      <c r="L120" s="211">
        <f t="shared" si="16"/>
        <v>0</v>
      </c>
      <c r="M120" s="211">
        <f t="shared" si="16"/>
        <v>0</v>
      </c>
      <c r="N120" s="211">
        <f t="shared" si="16"/>
        <v>0</v>
      </c>
      <c r="O120" s="211">
        <f t="shared" si="16"/>
        <v>0</v>
      </c>
      <c r="P120" s="211">
        <f t="shared" si="16"/>
        <v>0</v>
      </c>
      <c r="Q120" s="212"/>
    </row>
    <row r="121" spans="1:17" s="219" customFormat="1" hidden="1" x14ac:dyDescent="0.25">
      <c r="A121" s="214"/>
      <c r="B121" s="215" t="s">
        <v>1822</v>
      </c>
      <c r="C121" s="215" t="s">
        <v>1823</v>
      </c>
      <c r="D121" s="215" t="s">
        <v>1836</v>
      </c>
      <c r="E121" s="215" t="s">
        <v>1836</v>
      </c>
      <c r="F121" s="215" t="s">
        <v>1934</v>
      </c>
      <c r="G121" s="215" t="s">
        <v>58</v>
      </c>
      <c r="H121" s="216" t="s">
        <v>1936</v>
      </c>
      <c r="I121" s="217"/>
      <c r="J121" s="217"/>
      <c r="K121" s="217"/>
      <c r="L121" s="217"/>
      <c r="M121" s="217"/>
      <c r="N121" s="217"/>
      <c r="O121" s="217"/>
      <c r="P121" s="217"/>
      <c r="Q121" s="218"/>
    </row>
    <row r="122" spans="1:17" s="219" customFormat="1" ht="30" hidden="1" x14ac:dyDescent="0.25">
      <c r="A122" s="214"/>
      <c r="B122" s="215" t="s">
        <v>1822</v>
      </c>
      <c r="C122" s="215" t="s">
        <v>1823</v>
      </c>
      <c r="D122" s="215" t="s">
        <v>1836</v>
      </c>
      <c r="E122" s="215" t="s">
        <v>1836</v>
      </c>
      <c r="F122" s="215" t="s">
        <v>1934</v>
      </c>
      <c r="G122" s="215" t="s">
        <v>75</v>
      </c>
      <c r="H122" s="216" t="s">
        <v>1937</v>
      </c>
      <c r="I122" s="217"/>
      <c r="J122" s="217"/>
      <c r="K122" s="217"/>
      <c r="L122" s="217"/>
      <c r="M122" s="217"/>
      <c r="N122" s="217"/>
      <c r="O122" s="217"/>
      <c r="P122" s="217"/>
      <c r="Q122" s="218"/>
    </row>
    <row r="123" spans="1:17" s="213" customFormat="1" hidden="1" x14ac:dyDescent="0.25">
      <c r="A123" s="208" t="s">
        <v>1938</v>
      </c>
      <c r="B123" s="209" t="s">
        <v>1822</v>
      </c>
      <c r="C123" s="209" t="s">
        <v>1823</v>
      </c>
      <c r="D123" s="209" t="s">
        <v>1836</v>
      </c>
      <c r="E123" s="209" t="s">
        <v>1847</v>
      </c>
      <c r="F123" s="209"/>
      <c r="G123" s="209"/>
      <c r="H123" s="210" t="s">
        <v>1939</v>
      </c>
      <c r="I123" s="211">
        <f>SUM(I124+I135+I149)</f>
        <v>0</v>
      </c>
      <c r="J123" s="211">
        <f t="shared" ref="J123:P123" si="17">SUM(J124+J135+J149)</f>
        <v>0</v>
      </c>
      <c r="K123" s="211">
        <f t="shared" si="17"/>
        <v>0</v>
      </c>
      <c r="L123" s="211">
        <f t="shared" si="17"/>
        <v>0</v>
      </c>
      <c r="M123" s="211">
        <f t="shared" si="17"/>
        <v>0</v>
      </c>
      <c r="N123" s="211">
        <f t="shared" si="17"/>
        <v>0</v>
      </c>
      <c r="O123" s="211">
        <f t="shared" si="17"/>
        <v>0</v>
      </c>
      <c r="P123" s="211">
        <f t="shared" si="17"/>
        <v>0</v>
      </c>
      <c r="Q123" s="212"/>
    </row>
    <row r="124" spans="1:17" s="213" customFormat="1" hidden="1" x14ac:dyDescent="0.25">
      <c r="A124" s="208" t="s">
        <v>263</v>
      </c>
      <c r="B124" s="209" t="s">
        <v>1822</v>
      </c>
      <c r="C124" s="209" t="s">
        <v>1823</v>
      </c>
      <c r="D124" s="209" t="s">
        <v>1836</v>
      </c>
      <c r="E124" s="209" t="s">
        <v>1847</v>
      </c>
      <c r="F124" s="209" t="s">
        <v>1825</v>
      </c>
      <c r="G124" s="209"/>
      <c r="H124" s="210" t="s">
        <v>1940</v>
      </c>
      <c r="I124" s="211">
        <f>SUM(I125:I134)</f>
        <v>0</v>
      </c>
      <c r="J124" s="211">
        <f t="shared" ref="J124:P124" si="18">SUM(J125:J134)</f>
        <v>0</v>
      </c>
      <c r="K124" s="211">
        <f t="shared" si="18"/>
        <v>0</v>
      </c>
      <c r="L124" s="211">
        <f t="shared" si="18"/>
        <v>0</v>
      </c>
      <c r="M124" s="211">
        <f t="shared" si="18"/>
        <v>0</v>
      </c>
      <c r="N124" s="211">
        <f t="shared" si="18"/>
        <v>0</v>
      </c>
      <c r="O124" s="211">
        <f t="shared" si="18"/>
        <v>0</v>
      </c>
      <c r="P124" s="211">
        <f t="shared" si="18"/>
        <v>0</v>
      </c>
      <c r="Q124" s="212"/>
    </row>
    <row r="125" spans="1:17" s="219" customFormat="1" ht="30" hidden="1" x14ac:dyDescent="0.25">
      <c r="A125" s="214"/>
      <c r="B125" s="215" t="s">
        <v>1822</v>
      </c>
      <c r="C125" s="215" t="s">
        <v>1823</v>
      </c>
      <c r="D125" s="215" t="s">
        <v>1836</v>
      </c>
      <c r="E125" s="215" t="s">
        <v>1847</v>
      </c>
      <c r="F125" s="215" t="s">
        <v>1825</v>
      </c>
      <c r="G125" s="215" t="s">
        <v>58</v>
      </c>
      <c r="H125" s="216" t="s">
        <v>1941</v>
      </c>
      <c r="I125" s="217"/>
      <c r="J125" s="217"/>
      <c r="K125" s="217"/>
      <c r="L125" s="217"/>
      <c r="M125" s="217"/>
      <c r="N125" s="217"/>
      <c r="O125" s="217"/>
      <c r="P125" s="217"/>
      <c r="Q125" s="218"/>
    </row>
    <row r="126" spans="1:17" s="219" customFormat="1" ht="30" hidden="1" x14ac:dyDescent="0.25">
      <c r="A126" s="214"/>
      <c r="B126" s="215" t="s">
        <v>1822</v>
      </c>
      <c r="C126" s="215" t="s">
        <v>1823</v>
      </c>
      <c r="D126" s="215" t="s">
        <v>1836</v>
      </c>
      <c r="E126" s="215" t="s">
        <v>1847</v>
      </c>
      <c r="F126" s="215" t="s">
        <v>1825</v>
      </c>
      <c r="G126" s="215" t="s">
        <v>75</v>
      </c>
      <c r="H126" s="216" t="s">
        <v>1942</v>
      </c>
      <c r="I126" s="217"/>
      <c r="J126" s="217"/>
      <c r="K126" s="217"/>
      <c r="L126" s="217"/>
      <c r="M126" s="217"/>
      <c r="N126" s="217"/>
      <c r="O126" s="217"/>
      <c r="P126" s="217"/>
      <c r="Q126" s="218"/>
    </row>
    <row r="127" spans="1:17" s="219" customFormat="1" hidden="1" x14ac:dyDescent="0.25">
      <c r="A127" s="214"/>
      <c r="B127" s="215" t="s">
        <v>1822</v>
      </c>
      <c r="C127" s="215" t="s">
        <v>1823</v>
      </c>
      <c r="D127" s="215" t="s">
        <v>1836</v>
      </c>
      <c r="E127" s="215" t="s">
        <v>1847</v>
      </c>
      <c r="F127" s="215" t="s">
        <v>1825</v>
      </c>
      <c r="G127" s="215" t="s">
        <v>79</v>
      </c>
      <c r="H127" s="216" t="s">
        <v>1943</v>
      </c>
      <c r="I127" s="217"/>
      <c r="J127" s="217"/>
      <c r="K127" s="217"/>
      <c r="L127" s="217"/>
      <c r="M127" s="217"/>
      <c r="N127" s="217"/>
      <c r="O127" s="217"/>
      <c r="P127" s="217"/>
      <c r="Q127" s="218"/>
    </row>
    <row r="128" spans="1:17" s="219" customFormat="1" hidden="1" x14ac:dyDescent="0.25">
      <c r="A128" s="214"/>
      <c r="B128" s="215" t="s">
        <v>1822</v>
      </c>
      <c r="C128" s="215" t="s">
        <v>1823</v>
      </c>
      <c r="D128" s="215" t="s">
        <v>1836</v>
      </c>
      <c r="E128" s="215" t="s">
        <v>1847</v>
      </c>
      <c r="F128" s="215" t="s">
        <v>1825</v>
      </c>
      <c r="G128" s="215" t="s">
        <v>84</v>
      </c>
      <c r="H128" s="216" t="s">
        <v>1944</v>
      </c>
      <c r="I128" s="217"/>
      <c r="J128" s="217"/>
      <c r="K128" s="217"/>
      <c r="L128" s="217"/>
      <c r="M128" s="217"/>
      <c r="N128" s="217"/>
      <c r="O128" s="217"/>
      <c r="P128" s="217"/>
      <c r="Q128" s="218"/>
    </row>
    <row r="129" spans="1:17" s="219" customFormat="1" hidden="1" x14ac:dyDescent="0.25">
      <c r="A129" s="214"/>
      <c r="B129" s="215" t="s">
        <v>1822</v>
      </c>
      <c r="C129" s="215" t="s">
        <v>1823</v>
      </c>
      <c r="D129" s="215" t="s">
        <v>1836</v>
      </c>
      <c r="E129" s="215" t="s">
        <v>1847</v>
      </c>
      <c r="F129" s="215" t="s">
        <v>1825</v>
      </c>
      <c r="G129" s="215" t="s">
        <v>88</v>
      </c>
      <c r="H129" s="216" t="s">
        <v>1945</v>
      </c>
      <c r="I129" s="217"/>
      <c r="J129" s="217"/>
      <c r="K129" s="217"/>
      <c r="L129" s="217"/>
      <c r="M129" s="217"/>
      <c r="N129" s="217"/>
      <c r="O129" s="217"/>
      <c r="P129" s="217"/>
      <c r="Q129" s="218"/>
    </row>
    <row r="130" spans="1:17" s="219" customFormat="1" hidden="1" x14ac:dyDescent="0.25">
      <c r="A130" s="214"/>
      <c r="B130" s="215" t="s">
        <v>1822</v>
      </c>
      <c r="C130" s="215" t="s">
        <v>1823</v>
      </c>
      <c r="D130" s="215" t="s">
        <v>1836</v>
      </c>
      <c r="E130" s="215" t="s">
        <v>1847</v>
      </c>
      <c r="F130" s="215" t="s">
        <v>1825</v>
      </c>
      <c r="G130" s="215" t="s">
        <v>92</v>
      </c>
      <c r="H130" s="216" t="s">
        <v>1946</v>
      </c>
      <c r="I130" s="217"/>
      <c r="J130" s="217"/>
      <c r="K130" s="217"/>
      <c r="L130" s="217"/>
      <c r="M130" s="217"/>
      <c r="N130" s="217"/>
      <c r="O130" s="217"/>
      <c r="P130" s="217"/>
      <c r="Q130" s="218"/>
    </row>
    <row r="131" spans="1:17" s="219" customFormat="1" hidden="1" x14ac:dyDescent="0.25">
      <c r="A131" s="214"/>
      <c r="B131" s="215" t="s">
        <v>1822</v>
      </c>
      <c r="C131" s="215" t="s">
        <v>1823</v>
      </c>
      <c r="D131" s="215" t="s">
        <v>1836</v>
      </c>
      <c r="E131" s="215" t="s">
        <v>1847</v>
      </c>
      <c r="F131" s="215" t="s">
        <v>1825</v>
      </c>
      <c r="G131" s="215" t="s">
        <v>96</v>
      </c>
      <c r="H131" s="216" t="s">
        <v>1947</v>
      </c>
      <c r="I131" s="217"/>
      <c r="J131" s="217"/>
      <c r="K131" s="217"/>
      <c r="L131" s="217"/>
      <c r="M131" s="217"/>
      <c r="N131" s="217"/>
      <c r="O131" s="217"/>
      <c r="P131" s="217"/>
      <c r="Q131" s="218"/>
    </row>
    <row r="132" spans="1:17" s="219" customFormat="1" hidden="1" x14ac:dyDescent="0.25">
      <c r="A132" s="214"/>
      <c r="B132" s="215" t="s">
        <v>1822</v>
      </c>
      <c r="C132" s="215" t="s">
        <v>1823</v>
      </c>
      <c r="D132" s="215" t="s">
        <v>1836</v>
      </c>
      <c r="E132" s="215" t="s">
        <v>1847</v>
      </c>
      <c r="F132" s="215" t="s">
        <v>1825</v>
      </c>
      <c r="G132" s="215" t="s">
        <v>100</v>
      </c>
      <c r="H132" s="216" t="s">
        <v>1948</v>
      </c>
      <c r="I132" s="217"/>
      <c r="J132" s="217"/>
      <c r="K132" s="217"/>
      <c r="L132" s="217"/>
      <c r="M132" s="217"/>
      <c r="N132" s="217"/>
      <c r="O132" s="217"/>
      <c r="P132" s="217"/>
      <c r="Q132" s="218"/>
    </row>
    <row r="133" spans="1:17" s="219" customFormat="1" hidden="1" x14ac:dyDescent="0.25">
      <c r="A133" s="214"/>
      <c r="B133" s="215" t="s">
        <v>1822</v>
      </c>
      <c r="C133" s="215" t="s">
        <v>1823</v>
      </c>
      <c r="D133" s="215" t="s">
        <v>1836</v>
      </c>
      <c r="E133" s="215" t="s">
        <v>1847</v>
      </c>
      <c r="F133" s="215" t="s">
        <v>1825</v>
      </c>
      <c r="G133" s="215" t="s">
        <v>105</v>
      </c>
      <c r="H133" s="216" t="s">
        <v>1949</v>
      </c>
      <c r="I133" s="217"/>
      <c r="J133" s="217"/>
      <c r="K133" s="217"/>
      <c r="L133" s="217"/>
      <c r="M133" s="217"/>
      <c r="N133" s="217"/>
      <c r="O133" s="217"/>
      <c r="P133" s="217"/>
      <c r="Q133" s="218"/>
    </row>
    <row r="134" spans="1:17" s="219" customFormat="1" hidden="1" x14ac:dyDescent="0.25">
      <c r="A134" s="214"/>
      <c r="B134" s="215" t="s">
        <v>1822</v>
      </c>
      <c r="C134" s="215" t="s">
        <v>1823</v>
      </c>
      <c r="D134" s="215" t="s">
        <v>1836</v>
      </c>
      <c r="E134" s="215" t="s">
        <v>1847</v>
      </c>
      <c r="F134" s="215" t="s">
        <v>1825</v>
      </c>
      <c r="G134" s="215" t="s">
        <v>108</v>
      </c>
      <c r="H134" s="216" t="s">
        <v>1950</v>
      </c>
      <c r="I134" s="217"/>
      <c r="J134" s="217"/>
      <c r="K134" s="217"/>
      <c r="L134" s="217"/>
      <c r="M134" s="217"/>
      <c r="N134" s="217"/>
      <c r="O134" s="217"/>
      <c r="P134" s="217"/>
      <c r="Q134" s="218"/>
    </row>
    <row r="135" spans="1:17" s="213" customFormat="1" hidden="1" x14ac:dyDescent="0.25">
      <c r="A135" s="208" t="s">
        <v>263</v>
      </c>
      <c r="B135" s="209" t="s">
        <v>1822</v>
      </c>
      <c r="C135" s="209" t="s">
        <v>1823</v>
      </c>
      <c r="D135" s="209" t="s">
        <v>1836</v>
      </c>
      <c r="E135" s="209" t="s">
        <v>1847</v>
      </c>
      <c r="F135" s="209" t="s">
        <v>1836</v>
      </c>
      <c r="G135" s="209"/>
      <c r="H135" s="210" t="s">
        <v>1951</v>
      </c>
      <c r="I135" s="211">
        <f>SUM(I136:I148)</f>
        <v>0</v>
      </c>
      <c r="J135" s="211">
        <f t="shared" ref="J135:P135" si="19">SUM(J136:J148)</f>
        <v>0</v>
      </c>
      <c r="K135" s="211">
        <f t="shared" si="19"/>
        <v>0</v>
      </c>
      <c r="L135" s="211">
        <f t="shared" si="19"/>
        <v>0</v>
      </c>
      <c r="M135" s="211">
        <f t="shared" si="19"/>
        <v>0</v>
      </c>
      <c r="N135" s="211">
        <f t="shared" si="19"/>
        <v>0</v>
      </c>
      <c r="O135" s="211">
        <f t="shared" si="19"/>
        <v>0</v>
      </c>
      <c r="P135" s="211">
        <f t="shared" si="19"/>
        <v>0</v>
      </c>
      <c r="Q135" s="212"/>
    </row>
    <row r="136" spans="1:17" s="219" customFormat="1" hidden="1" x14ac:dyDescent="0.25">
      <c r="A136" s="214"/>
      <c r="B136" s="215" t="s">
        <v>1822</v>
      </c>
      <c r="C136" s="215" t="s">
        <v>1823</v>
      </c>
      <c r="D136" s="215" t="s">
        <v>1836</v>
      </c>
      <c r="E136" s="215" t="s">
        <v>1847</v>
      </c>
      <c r="F136" s="215" t="s">
        <v>1836</v>
      </c>
      <c r="G136" s="215" t="s">
        <v>58</v>
      </c>
      <c r="H136" s="216" t="s">
        <v>1952</v>
      </c>
      <c r="I136" s="217"/>
      <c r="J136" s="217"/>
      <c r="K136" s="217"/>
      <c r="L136" s="217"/>
      <c r="M136" s="217"/>
      <c r="N136" s="217"/>
      <c r="O136" s="217"/>
      <c r="P136" s="217"/>
      <c r="Q136" s="218"/>
    </row>
    <row r="137" spans="1:17" s="219" customFormat="1" hidden="1" x14ac:dyDescent="0.25">
      <c r="A137" s="214"/>
      <c r="B137" s="215" t="s">
        <v>1822</v>
      </c>
      <c r="C137" s="215" t="s">
        <v>1823</v>
      </c>
      <c r="D137" s="215" t="s">
        <v>1836</v>
      </c>
      <c r="E137" s="215" t="s">
        <v>1847</v>
      </c>
      <c r="F137" s="215" t="s">
        <v>1836</v>
      </c>
      <c r="G137" s="215" t="s">
        <v>75</v>
      </c>
      <c r="H137" s="216" t="s">
        <v>1943</v>
      </c>
      <c r="I137" s="217"/>
      <c r="J137" s="217"/>
      <c r="K137" s="217"/>
      <c r="L137" s="217"/>
      <c r="M137" s="217"/>
      <c r="N137" s="217"/>
      <c r="O137" s="217"/>
      <c r="P137" s="217"/>
      <c r="Q137" s="218"/>
    </row>
    <row r="138" spans="1:17" s="219" customFormat="1" hidden="1" x14ac:dyDescent="0.25">
      <c r="A138" s="214"/>
      <c r="B138" s="215" t="s">
        <v>1822</v>
      </c>
      <c r="C138" s="215" t="s">
        <v>1823</v>
      </c>
      <c r="D138" s="215" t="s">
        <v>1836</v>
      </c>
      <c r="E138" s="215" t="s">
        <v>1847</v>
      </c>
      <c r="F138" s="215" t="s">
        <v>1836</v>
      </c>
      <c r="G138" s="215" t="s">
        <v>79</v>
      </c>
      <c r="H138" s="216" t="s">
        <v>1944</v>
      </c>
      <c r="I138" s="217"/>
      <c r="J138" s="217"/>
      <c r="K138" s="217"/>
      <c r="L138" s="217"/>
      <c r="M138" s="217"/>
      <c r="N138" s="217"/>
      <c r="O138" s="217"/>
      <c r="P138" s="217"/>
      <c r="Q138" s="218"/>
    </row>
    <row r="139" spans="1:17" s="219" customFormat="1" hidden="1" x14ac:dyDescent="0.25">
      <c r="A139" s="214"/>
      <c r="B139" s="215" t="s">
        <v>1822</v>
      </c>
      <c r="C139" s="215" t="s">
        <v>1823</v>
      </c>
      <c r="D139" s="215" t="s">
        <v>1836</v>
      </c>
      <c r="E139" s="215" t="s">
        <v>1847</v>
      </c>
      <c r="F139" s="215" t="s">
        <v>1836</v>
      </c>
      <c r="G139" s="215" t="s">
        <v>84</v>
      </c>
      <c r="H139" s="216" t="s">
        <v>1953</v>
      </c>
      <c r="I139" s="217"/>
      <c r="J139" s="217"/>
      <c r="K139" s="217"/>
      <c r="L139" s="217"/>
      <c r="M139" s="217"/>
      <c r="N139" s="217"/>
      <c r="O139" s="217"/>
      <c r="P139" s="217"/>
      <c r="Q139" s="218"/>
    </row>
    <row r="140" spans="1:17" s="219" customFormat="1" hidden="1" x14ac:dyDescent="0.25">
      <c r="A140" s="214"/>
      <c r="B140" s="215" t="s">
        <v>1822</v>
      </c>
      <c r="C140" s="215" t="s">
        <v>1823</v>
      </c>
      <c r="D140" s="215" t="s">
        <v>1836</v>
      </c>
      <c r="E140" s="215" t="s">
        <v>1847</v>
      </c>
      <c r="F140" s="215" t="s">
        <v>1836</v>
      </c>
      <c r="G140" s="215" t="s">
        <v>88</v>
      </c>
      <c r="H140" s="216" t="s">
        <v>1954</v>
      </c>
      <c r="I140" s="217"/>
      <c r="J140" s="217"/>
      <c r="K140" s="217"/>
      <c r="L140" s="217"/>
      <c r="M140" s="217"/>
      <c r="N140" s="217"/>
      <c r="O140" s="217"/>
      <c r="P140" s="217"/>
      <c r="Q140" s="218"/>
    </row>
    <row r="141" spans="1:17" s="219" customFormat="1" hidden="1" x14ac:dyDescent="0.25">
      <c r="A141" s="214"/>
      <c r="B141" s="215" t="s">
        <v>1822</v>
      </c>
      <c r="C141" s="215" t="s">
        <v>1823</v>
      </c>
      <c r="D141" s="215" t="s">
        <v>1836</v>
      </c>
      <c r="E141" s="215" t="s">
        <v>1847</v>
      </c>
      <c r="F141" s="215" t="s">
        <v>1836</v>
      </c>
      <c r="G141" s="215" t="s">
        <v>92</v>
      </c>
      <c r="H141" s="216" t="s">
        <v>1955</v>
      </c>
      <c r="I141" s="217"/>
      <c r="J141" s="217"/>
      <c r="K141" s="217"/>
      <c r="L141" s="217"/>
      <c r="M141" s="217"/>
      <c r="N141" s="217"/>
      <c r="O141" s="217"/>
      <c r="P141" s="217"/>
      <c r="Q141" s="218"/>
    </row>
    <row r="142" spans="1:17" s="219" customFormat="1" hidden="1" x14ac:dyDescent="0.25">
      <c r="A142" s="214"/>
      <c r="B142" s="215" t="s">
        <v>1822</v>
      </c>
      <c r="C142" s="215" t="s">
        <v>1823</v>
      </c>
      <c r="D142" s="215" t="s">
        <v>1836</v>
      </c>
      <c r="E142" s="215" t="s">
        <v>1847</v>
      </c>
      <c r="F142" s="215" t="s">
        <v>1836</v>
      </c>
      <c r="G142" s="215" t="s">
        <v>96</v>
      </c>
      <c r="H142" s="216" t="s">
        <v>1956</v>
      </c>
      <c r="I142" s="217"/>
      <c r="J142" s="217"/>
      <c r="K142" s="217"/>
      <c r="L142" s="217"/>
      <c r="M142" s="217"/>
      <c r="N142" s="217"/>
      <c r="O142" s="217"/>
      <c r="P142" s="217"/>
      <c r="Q142" s="218"/>
    </row>
    <row r="143" spans="1:17" s="219" customFormat="1" hidden="1" x14ac:dyDescent="0.25">
      <c r="A143" s="214"/>
      <c r="B143" s="215" t="s">
        <v>1822</v>
      </c>
      <c r="C143" s="215" t="s">
        <v>1823</v>
      </c>
      <c r="D143" s="215" t="s">
        <v>1836</v>
      </c>
      <c r="E143" s="215" t="s">
        <v>1847</v>
      </c>
      <c r="F143" s="215" t="s">
        <v>1836</v>
      </c>
      <c r="G143" s="215" t="s">
        <v>100</v>
      </c>
      <c r="H143" s="216" t="s">
        <v>1957</v>
      </c>
      <c r="I143" s="217"/>
      <c r="J143" s="217"/>
      <c r="K143" s="217"/>
      <c r="L143" s="217"/>
      <c r="M143" s="217"/>
      <c r="N143" s="217"/>
      <c r="O143" s="217"/>
      <c r="P143" s="217"/>
      <c r="Q143" s="218"/>
    </row>
    <row r="144" spans="1:17" s="219" customFormat="1" hidden="1" x14ac:dyDescent="0.25">
      <c r="A144" s="214"/>
      <c r="B144" s="215" t="s">
        <v>1822</v>
      </c>
      <c r="C144" s="215" t="s">
        <v>1823</v>
      </c>
      <c r="D144" s="215" t="s">
        <v>1836</v>
      </c>
      <c r="E144" s="215" t="s">
        <v>1847</v>
      </c>
      <c r="F144" s="215" t="s">
        <v>1836</v>
      </c>
      <c r="G144" s="215" t="s">
        <v>105</v>
      </c>
      <c r="H144" s="216" t="s">
        <v>1958</v>
      </c>
      <c r="I144" s="217"/>
      <c r="J144" s="217"/>
      <c r="K144" s="217"/>
      <c r="L144" s="217"/>
      <c r="M144" s="217"/>
      <c r="N144" s="217"/>
      <c r="O144" s="217"/>
      <c r="P144" s="217"/>
      <c r="Q144" s="218"/>
    </row>
    <row r="145" spans="1:17" s="219" customFormat="1" hidden="1" x14ac:dyDescent="0.25">
      <c r="A145" s="214"/>
      <c r="B145" s="215" t="s">
        <v>1822</v>
      </c>
      <c r="C145" s="215" t="s">
        <v>1823</v>
      </c>
      <c r="D145" s="215" t="s">
        <v>1836</v>
      </c>
      <c r="E145" s="215" t="s">
        <v>1847</v>
      </c>
      <c r="F145" s="215" t="s">
        <v>1836</v>
      </c>
      <c r="G145" s="215" t="s">
        <v>108</v>
      </c>
      <c r="H145" s="216" t="s">
        <v>1958</v>
      </c>
      <c r="I145" s="217"/>
      <c r="J145" s="217"/>
      <c r="K145" s="217"/>
      <c r="L145" s="217"/>
      <c r="M145" s="217"/>
      <c r="N145" s="217"/>
      <c r="O145" s="217"/>
      <c r="P145" s="217"/>
      <c r="Q145" s="218"/>
    </row>
    <row r="146" spans="1:17" s="219" customFormat="1" hidden="1" x14ac:dyDescent="0.25">
      <c r="A146" s="214"/>
      <c r="B146" s="215" t="s">
        <v>1822</v>
      </c>
      <c r="C146" s="215" t="s">
        <v>1823</v>
      </c>
      <c r="D146" s="215" t="s">
        <v>1836</v>
      </c>
      <c r="E146" s="215" t="s">
        <v>1847</v>
      </c>
      <c r="F146" s="215" t="s">
        <v>1836</v>
      </c>
      <c r="G146" s="215" t="s">
        <v>135</v>
      </c>
      <c r="H146" s="216" t="s">
        <v>1959</v>
      </c>
      <c r="I146" s="217"/>
      <c r="J146" s="217"/>
      <c r="K146" s="217"/>
      <c r="L146" s="217"/>
      <c r="M146" s="217"/>
      <c r="N146" s="217"/>
      <c r="O146" s="217"/>
      <c r="P146" s="217"/>
      <c r="Q146" s="218"/>
    </row>
    <row r="147" spans="1:17" s="219" customFormat="1" hidden="1" x14ac:dyDescent="0.25">
      <c r="A147" s="214"/>
      <c r="B147" s="215" t="s">
        <v>1822</v>
      </c>
      <c r="C147" s="215" t="s">
        <v>1823</v>
      </c>
      <c r="D147" s="215" t="s">
        <v>1836</v>
      </c>
      <c r="E147" s="215" t="s">
        <v>1847</v>
      </c>
      <c r="F147" s="215" t="s">
        <v>1836</v>
      </c>
      <c r="G147" s="215" t="s">
        <v>138</v>
      </c>
      <c r="H147" s="216" t="s">
        <v>1960</v>
      </c>
      <c r="I147" s="217"/>
      <c r="J147" s="217"/>
      <c r="K147" s="217"/>
      <c r="L147" s="217"/>
      <c r="M147" s="217"/>
      <c r="N147" s="217"/>
      <c r="O147" s="217"/>
      <c r="P147" s="217"/>
      <c r="Q147" s="218"/>
    </row>
    <row r="148" spans="1:17" s="219" customFormat="1" hidden="1" x14ac:dyDescent="0.25">
      <c r="A148" s="214"/>
      <c r="B148" s="215" t="s">
        <v>1822</v>
      </c>
      <c r="C148" s="215" t="s">
        <v>1823</v>
      </c>
      <c r="D148" s="215" t="s">
        <v>1836</v>
      </c>
      <c r="E148" s="215" t="s">
        <v>1847</v>
      </c>
      <c r="F148" s="215" t="s">
        <v>1836</v>
      </c>
      <c r="G148" s="215" t="s">
        <v>140</v>
      </c>
      <c r="H148" s="216" t="s">
        <v>1961</v>
      </c>
      <c r="I148" s="217"/>
      <c r="J148" s="217"/>
      <c r="K148" s="217"/>
      <c r="L148" s="217"/>
      <c r="M148" s="217"/>
      <c r="N148" s="217"/>
      <c r="O148" s="217"/>
      <c r="P148" s="217"/>
      <c r="Q148" s="218"/>
    </row>
    <row r="149" spans="1:17" s="213" customFormat="1" hidden="1" x14ac:dyDescent="0.25">
      <c r="A149" s="208" t="s">
        <v>263</v>
      </c>
      <c r="B149" s="209" t="s">
        <v>1822</v>
      </c>
      <c r="C149" s="209" t="s">
        <v>1823</v>
      </c>
      <c r="D149" s="209" t="s">
        <v>1836</v>
      </c>
      <c r="E149" s="209" t="s">
        <v>1847</v>
      </c>
      <c r="F149" s="209" t="s">
        <v>1847</v>
      </c>
      <c r="G149" s="209"/>
      <c r="H149" s="210" t="s">
        <v>1962</v>
      </c>
      <c r="I149" s="211">
        <f>SUM(I150:I170)</f>
        <v>0</v>
      </c>
      <c r="J149" s="211">
        <f t="shared" ref="J149:P149" si="20">SUM(J150:J170)</f>
        <v>0</v>
      </c>
      <c r="K149" s="211">
        <f t="shared" si="20"/>
        <v>0</v>
      </c>
      <c r="L149" s="211">
        <f t="shared" si="20"/>
        <v>0</v>
      </c>
      <c r="M149" s="211">
        <f t="shared" si="20"/>
        <v>0</v>
      </c>
      <c r="N149" s="211">
        <f t="shared" si="20"/>
        <v>0</v>
      </c>
      <c r="O149" s="211">
        <f t="shared" si="20"/>
        <v>0</v>
      </c>
      <c r="P149" s="211">
        <f t="shared" si="20"/>
        <v>0</v>
      </c>
      <c r="Q149" s="212"/>
    </row>
    <row r="150" spans="1:17" s="219" customFormat="1" hidden="1" x14ac:dyDescent="0.25">
      <c r="A150" s="214"/>
      <c r="B150" s="215" t="s">
        <v>1822</v>
      </c>
      <c r="C150" s="215" t="s">
        <v>1823</v>
      </c>
      <c r="D150" s="215" t="s">
        <v>1836</v>
      </c>
      <c r="E150" s="215" t="s">
        <v>1847</v>
      </c>
      <c r="F150" s="215" t="s">
        <v>1847</v>
      </c>
      <c r="G150" s="215" t="s">
        <v>58</v>
      </c>
      <c r="H150" s="216" t="s">
        <v>1963</v>
      </c>
      <c r="I150" s="217"/>
      <c r="J150" s="217"/>
      <c r="K150" s="217"/>
      <c r="L150" s="217"/>
      <c r="M150" s="217"/>
      <c r="N150" s="217"/>
      <c r="O150" s="217"/>
      <c r="P150" s="217"/>
      <c r="Q150" s="218"/>
    </row>
    <row r="151" spans="1:17" s="219" customFormat="1" hidden="1" x14ac:dyDescent="0.25">
      <c r="A151" s="214"/>
      <c r="B151" s="215" t="s">
        <v>1822</v>
      </c>
      <c r="C151" s="215" t="s">
        <v>1823</v>
      </c>
      <c r="D151" s="215" t="s">
        <v>1836</v>
      </c>
      <c r="E151" s="215" t="s">
        <v>1847</v>
      </c>
      <c r="F151" s="215" t="s">
        <v>1847</v>
      </c>
      <c r="G151" s="215" t="s">
        <v>75</v>
      </c>
      <c r="H151" s="216" t="s">
        <v>1964</v>
      </c>
      <c r="I151" s="217"/>
      <c r="J151" s="217"/>
      <c r="K151" s="217"/>
      <c r="L151" s="217"/>
      <c r="M151" s="217"/>
      <c r="N151" s="217"/>
      <c r="O151" s="217"/>
      <c r="P151" s="217"/>
      <c r="Q151" s="218"/>
    </row>
    <row r="152" spans="1:17" s="219" customFormat="1" hidden="1" x14ac:dyDescent="0.25">
      <c r="A152" s="214"/>
      <c r="B152" s="215" t="s">
        <v>1822</v>
      </c>
      <c r="C152" s="215" t="s">
        <v>1823</v>
      </c>
      <c r="D152" s="215" t="s">
        <v>1836</v>
      </c>
      <c r="E152" s="215" t="s">
        <v>1847</v>
      </c>
      <c r="F152" s="215" t="s">
        <v>1847</v>
      </c>
      <c r="G152" s="215" t="s">
        <v>79</v>
      </c>
      <c r="H152" s="216" t="s">
        <v>1965</v>
      </c>
      <c r="I152" s="217"/>
      <c r="J152" s="217"/>
      <c r="K152" s="217"/>
      <c r="L152" s="217"/>
      <c r="M152" s="217"/>
      <c r="N152" s="217"/>
      <c r="O152" s="217"/>
      <c r="P152" s="217"/>
      <c r="Q152" s="218"/>
    </row>
    <row r="153" spans="1:17" s="219" customFormat="1" hidden="1" x14ac:dyDescent="0.25">
      <c r="A153" s="214"/>
      <c r="B153" s="215" t="s">
        <v>1822</v>
      </c>
      <c r="C153" s="215" t="s">
        <v>1823</v>
      </c>
      <c r="D153" s="215" t="s">
        <v>1836</v>
      </c>
      <c r="E153" s="215" t="s">
        <v>1847</v>
      </c>
      <c r="F153" s="215" t="s">
        <v>1847</v>
      </c>
      <c r="G153" s="215" t="s">
        <v>84</v>
      </c>
      <c r="H153" s="216" t="s">
        <v>1966</v>
      </c>
      <c r="I153" s="217"/>
      <c r="J153" s="217"/>
      <c r="K153" s="217"/>
      <c r="L153" s="217"/>
      <c r="M153" s="217"/>
      <c r="N153" s="217"/>
      <c r="O153" s="217"/>
      <c r="P153" s="217"/>
      <c r="Q153" s="218"/>
    </row>
    <row r="154" spans="1:17" s="219" customFormat="1" hidden="1" x14ac:dyDescent="0.25">
      <c r="A154" s="214"/>
      <c r="B154" s="215" t="s">
        <v>1822</v>
      </c>
      <c r="C154" s="215" t="s">
        <v>1823</v>
      </c>
      <c r="D154" s="215" t="s">
        <v>1836</v>
      </c>
      <c r="E154" s="215" t="s">
        <v>1847</v>
      </c>
      <c r="F154" s="215" t="s">
        <v>1847</v>
      </c>
      <c r="G154" s="215" t="s">
        <v>88</v>
      </c>
      <c r="H154" s="216" t="s">
        <v>1967</v>
      </c>
      <c r="I154" s="217"/>
      <c r="J154" s="217"/>
      <c r="K154" s="217"/>
      <c r="L154" s="217"/>
      <c r="M154" s="217"/>
      <c r="N154" s="217"/>
      <c r="O154" s="217"/>
      <c r="P154" s="217"/>
      <c r="Q154" s="218"/>
    </row>
    <row r="155" spans="1:17" s="219" customFormat="1" hidden="1" x14ac:dyDescent="0.25">
      <c r="A155" s="214"/>
      <c r="B155" s="215" t="s">
        <v>1822</v>
      </c>
      <c r="C155" s="215" t="s">
        <v>1823</v>
      </c>
      <c r="D155" s="215" t="s">
        <v>1836</v>
      </c>
      <c r="E155" s="215" t="s">
        <v>1847</v>
      </c>
      <c r="F155" s="215" t="s">
        <v>1847</v>
      </c>
      <c r="G155" s="215" t="s">
        <v>92</v>
      </c>
      <c r="H155" s="216" t="s">
        <v>1968</v>
      </c>
      <c r="I155" s="217"/>
      <c r="J155" s="217"/>
      <c r="K155" s="217"/>
      <c r="L155" s="217"/>
      <c r="M155" s="217"/>
      <c r="N155" s="217"/>
      <c r="O155" s="217"/>
      <c r="P155" s="217"/>
      <c r="Q155" s="218"/>
    </row>
    <row r="156" spans="1:17" s="219" customFormat="1" hidden="1" x14ac:dyDescent="0.25">
      <c r="A156" s="214"/>
      <c r="B156" s="215" t="s">
        <v>1822</v>
      </c>
      <c r="C156" s="215" t="s">
        <v>1823</v>
      </c>
      <c r="D156" s="215" t="s">
        <v>1836</v>
      </c>
      <c r="E156" s="215" t="s">
        <v>1847</v>
      </c>
      <c r="F156" s="215" t="s">
        <v>1847</v>
      </c>
      <c r="G156" s="215" t="s">
        <v>96</v>
      </c>
      <c r="H156" s="216" t="s">
        <v>1969</v>
      </c>
      <c r="I156" s="217"/>
      <c r="J156" s="217"/>
      <c r="K156" s="217"/>
      <c r="L156" s="217"/>
      <c r="M156" s="217"/>
      <c r="N156" s="217"/>
      <c r="O156" s="217"/>
      <c r="P156" s="217"/>
      <c r="Q156" s="218"/>
    </row>
    <row r="157" spans="1:17" s="219" customFormat="1" hidden="1" x14ac:dyDescent="0.25">
      <c r="A157" s="214"/>
      <c r="B157" s="215" t="s">
        <v>1822</v>
      </c>
      <c r="C157" s="215" t="s">
        <v>1823</v>
      </c>
      <c r="D157" s="215" t="s">
        <v>1836</v>
      </c>
      <c r="E157" s="215" t="s">
        <v>1847</v>
      </c>
      <c r="F157" s="215" t="s">
        <v>1847</v>
      </c>
      <c r="G157" s="215" t="s">
        <v>100</v>
      </c>
      <c r="H157" s="216" t="s">
        <v>1970</v>
      </c>
      <c r="I157" s="217"/>
      <c r="J157" s="217"/>
      <c r="K157" s="217"/>
      <c r="L157" s="217"/>
      <c r="M157" s="217"/>
      <c r="N157" s="217"/>
      <c r="O157" s="217"/>
      <c r="P157" s="217"/>
      <c r="Q157" s="218"/>
    </row>
    <row r="158" spans="1:17" s="219" customFormat="1" hidden="1" x14ac:dyDescent="0.25">
      <c r="A158" s="214"/>
      <c r="B158" s="215" t="s">
        <v>1822</v>
      </c>
      <c r="C158" s="215" t="s">
        <v>1823</v>
      </c>
      <c r="D158" s="215" t="s">
        <v>1836</v>
      </c>
      <c r="E158" s="215" t="s">
        <v>1847</v>
      </c>
      <c r="F158" s="215" t="s">
        <v>1847</v>
      </c>
      <c r="G158" s="215" t="s">
        <v>105</v>
      </c>
      <c r="H158" s="216" t="s">
        <v>1971</v>
      </c>
      <c r="I158" s="217"/>
      <c r="J158" s="217"/>
      <c r="K158" s="217"/>
      <c r="L158" s="217"/>
      <c r="M158" s="217"/>
      <c r="N158" s="217"/>
      <c r="O158" s="217"/>
      <c r="P158" s="217"/>
      <c r="Q158" s="218"/>
    </row>
    <row r="159" spans="1:17" s="219" customFormat="1" hidden="1" x14ac:dyDescent="0.25">
      <c r="A159" s="214"/>
      <c r="B159" s="215" t="s">
        <v>1822</v>
      </c>
      <c r="C159" s="215" t="s">
        <v>1823</v>
      </c>
      <c r="D159" s="215" t="s">
        <v>1836</v>
      </c>
      <c r="E159" s="215" t="s">
        <v>1847</v>
      </c>
      <c r="F159" s="215" t="s">
        <v>1847</v>
      </c>
      <c r="G159" s="215" t="s">
        <v>108</v>
      </c>
      <c r="H159" s="216" t="s">
        <v>1972</v>
      </c>
      <c r="I159" s="217"/>
      <c r="J159" s="217"/>
      <c r="K159" s="217"/>
      <c r="L159" s="217"/>
      <c r="M159" s="217"/>
      <c r="N159" s="217"/>
      <c r="O159" s="217"/>
      <c r="P159" s="217"/>
      <c r="Q159" s="218"/>
    </row>
    <row r="160" spans="1:17" s="219" customFormat="1" hidden="1" x14ac:dyDescent="0.25">
      <c r="A160" s="214"/>
      <c r="B160" s="215" t="s">
        <v>1822</v>
      </c>
      <c r="C160" s="215" t="s">
        <v>1823</v>
      </c>
      <c r="D160" s="215" t="s">
        <v>1836</v>
      </c>
      <c r="E160" s="215" t="s">
        <v>1847</v>
      </c>
      <c r="F160" s="215" t="s">
        <v>1847</v>
      </c>
      <c r="G160" s="215" t="s">
        <v>135</v>
      </c>
      <c r="H160" s="216" t="s">
        <v>1973</v>
      </c>
      <c r="I160" s="217"/>
      <c r="J160" s="217"/>
      <c r="K160" s="217"/>
      <c r="L160" s="217"/>
      <c r="M160" s="217"/>
      <c r="N160" s="217"/>
      <c r="O160" s="217"/>
      <c r="P160" s="217"/>
      <c r="Q160" s="218"/>
    </row>
    <row r="161" spans="1:17" s="219" customFormat="1" hidden="1" x14ac:dyDescent="0.25">
      <c r="A161" s="214"/>
      <c r="B161" s="215" t="s">
        <v>1822</v>
      </c>
      <c r="C161" s="215" t="s">
        <v>1823</v>
      </c>
      <c r="D161" s="215" t="s">
        <v>1836</v>
      </c>
      <c r="E161" s="215" t="s">
        <v>1847</v>
      </c>
      <c r="F161" s="215" t="s">
        <v>1847</v>
      </c>
      <c r="G161" s="215" t="s">
        <v>138</v>
      </c>
      <c r="H161" s="216" t="s">
        <v>1974</v>
      </c>
      <c r="I161" s="217"/>
      <c r="J161" s="217"/>
      <c r="K161" s="217"/>
      <c r="L161" s="217"/>
      <c r="M161" s="217"/>
      <c r="N161" s="217"/>
      <c r="O161" s="217"/>
      <c r="P161" s="217"/>
      <c r="Q161" s="218"/>
    </row>
    <row r="162" spans="1:17" s="219" customFormat="1" hidden="1" x14ac:dyDescent="0.25">
      <c r="A162" s="214"/>
      <c r="B162" s="215" t="s">
        <v>1822</v>
      </c>
      <c r="C162" s="215" t="s">
        <v>1823</v>
      </c>
      <c r="D162" s="215" t="s">
        <v>1836</v>
      </c>
      <c r="E162" s="215" t="s">
        <v>1847</v>
      </c>
      <c r="F162" s="215" t="s">
        <v>1847</v>
      </c>
      <c r="G162" s="215" t="s">
        <v>140</v>
      </c>
      <c r="H162" s="216" t="s">
        <v>1975</v>
      </c>
      <c r="I162" s="217"/>
      <c r="J162" s="217"/>
      <c r="K162" s="217"/>
      <c r="L162" s="217"/>
      <c r="M162" s="217"/>
      <c r="N162" s="217"/>
      <c r="O162" s="217"/>
      <c r="P162" s="217"/>
      <c r="Q162" s="218"/>
    </row>
    <row r="163" spans="1:17" s="219" customFormat="1" hidden="1" x14ac:dyDescent="0.25">
      <c r="A163" s="214"/>
      <c r="B163" s="215" t="s">
        <v>1822</v>
      </c>
      <c r="C163" s="215" t="s">
        <v>1823</v>
      </c>
      <c r="D163" s="215" t="s">
        <v>1836</v>
      </c>
      <c r="E163" s="215" t="s">
        <v>1847</v>
      </c>
      <c r="F163" s="215" t="s">
        <v>1847</v>
      </c>
      <c r="G163" s="215" t="s">
        <v>143</v>
      </c>
      <c r="H163" s="216" t="s">
        <v>1976</v>
      </c>
      <c r="I163" s="217"/>
      <c r="J163" s="217"/>
      <c r="K163" s="217"/>
      <c r="L163" s="217"/>
      <c r="M163" s="217"/>
      <c r="N163" s="217"/>
      <c r="O163" s="217"/>
      <c r="P163" s="217"/>
      <c r="Q163" s="218"/>
    </row>
    <row r="164" spans="1:17" s="219" customFormat="1" hidden="1" x14ac:dyDescent="0.25">
      <c r="A164" s="214"/>
      <c r="B164" s="215" t="s">
        <v>1822</v>
      </c>
      <c r="C164" s="215" t="s">
        <v>1823</v>
      </c>
      <c r="D164" s="215" t="s">
        <v>1836</v>
      </c>
      <c r="E164" s="215" t="s">
        <v>1847</v>
      </c>
      <c r="F164" s="215" t="s">
        <v>1847</v>
      </c>
      <c r="G164" s="215" t="s">
        <v>146</v>
      </c>
      <c r="H164" s="216" t="s">
        <v>1977</v>
      </c>
      <c r="I164" s="217"/>
      <c r="J164" s="217"/>
      <c r="K164" s="217"/>
      <c r="L164" s="217"/>
      <c r="M164" s="217"/>
      <c r="N164" s="217"/>
      <c r="O164" s="217"/>
      <c r="P164" s="217"/>
      <c r="Q164" s="218"/>
    </row>
    <row r="165" spans="1:17" s="219" customFormat="1" hidden="1" x14ac:dyDescent="0.25">
      <c r="A165" s="214"/>
      <c r="B165" s="215" t="s">
        <v>1822</v>
      </c>
      <c r="C165" s="215" t="s">
        <v>1823</v>
      </c>
      <c r="D165" s="215" t="s">
        <v>1836</v>
      </c>
      <c r="E165" s="215" t="s">
        <v>1847</v>
      </c>
      <c r="F165" s="215" t="s">
        <v>1847</v>
      </c>
      <c r="G165" s="215" t="s">
        <v>150</v>
      </c>
      <c r="H165" s="216" t="s">
        <v>1978</v>
      </c>
      <c r="I165" s="217"/>
      <c r="J165" s="217"/>
      <c r="K165" s="217"/>
      <c r="L165" s="217"/>
      <c r="M165" s="217"/>
      <c r="N165" s="217"/>
      <c r="O165" s="217"/>
      <c r="P165" s="217"/>
      <c r="Q165" s="218"/>
    </row>
    <row r="166" spans="1:17" s="219" customFormat="1" hidden="1" x14ac:dyDescent="0.25">
      <c r="A166" s="214"/>
      <c r="B166" s="215" t="s">
        <v>1822</v>
      </c>
      <c r="C166" s="215" t="s">
        <v>1823</v>
      </c>
      <c r="D166" s="215" t="s">
        <v>1836</v>
      </c>
      <c r="E166" s="215" t="s">
        <v>1847</v>
      </c>
      <c r="F166" s="215" t="s">
        <v>1847</v>
      </c>
      <c r="G166" s="215" t="s">
        <v>153</v>
      </c>
      <c r="H166" s="216" t="s">
        <v>1979</v>
      </c>
      <c r="I166" s="217"/>
      <c r="J166" s="217"/>
      <c r="K166" s="217"/>
      <c r="L166" s="217"/>
      <c r="M166" s="217"/>
      <c r="N166" s="217"/>
      <c r="O166" s="217"/>
      <c r="P166" s="217"/>
      <c r="Q166" s="218"/>
    </row>
    <row r="167" spans="1:17" s="219" customFormat="1" hidden="1" x14ac:dyDescent="0.25">
      <c r="A167" s="214"/>
      <c r="B167" s="215" t="s">
        <v>1822</v>
      </c>
      <c r="C167" s="215" t="s">
        <v>1823</v>
      </c>
      <c r="D167" s="215" t="s">
        <v>1836</v>
      </c>
      <c r="E167" s="215" t="s">
        <v>1847</v>
      </c>
      <c r="F167" s="215" t="s">
        <v>1847</v>
      </c>
      <c r="G167" s="215" t="s">
        <v>156</v>
      </c>
      <c r="H167" s="216" t="s">
        <v>1980</v>
      </c>
      <c r="I167" s="217"/>
      <c r="J167" s="217"/>
      <c r="K167" s="217"/>
      <c r="L167" s="217"/>
      <c r="M167" s="217"/>
      <c r="N167" s="217"/>
      <c r="O167" s="217"/>
      <c r="P167" s="217"/>
      <c r="Q167" s="218"/>
    </row>
    <row r="168" spans="1:17" s="219" customFormat="1" ht="30" hidden="1" x14ac:dyDescent="0.25">
      <c r="A168" s="214"/>
      <c r="B168" s="215" t="s">
        <v>1822</v>
      </c>
      <c r="C168" s="215" t="s">
        <v>1823</v>
      </c>
      <c r="D168" s="215" t="s">
        <v>1836</v>
      </c>
      <c r="E168" s="215" t="s">
        <v>1847</v>
      </c>
      <c r="F168" s="215" t="s">
        <v>1847</v>
      </c>
      <c r="G168" s="215" t="s">
        <v>159</v>
      </c>
      <c r="H168" s="216" t="s">
        <v>1981</v>
      </c>
      <c r="I168" s="217"/>
      <c r="J168" s="217"/>
      <c r="K168" s="217"/>
      <c r="L168" s="217"/>
      <c r="M168" s="217"/>
      <c r="N168" s="217"/>
      <c r="O168" s="217"/>
      <c r="P168" s="217"/>
      <c r="Q168" s="218"/>
    </row>
    <row r="169" spans="1:17" s="219" customFormat="1" hidden="1" x14ac:dyDescent="0.25">
      <c r="A169" s="214"/>
      <c r="B169" s="215" t="s">
        <v>1822</v>
      </c>
      <c r="C169" s="215" t="s">
        <v>1823</v>
      </c>
      <c r="D169" s="215" t="s">
        <v>1836</v>
      </c>
      <c r="E169" s="215" t="s">
        <v>1847</v>
      </c>
      <c r="F169" s="215" t="s">
        <v>1847</v>
      </c>
      <c r="G169" s="215" t="s">
        <v>162</v>
      </c>
      <c r="H169" s="216" t="s">
        <v>1982</v>
      </c>
      <c r="I169" s="217"/>
      <c r="J169" s="217"/>
      <c r="K169" s="217"/>
      <c r="L169" s="217"/>
      <c r="M169" s="217"/>
      <c r="N169" s="217"/>
      <c r="O169" s="217"/>
      <c r="P169" s="217"/>
      <c r="Q169" s="218"/>
    </row>
    <row r="170" spans="1:17" s="219" customFormat="1" hidden="1" x14ac:dyDescent="0.25">
      <c r="A170" s="214"/>
      <c r="B170" s="215" t="s">
        <v>1822</v>
      </c>
      <c r="C170" s="215" t="s">
        <v>1823</v>
      </c>
      <c r="D170" s="215" t="s">
        <v>1836</v>
      </c>
      <c r="E170" s="215" t="s">
        <v>1847</v>
      </c>
      <c r="F170" s="215" t="s">
        <v>1847</v>
      </c>
      <c r="G170" s="215" t="s">
        <v>312</v>
      </c>
      <c r="H170" s="216" t="s">
        <v>1983</v>
      </c>
      <c r="I170" s="217"/>
      <c r="J170" s="217"/>
      <c r="K170" s="217"/>
      <c r="L170" s="217"/>
      <c r="M170" s="217"/>
      <c r="N170" s="217"/>
      <c r="O170" s="217"/>
      <c r="P170" s="217"/>
      <c r="Q170" s="218"/>
    </row>
    <row r="171" spans="1:17" s="213" customFormat="1" hidden="1" x14ac:dyDescent="0.25">
      <c r="A171" s="208" t="s">
        <v>1984</v>
      </c>
      <c r="B171" s="209" t="s">
        <v>1822</v>
      </c>
      <c r="C171" s="209" t="s">
        <v>1823</v>
      </c>
      <c r="D171" s="209" t="s">
        <v>1836</v>
      </c>
      <c r="E171" s="209" t="s">
        <v>1928</v>
      </c>
      <c r="F171" s="209"/>
      <c r="G171" s="209"/>
      <c r="H171" s="210" t="s">
        <v>1985</v>
      </c>
      <c r="I171" s="211">
        <f>I172</f>
        <v>0</v>
      </c>
      <c r="J171" s="211">
        <f t="shared" ref="J171:P171" si="21">J172</f>
        <v>0</v>
      </c>
      <c r="K171" s="211">
        <f t="shared" si="21"/>
        <v>0</v>
      </c>
      <c r="L171" s="211">
        <f t="shared" si="21"/>
        <v>0</v>
      </c>
      <c r="M171" s="211">
        <f t="shared" si="21"/>
        <v>0</v>
      </c>
      <c r="N171" s="211">
        <f t="shared" si="21"/>
        <v>0</v>
      </c>
      <c r="O171" s="211">
        <f t="shared" si="21"/>
        <v>0</v>
      </c>
      <c r="P171" s="211">
        <f t="shared" si="21"/>
        <v>0</v>
      </c>
      <c r="Q171" s="212"/>
    </row>
    <row r="172" spans="1:17" s="213" customFormat="1" hidden="1" x14ac:dyDescent="0.25">
      <c r="A172" s="208" t="s">
        <v>263</v>
      </c>
      <c r="B172" s="209" t="s">
        <v>1822</v>
      </c>
      <c r="C172" s="209" t="s">
        <v>1823</v>
      </c>
      <c r="D172" s="209" t="s">
        <v>1836</v>
      </c>
      <c r="E172" s="209" t="s">
        <v>1928</v>
      </c>
      <c r="F172" s="209" t="s">
        <v>1825</v>
      </c>
      <c r="G172" s="209"/>
      <c r="H172" s="210" t="s">
        <v>1986</v>
      </c>
      <c r="I172" s="211">
        <f>SUM(I173:I182)</f>
        <v>0</v>
      </c>
      <c r="J172" s="211">
        <f t="shared" ref="J172:P172" si="22">SUM(J173:J182)</f>
        <v>0</v>
      </c>
      <c r="K172" s="211">
        <f t="shared" si="22"/>
        <v>0</v>
      </c>
      <c r="L172" s="211">
        <f t="shared" si="22"/>
        <v>0</v>
      </c>
      <c r="M172" s="211">
        <f t="shared" si="22"/>
        <v>0</v>
      </c>
      <c r="N172" s="211">
        <f t="shared" si="22"/>
        <v>0</v>
      </c>
      <c r="O172" s="211">
        <f t="shared" si="22"/>
        <v>0</v>
      </c>
      <c r="P172" s="211">
        <f t="shared" si="22"/>
        <v>0</v>
      </c>
      <c r="Q172" s="212"/>
    </row>
    <row r="173" spans="1:17" s="219" customFormat="1" hidden="1" x14ac:dyDescent="0.25">
      <c r="A173" s="214"/>
      <c r="B173" s="215" t="s">
        <v>1822</v>
      </c>
      <c r="C173" s="215" t="s">
        <v>1823</v>
      </c>
      <c r="D173" s="215" t="s">
        <v>1836</v>
      </c>
      <c r="E173" s="215" t="s">
        <v>1928</v>
      </c>
      <c r="F173" s="215" t="s">
        <v>1825</v>
      </c>
      <c r="G173" s="215" t="s">
        <v>58</v>
      </c>
      <c r="H173" s="216" t="s">
        <v>1987</v>
      </c>
      <c r="I173" s="217"/>
      <c r="J173" s="217"/>
      <c r="K173" s="217"/>
      <c r="L173" s="217"/>
      <c r="M173" s="217"/>
      <c r="N173" s="217"/>
      <c r="O173" s="217"/>
      <c r="P173" s="217"/>
      <c r="Q173" s="218"/>
    </row>
    <row r="174" spans="1:17" s="219" customFormat="1" ht="30" hidden="1" x14ac:dyDescent="0.25">
      <c r="A174" s="214"/>
      <c r="B174" s="215" t="s">
        <v>1822</v>
      </c>
      <c r="C174" s="215" t="s">
        <v>1823</v>
      </c>
      <c r="D174" s="215" t="s">
        <v>1836</v>
      </c>
      <c r="E174" s="215" t="s">
        <v>1928</v>
      </c>
      <c r="F174" s="215" t="s">
        <v>1825</v>
      </c>
      <c r="G174" s="215" t="s">
        <v>75</v>
      </c>
      <c r="H174" s="216" t="s">
        <v>1988</v>
      </c>
      <c r="I174" s="217"/>
      <c r="J174" s="217"/>
      <c r="K174" s="217"/>
      <c r="L174" s="217"/>
      <c r="M174" s="217"/>
      <c r="N174" s="217"/>
      <c r="O174" s="217"/>
      <c r="P174" s="217"/>
      <c r="Q174" s="218"/>
    </row>
    <row r="175" spans="1:17" s="219" customFormat="1" hidden="1" x14ac:dyDescent="0.25">
      <c r="A175" s="214"/>
      <c r="B175" s="215" t="s">
        <v>1822</v>
      </c>
      <c r="C175" s="215" t="s">
        <v>1823</v>
      </c>
      <c r="D175" s="215" t="s">
        <v>1836</v>
      </c>
      <c r="E175" s="215" t="s">
        <v>1928</v>
      </c>
      <c r="F175" s="215" t="s">
        <v>1825</v>
      </c>
      <c r="G175" s="215" t="s">
        <v>79</v>
      </c>
      <c r="H175" s="216" t="s">
        <v>1989</v>
      </c>
      <c r="I175" s="217"/>
      <c r="J175" s="217"/>
      <c r="K175" s="217"/>
      <c r="L175" s="217"/>
      <c r="M175" s="217"/>
      <c r="N175" s="217"/>
      <c r="O175" s="217"/>
      <c r="P175" s="217"/>
      <c r="Q175" s="218"/>
    </row>
    <row r="176" spans="1:17" s="219" customFormat="1" ht="30" hidden="1" x14ac:dyDescent="0.25">
      <c r="A176" s="214"/>
      <c r="B176" s="215" t="s">
        <v>1822</v>
      </c>
      <c r="C176" s="215" t="s">
        <v>1823</v>
      </c>
      <c r="D176" s="215" t="s">
        <v>1836</v>
      </c>
      <c r="E176" s="215" t="s">
        <v>1928</v>
      </c>
      <c r="F176" s="215" t="s">
        <v>1825</v>
      </c>
      <c r="G176" s="215" t="s">
        <v>84</v>
      </c>
      <c r="H176" s="216" t="s">
        <v>1990</v>
      </c>
      <c r="I176" s="217"/>
      <c r="J176" s="217"/>
      <c r="K176" s="217"/>
      <c r="L176" s="217"/>
      <c r="M176" s="217"/>
      <c r="N176" s="217"/>
      <c r="O176" s="217"/>
      <c r="P176" s="217"/>
      <c r="Q176" s="218"/>
    </row>
    <row r="177" spans="1:17" s="219" customFormat="1" hidden="1" x14ac:dyDescent="0.25">
      <c r="A177" s="214"/>
      <c r="B177" s="215" t="s">
        <v>1822</v>
      </c>
      <c r="C177" s="215" t="s">
        <v>1823</v>
      </c>
      <c r="D177" s="215" t="s">
        <v>1836</v>
      </c>
      <c r="E177" s="215" t="s">
        <v>1928</v>
      </c>
      <c r="F177" s="215" t="s">
        <v>1825</v>
      </c>
      <c r="G177" s="215" t="s">
        <v>88</v>
      </c>
      <c r="H177" s="216" t="s">
        <v>1991</v>
      </c>
      <c r="I177" s="217"/>
      <c r="J177" s="217"/>
      <c r="K177" s="217"/>
      <c r="L177" s="217"/>
      <c r="M177" s="217"/>
      <c r="N177" s="217"/>
      <c r="O177" s="217"/>
      <c r="P177" s="217"/>
      <c r="Q177" s="218"/>
    </row>
    <row r="178" spans="1:17" s="219" customFormat="1" hidden="1" x14ac:dyDescent="0.25">
      <c r="A178" s="214"/>
      <c r="B178" s="215" t="s">
        <v>1822</v>
      </c>
      <c r="C178" s="215" t="s">
        <v>1823</v>
      </c>
      <c r="D178" s="215" t="s">
        <v>1836</v>
      </c>
      <c r="E178" s="215" t="s">
        <v>1928</v>
      </c>
      <c r="F178" s="215" t="s">
        <v>1825</v>
      </c>
      <c r="G178" s="215" t="s">
        <v>92</v>
      </c>
      <c r="H178" s="216" t="s">
        <v>1992</v>
      </c>
      <c r="I178" s="217"/>
      <c r="J178" s="217"/>
      <c r="K178" s="217"/>
      <c r="L178" s="217"/>
      <c r="M178" s="217"/>
      <c r="N178" s="217"/>
      <c r="O178" s="217"/>
      <c r="P178" s="217"/>
      <c r="Q178" s="218"/>
    </row>
    <row r="179" spans="1:17" s="219" customFormat="1" hidden="1" x14ac:dyDescent="0.25">
      <c r="A179" s="214"/>
      <c r="B179" s="215" t="s">
        <v>1822</v>
      </c>
      <c r="C179" s="215" t="s">
        <v>1823</v>
      </c>
      <c r="D179" s="215" t="s">
        <v>1836</v>
      </c>
      <c r="E179" s="215" t="s">
        <v>1928</v>
      </c>
      <c r="F179" s="215" t="s">
        <v>1825</v>
      </c>
      <c r="G179" s="215" t="s">
        <v>96</v>
      </c>
      <c r="H179" s="216" t="s">
        <v>1993</v>
      </c>
      <c r="I179" s="217"/>
      <c r="J179" s="217"/>
      <c r="K179" s="217"/>
      <c r="L179" s="217"/>
      <c r="M179" s="217"/>
      <c r="N179" s="217"/>
      <c r="O179" s="217"/>
      <c r="P179" s="217"/>
      <c r="Q179" s="218"/>
    </row>
    <row r="180" spans="1:17" s="219" customFormat="1" hidden="1" x14ac:dyDescent="0.25">
      <c r="A180" s="214"/>
      <c r="B180" s="215" t="s">
        <v>1822</v>
      </c>
      <c r="C180" s="215" t="s">
        <v>1823</v>
      </c>
      <c r="D180" s="215" t="s">
        <v>1836</v>
      </c>
      <c r="E180" s="215" t="s">
        <v>1928</v>
      </c>
      <c r="F180" s="215" t="s">
        <v>1825</v>
      </c>
      <c r="G180" s="215" t="s">
        <v>100</v>
      </c>
      <c r="H180" s="216" t="s">
        <v>1994</v>
      </c>
      <c r="I180" s="217"/>
      <c r="J180" s="217"/>
      <c r="K180" s="217"/>
      <c r="L180" s="217"/>
      <c r="M180" s="217"/>
      <c r="N180" s="217"/>
      <c r="O180" s="217"/>
      <c r="P180" s="217"/>
      <c r="Q180" s="218"/>
    </row>
    <row r="181" spans="1:17" s="219" customFormat="1" hidden="1" x14ac:dyDescent="0.25">
      <c r="A181" s="214"/>
      <c r="B181" s="215" t="s">
        <v>1822</v>
      </c>
      <c r="C181" s="215" t="s">
        <v>1823</v>
      </c>
      <c r="D181" s="215" t="s">
        <v>1836</v>
      </c>
      <c r="E181" s="215" t="s">
        <v>1928</v>
      </c>
      <c r="F181" s="215" t="s">
        <v>1825</v>
      </c>
      <c r="G181" s="215" t="s">
        <v>105</v>
      </c>
      <c r="H181" s="216" t="s">
        <v>1995</v>
      </c>
      <c r="I181" s="217"/>
      <c r="J181" s="217"/>
      <c r="K181" s="217"/>
      <c r="L181" s="217"/>
      <c r="M181" s="217"/>
      <c r="N181" s="217"/>
      <c r="O181" s="217"/>
      <c r="P181" s="217"/>
      <c r="Q181" s="218"/>
    </row>
    <row r="182" spans="1:17" s="219" customFormat="1" x14ac:dyDescent="0.25">
      <c r="A182" s="214"/>
      <c r="B182" s="215" t="s">
        <v>1822</v>
      </c>
      <c r="C182" s="215" t="s">
        <v>1823</v>
      </c>
      <c r="D182" s="215" t="s">
        <v>1836</v>
      </c>
      <c r="E182" s="215" t="s">
        <v>1928</v>
      </c>
      <c r="F182" s="215" t="s">
        <v>1825</v>
      </c>
      <c r="G182" s="215" t="s">
        <v>108</v>
      </c>
      <c r="H182" s="216" t="s">
        <v>1996</v>
      </c>
      <c r="I182" s="217"/>
      <c r="J182" s="217"/>
      <c r="K182" s="217"/>
      <c r="L182" s="217"/>
      <c r="M182" s="217"/>
      <c r="N182" s="217"/>
      <c r="O182" s="217"/>
      <c r="P182" s="217"/>
      <c r="Q182" s="218">
        <v>146460488.36666667</v>
      </c>
    </row>
    <row r="183" spans="1:17" s="213" customFormat="1" x14ac:dyDescent="0.25">
      <c r="A183" s="208" t="s">
        <v>1997</v>
      </c>
      <c r="B183" s="209" t="s">
        <v>1822</v>
      </c>
      <c r="C183" s="209" t="s">
        <v>1823</v>
      </c>
      <c r="D183" s="209" t="s">
        <v>1836</v>
      </c>
      <c r="E183" s="209" t="s">
        <v>1934</v>
      </c>
      <c r="F183" s="209"/>
      <c r="G183" s="209"/>
      <c r="H183" s="210" t="s">
        <v>1998</v>
      </c>
      <c r="I183" s="211">
        <f>SUM(I184+I190+I198)</f>
        <v>7410093671.0046158</v>
      </c>
      <c r="J183" s="211">
        <f t="shared" ref="J183:P183" si="23">SUM(J184+J190+J198)</f>
        <v>483506708.20000005</v>
      </c>
      <c r="K183" s="211">
        <f t="shared" si="23"/>
        <v>134611663.50000003</v>
      </c>
      <c r="L183" s="211">
        <f t="shared" si="23"/>
        <v>131306564.53333336</v>
      </c>
      <c r="M183" s="211">
        <f t="shared" si="23"/>
        <v>265918228.03333339</v>
      </c>
      <c r="N183" s="211">
        <f t="shared" si="23"/>
        <v>6940158212.2146168</v>
      </c>
      <c r="O183" s="211">
        <f t="shared" si="23"/>
        <v>469935458.78999996</v>
      </c>
      <c r="P183" s="211">
        <f t="shared" si="23"/>
        <v>0</v>
      </c>
      <c r="Q183" s="212" t="s">
        <v>3695</v>
      </c>
    </row>
    <row r="184" spans="1:17" s="213" customFormat="1" x14ac:dyDescent="0.25">
      <c r="A184" s="208" t="s">
        <v>263</v>
      </c>
      <c r="B184" s="209" t="s">
        <v>1822</v>
      </c>
      <c r="C184" s="209" t="s">
        <v>1823</v>
      </c>
      <c r="D184" s="209" t="s">
        <v>1836</v>
      </c>
      <c r="E184" s="209" t="s">
        <v>1934</v>
      </c>
      <c r="F184" s="209" t="s">
        <v>1825</v>
      </c>
      <c r="G184" s="209"/>
      <c r="H184" s="210" t="s">
        <v>1999</v>
      </c>
      <c r="I184" s="211">
        <f>SUM(I185:I189)</f>
        <v>1190547400</v>
      </c>
      <c r="J184" s="211">
        <f t="shared" ref="J184:P184" si="24">SUM(J185:J189)</f>
        <v>89296320</v>
      </c>
      <c r="K184" s="211">
        <f t="shared" si="24"/>
        <v>16186301.66666669</v>
      </c>
      <c r="L184" s="211">
        <f t="shared" si="24"/>
        <v>14936793.33333334</v>
      </c>
      <c r="M184" s="211">
        <f t="shared" si="24"/>
        <v>31123095.000000026</v>
      </c>
      <c r="N184" s="211">
        <f t="shared" si="24"/>
        <v>1171119796.6666667</v>
      </c>
      <c r="O184" s="211">
        <f t="shared" si="24"/>
        <v>19427603.333333332</v>
      </c>
      <c r="P184" s="211">
        <f t="shared" si="24"/>
        <v>0</v>
      </c>
      <c r="Q184" s="212"/>
    </row>
    <row r="185" spans="1:17" s="219" customFormat="1" x14ac:dyDescent="0.25">
      <c r="A185" s="214"/>
      <c r="B185" s="215" t="s">
        <v>1822</v>
      </c>
      <c r="C185" s="215" t="s">
        <v>1823</v>
      </c>
      <c r="D185" s="215" t="s">
        <v>1836</v>
      </c>
      <c r="E185" s="215" t="s">
        <v>1934</v>
      </c>
      <c r="F185" s="215" t="s">
        <v>1825</v>
      </c>
      <c r="G185" s="215" t="s">
        <v>58</v>
      </c>
      <c r="H185" s="216" t="s">
        <v>2000</v>
      </c>
      <c r="I185" s="217">
        <v>9950000</v>
      </c>
      <c r="J185" s="217"/>
      <c r="K185" s="217"/>
      <c r="L185" s="217"/>
      <c r="M185" s="217"/>
      <c r="N185" s="217">
        <v>9950000</v>
      </c>
      <c r="O185" s="217"/>
      <c r="P185" s="217"/>
      <c r="Q185" s="218"/>
    </row>
    <row r="186" spans="1:17" s="219" customFormat="1" x14ac:dyDescent="0.25">
      <c r="A186" s="214"/>
      <c r="B186" s="215" t="s">
        <v>1822</v>
      </c>
      <c r="C186" s="215" t="s">
        <v>1823</v>
      </c>
      <c r="D186" s="215" t="s">
        <v>1836</v>
      </c>
      <c r="E186" s="215" t="s">
        <v>1934</v>
      </c>
      <c r="F186" s="215" t="s">
        <v>1825</v>
      </c>
      <c r="G186" s="215" t="s">
        <v>75</v>
      </c>
      <c r="H186" s="216" t="s">
        <v>2001</v>
      </c>
      <c r="I186" s="217">
        <v>4625600</v>
      </c>
      <c r="J186" s="217">
        <v>791120</v>
      </c>
      <c r="K186" s="217">
        <v>395560</v>
      </c>
      <c r="L186" s="217">
        <v>395560</v>
      </c>
      <c r="M186" s="217">
        <v>791120</v>
      </c>
      <c r="N186" s="217">
        <v>4098186.6666666665</v>
      </c>
      <c r="O186" s="217">
        <v>527413.33333333349</v>
      </c>
      <c r="P186" s="217"/>
      <c r="Q186" s="218"/>
    </row>
    <row r="187" spans="1:17" s="219" customFormat="1" x14ac:dyDescent="0.25">
      <c r="A187" s="214"/>
      <c r="B187" s="215" t="s">
        <v>1822</v>
      </c>
      <c r="C187" s="215" t="s">
        <v>1823</v>
      </c>
      <c r="D187" s="215" t="s">
        <v>1836</v>
      </c>
      <c r="E187" s="215" t="s">
        <v>1934</v>
      </c>
      <c r="F187" s="215" t="s">
        <v>1825</v>
      </c>
      <c r="G187" s="215" t="s">
        <v>79</v>
      </c>
      <c r="H187" s="216" t="s">
        <v>2002</v>
      </c>
      <c r="I187" s="217">
        <v>39240300</v>
      </c>
      <c r="J187" s="217"/>
      <c r="K187" s="217"/>
      <c r="L187" s="217"/>
      <c r="M187" s="217"/>
      <c r="N187" s="217">
        <v>39240300</v>
      </c>
      <c r="O187" s="217"/>
      <c r="P187" s="217"/>
      <c r="Q187" s="218"/>
    </row>
    <row r="188" spans="1:17" s="219" customFormat="1" x14ac:dyDescent="0.25">
      <c r="A188" s="214"/>
      <c r="B188" s="215" t="s">
        <v>1822</v>
      </c>
      <c r="C188" s="215" t="s">
        <v>1823</v>
      </c>
      <c r="D188" s="215" t="s">
        <v>1836</v>
      </c>
      <c r="E188" s="215" t="s">
        <v>1934</v>
      </c>
      <c r="F188" s="215" t="s">
        <v>1825</v>
      </c>
      <c r="G188" s="215" t="s">
        <v>84</v>
      </c>
      <c r="H188" s="216" t="s">
        <v>2003</v>
      </c>
      <c r="I188" s="217">
        <v>454264000</v>
      </c>
      <c r="J188" s="217">
        <v>14917100</v>
      </c>
      <c r="K188" s="217">
        <v>4958800</v>
      </c>
      <c r="L188" s="217">
        <v>4792333.3333333395</v>
      </c>
      <c r="M188" s="217">
        <v>9751133.3333333395</v>
      </c>
      <c r="N188" s="217">
        <v>450964000</v>
      </c>
      <c r="O188" s="217">
        <v>3300000</v>
      </c>
      <c r="P188" s="217"/>
      <c r="Q188" s="218"/>
    </row>
    <row r="189" spans="1:17" s="219" customFormat="1" x14ac:dyDescent="0.25">
      <c r="A189" s="214"/>
      <c r="B189" s="215" t="s">
        <v>1822</v>
      </c>
      <c r="C189" s="215" t="s">
        <v>1823</v>
      </c>
      <c r="D189" s="215" t="s">
        <v>1836</v>
      </c>
      <c r="E189" s="215" t="s">
        <v>1934</v>
      </c>
      <c r="F189" s="215" t="s">
        <v>1825</v>
      </c>
      <c r="G189" s="215" t="s">
        <v>88</v>
      </c>
      <c r="H189" s="216" t="s">
        <v>2004</v>
      </c>
      <c r="I189" s="217">
        <v>682467500</v>
      </c>
      <c r="J189" s="217">
        <v>73588100</v>
      </c>
      <c r="K189" s="217">
        <v>10831941.66666669</v>
      </c>
      <c r="L189" s="217">
        <v>9748900</v>
      </c>
      <c r="M189" s="217">
        <v>20580841.666666687</v>
      </c>
      <c r="N189" s="217">
        <v>666867310</v>
      </c>
      <c r="O189" s="217">
        <v>15600190</v>
      </c>
      <c r="P189" s="217"/>
      <c r="Q189" s="218"/>
    </row>
    <row r="190" spans="1:17" s="213" customFormat="1" x14ac:dyDescent="0.25">
      <c r="A190" s="208" t="s">
        <v>263</v>
      </c>
      <c r="B190" s="209" t="s">
        <v>1822</v>
      </c>
      <c r="C190" s="209" t="s">
        <v>1823</v>
      </c>
      <c r="D190" s="209" t="s">
        <v>1836</v>
      </c>
      <c r="E190" s="209" t="s">
        <v>1934</v>
      </c>
      <c r="F190" s="209" t="s">
        <v>1836</v>
      </c>
      <c r="G190" s="209"/>
      <c r="H190" s="210" t="s">
        <v>2005</v>
      </c>
      <c r="I190" s="211">
        <f>SUM(I191:I197)</f>
        <v>5557770433.014616</v>
      </c>
      <c r="J190" s="211">
        <f t="shared" ref="J190:P190" si="25">SUM(J191:J197)</f>
        <v>386760996.60000002</v>
      </c>
      <c r="K190" s="211">
        <f t="shared" si="25"/>
        <v>118066395.16666669</v>
      </c>
      <c r="L190" s="211">
        <f t="shared" si="25"/>
        <v>114013427.50000001</v>
      </c>
      <c r="M190" s="211">
        <f t="shared" si="25"/>
        <v>232079822.66666669</v>
      </c>
      <c r="N190" s="211">
        <f t="shared" si="25"/>
        <v>5120615191.59795</v>
      </c>
      <c r="O190" s="211">
        <f t="shared" si="25"/>
        <v>437155241.41666663</v>
      </c>
      <c r="P190" s="211">
        <f t="shared" si="25"/>
        <v>0</v>
      </c>
      <c r="Q190" s="212"/>
    </row>
    <row r="191" spans="1:17" s="219" customFormat="1" x14ac:dyDescent="0.25">
      <c r="A191" s="214"/>
      <c r="B191" s="215" t="s">
        <v>1822</v>
      </c>
      <c r="C191" s="215" t="s">
        <v>1823</v>
      </c>
      <c r="D191" s="215" t="s">
        <v>1836</v>
      </c>
      <c r="E191" s="215" t="s">
        <v>1934</v>
      </c>
      <c r="F191" s="215" t="s">
        <v>1836</v>
      </c>
      <c r="G191" s="215" t="s">
        <v>58</v>
      </c>
      <c r="H191" s="216" t="s">
        <v>2006</v>
      </c>
      <c r="I191" s="217">
        <v>2048789400</v>
      </c>
      <c r="J191" s="217">
        <v>137951300</v>
      </c>
      <c r="K191" s="217">
        <v>35037066.666666679</v>
      </c>
      <c r="L191" s="217">
        <v>30866750</v>
      </c>
      <c r="M191" s="217">
        <v>65903816.666666679</v>
      </c>
      <c r="N191" s="217">
        <v>1948417658.3333333</v>
      </c>
      <c r="O191" s="217">
        <v>100371741.66666667</v>
      </c>
      <c r="P191" s="217"/>
      <c r="Q191" s="218"/>
    </row>
    <row r="192" spans="1:17" s="219" customFormat="1" x14ac:dyDescent="0.25">
      <c r="A192" s="214"/>
      <c r="B192" s="215" t="s">
        <v>1822</v>
      </c>
      <c r="C192" s="215" t="s">
        <v>1823</v>
      </c>
      <c r="D192" s="215" t="s">
        <v>1836</v>
      </c>
      <c r="E192" s="215" t="s">
        <v>1934</v>
      </c>
      <c r="F192" s="215" t="s">
        <v>1836</v>
      </c>
      <c r="G192" s="215" t="s">
        <v>75</v>
      </c>
      <c r="H192" s="216" t="s">
        <v>2007</v>
      </c>
      <c r="I192" s="217"/>
      <c r="J192" s="217"/>
      <c r="K192" s="217"/>
      <c r="L192" s="217"/>
      <c r="M192" s="217"/>
      <c r="N192" s="217"/>
      <c r="O192" s="217"/>
      <c r="P192" s="217"/>
      <c r="Q192" s="218"/>
    </row>
    <row r="193" spans="1:17" s="219" customFormat="1" x14ac:dyDescent="0.25">
      <c r="A193" s="214"/>
      <c r="B193" s="215" t="s">
        <v>1822</v>
      </c>
      <c r="C193" s="215" t="s">
        <v>1823</v>
      </c>
      <c r="D193" s="215" t="s">
        <v>1836</v>
      </c>
      <c r="E193" s="215" t="s">
        <v>1934</v>
      </c>
      <c r="F193" s="215" t="s">
        <v>1836</v>
      </c>
      <c r="G193" s="215" t="s">
        <v>79</v>
      </c>
      <c r="H193" s="216" t="s">
        <v>2008</v>
      </c>
      <c r="I193" s="217"/>
      <c r="J193" s="217"/>
      <c r="K193" s="217"/>
      <c r="L193" s="217"/>
      <c r="M193" s="217"/>
      <c r="N193" s="217"/>
      <c r="O193" s="217"/>
      <c r="P193" s="217"/>
      <c r="Q193" s="218"/>
    </row>
    <row r="194" spans="1:17" s="219" customFormat="1" x14ac:dyDescent="0.25">
      <c r="A194" s="214"/>
      <c r="B194" s="215" t="s">
        <v>1822</v>
      </c>
      <c r="C194" s="215" t="s">
        <v>1823</v>
      </c>
      <c r="D194" s="215" t="s">
        <v>1836</v>
      </c>
      <c r="E194" s="215" t="s">
        <v>1934</v>
      </c>
      <c r="F194" s="215" t="s">
        <v>1836</v>
      </c>
      <c r="G194" s="215" t="s">
        <v>84</v>
      </c>
      <c r="H194" s="216" t="s">
        <v>2009</v>
      </c>
      <c r="I194" s="217">
        <v>1406287870.0146158</v>
      </c>
      <c r="J194" s="217">
        <v>118427773.99999999</v>
      </c>
      <c r="K194" s="217">
        <v>49926798</v>
      </c>
      <c r="L194" s="217">
        <v>52062797.000000015</v>
      </c>
      <c r="M194" s="217">
        <v>101989595</v>
      </c>
      <c r="N194" s="217">
        <v>1187101395.0146155</v>
      </c>
      <c r="O194" s="217">
        <v>219186475</v>
      </c>
      <c r="P194" s="217"/>
      <c r="Q194" s="218"/>
    </row>
    <row r="195" spans="1:17" s="219" customFormat="1" x14ac:dyDescent="0.25">
      <c r="A195" s="214"/>
      <c r="B195" s="215" t="s">
        <v>1822</v>
      </c>
      <c r="C195" s="215" t="s">
        <v>1823</v>
      </c>
      <c r="D195" s="215" t="s">
        <v>1836</v>
      </c>
      <c r="E195" s="215" t="s">
        <v>1934</v>
      </c>
      <c r="F195" s="215" t="s">
        <v>1836</v>
      </c>
      <c r="G195" s="215" t="s">
        <v>88</v>
      </c>
      <c r="H195" s="216" t="s">
        <v>2010</v>
      </c>
      <c r="I195" s="217">
        <v>88055900</v>
      </c>
      <c r="J195" s="217">
        <v>15509680</v>
      </c>
      <c r="K195" s="217">
        <v>5361840</v>
      </c>
      <c r="L195" s="217">
        <v>5361840</v>
      </c>
      <c r="M195" s="217">
        <v>10723680</v>
      </c>
      <c r="N195" s="217">
        <v>68911280</v>
      </c>
      <c r="O195" s="217">
        <v>19144620</v>
      </c>
      <c r="P195" s="217"/>
      <c r="Q195" s="218"/>
    </row>
    <row r="196" spans="1:17" s="219" customFormat="1" ht="30" x14ac:dyDescent="0.25">
      <c r="A196" s="214"/>
      <c r="B196" s="215" t="s">
        <v>1822</v>
      </c>
      <c r="C196" s="215" t="s">
        <v>1823</v>
      </c>
      <c r="D196" s="215" t="s">
        <v>1836</v>
      </c>
      <c r="E196" s="215" t="s">
        <v>1934</v>
      </c>
      <c r="F196" s="215" t="s">
        <v>1836</v>
      </c>
      <c r="G196" s="215" t="s">
        <v>92</v>
      </c>
      <c r="H196" s="216" t="s">
        <v>2011</v>
      </c>
      <c r="I196" s="217">
        <v>1999571263</v>
      </c>
      <c r="J196" s="217">
        <v>111859042.59999999</v>
      </c>
      <c r="K196" s="217">
        <v>27740690.5</v>
      </c>
      <c r="L196" s="217">
        <v>25722040.500000004</v>
      </c>
      <c r="M196" s="217">
        <v>53462731</v>
      </c>
      <c r="N196" s="217">
        <v>1901118858.2500007</v>
      </c>
      <c r="O196" s="217">
        <v>98452404.74999997</v>
      </c>
      <c r="P196" s="217"/>
      <c r="Q196" s="218"/>
    </row>
    <row r="197" spans="1:17" s="219" customFormat="1" x14ac:dyDescent="0.25">
      <c r="A197" s="214"/>
      <c r="B197" s="215" t="s">
        <v>1822</v>
      </c>
      <c r="C197" s="215" t="s">
        <v>1823</v>
      </c>
      <c r="D197" s="215" t="s">
        <v>1836</v>
      </c>
      <c r="E197" s="215" t="s">
        <v>1934</v>
      </c>
      <c r="F197" s="215" t="s">
        <v>1836</v>
      </c>
      <c r="G197" s="215" t="s">
        <v>96</v>
      </c>
      <c r="H197" s="216" t="s">
        <v>2012</v>
      </c>
      <c r="I197" s="217">
        <v>15066000</v>
      </c>
      <c r="J197" s="217">
        <v>3013200</v>
      </c>
      <c r="K197" s="217"/>
      <c r="L197" s="217"/>
      <c r="M197" s="217"/>
      <c r="N197" s="217">
        <v>15066000</v>
      </c>
      <c r="O197" s="217"/>
      <c r="P197" s="217"/>
      <c r="Q197" s="218"/>
    </row>
    <row r="198" spans="1:17" s="213" customFormat="1" x14ac:dyDescent="0.25">
      <c r="A198" s="208" t="s">
        <v>263</v>
      </c>
      <c r="B198" s="209" t="s">
        <v>1822</v>
      </c>
      <c r="C198" s="209" t="s">
        <v>1823</v>
      </c>
      <c r="D198" s="209" t="s">
        <v>1836</v>
      </c>
      <c r="E198" s="209" t="s">
        <v>1934</v>
      </c>
      <c r="F198" s="209" t="s">
        <v>1847</v>
      </c>
      <c r="G198" s="209"/>
      <c r="H198" s="210" t="s">
        <v>2013</v>
      </c>
      <c r="I198" s="211">
        <f>SUM(I199:I205)</f>
        <v>661775837.99000001</v>
      </c>
      <c r="J198" s="211">
        <f t="shared" ref="J198:P198" si="26">SUM(J199:J205)</f>
        <v>7449391.5999999996</v>
      </c>
      <c r="K198" s="211">
        <f t="shared" si="26"/>
        <v>358966.66666666791</v>
      </c>
      <c r="L198" s="211">
        <f t="shared" si="26"/>
        <v>2356343.7000000002</v>
      </c>
      <c r="M198" s="211">
        <f t="shared" si="26"/>
        <v>2715310.3666666681</v>
      </c>
      <c r="N198" s="211">
        <f t="shared" si="26"/>
        <v>648423223.95000005</v>
      </c>
      <c r="O198" s="211">
        <f t="shared" si="26"/>
        <v>13352614.040000001</v>
      </c>
      <c r="P198" s="211">
        <f t="shared" si="26"/>
        <v>0</v>
      </c>
      <c r="Q198" s="212"/>
    </row>
    <row r="199" spans="1:17" s="219" customFormat="1" x14ac:dyDescent="0.25">
      <c r="A199" s="214"/>
      <c r="B199" s="215" t="s">
        <v>1822</v>
      </c>
      <c r="C199" s="215" t="s">
        <v>1823</v>
      </c>
      <c r="D199" s="215" t="s">
        <v>1836</v>
      </c>
      <c r="E199" s="215" t="s">
        <v>1934</v>
      </c>
      <c r="F199" s="215" t="s">
        <v>1847</v>
      </c>
      <c r="G199" s="215" t="s">
        <v>58</v>
      </c>
      <c r="H199" s="216" t="s">
        <v>2014</v>
      </c>
      <c r="I199" s="217">
        <v>661775837.99000001</v>
      </c>
      <c r="J199" s="217">
        <v>7449391.5999999996</v>
      </c>
      <c r="K199" s="217">
        <v>358966.66666666791</v>
      </c>
      <c r="L199" s="217">
        <v>2356343.7000000002</v>
      </c>
      <c r="M199" s="217">
        <v>2715310.3666666681</v>
      </c>
      <c r="N199" s="217">
        <v>648423223.95000005</v>
      </c>
      <c r="O199" s="217">
        <v>13352614.040000001</v>
      </c>
      <c r="P199" s="217"/>
      <c r="Q199" s="218"/>
    </row>
    <row r="200" spans="1:17" s="219" customFormat="1" x14ac:dyDescent="0.25">
      <c r="A200" s="214"/>
      <c r="B200" s="215" t="s">
        <v>1822</v>
      </c>
      <c r="C200" s="215" t="s">
        <v>1823</v>
      </c>
      <c r="D200" s="215" t="s">
        <v>1836</v>
      </c>
      <c r="E200" s="215" t="s">
        <v>1934</v>
      </c>
      <c r="F200" s="215" t="s">
        <v>1847</v>
      </c>
      <c r="G200" s="215" t="s">
        <v>75</v>
      </c>
      <c r="H200" s="216" t="s">
        <v>2015</v>
      </c>
      <c r="I200" s="217"/>
      <c r="J200" s="217"/>
      <c r="K200" s="217"/>
      <c r="L200" s="217"/>
      <c r="M200" s="217"/>
      <c r="N200" s="217"/>
      <c r="O200" s="217"/>
      <c r="P200" s="217"/>
      <c r="Q200" s="218"/>
    </row>
    <row r="201" spans="1:17" s="219" customFormat="1" hidden="1" x14ac:dyDescent="0.25">
      <c r="A201" s="214"/>
      <c r="B201" s="215" t="s">
        <v>1822</v>
      </c>
      <c r="C201" s="215" t="s">
        <v>1823</v>
      </c>
      <c r="D201" s="215" t="s">
        <v>1836</v>
      </c>
      <c r="E201" s="215" t="s">
        <v>1934</v>
      </c>
      <c r="F201" s="215" t="s">
        <v>1847</v>
      </c>
      <c r="G201" s="215" t="s">
        <v>79</v>
      </c>
      <c r="H201" s="216" t="s">
        <v>2016</v>
      </c>
      <c r="I201" s="217"/>
      <c r="J201" s="217"/>
      <c r="K201" s="217"/>
      <c r="L201" s="217"/>
      <c r="M201" s="217"/>
      <c r="N201" s="217"/>
      <c r="O201" s="217"/>
      <c r="P201" s="217"/>
      <c r="Q201" s="218"/>
    </row>
    <row r="202" spans="1:17" s="219" customFormat="1" hidden="1" x14ac:dyDescent="0.25">
      <c r="A202" s="214"/>
      <c r="B202" s="215" t="s">
        <v>1822</v>
      </c>
      <c r="C202" s="215" t="s">
        <v>1823</v>
      </c>
      <c r="D202" s="215" t="s">
        <v>1836</v>
      </c>
      <c r="E202" s="215" t="s">
        <v>1934</v>
      </c>
      <c r="F202" s="215" t="s">
        <v>1847</v>
      </c>
      <c r="G202" s="215" t="s">
        <v>84</v>
      </c>
      <c r="H202" s="216" t="s">
        <v>2017</v>
      </c>
      <c r="I202" s="217"/>
      <c r="J202" s="217"/>
      <c r="K202" s="217"/>
      <c r="L202" s="217"/>
      <c r="M202" s="217"/>
      <c r="N202" s="217"/>
      <c r="O202" s="217"/>
      <c r="P202" s="217"/>
      <c r="Q202" s="218"/>
    </row>
    <row r="203" spans="1:17" s="219" customFormat="1" ht="30" hidden="1" x14ac:dyDescent="0.25">
      <c r="A203" s="214"/>
      <c r="B203" s="215" t="s">
        <v>1822</v>
      </c>
      <c r="C203" s="215" t="s">
        <v>1823</v>
      </c>
      <c r="D203" s="215" t="s">
        <v>1836</v>
      </c>
      <c r="E203" s="215" t="s">
        <v>1934</v>
      </c>
      <c r="F203" s="215" t="s">
        <v>1847</v>
      </c>
      <c r="G203" s="215" t="s">
        <v>88</v>
      </c>
      <c r="H203" s="216" t="s">
        <v>2018</v>
      </c>
      <c r="I203" s="217"/>
      <c r="J203" s="217"/>
      <c r="K203" s="217"/>
      <c r="L203" s="217"/>
      <c r="M203" s="217"/>
      <c r="N203" s="217"/>
      <c r="O203" s="217"/>
      <c r="P203" s="217"/>
      <c r="Q203" s="218"/>
    </row>
    <row r="204" spans="1:17" s="219" customFormat="1" hidden="1" x14ac:dyDescent="0.25">
      <c r="A204" s="214"/>
      <c r="B204" s="215" t="s">
        <v>1822</v>
      </c>
      <c r="C204" s="215" t="s">
        <v>1823</v>
      </c>
      <c r="D204" s="215" t="s">
        <v>1836</v>
      </c>
      <c r="E204" s="215" t="s">
        <v>1934</v>
      </c>
      <c r="F204" s="215" t="s">
        <v>1847</v>
      </c>
      <c r="G204" s="215" t="s">
        <v>92</v>
      </c>
      <c r="H204" s="216" t="s">
        <v>2019</v>
      </c>
      <c r="I204" s="217"/>
      <c r="J204" s="217"/>
      <c r="K204" s="217"/>
      <c r="L204" s="217"/>
      <c r="M204" s="217"/>
      <c r="N204" s="217"/>
      <c r="O204" s="217"/>
      <c r="P204" s="217"/>
      <c r="Q204" s="218"/>
    </row>
    <row r="205" spans="1:17" s="219" customFormat="1" hidden="1" x14ac:dyDescent="0.25">
      <c r="A205" s="214"/>
      <c r="B205" s="215" t="s">
        <v>1822</v>
      </c>
      <c r="C205" s="215" t="s">
        <v>1823</v>
      </c>
      <c r="D205" s="215" t="s">
        <v>1836</v>
      </c>
      <c r="E205" s="215" t="s">
        <v>1934</v>
      </c>
      <c r="F205" s="215" t="s">
        <v>1847</v>
      </c>
      <c r="G205" s="215" t="s">
        <v>96</v>
      </c>
      <c r="H205" s="216" t="s">
        <v>2020</v>
      </c>
      <c r="I205" s="217"/>
      <c r="J205" s="217"/>
      <c r="K205" s="217"/>
      <c r="L205" s="217"/>
      <c r="M205" s="217"/>
      <c r="N205" s="217"/>
      <c r="O205" s="217"/>
      <c r="P205" s="217"/>
      <c r="Q205" s="218"/>
    </row>
    <row r="206" spans="1:17" s="213" customFormat="1" ht="30" x14ac:dyDescent="0.25">
      <c r="A206" s="208" t="s">
        <v>2021</v>
      </c>
      <c r="B206" s="209" t="s">
        <v>1822</v>
      </c>
      <c r="C206" s="209" t="s">
        <v>1823</v>
      </c>
      <c r="D206" s="209" t="s">
        <v>1836</v>
      </c>
      <c r="E206" s="209" t="s">
        <v>2022</v>
      </c>
      <c r="F206" s="209"/>
      <c r="G206" s="209"/>
      <c r="H206" s="210" t="s">
        <v>2023</v>
      </c>
      <c r="I206" s="211">
        <f>SUM(I207+I214+I226+I275)</f>
        <v>188450500</v>
      </c>
      <c r="J206" s="211">
        <f t="shared" ref="J206:P206" si="27">SUM(J207+J214+J226+J275)</f>
        <v>2290000</v>
      </c>
      <c r="K206" s="211">
        <f t="shared" si="27"/>
        <v>400000</v>
      </c>
      <c r="L206" s="211">
        <f t="shared" si="27"/>
        <v>400000</v>
      </c>
      <c r="M206" s="211">
        <f t="shared" si="27"/>
        <v>800000</v>
      </c>
      <c r="N206" s="211">
        <f t="shared" si="27"/>
        <v>187050500</v>
      </c>
      <c r="O206" s="211">
        <f t="shared" si="27"/>
        <v>1400000</v>
      </c>
      <c r="P206" s="211">
        <f t="shared" si="27"/>
        <v>0</v>
      </c>
      <c r="Q206" s="212"/>
    </row>
    <row r="207" spans="1:17" s="213" customFormat="1" x14ac:dyDescent="0.25">
      <c r="A207" s="208" t="s">
        <v>263</v>
      </c>
      <c r="B207" s="209" t="s">
        <v>1822</v>
      </c>
      <c r="C207" s="209" t="s">
        <v>1823</v>
      </c>
      <c r="D207" s="209" t="s">
        <v>1836</v>
      </c>
      <c r="E207" s="209" t="s">
        <v>2022</v>
      </c>
      <c r="F207" s="209" t="s">
        <v>1825</v>
      </c>
      <c r="G207" s="209"/>
      <c r="H207" s="210" t="s">
        <v>2024</v>
      </c>
      <c r="I207" s="211">
        <f>SUM(I208:I213)</f>
        <v>10503000</v>
      </c>
      <c r="J207" s="211">
        <f t="shared" ref="J207:P207" si="28">SUM(J208:J213)</f>
        <v>1300000</v>
      </c>
      <c r="K207" s="211">
        <f t="shared" si="28"/>
        <v>400000</v>
      </c>
      <c r="L207" s="211">
        <f t="shared" si="28"/>
        <v>400000</v>
      </c>
      <c r="M207" s="211">
        <f t="shared" si="28"/>
        <v>800000</v>
      </c>
      <c r="N207" s="211">
        <f t="shared" si="28"/>
        <v>9103000</v>
      </c>
      <c r="O207" s="211">
        <f t="shared" si="28"/>
        <v>1400000</v>
      </c>
      <c r="P207" s="211">
        <f t="shared" si="28"/>
        <v>0</v>
      </c>
      <c r="Q207" s="212"/>
    </row>
    <row r="208" spans="1:17" s="219" customFormat="1" x14ac:dyDescent="0.25">
      <c r="A208" s="214"/>
      <c r="B208" s="215" t="s">
        <v>1822</v>
      </c>
      <c r="C208" s="215" t="s">
        <v>1823</v>
      </c>
      <c r="D208" s="215" t="s">
        <v>1836</v>
      </c>
      <c r="E208" s="215" t="s">
        <v>2022</v>
      </c>
      <c r="F208" s="215" t="s">
        <v>1825</v>
      </c>
      <c r="G208" s="215" t="s">
        <v>58</v>
      </c>
      <c r="H208" s="216" t="s">
        <v>2025</v>
      </c>
      <c r="I208" s="217">
        <v>10503000</v>
      </c>
      <c r="J208" s="217">
        <v>1300000</v>
      </c>
      <c r="K208" s="217">
        <v>400000</v>
      </c>
      <c r="L208" s="217">
        <v>400000</v>
      </c>
      <c r="M208" s="217">
        <v>800000</v>
      </c>
      <c r="N208" s="217">
        <v>9103000</v>
      </c>
      <c r="O208" s="217">
        <v>1400000</v>
      </c>
      <c r="P208" s="217"/>
      <c r="Q208" s="218"/>
    </row>
    <row r="209" spans="1:17" s="219" customFormat="1" x14ac:dyDescent="0.25">
      <c r="A209" s="214"/>
      <c r="B209" s="215" t="s">
        <v>1822</v>
      </c>
      <c r="C209" s="215" t="s">
        <v>1823</v>
      </c>
      <c r="D209" s="215" t="s">
        <v>1836</v>
      </c>
      <c r="E209" s="215" t="s">
        <v>2022</v>
      </c>
      <c r="F209" s="215" t="s">
        <v>1825</v>
      </c>
      <c r="G209" s="215" t="s">
        <v>75</v>
      </c>
      <c r="H209" s="216" t="s">
        <v>2026</v>
      </c>
      <c r="I209" s="217"/>
      <c r="J209" s="217"/>
      <c r="K209" s="217"/>
      <c r="L209" s="217"/>
      <c r="M209" s="217"/>
      <c r="N209" s="217"/>
      <c r="O209" s="217"/>
      <c r="P209" s="217"/>
      <c r="Q209" s="218"/>
    </row>
    <row r="210" spans="1:17" s="219" customFormat="1" hidden="1" x14ac:dyDescent="0.25">
      <c r="A210" s="214"/>
      <c r="B210" s="215" t="s">
        <v>1822</v>
      </c>
      <c r="C210" s="215" t="s">
        <v>1823</v>
      </c>
      <c r="D210" s="215" t="s">
        <v>1836</v>
      </c>
      <c r="E210" s="215" t="s">
        <v>2022</v>
      </c>
      <c r="F210" s="215" t="s">
        <v>1825</v>
      </c>
      <c r="G210" s="215" t="s">
        <v>79</v>
      </c>
      <c r="H210" s="216" t="s">
        <v>2027</v>
      </c>
      <c r="I210" s="217"/>
      <c r="J210" s="217"/>
      <c r="K210" s="217"/>
      <c r="L210" s="217"/>
      <c r="M210" s="217"/>
      <c r="N210" s="217"/>
      <c r="O210" s="217"/>
      <c r="P210" s="217"/>
      <c r="Q210" s="218"/>
    </row>
    <row r="211" spans="1:17" s="219" customFormat="1" hidden="1" x14ac:dyDescent="0.25">
      <c r="A211" s="214"/>
      <c r="B211" s="215" t="s">
        <v>1822</v>
      </c>
      <c r="C211" s="215" t="s">
        <v>1823</v>
      </c>
      <c r="D211" s="215" t="s">
        <v>1836</v>
      </c>
      <c r="E211" s="215" t="s">
        <v>2022</v>
      </c>
      <c r="F211" s="215" t="s">
        <v>1825</v>
      </c>
      <c r="G211" s="215" t="s">
        <v>84</v>
      </c>
      <c r="H211" s="216" t="s">
        <v>2028</v>
      </c>
      <c r="I211" s="217"/>
      <c r="J211" s="217"/>
      <c r="K211" s="217"/>
      <c r="L211" s="217"/>
      <c r="M211" s="217"/>
      <c r="N211" s="217"/>
      <c r="O211" s="217"/>
      <c r="P211" s="217"/>
      <c r="Q211" s="218"/>
    </row>
    <row r="212" spans="1:17" s="219" customFormat="1" ht="30" hidden="1" x14ac:dyDescent="0.25">
      <c r="A212" s="214"/>
      <c r="B212" s="215" t="s">
        <v>1822</v>
      </c>
      <c r="C212" s="215" t="s">
        <v>1823</v>
      </c>
      <c r="D212" s="215" t="s">
        <v>1836</v>
      </c>
      <c r="E212" s="215" t="s">
        <v>2022</v>
      </c>
      <c r="F212" s="215" t="s">
        <v>1825</v>
      </c>
      <c r="G212" s="215" t="s">
        <v>88</v>
      </c>
      <c r="H212" s="216" t="s">
        <v>2029</v>
      </c>
      <c r="I212" s="217"/>
      <c r="J212" s="217"/>
      <c r="K212" s="217"/>
      <c r="L212" s="217"/>
      <c r="M212" s="217"/>
      <c r="N212" s="217"/>
      <c r="O212" s="217"/>
      <c r="P212" s="217"/>
      <c r="Q212" s="218"/>
    </row>
    <row r="213" spans="1:17" s="219" customFormat="1" x14ac:dyDescent="0.25">
      <c r="A213" s="214"/>
      <c r="B213" s="215" t="s">
        <v>1822</v>
      </c>
      <c r="C213" s="215" t="s">
        <v>1823</v>
      </c>
      <c r="D213" s="215" t="s">
        <v>1836</v>
      </c>
      <c r="E213" s="215" t="s">
        <v>2022</v>
      </c>
      <c r="F213" s="215" t="s">
        <v>1825</v>
      </c>
      <c r="G213" s="215" t="s">
        <v>92</v>
      </c>
      <c r="H213" s="216" t="s">
        <v>2030</v>
      </c>
      <c r="I213" s="217"/>
      <c r="J213" s="217"/>
      <c r="K213" s="217"/>
      <c r="L213" s="217"/>
      <c r="M213" s="217"/>
      <c r="N213" s="217"/>
      <c r="O213" s="217"/>
      <c r="P213" s="217"/>
      <c r="Q213" s="218"/>
    </row>
    <row r="214" spans="1:17" s="213" customFormat="1" x14ac:dyDescent="0.25">
      <c r="A214" s="208" t="s">
        <v>263</v>
      </c>
      <c r="B214" s="209" t="s">
        <v>1822</v>
      </c>
      <c r="C214" s="209" t="s">
        <v>1823</v>
      </c>
      <c r="D214" s="209" t="s">
        <v>1836</v>
      </c>
      <c r="E214" s="209" t="s">
        <v>2022</v>
      </c>
      <c r="F214" s="209" t="s">
        <v>1836</v>
      </c>
      <c r="G214" s="209"/>
      <c r="H214" s="210" t="s">
        <v>2031</v>
      </c>
      <c r="I214" s="211">
        <f>SUM(I215:I225)</f>
        <v>111347500</v>
      </c>
      <c r="J214" s="211">
        <f t="shared" ref="J214:P214" si="29">SUM(J215:J225)</f>
        <v>990000</v>
      </c>
      <c r="K214" s="211">
        <f t="shared" si="29"/>
        <v>0</v>
      </c>
      <c r="L214" s="211">
        <f t="shared" si="29"/>
        <v>0</v>
      </c>
      <c r="M214" s="211">
        <f t="shared" si="29"/>
        <v>0</v>
      </c>
      <c r="N214" s="211">
        <f t="shared" si="29"/>
        <v>111347500</v>
      </c>
      <c r="O214" s="211">
        <f t="shared" si="29"/>
        <v>0</v>
      </c>
      <c r="P214" s="211">
        <f t="shared" si="29"/>
        <v>0</v>
      </c>
      <c r="Q214" s="212"/>
    </row>
    <row r="215" spans="1:17" s="219" customFormat="1" x14ac:dyDescent="0.25">
      <c r="A215" s="214"/>
      <c r="B215" s="215" t="s">
        <v>1822</v>
      </c>
      <c r="C215" s="215" t="s">
        <v>1823</v>
      </c>
      <c r="D215" s="215" t="s">
        <v>1836</v>
      </c>
      <c r="E215" s="215" t="s">
        <v>2022</v>
      </c>
      <c r="F215" s="215" t="s">
        <v>1836</v>
      </c>
      <c r="G215" s="215" t="s">
        <v>58</v>
      </c>
      <c r="H215" s="216" t="s">
        <v>2032</v>
      </c>
      <c r="I215" s="217">
        <v>111347500</v>
      </c>
      <c r="J215" s="217">
        <v>990000</v>
      </c>
      <c r="K215" s="217"/>
      <c r="L215" s="217"/>
      <c r="M215" s="217"/>
      <c r="N215" s="217">
        <v>111347500</v>
      </c>
      <c r="O215" s="217"/>
      <c r="P215" s="217"/>
      <c r="Q215" s="218"/>
    </row>
    <row r="216" spans="1:17" s="219" customFormat="1" x14ac:dyDescent="0.25">
      <c r="A216" s="214"/>
      <c r="B216" s="215" t="s">
        <v>1822</v>
      </c>
      <c r="C216" s="215" t="s">
        <v>1823</v>
      </c>
      <c r="D216" s="215" t="s">
        <v>1836</v>
      </c>
      <c r="E216" s="215" t="s">
        <v>2022</v>
      </c>
      <c r="F216" s="215" t="s">
        <v>1836</v>
      </c>
      <c r="G216" s="215" t="s">
        <v>75</v>
      </c>
      <c r="H216" s="216" t="s">
        <v>2033</v>
      </c>
      <c r="I216" s="217"/>
      <c r="J216" s="217"/>
      <c r="K216" s="217"/>
      <c r="L216" s="217"/>
      <c r="M216" s="217"/>
      <c r="N216" s="217"/>
      <c r="O216" s="217"/>
      <c r="P216" s="217"/>
      <c r="Q216" s="218"/>
    </row>
    <row r="217" spans="1:17" s="219" customFormat="1" hidden="1" x14ac:dyDescent="0.25">
      <c r="A217" s="214"/>
      <c r="B217" s="215" t="s">
        <v>1822</v>
      </c>
      <c r="C217" s="215" t="s">
        <v>1823</v>
      </c>
      <c r="D217" s="215" t="s">
        <v>1836</v>
      </c>
      <c r="E217" s="215" t="s">
        <v>2022</v>
      </c>
      <c r="F217" s="215" t="s">
        <v>1836</v>
      </c>
      <c r="G217" s="215" t="s">
        <v>79</v>
      </c>
      <c r="H217" s="216" t="s">
        <v>2034</v>
      </c>
      <c r="I217" s="217"/>
      <c r="J217" s="217"/>
      <c r="K217" s="217"/>
      <c r="L217" s="217"/>
      <c r="M217" s="217"/>
      <c r="N217" s="217"/>
      <c r="O217" s="217"/>
      <c r="P217" s="217"/>
      <c r="Q217" s="218"/>
    </row>
    <row r="218" spans="1:17" s="219" customFormat="1" hidden="1" x14ac:dyDescent="0.25">
      <c r="A218" s="214"/>
      <c r="B218" s="215" t="s">
        <v>1822</v>
      </c>
      <c r="C218" s="215" t="s">
        <v>1823</v>
      </c>
      <c r="D218" s="215" t="s">
        <v>1836</v>
      </c>
      <c r="E218" s="215" t="s">
        <v>2022</v>
      </c>
      <c r="F218" s="215" t="s">
        <v>1836</v>
      </c>
      <c r="G218" s="215" t="s">
        <v>84</v>
      </c>
      <c r="H218" s="216" t="s">
        <v>2035</v>
      </c>
      <c r="I218" s="217"/>
      <c r="J218" s="217"/>
      <c r="K218" s="217"/>
      <c r="L218" s="217"/>
      <c r="M218" s="217"/>
      <c r="N218" s="217"/>
      <c r="O218" s="217"/>
      <c r="P218" s="217"/>
      <c r="Q218" s="218"/>
    </row>
    <row r="219" spans="1:17" s="219" customFormat="1" hidden="1" x14ac:dyDescent="0.25">
      <c r="A219" s="214"/>
      <c r="B219" s="215" t="s">
        <v>1822</v>
      </c>
      <c r="C219" s="215" t="s">
        <v>1823</v>
      </c>
      <c r="D219" s="215" t="s">
        <v>1836</v>
      </c>
      <c r="E219" s="215" t="s">
        <v>2022</v>
      </c>
      <c r="F219" s="215" t="s">
        <v>1836</v>
      </c>
      <c r="G219" s="215" t="s">
        <v>88</v>
      </c>
      <c r="H219" s="216" t="s">
        <v>2036</v>
      </c>
      <c r="I219" s="217"/>
      <c r="J219" s="217"/>
      <c r="K219" s="217"/>
      <c r="L219" s="217"/>
      <c r="M219" s="217"/>
      <c r="N219" s="217"/>
      <c r="O219" s="217"/>
      <c r="P219" s="217"/>
      <c r="Q219" s="218"/>
    </row>
    <row r="220" spans="1:17" s="219" customFormat="1" hidden="1" x14ac:dyDescent="0.25">
      <c r="A220" s="214"/>
      <c r="B220" s="215" t="s">
        <v>1822</v>
      </c>
      <c r="C220" s="215" t="s">
        <v>1823</v>
      </c>
      <c r="D220" s="215" t="s">
        <v>1836</v>
      </c>
      <c r="E220" s="215" t="s">
        <v>2022</v>
      </c>
      <c r="F220" s="215" t="s">
        <v>1836</v>
      </c>
      <c r="G220" s="215" t="s">
        <v>92</v>
      </c>
      <c r="H220" s="216" t="s">
        <v>2037</v>
      </c>
      <c r="I220" s="217"/>
      <c r="J220" s="217"/>
      <c r="K220" s="217"/>
      <c r="L220" s="217"/>
      <c r="M220" s="217"/>
      <c r="N220" s="217"/>
      <c r="O220" s="217"/>
      <c r="P220" s="217"/>
      <c r="Q220" s="218"/>
    </row>
    <row r="221" spans="1:17" s="219" customFormat="1" hidden="1" x14ac:dyDescent="0.25">
      <c r="A221" s="214"/>
      <c r="B221" s="215" t="s">
        <v>1822</v>
      </c>
      <c r="C221" s="215" t="s">
        <v>1823</v>
      </c>
      <c r="D221" s="215" t="s">
        <v>1836</v>
      </c>
      <c r="E221" s="215" t="s">
        <v>2022</v>
      </c>
      <c r="F221" s="215" t="s">
        <v>1836</v>
      </c>
      <c r="G221" s="215" t="s">
        <v>96</v>
      </c>
      <c r="H221" s="216" t="s">
        <v>2038</v>
      </c>
      <c r="I221" s="217"/>
      <c r="J221" s="217"/>
      <c r="K221" s="217"/>
      <c r="L221" s="217"/>
      <c r="M221" s="217"/>
      <c r="N221" s="217"/>
      <c r="O221" s="217"/>
      <c r="P221" s="217"/>
      <c r="Q221" s="218"/>
    </row>
    <row r="222" spans="1:17" s="219" customFormat="1" hidden="1" x14ac:dyDescent="0.25">
      <c r="A222" s="214"/>
      <c r="B222" s="215" t="s">
        <v>1822</v>
      </c>
      <c r="C222" s="215" t="s">
        <v>1823</v>
      </c>
      <c r="D222" s="215" t="s">
        <v>1836</v>
      </c>
      <c r="E222" s="215" t="s">
        <v>2022</v>
      </c>
      <c r="F222" s="215" t="s">
        <v>1836</v>
      </c>
      <c r="G222" s="215" t="s">
        <v>100</v>
      </c>
      <c r="H222" s="216" t="s">
        <v>2039</v>
      </c>
      <c r="I222" s="217"/>
      <c r="J222" s="217"/>
      <c r="K222" s="217"/>
      <c r="L222" s="217"/>
      <c r="M222" s="217"/>
      <c r="N222" s="217"/>
      <c r="O222" s="217"/>
      <c r="P222" s="217"/>
      <c r="Q222" s="218"/>
    </row>
    <row r="223" spans="1:17" s="219" customFormat="1" ht="30" hidden="1" x14ac:dyDescent="0.25">
      <c r="A223" s="214"/>
      <c r="B223" s="215" t="s">
        <v>1822</v>
      </c>
      <c r="C223" s="215" t="s">
        <v>1823</v>
      </c>
      <c r="D223" s="215" t="s">
        <v>1836</v>
      </c>
      <c r="E223" s="215" t="s">
        <v>2022</v>
      </c>
      <c r="F223" s="215" t="s">
        <v>1836</v>
      </c>
      <c r="G223" s="215" t="s">
        <v>105</v>
      </c>
      <c r="H223" s="216" t="s">
        <v>2040</v>
      </c>
      <c r="I223" s="217"/>
      <c r="J223" s="217"/>
      <c r="K223" s="217"/>
      <c r="L223" s="217"/>
      <c r="M223" s="217"/>
      <c r="N223" s="217"/>
      <c r="O223" s="217"/>
      <c r="P223" s="217"/>
      <c r="Q223" s="218"/>
    </row>
    <row r="224" spans="1:17" s="219" customFormat="1" hidden="1" x14ac:dyDescent="0.25">
      <c r="A224" s="214"/>
      <c r="B224" s="215" t="s">
        <v>1822</v>
      </c>
      <c r="C224" s="215" t="s">
        <v>1823</v>
      </c>
      <c r="D224" s="215" t="s">
        <v>1836</v>
      </c>
      <c r="E224" s="215" t="s">
        <v>2022</v>
      </c>
      <c r="F224" s="215" t="s">
        <v>1836</v>
      </c>
      <c r="G224" s="215" t="s">
        <v>108</v>
      </c>
      <c r="H224" s="216" t="s">
        <v>2041</v>
      </c>
      <c r="I224" s="217"/>
      <c r="J224" s="217"/>
      <c r="K224" s="217"/>
      <c r="L224" s="217"/>
      <c r="M224" s="217"/>
      <c r="N224" s="217"/>
      <c r="O224" s="217"/>
      <c r="P224" s="217"/>
      <c r="Q224" s="218"/>
    </row>
    <row r="225" spans="1:17" s="219" customFormat="1" x14ac:dyDescent="0.25">
      <c r="A225" s="214"/>
      <c r="B225" s="215" t="s">
        <v>1822</v>
      </c>
      <c r="C225" s="215" t="s">
        <v>1823</v>
      </c>
      <c r="D225" s="215" t="s">
        <v>1836</v>
      </c>
      <c r="E225" s="215" t="s">
        <v>2022</v>
      </c>
      <c r="F225" s="215" t="s">
        <v>1836</v>
      </c>
      <c r="G225" s="215" t="s">
        <v>135</v>
      </c>
      <c r="H225" s="216" t="s">
        <v>2042</v>
      </c>
      <c r="I225" s="217"/>
      <c r="J225" s="217"/>
      <c r="K225" s="217"/>
      <c r="L225" s="217"/>
      <c r="M225" s="217"/>
      <c r="N225" s="217"/>
      <c r="O225" s="217"/>
      <c r="P225" s="217"/>
      <c r="Q225" s="218"/>
    </row>
    <row r="226" spans="1:17" s="213" customFormat="1" x14ac:dyDescent="0.25">
      <c r="A226" s="208" t="s">
        <v>263</v>
      </c>
      <c r="B226" s="209" t="s">
        <v>1822</v>
      </c>
      <c r="C226" s="209" t="s">
        <v>1823</v>
      </c>
      <c r="D226" s="209" t="s">
        <v>1836</v>
      </c>
      <c r="E226" s="209" t="s">
        <v>2022</v>
      </c>
      <c r="F226" s="209" t="s">
        <v>1847</v>
      </c>
      <c r="G226" s="209"/>
      <c r="H226" s="210" t="s">
        <v>2043</v>
      </c>
      <c r="I226" s="211">
        <f>SUM(I227:I274)</f>
        <v>66600000</v>
      </c>
      <c r="J226" s="211">
        <f t="shared" ref="J226:P226" si="30">SUM(J227:J274)</f>
        <v>0</v>
      </c>
      <c r="K226" s="211">
        <f t="shared" si="30"/>
        <v>0</v>
      </c>
      <c r="L226" s="211">
        <f t="shared" si="30"/>
        <v>0</v>
      </c>
      <c r="M226" s="211">
        <f t="shared" si="30"/>
        <v>0</v>
      </c>
      <c r="N226" s="211">
        <f t="shared" si="30"/>
        <v>66600000</v>
      </c>
      <c r="O226" s="211">
        <f t="shared" si="30"/>
        <v>0</v>
      </c>
      <c r="P226" s="211">
        <f t="shared" si="30"/>
        <v>0</v>
      </c>
      <c r="Q226" s="212"/>
    </row>
    <row r="227" spans="1:17" s="219" customFormat="1" x14ac:dyDescent="0.25">
      <c r="A227" s="214"/>
      <c r="B227" s="215" t="s">
        <v>1822</v>
      </c>
      <c r="C227" s="215" t="s">
        <v>1823</v>
      </c>
      <c r="D227" s="215" t="s">
        <v>1836</v>
      </c>
      <c r="E227" s="215" t="s">
        <v>2022</v>
      </c>
      <c r="F227" s="215" t="s">
        <v>1847</v>
      </c>
      <c r="G227" s="215" t="s">
        <v>58</v>
      </c>
      <c r="H227" s="216" t="s">
        <v>2044</v>
      </c>
      <c r="I227" s="217"/>
      <c r="J227" s="217"/>
      <c r="K227" s="217"/>
      <c r="L227" s="217"/>
      <c r="M227" s="217"/>
      <c r="N227" s="217"/>
      <c r="O227" s="217"/>
      <c r="P227" s="217"/>
      <c r="Q227" s="218"/>
    </row>
    <row r="228" spans="1:17" s="219" customFormat="1" hidden="1" x14ac:dyDescent="0.25">
      <c r="A228" s="214"/>
      <c r="B228" s="215" t="s">
        <v>1822</v>
      </c>
      <c r="C228" s="215" t="s">
        <v>1823</v>
      </c>
      <c r="D228" s="215" t="s">
        <v>1836</v>
      </c>
      <c r="E228" s="215" t="s">
        <v>2022</v>
      </c>
      <c r="F228" s="215" t="s">
        <v>1847</v>
      </c>
      <c r="G228" s="215" t="s">
        <v>75</v>
      </c>
      <c r="H228" s="216" t="s">
        <v>2045</v>
      </c>
      <c r="I228" s="217"/>
      <c r="J228" s="217"/>
      <c r="K228" s="217"/>
      <c r="L228" s="217"/>
      <c r="M228" s="217"/>
      <c r="N228" s="217"/>
      <c r="O228" s="217"/>
      <c r="P228" s="217"/>
      <c r="Q228" s="218"/>
    </row>
    <row r="229" spans="1:17" s="219" customFormat="1" hidden="1" x14ac:dyDescent="0.25">
      <c r="A229" s="214"/>
      <c r="B229" s="215" t="s">
        <v>1822</v>
      </c>
      <c r="C229" s="215" t="s">
        <v>1823</v>
      </c>
      <c r="D229" s="215" t="s">
        <v>1836</v>
      </c>
      <c r="E229" s="215" t="s">
        <v>2022</v>
      </c>
      <c r="F229" s="215" t="s">
        <v>1847</v>
      </c>
      <c r="G229" s="215" t="s">
        <v>79</v>
      </c>
      <c r="H229" s="216" t="s">
        <v>2046</v>
      </c>
      <c r="I229" s="217"/>
      <c r="J229" s="217"/>
      <c r="K229" s="217"/>
      <c r="L229" s="217"/>
      <c r="M229" s="217"/>
      <c r="N229" s="217"/>
      <c r="O229" s="217"/>
      <c r="P229" s="217"/>
      <c r="Q229" s="218"/>
    </row>
    <row r="230" spans="1:17" s="219" customFormat="1" hidden="1" x14ac:dyDescent="0.25">
      <c r="A230" s="214"/>
      <c r="B230" s="215" t="s">
        <v>1822</v>
      </c>
      <c r="C230" s="215" t="s">
        <v>1823</v>
      </c>
      <c r="D230" s="215" t="s">
        <v>1836</v>
      </c>
      <c r="E230" s="215" t="s">
        <v>2022</v>
      </c>
      <c r="F230" s="215" t="s">
        <v>1847</v>
      </c>
      <c r="G230" s="215" t="s">
        <v>84</v>
      </c>
      <c r="H230" s="216" t="s">
        <v>2047</v>
      </c>
      <c r="I230" s="217"/>
      <c r="J230" s="217"/>
      <c r="K230" s="217"/>
      <c r="L230" s="217"/>
      <c r="M230" s="217"/>
      <c r="N230" s="217"/>
      <c r="O230" s="217"/>
      <c r="P230" s="217"/>
      <c r="Q230" s="218"/>
    </row>
    <row r="231" spans="1:17" s="219" customFormat="1" hidden="1" x14ac:dyDescent="0.25">
      <c r="A231" s="214"/>
      <c r="B231" s="215" t="s">
        <v>1822</v>
      </c>
      <c r="C231" s="215" t="s">
        <v>1823</v>
      </c>
      <c r="D231" s="215" t="s">
        <v>1836</v>
      </c>
      <c r="E231" s="215" t="s">
        <v>2022</v>
      </c>
      <c r="F231" s="215" t="s">
        <v>1847</v>
      </c>
      <c r="G231" s="215" t="s">
        <v>88</v>
      </c>
      <c r="H231" s="216" t="s">
        <v>2048</v>
      </c>
      <c r="I231" s="217"/>
      <c r="J231" s="217"/>
      <c r="K231" s="217"/>
      <c r="L231" s="217"/>
      <c r="M231" s="217"/>
      <c r="N231" s="217"/>
      <c r="O231" s="217"/>
      <c r="P231" s="217"/>
      <c r="Q231" s="218"/>
    </row>
    <row r="232" spans="1:17" s="219" customFormat="1" hidden="1" x14ac:dyDescent="0.25">
      <c r="A232" s="214"/>
      <c r="B232" s="215" t="s">
        <v>1822</v>
      </c>
      <c r="C232" s="215" t="s">
        <v>1823</v>
      </c>
      <c r="D232" s="215" t="s">
        <v>1836</v>
      </c>
      <c r="E232" s="215" t="s">
        <v>2022</v>
      </c>
      <c r="F232" s="215" t="s">
        <v>1847</v>
      </c>
      <c r="G232" s="215" t="s">
        <v>92</v>
      </c>
      <c r="H232" s="216" t="s">
        <v>2049</v>
      </c>
      <c r="I232" s="217"/>
      <c r="J232" s="217"/>
      <c r="K232" s="217"/>
      <c r="L232" s="217"/>
      <c r="M232" s="217"/>
      <c r="N232" s="217"/>
      <c r="O232" s="217"/>
      <c r="P232" s="217"/>
      <c r="Q232" s="218"/>
    </row>
    <row r="233" spans="1:17" s="219" customFormat="1" hidden="1" x14ac:dyDescent="0.25">
      <c r="A233" s="214"/>
      <c r="B233" s="215" t="s">
        <v>1822</v>
      </c>
      <c r="C233" s="215" t="s">
        <v>1823</v>
      </c>
      <c r="D233" s="215" t="s">
        <v>1836</v>
      </c>
      <c r="E233" s="215" t="s">
        <v>2022</v>
      </c>
      <c r="F233" s="215" t="s">
        <v>1847</v>
      </c>
      <c r="G233" s="215" t="s">
        <v>96</v>
      </c>
      <c r="H233" s="216" t="s">
        <v>2050</v>
      </c>
      <c r="I233" s="217"/>
      <c r="J233" s="217"/>
      <c r="K233" s="217"/>
      <c r="L233" s="217"/>
      <c r="M233" s="217"/>
      <c r="N233" s="217"/>
      <c r="O233" s="217"/>
      <c r="P233" s="217"/>
      <c r="Q233" s="218"/>
    </row>
    <row r="234" spans="1:17" s="219" customFormat="1" hidden="1" x14ac:dyDescent="0.25">
      <c r="A234" s="214"/>
      <c r="B234" s="215" t="s">
        <v>1822</v>
      </c>
      <c r="C234" s="215" t="s">
        <v>1823</v>
      </c>
      <c r="D234" s="215" t="s">
        <v>1836</v>
      </c>
      <c r="E234" s="215" t="s">
        <v>2022</v>
      </c>
      <c r="F234" s="215" t="s">
        <v>1847</v>
      </c>
      <c r="G234" s="215" t="s">
        <v>100</v>
      </c>
      <c r="H234" s="216" t="s">
        <v>2051</v>
      </c>
      <c r="I234" s="217"/>
      <c r="J234" s="217"/>
      <c r="K234" s="217"/>
      <c r="L234" s="217"/>
      <c r="M234" s="217"/>
      <c r="N234" s="217"/>
      <c r="O234" s="217"/>
      <c r="P234" s="217"/>
      <c r="Q234" s="218"/>
    </row>
    <row r="235" spans="1:17" s="219" customFormat="1" hidden="1" x14ac:dyDescent="0.25">
      <c r="A235" s="214"/>
      <c r="B235" s="215" t="s">
        <v>1822</v>
      </c>
      <c r="C235" s="215" t="s">
        <v>1823</v>
      </c>
      <c r="D235" s="215" t="s">
        <v>1836</v>
      </c>
      <c r="E235" s="215" t="s">
        <v>2022</v>
      </c>
      <c r="F235" s="215" t="s">
        <v>1847</v>
      </c>
      <c r="G235" s="215" t="s">
        <v>105</v>
      </c>
      <c r="H235" s="216" t="s">
        <v>2052</v>
      </c>
      <c r="I235" s="217"/>
      <c r="J235" s="217"/>
      <c r="K235" s="217"/>
      <c r="L235" s="217"/>
      <c r="M235" s="217"/>
      <c r="N235" s="217"/>
      <c r="O235" s="217"/>
      <c r="P235" s="217"/>
      <c r="Q235" s="218"/>
    </row>
    <row r="236" spans="1:17" s="219" customFormat="1" hidden="1" x14ac:dyDescent="0.25">
      <c r="A236" s="214"/>
      <c r="B236" s="215" t="s">
        <v>1822</v>
      </c>
      <c r="C236" s="215" t="s">
        <v>1823</v>
      </c>
      <c r="D236" s="215" t="s">
        <v>1836</v>
      </c>
      <c r="E236" s="215" t="s">
        <v>2022</v>
      </c>
      <c r="F236" s="215" t="s">
        <v>1847</v>
      </c>
      <c r="G236" s="215" t="s">
        <v>108</v>
      </c>
      <c r="H236" s="216" t="s">
        <v>2053</v>
      </c>
      <c r="I236" s="217"/>
      <c r="J236" s="217"/>
      <c r="K236" s="217"/>
      <c r="L236" s="217"/>
      <c r="M236" s="217"/>
      <c r="N236" s="217"/>
      <c r="O236" s="217"/>
      <c r="P236" s="217"/>
      <c r="Q236" s="218"/>
    </row>
    <row r="237" spans="1:17" s="219" customFormat="1" hidden="1" x14ac:dyDescent="0.25">
      <c r="A237" s="214"/>
      <c r="B237" s="215" t="s">
        <v>1822</v>
      </c>
      <c r="C237" s="215" t="s">
        <v>1823</v>
      </c>
      <c r="D237" s="215" t="s">
        <v>1836</v>
      </c>
      <c r="E237" s="215" t="s">
        <v>2022</v>
      </c>
      <c r="F237" s="215" t="s">
        <v>1847</v>
      </c>
      <c r="G237" s="215" t="s">
        <v>135</v>
      </c>
      <c r="H237" s="216" t="s">
        <v>2054</v>
      </c>
      <c r="I237" s="217"/>
      <c r="J237" s="217"/>
      <c r="K237" s="217"/>
      <c r="L237" s="217"/>
      <c r="M237" s="217"/>
      <c r="N237" s="217"/>
      <c r="O237" s="217"/>
      <c r="P237" s="217"/>
      <c r="Q237" s="218"/>
    </row>
    <row r="238" spans="1:17" s="219" customFormat="1" hidden="1" x14ac:dyDescent="0.25">
      <c r="A238" s="214"/>
      <c r="B238" s="215" t="s">
        <v>1822</v>
      </c>
      <c r="C238" s="215" t="s">
        <v>1823</v>
      </c>
      <c r="D238" s="215" t="s">
        <v>1836</v>
      </c>
      <c r="E238" s="215" t="s">
        <v>2022</v>
      </c>
      <c r="F238" s="215" t="s">
        <v>1847</v>
      </c>
      <c r="G238" s="215" t="s">
        <v>138</v>
      </c>
      <c r="H238" s="216" t="s">
        <v>2055</v>
      </c>
      <c r="I238" s="217"/>
      <c r="J238" s="217"/>
      <c r="K238" s="217"/>
      <c r="L238" s="217"/>
      <c r="M238" s="217"/>
      <c r="N238" s="217"/>
      <c r="O238" s="217"/>
      <c r="P238" s="217"/>
      <c r="Q238" s="218"/>
    </row>
    <row r="239" spans="1:17" s="219" customFormat="1" hidden="1" x14ac:dyDescent="0.25">
      <c r="A239" s="214"/>
      <c r="B239" s="215" t="s">
        <v>1822</v>
      </c>
      <c r="C239" s="215" t="s">
        <v>1823</v>
      </c>
      <c r="D239" s="215" t="s">
        <v>1836</v>
      </c>
      <c r="E239" s="215" t="s">
        <v>2022</v>
      </c>
      <c r="F239" s="215" t="s">
        <v>1847</v>
      </c>
      <c r="G239" s="215" t="s">
        <v>140</v>
      </c>
      <c r="H239" s="216" t="s">
        <v>2056</v>
      </c>
      <c r="I239" s="217"/>
      <c r="J239" s="217"/>
      <c r="K239" s="217"/>
      <c r="L239" s="217"/>
      <c r="M239" s="217"/>
      <c r="N239" s="217"/>
      <c r="O239" s="217"/>
      <c r="P239" s="217"/>
      <c r="Q239" s="218"/>
    </row>
    <row r="240" spans="1:17" s="219" customFormat="1" hidden="1" x14ac:dyDescent="0.25">
      <c r="A240" s="214"/>
      <c r="B240" s="215" t="s">
        <v>1822</v>
      </c>
      <c r="C240" s="215" t="s">
        <v>1823</v>
      </c>
      <c r="D240" s="215" t="s">
        <v>1836</v>
      </c>
      <c r="E240" s="215" t="s">
        <v>2022</v>
      </c>
      <c r="F240" s="215" t="s">
        <v>1847</v>
      </c>
      <c r="G240" s="215" t="s">
        <v>143</v>
      </c>
      <c r="H240" s="216" t="s">
        <v>2057</v>
      </c>
      <c r="I240" s="217"/>
      <c r="J240" s="217"/>
      <c r="K240" s="217"/>
      <c r="L240" s="217"/>
      <c r="M240" s="217"/>
      <c r="N240" s="217"/>
      <c r="O240" s="217"/>
      <c r="P240" s="217"/>
      <c r="Q240" s="218"/>
    </row>
    <row r="241" spans="1:17" s="219" customFormat="1" hidden="1" x14ac:dyDescent="0.25">
      <c r="A241" s="214"/>
      <c r="B241" s="215" t="s">
        <v>1822</v>
      </c>
      <c r="C241" s="215" t="s">
        <v>1823</v>
      </c>
      <c r="D241" s="215" t="s">
        <v>1836</v>
      </c>
      <c r="E241" s="215" t="s">
        <v>2022</v>
      </c>
      <c r="F241" s="215" t="s">
        <v>1847</v>
      </c>
      <c r="G241" s="215" t="s">
        <v>146</v>
      </c>
      <c r="H241" s="216" t="s">
        <v>2058</v>
      </c>
      <c r="I241" s="217"/>
      <c r="J241" s="217"/>
      <c r="K241" s="217"/>
      <c r="L241" s="217"/>
      <c r="M241" s="217"/>
      <c r="N241" s="217"/>
      <c r="O241" s="217"/>
      <c r="P241" s="217"/>
      <c r="Q241" s="218"/>
    </row>
    <row r="242" spans="1:17" s="219" customFormat="1" hidden="1" x14ac:dyDescent="0.25">
      <c r="A242" s="214"/>
      <c r="B242" s="215" t="s">
        <v>1822</v>
      </c>
      <c r="C242" s="215" t="s">
        <v>1823</v>
      </c>
      <c r="D242" s="215" t="s">
        <v>1836</v>
      </c>
      <c r="E242" s="215" t="s">
        <v>2022</v>
      </c>
      <c r="F242" s="215" t="s">
        <v>1847</v>
      </c>
      <c r="G242" s="215" t="s">
        <v>150</v>
      </c>
      <c r="H242" s="216" t="s">
        <v>2059</v>
      </c>
      <c r="I242" s="217"/>
      <c r="J242" s="217"/>
      <c r="K242" s="217"/>
      <c r="L242" s="217"/>
      <c r="M242" s="217"/>
      <c r="N242" s="217"/>
      <c r="O242" s="217"/>
      <c r="P242" s="217"/>
      <c r="Q242" s="218"/>
    </row>
    <row r="243" spans="1:17" s="219" customFormat="1" hidden="1" x14ac:dyDescent="0.25">
      <c r="A243" s="214"/>
      <c r="B243" s="215" t="s">
        <v>1822</v>
      </c>
      <c r="C243" s="215" t="s">
        <v>1823</v>
      </c>
      <c r="D243" s="215" t="s">
        <v>1836</v>
      </c>
      <c r="E243" s="215" t="s">
        <v>2022</v>
      </c>
      <c r="F243" s="215" t="s">
        <v>1847</v>
      </c>
      <c r="G243" s="215" t="s">
        <v>153</v>
      </c>
      <c r="H243" s="216" t="s">
        <v>2060</v>
      </c>
      <c r="I243" s="217"/>
      <c r="J243" s="217"/>
      <c r="K243" s="217"/>
      <c r="L243" s="217"/>
      <c r="M243" s="217"/>
      <c r="N243" s="217"/>
      <c r="O243" s="217"/>
      <c r="P243" s="217"/>
      <c r="Q243" s="218"/>
    </row>
    <row r="244" spans="1:17" s="219" customFormat="1" hidden="1" x14ac:dyDescent="0.25">
      <c r="A244" s="214"/>
      <c r="B244" s="215" t="s">
        <v>1822</v>
      </c>
      <c r="C244" s="215" t="s">
        <v>1823</v>
      </c>
      <c r="D244" s="215" t="s">
        <v>1836</v>
      </c>
      <c r="E244" s="215" t="s">
        <v>2022</v>
      </c>
      <c r="F244" s="215" t="s">
        <v>1847</v>
      </c>
      <c r="G244" s="215" t="s">
        <v>156</v>
      </c>
      <c r="H244" s="216" t="s">
        <v>2061</v>
      </c>
      <c r="I244" s="217"/>
      <c r="J244" s="217"/>
      <c r="K244" s="217"/>
      <c r="L244" s="217"/>
      <c r="M244" s="217"/>
      <c r="N244" s="217"/>
      <c r="O244" s="217"/>
      <c r="P244" s="217"/>
      <c r="Q244" s="218"/>
    </row>
    <row r="245" spans="1:17" s="219" customFormat="1" x14ac:dyDescent="0.25">
      <c r="A245" s="214"/>
      <c r="B245" s="215" t="s">
        <v>1822</v>
      </c>
      <c r="C245" s="215" t="s">
        <v>1823</v>
      </c>
      <c r="D245" s="215" t="s">
        <v>1836</v>
      </c>
      <c r="E245" s="215" t="s">
        <v>2022</v>
      </c>
      <c r="F245" s="215" t="s">
        <v>1847</v>
      </c>
      <c r="G245" s="215" t="s">
        <v>159</v>
      </c>
      <c r="H245" s="216" t="s">
        <v>2062</v>
      </c>
      <c r="I245" s="217"/>
      <c r="J245" s="217"/>
      <c r="K245" s="217"/>
      <c r="L245" s="217"/>
      <c r="M245" s="217"/>
      <c r="N245" s="217"/>
      <c r="O245" s="217"/>
      <c r="P245" s="217"/>
      <c r="Q245" s="218"/>
    </row>
    <row r="246" spans="1:17" s="219" customFormat="1" x14ac:dyDescent="0.25">
      <c r="A246" s="214"/>
      <c r="B246" s="215" t="s">
        <v>1822</v>
      </c>
      <c r="C246" s="215" t="s">
        <v>1823</v>
      </c>
      <c r="D246" s="215" t="s">
        <v>1836</v>
      </c>
      <c r="E246" s="215" t="s">
        <v>2022</v>
      </c>
      <c r="F246" s="215" t="s">
        <v>1847</v>
      </c>
      <c r="G246" s="215" t="s">
        <v>162</v>
      </c>
      <c r="H246" s="216" t="s">
        <v>2063</v>
      </c>
      <c r="I246" s="217">
        <v>66600000</v>
      </c>
      <c r="J246" s="217"/>
      <c r="K246" s="217"/>
      <c r="L246" s="217"/>
      <c r="M246" s="217"/>
      <c r="N246" s="217">
        <v>66600000</v>
      </c>
      <c r="O246" s="217"/>
      <c r="P246" s="217"/>
      <c r="Q246" s="218"/>
    </row>
    <row r="247" spans="1:17" s="219" customFormat="1" hidden="1" x14ac:dyDescent="0.25">
      <c r="A247" s="214"/>
      <c r="B247" s="215" t="s">
        <v>1822</v>
      </c>
      <c r="C247" s="215" t="s">
        <v>1823</v>
      </c>
      <c r="D247" s="215" t="s">
        <v>1836</v>
      </c>
      <c r="E247" s="215" t="s">
        <v>2022</v>
      </c>
      <c r="F247" s="215" t="s">
        <v>1847</v>
      </c>
      <c r="G247" s="215" t="s">
        <v>312</v>
      </c>
      <c r="H247" s="216" t="s">
        <v>1891</v>
      </c>
      <c r="I247" s="217"/>
      <c r="J247" s="217"/>
      <c r="K247" s="217"/>
      <c r="L247" s="217"/>
      <c r="M247" s="217"/>
      <c r="N247" s="217"/>
      <c r="O247" s="217"/>
      <c r="P247" s="217"/>
      <c r="Q247" s="218"/>
    </row>
    <row r="248" spans="1:17" s="219" customFormat="1" hidden="1" x14ac:dyDescent="0.25">
      <c r="A248" s="214"/>
      <c r="B248" s="215" t="s">
        <v>1822</v>
      </c>
      <c r="C248" s="215" t="s">
        <v>1823</v>
      </c>
      <c r="D248" s="215" t="s">
        <v>1836</v>
      </c>
      <c r="E248" s="215" t="s">
        <v>2022</v>
      </c>
      <c r="F248" s="215" t="s">
        <v>1847</v>
      </c>
      <c r="G248" s="215" t="s">
        <v>313</v>
      </c>
      <c r="H248" s="216" t="s">
        <v>2064</v>
      </c>
      <c r="I248" s="217"/>
      <c r="J248" s="217"/>
      <c r="K248" s="217"/>
      <c r="L248" s="217"/>
      <c r="M248" s="217"/>
      <c r="N248" s="217"/>
      <c r="O248" s="217"/>
      <c r="P248" s="217"/>
      <c r="Q248" s="218"/>
    </row>
    <row r="249" spans="1:17" s="219" customFormat="1" hidden="1" x14ac:dyDescent="0.25">
      <c r="A249" s="214"/>
      <c r="B249" s="215" t="s">
        <v>1822</v>
      </c>
      <c r="C249" s="215" t="s">
        <v>1823</v>
      </c>
      <c r="D249" s="215" t="s">
        <v>1836</v>
      </c>
      <c r="E249" s="215" t="s">
        <v>2022</v>
      </c>
      <c r="F249" s="215" t="s">
        <v>1847</v>
      </c>
      <c r="G249" s="215" t="s">
        <v>559</v>
      </c>
      <c r="H249" s="216" t="s">
        <v>2065</v>
      </c>
      <c r="I249" s="217"/>
      <c r="J249" s="217"/>
      <c r="K249" s="217"/>
      <c r="L249" s="217"/>
      <c r="M249" s="217"/>
      <c r="N249" s="217"/>
      <c r="O249" s="217"/>
      <c r="P249" s="217"/>
      <c r="Q249" s="218"/>
    </row>
    <row r="250" spans="1:17" s="219" customFormat="1" hidden="1" x14ac:dyDescent="0.25">
      <c r="A250" s="214"/>
      <c r="B250" s="215" t="s">
        <v>1822</v>
      </c>
      <c r="C250" s="215" t="s">
        <v>1823</v>
      </c>
      <c r="D250" s="215" t="s">
        <v>1836</v>
      </c>
      <c r="E250" s="215" t="s">
        <v>2022</v>
      </c>
      <c r="F250" s="215" t="s">
        <v>1847</v>
      </c>
      <c r="G250" s="215" t="s">
        <v>561</v>
      </c>
      <c r="H250" s="216" t="s">
        <v>2066</v>
      </c>
      <c r="I250" s="217"/>
      <c r="J250" s="217"/>
      <c r="K250" s="217"/>
      <c r="L250" s="217"/>
      <c r="M250" s="217"/>
      <c r="N250" s="217"/>
      <c r="O250" s="217"/>
      <c r="P250" s="217"/>
      <c r="Q250" s="218"/>
    </row>
    <row r="251" spans="1:17" s="219" customFormat="1" hidden="1" x14ac:dyDescent="0.25">
      <c r="A251" s="214"/>
      <c r="B251" s="215" t="s">
        <v>1822</v>
      </c>
      <c r="C251" s="215" t="s">
        <v>1823</v>
      </c>
      <c r="D251" s="215" t="s">
        <v>1836</v>
      </c>
      <c r="E251" s="215" t="s">
        <v>2022</v>
      </c>
      <c r="F251" s="215" t="s">
        <v>1847</v>
      </c>
      <c r="G251" s="215" t="s">
        <v>563</v>
      </c>
      <c r="H251" s="216" t="s">
        <v>2067</v>
      </c>
      <c r="I251" s="217"/>
      <c r="J251" s="217"/>
      <c r="K251" s="217"/>
      <c r="L251" s="217"/>
      <c r="M251" s="217"/>
      <c r="N251" s="217"/>
      <c r="O251" s="217"/>
      <c r="P251" s="217"/>
      <c r="Q251" s="218"/>
    </row>
    <row r="252" spans="1:17" s="219" customFormat="1" hidden="1" x14ac:dyDescent="0.25">
      <c r="A252" s="214"/>
      <c r="B252" s="215" t="s">
        <v>1822</v>
      </c>
      <c r="C252" s="215" t="s">
        <v>1823</v>
      </c>
      <c r="D252" s="215" t="s">
        <v>1836</v>
      </c>
      <c r="E252" s="215" t="s">
        <v>2022</v>
      </c>
      <c r="F252" s="215" t="s">
        <v>1847</v>
      </c>
      <c r="G252" s="215" t="s">
        <v>227</v>
      </c>
      <c r="H252" s="216" t="s">
        <v>2068</v>
      </c>
      <c r="I252" s="217"/>
      <c r="J252" s="217"/>
      <c r="K252" s="217"/>
      <c r="L252" s="217"/>
      <c r="M252" s="217"/>
      <c r="N252" s="217"/>
      <c r="O252" s="217"/>
      <c r="P252" s="217"/>
      <c r="Q252" s="218"/>
    </row>
    <row r="253" spans="1:17" s="219" customFormat="1" hidden="1" x14ac:dyDescent="0.25">
      <c r="A253" s="214"/>
      <c r="B253" s="215" t="s">
        <v>1822</v>
      </c>
      <c r="C253" s="215" t="s">
        <v>1823</v>
      </c>
      <c r="D253" s="215" t="s">
        <v>1836</v>
      </c>
      <c r="E253" s="215" t="s">
        <v>2022</v>
      </c>
      <c r="F253" s="215" t="s">
        <v>1847</v>
      </c>
      <c r="G253" s="215" t="s">
        <v>230</v>
      </c>
      <c r="H253" s="216" t="s">
        <v>2069</v>
      </c>
      <c r="I253" s="217"/>
      <c r="J253" s="217"/>
      <c r="K253" s="217"/>
      <c r="L253" s="217"/>
      <c r="M253" s="217"/>
      <c r="N253" s="217"/>
      <c r="O253" s="217"/>
      <c r="P253" s="217"/>
      <c r="Q253" s="218"/>
    </row>
    <row r="254" spans="1:17" s="219" customFormat="1" hidden="1" x14ac:dyDescent="0.25">
      <c r="A254" s="214"/>
      <c r="B254" s="215" t="s">
        <v>1822</v>
      </c>
      <c r="C254" s="215" t="s">
        <v>1823</v>
      </c>
      <c r="D254" s="215" t="s">
        <v>1836</v>
      </c>
      <c r="E254" s="215" t="s">
        <v>2022</v>
      </c>
      <c r="F254" s="215" t="s">
        <v>1847</v>
      </c>
      <c r="G254" s="215" t="s">
        <v>232</v>
      </c>
      <c r="H254" s="216" t="s">
        <v>2070</v>
      </c>
      <c r="I254" s="217"/>
      <c r="J254" s="217"/>
      <c r="K254" s="217"/>
      <c r="L254" s="217"/>
      <c r="M254" s="217"/>
      <c r="N254" s="217"/>
      <c r="O254" s="217"/>
      <c r="P254" s="217"/>
      <c r="Q254" s="218"/>
    </row>
    <row r="255" spans="1:17" s="219" customFormat="1" hidden="1" x14ac:dyDescent="0.25">
      <c r="A255" s="214"/>
      <c r="B255" s="215" t="s">
        <v>1822</v>
      </c>
      <c r="C255" s="215" t="s">
        <v>1823</v>
      </c>
      <c r="D255" s="215" t="s">
        <v>1836</v>
      </c>
      <c r="E255" s="215" t="s">
        <v>2022</v>
      </c>
      <c r="F255" s="215" t="s">
        <v>1847</v>
      </c>
      <c r="G255" s="215" t="s">
        <v>234</v>
      </c>
      <c r="H255" s="216" t="s">
        <v>2071</v>
      </c>
      <c r="I255" s="217"/>
      <c r="J255" s="217"/>
      <c r="K255" s="217"/>
      <c r="L255" s="217"/>
      <c r="M255" s="217"/>
      <c r="N255" s="217"/>
      <c r="O255" s="217"/>
      <c r="P255" s="217"/>
      <c r="Q255" s="218"/>
    </row>
    <row r="256" spans="1:17" s="219" customFormat="1" ht="30" hidden="1" x14ac:dyDescent="0.25">
      <c r="A256" s="214"/>
      <c r="B256" s="215" t="s">
        <v>1822</v>
      </c>
      <c r="C256" s="215" t="s">
        <v>1823</v>
      </c>
      <c r="D256" s="215" t="s">
        <v>1836</v>
      </c>
      <c r="E256" s="215" t="s">
        <v>2022</v>
      </c>
      <c r="F256" s="215" t="s">
        <v>1847</v>
      </c>
      <c r="G256" s="215" t="s">
        <v>236</v>
      </c>
      <c r="H256" s="216" t="s">
        <v>2072</v>
      </c>
      <c r="I256" s="217"/>
      <c r="J256" s="217"/>
      <c r="K256" s="217"/>
      <c r="L256" s="217"/>
      <c r="M256" s="217"/>
      <c r="N256" s="217"/>
      <c r="O256" s="217"/>
      <c r="P256" s="217"/>
      <c r="Q256" s="218"/>
    </row>
    <row r="257" spans="1:17" s="219" customFormat="1" ht="30" hidden="1" x14ac:dyDescent="0.25">
      <c r="A257" s="214"/>
      <c r="B257" s="215" t="s">
        <v>1822</v>
      </c>
      <c r="C257" s="215" t="s">
        <v>1823</v>
      </c>
      <c r="D257" s="215" t="s">
        <v>1836</v>
      </c>
      <c r="E257" s="215" t="s">
        <v>2022</v>
      </c>
      <c r="F257" s="215" t="s">
        <v>1847</v>
      </c>
      <c r="G257" s="215" t="s">
        <v>238</v>
      </c>
      <c r="H257" s="216" t="s">
        <v>2073</v>
      </c>
      <c r="I257" s="217"/>
      <c r="J257" s="217"/>
      <c r="K257" s="217"/>
      <c r="L257" s="217"/>
      <c r="M257" s="217"/>
      <c r="N257" s="217"/>
      <c r="O257" s="217"/>
      <c r="P257" s="217"/>
      <c r="Q257" s="218"/>
    </row>
    <row r="258" spans="1:17" s="219" customFormat="1" ht="30" hidden="1" x14ac:dyDescent="0.25">
      <c r="A258" s="214"/>
      <c r="B258" s="215" t="s">
        <v>1822</v>
      </c>
      <c r="C258" s="215" t="s">
        <v>1823</v>
      </c>
      <c r="D258" s="215" t="s">
        <v>1836</v>
      </c>
      <c r="E258" s="215" t="s">
        <v>2022</v>
      </c>
      <c r="F258" s="215" t="s">
        <v>1847</v>
      </c>
      <c r="G258" s="215" t="s">
        <v>240</v>
      </c>
      <c r="H258" s="216" t="s">
        <v>2074</v>
      </c>
      <c r="I258" s="217"/>
      <c r="J258" s="217"/>
      <c r="K258" s="217"/>
      <c r="L258" s="217"/>
      <c r="M258" s="217"/>
      <c r="N258" s="217"/>
      <c r="O258" s="217"/>
      <c r="P258" s="217"/>
      <c r="Q258" s="218"/>
    </row>
    <row r="259" spans="1:17" s="219" customFormat="1" ht="30" hidden="1" x14ac:dyDescent="0.25">
      <c r="A259" s="214"/>
      <c r="B259" s="215" t="s">
        <v>1822</v>
      </c>
      <c r="C259" s="215" t="s">
        <v>1823</v>
      </c>
      <c r="D259" s="215" t="s">
        <v>1836</v>
      </c>
      <c r="E259" s="215" t="s">
        <v>2022</v>
      </c>
      <c r="F259" s="215" t="s">
        <v>1847</v>
      </c>
      <c r="G259" s="215" t="s">
        <v>242</v>
      </c>
      <c r="H259" s="216" t="s">
        <v>2075</v>
      </c>
      <c r="I259" s="217"/>
      <c r="J259" s="217"/>
      <c r="K259" s="217"/>
      <c r="L259" s="217"/>
      <c r="M259" s="217"/>
      <c r="N259" s="217"/>
      <c r="O259" s="217"/>
      <c r="P259" s="217"/>
      <c r="Q259" s="218"/>
    </row>
    <row r="260" spans="1:17" s="219" customFormat="1" ht="30" hidden="1" x14ac:dyDescent="0.25">
      <c r="A260" s="214"/>
      <c r="B260" s="215" t="s">
        <v>1822</v>
      </c>
      <c r="C260" s="215" t="s">
        <v>1823</v>
      </c>
      <c r="D260" s="215" t="s">
        <v>1836</v>
      </c>
      <c r="E260" s="215" t="s">
        <v>2022</v>
      </c>
      <c r="F260" s="215" t="s">
        <v>1847</v>
      </c>
      <c r="G260" s="215" t="s">
        <v>244</v>
      </c>
      <c r="H260" s="216" t="s">
        <v>2076</v>
      </c>
      <c r="I260" s="217"/>
      <c r="J260" s="217"/>
      <c r="K260" s="217"/>
      <c r="L260" s="217"/>
      <c r="M260" s="217"/>
      <c r="N260" s="217"/>
      <c r="O260" s="217"/>
      <c r="P260" s="217"/>
      <c r="Q260" s="218"/>
    </row>
    <row r="261" spans="1:17" s="219" customFormat="1" ht="30" hidden="1" x14ac:dyDescent="0.25">
      <c r="A261" s="214"/>
      <c r="B261" s="215" t="s">
        <v>1822</v>
      </c>
      <c r="C261" s="215" t="s">
        <v>1823</v>
      </c>
      <c r="D261" s="215" t="s">
        <v>1836</v>
      </c>
      <c r="E261" s="215" t="s">
        <v>2022</v>
      </c>
      <c r="F261" s="215" t="s">
        <v>1847</v>
      </c>
      <c r="G261" s="215" t="s">
        <v>246</v>
      </c>
      <c r="H261" s="216" t="s">
        <v>2077</v>
      </c>
      <c r="I261" s="217"/>
      <c r="J261" s="217"/>
      <c r="K261" s="217"/>
      <c r="L261" s="217"/>
      <c r="M261" s="217"/>
      <c r="N261" s="217"/>
      <c r="O261" s="217"/>
      <c r="P261" s="217"/>
      <c r="Q261" s="218"/>
    </row>
    <row r="262" spans="1:17" s="219" customFormat="1" ht="30" hidden="1" x14ac:dyDescent="0.25">
      <c r="A262" s="214"/>
      <c r="B262" s="215" t="s">
        <v>1822</v>
      </c>
      <c r="C262" s="215" t="s">
        <v>1823</v>
      </c>
      <c r="D262" s="215" t="s">
        <v>1836</v>
      </c>
      <c r="E262" s="215" t="s">
        <v>2022</v>
      </c>
      <c r="F262" s="215" t="s">
        <v>1847</v>
      </c>
      <c r="G262" s="215" t="s">
        <v>407</v>
      </c>
      <c r="H262" s="216" t="s">
        <v>2078</v>
      </c>
      <c r="I262" s="217"/>
      <c r="J262" s="217"/>
      <c r="K262" s="217"/>
      <c r="L262" s="217"/>
      <c r="M262" s="217"/>
      <c r="N262" s="217"/>
      <c r="O262" s="217"/>
      <c r="P262" s="217"/>
      <c r="Q262" s="218"/>
    </row>
    <row r="263" spans="1:17" s="219" customFormat="1" ht="30" hidden="1" x14ac:dyDescent="0.25">
      <c r="A263" s="214"/>
      <c r="B263" s="215" t="s">
        <v>1822</v>
      </c>
      <c r="C263" s="215" t="s">
        <v>1823</v>
      </c>
      <c r="D263" s="215" t="s">
        <v>1836</v>
      </c>
      <c r="E263" s="215" t="s">
        <v>2022</v>
      </c>
      <c r="F263" s="215" t="s">
        <v>1847</v>
      </c>
      <c r="G263" s="215" t="s">
        <v>408</v>
      </c>
      <c r="H263" s="216" t="s">
        <v>2079</v>
      </c>
      <c r="I263" s="217"/>
      <c r="J263" s="217"/>
      <c r="K263" s="217"/>
      <c r="L263" s="217"/>
      <c r="M263" s="217"/>
      <c r="N263" s="217"/>
      <c r="O263" s="217"/>
      <c r="P263" s="217"/>
      <c r="Q263" s="218"/>
    </row>
    <row r="264" spans="1:17" s="219" customFormat="1" ht="30" hidden="1" x14ac:dyDescent="0.25">
      <c r="A264" s="214"/>
      <c r="B264" s="215" t="s">
        <v>1822</v>
      </c>
      <c r="C264" s="215" t="s">
        <v>1823</v>
      </c>
      <c r="D264" s="215" t="s">
        <v>1836</v>
      </c>
      <c r="E264" s="215" t="s">
        <v>2022</v>
      </c>
      <c r="F264" s="215" t="s">
        <v>1847</v>
      </c>
      <c r="G264" s="215" t="s">
        <v>409</v>
      </c>
      <c r="H264" s="216" t="s">
        <v>2080</v>
      </c>
      <c r="I264" s="217"/>
      <c r="J264" s="217"/>
      <c r="K264" s="217"/>
      <c r="L264" s="217"/>
      <c r="M264" s="217"/>
      <c r="N264" s="217"/>
      <c r="O264" s="217"/>
      <c r="P264" s="217"/>
      <c r="Q264" s="218"/>
    </row>
    <row r="265" spans="1:17" s="219" customFormat="1" ht="30" hidden="1" x14ac:dyDescent="0.25">
      <c r="A265" s="214"/>
      <c r="B265" s="215" t="s">
        <v>1822</v>
      </c>
      <c r="C265" s="215" t="s">
        <v>1823</v>
      </c>
      <c r="D265" s="215" t="s">
        <v>1836</v>
      </c>
      <c r="E265" s="215" t="s">
        <v>2022</v>
      </c>
      <c r="F265" s="215" t="s">
        <v>1847</v>
      </c>
      <c r="G265" s="215" t="s">
        <v>788</v>
      </c>
      <c r="H265" s="216" t="s">
        <v>2081</v>
      </c>
      <c r="I265" s="217"/>
      <c r="J265" s="217"/>
      <c r="K265" s="217"/>
      <c r="L265" s="217"/>
      <c r="M265" s="217"/>
      <c r="N265" s="217"/>
      <c r="O265" s="217"/>
      <c r="P265" s="217"/>
      <c r="Q265" s="218"/>
    </row>
    <row r="266" spans="1:17" s="219" customFormat="1" ht="30" hidden="1" x14ac:dyDescent="0.25">
      <c r="A266" s="214"/>
      <c r="B266" s="215" t="s">
        <v>1822</v>
      </c>
      <c r="C266" s="215" t="s">
        <v>1823</v>
      </c>
      <c r="D266" s="215" t="s">
        <v>1836</v>
      </c>
      <c r="E266" s="215" t="s">
        <v>2022</v>
      </c>
      <c r="F266" s="215" t="s">
        <v>1847</v>
      </c>
      <c r="G266" s="215" t="s">
        <v>1017</v>
      </c>
      <c r="H266" s="216" t="s">
        <v>2082</v>
      </c>
      <c r="I266" s="217"/>
      <c r="J266" s="217"/>
      <c r="K266" s="217"/>
      <c r="L266" s="217"/>
      <c r="M266" s="217"/>
      <c r="N266" s="217"/>
      <c r="O266" s="217"/>
      <c r="P266" s="217"/>
      <c r="Q266" s="218"/>
    </row>
    <row r="267" spans="1:17" s="219" customFormat="1" ht="30" hidden="1" x14ac:dyDescent="0.25">
      <c r="A267" s="214"/>
      <c r="B267" s="215" t="s">
        <v>1822</v>
      </c>
      <c r="C267" s="215" t="s">
        <v>1823</v>
      </c>
      <c r="D267" s="215" t="s">
        <v>1836</v>
      </c>
      <c r="E267" s="215" t="s">
        <v>2022</v>
      </c>
      <c r="F267" s="215" t="s">
        <v>1847</v>
      </c>
      <c r="G267" s="215" t="s">
        <v>411</v>
      </c>
      <c r="H267" s="216" t="s">
        <v>2083</v>
      </c>
      <c r="I267" s="217"/>
      <c r="J267" s="217"/>
      <c r="K267" s="217"/>
      <c r="L267" s="217"/>
      <c r="M267" s="217"/>
      <c r="N267" s="217"/>
      <c r="O267" s="217"/>
      <c r="P267" s="217"/>
      <c r="Q267" s="218"/>
    </row>
    <row r="268" spans="1:17" s="219" customFormat="1" ht="30" hidden="1" x14ac:dyDescent="0.25">
      <c r="A268" s="214"/>
      <c r="B268" s="215" t="s">
        <v>1822</v>
      </c>
      <c r="C268" s="215" t="s">
        <v>1823</v>
      </c>
      <c r="D268" s="215" t="s">
        <v>1836</v>
      </c>
      <c r="E268" s="215" t="s">
        <v>2022</v>
      </c>
      <c r="F268" s="215" t="s">
        <v>1847</v>
      </c>
      <c r="G268" s="215" t="s">
        <v>247</v>
      </c>
      <c r="H268" s="216" t="s">
        <v>2084</v>
      </c>
      <c r="I268" s="217"/>
      <c r="J268" s="217"/>
      <c r="K268" s="217"/>
      <c r="L268" s="217"/>
      <c r="M268" s="217"/>
      <c r="N268" s="217"/>
      <c r="O268" s="217"/>
      <c r="P268" s="217"/>
      <c r="Q268" s="218"/>
    </row>
    <row r="269" spans="1:17" s="219" customFormat="1" ht="30" hidden="1" x14ac:dyDescent="0.25">
      <c r="A269" s="214"/>
      <c r="B269" s="215" t="s">
        <v>1822</v>
      </c>
      <c r="C269" s="215" t="s">
        <v>1823</v>
      </c>
      <c r="D269" s="215" t="s">
        <v>1836</v>
      </c>
      <c r="E269" s="215" t="s">
        <v>2022</v>
      </c>
      <c r="F269" s="215" t="s">
        <v>1847</v>
      </c>
      <c r="G269" s="215" t="s">
        <v>1019</v>
      </c>
      <c r="H269" s="216" t="s">
        <v>2085</v>
      </c>
      <c r="I269" s="217"/>
      <c r="J269" s="217"/>
      <c r="K269" s="217"/>
      <c r="L269" s="217"/>
      <c r="M269" s="217"/>
      <c r="N269" s="217"/>
      <c r="O269" s="217"/>
      <c r="P269" s="217"/>
      <c r="Q269" s="218"/>
    </row>
    <row r="270" spans="1:17" s="219" customFormat="1" ht="30" hidden="1" x14ac:dyDescent="0.25">
      <c r="A270" s="214"/>
      <c r="B270" s="215" t="s">
        <v>1822</v>
      </c>
      <c r="C270" s="215" t="s">
        <v>1823</v>
      </c>
      <c r="D270" s="215" t="s">
        <v>1836</v>
      </c>
      <c r="E270" s="215" t="s">
        <v>2022</v>
      </c>
      <c r="F270" s="215" t="s">
        <v>1847</v>
      </c>
      <c r="G270" s="215" t="s">
        <v>1022</v>
      </c>
      <c r="H270" s="216" t="s">
        <v>2086</v>
      </c>
      <c r="I270" s="217"/>
      <c r="J270" s="217"/>
      <c r="K270" s="217"/>
      <c r="L270" s="217"/>
      <c r="M270" s="217"/>
      <c r="N270" s="217"/>
      <c r="O270" s="217"/>
      <c r="P270" s="217"/>
      <c r="Q270" s="218"/>
    </row>
    <row r="271" spans="1:17" s="219" customFormat="1" ht="30" hidden="1" x14ac:dyDescent="0.25">
      <c r="A271" s="214"/>
      <c r="B271" s="215" t="s">
        <v>1822</v>
      </c>
      <c r="C271" s="215" t="s">
        <v>1823</v>
      </c>
      <c r="D271" s="215" t="s">
        <v>1836</v>
      </c>
      <c r="E271" s="215" t="s">
        <v>2022</v>
      </c>
      <c r="F271" s="215" t="s">
        <v>1847</v>
      </c>
      <c r="G271" s="215" t="s">
        <v>1024</v>
      </c>
      <c r="H271" s="216" t="s">
        <v>2087</v>
      </c>
      <c r="I271" s="217"/>
      <c r="J271" s="217"/>
      <c r="K271" s="217"/>
      <c r="L271" s="217"/>
      <c r="M271" s="217"/>
      <c r="N271" s="217"/>
      <c r="O271" s="217"/>
      <c r="P271" s="217"/>
      <c r="Q271" s="218"/>
    </row>
    <row r="272" spans="1:17" s="219" customFormat="1" hidden="1" x14ac:dyDescent="0.25">
      <c r="A272" s="214"/>
      <c r="B272" s="215" t="s">
        <v>1822</v>
      </c>
      <c r="C272" s="215" t="s">
        <v>1823</v>
      </c>
      <c r="D272" s="215" t="s">
        <v>1836</v>
      </c>
      <c r="E272" s="215" t="s">
        <v>2022</v>
      </c>
      <c r="F272" s="215" t="s">
        <v>1847</v>
      </c>
      <c r="G272" s="215" t="s">
        <v>1026</v>
      </c>
      <c r="H272" s="216" t="s">
        <v>2088</v>
      </c>
      <c r="I272" s="217"/>
      <c r="J272" s="217"/>
      <c r="K272" s="217"/>
      <c r="L272" s="217"/>
      <c r="M272" s="217"/>
      <c r="N272" s="217"/>
      <c r="O272" s="217"/>
      <c r="P272" s="217"/>
      <c r="Q272" s="218"/>
    </row>
    <row r="273" spans="1:17" s="219" customFormat="1" hidden="1" x14ac:dyDescent="0.25">
      <c r="A273" s="214"/>
      <c r="B273" s="215" t="s">
        <v>1822</v>
      </c>
      <c r="C273" s="215" t="s">
        <v>1823</v>
      </c>
      <c r="D273" s="215" t="s">
        <v>1836</v>
      </c>
      <c r="E273" s="215" t="s">
        <v>2022</v>
      </c>
      <c r="F273" s="215" t="s">
        <v>1847</v>
      </c>
      <c r="G273" s="215" t="s">
        <v>416</v>
      </c>
      <c r="H273" s="216" t="s">
        <v>2089</v>
      </c>
      <c r="I273" s="217"/>
      <c r="J273" s="217"/>
      <c r="K273" s="217"/>
      <c r="L273" s="217"/>
      <c r="M273" s="217"/>
      <c r="N273" s="217"/>
      <c r="O273" s="217"/>
      <c r="P273" s="217"/>
      <c r="Q273" s="218"/>
    </row>
    <row r="274" spans="1:17" s="219" customFormat="1" hidden="1" x14ac:dyDescent="0.25">
      <c r="A274" s="214"/>
      <c r="B274" s="215" t="s">
        <v>1822</v>
      </c>
      <c r="C274" s="215" t="s">
        <v>1823</v>
      </c>
      <c r="D274" s="215" t="s">
        <v>1836</v>
      </c>
      <c r="E274" s="215" t="s">
        <v>2022</v>
      </c>
      <c r="F274" s="215" t="s">
        <v>1847</v>
      </c>
      <c r="G274" s="215" t="s">
        <v>417</v>
      </c>
      <c r="H274" s="216" t="s">
        <v>2090</v>
      </c>
      <c r="I274" s="217"/>
      <c r="J274" s="217"/>
      <c r="K274" s="217"/>
      <c r="L274" s="217"/>
      <c r="M274" s="217"/>
      <c r="N274" s="217"/>
      <c r="O274" s="217"/>
      <c r="P274" s="217"/>
      <c r="Q274" s="218"/>
    </row>
    <row r="275" spans="1:17" s="213" customFormat="1" hidden="1" x14ac:dyDescent="0.25">
      <c r="A275" s="208" t="s">
        <v>263</v>
      </c>
      <c r="B275" s="209" t="s">
        <v>1822</v>
      </c>
      <c r="C275" s="209" t="s">
        <v>1823</v>
      </c>
      <c r="D275" s="209" t="s">
        <v>1836</v>
      </c>
      <c r="E275" s="209" t="s">
        <v>2022</v>
      </c>
      <c r="F275" s="209" t="s">
        <v>1928</v>
      </c>
      <c r="G275" s="209"/>
      <c r="H275" s="210" t="s">
        <v>2091</v>
      </c>
      <c r="I275" s="211">
        <f>SUM(I276:I282)</f>
        <v>0</v>
      </c>
      <c r="J275" s="211">
        <f t="shared" ref="J275:P275" si="31">SUM(J276:J282)</f>
        <v>0</v>
      </c>
      <c r="K275" s="211">
        <f t="shared" si="31"/>
        <v>0</v>
      </c>
      <c r="L275" s="211">
        <f t="shared" si="31"/>
        <v>0</v>
      </c>
      <c r="M275" s="211">
        <f t="shared" si="31"/>
        <v>0</v>
      </c>
      <c r="N275" s="211">
        <f t="shared" si="31"/>
        <v>0</v>
      </c>
      <c r="O275" s="211">
        <f t="shared" si="31"/>
        <v>0</v>
      </c>
      <c r="P275" s="211">
        <f t="shared" si="31"/>
        <v>0</v>
      </c>
      <c r="Q275" s="212"/>
    </row>
    <row r="276" spans="1:17" s="219" customFormat="1" ht="30" hidden="1" x14ac:dyDescent="0.25">
      <c r="A276" s="214"/>
      <c r="B276" s="215" t="s">
        <v>1822</v>
      </c>
      <c r="C276" s="215" t="s">
        <v>1823</v>
      </c>
      <c r="D276" s="215" t="s">
        <v>1836</v>
      </c>
      <c r="E276" s="215" t="s">
        <v>2022</v>
      </c>
      <c r="F276" s="215" t="s">
        <v>1928</v>
      </c>
      <c r="G276" s="215" t="s">
        <v>58</v>
      </c>
      <c r="H276" s="216" t="s">
        <v>2092</v>
      </c>
      <c r="I276" s="217"/>
      <c r="J276" s="217"/>
      <c r="K276" s="217"/>
      <c r="L276" s="217"/>
      <c r="M276" s="217"/>
      <c r="N276" s="217"/>
      <c r="O276" s="217"/>
      <c r="P276" s="217"/>
      <c r="Q276" s="218"/>
    </row>
    <row r="277" spans="1:17" s="219" customFormat="1" ht="30" hidden="1" x14ac:dyDescent="0.25">
      <c r="A277" s="214"/>
      <c r="B277" s="215" t="s">
        <v>1822</v>
      </c>
      <c r="C277" s="215" t="s">
        <v>1823</v>
      </c>
      <c r="D277" s="215" t="s">
        <v>1836</v>
      </c>
      <c r="E277" s="215" t="s">
        <v>2022</v>
      </c>
      <c r="F277" s="215" t="s">
        <v>1928</v>
      </c>
      <c r="G277" s="215" t="s">
        <v>75</v>
      </c>
      <c r="H277" s="216" t="s">
        <v>2093</v>
      </c>
      <c r="I277" s="217"/>
      <c r="J277" s="217"/>
      <c r="K277" s="217"/>
      <c r="L277" s="217"/>
      <c r="M277" s="217"/>
      <c r="N277" s="217"/>
      <c r="O277" s="217"/>
      <c r="P277" s="217"/>
      <c r="Q277" s="218"/>
    </row>
    <row r="278" spans="1:17" s="219" customFormat="1" hidden="1" x14ac:dyDescent="0.25">
      <c r="A278" s="214"/>
      <c r="B278" s="215" t="s">
        <v>1822</v>
      </c>
      <c r="C278" s="215" t="s">
        <v>1823</v>
      </c>
      <c r="D278" s="215" t="s">
        <v>1836</v>
      </c>
      <c r="E278" s="215" t="s">
        <v>2022</v>
      </c>
      <c r="F278" s="215" t="s">
        <v>1928</v>
      </c>
      <c r="G278" s="215" t="s">
        <v>79</v>
      </c>
      <c r="H278" s="216" t="s">
        <v>2094</v>
      </c>
      <c r="I278" s="217"/>
      <c r="J278" s="217"/>
      <c r="K278" s="217"/>
      <c r="L278" s="217"/>
      <c r="M278" s="217"/>
      <c r="N278" s="217"/>
      <c r="O278" s="217"/>
      <c r="P278" s="217"/>
      <c r="Q278" s="218"/>
    </row>
    <row r="279" spans="1:17" s="219" customFormat="1" hidden="1" x14ac:dyDescent="0.25">
      <c r="A279" s="214"/>
      <c r="B279" s="215" t="s">
        <v>1822</v>
      </c>
      <c r="C279" s="215" t="s">
        <v>1823</v>
      </c>
      <c r="D279" s="215" t="s">
        <v>1836</v>
      </c>
      <c r="E279" s="215" t="s">
        <v>2022</v>
      </c>
      <c r="F279" s="215" t="s">
        <v>1928</v>
      </c>
      <c r="G279" s="215" t="s">
        <v>84</v>
      </c>
      <c r="H279" s="216" t="s">
        <v>2095</v>
      </c>
      <c r="I279" s="217"/>
      <c r="J279" s="217"/>
      <c r="K279" s="217"/>
      <c r="L279" s="217"/>
      <c r="M279" s="217"/>
      <c r="N279" s="217"/>
      <c r="O279" s="217"/>
      <c r="P279" s="217"/>
      <c r="Q279" s="218"/>
    </row>
    <row r="280" spans="1:17" s="219" customFormat="1" hidden="1" x14ac:dyDescent="0.25">
      <c r="A280" s="214"/>
      <c r="B280" s="215" t="s">
        <v>1822</v>
      </c>
      <c r="C280" s="215" t="s">
        <v>1823</v>
      </c>
      <c r="D280" s="215" t="s">
        <v>1836</v>
      </c>
      <c r="E280" s="215" t="s">
        <v>2022</v>
      </c>
      <c r="F280" s="215" t="s">
        <v>1928</v>
      </c>
      <c r="G280" s="215" t="s">
        <v>88</v>
      </c>
      <c r="H280" s="216" t="s">
        <v>2096</v>
      </c>
      <c r="I280" s="217"/>
      <c r="J280" s="217"/>
      <c r="K280" s="217"/>
      <c r="L280" s="217"/>
      <c r="M280" s="217"/>
      <c r="N280" s="217"/>
      <c r="O280" s="217"/>
      <c r="P280" s="217"/>
      <c r="Q280" s="218"/>
    </row>
    <row r="281" spans="1:17" s="219" customFormat="1" ht="30" hidden="1" x14ac:dyDescent="0.25">
      <c r="A281" s="214"/>
      <c r="B281" s="215" t="s">
        <v>1822</v>
      </c>
      <c r="C281" s="215" t="s">
        <v>1823</v>
      </c>
      <c r="D281" s="215" t="s">
        <v>1836</v>
      </c>
      <c r="E281" s="215" t="s">
        <v>2022</v>
      </c>
      <c r="F281" s="215" t="s">
        <v>1928</v>
      </c>
      <c r="G281" s="215" t="s">
        <v>92</v>
      </c>
      <c r="H281" s="216" t="s">
        <v>2097</v>
      </c>
      <c r="I281" s="217"/>
      <c r="J281" s="217"/>
      <c r="K281" s="217"/>
      <c r="L281" s="217"/>
      <c r="M281" s="217"/>
      <c r="N281" s="217"/>
      <c r="O281" s="217"/>
      <c r="P281" s="217"/>
      <c r="Q281" s="218"/>
    </row>
    <row r="282" spans="1:17" s="219" customFormat="1" ht="30" x14ac:dyDescent="0.25">
      <c r="A282" s="214"/>
      <c r="B282" s="215" t="s">
        <v>1822</v>
      </c>
      <c r="C282" s="215" t="s">
        <v>1823</v>
      </c>
      <c r="D282" s="215" t="s">
        <v>1836</v>
      </c>
      <c r="E282" s="215" t="s">
        <v>2022</v>
      </c>
      <c r="F282" s="215" t="s">
        <v>1928</v>
      </c>
      <c r="G282" s="215" t="s">
        <v>96</v>
      </c>
      <c r="H282" s="216" t="s">
        <v>2098</v>
      </c>
      <c r="I282" s="217"/>
      <c r="J282" s="217"/>
      <c r="K282" s="217"/>
      <c r="L282" s="217"/>
      <c r="M282" s="217"/>
      <c r="N282" s="217"/>
      <c r="O282" s="217"/>
      <c r="P282" s="217"/>
      <c r="Q282" s="218"/>
    </row>
    <row r="283" spans="1:17" s="213" customFormat="1" x14ac:dyDescent="0.25">
      <c r="A283" s="208" t="s">
        <v>2099</v>
      </c>
      <c r="B283" s="209" t="s">
        <v>1822</v>
      </c>
      <c r="C283" s="209" t="s">
        <v>1823</v>
      </c>
      <c r="D283" s="209" t="s">
        <v>1836</v>
      </c>
      <c r="E283" s="209" t="s">
        <v>2100</v>
      </c>
      <c r="F283" s="209"/>
      <c r="G283" s="209"/>
      <c r="H283" s="210" t="s">
        <v>2101</v>
      </c>
      <c r="I283" s="211">
        <f>SUM(I284+I314)</f>
        <v>2600000</v>
      </c>
      <c r="J283" s="211">
        <f t="shared" ref="J283:P283" si="32">SUM(J284+J314)</f>
        <v>520000</v>
      </c>
      <c r="K283" s="211">
        <f t="shared" si="32"/>
        <v>260000</v>
      </c>
      <c r="L283" s="211">
        <f t="shared" si="32"/>
        <v>260000</v>
      </c>
      <c r="M283" s="211">
        <f t="shared" si="32"/>
        <v>520000</v>
      </c>
      <c r="N283" s="211">
        <f t="shared" si="32"/>
        <v>1473333.3333333335</v>
      </c>
      <c r="O283" s="211">
        <f t="shared" si="32"/>
        <v>1126666.6666666665</v>
      </c>
      <c r="P283" s="211">
        <f t="shared" si="32"/>
        <v>0</v>
      </c>
      <c r="Q283" s="212"/>
    </row>
    <row r="284" spans="1:17" s="213" customFormat="1" x14ac:dyDescent="0.25">
      <c r="A284" s="208" t="s">
        <v>263</v>
      </c>
      <c r="B284" s="209" t="s">
        <v>1822</v>
      </c>
      <c r="C284" s="209" t="s">
        <v>1823</v>
      </c>
      <c r="D284" s="209" t="s">
        <v>1836</v>
      </c>
      <c r="E284" s="209" t="s">
        <v>2100</v>
      </c>
      <c r="F284" s="209" t="s">
        <v>1825</v>
      </c>
      <c r="G284" s="209"/>
      <c r="H284" s="210" t="s">
        <v>2102</v>
      </c>
      <c r="I284" s="211">
        <f>SUM(I285:I313)</f>
        <v>2600000</v>
      </c>
      <c r="J284" s="211">
        <f t="shared" ref="J284:P284" si="33">SUM(J285:J313)</f>
        <v>520000</v>
      </c>
      <c r="K284" s="211">
        <f t="shared" si="33"/>
        <v>260000</v>
      </c>
      <c r="L284" s="211">
        <f t="shared" si="33"/>
        <v>260000</v>
      </c>
      <c r="M284" s="211">
        <f t="shared" si="33"/>
        <v>520000</v>
      </c>
      <c r="N284" s="211">
        <f t="shared" si="33"/>
        <v>1473333.3333333335</v>
      </c>
      <c r="O284" s="211">
        <f t="shared" si="33"/>
        <v>1126666.6666666665</v>
      </c>
      <c r="P284" s="211">
        <f t="shared" si="33"/>
        <v>0</v>
      </c>
      <c r="Q284" s="212"/>
    </row>
    <row r="285" spans="1:17" s="219" customFormat="1" x14ac:dyDescent="0.25">
      <c r="A285" s="214"/>
      <c r="B285" s="215" t="s">
        <v>1822</v>
      </c>
      <c r="C285" s="215" t="s">
        <v>1823</v>
      </c>
      <c r="D285" s="215" t="s">
        <v>1836</v>
      </c>
      <c r="E285" s="215" t="s">
        <v>2100</v>
      </c>
      <c r="F285" s="215" t="s">
        <v>1825</v>
      </c>
      <c r="G285" s="215" t="s">
        <v>58</v>
      </c>
      <c r="H285" s="216" t="s">
        <v>2103</v>
      </c>
      <c r="I285" s="217">
        <v>2600000</v>
      </c>
      <c r="J285" s="217">
        <v>520000</v>
      </c>
      <c r="K285" s="217">
        <v>260000</v>
      </c>
      <c r="L285" s="217">
        <v>260000</v>
      </c>
      <c r="M285" s="217">
        <v>520000</v>
      </c>
      <c r="N285" s="217">
        <v>1473333.3333333335</v>
      </c>
      <c r="O285" s="217">
        <v>1126666.6666666665</v>
      </c>
      <c r="P285" s="217"/>
      <c r="Q285" s="218"/>
    </row>
    <row r="286" spans="1:17" s="219" customFormat="1" x14ac:dyDescent="0.25">
      <c r="A286" s="214"/>
      <c r="B286" s="215" t="s">
        <v>1822</v>
      </c>
      <c r="C286" s="215" t="s">
        <v>1823</v>
      </c>
      <c r="D286" s="215" t="s">
        <v>1836</v>
      </c>
      <c r="E286" s="215" t="s">
        <v>2100</v>
      </c>
      <c r="F286" s="215" t="s">
        <v>1825</v>
      </c>
      <c r="G286" s="215" t="s">
        <v>75</v>
      </c>
      <c r="H286" s="216" t="s">
        <v>2104</v>
      </c>
      <c r="I286" s="217"/>
      <c r="J286" s="217"/>
      <c r="K286" s="217"/>
      <c r="L286" s="217"/>
      <c r="M286" s="217"/>
      <c r="N286" s="217"/>
      <c r="O286" s="217"/>
      <c r="P286" s="217"/>
      <c r="Q286" s="218"/>
    </row>
    <row r="287" spans="1:17" s="219" customFormat="1" hidden="1" x14ac:dyDescent="0.25">
      <c r="A287" s="214"/>
      <c r="B287" s="215" t="s">
        <v>1822</v>
      </c>
      <c r="C287" s="215" t="s">
        <v>1823</v>
      </c>
      <c r="D287" s="215" t="s">
        <v>1836</v>
      </c>
      <c r="E287" s="215" t="s">
        <v>2100</v>
      </c>
      <c r="F287" s="215" t="s">
        <v>1825</v>
      </c>
      <c r="G287" s="215" t="s">
        <v>79</v>
      </c>
      <c r="H287" s="216" t="s">
        <v>2105</v>
      </c>
      <c r="I287" s="217"/>
      <c r="J287" s="217"/>
      <c r="K287" s="217"/>
      <c r="L287" s="217"/>
      <c r="M287" s="217"/>
      <c r="N287" s="217"/>
      <c r="O287" s="217"/>
      <c r="P287" s="217"/>
      <c r="Q287" s="218"/>
    </row>
    <row r="288" spans="1:17" s="219" customFormat="1" hidden="1" x14ac:dyDescent="0.25">
      <c r="A288" s="214"/>
      <c r="B288" s="215" t="s">
        <v>1822</v>
      </c>
      <c r="C288" s="215" t="s">
        <v>1823</v>
      </c>
      <c r="D288" s="215" t="s">
        <v>1836</v>
      </c>
      <c r="E288" s="215" t="s">
        <v>2100</v>
      </c>
      <c r="F288" s="215" t="s">
        <v>1825</v>
      </c>
      <c r="G288" s="215" t="s">
        <v>84</v>
      </c>
      <c r="H288" s="216" t="s">
        <v>2106</v>
      </c>
      <c r="I288" s="217"/>
      <c r="J288" s="217"/>
      <c r="K288" s="217"/>
      <c r="L288" s="217"/>
      <c r="M288" s="217"/>
      <c r="N288" s="217"/>
      <c r="O288" s="217"/>
      <c r="P288" s="217"/>
      <c r="Q288" s="218"/>
    </row>
    <row r="289" spans="1:17" s="219" customFormat="1" ht="30" hidden="1" x14ac:dyDescent="0.25">
      <c r="A289" s="214"/>
      <c r="B289" s="215" t="s">
        <v>1822</v>
      </c>
      <c r="C289" s="215" t="s">
        <v>1823</v>
      </c>
      <c r="D289" s="215" t="s">
        <v>1836</v>
      </c>
      <c r="E289" s="215" t="s">
        <v>2100</v>
      </c>
      <c r="F289" s="215" t="s">
        <v>1825</v>
      </c>
      <c r="G289" s="215" t="s">
        <v>88</v>
      </c>
      <c r="H289" s="216" t="s">
        <v>2107</v>
      </c>
      <c r="I289" s="217"/>
      <c r="J289" s="217"/>
      <c r="K289" s="217"/>
      <c r="L289" s="217"/>
      <c r="M289" s="217"/>
      <c r="N289" s="217"/>
      <c r="O289" s="217"/>
      <c r="P289" s="217"/>
      <c r="Q289" s="218"/>
    </row>
    <row r="290" spans="1:17" s="219" customFormat="1" hidden="1" x14ac:dyDescent="0.25">
      <c r="A290" s="214"/>
      <c r="B290" s="215" t="s">
        <v>1822</v>
      </c>
      <c r="C290" s="215" t="s">
        <v>1823</v>
      </c>
      <c r="D290" s="215" t="s">
        <v>1836</v>
      </c>
      <c r="E290" s="215" t="s">
        <v>2100</v>
      </c>
      <c r="F290" s="215" t="s">
        <v>1825</v>
      </c>
      <c r="G290" s="215" t="s">
        <v>92</v>
      </c>
      <c r="H290" s="216" t="s">
        <v>2108</v>
      </c>
      <c r="I290" s="217"/>
      <c r="J290" s="217"/>
      <c r="K290" s="217"/>
      <c r="L290" s="217"/>
      <c r="M290" s="217"/>
      <c r="N290" s="217"/>
      <c r="O290" s="217"/>
      <c r="P290" s="217"/>
      <c r="Q290" s="218"/>
    </row>
    <row r="291" spans="1:17" s="219" customFormat="1" hidden="1" x14ac:dyDescent="0.25">
      <c r="A291" s="214"/>
      <c r="B291" s="215" t="s">
        <v>1822</v>
      </c>
      <c r="C291" s="215" t="s">
        <v>1823</v>
      </c>
      <c r="D291" s="215" t="s">
        <v>1836</v>
      </c>
      <c r="E291" s="215" t="s">
        <v>2100</v>
      </c>
      <c r="F291" s="215" t="s">
        <v>1825</v>
      </c>
      <c r="G291" s="215" t="s">
        <v>96</v>
      </c>
      <c r="H291" s="216" t="s">
        <v>2109</v>
      </c>
      <c r="I291" s="217"/>
      <c r="J291" s="217"/>
      <c r="K291" s="217"/>
      <c r="L291" s="217"/>
      <c r="M291" s="217"/>
      <c r="N291" s="217"/>
      <c r="O291" s="217"/>
      <c r="P291" s="217"/>
      <c r="Q291" s="218"/>
    </row>
    <row r="292" spans="1:17" s="219" customFormat="1" ht="30" hidden="1" x14ac:dyDescent="0.25">
      <c r="A292" s="214"/>
      <c r="B292" s="215" t="s">
        <v>1822</v>
      </c>
      <c r="C292" s="215" t="s">
        <v>1823</v>
      </c>
      <c r="D292" s="215" t="s">
        <v>1836</v>
      </c>
      <c r="E292" s="215" t="s">
        <v>2100</v>
      </c>
      <c r="F292" s="215" t="s">
        <v>1825</v>
      </c>
      <c r="G292" s="215" t="s">
        <v>100</v>
      </c>
      <c r="H292" s="216" t="s">
        <v>2110</v>
      </c>
      <c r="I292" s="217"/>
      <c r="J292" s="217"/>
      <c r="K292" s="217"/>
      <c r="L292" s="217"/>
      <c r="M292" s="217"/>
      <c r="N292" s="217"/>
      <c r="O292" s="217"/>
      <c r="P292" s="217"/>
      <c r="Q292" s="218"/>
    </row>
    <row r="293" spans="1:17" s="219" customFormat="1" ht="30" hidden="1" x14ac:dyDescent="0.25">
      <c r="A293" s="214"/>
      <c r="B293" s="215" t="s">
        <v>1822</v>
      </c>
      <c r="C293" s="215" t="s">
        <v>1823</v>
      </c>
      <c r="D293" s="215" t="s">
        <v>1836</v>
      </c>
      <c r="E293" s="215" t="s">
        <v>2100</v>
      </c>
      <c r="F293" s="215" t="s">
        <v>1825</v>
      </c>
      <c r="G293" s="215" t="s">
        <v>105</v>
      </c>
      <c r="H293" s="216" t="s">
        <v>2111</v>
      </c>
      <c r="I293" s="217"/>
      <c r="J293" s="217"/>
      <c r="K293" s="217"/>
      <c r="L293" s="217"/>
      <c r="M293" s="217"/>
      <c r="N293" s="217"/>
      <c r="O293" s="217"/>
      <c r="P293" s="217"/>
      <c r="Q293" s="218"/>
    </row>
    <row r="294" spans="1:17" s="219" customFormat="1" hidden="1" x14ac:dyDescent="0.25">
      <c r="A294" s="214"/>
      <c r="B294" s="215" t="s">
        <v>1822</v>
      </c>
      <c r="C294" s="215" t="s">
        <v>1823</v>
      </c>
      <c r="D294" s="215" t="s">
        <v>1836</v>
      </c>
      <c r="E294" s="215" t="s">
        <v>2100</v>
      </c>
      <c r="F294" s="215" t="s">
        <v>1825</v>
      </c>
      <c r="G294" s="215" t="s">
        <v>108</v>
      </c>
      <c r="H294" s="216" t="s">
        <v>2112</v>
      </c>
      <c r="I294" s="217"/>
      <c r="J294" s="217"/>
      <c r="K294" s="217"/>
      <c r="L294" s="217"/>
      <c r="M294" s="217"/>
      <c r="N294" s="217"/>
      <c r="O294" s="217"/>
      <c r="P294" s="217"/>
      <c r="Q294" s="218"/>
    </row>
    <row r="295" spans="1:17" s="219" customFormat="1" hidden="1" x14ac:dyDescent="0.25">
      <c r="A295" s="214"/>
      <c r="B295" s="215" t="s">
        <v>1822</v>
      </c>
      <c r="C295" s="215" t="s">
        <v>1823</v>
      </c>
      <c r="D295" s="215" t="s">
        <v>1836</v>
      </c>
      <c r="E295" s="215" t="s">
        <v>2100</v>
      </c>
      <c r="F295" s="215" t="s">
        <v>1825</v>
      </c>
      <c r="G295" s="215" t="s">
        <v>135</v>
      </c>
      <c r="H295" s="216" t="s">
        <v>2113</v>
      </c>
      <c r="I295" s="217"/>
      <c r="J295" s="217"/>
      <c r="K295" s="217"/>
      <c r="L295" s="217"/>
      <c r="M295" s="217"/>
      <c r="N295" s="217"/>
      <c r="O295" s="217"/>
      <c r="P295" s="217"/>
      <c r="Q295" s="218"/>
    </row>
    <row r="296" spans="1:17" s="219" customFormat="1" hidden="1" x14ac:dyDescent="0.25">
      <c r="A296" s="214"/>
      <c r="B296" s="215" t="s">
        <v>1822</v>
      </c>
      <c r="C296" s="215" t="s">
        <v>1823</v>
      </c>
      <c r="D296" s="215" t="s">
        <v>1836</v>
      </c>
      <c r="E296" s="215" t="s">
        <v>2100</v>
      </c>
      <c r="F296" s="215" t="s">
        <v>1825</v>
      </c>
      <c r="G296" s="215" t="s">
        <v>138</v>
      </c>
      <c r="H296" s="216" t="s">
        <v>2114</v>
      </c>
      <c r="I296" s="217"/>
      <c r="J296" s="217"/>
      <c r="K296" s="217"/>
      <c r="L296" s="217"/>
      <c r="M296" s="217"/>
      <c r="N296" s="217"/>
      <c r="O296" s="217"/>
      <c r="P296" s="217"/>
      <c r="Q296" s="218"/>
    </row>
    <row r="297" spans="1:17" s="219" customFormat="1" hidden="1" x14ac:dyDescent="0.25">
      <c r="A297" s="214"/>
      <c r="B297" s="215" t="s">
        <v>1822</v>
      </c>
      <c r="C297" s="215" t="s">
        <v>1823</v>
      </c>
      <c r="D297" s="215" t="s">
        <v>1836</v>
      </c>
      <c r="E297" s="215" t="s">
        <v>2100</v>
      </c>
      <c r="F297" s="215" t="s">
        <v>1825</v>
      </c>
      <c r="G297" s="215" t="s">
        <v>140</v>
      </c>
      <c r="H297" s="216" t="s">
        <v>2115</v>
      </c>
      <c r="I297" s="217"/>
      <c r="J297" s="217"/>
      <c r="K297" s="217"/>
      <c r="L297" s="217"/>
      <c r="M297" s="217"/>
      <c r="N297" s="217"/>
      <c r="O297" s="217"/>
      <c r="P297" s="217"/>
      <c r="Q297" s="218"/>
    </row>
    <row r="298" spans="1:17" s="219" customFormat="1" hidden="1" x14ac:dyDescent="0.25">
      <c r="A298" s="214"/>
      <c r="B298" s="215" t="s">
        <v>1822</v>
      </c>
      <c r="C298" s="215" t="s">
        <v>1823</v>
      </c>
      <c r="D298" s="215" t="s">
        <v>1836</v>
      </c>
      <c r="E298" s="215" t="s">
        <v>2100</v>
      </c>
      <c r="F298" s="215" t="s">
        <v>1825</v>
      </c>
      <c r="G298" s="215" t="s">
        <v>143</v>
      </c>
      <c r="H298" s="216" t="s">
        <v>2116</v>
      </c>
      <c r="I298" s="217"/>
      <c r="J298" s="217"/>
      <c r="K298" s="217"/>
      <c r="L298" s="217"/>
      <c r="M298" s="217"/>
      <c r="N298" s="217"/>
      <c r="O298" s="217"/>
      <c r="P298" s="217"/>
      <c r="Q298" s="218"/>
    </row>
    <row r="299" spans="1:17" s="219" customFormat="1" hidden="1" x14ac:dyDescent="0.25">
      <c r="A299" s="214"/>
      <c r="B299" s="215" t="s">
        <v>1822</v>
      </c>
      <c r="C299" s="215" t="s">
        <v>1823</v>
      </c>
      <c r="D299" s="215" t="s">
        <v>1836</v>
      </c>
      <c r="E299" s="215" t="s">
        <v>2100</v>
      </c>
      <c r="F299" s="215" t="s">
        <v>1825</v>
      </c>
      <c r="G299" s="215" t="s">
        <v>146</v>
      </c>
      <c r="H299" s="216" t="s">
        <v>2117</v>
      </c>
      <c r="I299" s="217"/>
      <c r="J299" s="217"/>
      <c r="K299" s="217"/>
      <c r="L299" s="217"/>
      <c r="M299" s="217"/>
      <c r="N299" s="217"/>
      <c r="O299" s="217"/>
      <c r="P299" s="217"/>
      <c r="Q299" s="218"/>
    </row>
    <row r="300" spans="1:17" s="219" customFormat="1" hidden="1" x14ac:dyDescent="0.25">
      <c r="A300" s="214"/>
      <c r="B300" s="215" t="s">
        <v>1822</v>
      </c>
      <c r="C300" s="215" t="s">
        <v>1823</v>
      </c>
      <c r="D300" s="215" t="s">
        <v>1836</v>
      </c>
      <c r="E300" s="215" t="s">
        <v>2100</v>
      </c>
      <c r="F300" s="215" t="s">
        <v>1825</v>
      </c>
      <c r="G300" s="215" t="s">
        <v>150</v>
      </c>
      <c r="H300" s="216" t="s">
        <v>2118</v>
      </c>
      <c r="I300" s="217"/>
      <c r="J300" s="217"/>
      <c r="K300" s="217"/>
      <c r="L300" s="217"/>
      <c r="M300" s="217"/>
      <c r="N300" s="217"/>
      <c r="O300" s="217"/>
      <c r="P300" s="217"/>
      <c r="Q300" s="218"/>
    </row>
    <row r="301" spans="1:17" s="219" customFormat="1" hidden="1" x14ac:dyDescent="0.25">
      <c r="A301" s="214"/>
      <c r="B301" s="215" t="s">
        <v>1822</v>
      </c>
      <c r="C301" s="215" t="s">
        <v>1823</v>
      </c>
      <c r="D301" s="215" t="s">
        <v>1836</v>
      </c>
      <c r="E301" s="215" t="s">
        <v>2100</v>
      </c>
      <c r="F301" s="215" t="s">
        <v>1825</v>
      </c>
      <c r="G301" s="215" t="s">
        <v>153</v>
      </c>
      <c r="H301" s="216" t="s">
        <v>2119</v>
      </c>
      <c r="I301" s="217"/>
      <c r="J301" s="217"/>
      <c r="K301" s="217"/>
      <c r="L301" s="217"/>
      <c r="M301" s="217"/>
      <c r="N301" s="217"/>
      <c r="O301" s="217"/>
      <c r="P301" s="217"/>
      <c r="Q301" s="218"/>
    </row>
    <row r="302" spans="1:17" s="219" customFormat="1" hidden="1" x14ac:dyDescent="0.25">
      <c r="A302" s="214"/>
      <c r="B302" s="215" t="s">
        <v>1822</v>
      </c>
      <c r="C302" s="215" t="s">
        <v>1823</v>
      </c>
      <c r="D302" s="215" t="s">
        <v>1836</v>
      </c>
      <c r="E302" s="215" t="s">
        <v>2100</v>
      </c>
      <c r="F302" s="215" t="s">
        <v>1825</v>
      </c>
      <c r="G302" s="215" t="s">
        <v>156</v>
      </c>
      <c r="H302" s="216" t="s">
        <v>2120</v>
      </c>
      <c r="I302" s="217"/>
      <c r="J302" s="217"/>
      <c r="K302" s="217"/>
      <c r="L302" s="217"/>
      <c r="M302" s="217"/>
      <c r="N302" s="217"/>
      <c r="O302" s="217"/>
      <c r="P302" s="217"/>
      <c r="Q302" s="218"/>
    </row>
    <row r="303" spans="1:17" s="219" customFormat="1" hidden="1" x14ac:dyDescent="0.25">
      <c r="A303" s="214"/>
      <c r="B303" s="215" t="s">
        <v>1822</v>
      </c>
      <c r="C303" s="215" t="s">
        <v>1823</v>
      </c>
      <c r="D303" s="215" t="s">
        <v>1836</v>
      </c>
      <c r="E303" s="215" t="s">
        <v>2100</v>
      </c>
      <c r="F303" s="215" t="s">
        <v>1825</v>
      </c>
      <c r="G303" s="215" t="s">
        <v>159</v>
      </c>
      <c r="H303" s="216" t="s">
        <v>2121</v>
      </c>
      <c r="I303" s="217"/>
      <c r="J303" s="217"/>
      <c r="K303" s="217"/>
      <c r="L303" s="217"/>
      <c r="M303" s="217"/>
      <c r="N303" s="217"/>
      <c r="O303" s="217"/>
      <c r="P303" s="217"/>
      <c r="Q303" s="218"/>
    </row>
    <row r="304" spans="1:17" s="219" customFormat="1" hidden="1" x14ac:dyDescent="0.25">
      <c r="A304" s="214"/>
      <c r="B304" s="215" t="s">
        <v>1822</v>
      </c>
      <c r="C304" s="215" t="s">
        <v>1823</v>
      </c>
      <c r="D304" s="215" t="s">
        <v>1836</v>
      </c>
      <c r="E304" s="215" t="s">
        <v>2100</v>
      </c>
      <c r="F304" s="215" t="s">
        <v>1825</v>
      </c>
      <c r="G304" s="215" t="s">
        <v>162</v>
      </c>
      <c r="H304" s="216" t="s">
        <v>2122</v>
      </c>
      <c r="I304" s="217"/>
      <c r="J304" s="217"/>
      <c r="K304" s="217"/>
      <c r="L304" s="217"/>
      <c r="M304" s="217"/>
      <c r="N304" s="217"/>
      <c r="O304" s="217"/>
      <c r="P304" s="217"/>
      <c r="Q304" s="218"/>
    </row>
    <row r="305" spans="1:17" s="219" customFormat="1" hidden="1" x14ac:dyDescent="0.25">
      <c r="A305" s="214"/>
      <c r="B305" s="215" t="s">
        <v>1822</v>
      </c>
      <c r="C305" s="215" t="s">
        <v>1823</v>
      </c>
      <c r="D305" s="215" t="s">
        <v>1836</v>
      </c>
      <c r="E305" s="215" t="s">
        <v>2100</v>
      </c>
      <c r="F305" s="215" t="s">
        <v>1825</v>
      </c>
      <c r="G305" s="215" t="s">
        <v>312</v>
      </c>
      <c r="H305" s="216" t="s">
        <v>2123</v>
      </c>
      <c r="I305" s="217"/>
      <c r="J305" s="217"/>
      <c r="K305" s="217"/>
      <c r="L305" s="217"/>
      <c r="M305" s="217"/>
      <c r="N305" s="217"/>
      <c r="O305" s="217"/>
      <c r="P305" s="217"/>
      <c r="Q305" s="218"/>
    </row>
    <row r="306" spans="1:17" s="219" customFormat="1" hidden="1" x14ac:dyDescent="0.25">
      <c r="A306" s="214"/>
      <c r="B306" s="215" t="s">
        <v>1822</v>
      </c>
      <c r="C306" s="215" t="s">
        <v>1823</v>
      </c>
      <c r="D306" s="215" t="s">
        <v>1836</v>
      </c>
      <c r="E306" s="215" t="s">
        <v>2100</v>
      </c>
      <c r="F306" s="215" t="s">
        <v>1825</v>
      </c>
      <c r="G306" s="215" t="s">
        <v>313</v>
      </c>
      <c r="H306" s="216" t="s">
        <v>2124</v>
      </c>
      <c r="I306" s="217"/>
      <c r="J306" s="217"/>
      <c r="K306" s="217"/>
      <c r="L306" s="217"/>
      <c r="M306" s="217"/>
      <c r="N306" s="217"/>
      <c r="O306" s="217"/>
      <c r="P306" s="217"/>
      <c r="Q306" s="218"/>
    </row>
    <row r="307" spans="1:17" s="219" customFormat="1" hidden="1" x14ac:dyDescent="0.25">
      <c r="A307" s="214"/>
      <c r="B307" s="215" t="s">
        <v>1822</v>
      </c>
      <c r="C307" s="215" t="s">
        <v>1823</v>
      </c>
      <c r="D307" s="215" t="s">
        <v>1836</v>
      </c>
      <c r="E307" s="215" t="s">
        <v>2100</v>
      </c>
      <c r="F307" s="215" t="s">
        <v>1825</v>
      </c>
      <c r="G307" s="215" t="s">
        <v>559</v>
      </c>
      <c r="H307" s="216" t="s">
        <v>2125</v>
      </c>
      <c r="I307" s="217"/>
      <c r="J307" s="217"/>
      <c r="K307" s="217"/>
      <c r="L307" s="217"/>
      <c r="M307" s="217"/>
      <c r="N307" s="217"/>
      <c r="O307" s="217"/>
      <c r="P307" s="217"/>
      <c r="Q307" s="218"/>
    </row>
    <row r="308" spans="1:17" s="219" customFormat="1" hidden="1" x14ac:dyDescent="0.25">
      <c r="A308" s="214"/>
      <c r="B308" s="215" t="s">
        <v>1822</v>
      </c>
      <c r="C308" s="215" t="s">
        <v>1823</v>
      </c>
      <c r="D308" s="215" t="s">
        <v>1836</v>
      </c>
      <c r="E308" s="215" t="s">
        <v>2100</v>
      </c>
      <c r="F308" s="215" t="s">
        <v>1825</v>
      </c>
      <c r="G308" s="215" t="s">
        <v>561</v>
      </c>
      <c r="H308" s="216" t="s">
        <v>2126</v>
      </c>
      <c r="I308" s="217"/>
      <c r="J308" s="217"/>
      <c r="K308" s="217"/>
      <c r="L308" s="217"/>
      <c r="M308" s="217"/>
      <c r="N308" s="217"/>
      <c r="O308" s="217"/>
      <c r="P308" s="217"/>
      <c r="Q308" s="218"/>
    </row>
    <row r="309" spans="1:17" s="219" customFormat="1" hidden="1" x14ac:dyDescent="0.25">
      <c r="A309" s="214"/>
      <c r="B309" s="215" t="s">
        <v>1822</v>
      </c>
      <c r="C309" s="215" t="s">
        <v>1823</v>
      </c>
      <c r="D309" s="215" t="s">
        <v>1836</v>
      </c>
      <c r="E309" s="215" t="s">
        <v>2100</v>
      </c>
      <c r="F309" s="215" t="s">
        <v>1825</v>
      </c>
      <c r="G309" s="215" t="s">
        <v>563</v>
      </c>
      <c r="H309" s="216" t="s">
        <v>2127</v>
      </c>
      <c r="I309" s="217"/>
      <c r="J309" s="217"/>
      <c r="K309" s="217"/>
      <c r="L309" s="217"/>
      <c r="M309" s="217"/>
      <c r="N309" s="217"/>
      <c r="O309" s="217"/>
      <c r="P309" s="217"/>
      <c r="Q309" s="218"/>
    </row>
    <row r="310" spans="1:17" s="219" customFormat="1" hidden="1" x14ac:dyDescent="0.25">
      <c r="A310" s="214"/>
      <c r="B310" s="215" t="s">
        <v>1822</v>
      </c>
      <c r="C310" s="215" t="s">
        <v>1823</v>
      </c>
      <c r="D310" s="215" t="s">
        <v>1836</v>
      </c>
      <c r="E310" s="215" t="s">
        <v>2100</v>
      </c>
      <c r="F310" s="215" t="s">
        <v>1825</v>
      </c>
      <c r="G310" s="215" t="s">
        <v>227</v>
      </c>
      <c r="H310" s="216" t="s">
        <v>2128</v>
      </c>
      <c r="I310" s="217"/>
      <c r="J310" s="217"/>
      <c r="K310" s="217"/>
      <c r="L310" s="217"/>
      <c r="M310" s="217"/>
      <c r="N310" s="217"/>
      <c r="O310" s="217"/>
      <c r="P310" s="217"/>
      <c r="Q310" s="218"/>
    </row>
    <row r="311" spans="1:17" s="219" customFormat="1" hidden="1" x14ac:dyDescent="0.25">
      <c r="A311" s="214"/>
      <c r="B311" s="215" t="s">
        <v>1822</v>
      </c>
      <c r="C311" s="215" t="s">
        <v>1823</v>
      </c>
      <c r="D311" s="215" t="s">
        <v>1836</v>
      </c>
      <c r="E311" s="215" t="s">
        <v>2100</v>
      </c>
      <c r="F311" s="215" t="s">
        <v>1825</v>
      </c>
      <c r="G311" s="215" t="s">
        <v>230</v>
      </c>
      <c r="H311" s="216" t="s">
        <v>2129</v>
      </c>
      <c r="I311" s="217"/>
      <c r="J311" s="217"/>
      <c r="K311" s="217"/>
      <c r="L311" s="217"/>
      <c r="M311" s="217"/>
      <c r="N311" s="217"/>
      <c r="O311" s="217"/>
      <c r="P311" s="217"/>
      <c r="Q311" s="218"/>
    </row>
    <row r="312" spans="1:17" s="219" customFormat="1" hidden="1" x14ac:dyDescent="0.25">
      <c r="A312" s="214"/>
      <c r="B312" s="215" t="s">
        <v>1822</v>
      </c>
      <c r="C312" s="215" t="s">
        <v>1823</v>
      </c>
      <c r="D312" s="215" t="s">
        <v>1836</v>
      </c>
      <c r="E312" s="215" t="s">
        <v>2100</v>
      </c>
      <c r="F312" s="215" t="s">
        <v>1825</v>
      </c>
      <c r="G312" s="215" t="s">
        <v>232</v>
      </c>
      <c r="H312" s="216" t="s">
        <v>2130</v>
      </c>
      <c r="I312" s="217"/>
      <c r="J312" s="217"/>
      <c r="K312" s="217"/>
      <c r="L312" s="217"/>
      <c r="M312" s="217"/>
      <c r="N312" s="217"/>
      <c r="O312" s="217"/>
      <c r="P312" s="217"/>
      <c r="Q312" s="218"/>
    </row>
    <row r="313" spans="1:17" s="219" customFormat="1" hidden="1" x14ac:dyDescent="0.25">
      <c r="A313" s="214"/>
      <c r="B313" s="215" t="s">
        <v>1822</v>
      </c>
      <c r="C313" s="215" t="s">
        <v>1823</v>
      </c>
      <c r="D313" s="215" t="s">
        <v>1836</v>
      </c>
      <c r="E313" s="215" t="s">
        <v>2100</v>
      </c>
      <c r="F313" s="215" t="s">
        <v>1825</v>
      </c>
      <c r="G313" s="215" t="s">
        <v>234</v>
      </c>
      <c r="H313" s="216" t="s">
        <v>2131</v>
      </c>
      <c r="I313" s="217"/>
      <c r="J313" s="217"/>
      <c r="K313" s="217"/>
      <c r="L313" s="217"/>
      <c r="M313" s="217"/>
      <c r="N313" s="217"/>
      <c r="O313" s="217"/>
      <c r="P313" s="217"/>
      <c r="Q313" s="218"/>
    </row>
    <row r="314" spans="1:17" s="213" customFormat="1" hidden="1" x14ac:dyDescent="0.25">
      <c r="A314" s="208" t="s">
        <v>263</v>
      </c>
      <c r="B314" s="209" t="s">
        <v>1822</v>
      </c>
      <c r="C314" s="209" t="s">
        <v>1823</v>
      </c>
      <c r="D314" s="209" t="s">
        <v>1836</v>
      </c>
      <c r="E314" s="209" t="s">
        <v>2100</v>
      </c>
      <c r="F314" s="209" t="s">
        <v>1836</v>
      </c>
      <c r="G314" s="209"/>
      <c r="H314" s="210" t="s">
        <v>2132</v>
      </c>
      <c r="I314" s="211">
        <f>SUM(I315:I319)</f>
        <v>0</v>
      </c>
      <c r="J314" s="211">
        <f t="shared" ref="J314:P314" si="34">SUM(J315:J319)</f>
        <v>0</v>
      </c>
      <c r="K314" s="211">
        <f t="shared" si="34"/>
        <v>0</v>
      </c>
      <c r="L314" s="211">
        <f t="shared" si="34"/>
        <v>0</v>
      </c>
      <c r="M314" s="211">
        <f t="shared" si="34"/>
        <v>0</v>
      </c>
      <c r="N314" s="211">
        <f t="shared" si="34"/>
        <v>0</v>
      </c>
      <c r="O314" s="211">
        <f t="shared" si="34"/>
        <v>0</v>
      </c>
      <c r="P314" s="211">
        <f t="shared" si="34"/>
        <v>0</v>
      </c>
      <c r="Q314" s="212"/>
    </row>
    <row r="315" spans="1:17" s="219" customFormat="1" hidden="1" x14ac:dyDescent="0.25">
      <c r="A315" s="214"/>
      <c r="B315" s="215" t="s">
        <v>1822</v>
      </c>
      <c r="C315" s="215" t="s">
        <v>1823</v>
      </c>
      <c r="D315" s="215" t="s">
        <v>1836</v>
      </c>
      <c r="E315" s="215" t="s">
        <v>2100</v>
      </c>
      <c r="F315" s="215" t="s">
        <v>1836</v>
      </c>
      <c r="G315" s="215" t="s">
        <v>58</v>
      </c>
      <c r="H315" s="216" t="s">
        <v>2133</v>
      </c>
      <c r="I315" s="217"/>
      <c r="J315" s="217"/>
      <c r="K315" s="217"/>
      <c r="L315" s="217"/>
      <c r="M315" s="217"/>
      <c r="N315" s="217"/>
      <c r="O315" s="217"/>
      <c r="P315" s="217"/>
      <c r="Q315" s="218"/>
    </row>
    <row r="316" spans="1:17" s="219" customFormat="1" hidden="1" x14ac:dyDescent="0.25">
      <c r="A316" s="214"/>
      <c r="B316" s="215" t="s">
        <v>1822</v>
      </c>
      <c r="C316" s="215" t="s">
        <v>1823</v>
      </c>
      <c r="D316" s="215" t="s">
        <v>1836</v>
      </c>
      <c r="E316" s="215" t="s">
        <v>2100</v>
      </c>
      <c r="F316" s="215" t="s">
        <v>1836</v>
      </c>
      <c r="G316" s="215" t="s">
        <v>75</v>
      </c>
      <c r="H316" s="216" t="s">
        <v>2134</v>
      </c>
      <c r="I316" s="217"/>
      <c r="J316" s="217"/>
      <c r="K316" s="217"/>
      <c r="L316" s="217"/>
      <c r="M316" s="217"/>
      <c r="N316" s="217"/>
      <c r="O316" s="217"/>
      <c r="P316" s="217"/>
      <c r="Q316" s="218"/>
    </row>
    <row r="317" spans="1:17" s="219" customFormat="1" hidden="1" x14ac:dyDescent="0.25">
      <c r="A317" s="214"/>
      <c r="B317" s="215" t="s">
        <v>1822</v>
      </c>
      <c r="C317" s="215" t="s">
        <v>1823</v>
      </c>
      <c r="D317" s="215" t="s">
        <v>1836</v>
      </c>
      <c r="E317" s="215" t="s">
        <v>2100</v>
      </c>
      <c r="F317" s="215" t="s">
        <v>1836</v>
      </c>
      <c r="G317" s="215" t="s">
        <v>79</v>
      </c>
      <c r="H317" s="216" t="s">
        <v>2135</v>
      </c>
      <c r="I317" s="217"/>
      <c r="J317" s="217"/>
      <c r="K317" s="217"/>
      <c r="L317" s="217"/>
      <c r="M317" s="217"/>
      <c r="N317" s="217"/>
      <c r="O317" s="217"/>
      <c r="P317" s="217"/>
      <c r="Q317" s="218"/>
    </row>
    <row r="318" spans="1:17" s="219" customFormat="1" hidden="1" x14ac:dyDescent="0.25">
      <c r="A318" s="214"/>
      <c r="B318" s="215" t="s">
        <v>1822</v>
      </c>
      <c r="C318" s="215" t="s">
        <v>1823</v>
      </c>
      <c r="D318" s="215" t="s">
        <v>1836</v>
      </c>
      <c r="E318" s="215" t="s">
        <v>2100</v>
      </c>
      <c r="F318" s="215" t="s">
        <v>1836</v>
      </c>
      <c r="G318" s="215" t="s">
        <v>84</v>
      </c>
      <c r="H318" s="216" t="s">
        <v>2136</v>
      </c>
      <c r="I318" s="217"/>
      <c r="J318" s="217"/>
      <c r="K318" s="217"/>
      <c r="L318" s="217"/>
      <c r="M318" s="217"/>
      <c r="N318" s="217"/>
      <c r="O318" s="217"/>
      <c r="P318" s="217"/>
      <c r="Q318" s="218"/>
    </row>
    <row r="319" spans="1:17" s="219" customFormat="1" hidden="1" x14ac:dyDescent="0.25">
      <c r="A319" s="214"/>
      <c r="B319" s="215" t="s">
        <v>1822</v>
      </c>
      <c r="C319" s="215" t="s">
        <v>1823</v>
      </c>
      <c r="D319" s="215" t="s">
        <v>1836</v>
      </c>
      <c r="E319" s="215" t="s">
        <v>2100</v>
      </c>
      <c r="F319" s="215" t="s">
        <v>1836</v>
      </c>
      <c r="G319" s="215" t="s">
        <v>88</v>
      </c>
      <c r="H319" s="216" t="s">
        <v>2137</v>
      </c>
      <c r="I319" s="217"/>
      <c r="J319" s="217"/>
      <c r="K319" s="217"/>
      <c r="L319" s="217"/>
      <c r="M319" s="217"/>
      <c r="N319" s="217"/>
      <c r="O319" s="217"/>
      <c r="P319" s="217"/>
      <c r="Q319" s="218"/>
    </row>
    <row r="320" spans="1:17" s="213" customFormat="1" hidden="1" x14ac:dyDescent="0.25">
      <c r="A320" s="208" t="s">
        <v>2138</v>
      </c>
      <c r="B320" s="209" t="s">
        <v>1822</v>
      </c>
      <c r="C320" s="209" t="s">
        <v>1823</v>
      </c>
      <c r="D320" s="209" t="s">
        <v>1836</v>
      </c>
      <c r="E320" s="209" t="s">
        <v>2139</v>
      </c>
      <c r="F320" s="209"/>
      <c r="G320" s="209"/>
      <c r="H320" s="210" t="s">
        <v>2140</v>
      </c>
      <c r="I320" s="211">
        <f>SUM(I321+I386+I393+I410+I421+I428+I433+I440+I457)</f>
        <v>0</v>
      </c>
      <c r="J320" s="211">
        <f t="shared" ref="J320:P320" si="35">SUM(J321+J386+J393+J410+J421+J428+J433+J440+J457)</f>
        <v>0</v>
      </c>
      <c r="K320" s="211">
        <f t="shared" si="35"/>
        <v>0</v>
      </c>
      <c r="L320" s="211">
        <f t="shared" si="35"/>
        <v>0</v>
      </c>
      <c r="M320" s="211">
        <f t="shared" si="35"/>
        <v>0</v>
      </c>
      <c r="N320" s="211">
        <f t="shared" si="35"/>
        <v>0</v>
      </c>
      <c r="O320" s="211">
        <f t="shared" si="35"/>
        <v>0</v>
      </c>
      <c r="P320" s="211">
        <f t="shared" si="35"/>
        <v>0</v>
      </c>
      <c r="Q320" s="212"/>
    </row>
    <row r="321" spans="1:17" s="213" customFormat="1" hidden="1" x14ac:dyDescent="0.25">
      <c r="A321" s="208" t="s">
        <v>263</v>
      </c>
      <c r="B321" s="209" t="s">
        <v>1822</v>
      </c>
      <c r="C321" s="209" t="s">
        <v>1823</v>
      </c>
      <c r="D321" s="209" t="s">
        <v>1836</v>
      </c>
      <c r="E321" s="209" t="s">
        <v>2139</v>
      </c>
      <c r="F321" s="209" t="s">
        <v>1825</v>
      </c>
      <c r="G321" s="209"/>
      <c r="H321" s="210" t="s">
        <v>2141</v>
      </c>
      <c r="I321" s="211">
        <f>SUM(I322:I385)</f>
        <v>0</v>
      </c>
      <c r="J321" s="211">
        <f t="shared" ref="J321:P321" si="36">SUM(J322:J385)</f>
        <v>0</v>
      </c>
      <c r="K321" s="211">
        <f t="shared" si="36"/>
        <v>0</v>
      </c>
      <c r="L321" s="211">
        <f t="shared" si="36"/>
        <v>0</v>
      </c>
      <c r="M321" s="211">
        <f t="shared" si="36"/>
        <v>0</v>
      </c>
      <c r="N321" s="211">
        <f t="shared" si="36"/>
        <v>0</v>
      </c>
      <c r="O321" s="211">
        <f t="shared" si="36"/>
        <v>0</v>
      </c>
      <c r="P321" s="211">
        <f t="shared" si="36"/>
        <v>0</v>
      </c>
      <c r="Q321" s="212"/>
    </row>
    <row r="322" spans="1:17" s="219" customFormat="1" ht="30" hidden="1" x14ac:dyDescent="0.25">
      <c r="A322" s="214"/>
      <c r="B322" s="215" t="s">
        <v>1822</v>
      </c>
      <c r="C322" s="215" t="s">
        <v>1823</v>
      </c>
      <c r="D322" s="215" t="s">
        <v>1836</v>
      </c>
      <c r="E322" s="215" t="s">
        <v>2139</v>
      </c>
      <c r="F322" s="215" t="s">
        <v>1825</v>
      </c>
      <c r="G322" s="215" t="s">
        <v>58</v>
      </c>
      <c r="H322" s="216" t="s">
        <v>2142</v>
      </c>
      <c r="I322" s="217"/>
      <c r="J322" s="217"/>
      <c r="K322" s="217"/>
      <c r="L322" s="217"/>
      <c r="M322" s="217"/>
      <c r="N322" s="217"/>
      <c r="O322" s="217"/>
      <c r="P322" s="217"/>
      <c r="Q322" s="218"/>
    </row>
    <row r="323" spans="1:17" s="219" customFormat="1" ht="30" hidden="1" x14ac:dyDescent="0.25">
      <c r="A323" s="214"/>
      <c r="B323" s="215" t="s">
        <v>1822</v>
      </c>
      <c r="C323" s="215" t="s">
        <v>1823</v>
      </c>
      <c r="D323" s="215" t="s">
        <v>1836</v>
      </c>
      <c r="E323" s="215" t="s">
        <v>2139</v>
      </c>
      <c r="F323" s="215" t="s">
        <v>1825</v>
      </c>
      <c r="G323" s="215" t="s">
        <v>75</v>
      </c>
      <c r="H323" s="216" t="s">
        <v>2143</v>
      </c>
      <c r="I323" s="217"/>
      <c r="J323" s="217"/>
      <c r="K323" s="217"/>
      <c r="L323" s="217"/>
      <c r="M323" s="217"/>
      <c r="N323" s="217"/>
      <c r="O323" s="217"/>
      <c r="P323" s="217"/>
      <c r="Q323" s="218"/>
    </row>
    <row r="324" spans="1:17" s="219" customFormat="1" hidden="1" x14ac:dyDescent="0.25">
      <c r="A324" s="214"/>
      <c r="B324" s="215" t="s">
        <v>1822</v>
      </c>
      <c r="C324" s="215" t="s">
        <v>1823</v>
      </c>
      <c r="D324" s="215" t="s">
        <v>1836</v>
      </c>
      <c r="E324" s="215" t="s">
        <v>2139</v>
      </c>
      <c r="F324" s="215" t="s">
        <v>1825</v>
      </c>
      <c r="G324" s="215" t="s">
        <v>79</v>
      </c>
      <c r="H324" s="216" t="s">
        <v>2144</v>
      </c>
      <c r="I324" s="217"/>
      <c r="J324" s="217"/>
      <c r="K324" s="217"/>
      <c r="L324" s="217"/>
      <c r="M324" s="217"/>
      <c r="N324" s="217"/>
      <c r="O324" s="217"/>
      <c r="P324" s="217"/>
      <c r="Q324" s="218"/>
    </row>
    <row r="325" spans="1:17" s="219" customFormat="1" hidden="1" x14ac:dyDescent="0.25">
      <c r="A325" s="214"/>
      <c r="B325" s="215" t="s">
        <v>1822</v>
      </c>
      <c r="C325" s="215" t="s">
        <v>1823</v>
      </c>
      <c r="D325" s="215" t="s">
        <v>1836</v>
      </c>
      <c r="E325" s="215" t="s">
        <v>2139</v>
      </c>
      <c r="F325" s="215" t="s">
        <v>1825</v>
      </c>
      <c r="G325" s="215" t="s">
        <v>84</v>
      </c>
      <c r="H325" s="216" t="s">
        <v>2145</v>
      </c>
      <c r="I325" s="217"/>
      <c r="J325" s="217"/>
      <c r="K325" s="217"/>
      <c r="L325" s="217"/>
      <c r="M325" s="217"/>
      <c r="N325" s="217"/>
      <c r="O325" s="217"/>
      <c r="P325" s="217"/>
      <c r="Q325" s="218"/>
    </row>
    <row r="326" spans="1:17" s="219" customFormat="1" hidden="1" x14ac:dyDescent="0.25">
      <c r="A326" s="214"/>
      <c r="B326" s="215" t="s">
        <v>1822</v>
      </c>
      <c r="C326" s="215" t="s">
        <v>1823</v>
      </c>
      <c r="D326" s="215" t="s">
        <v>1836</v>
      </c>
      <c r="E326" s="215" t="s">
        <v>2139</v>
      </c>
      <c r="F326" s="215" t="s">
        <v>1825</v>
      </c>
      <c r="G326" s="215" t="s">
        <v>88</v>
      </c>
      <c r="H326" s="216" t="s">
        <v>2146</v>
      </c>
      <c r="I326" s="217"/>
      <c r="J326" s="217"/>
      <c r="K326" s="217"/>
      <c r="L326" s="217"/>
      <c r="M326" s="217"/>
      <c r="N326" s="217"/>
      <c r="O326" s="217"/>
      <c r="P326" s="217"/>
      <c r="Q326" s="218"/>
    </row>
    <row r="327" spans="1:17" s="219" customFormat="1" ht="30" hidden="1" x14ac:dyDescent="0.25">
      <c r="A327" s="214"/>
      <c r="B327" s="215" t="s">
        <v>1822</v>
      </c>
      <c r="C327" s="215" t="s">
        <v>1823</v>
      </c>
      <c r="D327" s="215" t="s">
        <v>1836</v>
      </c>
      <c r="E327" s="215" t="s">
        <v>2139</v>
      </c>
      <c r="F327" s="215" t="s">
        <v>1825</v>
      </c>
      <c r="G327" s="215" t="s">
        <v>92</v>
      </c>
      <c r="H327" s="216" t="s">
        <v>2147</v>
      </c>
      <c r="I327" s="217"/>
      <c r="J327" s="217"/>
      <c r="K327" s="217"/>
      <c r="L327" s="217"/>
      <c r="M327" s="217"/>
      <c r="N327" s="217"/>
      <c r="O327" s="217"/>
      <c r="P327" s="217"/>
      <c r="Q327" s="218"/>
    </row>
    <row r="328" spans="1:17" s="219" customFormat="1" ht="30" hidden="1" x14ac:dyDescent="0.25">
      <c r="A328" s="214"/>
      <c r="B328" s="215" t="s">
        <v>1822</v>
      </c>
      <c r="C328" s="215" t="s">
        <v>1823</v>
      </c>
      <c r="D328" s="215" t="s">
        <v>1836</v>
      </c>
      <c r="E328" s="215" t="s">
        <v>2139</v>
      </c>
      <c r="F328" s="215" t="s">
        <v>1825</v>
      </c>
      <c r="G328" s="215" t="s">
        <v>96</v>
      </c>
      <c r="H328" s="216" t="s">
        <v>2148</v>
      </c>
      <c r="I328" s="217"/>
      <c r="J328" s="217"/>
      <c r="K328" s="217"/>
      <c r="L328" s="217"/>
      <c r="M328" s="217"/>
      <c r="N328" s="217"/>
      <c r="O328" s="217"/>
      <c r="P328" s="217"/>
      <c r="Q328" s="218"/>
    </row>
    <row r="329" spans="1:17" s="219" customFormat="1" ht="30" hidden="1" x14ac:dyDescent="0.25">
      <c r="A329" s="214"/>
      <c r="B329" s="215" t="s">
        <v>1822</v>
      </c>
      <c r="C329" s="215" t="s">
        <v>1823</v>
      </c>
      <c r="D329" s="215" t="s">
        <v>1836</v>
      </c>
      <c r="E329" s="215" t="s">
        <v>2139</v>
      </c>
      <c r="F329" s="215" t="s">
        <v>1825</v>
      </c>
      <c r="G329" s="215" t="s">
        <v>100</v>
      </c>
      <c r="H329" s="216" t="s">
        <v>2149</v>
      </c>
      <c r="I329" s="217"/>
      <c r="J329" s="217"/>
      <c r="K329" s="217"/>
      <c r="L329" s="217"/>
      <c r="M329" s="217"/>
      <c r="N329" s="217"/>
      <c r="O329" s="217"/>
      <c r="P329" s="217"/>
      <c r="Q329" s="218"/>
    </row>
    <row r="330" spans="1:17" s="219" customFormat="1" hidden="1" x14ac:dyDescent="0.25">
      <c r="A330" s="214"/>
      <c r="B330" s="215" t="s">
        <v>1822</v>
      </c>
      <c r="C330" s="215" t="s">
        <v>1823</v>
      </c>
      <c r="D330" s="215" t="s">
        <v>1836</v>
      </c>
      <c r="E330" s="215" t="s">
        <v>2139</v>
      </c>
      <c r="F330" s="215" t="s">
        <v>1825</v>
      </c>
      <c r="G330" s="215" t="s">
        <v>105</v>
      </c>
      <c r="H330" s="216" t="s">
        <v>2150</v>
      </c>
      <c r="I330" s="217"/>
      <c r="J330" s="217"/>
      <c r="K330" s="217"/>
      <c r="L330" s="217"/>
      <c r="M330" s="217"/>
      <c r="N330" s="217"/>
      <c r="O330" s="217"/>
      <c r="P330" s="217"/>
      <c r="Q330" s="218"/>
    </row>
    <row r="331" spans="1:17" s="219" customFormat="1" ht="30" hidden="1" x14ac:dyDescent="0.25">
      <c r="A331" s="214"/>
      <c r="B331" s="215" t="s">
        <v>1822</v>
      </c>
      <c r="C331" s="215" t="s">
        <v>1823</v>
      </c>
      <c r="D331" s="215" t="s">
        <v>1836</v>
      </c>
      <c r="E331" s="215" t="s">
        <v>2139</v>
      </c>
      <c r="F331" s="215" t="s">
        <v>1825</v>
      </c>
      <c r="G331" s="215" t="s">
        <v>108</v>
      </c>
      <c r="H331" s="216" t="s">
        <v>2151</v>
      </c>
      <c r="I331" s="217"/>
      <c r="J331" s="217"/>
      <c r="K331" s="217"/>
      <c r="L331" s="217"/>
      <c r="M331" s="217"/>
      <c r="N331" s="217"/>
      <c r="O331" s="217"/>
      <c r="P331" s="217"/>
      <c r="Q331" s="218"/>
    </row>
    <row r="332" spans="1:17" s="219" customFormat="1" hidden="1" x14ac:dyDescent="0.25">
      <c r="A332" s="214"/>
      <c r="B332" s="215" t="s">
        <v>1822</v>
      </c>
      <c r="C332" s="215" t="s">
        <v>1823</v>
      </c>
      <c r="D332" s="215" t="s">
        <v>1836</v>
      </c>
      <c r="E332" s="215" t="s">
        <v>2139</v>
      </c>
      <c r="F332" s="215" t="s">
        <v>1825</v>
      </c>
      <c r="G332" s="215" t="s">
        <v>135</v>
      </c>
      <c r="H332" s="216" t="s">
        <v>2152</v>
      </c>
      <c r="I332" s="217"/>
      <c r="J332" s="217"/>
      <c r="K332" s="217"/>
      <c r="L332" s="217"/>
      <c r="M332" s="217"/>
      <c r="N332" s="217"/>
      <c r="O332" s="217"/>
      <c r="P332" s="217"/>
      <c r="Q332" s="218"/>
    </row>
    <row r="333" spans="1:17" s="219" customFormat="1" hidden="1" x14ac:dyDescent="0.25">
      <c r="A333" s="214"/>
      <c r="B333" s="215" t="s">
        <v>1822</v>
      </c>
      <c r="C333" s="215" t="s">
        <v>1823</v>
      </c>
      <c r="D333" s="215" t="s">
        <v>1836</v>
      </c>
      <c r="E333" s="215" t="s">
        <v>2139</v>
      </c>
      <c r="F333" s="215" t="s">
        <v>1825</v>
      </c>
      <c r="G333" s="215" t="s">
        <v>138</v>
      </c>
      <c r="H333" s="216" t="s">
        <v>2153</v>
      </c>
      <c r="I333" s="217"/>
      <c r="J333" s="217"/>
      <c r="K333" s="217"/>
      <c r="L333" s="217"/>
      <c r="M333" s="217"/>
      <c r="N333" s="217"/>
      <c r="O333" s="217"/>
      <c r="P333" s="217"/>
      <c r="Q333" s="218"/>
    </row>
    <row r="334" spans="1:17" s="219" customFormat="1" hidden="1" x14ac:dyDescent="0.25">
      <c r="A334" s="214"/>
      <c r="B334" s="215" t="s">
        <v>1822</v>
      </c>
      <c r="C334" s="215" t="s">
        <v>1823</v>
      </c>
      <c r="D334" s="215" t="s">
        <v>1836</v>
      </c>
      <c r="E334" s="215" t="s">
        <v>2139</v>
      </c>
      <c r="F334" s="215" t="s">
        <v>1825</v>
      </c>
      <c r="G334" s="215" t="s">
        <v>140</v>
      </c>
      <c r="H334" s="216" t="s">
        <v>2154</v>
      </c>
      <c r="I334" s="217"/>
      <c r="J334" s="217"/>
      <c r="K334" s="217"/>
      <c r="L334" s="217"/>
      <c r="M334" s="217"/>
      <c r="N334" s="217"/>
      <c r="O334" s="217"/>
      <c r="P334" s="217"/>
      <c r="Q334" s="218"/>
    </row>
    <row r="335" spans="1:17" s="219" customFormat="1" hidden="1" x14ac:dyDescent="0.25">
      <c r="A335" s="214"/>
      <c r="B335" s="215" t="s">
        <v>1822</v>
      </c>
      <c r="C335" s="215" t="s">
        <v>1823</v>
      </c>
      <c r="D335" s="215" t="s">
        <v>1836</v>
      </c>
      <c r="E335" s="215" t="s">
        <v>2139</v>
      </c>
      <c r="F335" s="215" t="s">
        <v>1825</v>
      </c>
      <c r="G335" s="215" t="s">
        <v>143</v>
      </c>
      <c r="H335" s="216" t="s">
        <v>2155</v>
      </c>
      <c r="I335" s="217"/>
      <c r="J335" s="217"/>
      <c r="K335" s="217"/>
      <c r="L335" s="217"/>
      <c r="M335" s="217"/>
      <c r="N335" s="217"/>
      <c r="O335" s="217"/>
      <c r="P335" s="217"/>
      <c r="Q335" s="218"/>
    </row>
    <row r="336" spans="1:17" s="219" customFormat="1" hidden="1" x14ac:dyDescent="0.25">
      <c r="A336" s="214"/>
      <c r="B336" s="215" t="s">
        <v>1822</v>
      </c>
      <c r="C336" s="215" t="s">
        <v>1823</v>
      </c>
      <c r="D336" s="215" t="s">
        <v>1836</v>
      </c>
      <c r="E336" s="215" t="s">
        <v>2139</v>
      </c>
      <c r="F336" s="215" t="s">
        <v>1825</v>
      </c>
      <c r="G336" s="215" t="s">
        <v>146</v>
      </c>
      <c r="H336" s="216" t="s">
        <v>2156</v>
      </c>
      <c r="I336" s="217"/>
      <c r="J336" s="217"/>
      <c r="K336" s="217"/>
      <c r="L336" s="217"/>
      <c r="M336" s="217"/>
      <c r="N336" s="217"/>
      <c r="O336" s="217"/>
      <c r="P336" s="217"/>
      <c r="Q336" s="218"/>
    </row>
    <row r="337" spans="1:17" s="219" customFormat="1" hidden="1" x14ac:dyDescent="0.25">
      <c r="A337" s="214"/>
      <c r="B337" s="215" t="s">
        <v>1822</v>
      </c>
      <c r="C337" s="215" t="s">
        <v>1823</v>
      </c>
      <c r="D337" s="215" t="s">
        <v>1836</v>
      </c>
      <c r="E337" s="215" t="s">
        <v>2139</v>
      </c>
      <c r="F337" s="215" t="s">
        <v>1825</v>
      </c>
      <c r="G337" s="215" t="s">
        <v>150</v>
      </c>
      <c r="H337" s="216" t="s">
        <v>2157</v>
      </c>
      <c r="I337" s="217"/>
      <c r="J337" s="217"/>
      <c r="K337" s="217"/>
      <c r="L337" s="217"/>
      <c r="M337" s="217"/>
      <c r="N337" s="217"/>
      <c r="O337" s="217"/>
      <c r="P337" s="217"/>
      <c r="Q337" s="218"/>
    </row>
    <row r="338" spans="1:17" s="219" customFormat="1" hidden="1" x14ac:dyDescent="0.25">
      <c r="A338" s="214"/>
      <c r="B338" s="215" t="s">
        <v>1822</v>
      </c>
      <c r="C338" s="215" t="s">
        <v>1823</v>
      </c>
      <c r="D338" s="215" t="s">
        <v>1836</v>
      </c>
      <c r="E338" s="215" t="s">
        <v>2139</v>
      </c>
      <c r="F338" s="215" t="s">
        <v>1825</v>
      </c>
      <c r="G338" s="215" t="s">
        <v>153</v>
      </c>
      <c r="H338" s="216" t="s">
        <v>2158</v>
      </c>
      <c r="I338" s="217"/>
      <c r="J338" s="217"/>
      <c r="K338" s="217"/>
      <c r="L338" s="217"/>
      <c r="M338" s="217"/>
      <c r="N338" s="217"/>
      <c r="O338" s="217"/>
      <c r="P338" s="217"/>
      <c r="Q338" s="218"/>
    </row>
    <row r="339" spans="1:17" s="219" customFormat="1" hidden="1" x14ac:dyDescent="0.25">
      <c r="A339" s="214"/>
      <c r="B339" s="215" t="s">
        <v>1822</v>
      </c>
      <c r="C339" s="215" t="s">
        <v>1823</v>
      </c>
      <c r="D339" s="215" t="s">
        <v>1836</v>
      </c>
      <c r="E339" s="215" t="s">
        <v>2139</v>
      </c>
      <c r="F339" s="215" t="s">
        <v>1825</v>
      </c>
      <c r="G339" s="215" t="s">
        <v>156</v>
      </c>
      <c r="H339" s="216" t="s">
        <v>2159</v>
      </c>
      <c r="I339" s="217"/>
      <c r="J339" s="217"/>
      <c r="K339" s="217"/>
      <c r="L339" s="217"/>
      <c r="M339" s="217"/>
      <c r="N339" s="217"/>
      <c r="O339" s="217"/>
      <c r="P339" s="217"/>
      <c r="Q339" s="218"/>
    </row>
    <row r="340" spans="1:17" s="219" customFormat="1" hidden="1" x14ac:dyDescent="0.25">
      <c r="A340" s="214"/>
      <c r="B340" s="215" t="s">
        <v>1822</v>
      </c>
      <c r="C340" s="215" t="s">
        <v>1823</v>
      </c>
      <c r="D340" s="215" t="s">
        <v>1836</v>
      </c>
      <c r="E340" s="215" t="s">
        <v>2139</v>
      </c>
      <c r="F340" s="215" t="s">
        <v>1825</v>
      </c>
      <c r="G340" s="215" t="s">
        <v>159</v>
      </c>
      <c r="H340" s="216" t="s">
        <v>2160</v>
      </c>
      <c r="I340" s="217"/>
      <c r="J340" s="217"/>
      <c r="K340" s="217"/>
      <c r="L340" s="217"/>
      <c r="M340" s="217"/>
      <c r="N340" s="217"/>
      <c r="O340" s="217"/>
      <c r="P340" s="217"/>
      <c r="Q340" s="218"/>
    </row>
    <row r="341" spans="1:17" s="219" customFormat="1" hidden="1" x14ac:dyDescent="0.25">
      <c r="A341" s="214"/>
      <c r="B341" s="215" t="s">
        <v>1822</v>
      </c>
      <c r="C341" s="215" t="s">
        <v>1823</v>
      </c>
      <c r="D341" s="215" t="s">
        <v>1836</v>
      </c>
      <c r="E341" s="215" t="s">
        <v>2139</v>
      </c>
      <c r="F341" s="215" t="s">
        <v>1825</v>
      </c>
      <c r="G341" s="215" t="s">
        <v>162</v>
      </c>
      <c r="H341" s="216" t="s">
        <v>2161</v>
      </c>
      <c r="I341" s="217"/>
      <c r="J341" s="217"/>
      <c r="K341" s="217"/>
      <c r="L341" s="217"/>
      <c r="M341" s="217"/>
      <c r="N341" s="217"/>
      <c r="O341" s="217"/>
      <c r="P341" s="217"/>
      <c r="Q341" s="218"/>
    </row>
    <row r="342" spans="1:17" s="219" customFormat="1" hidden="1" x14ac:dyDescent="0.25">
      <c r="A342" s="214"/>
      <c r="B342" s="215" t="s">
        <v>1822</v>
      </c>
      <c r="C342" s="215" t="s">
        <v>1823</v>
      </c>
      <c r="D342" s="215" t="s">
        <v>1836</v>
      </c>
      <c r="E342" s="215" t="s">
        <v>2139</v>
      </c>
      <c r="F342" s="215" t="s">
        <v>1825</v>
      </c>
      <c r="G342" s="215" t="s">
        <v>312</v>
      </c>
      <c r="H342" s="216" t="s">
        <v>2162</v>
      </c>
      <c r="I342" s="217"/>
      <c r="J342" s="217"/>
      <c r="K342" s="217"/>
      <c r="L342" s="217"/>
      <c r="M342" s="217"/>
      <c r="N342" s="217"/>
      <c r="O342" s="217"/>
      <c r="P342" s="217"/>
      <c r="Q342" s="218"/>
    </row>
    <row r="343" spans="1:17" s="219" customFormat="1" hidden="1" x14ac:dyDescent="0.25">
      <c r="A343" s="214"/>
      <c r="B343" s="215" t="s">
        <v>1822</v>
      </c>
      <c r="C343" s="215" t="s">
        <v>1823</v>
      </c>
      <c r="D343" s="215" t="s">
        <v>1836</v>
      </c>
      <c r="E343" s="215" t="s">
        <v>2139</v>
      </c>
      <c r="F343" s="215" t="s">
        <v>1825</v>
      </c>
      <c r="G343" s="215" t="s">
        <v>313</v>
      </c>
      <c r="H343" s="216" t="s">
        <v>2163</v>
      </c>
      <c r="I343" s="217"/>
      <c r="J343" s="217"/>
      <c r="K343" s="217"/>
      <c r="L343" s="217"/>
      <c r="M343" s="217"/>
      <c r="N343" s="217"/>
      <c r="O343" s="217"/>
      <c r="P343" s="217"/>
      <c r="Q343" s="218"/>
    </row>
    <row r="344" spans="1:17" s="219" customFormat="1" hidden="1" x14ac:dyDescent="0.25">
      <c r="A344" s="214"/>
      <c r="B344" s="215" t="s">
        <v>1822</v>
      </c>
      <c r="C344" s="215" t="s">
        <v>1823</v>
      </c>
      <c r="D344" s="215" t="s">
        <v>1836</v>
      </c>
      <c r="E344" s="215" t="s">
        <v>2139</v>
      </c>
      <c r="F344" s="215" t="s">
        <v>1825</v>
      </c>
      <c r="G344" s="215" t="s">
        <v>559</v>
      </c>
      <c r="H344" s="216" t="s">
        <v>2164</v>
      </c>
      <c r="I344" s="217"/>
      <c r="J344" s="217"/>
      <c r="K344" s="217"/>
      <c r="L344" s="217"/>
      <c r="M344" s="217"/>
      <c r="N344" s="217"/>
      <c r="O344" s="217"/>
      <c r="P344" s="217"/>
      <c r="Q344" s="218"/>
    </row>
    <row r="345" spans="1:17" s="219" customFormat="1" hidden="1" x14ac:dyDescent="0.25">
      <c r="A345" s="214"/>
      <c r="B345" s="215" t="s">
        <v>1822</v>
      </c>
      <c r="C345" s="215" t="s">
        <v>1823</v>
      </c>
      <c r="D345" s="215" t="s">
        <v>1836</v>
      </c>
      <c r="E345" s="215" t="s">
        <v>2139</v>
      </c>
      <c r="F345" s="215" t="s">
        <v>1825</v>
      </c>
      <c r="G345" s="215" t="s">
        <v>561</v>
      </c>
      <c r="H345" s="216" t="s">
        <v>2165</v>
      </c>
      <c r="I345" s="217"/>
      <c r="J345" s="217"/>
      <c r="K345" s="217"/>
      <c r="L345" s="217"/>
      <c r="M345" s="217"/>
      <c r="N345" s="217"/>
      <c r="O345" s="217"/>
      <c r="P345" s="217"/>
      <c r="Q345" s="218"/>
    </row>
    <row r="346" spans="1:17" s="219" customFormat="1" ht="30" hidden="1" x14ac:dyDescent="0.25">
      <c r="A346" s="214"/>
      <c r="B346" s="215" t="s">
        <v>1822</v>
      </c>
      <c r="C346" s="215" t="s">
        <v>1823</v>
      </c>
      <c r="D346" s="215" t="s">
        <v>1836</v>
      </c>
      <c r="E346" s="215" t="s">
        <v>2139</v>
      </c>
      <c r="F346" s="215" t="s">
        <v>1825</v>
      </c>
      <c r="G346" s="215" t="s">
        <v>563</v>
      </c>
      <c r="H346" s="216" t="s">
        <v>2166</v>
      </c>
      <c r="I346" s="217"/>
      <c r="J346" s="217"/>
      <c r="K346" s="217"/>
      <c r="L346" s="217"/>
      <c r="M346" s="217"/>
      <c r="N346" s="217"/>
      <c r="O346" s="217"/>
      <c r="P346" s="217"/>
      <c r="Q346" s="218"/>
    </row>
    <row r="347" spans="1:17" s="219" customFormat="1" hidden="1" x14ac:dyDescent="0.25">
      <c r="A347" s="214"/>
      <c r="B347" s="215" t="s">
        <v>1822</v>
      </c>
      <c r="C347" s="215" t="s">
        <v>1823</v>
      </c>
      <c r="D347" s="215" t="s">
        <v>1836</v>
      </c>
      <c r="E347" s="215" t="s">
        <v>2139</v>
      </c>
      <c r="F347" s="215" t="s">
        <v>1825</v>
      </c>
      <c r="G347" s="215" t="s">
        <v>227</v>
      </c>
      <c r="H347" s="216" t="s">
        <v>2167</v>
      </c>
      <c r="I347" s="217"/>
      <c r="J347" s="217"/>
      <c r="K347" s="217"/>
      <c r="L347" s="217"/>
      <c r="M347" s="217"/>
      <c r="N347" s="217"/>
      <c r="O347" s="217"/>
      <c r="P347" s="217"/>
      <c r="Q347" s="218"/>
    </row>
    <row r="348" spans="1:17" s="219" customFormat="1" hidden="1" x14ac:dyDescent="0.25">
      <c r="A348" s="214"/>
      <c r="B348" s="215" t="s">
        <v>1822</v>
      </c>
      <c r="C348" s="215" t="s">
        <v>1823</v>
      </c>
      <c r="D348" s="215" t="s">
        <v>1836</v>
      </c>
      <c r="E348" s="215" t="s">
        <v>2139</v>
      </c>
      <c r="F348" s="215" t="s">
        <v>1825</v>
      </c>
      <c r="G348" s="215" t="s">
        <v>230</v>
      </c>
      <c r="H348" s="216" t="s">
        <v>2168</v>
      </c>
      <c r="I348" s="217"/>
      <c r="J348" s="217"/>
      <c r="K348" s="217"/>
      <c r="L348" s="217"/>
      <c r="M348" s="217"/>
      <c r="N348" s="217"/>
      <c r="O348" s="217"/>
      <c r="P348" s="217"/>
      <c r="Q348" s="218"/>
    </row>
    <row r="349" spans="1:17" s="219" customFormat="1" hidden="1" x14ac:dyDescent="0.25">
      <c r="A349" s="214"/>
      <c r="B349" s="215" t="s">
        <v>1822</v>
      </c>
      <c r="C349" s="215" t="s">
        <v>1823</v>
      </c>
      <c r="D349" s="215" t="s">
        <v>1836</v>
      </c>
      <c r="E349" s="215" t="s">
        <v>2139</v>
      </c>
      <c r="F349" s="215" t="s">
        <v>1825</v>
      </c>
      <c r="G349" s="215" t="s">
        <v>232</v>
      </c>
      <c r="H349" s="216" t="s">
        <v>2169</v>
      </c>
      <c r="I349" s="217"/>
      <c r="J349" s="217"/>
      <c r="K349" s="217"/>
      <c r="L349" s="217"/>
      <c r="M349" s="217"/>
      <c r="N349" s="217"/>
      <c r="O349" s="217"/>
      <c r="P349" s="217"/>
      <c r="Q349" s="218"/>
    </row>
    <row r="350" spans="1:17" s="219" customFormat="1" ht="30" hidden="1" x14ac:dyDescent="0.25">
      <c r="A350" s="214"/>
      <c r="B350" s="215" t="s">
        <v>1822</v>
      </c>
      <c r="C350" s="215" t="s">
        <v>1823</v>
      </c>
      <c r="D350" s="215" t="s">
        <v>1836</v>
      </c>
      <c r="E350" s="215" t="s">
        <v>2139</v>
      </c>
      <c r="F350" s="215" t="s">
        <v>1825</v>
      </c>
      <c r="G350" s="215" t="s">
        <v>234</v>
      </c>
      <c r="H350" s="216" t="s">
        <v>2170</v>
      </c>
      <c r="I350" s="217"/>
      <c r="J350" s="217"/>
      <c r="K350" s="217"/>
      <c r="L350" s="217"/>
      <c r="M350" s="217"/>
      <c r="N350" s="217"/>
      <c r="O350" s="217"/>
      <c r="P350" s="217"/>
      <c r="Q350" s="218"/>
    </row>
    <row r="351" spans="1:17" s="219" customFormat="1" ht="30" hidden="1" x14ac:dyDescent="0.25">
      <c r="A351" s="214"/>
      <c r="B351" s="215" t="s">
        <v>1822</v>
      </c>
      <c r="C351" s="215" t="s">
        <v>1823</v>
      </c>
      <c r="D351" s="215" t="s">
        <v>1836</v>
      </c>
      <c r="E351" s="215" t="s">
        <v>2139</v>
      </c>
      <c r="F351" s="215" t="s">
        <v>1825</v>
      </c>
      <c r="G351" s="215" t="s">
        <v>236</v>
      </c>
      <c r="H351" s="216" t="s">
        <v>2171</v>
      </c>
      <c r="I351" s="217"/>
      <c r="J351" s="217"/>
      <c r="K351" s="217"/>
      <c r="L351" s="217"/>
      <c r="M351" s="217"/>
      <c r="N351" s="217"/>
      <c r="O351" s="217"/>
      <c r="P351" s="217"/>
      <c r="Q351" s="218"/>
    </row>
    <row r="352" spans="1:17" s="219" customFormat="1" hidden="1" x14ac:dyDescent="0.25">
      <c r="A352" s="214"/>
      <c r="B352" s="215" t="s">
        <v>1822</v>
      </c>
      <c r="C352" s="215" t="s">
        <v>1823</v>
      </c>
      <c r="D352" s="215" t="s">
        <v>1836</v>
      </c>
      <c r="E352" s="215" t="s">
        <v>2139</v>
      </c>
      <c r="F352" s="215" t="s">
        <v>1825</v>
      </c>
      <c r="G352" s="215" t="s">
        <v>238</v>
      </c>
      <c r="H352" s="216" t="s">
        <v>2172</v>
      </c>
      <c r="I352" s="217"/>
      <c r="J352" s="217"/>
      <c r="K352" s="217"/>
      <c r="L352" s="217"/>
      <c r="M352" s="217"/>
      <c r="N352" s="217"/>
      <c r="O352" s="217"/>
      <c r="P352" s="217"/>
      <c r="Q352" s="218"/>
    </row>
    <row r="353" spans="1:17" s="219" customFormat="1" hidden="1" x14ac:dyDescent="0.25">
      <c r="A353" s="214"/>
      <c r="B353" s="215" t="s">
        <v>1822</v>
      </c>
      <c r="C353" s="215" t="s">
        <v>1823</v>
      </c>
      <c r="D353" s="215" t="s">
        <v>1836</v>
      </c>
      <c r="E353" s="215" t="s">
        <v>2139</v>
      </c>
      <c r="F353" s="215" t="s">
        <v>1825</v>
      </c>
      <c r="G353" s="215" t="s">
        <v>240</v>
      </c>
      <c r="H353" s="216" t="s">
        <v>2173</v>
      </c>
      <c r="I353" s="217"/>
      <c r="J353" s="217"/>
      <c r="K353" s="217"/>
      <c r="L353" s="217"/>
      <c r="M353" s="217"/>
      <c r="N353" s="217"/>
      <c r="O353" s="217"/>
      <c r="P353" s="217"/>
      <c r="Q353" s="218"/>
    </row>
    <row r="354" spans="1:17" s="219" customFormat="1" ht="30" hidden="1" x14ac:dyDescent="0.25">
      <c r="A354" s="214"/>
      <c r="B354" s="215" t="s">
        <v>1822</v>
      </c>
      <c r="C354" s="215" t="s">
        <v>1823</v>
      </c>
      <c r="D354" s="215" t="s">
        <v>1836</v>
      </c>
      <c r="E354" s="215" t="s">
        <v>2139</v>
      </c>
      <c r="F354" s="215" t="s">
        <v>1825</v>
      </c>
      <c r="G354" s="215" t="s">
        <v>242</v>
      </c>
      <c r="H354" s="216" t="s">
        <v>2174</v>
      </c>
      <c r="I354" s="217"/>
      <c r="J354" s="217"/>
      <c r="K354" s="217"/>
      <c r="L354" s="217"/>
      <c r="M354" s="217"/>
      <c r="N354" s="217"/>
      <c r="O354" s="217"/>
      <c r="P354" s="217"/>
      <c r="Q354" s="218"/>
    </row>
    <row r="355" spans="1:17" s="219" customFormat="1" ht="30" hidden="1" x14ac:dyDescent="0.25">
      <c r="A355" s="214"/>
      <c r="B355" s="215" t="s">
        <v>1822</v>
      </c>
      <c r="C355" s="215" t="s">
        <v>1823</v>
      </c>
      <c r="D355" s="215" t="s">
        <v>1836</v>
      </c>
      <c r="E355" s="215" t="s">
        <v>2139</v>
      </c>
      <c r="F355" s="215" t="s">
        <v>1825</v>
      </c>
      <c r="G355" s="215" t="s">
        <v>244</v>
      </c>
      <c r="H355" s="216" t="s">
        <v>2175</v>
      </c>
      <c r="I355" s="217"/>
      <c r="J355" s="217"/>
      <c r="K355" s="217"/>
      <c r="L355" s="217"/>
      <c r="M355" s="217"/>
      <c r="N355" s="217"/>
      <c r="O355" s="217"/>
      <c r="P355" s="217"/>
      <c r="Q355" s="218"/>
    </row>
    <row r="356" spans="1:17" s="219" customFormat="1" hidden="1" x14ac:dyDescent="0.25">
      <c r="A356" s="214"/>
      <c r="B356" s="215" t="s">
        <v>1822</v>
      </c>
      <c r="C356" s="215" t="s">
        <v>1823</v>
      </c>
      <c r="D356" s="215" t="s">
        <v>1836</v>
      </c>
      <c r="E356" s="215" t="s">
        <v>2139</v>
      </c>
      <c r="F356" s="215" t="s">
        <v>1825</v>
      </c>
      <c r="G356" s="215" t="s">
        <v>246</v>
      </c>
      <c r="H356" s="216" t="s">
        <v>2176</v>
      </c>
      <c r="I356" s="217"/>
      <c r="J356" s="217"/>
      <c r="K356" s="217"/>
      <c r="L356" s="217"/>
      <c r="M356" s="217"/>
      <c r="N356" s="217"/>
      <c r="O356" s="217"/>
      <c r="P356" s="217"/>
      <c r="Q356" s="218"/>
    </row>
    <row r="357" spans="1:17" s="219" customFormat="1" ht="30" hidden="1" x14ac:dyDescent="0.25">
      <c r="A357" s="214"/>
      <c r="B357" s="215" t="s">
        <v>1822</v>
      </c>
      <c r="C357" s="215" t="s">
        <v>1823</v>
      </c>
      <c r="D357" s="215" t="s">
        <v>1836</v>
      </c>
      <c r="E357" s="215" t="s">
        <v>2139</v>
      </c>
      <c r="F357" s="215" t="s">
        <v>1825</v>
      </c>
      <c r="G357" s="215" t="s">
        <v>407</v>
      </c>
      <c r="H357" s="216" t="s">
        <v>2177</v>
      </c>
      <c r="I357" s="217"/>
      <c r="J357" s="217"/>
      <c r="K357" s="217"/>
      <c r="L357" s="217"/>
      <c r="M357" s="217"/>
      <c r="N357" s="217"/>
      <c r="O357" s="217"/>
      <c r="P357" s="217"/>
      <c r="Q357" s="218"/>
    </row>
    <row r="358" spans="1:17" s="219" customFormat="1" ht="30" hidden="1" x14ac:dyDescent="0.25">
      <c r="A358" s="214"/>
      <c r="B358" s="215" t="s">
        <v>1822</v>
      </c>
      <c r="C358" s="215" t="s">
        <v>1823</v>
      </c>
      <c r="D358" s="215" t="s">
        <v>1836</v>
      </c>
      <c r="E358" s="215" t="s">
        <v>2139</v>
      </c>
      <c r="F358" s="215" t="s">
        <v>1825</v>
      </c>
      <c r="G358" s="215" t="s">
        <v>408</v>
      </c>
      <c r="H358" s="216" t="s">
        <v>2178</v>
      </c>
      <c r="I358" s="217"/>
      <c r="J358" s="217"/>
      <c r="K358" s="217"/>
      <c r="L358" s="217"/>
      <c r="M358" s="217"/>
      <c r="N358" s="217"/>
      <c r="O358" s="217"/>
      <c r="P358" s="217"/>
      <c r="Q358" s="218"/>
    </row>
    <row r="359" spans="1:17" s="219" customFormat="1" ht="30" hidden="1" x14ac:dyDescent="0.25">
      <c r="A359" s="214"/>
      <c r="B359" s="215" t="s">
        <v>1822</v>
      </c>
      <c r="C359" s="215" t="s">
        <v>1823</v>
      </c>
      <c r="D359" s="215" t="s">
        <v>1836</v>
      </c>
      <c r="E359" s="215" t="s">
        <v>2139</v>
      </c>
      <c r="F359" s="215" t="s">
        <v>1825</v>
      </c>
      <c r="G359" s="215" t="s">
        <v>409</v>
      </c>
      <c r="H359" s="216" t="s">
        <v>2179</v>
      </c>
      <c r="I359" s="217"/>
      <c r="J359" s="217"/>
      <c r="K359" s="217"/>
      <c r="L359" s="217"/>
      <c r="M359" s="217"/>
      <c r="N359" s="217"/>
      <c r="O359" s="217"/>
      <c r="P359" s="217"/>
      <c r="Q359" s="218"/>
    </row>
    <row r="360" spans="1:17" s="219" customFormat="1" hidden="1" x14ac:dyDescent="0.25">
      <c r="A360" s="214"/>
      <c r="B360" s="215" t="s">
        <v>1822</v>
      </c>
      <c r="C360" s="215" t="s">
        <v>1823</v>
      </c>
      <c r="D360" s="215" t="s">
        <v>1836</v>
      </c>
      <c r="E360" s="215" t="s">
        <v>2139</v>
      </c>
      <c r="F360" s="215" t="s">
        <v>1825</v>
      </c>
      <c r="G360" s="215" t="s">
        <v>788</v>
      </c>
      <c r="H360" s="216" t="s">
        <v>2180</v>
      </c>
      <c r="I360" s="217"/>
      <c r="J360" s="217"/>
      <c r="K360" s="217"/>
      <c r="L360" s="217"/>
      <c r="M360" s="217"/>
      <c r="N360" s="217"/>
      <c r="O360" s="217"/>
      <c r="P360" s="217"/>
      <c r="Q360" s="218"/>
    </row>
    <row r="361" spans="1:17" s="219" customFormat="1" ht="30" hidden="1" x14ac:dyDescent="0.25">
      <c r="A361" s="214"/>
      <c r="B361" s="215" t="s">
        <v>1822</v>
      </c>
      <c r="C361" s="215" t="s">
        <v>1823</v>
      </c>
      <c r="D361" s="215" t="s">
        <v>1836</v>
      </c>
      <c r="E361" s="215" t="s">
        <v>2139</v>
      </c>
      <c r="F361" s="215" t="s">
        <v>1825</v>
      </c>
      <c r="G361" s="215" t="s">
        <v>1017</v>
      </c>
      <c r="H361" s="216" t="s">
        <v>2181</v>
      </c>
      <c r="I361" s="217"/>
      <c r="J361" s="217"/>
      <c r="K361" s="217"/>
      <c r="L361" s="217"/>
      <c r="M361" s="217"/>
      <c r="N361" s="217"/>
      <c r="O361" s="217"/>
      <c r="P361" s="217"/>
      <c r="Q361" s="218"/>
    </row>
    <row r="362" spans="1:17" s="219" customFormat="1" hidden="1" x14ac:dyDescent="0.25">
      <c r="A362" s="214"/>
      <c r="B362" s="215" t="s">
        <v>1822</v>
      </c>
      <c r="C362" s="215" t="s">
        <v>1823</v>
      </c>
      <c r="D362" s="215" t="s">
        <v>1836</v>
      </c>
      <c r="E362" s="215" t="s">
        <v>2139</v>
      </c>
      <c r="F362" s="215" t="s">
        <v>1825</v>
      </c>
      <c r="G362" s="215" t="s">
        <v>411</v>
      </c>
      <c r="H362" s="216" t="s">
        <v>1991</v>
      </c>
      <c r="I362" s="217"/>
      <c r="J362" s="217"/>
      <c r="K362" s="217"/>
      <c r="L362" s="217"/>
      <c r="M362" s="217"/>
      <c r="N362" s="217"/>
      <c r="O362" s="217"/>
      <c r="P362" s="217"/>
      <c r="Q362" s="218"/>
    </row>
    <row r="363" spans="1:17" s="219" customFormat="1" ht="30" hidden="1" x14ac:dyDescent="0.25">
      <c r="A363" s="214"/>
      <c r="B363" s="215" t="s">
        <v>1822</v>
      </c>
      <c r="C363" s="215" t="s">
        <v>1823</v>
      </c>
      <c r="D363" s="215" t="s">
        <v>1836</v>
      </c>
      <c r="E363" s="215" t="s">
        <v>2139</v>
      </c>
      <c r="F363" s="215" t="s">
        <v>1825</v>
      </c>
      <c r="G363" s="215" t="s">
        <v>247</v>
      </c>
      <c r="H363" s="216" t="s">
        <v>2182</v>
      </c>
      <c r="I363" s="217"/>
      <c r="J363" s="217"/>
      <c r="K363" s="217"/>
      <c r="L363" s="217"/>
      <c r="M363" s="217"/>
      <c r="N363" s="217"/>
      <c r="O363" s="217"/>
      <c r="P363" s="217"/>
      <c r="Q363" s="218"/>
    </row>
    <row r="364" spans="1:17" s="219" customFormat="1" hidden="1" x14ac:dyDescent="0.25">
      <c r="A364" s="214"/>
      <c r="B364" s="215" t="s">
        <v>1822</v>
      </c>
      <c r="C364" s="215" t="s">
        <v>1823</v>
      </c>
      <c r="D364" s="215" t="s">
        <v>1836</v>
      </c>
      <c r="E364" s="215" t="s">
        <v>2139</v>
      </c>
      <c r="F364" s="215" t="s">
        <v>1825</v>
      </c>
      <c r="G364" s="215" t="s">
        <v>1019</v>
      </c>
      <c r="H364" s="216" t="s">
        <v>2183</v>
      </c>
      <c r="I364" s="217"/>
      <c r="J364" s="217"/>
      <c r="K364" s="217"/>
      <c r="L364" s="217"/>
      <c r="M364" s="217"/>
      <c r="N364" s="217"/>
      <c r="O364" s="217"/>
      <c r="P364" s="217"/>
      <c r="Q364" s="218"/>
    </row>
    <row r="365" spans="1:17" s="219" customFormat="1" ht="30" hidden="1" x14ac:dyDescent="0.25">
      <c r="A365" s="214"/>
      <c r="B365" s="215" t="s">
        <v>1822</v>
      </c>
      <c r="C365" s="215" t="s">
        <v>1823</v>
      </c>
      <c r="D365" s="215" t="s">
        <v>1836</v>
      </c>
      <c r="E365" s="215" t="s">
        <v>2139</v>
      </c>
      <c r="F365" s="215" t="s">
        <v>1825</v>
      </c>
      <c r="G365" s="215" t="s">
        <v>1022</v>
      </c>
      <c r="H365" s="216" t="s">
        <v>2184</v>
      </c>
      <c r="I365" s="217"/>
      <c r="J365" s="217"/>
      <c r="K365" s="217"/>
      <c r="L365" s="217"/>
      <c r="M365" s="217"/>
      <c r="N365" s="217"/>
      <c r="O365" s="217"/>
      <c r="P365" s="217"/>
      <c r="Q365" s="218"/>
    </row>
    <row r="366" spans="1:17" s="219" customFormat="1" hidden="1" x14ac:dyDescent="0.25">
      <c r="A366" s="214"/>
      <c r="B366" s="215" t="s">
        <v>1822</v>
      </c>
      <c r="C366" s="215" t="s">
        <v>1823</v>
      </c>
      <c r="D366" s="215" t="s">
        <v>1836</v>
      </c>
      <c r="E366" s="215" t="s">
        <v>2139</v>
      </c>
      <c r="F366" s="215" t="s">
        <v>1825</v>
      </c>
      <c r="G366" s="215" t="s">
        <v>1024</v>
      </c>
      <c r="H366" s="216" t="s">
        <v>2185</v>
      </c>
      <c r="I366" s="217"/>
      <c r="J366" s="217"/>
      <c r="K366" s="217"/>
      <c r="L366" s="217"/>
      <c r="M366" s="217"/>
      <c r="N366" s="217"/>
      <c r="O366" s="217"/>
      <c r="P366" s="217"/>
      <c r="Q366" s="218"/>
    </row>
    <row r="367" spans="1:17" s="219" customFormat="1" ht="30" hidden="1" x14ac:dyDescent="0.25">
      <c r="A367" s="214"/>
      <c r="B367" s="215" t="s">
        <v>1822</v>
      </c>
      <c r="C367" s="215" t="s">
        <v>1823</v>
      </c>
      <c r="D367" s="215" t="s">
        <v>1836</v>
      </c>
      <c r="E367" s="215" t="s">
        <v>2139</v>
      </c>
      <c r="F367" s="215" t="s">
        <v>1825</v>
      </c>
      <c r="G367" s="215" t="s">
        <v>1026</v>
      </c>
      <c r="H367" s="216" t="s">
        <v>2186</v>
      </c>
      <c r="I367" s="217"/>
      <c r="J367" s="217"/>
      <c r="K367" s="217"/>
      <c r="L367" s="217"/>
      <c r="M367" s="217"/>
      <c r="N367" s="217"/>
      <c r="O367" s="217"/>
      <c r="P367" s="217"/>
      <c r="Q367" s="218"/>
    </row>
    <row r="368" spans="1:17" s="219" customFormat="1" hidden="1" x14ac:dyDescent="0.25">
      <c r="A368" s="214"/>
      <c r="B368" s="215" t="s">
        <v>1822</v>
      </c>
      <c r="C368" s="215" t="s">
        <v>1823</v>
      </c>
      <c r="D368" s="215" t="s">
        <v>1836</v>
      </c>
      <c r="E368" s="215" t="s">
        <v>2139</v>
      </c>
      <c r="F368" s="215" t="s">
        <v>1825</v>
      </c>
      <c r="G368" s="215" t="s">
        <v>416</v>
      </c>
      <c r="H368" s="216" t="s">
        <v>2187</v>
      </c>
      <c r="I368" s="217"/>
      <c r="J368" s="217"/>
      <c r="K368" s="217"/>
      <c r="L368" s="217"/>
      <c r="M368" s="217"/>
      <c r="N368" s="217"/>
      <c r="O368" s="217"/>
      <c r="P368" s="217"/>
      <c r="Q368" s="218"/>
    </row>
    <row r="369" spans="1:17" s="219" customFormat="1" hidden="1" x14ac:dyDescent="0.25">
      <c r="A369" s="214"/>
      <c r="B369" s="215" t="s">
        <v>1822</v>
      </c>
      <c r="C369" s="215" t="s">
        <v>1823</v>
      </c>
      <c r="D369" s="215" t="s">
        <v>1836</v>
      </c>
      <c r="E369" s="215" t="s">
        <v>2139</v>
      </c>
      <c r="F369" s="215" t="s">
        <v>1825</v>
      </c>
      <c r="G369" s="215" t="s">
        <v>417</v>
      </c>
      <c r="H369" s="216" t="s">
        <v>2188</v>
      </c>
      <c r="I369" s="217"/>
      <c r="J369" s="217"/>
      <c r="K369" s="217"/>
      <c r="L369" s="217"/>
      <c r="M369" s="217"/>
      <c r="N369" s="217"/>
      <c r="O369" s="217"/>
      <c r="P369" s="217"/>
      <c r="Q369" s="218"/>
    </row>
    <row r="370" spans="1:17" s="219" customFormat="1" hidden="1" x14ac:dyDescent="0.25">
      <c r="A370" s="214"/>
      <c r="B370" s="215" t="s">
        <v>1822</v>
      </c>
      <c r="C370" s="215" t="s">
        <v>1823</v>
      </c>
      <c r="D370" s="215" t="s">
        <v>1836</v>
      </c>
      <c r="E370" s="215" t="s">
        <v>2139</v>
      </c>
      <c r="F370" s="215" t="s">
        <v>1825</v>
      </c>
      <c r="G370" s="215" t="s">
        <v>1028</v>
      </c>
      <c r="H370" s="216" t="s">
        <v>2189</v>
      </c>
      <c r="I370" s="217"/>
      <c r="J370" s="217"/>
      <c r="K370" s="217"/>
      <c r="L370" s="217"/>
      <c r="M370" s="217"/>
      <c r="N370" s="217"/>
      <c r="O370" s="217"/>
      <c r="P370" s="217"/>
      <c r="Q370" s="218"/>
    </row>
    <row r="371" spans="1:17" s="219" customFormat="1" hidden="1" x14ac:dyDescent="0.25">
      <c r="A371" s="214"/>
      <c r="B371" s="215" t="s">
        <v>1822</v>
      </c>
      <c r="C371" s="215" t="s">
        <v>1823</v>
      </c>
      <c r="D371" s="215" t="s">
        <v>1836</v>
      </c>
      <c r="E371" s="215" t="s">
        <v>2139</v>
      </c>
      <c r="F371" s="215" t="s">
        <v>1825</v>
      </c>
      <c r="G371" s="215" t="s">
        <v>1029</v>
      </c>
      <c r="H371" s="216" t="s">
        <v>2190</v>
      </c>
      <c r="I371" s="217"/>
      <c r="J371" s="217"/>
      <c r="K371" s="217"/>
      <c r="L371" s="217"/>
      <c r="M371" s="217"/>
      <c r="N371" s="217"/>
      <c r="O371" s="217"/>
      <c r="P371" s="217"/>
      <c r="Q371" s="218"/>
    </row>
    <row r="372" spans="1:17" s="219" customFormat="1" ht="30" hidden="1" x14ac:dyDescent="0.25">
      <c r="A372" s="214"/>
      <c r="B372" s="215" t="s">
        <v>1822</v>
      </c>
      <c r="C372" s="215" t="s">
        <v>1823</v>
      </c>
      <c r="D372" s="215" t="s">
        <v>1836</v>
      </c>
      <c r="E372" s="215" t="s">
        <v>2139</v>
      </c>
      <c r="F372" s="215" t="s">
        <v>1825</v>
      </c>
      <c r="G372" s="215" t="s">
        <v>1030</v>
      </c>
      <c r="H372" s="216" t="s">
        <v>2191</v>
      </c>
      <c r="I372" s="217"/>
      <c r="J372" s="217"/>
      <c r="K372" s="217"/>
      <c r="L372" s="217"/>
      <c r="M372" s="217"/>
      <c r="N372" s="217"/>
      <c r="O372" s="217"/>
      <c r="P372" s="217"/>
      <c r="Q372" s="218"/>
    </row>
    <row r="373" spans="1:17" s="219" customFormat="1" hidden="1" x14ac:dyDescent="0.25">
      <c r="A373" s="214"/>
      <c r="B373" s="215" t="s">
        <v>1822</v>
      </c>
      <c r="C373" s="215" t="s">
        <v>1823</v>
      </c>
      <c r="D373" s="215" t="s">
        <v>1836</v>
      </c>
      <c r="E373" s="215" t="s">
        <v>2139</v>
      </c>
      <c r="F373" s="215" t="s">
        <v>1825</v>
      </c>
      <c r="G373" s="215" t="s">
        <v>1032</v>
      </c>
      <c r="H373" s="216" t="s">
        <v>2192</v>
      </c>
      <c r="I373" s="217"/>
      <c r="J373" s="217"/>
      <c r="K373" s="217"/>
      <c r="L373" s="217"/>
      <c r="M373" s="217"/>
      <c r="N373" s="217"/>
      <c r="O373" s="217"/>
      <c r="P373" s="217"/>
      <c r="Q373" s="218"/>
    </row>
    <row r="374" spans="1:17" s="219" customFormat="1" hidden="1" x14ac:dyDescent="0.25">
      <c r="A374" s="214"/>
      <c r="B374" s="215" t="s">
        <v>1822</v>
      </c>
      <c r="C374" s="215" t="s">
        <v>1823</v>
      </c>
      <c r="D374" s="215" t="s">
        <v>1836</v>
      </c>
      <c r="E374" s="215" t="s">
        <v>2139</v>
      </c>
      <c r="F374" s="215" t="s">
        <v>1825</v>
      </c>
      <c r="G374" s="215" t="s">
        <v>1212</v>
      </c>
      <c r="H374" s="216" t="s">
        <v>2193</v>
      </c>
      <c r="I374" s="217"/>
      <c r="J374" s="217"/>
      <c r="K374" s="217"/>
      <c r="L374" s="217"/>
      <c r="M374" s="217"/>
      <c r="N374" s="217"/>
      <c r="O374" s="217"/>
      <c r="P374" s="217"/>
      <c r="Q374" s="218"/>
    </row>
    <row r="375" spans="1:17" s="219" customFormat="1" hidden="1" x14ac:dyDescent="0.25">
      <c r="A375" s="214"/>
      <c r="B375" s="215" t="s">
        <v>1822</v>
      </c>
      <c r="C375" s="215" t="s">
        <v>1823</v>
      </c>
      <c r="D375" s="215" t="s">
        <v>1836</v>
      </c>
      <c r="E375" s="215" t="s">
        <v>2139</v>
      </c>
      <c r="F375" s="215" t="s">
        <v>1825</v>
      </c>
      <c r="G375" s="215" t="s">
        <v>791</v>
      </c>
      <c r="H375" s="216" t="s">
        <v>2194</v>
      </c>
      <c r="I375" s="217"/>
      <c r="J375" s="217"/>
      <c r="K375" s="217"/>
      <c r="L375" s="217"/>
      <c r="M375" s="217"/>
      <c r="N375" s="217"/>
      <c r="O375" s="217"/>
      <c r="P375" s="217"/>
      <c r="Q375" s="218"/>
    </row>
    <row r="376" spans="1:17" s="219" customFormat="1" ht="30" hidden="1" x14ac:dyDescent="0.25">
      <c r="A376" s="214"/>
      <c r="B376" s="215" t="s">
        <v>1822</v>
      </c>
      <c r="C376" s="215" t="s">
        <v>1823</v>
      </c>
      <c r="D376" s="215" t="s">
        <v>1836</v>
      </c>
      <c r="E376" s="215" t="s">
        <v>2139</v>
      </c>
      <c r="F376" s="215" t="s">
        <v>1825</v>
      </c>
      <c r="G376" s="215" t="s">
        <v>420</v>
      </c>
      <c r="H376" s="216" t="s">
        <v>2195</v>
      </c>
      <c r="I376" s="217"/>
      <c r="J376" s="217"/>
      <c r="K376" s="217"/>
      <c r="L376" s="217"/>
      <c r="M376" s="217"/>
      <c r="N376" s="217"/>
      <c r="O376" s="217"/>
      <c r="P376" s="217"/>
      <c r="Q376" s="218"/>
    </row>
    <row r="377" spans="1:17" s="219" customFormat="1" hidden="1" x14ac:dyDescent="0.25">
      <c r="A377" s="214"/>
      <c r="B377" s="215" t="s">
        <v>1822</v>
      </c>
      <c r="C377" s="215" t="s">
        <v>1823</v>
      </c>
      <c r="D377" s="215" t="s">
        <v>1836</v>
      </c>
      <c r="E377" s="215" t="s">
        <v>2139</v>
      </c>
      <c r="F377" s="215" t="s">
        <v>1825</v>
      </c>
      <c r="G377" s="215" t="s">
        <v>1224</v>
      </c>
      <c r="H377" s="216" t="s">
        <v>2196</v>
      </c>
      <c r="I377" s="217"/>
      <c r="J377" s="217"/>
      <c r="K377" s="217"/>
      <c r="L377" s="217"/>
      <c r="M377" s="217"/>
      <c r="N377" s="217"/>
      <c r="O377" s="217"/>
      <c r="P377" s="217"/>
      <c r="Q377" s="218"/>
    </row>
    <row r="378" spans="1:17" s="219" customFormat="1" ht="30" hidden="1" x14ac:dyDescent="0.25">
      <c r="A378" s="214"/>
      <c r="B378" s="215" t="s">
        <v>1822</v>
      </c>
      <c r="C378" s="215" t="s">
        <v>1823</v>
      </c>
      <c r="D378" s="215" t="s">
        <v>1836</v>
      </c>
      <c r="E378" s="215" t="s">
        <v>2139</v>
      </c>
      <c r="F378" s="215" t="s">
        <v>1825</v>
      </c>
      <c r="G378" s="215" t="s">
        <v>1226</v>
      </c>
      <c r="H378" s="216" t="s">
        <v>2197</v>
      </c>
      <c r="I378" s="217"/>
      <c r="J378" s="217"/>
      <c r="K378" s="217"/>
      <c r="L378" s="217"/>
      <c r="M378" s="217"/>
      <c r="N378" s="217"/>
      <c r="O378" s="217"/>
      <c r="P378" s="217"/>
      <c r="Q378" s="218"/>
    </row>
    <row r="379" spans="1:17" s="219" customFormat="1" hidden="1" x14ac:dyDescent="0.25">
      <c r="A379" s="214"/>
      <c r="B379" s="215" t="s">
        <v>1822</v>
      </c>
      <c r="C379" s="215" t="s">
        <v>1823</v>
      </c>
      <c r="D379" s="215" t="s">
        <v>1836</v>
      </c>
      <c r="E379" s="215" t="s">
        <v>2139</v>
      </c>
      <c r="F379" s="215" t="s">
        <v>1825</v>
      </c>
      <c r="G379" s="215" t="s">
        <v>2198</v>
      </c>
      <c r="H379" s="216" t="s">
        <v>2199</v>
      </c>
      <c r="I379" s="217"/>
      <c r="J379" s="217"/>
      <c r="K379" s="217"/>
      <c r="L379" s="217"/>
      <c r="M379" s="217"/>
      <c r="N379" s="217"/>
      <c r="O379" s="217"/>
      <c r="P379" s="217"/>
      <c r="Q379" s="218"/>
    </row>
    <row r="380" spans="1:17" s="219" customFormat="1" ht="30" hidden="1" x14ac:dyDescent="0.25">
      <c r="A380" s="214"/>
      <c r="B380" s="215" t="s">
        <v>1822</v>
      </c>
      <c r="C380" s="215" t="s">
        <v>1823</v>
      </c>
      <c r="D380" s="215" t="s">
        <v>1836</v>
      </c>
      <c r="E380" s="215" t="s">
        <v>2139</v>
      </c>
      <c r="F380" s="215" t="s">
        <v>1825</v>
      </c>
      <c r="G380" s="215" t="s">
        <v>422</v>
      </c>
      <c r="H380" s="216" t="s">
        <v>2200</v>
      </c>
      <c r="I380" s="217"/>
      <c r="J380" s="217"/>
      <c r="K380" s="217"/>
      <c r="L380" s="217"/>
      <c r="M380" s="217"/>
      <c r="N380" s="217"/>
      <c r="O380" s="217"/>
      <c r="P380" s="217"/>
      <c r="Q380" s="218"/>
    </row>
    <row r="381" spans="1:17" s="219" customFormat="1" hidden="1" x14ac:dyDescent="0.25">
      <c r="A381" s="214"/>
      <c r="B381" s="215" t="s">
        <v>1822</v>
      </c>
      <c r="C381" s="215" t="s">
        <v>1823</v>
      </c>
      <c r="D381" s="215" t="s">
        <v>1836</v>
      </c>
      <c r="E381" s="215" t="s">
        <v>2139</v>
      </c>
      <c r="F381" s="215" t="s">
        <v>1825</v>
      </c>
      <c r="G381" s="215" t="s">
        <v>423</v>
      </c>
      <c r="H381" s="216" t="s">
        <v>2201</v>
      </c>
      <c r="I381" s="217"/>
      <c r="J381" s="217"/>
      <c r="K381" s="217"/>
      <c r="L381" s="217"/>
      <c r="M381" s="217"/>
      <c r="N381" s="217"/>
      <c r="O381" s="217"/>
      <c r="P381" s="217"/>
      <c r="Q381" s="218"/>
    </row>
    <row r="382" spans="1:17" s="219" customFormat="1" ht="30" hidden="1" x14ac:dyDescent="0.25">
      <c r="A382" s="214"/>
      <c r="B382" s="215" t="s">
        <v>1822</v>
      </c>
      <c r="C382" s="215" t="s">
        <v>1823</v>
      </c>
      <c r="D382" s="215" t="s">
        <v>1836</v>
      </c>
      <c r="E382" s="215" t="s">
        <v>2139</v>
      </c>
      <c r="F382" s="215" t="s">
        <v>1825</v>
      </c>
      <c r="G382" s="215" t="s">
        <v>575</v>
      </c>
      <c r="H382" s="216" t="s">
        <v>2202</v>
      </c>
      <c r="I382" s="217"/>
      <c r="J382" s="217"/>
      <c r="K382" s="217"/>
      <c r="L382" s="217"/>
      <c r="M382" s="217"/>
      <c r="N382" s="217"/>
      <c r="O382" s="217"/>
      <c r="P382" s="217"/>
      <c r="Q382" s="218"/>
    </row>
    <row r="383" spans="1:17" s="219" customFormat="1" hidden="1" x14ac:dyDescent="0.25">
      <c r="A383" s="214"/>
      <c r="B383" s="215" t="s">
        <v>1822</v>
      </c>
      <c r="C383" s="215" t="s">
        <v>1823</v>
      </c>
      <c r="D383" s="215" t="s">
        <v>1836</v>
      </c>
      <c r="E383" s="215" t="s">
        <v>2139</v>
      </c>
      <c r="F383" s="215" t="s">
        <v>1825</v>
      </c>
      <c r="G383" s="215" t="s">
        <v>576</v>
      </c>
      <c r="H383" s="216" t="s">
        <v>2203</v>
      </c>
      <c r="I383" s="217"/>
      <c r="J383" s="217"/>
      <c r="K383" s="217"/>
      <c r="L383" s="217"/>
      <c r="M383" s="217"/>
      <c r="N383" s="217"/>
      <c r="O383" s="217"/>
      <c r="P383" s="217"/>
      <c r="Q383" s="218"/>
    </row>
    <row r="384" spans="1:17" s="219" customFormat="1" hidden="1" x14ac:dyDescent="0.25">
      <c r="A384" s="214"/>
      <c r="B384" s="215" t="s">
        <v>1822</v>
      </c>
      <c r="C384" s="215" t="s">
        <v>1823</v>
      </c>
      <c r="D384" s="215" t="s">
        <v>1836</v>
      </c>
      <c r="E384" s="215" t="s">
        <v>2139</v>
      </c>
      <c r="F384" s="215" t="s">
        <v>1825</v>
      </c>
      <c r="G384" s="215" t="s">
        <v>577</v>
      </c>
      <c r="H384" s="216" t="s">
        <v>2204</v>
      </c>
      <c r="I384" s="217"/>
      <c r="J384" s="217"/>
      <c r="K384" s="217"/>
      <c r="L384" s="217"/>
      <c r="M384" s="217"/>
      <c r="N384" s="217"/>
      <c r="O384" s="217"/>
      <c r="P384" s="217"/>
      <c r="Q384" s="218"/>
    </row>
    <row r="385" spans="1:17" s="219" customFormat="1" hidden="1" x14ac:dyDescent="0.25">
      <c r="A385" s="214"/>
      <c r="B385" s="215" t="s">
        <v>1822</v>
      </c>
      <c r="C385" s="215" t="s">
        <v>1823</v>
      </c>
      <c r="D385" s="215" t="s">
        <v>1836</v>
      </c>
      <c r="E385" s="215" t="s">
        <v>2139</v>
      </c>
      <c r="F385" s="215" t="s">
        <v>1825</v>
      </c>
      <c r="G385" s="215" t="s">
        <v>2205</v>
      </c>
      <c r="H385" s="216" t="s">
        <v>2206</v>
      </c>
      <c r="I385" s="217"/>
      <c r="J385" s="217"/>
      <c r="K385" s="217"/>
      <c r="L385" s="217"/>
      <c r="M385" s="217"/>
      <c r="N385" s="217"/>
      <c r="O385" s="217"/>
      <c r="P385" s="217"/>
      <c r="Q385" s="218"/>
    </row>
    <row r="386" spans="1:17" s="213" customFormat="1" hidden="1" x14ac:dyDescent="0.25">
      <c r="A386" s="208" t="s">
        <v>263</v>
      </c>
      <c r="B386" s="209" t="s">
        <v>1822</v>
      </c>
      <c r="C386" s="209" t="s">
        <v>1823</v>
      </c>
      <c r="D386" s="209" t="s">
        <v>1836</v>
      </c>
      <c r="E386" s="209" t="s">
        <v>2139</v>
      </c>
      <c r="F386" s="209" t="s">
        <v>1836</v>
      </c>
      <c r="G386" s="209"/>
      <c r="H386" s="210" t="s">
        <v>2207</v>
      </c>
      <c r="I386" s="211">
        <f>SUM(I387:I392)</f>
        <v>0</v>
      </c>
      <c r="J386" s="211">
        <f t="shared" ref="J386:P386" si="37">SUM(J387:J392)</f>
        <v>0</v>
      </c>
      <c r="K386" s="211">
        <f t="shared" si="37"/>
        <v>0</v>
      </c>
      <c r="L386" s="211">
        <f t="shared" si="37"/>
        <v>0</v>
      </c>
      <c r="M386" s="211">
        <f t="shared" si="37"/>
        <v>0</v>
      </c>
      <c r="N386" s="211">
        <f t="shared" si="37"/>
        <v>0</v>
      </c>
      <c r="O386" s="211">
        <f t="shared" si="37"/>
        <v>0</v>
      </c>
      <c r="P386" s="211">
        <f t="shared" si="37"/>
        <v>0</v>
      </c>
      <c r="Q386" s="212"/>
    </row>
    <row r="387" spans="1:17" s="219" customFormat="1" hidden="1" x14ac:dyDescent="0.25">
      <c r="A387" s="214"/>
      <c r="B387" s="215" t="s">
        <v>1822</v>
      </c>
      <c r="C387" s="215" t="s">
        <v>1823</v>
      </c>
      <c r="D387" s="215" t="s">
        <v>1836</v>
      </c>
      <c r="E387" s="215" t="s">
        <v>2139</v>
      </c>
      <c r="F387" s="215" t="s">
        <v>1836</v>
      </c>
      <c r="G387" s="215" t="s">
        <v>58</v>
      </c>
      <c r="H387" s="216" t="s">
        <v>2208</v>
      </c>
      <c r="I387" s="217"/>
      <c r="J387" s="217"/>
      <c r="K387" s="217"/>
      <c r="L387" s="217"/>
      <c r="M387" s="217"/>
      <c r="N387" s="217"/>
      <c r="O387" s="217"/>
      <c r="P387" s="217"/>
      <c r="Q387" s="218"/>
    </row>
    <row r="388" spans="1:17" s="219" customFormat="1" hidden="1" x14ac:dyDescent="0.25">
      <c r="A388" s="214"/>
      <c r="B388" s="215" t="s">
        <v>1822</v>
      </c>
      <c r="C388" s="215" t="s">
        <v>1823</v>
      </c>
      <c r="D388" s="215" t="s">
        <v>1836</v>
      </c>
      <c r="E388" s="215" t="s">
        <v>2139</v>
      </c>
      <c r="F388" s="215" t="s">
        <v>1836</v>
      </c>
      <c r="G388" s="215" t="s">
        <v>75</v>
      </c>
      <c r="H388" s="216" t="s">
        <v>2209</v>
      </c>
      <c r="I388" s="217"/>
      <c r="J388" s="217"/>
      <c r="K388" s="217"/>
      <c r="L388" s="217"/>
      <c r="M388" s="217"/>
      <c r="N388" s="217"/>
      <c r="O388" s="217"/>
      <c r="P388" s="217"/>
      <c r="Q388" s="218"/>
    </row>
    <row r="389" spans="1:17" s="219" customFormat="1" hidden="1" x14ac:dyDescent="0.25">
      <c r="A389" s="214"/>
      <c r="B389" s="215" t="s">
        <v>1822</v>
      </c>
      <c r="C389" s="215" t="s">
        <v>1823</v>
      </c>
      <c r="D389" s="215" t="s">
        <v>1836</v>
      </c>
      <c r="E389" s="215" t="s">
        <v>2139</v>
      </c>
      <c r="F389" s="215" t="s">
        <v>1836</v>
      </c>
      <c r="G389" s="215" t="s">
        <v>79</v>
      </c>
      <c r="H389" s="216" t="s">
        <v>2210</v>
      </c>
      <c r="I389" s="217"/>
      <c r="J389" s="217"/>
      <c r="K389" s="217"/>
      <c r="L389" s="217"/>
      <c r="M389" s="217"/>
      <c r="N389" s="217"/>
      <c r="O389" s="217"/>
      <c r="P389" s="217"/>
      <c r="Q389" s="218"/>
    </row>
    <row r="390" spans="1:17" s="219" customFormat="1" hidden="1" x14ac:dyDescent="0.25">
      <c r="A390" s="214"/>
      <c r="B390" s="215" t="s">
        <v>1822</v>
      </c>
      <c r="C390" s="215" t="s">
        <v>1823</v>
      </c>
      <c r="D390" s="215" t="s">
        <v>1836</v>
      </c>
      <c r="E390" s="215" t="s">
        <v>2139</v>
      </c>
      <c r="F390" s="215" t="s">
        <v>1836</v>
      </c>
      <c r="G390" s="215" t="s">
        <v>84</v>
      </c>
      <c r="H390" s="216" t="s">
        <v>2211</v>
      </c>
      <c r="I390" s="217"/>
      <c r="J390" s="217"/>
      <c r="K390" s="217"/>
      <c r="L390" s="217"/>
      <c r="M390" s="217"/>
      <c r="N390" s="217"/>
      <c r="O390" s="217"/>
      <c r="P390" s="217"/>
      <c r="Q390" s="218"/>
    </row>
    <row r="391" spans="1:17" s="219" customFormat="1" hidden="1" x14ac:dyDescent="0.25">
      <c r="A391" s="214"/>
      <c r="B391" s="215" t="s">
        <v>1822</v>
      </c>
      <c r="C391" s="215" t="s">
        <v>1823</v>
      </c>
      <c r="D391" s="215" t="s">
        <v>1836</v>
      </c>
      <c r="E391" s="215" t="s">
        <v>2139</v>
      </c>
      <c r="F391" s="215" t="s">
        <v>1836</v>
      </c>
      <c r="G391" s="215" t="s">
        <v>88</v>
      </c>
      <c r="H391" s="216" t="s">
        <v>2212</v>
      </c>
      <c r="I391" s="217"/>
      <c r="J391" s="217"/>
      <c r="K391" s="217"/>
      <c r="L391" s="217"/>
      <c r="M391" s="217"/>
      <c r="N391" s="217"/>
      <c r="O391" s="217"/>
      <c r="P391" s="217"/>
      <c r="Q391" s="218"/>
    </row>
    <row r="392" spans="1:17" s="219" customFormat="1" ht="30" hidden="1" x14ac:dyDescent="0.25">
      <c r="A392" s="214"/>
      <c r="B392" s="215" t="s">
        <v>1822</v>
      </c>
      <c r="C392" s="215" t="s">
        <v>1823</v>
      </c>
      <c r="D392" s="215" t="s">
        <v>1836</v>
      </c>
      <c r="E392" s="215" t="s">
        <v>2139</v>
      </c>
      <c r="F392" s="215" t="s">
        <v>1836</v>
      </c>
      <c r="G392" s="215" t="s">
        <v>92</v>
      </c>
      <c r="H392" s="216" t="s">
        <v>2213</v>
      </c>
      <c r="I392" s="217"/>
      <c r="J392" s="217"/>
      <c r="K392" s="217"/>
      <c r="L392" s="217"/>
      <c r="M392" s="217"/>
      <c r="N392" s="217"/>
      <c r="O392" s="217"/>
      <c r="P392" s="217"/>
      <c r="Q392" s="218"/>
    </row>
    <row r="393" spans="1:17" s="213" customFormat="1" hidden="1" x14ac:dyDescent="0.25">
      <c r="A393" s="208" t="s">
        <v>263</v>
      </c>
      <c r="B393" s="209" t="s">
        <v>1822</v>
      </c>
      <c r="C393" s="209" t="s">
        <v>1823</v>
      </c>
      <c r="D393" s="209" t="s">
        <v>1836</v>
      </c>
      <c r="E393" s="209" t="s">
        <v>2139</v>
      </c>
      <c r="F393" s="209" t="s">
        <v>1847</v>
      </c>
      <c r="G393" s="209"/>
      <c r="H393" s="210" t="s">
        <v>2214</v>
      </c>
      <c r="I393" s="211">
        <f>SUM(I394:I409)</f>
        <v>0</v>
      </c>
      <c r="J393" s="211">
        <f t="shared" ref="J393:P393" si="38">SUM(J394:J409)</f>
        <v>0</v>
      </c>
      <c r="K393" s="211">
        <f t="shared" si="38"/>
        <v>0</v>
      </c>
      <c r="L393" s="211">
        <f t="shared" si="38"/>
        <v>0</v>
      </c>
      <c r="M393" s="211">
        <f t="shared" si="38"/>
        <v>0</v>
      </c>
      <c r="N393" s="211">
        <f t="shared" si="38"/>
        <v>0</v>
      </c>
      <c r="O393" s="211">
        <f t="shared" si="38"/>
        <v>0</v>
      </c>
      <c r="P393" s="211">
        <f t="shared" si="38"/>
        <v>0</v>
      </c>
      <c r="Q393" s="212"/>
    </row>
    <row r="394" spans="1:17" s="219" customFormat="1" ht="30" hidden="1" x14ac:dyDescent="0.25">
      <c r="A394" s="214"/>
      <c r="B394" s="215" t="s">
        <v>1822</v>
      </c>
      <c r="C394" s="215" t="s">
        <v>1823</v>
      </c>
      <c r="D394" s="215" t="s">
        <v>1836</v>
      </c>
      <c r="E394" s="215" t="s">
        <v>2139</v>
      </c>
      <c r="F394" s="215" t="s">
        <v>1847</v>
      </c>
      <c r="G394" s="215" t="s">
        <v>58</v>
      </c>
      <c r="H394" s="216" t="s">
        <v>2215</v>
      </c>
      <c r="I394" s="217"/>
      <c r="J394" s="217"/>
      <c r="K394" s="217"/>
      <c r="L394" s="217"/>
      <c r="M394" s="217"/>
      <c r="N394" s="217"/>
      <c r="O394" s="217"/>
      <c r="P394" s="217"/>
      <c r="Q394" s="218"/>
    </row>
    <row r="395" spans="1:17" s="219" customFormat="1" ht="30" hidden="1" x14ac:dyDescent="0.25">
      <c r="A395" s="214"/>
      <c r="B395" s="215" t="s">
        <v>1822</v>
      </c>
      <c r="C395" s="215" t="s">
        <v>1823</v>
      </c>
      <c r="D395" s="215" t="s">
        <v>1836</v>
      </c>
      <c r="E395" s="215" t="s">
        <v>2139</v>
      </c>
      <c r="F395" s="215" t="s">
        <v>1847</v>
      </c>
      <c r="G395" s="215" t="s">
        <v>75</v>
      </c>
      <c r="H395" s="216" t="s">
        <v>2216</v>
      </c>
      <c r="I395" s="217"/>
      <c r="J395" s="217"/>
      <c r="K395" s="217"/>
      <c r="L395" s="217"/>
      <c r="M395" s="217"/>
      <c r="N395" s="217"/>
      <c r="O395" s="217"/>
      <c r="P395" s="217"/>
      <c r="Q395" s="218"/>
    </row>
    <row r="396" spans="1:17" s="219" customFormat="1" ht="30" hidden="1" x14ac:dyDescent="0.25">
      <c r="A396" s="214"/>
      <c r="B396" s="215" t="s">
        <v>1822</v>
      </c>
      <c r="C396" s="215" t="s">
        <v>1823</v>
      </c>
      <c r="D396" s="215" t="s">
        <v>1836</v>
      </c>
      <c r="E396" s="215" t="s">
        <v>2139</v>
      </c>
      <c r="F396" s="215" t="s">
        <v>1847</v>
      </c>
      <c r="G396" s="215" t="s">
        <v>79</v>
      </c>
      <c r="H396" s="216" t="s">
        <v>2217</v>
      </c>
      <c r="I396" s="217"/>
      <c r="J396" s="217"/>
      <c r="K396" s="217"/>
      <c r="L396" s="217"/>
      <c r="M396" s="217"/>
      <c r="N396" s="217"/>
      <c r="O396" s="217"/>
      <c r="P396" s="217"/>
      <c r="Q396" s="218"/>
    </row>
    <row r="397" spans="1:17" s="219" customFormat="1" ht="30" hidden="1" x14ac:dyDescent="0.25">
      <c r="A397" s="214"/>
      <c r="B397" s="215" t="s">
        <v>1822</v>
      </c>
      <c r="C397" s="215" t="s">
        <v>1823</v>
      </c>
      <c r="D397" s="215" t="s">
        <v>1836</v>
      </c>
      <c r="E397" s="215" t="s">
        <v>2139</v>
      </c>
      <c r="F397" s="215" t="s">
        <v>1847</v>
      </c>
      <c r="G397" s="215" t="s">
        <v>84</v>
      </c>
      <c r="H397" s="216" t="s">
        <v>2218</v>
      </c>
      <c r="I397" s="217"/>
      <c r="J397" s="217"/>
      <c r="K397" s="217"/>
      <c r="L397" s="217"/>
      <c r="M397" s="217"/>
      <c r="N397" s="217"/>
      <c r="O397" s="217"/>
      <c r="P397" s="217"/>
      <c r="Q397" s="218"/>
    </row>
    <row r="398" spans="1:17" s="219" customFormat="1" ht="30" hidden="1" x14ac:dyDescent="0.25">
      <c r="A398" s="214"/>
      <c r="B398" s="215" t="s">
        <v>1822</v>
      </c>
      <c r="C398" s="215" t="s">
        <v>1823</v>
      </c>
      <c r="D398" s="215" t="s">
        <v>1836</v>
      </c>
      <c r="E398" s="215" t="s">
        <v>2139</v>
      </c>
      <c r="F398" s="215" t="s">
        <v>1847</v>
      </c>
      <c r="G398" s="215" t="s">
        <v>88</v>
      </c>
      <c r="H398" s="216" t="s">
        <v>2219</v>
      </c>
      <c r="I398" s="217"/>
      <c r="J398" s="217"/>
      <c r="K398" s="217"/>
      <c r="L398" s="217"/>
      <c r="M398" s="217"/>
      <c r="N398" s="217"/>
      <c r="O398" s="217"/>
      <c r="P398" s="217"/>
      <c r="Q398" s="218"/>
    </row>
    <row r="399" spans="1:17" s="219" customFormat="1" ht="30" hidden="1" x14ac:dyDescent="0.25">
      <c r="A399" s="214"/>
      <c r="B399" s="215" t="s">
        <v>1822</v>
      </c>
      <c r="C399" s="215" t="s">
        <v>1823</v>
      </c>
      <c r="D399" s="215" t="s">
        <v>1836</v>
      </c>
      <c r="E399" s="215" t="s">
        <v>2139</v>
      </c>
      <c r="F399" s="215" t="s">
        <v>1847</v>
      </c>
      <c r="G399" s="215" t="s">
        <v>92</v>
      </c>
      <c r="H399" s="216" t="s">
        <v>2220</v>
      </c>
      <c r="I399" s="217"/>
      <c r="J399" s="217"/>
      <c r="K399" s="217"/>
      <c r="L399" s="217"/>
      <c r="M399" s="217"/>
      <c r="N399" s="217"/>
      <c r="O399" s="217"/>
      <c r="P399" s="217"/>
      <c r="Q399" s="218"/>
    </row>
    <row r="400" spans="1:17" s="219" customFormat="1" ht="30" hidden="1" x14ac:dyDescent="0.25">
      <c r="A400" s="214"/>
      <c r="B400" s="215" t="s">
        <v>1822</v>
      </c>
      <c r="C400" s="215" t="s">
        <v>1823</v>
      </c>
      <c r="D400" s="215" t="s">
        <v>1836</v>
      </c>
      <c r="E400" s="215" t="s">
        <v>2139</v>
      </c>
      <c r="F400" s="215" t="s">
        <v>1847</v>
      </c>
      <c r="G400" s="215" t="s">
        <v>96</v>
      </c>
      <c r="H400" s="216" t="s">
        <v>2221</v>
      </c>
      <c r="I400" s="217"/>
      <c r="J400" s="217"/>
      <c r="K400" s="217"/>
      <c r="L400" s="217"/>
      <c r="M400" s="217"/>
      <c r="N400" s="217"/>
      <c r="O400" s="217"/>
      <c r="P400" s="217"/>
      <c r="Q400" s="218"/>
    </row>
    <row r="401" spans="1:17" s="219" customFormat="1" ht="30" hidden="1" x14ac:dyDescent="0.25">
      <c r="A401" s="214"/>
      <c r="B401" s="215" t="s">
        <v>1822</v>
      </c>
      <c r="C401" s="215" t="s">
        <v>1823</v>
      </c>
      <c r="D401" s="215" t="s">
        <v>1836</v>
      </c>
      <c r="E401" s="215" t="s">
        <v>2139</v>
      </c>
      <c r="F401" s="215" t="s">
        <v>1847</v>
      </c>
      <c r="G401" s="215" t="s">
        <v>100</v>
      </c>
      <c r="H401" s="216" t="s">
        <v>2222</v>
      </c>
      <c r="I401" s="217"/>
      <c r="J401" s="217"/>
      <c r="K401" s="217"/>
      <c r="L401" s="217"/>
      <c r="M401" s="217"/>
      <c r="N401" s="217"/>
      <c r="O401" s="217"/>
      <c r="P401" s="217"/>
      <c r="Q401" s="218"/>
    </row>
    <row r="402" spans="1:17" s="219" customFormat="1" ht="30" hidden="1" x14ac:dyDescent="0.25">
      <c r="A402" s="214"/>
      <c r="B402" s="215" t="s">
        <v>1822</v>
      </c>
      <c r="C402" s="215" t="s">
        <v>1823</v>
      </c>
      <c r="D402" s="215" t="s">
        <v>1836</v>
      </c>
      <c r="E402" s="215" t="s">
        <v>2139</v>
      </c>
      <c r="F402" s="215" t="s">
        <v>1847</v>
      </c>
      <c r="G402" s="215" t="s">
        <v>105</v>
      </c>
      <c r="H402" s="216" t="s">
        <v>2223</v>
      </c>
      <c r="I402" s="217"/>
      <c r="J402" s="217"/>
      <c r="K402" s="217"/>
      <c r="L402" s="217"/>
      <c r="M402" s="217"/>
      <c r="N402" s="217"/>
      <c r="O402" s="217"/>
      <c r="P402" s="217"/>
      <c r="Q402" s="218"/>
    </row>
    <row r="403" spans="1:17" s="219" customFormat="1" ht="30" hidden="1" x14ac:dyDescent="0.25">
      <c r="A403" s="214"/>
      <c r="B403" s="215" t="s">
        <v>1822</v>
      </c>
      <c r="C403" s="215" t="s">
        <v>1823</v>
      </c>
      <c r="D403" s="215" t="s">
        <v>1836</v>
      </c>
      <c r="E403" s="215" t="s">
        <v>2139</v>
      </c>
      <c r="F403" s="215" t="s">
        <v>1847</v>
      </c>
      <c r="G403" s="215" t="s">
        <v>108</v>
      </c>
      <c r="H403" s="216" t="s">
        <v>2224</v>
      </c>
      <c r="I403" s="217"/>
      <c r="J403" s="217"/>
      <c r="K403" s="217"/>
      <c r="L403" s="217"/>
      <c r="M403" s="217"/>
      <c r="N403" s="217"/>
      <c r="O403" s="217"/>
      <c r="P403" s="217"/>
      <c r="Q403" s="218"/>
    </row>
    <row r="404" spans="1:17" s="219" customFormat="1" ht="30" hidden="1" x14ac:dyDescent="0.25">
      <c r="A404" s="214"/>
      <c r="B404" s="215" t="s">
        <v>1822</v>
      </c>
      <c r="C404" s="215" t="s">
        <v>1823</v>
      </c>
      <c r="D404" s="215" t="s">
        <v>1836</v>
      </c>
      <c r="E404" s="215" t="s">
        <v>2139</v>
      </c>
      <c r="F404" s="215" t="s">
        <v>1847</v>
      </c>
      <c r="G404" s="215" t="s">
        <v>135</v>
      </c>
      <c r="H404" s="216" t="s">
        <v>2225</v>
      </c>
      <c r="I404" s="217"/>
      <c r="J404" s="217"/>
      <c r="K404" s="217"/>
      <c r="L404" s="217"/>
      <c r="M404" s="217"/>
      <c r="N404" s="217"/>
      <c r="O404" s="217"/>
      <c r="P404" s="217"/>
      <c r="Q404" s="218"/>
    </row>
    <row r="405" spans="1:17" s="219" customFormat="1" ht="30" hidden="1" x14ac:dyDescent="0.25">
      <c r="A405" s="214"/>
      <c r="B405" s="215" t="s">
        <v>1822</v>
      </c>
      <c r="C405" s="215" t="s">
        <v>1823</v>
      </c>
      <c r="D405" s="215" t="s">
        <v>1836</v>
      </c>
      <c r="E405" s="215" t="s">
        <v>2139</v>
      </c>
      <c r="F405" s="215" t="s">
        <v>1847</v>
      </c>
      <c r="G405" s="215" t="s">
        <v>138</v>
      </c>
      <c r="H405" s="216" t="s">
        <v>2226</v>
      </c>
      <c r="I405" s="217"/>
      <c r="J405" s="217"/>
      <c r="K405" s="217"/>
      <c r="L405" s="217"/>
      <c r="M405" s="217"/>
      <c r="N405" s="217"/>
      <c r="O405" s="217"/>
      <c r="P405" s="217"/>
      <c r="Q405" s="218"/>
    </row>
    <row r="406" spans="1:17" s="219" customFormat="1" ht="45" hidden="1" x14ac:dyDescent="0.25">
      <c r="A406" s="214"/>
      <c r="B406" s="215" t="s">
        <v>1822</v>
      </c>
      <c r="C406" s="215" t="s">
        <v>1823</v>
      </c>
      <c r="D406" s="215" t="s">
        <v>1836</v>
      </c>
      <c r="E406" s="215" t="s">
        <v>2139</v>
      </c>
      <c r="F406" s="215" t="s">
        <v>1847</v>
      </c>
      <c r="G406" s="215" t="s">
        <v>140</v>
      </c>
      <c r="H406" s="216" t="s">
        <v>2227</v>
      </c>
      <c r="I406" s="217"/>
      <c r="J406" s="217"/>
      <c r="K406" s="217"/>
      <c r="L406" s="217"/>
      <c r="M406" s="217"/>
      <c r="N406" s="217"/>
      <c r="O406" s="217"/>
      <c r="P406" s="217"/>
      <c r="Q406" s="218"/>
    </row>
    <row r="407" spans="1:17" s="219" customFormat="1" hidden="1" x14ac:dyDescent="0.25">
      <c r="A407" s="214"/>
      <c r="B407" s="215" t="s">
        <v>1822</v>
      </c>
      <c r="C407" s="215" t="s">
        <v>1823</v>
      </c>
      <c r="D407" s="215" t="s">
        <v>1836</v>
      </c>
      <c r="E407" s="215" t="s">
        <v>2139</v>
      </c>
      <c r="F407" s="215" t="s">
        <v>1847</v>
      </c>
      <c r="G407" s="215" t="s">
        <v>143</v>
      </c>
      <c r="H407" s="216" t="s">
        <v>2228</v>
      </c>
      <c r="I407" s="217"/>
      <c r="J407" s="217"/>
      <c r="K407" s="217"/>
      <c r="L407" s="217"/>
      <c r="M407" s="217"/>
      <c r="N407" s="217"/>
      <c r="O407" s="217"/>
      <c r="P407" s="217"/>
      <c r="Q407" s="218"/>
    </row>
    <row r="408" spans="1:17" s="219" customFormat="1" hidden="1" x14ac:dyDescent="0.25">
      <c r="A408" s="214"/>
      <c r="B408" s="215" t="s">
        <v>1822</v>
      </c>
      <c r="C408" s="215" t="s">
        <v>1823</v>
      </c>
      <c r="D408" s="215" t="s">
        <v>1836</v>
      </c>
      <c r="E408" s="215" t="s">
        <v>2139</v>
      </c>
      <c r="F408" s="215" t="s">
        <v>1847</v>
      </c>
      <c r="G408" s="215" t="s">
        <v>146</v>
      </c>
      <c r="H408" s="216" t="s">
        <v>2229</v>
      </c>
      <c r="I408" s="217"/>
      <c r="J408" s="217"/>
      <c r="K408" s="217"/>
      <c r="L408" s="217"/>
      <c r="M408" s="217"/>
      <c r="N408" s="217"/>
      <c r="O408" s="217"/>
      <c r="P408" s="217"/>
      <c r="Q408" s="218"/>
    </row>
    <row r="409" spans="1:17" s="219" customFormat="1" hidden="1" x14ac:dyDescent="0.25">
      <c r="A409" s="214"/>
      <c r="B409" s="215" t="s">
        <v>1822</v>
      </c>
      <c r="C409" s="215" t="s">
        <v>1823</v>
      </c>
      <c r="D409" s="215" t="s">
        <v>1836</v>
      </c>
      <c r="E409" s="215" t="s">
        <v>2139</v>
      </c>
      <c r="F409" s="215" t="s">
        <v>1847</v>
      </c>
      <c r="G409" s="215" t="s">
        <v>150</v>
      </c>
      <c r="H409" s="216" t="s">
        <v>2230</v>
      </c>
      <c r="I409" s="217"/>
      <c r="J409" s="217"/>
      <c r="K409" s="217"/>
      <c r="L409" s="217"/>
      <c r="M409" s="217"/>
      <c r="N409" s="217"/>
      <c r="O409" s="217"/>
      <c r="P409" s="217"/>
      <c r="Q409" s="218"/>
    </row>
    <row r="410" spans="1:17" s="213" customFormat="1" ht="30" hidden="1" x14ac:dyDescent="0.25">
      <c r="A410" s="208" t="s">
        <v>263</v>
      </c>
      <c r="B410" s="209" t="s">
        <v>1822</v>
      </c>
      <c r="C410" s="209" t="s">
        <v>1823</v>
      </c>
      <c r="D410" s="209" t="s">
        <v>1836</v>
      </c>
      <c r="E410" s="209" t="s">
        <v>2139</v>
      </c>
      <c r="F410" s="209" t="s">
        <v>1928</v>
      </c>
      <c r="G410" s="209"/>
      <c r="H410" s="210" t="s">
        <v>2231</v>
      </c>
      <c r="I410" s="211">
        <f>SUM(I411:I420)</f>
        <v>0</v>
      </c>
      <c r="J410" s="211">
        <f t="shared" ref="J410:P410" si="39">SUM(J411:J420)</f>
        <v>0</v>
      </c>
      <c r="K410" s="211">
        <f t="shared" si="39"/>
        <v>0</v>
      </c>
      <c r="L410" s="211">
        <f t="shared" si="39"/>
        <v>0</v>
      </c>
      <c r="M410" s="211">
        <f t="shared" si="39"/>
        <v>0</v>
      </c>
      <c r="N410" s="211">
        <f t="shared" si="39"/>
        <v>0</v>
      </c>
      <c r="O410" s="211">
        <f t="shared" si="39"/>
        <v>0</v>
      </c>
      <c r="P410" s="211">
        <f t="shared" si="39"/>
        <v>0</v>
      </c>
      <c r="Q410" s="212"/>
    </row>
    <row r="411" spans="1:17" s="219" customFormat="1" hidden="1" x14ac:dyDescent="0.25">
      <c r="A411" s="214"/>
      <c r="B411" s="215" t="s">
        <v>1822</v>
      </c>
      <c r="C411" s="215" t="s">
        <v>1823</v>
      </c>
      <c r="D411" s="215" t="s">
        <v>1836</v>
      </c>
      <c r="E411" s="215" t="s">
        <v>2139</v>
      </c>
      <c r="F411" s="215" t="s">
        <v>1928</v>
      </c>
      <c r="G411" s="215" t="s">
        <v>58</v>
      </c>
      <c r="H411" s="216" t="s">
        <v>2232</v>
      </c>
      <c r="I411" s="217"/>
      <c r="J411" s="217"/>
      <c r="K411" s="217"/>
      <c r="L411" s="217"/>
      <c r="M411" s="217"/>
      <c r="N411" s="217"/>
      <c r="O411" s="217"/>
      <c r="P411" s="217"/>
      <c r="Q411" s="218"/>
    </row>
    <row r="412" spans="1:17" s="219" customFormat="1" ht="30" hidden="1" x14ac:dyDescent="0.25">
      <c r="A412" s="214"/>
      <c r="B412" s="215" t="s">
        <v>1822</v>
      </c>
      <c r="C412" s="215" t="s">
        <v>1823</v>
      </c>
      <c r="D412" s="215" t="s">
        <v>1836</v>
      </c>
      <c r="E412" s="215" t="s">
        <v>2139</v>
      </c>
      <c r="F412" s="215" t="s">
        <v>1928</v>
      </c>
      <c r="G412" s="215" t="s">
        <v>75</v>
      </c>
      <c r="H412" s="216" t="s">
        <v>2233</v>
      </c>
      <c r="I412" s="217"/>
      <c r="J412" s="217"/>
      <c r="K412" s="217"/>
      <c r="L412" s="217"/>
      <c r="M412" s="217"/>
      <c r="N412" s="217"/>
      <c r="O412" s="217"/>
      <c r="P412" s="217"/>
      <c r="Q412" s="218"/>
    </row>
    <row r="413" spans="1:17" s="219" customFormat="1" hidden="1" x14ac:dyDescent="0.25">
      <c r="A413" s="214"/>
      <c r="B413" s="215" t="s">
        <v>1822</v>
      </c>
      <c r="C413" s="215" t="s">
        <v>1823</v>
      </c>
      <c r="D413" s="215" t="s">
        <v>1836</v>
      </c>
      <c r="E413" s="215" t="s">
        <v>2139</v>
      </c>
      <c r="F413" s="215" t="s">
        <v>1928</v>
      </c>
      <c r="G413" s="215" t="s">
        <v>79</v>
      </c>
      <c r="H413" s="216" t="s">
        <v>2234</v>
      </c>
      <c r="I413" s="217"/>
      <c r="J413" s="217"/>
      <c r="K413" s="217"/>
      <c r="L413" s="217"/>
      <c r="M413" s="217"/>
      <c r="N413" s="217"/>
      <c r="O413" s="217"/>
      <c r="P413" s="217"/>
      <c r="Q413" s="218"/>
    </row>
    <row r="414" spans="1:17" s="219" customFormat="1" hidden="1" x14ac:dyDescent="0.25">
      <c r="A414" s="214"/>
      <c r="B414" s="215" t="s">
        <v>1822</v>
      </c>
      <c r="C414" s="215" t="s">
        <v>1823</v>
      </c>
      <c r="D414" s="215" t="s">
        <v>1836</v>
      </c>
      <c r="E414" s="215" t="s">
        <v>2139</v>
      </c>
      <c r="F414" s="215" t="s">
        <v>1928</v>
      </c>
      <c r="G414" s="215" t="s">
        <v>84</v>
      </c>
      <c r="H414" s="216" t="s">
        <v>2235</v>
      </c>
      <c r="I414" s="217"/>
      <c r="J414" s="217"/>
      <c r="K414" s="217"/>
      <c r="L414" s="217"/>
      <c r="M414" s="217"/>
      <c r="N414" s="217"/>
      <c r="O414" s="217"/>
      <c r="P414" s="217"/>
      <c r="Q414" s="218"/>
    </row>
    <row r="415" spans="1:17" s="219" customFormat="1" hidden="1" x14ac:dyDescent="0.25">
      <c r="A415" s="214"/>
      <c r="B415" s="215" t="s">
        <v>1822</v>
      </c>
      <c r="C415" s="215" t="s">
        <v>1823</v>
      </c>
      <c r="D415" s="215" t="s">
        <v>1836</v>
      </c>
      <c r="E415" s="215" t="s">
        <v>2139</v>
      </c>
      <c r="F415" s="215" t="s">
        <v>1928</v>
      </c>
      <c r="G415" s="215" t="s">
        <v>88</v>
      </c>
      <c r="H415" s="216" t="s">
        <v>2236</v>
      </c>
      <c r="I415" s="217"/>
      <c r="J415" s="217"/>
      <c r="K415" s="217"/>
      <c r="L415" s="217"/>
      <c r="M415" s="217"/>
      <c r="N415" s="217"/>
      <c r="O415" s="217"/>
      <c r="P415" s="217"/>
      <c r="Q415" s="218"/>
    </row>
    <row r="416" spans="1:17" s="219" customFormat="1" hidden="1" x14ac:dyDescent="0.25">
      <c r="A416" s="214"/>
      <c r="B416" s="215" t="s">
        <v>1822</v>
      </c>
      <c r="C416" s="215" t="s">
        <v>1823</v>
      </c>
      <c r="D416" s="215" t="s">
        <v>1836</v>
      </c>
      <c r="E416" s="215" t="s">
        <v>2139</v>
      </c>
      <c r="F416" s="215" t="s">
        <v>1928</v>
      </c>
      <c r="G416" s="215" t="s">
        <v>92</v>
      </c>
      <c r="H416" s="216" t="s">
        <v>2237</v>
      </c>
      <c r="I416" s="217"/>
      <c r="J416" s="217"/>
      <c r="K416" s="217"/>
      <c r="L416" s="217"/>
      <c r="M416" s="217"/>
      <c r="N416" s="217"/>
      <c r="O416" s="217"/>
      <c r="P416" s="217"/>
      <c r="Q416" s="218"/>
    </row>
    <row r="417" spans="1:17" s="219" customFormat="1" hidden="1" x14ac:dyDescent="0.25">
      <c r="A417" s="214"/>
      <c r="B417" s="215" t="s">
        <v>1822</v>
      </c>
      <c r="C417" s="215" t="s">
        <v>1823</v>
      </c>
      <c r="D417" s="215" t="s">
        <v>1836</v>
      </c>
      <c r="E417" s="215" t="s">
        <v>2139</v>
      </c>
      <c r="F417" s="215" t="s">
        <v>1928</v>
      </c>
      <c r="G417" s="215" t="s">
        <v>96</v>
      </c>
      <c r="H417" s="216" t="s">
        <v>2238</v>
      </c>
      <c r="I417" s="217"/>
      <c r="J417" s="217"/>
      <c r="K417" s="217"/>
      <c r="L417" s="217"/>
      <c r="M417" s="217"/>
      <c r="N417" s="217"/>
      <c r="O417" s="217"/>
      <c r="P417" s="217"/>
      <c r="Q417" s="218"/>
    </row>
    <row r="418" spans="1:17" s="219" customFormat="1" hidden="1" x14ac:dyDescent="0.25">
      <c r="A418" s="214"/>
      <c r="B418" s="215" t="s">
        <v>1822</v>
      </c>
      <c r="C418" s="215" t="s">
        <v>1823</v>
      </c>
      <c r="D418" s="215" t="s">
        <v>1836</v>
      </c>
      <c r="E418" s="215" t="s">
        <v>2139</v>
      </c>
      <c r="F418" s="215" t="s">
        <v>1928</v>
      </c>
      <c r="G418" s="215" t="s">
        <v>100</v>
      </c>
      <c r="H418" s="216" t="s">
        <v>2239</v>
      </c>
      <c r="I418" s="217"/>
      <c r="J418" s="217"/>
      <c r="K418" s="217"/>
      <c r="L418" s="217"/>
      <c r="M418" s="217"/>
      <c r="N418" s="217"/>
      <c r="O418" s="217"/>
      <c r="P418" s="217"/>
      <c r="Q418" s="218"/>
    </row>
    <row r="419" spans="1:17" s="219" customFormat="1" hidden="1" x14ac:dyDescent="0.25">
      <c r="A419" s="214"/>
      <c r="B419" s="215" t="s">
        <v>1822</v>
      </c>
      <c r="C419" s="215" t="s">
        <v>1823</v>
      </c>
      <c r="D419" s="215" t="s">
        <v>1836</v>
      </c>
      <c r="E419" s="215" t="s">
        <v>2139</v>
      </c>
      <c r="F419" s="215" t="s">
        <v>1928</v>
      </c>
      <c r="G419" s="215" t="s">
        <v>105</v>
      </c>
      <c r="H419" s="216" t="s">
        <v>2240</v>
      </c>
      <c r="I419" s="217"/>
      <c r="J419" s="217"/>
      <c r="K419" s="217"/>
      <c r="L419" s="217"/>
      <c r="M419" s="217"/>
      <c r="N419" s="217"/>
      <c r="O419" s="217"/>
      <c r="P419" s="217"/>
      <c r="Q419" s="218"/>
    </row>
    <row r="420" spans="1:17" s="219" customFormat="1" ht="30" hidden="1" x14ac:dyDescent="0.25">
      <c r="A420" s="214"/>
      <c r="B420" s="215" t="s">
        <v>1822</v>
      </c>
      <c r="C420" s="215" t="s">
        <v>1823</v>
      </c>
      <c r="D420" s="215" t="s">
        <v>1836</v>
      </c>
      <c r="E420" s="215" t="s">
        <v>2139</v>
      </c>
      <c r="F420" s="215" t="s">
        <v>1928</v>
      </c>
      <c r="G420" s="215" t="s">
        <v>108</v>
      </c>
      <c r="H420" s="216" t="s">
        <v>2241</v>
      </c>
      <c r="I420" s="217"/>
      <c r="J420" s="217"/>
      <c r="K420" s="217"/>
      <c r="L420" s="217"/>
      <c r="M420" s="217"/>
      <c r="N420" s="217"/>
      <c r="O420" s="217"/>
      <c r="P420" s="217"/>
      <c r="Q420" s="218"/>
    </row>
    <row r="421" spans="1:17" s="213" customFormat="1" ht="30" hidden="1" x14ac:dyDescent="0.25">
      <c r="A421" s="208" t="s">
        <v>263</v>
      </c>
      <c r="B421" s="209" t="s">
        <v>1822</v>
      </c>
      <c r="C421" s="209" t="s">
        <v>1823</v>
      </c>
      <c r="D421" s="209" t="s">
        <v>1836</v>
      </c>
      <c r="E421" s="209" t="s">
        <v>2139</v>
      </c>
      <c r="F421" s="209" t="s">
        <v>1934</v>
      </c>
      <c r="G421" s="209"/>
      <c r="H421" s="210" t="s">
        <v>2242</v>
      </c>
      <c r="I421" s="211">
        <f>SUM(I422:I427)</f>
        <v>0</v>
      </c>
      <c r="J421" s="211">
        <f t="shared" ref="J421:P421" si="40">SUM(J422:J427)</f>
        <v>0</v>
      </c>
      <c r="K421" s="211">
        <f t="shared" si="40"/>
        <v>0</v>
      </c>
      <c r="L421" s="211">
        <f t="shared" si="40"/>
        <v>0</v>
      </c>
      <c r="M421" s="211">
        <f t="shared" si="40"/>
        <v>0</v>
      </c>
      <c r="N421" s="211">
        <f t="shared" si="40"/>
        <v>0</v>
      </c>
      <c r="O421" s="211">
        <f t="shared" si="40"/>
        <v>0</v>
      </c>
      <c r="P421" s="211">
        <f t="shared" si="40"/>
        <v>0</v>
      </c>
      <c r="Q421" s="212"/>
    </row>
    <row r="422" spans="1:17" s="219" customFormat="1" hidden="1" x14ac:dyDescent="0.25">
      <c r="A422" s="214"/>
      <c r="B422" s="215" t="s">
        <v>1822</v>
      </c>
      <c r="C422" s="215" t="s">
        <v>1823</v>
      </c>
      <c r="D422" s="215" t="s">
        <v>1836</v>
      </c>
      <c r="E422" s="215" t="s">
        <v>2139</v>
      </c>
      <c r="F422" s="215" t="s">
        <v>1934</v>
      </c>
      <c r="G422" s="215" t="s">
        <v>58</v>
      </c>
      <c r="H422" s="216" t="s">
        <v>2243</v>
      </c>
      <c r="I422" s="217"/>
      <c r="J422" s="217"/>
      <c r="K422" s="217"/>
      <c r="L422" s="217"/>
      <c r="M422" s="217"/>
      <c r="N422" s="217"/>
      <c r="O422" s="217"/>
      <c r="P422" s="217"/>
      <c r="Q422" s="218"/>
    </row>
    <row r="423" spans="1:17" s="219" customFormat="1" hidden="1" x14ac:dyDescent="0.25">
      <c r="A423" s="214"/>
      <c r="B423" s="215" t="s">
        <v>1822</v>
      </c>
      <c r="C423" s="215" t="s">
        <v>1823</v>
      </c>
      <c r="D423" s="215" t="s">
        <v>1836</v>
      </c>
      <c r="E423" s="215" t="s">
        <v>2139</v>
      </c>
      <c r="F423" s="215" t="s">
        <v>1934</v>
      </c>
      <c r="G423" s="215" t="s">
        <v>75</v>
      </c>
      <c r="H423" s="216" t="s">
        <v>2244</v>
      </c>
      <c r="I423" s="217"/>
      <c r="J423" s="217"/>
      <c r="K423" s="217"/>
      <c r="L423" s="217"/>
      <c r="M423" s="217"/>
      <c r="N423" s="217"/>
      <c r="O423" s="217"/>
      <c r="P423" s="217"/>
      <c r="Q423" s="218"/>
    </row>
    <row r="424" spans="1:17" s="219" customFormat="1" hidden="1" x14ac:dyDescent="0.25">
      <c r="A424" s="214"/>
      <c r="B424" s="215" t="s">
        <v>1822</v>
      </c>
      <c r="C424" s="215" t="s">
        <v>1823</v>
      </c>
      <c r="D424" s="215" t="s">
        <v>1836</v>
      </c>
      <c r="E424" s="215" t="s">
        <v>2139</v>
      </c>
      <c r="F424" s="215" t="s">
        <v>1934</v>
      </c>
      <c r="G424" s="215" t="s">
        <v>79</v>
      </c>
      <c r="H424" s="216" t="s">
        <v>2245</v>
      </c>
      <c r="I424" s="217"/>
      <c r="J424" s="217"/>
      <c r="K424" s="217"/>
      <c r="L424" s="217"/>
      <c r="M424" s="217"/>
      <c r="N424" s="217"/>
      <c r="O424" s="217"/>
      <c r="P424" s="217"/>
      <c r="Q424" s="218"/>
    </row>
    <row r="425" spans="1:17" s="219" customFormat="1" hidden="1" x14ac:dyDescent="0.25">
      <c r="A425" s="214"/>
      <c r="B425" s="215" t="s">
        <v>1822</v>
      </c>
      <c r="C425" s="215" t="s">
        <v>1823</v>
      </c>
      <c r="D425" s="215" t="s">
        <v>1836</v>
      </c>
      <c r="E425" s="215" t="s">
        <v>2139</v>
      </c>
      <c r="F425" s="215" t="s">
        <v>1934</v>
      </c>
      <c r="G425" s="215" t="s">
        <v>84</v>
      </c>
      <c r="H425" s="216" t="s">
        <v>2246</v>
      </c>
      <c r="I425" s="217"/>
      <c r="J425" s="217"/>
      <c r="K425" s="217"/>
      <c r="L425" s="217"/>
      <c r="M425" s="217"/>
      <c r="N425" s="217"/>
      <c r="O425" s="217"/>
      <c r="P425" s="217"/>
      <c r="Q425" s="218"/>
    </row>
    <row r="426" spans="1:17" s="219" customFormat="1" hidden="1" x14ac:dyDescent="0.25">
      <c r="A426" s="214"/>
      <c r="B426" s="215" t="s">
        <v>1822</v>
      </c>
      <c r="C426" s="215" t="s">
        <v>1823</v>
      </c>
      <c r="D426" s="215" t="s">
        <v>1836</v>
      </c>
      <c r="E426" s="215" t="s">
        <v>2139</v>
      </c>
      <c r="F426" s="215" t="s">
        <v>1934</v>
      </c>
      <c r="G426" s="215" t="s">
        <v>88</v>
      </c>
      <c r="H426" s="216" t="s">
        <v>2247</v>
      </c>
      <c r="I426" s="217"/>
      <c r="J426" s="217"/>
      <c r="K426" s="217"/>
      <c r="L426" s="217"/>
      <c r="M426" s="217"/>
      <c r="N426" s="217"/>
      <c r="O426" s="217"/>
      <c r="P426" s="217"/>
      <c r="Q426" s="218"/>
    </row>
    <row r="427" spans="1:17" s="219" customFormat="1" ht="30" hidden="1" x14ac:dyDescent="0.25">
      <c r="A427" s="214"/>
      <c r="B427" s="215" t="s">
        <v>1822</v>
      </c>
      <c r="C427" s="215" t="s">
        <v>1823</v>
      </c>
      <c r="D427" s="215" t="s">
        <v>1836</v>
      </c>
      <c r="E427" s="215" t="s">
        <v>2139</v>
      </c>
      <c r="F427" s="215" t="s">
        <v>1934</v>
      </c>
      <c r="G427" s="215" t="s">
        <v>92</v>
      </c>
      <c r="H427" s="216" t="s">
        <v>2248</v>
      </c>
      <c r="I427" s="217"/>
      <c r="J427" s="217"/>
      <c r="K427" s="217"/>
      <c r="L427" s="217"/>
      <c r="M427" s="217"/>
      <c r="N427" s="217"/>
      <c r="O427" s="217"/>
      <c r="P427" s="217"/>
      <c r="Q427" s="218"/>
    </row>
    <row r="428" spans="1:17" s="213" customFormat="1" ht="45" hidden="1" x14ac:dyDescent="0.25">
      <c r="A428" s="208" t="s">
        <v>263</v>
      </c>
      <c r="B428" s="209" t="s">
        <v>1822</v>
      </c>
      <c r="C428" s="209" t="s">
        <v>1823</v>
      </c>
      <c r="D428" s="209" t="s">
        <v>1836</v>
      </c>
      <c r="E428" s="209" t="s">
        <v>2139</v>
      </c>
      <c r="F428" s="209" t="s">
        <v>2022</v>
      </c>
      <c r="G428" s="209"/>
      <c r="H428" s="210" t="s">
        <v>2249</v>
      </c>
      <c r="I428" s="211">
        <f>SUM(I429:I432)</f>
        <v>0</v>
      </c>
      <c r="J428" s="211">
        <f t="shared" ref="J428:P428" si="41">SUM(J429:J432)</f>
        <v>0</v>
      </c>
      <c r="K428" s="211">
        <f t="shared" si="41"/>
        <v>0</v>
      </c>
      <c r="L428" s="211">
        <f t="shared" si="41"/>
        <v>0</v>
      </c>
      <c r="M428" s="211">
        <f t="shared" si="41"/>
        <v>0</v>
      </c>
      <c r="N428" s="211">
        <f t="shared" si="41"/>
        <v>0</v>
      </c>
      <c r="O428" s="211">
        <f t="shared" si="41"/>
        <v>0</v>
      </c>
      <c r="P428" s="211">
        <f t="shared" si="41"/>
        <v>0</v>
      </c>
      <c r="Q428" s="212"/>
    </row>
    <row r="429" spans="1:17" s="219" customFormat="1" hidden="1" x14ac:dyDescent="0.25">
      <c r="A429" s="214"/>
      <c r="B429" s="215" t="s">
        <v>1822</v>
      </c>
      <c r="C429" s="215" t="s">
        <v>1823</v>
      </c>
      <c r="D429" s="215" t="s">
        <v>1836</v>
      </c>
      <c r="E429" s="215" t="s">
        <v>2139</v>
      </c>
      <c r="F429" s="215" t="s">
        <v>2022</v>
      </c>
      <c r="G429" s="215" t="s">
        <v>58</v>
      </c>
      <c r="H429" s="216" t="s">
        <v>2250</v>
      </c>
      <c r="I429" s="217"/>
      <c r="J429" s="217"/>
      <c r="K429" s="217"/>
      <c r="L429" s="217"/>
      <c r="M429" s="217"/>
      <c r="N429" s="217"/>
      <c r="O429" s="217"/>
      <c r="P429" s="217"/>
      <c r="Q429" s="218"/>
    </row>
    <row r="430" spans="1:17" s="219" customFormat="1" hidden="1" x14ac:dyDescent="0.25">
      <c r="A430" s="214"/>
      <c r="B430" s="215" t="s">
        <v>1822</v>
      </c>
      <c r="C430" s="215" t="s">
        <v>1823</v>
      </c>
      <c r="D430" s="215" t="s">
        <v>1836</v>
      </c>
      <c r="E430" s="215" t="s">
        <v>2139</v>
      </c>
      <c r="F430" s="215" t="s">
        <v>2022</v>
      </c>
      <c r="G430" s="215" t="s">
        <v>75</v>
      </c>
      <c r="H430" s="216" t="s">
        <v>2251</v>
      </c>
      <c r="I430" s="217"/>
      <c r="J430" s="217"/>
      <c r="K430" s="217"/>
      <c r="L430" s="217"/>
      <c r="M430" s="217"/>
      <c r="N430" s="217"/>
      <c r="O430" s="217"/>
      <c r="P430" s="217"/>
      <c r="Q430" s="218"/>
    </row>
    <row r="431" spans="1:17" s="219" customFormat="1" hidden="1" x14ac:dyDescent="0.25">
      <c r="A431" s="214"/>
      <c r="B431" s="215" t="s">
        <v>1822</v>
      </c>
      <c r="C431" s="215" t="s">
        <v>1823</v>
      </c>
      <c r="D431" s="215" t="s">
        <v>1836</v>
      </c>
      <c r="E431" s="215" t="s">
        <v>2139</v>
      </c>
      <c r="F431" s="215" t="s">
        <v>2022</v>
      </c>
      <c r="G431" s="215" t="s">
        <v>79</v>
      </c>
      <c r="H431" s="216" t="s">
        <v>2252</v>
      </c>
      <c r="I431" s="217"/>
      <c r="J431" s="217"/>
      <c r="K431" s="217"/>
      <c r="L431" s="217"/>
      <c r="M431" s="217"/>
      <c r="N431" s="217"/>
      <c r="O431" s="217"/>
      <c r="P431" s="217"/>
      <c r="Q431" s="218"/>
    </row>
    <row r="432" spans="1:17" s="219" customFormat="1" ht="45" hidden="1" x14ac:dyDescent="0.25">
      <c r="A432" s="214"/>
      <c r="B432" s="215" t="s">
        <v>1822</v>
      </c>
      <c r="C432" s="215" t="s">
        <v>1823</v>
      </c>
      <c r="D432" s="215" t="s">
        <v>1836</v>
      </c>
      <c r="E432" s="215" t="s">
        <v>2139</v>
      </c>
      <c r="F432" s="215" t="s">
        <v>2022</v>
      </c>
      <c r="G432" s="215" t="s">
        <v>84</v>
      </c>
      <c r="H432" s="216" t="s">
        <v>2249</v>
      </c>
      <c r="I432" s="217"/>
      <c r="J432" s="217"/>
      <c r="K432" s="217"/>
      <c r="L432" s="217"/>
      <c r="M432" s="217"/>
      <c r="N432" s="217"/>
      <c r="O432" s="217"/>
      <c r="P432" s="217"/>
      <c r="Q432" s="218"/>
    </row>
    <row r="433" spans="1:17" s="213" customFormat="1" ht="30" hidden="1" x14ac:dyDescent="0.25">
      <c r="A433" s="208" t="s">
        <v>263</v>
      </c>
      <c r="B433" s="209" t="s">
        <v>1822</v>
      </c>
      <c r="C433" s="209" t="s">
        <v>1823</v>
      </c>
      <c r="D433" s="209" t="s">
        <v>1836</v>
      </c>
      <c r="E433" s="209" t="s">
        <v>2139</v>
      </c>
      <c r="F433" s="209" t="s">
        <v>2100</v>
      </c>
      <c r="G433" s="209"/>
      <c r="H433" s="210" t="s">
        <v>2253</v>
      </c>
      <c r="I433" s="211">
        <f>SUM(I434:I439)</f>
        <v>0</v>
      </c>
      <c r="J433" s="211">
        <f t="shared" ref="J433:P433" si="42">SUM(J434:J439)</f>
        <v>0</v>
      </c>
      <c r="K433" s="211">
        <f t="shared" si="42"/>
        <v>0</v>
      </c>
      <c r="L433" s="211">
        <f t="shared" si="42"/>
        <v>0</v>
      </c>
      <c r="M433" s="211">
        <f t="shared" si="42"/>
        <v>0</v>
      </c>
      <c r="N433" s="211">
        <f t="shared" si="42"/>
        <v>0</v>
      </c>
      <c r="O433" s="211">
        <f t="shared" si="42"/>
        <v>0</v>
      </c>
      <c r="P433" s="211">
        <f t="shared" si="42"/>
        <v>0</v>
      </c>
      <c r="Q433" s="212"/>
    </row>
    <row r="434" spans="1:17" s="219" customFormat="1" ht="30" hidden="1" x14ac:dyDescent="0.25">
      <c r="A434" s="214"/>
      <c r="B434" s="215" t="s">
        <v>1822</v>
      </c>
      <c r="C434" s="215" t="s">
        <v>1823</v>
      </c>
      <c r="D434" s="215" t="s">
        <v>1836</v>
      </c>
      <c r="E434" s="215" t="s">
        <v>2139</v>
      </c>
      <c r="F434" s="215" t="s">
        <v>2100</v>
      </c>
      <c r="G434" s="215" t="s">
        <v>58</v>
      </c>
      <c r="H434" s="216" t="s">
        <v>2254</v>
      </c>
      <c r="I434" s="217"/>
      <c r="J434" s="217"/>
      <c r="K434" s="217"/>
      <c r="L434" s="217"/>
      <c r="M434" s="217"/>
      <c r="N434" s="217"/>
      <c r="O434" s="217"/>
      <c r="P434" s="217"/>
      <c r="Q434" s="218"/>
    </row>
    <row r="435" spans="1:17" s="219" customFormat="1" hidden="1" x14ac:dyDescent="0.25">
      <c r="A435" s="214"/>
      <c r="B435" s="215" t="s">
        <v>1822</v>
      </c>
      <c r="C435" s="215" t="s">
        <v>1823</v>
      </c>
      <c r="D435" s="215" t="s">
        <v>1836</v>
      </c>
      <c r="E435" s="215" t="s">
        <v>2139</v>
      </c>
      <c r="F435" s="215" t="s">
        <v>2100</v>
      </c>
      <c r="G435" s="215" t="s">
        <v>75</v>
      </c>
      <c r="H435" s="216" t="s">
        <v>2255</v>
      </c>
      <c r="I435" s="217"/>
      <c r="J435" s="217"/>
      <c r="K435" s="217"/>
      <c r="L435" s="217"/>
      <c r="M435" s="217"/>
      <c r="N435" s="217"/>
      <c r="O435" s="217"/>
      <c r="P435" s="217"/>
      <c r="Q435" s="218"/>
    </row>
    <row r="436" spans="1:17" s="219" customFormat="1" ht="30" hidden="1" x14ac:dyDescent="0.25">
      <c r="A436" s="214"/>
      <c r="B436" s="215" t="s">
        <v>1822</v>
      </c>
      <c r="C436" s="215" t="s">
        <v>1823</v>
      </c>
      <c r="D436" s="215" t="s">
        <v>1836</v>
      </c>
      <c r="E436" s="215" t="s">
        <v>2139</v>
      </c>
      <c r="F436" s="215" t="s">
        <v>2100</v>
      </c>
      <c r="G436" s="215" t="s">
        <v>79</v>
      </c>
      <c r="H436" s="216" t="s">
        <v>2256</v>
      </c>
      <c r="I436" s="217"/>
      <c r="J436" s="217"/>
      <c r="K436" s="217"/>
      <c r="L436" s="217"/>
      <c r="M436" s="217"/>
      <c r="N436" s="217"/>
      <c r="O436" s="217"/>
      <c r="P436" s="217"/>
      <c r="Q436" s="218"/>
    </row>
    <row r="437" spans="1:17" s="219" customFormat="1" hidden="1" x14ac:dyDescent="0.25">
      <c r="A437" s="214"/>
      <c r="B437" s="215" t="s">
        <v>1822</v>
      </c>
      <c r="C437" s="215" t="s">
        <v>1823</v>
      </c>
      <c r="D437" s="215" t="s">
        <v>1836</v>
      </c>
      <c r="E437" s="215" t="s">
        <v>2139</v>
      </c>
      <c r="F437" s="215" t="s">
        <v>2100</v>
      </c>
      <c r="G437" s="215" t="s">
        <v>84</v>
      </c>
      <c r="H437" s="216" t="s">
        <v>2257</v>
      </c>
      <c r="I437" s="217"/>
      <c r="J437" s="217"/>
      <c r="K437" s="217"/>
      <c r="L437" s="217"/>
      <c r="M437" s="217"/>
      <c r="N437" s="217"/>
      <c r="O437" s="217"/>
      <c r="P437" s="217"/>
      <c r="Q437" s="218"/>
    </row>
    <row r="438" spans="1:17" s="219" customFormat="1" hidden="1" x14ac:dyDescent="0.25">
      <c r="A438" s="214"/>
      <c r="B438" s="215" t="s">
        <v>1822</v>
      </c>
      <c r="C438" s="215" t="s">
        <v>1823</v>
      </c>
      <c r="D438" s="215" t="s">
        <v>1836</v>
      </c>
      <c r="E438" s="215" t="s">
        <v>2139</v>
      </c>
      <c r="F438" s="215" t="s">
        <v>2100</v>
      </c>
      <c r="G438" s="215" t="s">
        <v>88</v>
      </c>
      <c r="H438" s="216" t="s">
        <v>2258</v>
      </c>
      <c r="I438" s="217"/>
      <c r="J438" s="217"/>
      <c r="K438" s="217"/>
      <c r="L438" s="217"/>
      <c r="M438" s="217"/>
      <c r="N438" s="217"/>
      <c r="O438" s="217"/>
      <c r="P438" s="217"/>
      <c r="Q438" s="218"/>
    </row>
    <row r="439" spans="1:17" s="219" customFormat="1" ht="30" hidden="1" x14ac:dyDescent="0.25">
      <c r="A439" s="214"/>
      <c r="B439" s="215" t="s">
        <v>1822</v>
      </c>
      <c r="C439" s="215" t="s">
        <v>1823</v>
      </c>
      <c r="D439" s="215" t="s">
        <v>1836</v>
      </c>
      <c r="E439" s="215" t="s">
        <v>2139</v>
      </c>
      <c r="F439" s="215" t="s">
        <v>2100</v>
      </c>
      <c r="G439" s="215" t="s">
        <v>92</v>
      </c>
      <c r="H439" s="216" t="s">
        <v>2259</v>
      </c>
      <c r="I439" s="217"/>
      <c r="J439" s="217"/>
      <c r="K439" s="217"/>
      <c r="L439" s="217"/>
      <c r="M439" s="217"/>
      <c r="N439" s="217"/>
      <c r="O439" s="217"/>
      <c r="P439" s="217"/>
      <c r="Q439" s="218"/>
    </row>
    <row r="440" spans="1:17" s="213" customFormat="1" ht="30" hidden="1" x14ac:dyDescent="0.25">
      <c r="A440" s="208" t="s">
        <v>263</v>
      </c>
      <c r="B440" s="209" t="s">
        <v>1822</v>
      </c>
      <c r="C440" s="209" t="s">
        <v>1823</v>
      </c>
      <c r="D440" s="209" t="s">
        <v>1836</v>
      </c>
      <c r="E440" s="209" t="s">
        <v>2139</v>
      </c>
      <c r="F440" s="209" t="s">
        <v>2139</v>
      </c>
      <c r="G440" s="209"/>
      <c r="H440" s="210" t="s">
        <v>2260</v>
      </c>
      <c r="I440" s="211">
        <f>SUM(I441:I456)</f>
        <v>0</v>
      </c>
      <c r="J440" s="211">
        <f t="shared" ref="J440:P440" si="43">SUM(J441:J456)</f>
        <v>0</v>
      </c>
      <c r="K440" s="211">
        <f t="shared" si="43"/>
        <v>0</v>
      </c>
      <c r="L440" s="211">
        <f t="shared" si="43"/>
        <v>0</v>
      </c>
      <c r="M440" s="211">
        <f t="shared" si="43"/>
        <v>0</v>
      </c>
      <c r="N440" s="211">
        <f t="shared" si="43"/>
        <v>0</v>
      </c>
      <c r="O440" s="211">
        <f t="shared" si="43"/>
        <v>0</v>
      </c>
      <c r="P440" s="211">
        <f t="shared" si="43"/>
        <v>0</v>
      </c>
      <c r="Q440" s="212"/>
    </row>
    <row r="441" spans="1:17" s="219" customFormat="1" hidden="1" x14ac:dyDescent="0.25">
      <c r="A441" s="214"/>
      <c r="B441" s="215" t="s">
        <v>1822</v>
      </c>
      <c r="C441" s="215" t="s">
        <v>1823</v>
      </c>
      <c r="D441" s="215" t="s">
        <v>1836</v>
      </c>
      <c r="E441" s="215" t="s">
        <v>2139</v>
      </c>
      <c r="F441" s="215" t="s">
        <v>2139</v>
      </c>
      <c r="G441" s="215" t="s">
        <v>58</v>
      </c>
      <c r="H441" s="216" t="s">
        <v>2261</v>
      </c>
      <c r="I441" s="217"/>
      <c r="J441" s="217"/>
      <c r="K441" s="217"/>
      <c r="L441" s="217"/>
      <c r="M441" s="217"/>
      <c r="N441" s="217"/>
      <c r="O441" s="217"/>
      <c r="P441" s="217"/>
      <c r="Q441" s="218"/>
    </row>
    <row r="442" spans="1:17" s="219" customFormat="1" hidden="1" x14ac:dyDescent="0.25">
      <c r="A442" s="214"/>
      <c r="B442" s="215" t="s">
        <v>1822</v>
      </c>
      <c r="C442" s="215" t="s">
        <v>1823</v>
      </c>
      <c r="D442" s="215" t="s">
        <v>1836</v>
      </c>
      <c r="E442" s="215" t="s">
        <v>2139</v>
      </c>
      <c r="F442" s="215" t="s">
        <v>2139</v>
      </c>
      <c r="G442" s="215" t="s">
        <v>75</v>
      </c>
      <c r="H442" s="216" t="s">
        <v>2262</v>
      </c>
      <c r="I442" s="217"/>
      <c r="J442" s="217"/>
      <c r="K442" s="217"/>
      <c r="L442" s="217"/>
      <c r="M442" s="217"/>
      <c r="N442" s="217"/>
      <c r="O442" s="217"/>
      <c r="P442" s="217"/>
      <c r="Q442" s="218"/>
    </row>
    <row r="443" spans="1:17" s="219" customFormat="1" ht="30" hidden="1" x14ac:dyDescent="0.25">
      <c r="A443" s="214"/>
      <c r="B443" s="215" t="s">
        <v>1822</v>
      </c>
      <c r="C443" s="215" t="s">
        <v>1823</v>
      </c>
      <c r="D443" s="215" t="s">
        <v>1836</v>
      </c>
      <c r="E443" s="215" t="s">
        <v>2139</v>
      </c>
      <c r="F443" s="215" t="s">
        <v>2139</v>
      </c>
      <c r="G443" s="215" t="s">
        <v>79</v>
      </c>
      <c r="H443" s="216" t="s">
        <v>2263</v>
      </c>
      <c r="I443" s="217"/>
      <c r="J443" s="217"/>
      <c r="K443" s="217"/>
      <c r="L443" s="217"/>
      <c r="M443" s="217"/>
      <c r="N443" s="217"/>
      <c r="O443" s="217"/>
      <c r="P443" s="217"/>
      <c r="Q443" s="218"/>
    </row>
    <row r="444" spans="1:17" s="219" customFormat="1" hidden="1" x14ac:dyDescent="0.25">
      <c r="A444" s="214"/>
      <c r="B444" s="215" t="s">
        <v>1822</v>
      </c>
      <c r="C444" s="215" t="s">
        <v>1823</v>
      </c>
      <c r="D444" s="215" t="s">
        <v>1836</v>
      </c>
      <c r="E444" s="215" t="s">
        <v>2139</v>
      </c>
      <c r="F444" s="215" t="s">
        <v>2139</v>
      </c>
      <c r="G444" s="215" t="s">
        <v>84</v>
      </c>
      <c r="H444" s="216" t="s">
        <v>2264</v>
      </c>
      <c r="I444" s="217"/>
      <c r="J444" s="217"/>
      <c r="K444" s="217"/>
      <c r="L444" s="217"/>
      <c r="M444" s="217"/>
      <c r="N444" s="217"/>
      <c r="O444" s="217"/>
      <c r="P444" s="217"/>
      <c r="Q444" s="218"/>
    </row>
    <row r="445" spans="1:17" s="219" customFormat="1" hidden="1" x14ac:dyDescent="0.25">
      <c r="A445" s="214"/>
      <c r="B445" s="215" t="s">
        <v>1822</v>
      </c>
      <c r="C445" s="215" t="s">
        <v>1823</v>
      </c>
      <c r="D445" s="215" t="s">
        <v>1836</v>
      </c>
      <c r="E445" s="215" t="s">
        <v>2139</v>
      </c>
      <c r="F445" s="215" t="s">
        <v>2139</v>
      </c>
      <c r="G445" s="215" t="s">
        <v>88</v>
      </c>
      <c r="H445" s="216" t="s">
        <v>2265</v>
      </c>
      <c r="I445" s="217"/>
      <c r="J445" s="217"/>
      <c r="K445" s="217"/>
      <c r="L445" s="217"/>
      <c r="M445" s="217"/>
      <c r="N445" s="217"/>
      <c r="O445" s="217"/>
      <c r="P445" s="217"/>
      <c r="Q445" s="218"/>
    </row>
    <row r="446" spans="1:17" s="219" customFormat="1" hidden="1" x14ac:dyDescent="0.25">
      <c r="A446" s="214"/>
      <c r="B446" s="215" t="s">
        <v>1822</v>
      </c>
      <c r="C446" s="215" t="s">
        <v>1823</v>
      </c>
      <c r="D446" s="215" t="s">
        <v>1836</v>
      </c>
      <c r="E446" s="215" t="s">
        <v>2139</v>
      </c>
      <c r="F446" s="215" t="s">
        <v>2139</v>
      </c>
      <c r="G446" s="215" t="s">
        <v>92</v>
      </c>
      <c r="H446" s="216" t="s">
        <v>2266</v>
      </c>
      <c r="I446" s="217"/>
      <c r="J446" s="217"/>
      <c r="K446" s="217"/>
      <c r="L446" s="217"/>
      <c r="M446" s="217"/>
      <c r="N446" s="217"/>
      <c r="O446" s="217"/>
      <c r="P446" s="217"/>
      <c r="Q446" s="218"/>
    </row>
    <row r="447" spans="1:17" s="219" customFormat="1" hidden="1" x14ac:dyDescent="0.25">
      <c r="A447" s="214"/>
      <c r="B447" s="215" t="s">
        <v>1822</v>
      </c>
      <c r="C447" s="215" t="s">
        <v>1823</v>
      </c>
      <c r="D447" s="215" t="s">
        <v>1836</v>
      </c>
      <c r="E447" s="215" t="s">
        <v>2139</v>
      </c>
      <c r="F447" s="215" t="s">
        <v>2139</v>
      </c>
      <c r="G447" s="215" t="s">
        <v>96</v>
      </c>
      <c r="H447" s="216" t="s">
        <v>2267</v>
      </c>
      <c r="I447" s="217"/>
      <c r="J447" s="217"/>
      <c r="K447" s="217"/>
      <c r="L447" s="217"/>
      <c r="M447" s="217"/>
      <c r="N447" s="217"/>
      <c r="O447" s="217"/>
      <c r="P447" s="217"/>
      <c r="Q447" s="218"/>
    </row>
    <row r="448" spans="1:17" s="219" customFormat="1" hidden="1" x14ac:dyDescent="0.25">
      <c r="A448" s="214"/>
      <c r="B448" s="215" t="s">
        <v>1822</v>
      </c>
      <c r="C448" s="215" t="s">
        <v>1823</v>
      </c>
      <c r="D448" s="215" t="s">
        <v>1836</v>
      </c>
      <c r="E448" s="215" t="s">
        <v>2139</v>
      </c>
      <c r="F448" s="215" t="s">
        <v>2139</v>
      </c>
      <c r="G448" s="215" t="s">
        <v>100</v>
      </c>
      <c r="H448" s="216" t="s">
        <v>2268</v>
      </c>
      <c r="I448" s="217"/>
      <c r="J448" s="217"/>
      <c r="K448" s="217"/>
      <c r="L448" s="217"/>
      <c r="M448" s="217"/>
      <c r="N448" s="217"/>
      <c r="O448" s="217"/>
      <c r="P448" s="217"/>
      <c r="Q448" s="218"/>
    </row>
    <row r="449" spans="1:17" s="219" customFormat="1" hidden="1" x14ac:dyDescent="0.25">
      <c r="A449" s="214"/>
      <c r="B449" s="215" t="s">
        <v>1822</v>
      </c>
      <c r="C449" s="215" t="s">
        <v>1823</v>
      </c>
      <c r="D449" s="215" t="s">
        <v>1836</v>
      </c>
      <c r="E449" s="215" t="s">
        <v>2139</v>
      </c>
      <c r="F449" s="215" t="s">
        <v>2139</v>
      </c>
      <c r="G449" s="215" t="s">
        <v>105</v>
      </c>
      <c r="H449" s="216" t="s">
        <v>2269</v>
      </c>
      <c r="I449" s="217"/>
      <c r="J449" s="217"/>
      <c r="K449" s="217"/>
      <c r="L449" s="217"/>
      <c r="M449" s="217"/>
      <c r="N449" s="217"/>
      <c r="O449" s="217"/>
      <c r="P449" s="217"/>
      <c r="Q449" s="218"/>
    </row>
    <row r="450" spans="1:17" s="219" customFormat="1" ht="30" hidden="1" x14ac:dyDescent="0.25">
      <c r="A450" s="214"/>
      <c r="B450" s="215" t="s">
        <v>1822</v>
      </c>
      <c r="C450" s="215" t="s">
        <v>1823</v>
      </c>
      <c r="D450" s="215" t="s">
        <v>1836</v>
      </c>
      <c r="E450" s="215" t="s">
        <v>2139</v>
      </c>
      <c r="F450" s="215" t="s">
        <v>2139</v>
      </c>
      <c r="G450" s="215" t="s">
        <v>108</v>
      </c>
      <c r="H450" s="216" t="s">
        <v>2270</v>
      </c>
      <c r="I450" s="217"/>
      <c r="J450" s="217"/>
      <c r="K450" s="217"/>
      <c r="L450" s="217"/>
      <c r="M450" s="217"/>
      <c r="N450" s="217"/>
      <c r="O450" s="217"/>
      <c r="P450" s="217"/>
      <c r="Q450" s="218"/>
    </row>
    <row r="451" spans="1:17" s="219" customFormat="1" hidden="1" x14ac:dyDescent="0.25">
      <c r="A451" s="214"/>
      <c r="B451" s="215" t="s">
        <v>1822</v>
      </c>
      <c r="C451" s="215" t="s">
        <v>1823</v>
      </c>
      <c r="D451" s="215" t="s">
        <v>1836</v>
      </c>
      <c r="E451" s="215" t="s">
        <v>2139</v>
      </c>
      <c r="F451" s="215" t="s">
        <v>2139</v>
      </c>
      <c r="G451" s="215" t="s">
        <v>135</v>
      </c>
      <c r="H451" s="216" t="s">
        <v>2271</v>
      </c>
      <c r="I451" s="217"/>
      <c r="J451" s="217"/>
      <c r="K451" s="217"/>
      <c r="L451" s="217"/>
      <c r="M451" s="217"/>
      <c r="N451" s="217"/>
      <c r="O451" s="217"/>
      <c r="P451" s="217"/>
      <c r="Q451" s="218"/>
    </row>
    <row r="452" spans="1:17" s="219" customFormat="1" ht="30" hidden="1" x14ac:dyDescent="0.25">
      <c r="A452" s="214"/>
      <c r="B452" s="215" t="s">
        <v>1822</v>
      </c>
      <c r="C452" s="215" t="s">
        <v>1823</v>
      </c>
      <c r="D452" s="215" t="s">
        <v>1836</v>
      </c>
      <c r="E452" s="215" t="s">
        <v>2139</v>
      </c>
      <c r="F452" s="215" t="s">
        <v>2139</v>
      </c>
      <c r="G452" s="215" t="s">
        <v>138</v>
      </c>
      <c r="H452" s="216" t="s">
        <v>2272</v>
      </c>
      <c r="I452" s="217"/>
      <c r="J452" s="217"/>
      <c r="K452" s="217"/>
      <c r="L452" s="217"/>
      <c r="M452" s="217"/>
      <c r="N452" s="217"/>
      <c r="O452" s="217"/>
      <c r="P452" s="217"/>
      <c r="Q452" s="218"/>
    </row>
    <row r="453" spans="1:17" s="219" customFormat="1" hidden="1" x14ac:dyDescent="0.25">
      <c r="A453" s="214"/>
      <c r="B453" s="215" t="s">
        <v>1822</v>
      </c>
      <c r="C453" s="215" t="s">
        <v>1823</v>
      </c>
      <c r="D453" s="215" t="s">
        <v>1836</v>
      </c>
      <c r="E453" s="215" t="s">
        <v>2139</v>
      </c>
      <c r="F453" s="215" t="s">
        <v>2139</v>
      </c>
      <c r="G453" s="215" t="s">
        <v>140</v>
      </c>
      <c r="H453" s="216" t="s">
        <v>2273</v>
      </c>
      <c r="I453" s="217"/>
      <c r="J453" s="217"/>
      <c r="K453" s="217"/>
      <c r="L453" s="217"/>
      <c r="M453" s="217"/>
      <c r="N453" s="217"/>
      <c r="O453" s="217"/>
      <c r="P453" s="217"/>
      <c r="Q453" s="218"/>
    </row>
    <row r="454" spans="1:17" s="219" customFormat="1" hidden="1" x14ac:dyDescent="0.25">
      <c r="A454" s="214"/>
      <c r="B454" s="215" t="s">
        <v>1822</v>
      </c>
      <c r="C454" s="215" t="s">
        <v>1823</v>
      </c>
      <c r="D454" s="215" t="s">
        <v>1836</v>
      </c>
      <c r="E454" s="215" t="s">
        <v>2139</v>
      </c>
      <c r="F454" s="215" t="s">
        <v>2139</v>
      </c>
      <c r="G454" s="215" t="s">
        <v>143</v>
      </c>
      <c r="H454" s="216" t="s">
        <v>2274</v>
      </c>
      <c r="I454" s="217"/>
      <c r="J454" s="217"/>
      <c r="K454" s="217"/>
      <c r="L454" s="217"/>
      <c r="M454" s="217"/>
      <c r="N454" s="217"/>
      <c r="O454" s="217"/>
      <c r="P454" s="217"/>
      <c r="Q454" s="218"/>
    </row>
    <row r="455" spans="1:17" s="219" customFormat="1" hidden="1" x14ac:dyDescent="0.25">
      <c r="A455" s="214"/>
      <c r="B455" s="215" t="s">
        <v>1822</v>
      </c>
      <c r="C455" s="215" t="s">
        <v>1823</v>
      </c>
      <c r="D455" s="215" t="s">
        <v>1836</v>
      </c>
      <c r="E455" s="215" t="s">
        <v>2139</v>
      </c>
      <c r="F455" s="215" t="s">
        <v>2139</v>
      </c>
      <c r="G455" s="215" t="s">
        <v>146</v>
      </c>
      <c r="H455" s="216" t="s">
        <v>2275</v>
      </c>
      <c r="I455" s="217"/>
      <c r="J455" s="217"/>
      <c r="K455" s="217"/>
      <c r="L455" s="217"/>
      <c r="M455" s="217"/>
      <c r="N455" s="217"/>
      <c r="O455" s="217"/>
      <c r="P455" s="217"/>
      <c r="Q455" s="218"/>
    </row>
    <row r="456" spans="1:17" s="219" customFormat="1" ht="30" hidden="1" x14ac:dyDescent="0.25">
      <c r="A456" s="214"/>
      <c r="B456" s="215" t="s">
        <v>1822</v>
      </c>
      <c r="C456" s="215" t="s">
        <v>1823</v>
      </c>
      <c r="D456" s="215" t="s">
        <v>1836</v>
      </c>
      <c r="E456" s="215" t="s">
        <v>2139</v>
      </c>
      <c r="F456" s="215" t="s">
        <v>2139</v>
      </c>
      <c r="G456" s="215" t="s">
        <v>150</v>
      </c>
      <c r="H456" s="216" t="s">
        <v>2276</v>
      </c>
      <c r="I456" s="217"/>
      <c r="J456" s="217"/>
      <c r="K456" s="217"/>
      <c r="L456" s="217"/>
      <c r="M456" s="217"/>
      <c r="N456" s="217"/>
      <c r="O456" s="217"/>
      <c r="P456" s="217"/>
      <c r="Q456" s="218"/>
    </row>
    <row r="457" spans="1:17" s="213" customFormat="1" ht="30" hidden="1" x14ac:dyDescent="0.25">
      <c r="A457" s="208" t="s">
        <v>263</v>
      </c>
      <c r="B457" s="209" t="s">
        <v>1822</v>
      </c>
      <c r="C457" s="209" t="s">
        <v>1823</v>
      </c>
      <c r="D457" s="209" t="s">
        <v>1836</v>
      </c>
      <c r="E457" s="209" t="s">
        <v>2139</v>
      </c>
      <c r="F457" s="209" t="s">
        <v>2277</v>
      </c>
      <c r="G457" s="209"/>
      <c r="H457" s="210" t="s">
        <v>2278</v>
      </c>
      <c r="I457" s="211">
        <f>SUM(I458:I468)</f>
        <v>0</v>
      </c>
      <c r="J457" s="211">
        <f t="shared" ref="J457:P457" si="44">SUM(J458:J468)</f>
        <v>0</v>
      </c>
      <c r="K457" s="211">
        <f t="shared" si="44"/>
        <v>0</v>
      </c>
      <c r="L457" s="211">
        <f t="shared" si="44"/>
        <v>0</v>
      </c>
      <c r="M457" s="211">
        <f t="shared" si="44"/>
        <v>0</v>
      </c>
      <c r="N457" s="211">
        <f t="shared" si="44"/>
        <v>0</v>
      </c>
      <c r="O457" s="211">
        <f t="shared" si="44"/>
        <v>0</v>
      </c>
      <c r="P457" s="211">
        <f t="shared" si="44"/>
        <v>0</v>
      </c>
      <c r="Q457" s="212"/>
    </row>
    <row r="458" spans="1:17" s="219" customFormat="1" ht="30" hidden="1" x14ac:dyDescent="0.25">
      <c r="A458" s="214"/>
      <c r="B458" s="215" t="s">
        <v>1822</v>
      </c>
      <c r="C458" s="215" t="s">
        <v>1823</v>
      </c>
      <c r="D458" s="215" t="s">
        <v>1836</v>
      </c>
      <c r="E458" s="215" t="s">
        <v>2139</v>
      </c>
      <c r="F458" s="215" t="s">
        <v>2277</v>
      </c>
      <c r="G458" s="215" t="s">
        <v>58</v>
      </c>
      <c r="H458" s="216" t="s">
        <v>2279</v>
      </c>
      <c r="I458" s="217"/>
      <c r="J458" s="217"/>
      <c r="K458" s="217"/>
      <c r="L458" s="217"/>
      <c r="M458" s="217"/>
      <c r="N458" s="217"/>
      <c r="O458" s="217"/>
      <c r="P458" s="217"/>
      <c r="Q458" s="218"/>
    </row>
    <row r="459" spans="1:17" s="219" customFormat="1" ht="30" hidden="1" x14ac:dyDescent="0.25">
      <c r="A459" s="214"/>
      <c r="B459" s="215" t="s">
        <v>1822</v>
      </c>
      <c r="C459" s="215" t="s">
        <v>1823</v>
      </c>
      <c r="D459" s="215" t="s">
        <v>1836</v>
      </c>
      <c r="E459" s="215" t="s">
        <v>2139</v>
      </c>
      <c r="F459" s="215" t="s">
        <v>2277</v>
      </c>
      <c r="G459" s="215" t="s">
        <v>75</v>
      </c>
      <c r="H459" s="216" t="s">
        <v>2280</v>
      </c>
      <c r="I459" s="217"/>
      <c r="J459" s="217"/>
      <c r="K459" s="217"/>
      <c r="L459" s="217"/>
      <c r="M459" s="217"/>
      <c r="N459" s="217"/>
      <c r="O459" s="217"/>
      <c r="P459" s="217"/>
      <c r="Q459" s="218"/>
    </row>
    <row r="460" spans="1:17" s="219" customFormat="1" ht="30" hidden="1" x14ac:dyDescent="0.25">
      <c r="A460" s="214"/>
      <c r="B460" s="215" t="s">
        <v>1822</v>
      </c>
      <c r="C460" s="215" t="s">
        <v>1823</v>
      </c>
      <c r="D460" s="215" t="s">
        <v>1836</v>
      </c>
      <c r="E460" s="215" t="s">
        <v>2139</v>
      </c>
      <c r="F460" s="215" t="s">
        <v>2277</v>
      </c>
      <c r="G460" s="215" t="s">
        <v>79</v>
      </c>
      <c r="H460" s="216" t="s">
        <v>2281</v>
      </c>
      <c r="I460" s="217"/>
      <c r="J460" s="217"/>
      <c r="K460" s="217"/>
      <c r="L460" s="217"/>
      <c r="M460" s="217"/>
      <c r="N460" s="217"/>
      <c r="O460" s="217"/>
      <c r="P460" s="217"/>
      <c r="Q460" s="218"/>
    </row>
    <row r="461" spans="1:17" s="219" customFormat="1" ht="30" hidden="1" x14ac:dyDescent="0.25">
      <c r="A461" s="214"/>
      <c r="B461" s="215" t="s">
        <v>1822</v>
      </c>
      <c r="C461" s="215" t="s">
        <v>1823</v>
      </c>
      <c r="D461" s="215" t="s">
        <v>1836</v>
      </c>
      <c r="E461" s="215" t="s">
        <v>2139</v>
      </c>
      <c r="F461" s="215" t="s">
        <v>2277</v>
      </c>
      <c r="G461" s="215" t="s">
        <v>84</v>
      </c>
      <c r="H461" s="216" t="s">
        <v>2282</v>
      </c>
      <c r="I461" s="217"/>
      <c r="J461" s="217"/>
      <c r="K461" s="217"/>
      <c r="L461" s="217"/>
      <c r="M461" s="217"/>
      <c r="N461" s="217"/>
      <c r="O461" s="217"/>
      <c r="P461" s="217"/>
      <c r="Q461" s="218"/>
    </row>
    <row r="462" spans="1:17" s="219" customFormat="1" hidden="1" x14ac:dyDescent="0.25">
      <c r="A462" s="214"/>
      <c r="B462" s="215" t="s">
        <v>1822</v>
      </c>
      <c r="C462" s="215" t="s">
        <v>1823</v>
      </c>
      <c r="D462" s="215" t="s">
        <v>1836</v>
      </c>
      <c r="E462" s="215" t="s">
        <v>2139</v>
      </c>
      <c r="F462" s="215" t="s">
        <v>2277</v>
      </c>
      <c r="G462" s="215" t="s">
        <v>88</v>
      </c>
      <c r="H462" s="216" t="s">
        <v>2283</v>
      </c>
      <c r="I462" s="217"/>
      <c r="J462" s="217"/>
      <c r="K462" s="217"/>
      <c r="L462" s="217"/>
      <c r="M462" s="217"/>
      <c r="N462" s="217"/>
      <c r="O462" s="217"/>
      <c r="P462" s="217"/>
      <c r="Q462" s="218"/>
    </row>
    <row r="463" spans="1:17" s="219" customFormat="1" ht="30" hidden="1" x14ac:dyDescent="0.25">
      <c r="A463" s="214"/>
      <c r="B463" s="215" t="s">
        <v>1822</v>
      </c>
      <c r="C463" s="215" t="s">
        <v>1823</v>
      </c>
      <c r="D463" s="215" t="s">
        <v>1836</v>
      </c>
      <c r="E463" s="215" t="s">
        <v>2139</v>
      </c>
      <c r="F463" s="215" t="s">
        <v>2277</v>
      </c>
      <c r="G463" s="215" t="s">
        <v>92</v>
      </c>
      <c r="H463" s="216" t="s">
        <v>2284</v>
      </c>
      <c r="I463" s="217"/>
      <c r="J463" s="217"/>
      <c r="K463" s="217"/>
      <c r="L463" s="217"/>
      <c r="M463" s="217"/>
      <c r="N463" s="217"/>
      <c r="O463" s="217"/>
      <c r="P463" s="217"/>
      <c r="Q463" s="218"/>
    </row>
    <row r="464" spans="1:17" s="219" customFormat="1" hidden="1" x14ac:dyDescent="0.25">
      <c r="A464" s="214"/>
      <c r="B464" s="215" t="s">
        <v>1822</v>
      </c>
      <c r="C464" s="215" t="s">
        <v>1823</v>
      </c>
      <c r="D464" s="215" t="s">
        <v>1836</v>
      </c>
      <c r="E464" s="215" t="s">
        <v>2139</v>
      </c>
      <c r="F464" s="215" t="s">
        <v>2277</v>
      </c>
      <c r="G464" s="215" t="s">
        <v>96</v>
      </c>
      <c r="H464" s="216" t="s">
        <v>2285</v>
      </c>
      <c r="I464" s="217"/>
      <c r="J464" s="217"/>
      <c r="K464" s="217"/>
      <c r="L464" s="217"/>
      <c r="M464" s="217"/>
      <c r="N464" s="217"/>
      <c r="O464" s="217"/>
      <c r="P464" s="217"/>
      <c r="Q464" s="218"/>
    </row>
    <row r="465" spans="1:17" s="219" customFormat="1" ht="30" hidden="1" x14ac:dyDescent="0.25">
      <c r="A465" s="214"/>
      <c r="B465" s="215" t="s">
        <v>1822</v>
      </c>
      <c r="C465" s="215" t="s">
        <v>1823</v>
      </c>
      <c r="D465" s="215" t="s">
        <v>1836</v>
      </c>
      <c r="E465" s="215" t="s">
        <v>2139</v>
      </c>
      <c r="F465" s="215" t="s">
        <v>2277</v>
      </c>
      <c r="G465" s="215" t="s">
        <v>100</v>
      </c>
      <c r="H465" s="216" t="s">
        <v>2286</v>
      </c>
      <c r="I465" s="217"/>
      <c r="J465" s="217"/>
      <c r="K465" s="217"/>
      <c r="L465" s="217"/>
      <c r="M465" s="217"/>
      <c r="N465" s="217"/>
      <c r="O465" s="217"/>
      <c r="P465" s="217"/>
      <c r="Q465" s="218"/>
    </row>
    <row r="466" spans="1:17" s="219" customFormat="1" ht="30" hidden="1" x14ac:dyDescent="0.25">
      <c r="A466" s="214"/>
      <c r="B466" s="215" t="s">
        <v>1822</v>
      </c>
      <c r="C466" s="215" t="s">
        <v>1823</v>
      </c>
      <c r="D466" s="215" t="s">
        <v>1836</v>
      </c>
      <c r="E466" s="215" t="s">
        <v>2139</v>
      </c>
      <c r="F466" s="215" t="s">
        <v>2277</v>
      </c>
      <c r="G466" s="215" t="s">
        <v>105</v>
      </c>
      <c r="H466" s="216" t="s">
        <v>2287</v>
      </c>
      <c r="I466" s="217"/>
      <c r="J466" s="217"/>
      <c r="K466" s="217"/>
      <c r="L466" s="217"/>
      <c r="M466" s="217"/>
      <c r="N466" s="217"/>
      <c r="O466" s="217"/>
      <c r="P466" s="217"/>
      <c r="Q466" s="218"/>
    </row>
    <row r="467" spans="1:17" s="219" customFormat="1" hidden="1" x14ac:dyDescent="0.25">
      <c r="A467" s="214"/>
      <c r="B467" s="215" t="s">
        <v>1822</v>
      </c>
      <c r="C467" s="215" t="s">
        <v>1823</v>
      </c>
      <c r="D467" s="215" t="s">
        <v>1836</v>
      </c>
      <c r="E467" s="215" t="s">
        <v>2139</v>
      </c>
      <c r="F467" s="215" t="s">
        <v>2277</v>
      </c>
      <c r="G467" s="215" t="s">
        <v>108</v>
      </c>
      <c r="H467" s="216" t="s">
        <v>2288</v>
      </c>
      <c r="I467" s="217"/>
      <c r="J467" s="217"/>
      <c r="K467" s="217"/>
      <c r="L467" s="217"/>
      <c r="M467" s="217"/>
      <c r="N467" s="217"/>
      <c r="O467" s="217"/>
      <c r="P467" s="217"/>
      <c r="Q467" s="218"/>
    </row>
    <row r="468" spans="1:17" s="219" customFormat="1" ht="30" hidden="1" x14ac:dyDescent="0.25">
      <c r="A468" s="214"/>
      <c r="B468" s="215" t="s">
        <v>1822</v>
      </c>
      <c r="C468" s="215" t="s">
        <v>1823</v>
      </c>
      <c r="D468" s="215" t="s">
        <v>1836</v>
      </c>
      <c r="E468" s="215" t="s">
        <v>2139</v>
      </c>
      <c r="F468" s="215" t="s">
        <v>2277</v>
      </c>
      <c r="G468" s="215" t="s">
        <v>135</v>
      </c>
      <c r="H468" s="216" t="s">
        <v>2289</v>
      </c>
      <c r="I468" s="217"/>
      <c r="J468" s="217"/>
      <c r="K468" s="217"/>
      <c r="L468" s="217"/>
      <c r="M468" s="217"/>
      <c r="N468" s="217"/>
      <c r="O468" s="217"/>
      <c r="P468" s="217"/>
      <c r="Q468" s="218"/>
    </row>
    <row r="469" spans="1:17" s="213" customFormat="1" hidden="1" x14ac:dyDescent="0.25">
      <c r="A469" s="208" t="s">
        <v>2290</v>
      </c>
      <c r="B469" s="209" t="s">
        <v>1822</v>
      </c>
      <c r="C469" s="209" t="s">
        <v>1823</v>
      </c>
      <c r="D469" s="209" t="s">
        <v>1836</v>
      </c>
      <c r="E469" s="209" t="s">
        <v>2277</v>
      </c>
      <c r="F469" s="209"/>
      <c r="G469" s="209"/>
      <c r="H469" s="210" t="s">
        <v>2291</v>
      </c>
      <c r="I469" s="211">
        <f>SUM(I470+I481+I487)</f>
        <v>0</v>
      </c>
      <c r="J469" s="211">
        <f t="shared" ref="J469:P469" si="45">SUM(J470+J481+J487)</f>
        <v>0</v>
      </c>
      <c r="K469" s="211">
        <f t="shared" si="45"/>
        <v>0</v>
      </c>
      <c r="L469" s="211">
        <f t="shared" si="45"/>
        <v>0</v>
      </c>
      <c r="M469" s="211">
        <f t="shared" si="45"/>
        <v>0</v>
      </c>
      <c r="N469" s="211">
        <f t="shared" si="45"/>
        <v>0</v>
      </c>
      <c r="O469" s="211">
        <f t="shared" si="45"/>
        <v>0</v>
      </c>
      <c r="P469" s="211">
        <f t="shared" si="45"/>
        <v>0</v>
      </c>
      <c r="Q469" s="212"/>
    </row>
    <row r="470" spans="1:17" s="213" customFormat="1" hidden="1" x14ac:dyDescent="0.25">
      <c r="A470" s="208" t="s">
        <v>263</v>
      </c>
      <c r="B470" s="209" t="s">
        <v>1822</v>
      </c>
      <c r="C470" s="209" t="s">
        <v>1823</v>
      </c>
      <c r="D470" s="209" t="s">
        <v>1836</v>
      </c>
      <c r="E470" s="209" t="s">
        <v>2277</v>
      </c>
      <c r="F470" s="209" t="s">
        <v>1825</v>
      </c>
      <c r="G470" s="209"/>
      <c r="H470" s="210" t="s">
        <v>2292</v>
      </c>
      <c r="I470" s="211">
        <f>SUM(I471:I480)</f>
        <v>0</v>
      </c>
      <c r="J470" s="211">
        <f t="shared" ref="J470:P470" si="46">SUM(J471:J480)</f>
        <v>0</v>
      </c>
      <c r="K470" s="211">
        <f t="shared" si="46"/>
        <v>0</v>
      </c>
      <c r="L470" s="211">
        <f t="shared" si="46"/>
        <v>0</v>
      </c>
      <c r="M470" s="211">
        <f t="shared" si="46"/>
        <v>0</v>
      </c>
      <c r="N470" s="211">
        <f t="shared" si="46"/>
        <v>0</v>
      </c>
      <c r="O470" s="211">
        <f t="shared" si="46"/>
        <v>0</v>
      </c>
      <c r="P470" s="211">
        <f t="shared" si="46"/>
        <v>0</v>
      </c>
      <c r="Q470" s="212"/>
    </row>
    <row r="471" spans="1:17" s="219" customFormat="1" hidden="1" x14ac:dyDescent="0.25">
      <c r="A471" s="214"/>
      <c r="B471" s="215" t="s">
        <v>1822</v>
      </c>
      <c r="C471" s="215" t="s">
        <v>1823</v>
      </c>
      <c r="D471" s="215" t="s">
        <v>1836</v>
      </c>
      <c r="E471" s="215" t="s">
        <v>2277</v>
      </c>
      <c r="F471" s="215" t="s">
        <v>1825</v>
      </c>
      <c r="G471" s="215" t="s">
        <v>58</v>
      </c>
      <c r="H471" s="216" t="s">
        <v>2293</v>
      </c>
      <c r="I471" s="217"/>
      <c r="J471" s="217"/>
      <c r="K471" s="217"/>
      <c r="L471" s="217"/>
      <c r="M471" s="217"/>
      <c r="N471" s="217"/>
      <c r="O471" s="217"/>
      <c r="P471" s="217"/>
      <c r="Q471" s="218"/>
    </row>
    <row r="472" spans="1:17" s="219" customFormat="1" hidden="1" x14ac:dyDescent="0.25">
      <c r="A472" s="214"/>
      <c r="B472" s="215" t="s">
        <v>1822</v>
      </c>
      <c r="C472" s="215" t="s">
        <v>1823</v>
      </c>
      <c r="D472" s="215" t="s">
        <v>1836</v>
      </c>
      <c r="E472" s="215" t="s">
        <v>2277</v>
      </c>
      <c r="F472" s="215" t="s">
        <v>1825</v>
      </c>
      <c r="G472" s="215" t="s">
        <v>75</v>
      </c>
      <c r="H472" s="216" t="s">
        <v>2294</v>
      </c>
      <c r="I472" s="217"/>
      <c r="J472" s="217"/>
      <c r="K472" s="217"/>
      <c r="L472" s="217"/>
      <c r="M472" s="217"/>
      <c r="N472" s="217"/>
      <c r="O472" s="217"/>
      <c r="P472" s="217"/>
      <c r="Q472" s="218"/>
    </row>
    <row r="473" spans="1:17" s="219" customFormat="1" hidden="1" x14ac:dyDescent="0.25">
      <c r="A473" s="214"/>
      <c r="B473" s="215" t="s">
        <v>1822</v>
      </c>
      <c r="C473" s="215" t="s">
        <v>1823</v>
      </c>
      <c r="D473" s="215" t="s">
        <v>1836</v>
      </c>
      <c r="E473" s="215" t="s">
        <v>2277</v>
      </c>
      <c r="F473" s="215" t="s">
        <v>1825</v>
      </c>
      <c r="G473" s="215" t="s">
        <v>79</v>
      </c>
      <c r="H473" s="216" t="s">
        <v>2295</v>
      </c>
      <c r="I473" s="217"/>
      <c r="J473" s="217"/>
      <c r="K473" s="217"/>
      <c r="L473" s="217"/>
      <c r="M473" s="217"/>
      <c r="N473" s="217"/>
      <c r="O473" s="217"/>
      <c r="P473" s="217"/>
      <c r="Q473" s="218"/>
    </row>
    <row r="474" spans="1:17" s="219" customFormat="1" hidden="1" x14ac:dyDescent="0.25">
      <c r="A474" s="214"/>
      <c r="B474" s="215" t="s">
        <v>1822</v>
      </c>
      <c r="C474" s="215" t="s">
        <v>1823</v>
      </c>
      <c r="D474" s="215" t="s">
        <v>1836</v>
      </c>
      <c r="E474" s="215" t="s">
        <v>2277</v>
      </c>
      <c r="F474" s="215" t="s">
        <v>1825</v>
      </c>
      <c r="G474" s="215" t="s">
        <v>84</v>
      </c>
      <c r="H474" s="216" t="s">
        <v>2296</v>
      </c>
      <c r="I474" s="217"/>
      <c r="J474" s="217"/>
      <c r="K474" s="217"/>
      <c r="L474" s="217"/>
      <c r="M474" s="217"/>
      <c r="N474" s="217"/>
      <c r="O474" s="217"/>
      <c r="P474" s="217"/>
      <c r="Q474" s="218"/>
    </row>
    <row r="475" spans="1:17" s="219" customFormat="1" hidden="1" x14ac:dyDescent="0.25">
      <c r="A475" s="214"/>
      <c r="B475" s="215" t="s">
        <v>1822</v>
      </c>
      <c r="C475" s="215" t="s">
        <v>1823</v>
      </c>
      <c r="D475" s="215" t="s">
        <v>1836</v>
      </c>
      <c r="E475" s="215" t="s">
        <v>2277</v>
      </c>
      <c r="F475" s="215" t="s">
        <v>1825</v>
      </c>
      <c r="G475" s="215" t="s">
        <v>88</v>
      </c>
      <c r="H475" s="216" t="s">
        <v>2297</v>
      </c>
      <c r="I475" s="217"/>
      <c r="J475" s="217"/>
      <c r="K475" s="217"/>
      <c r="L475" s="217"/>
      <c r="M475" s="217"/>
      <c r="N475" s="217"/>
      <c r="O475" s="217"/>
      <c r="P475" s="217"/>
      <c r="Q475" s="218"/>
    </row>
    <row r="476" spans="1:17" s="219" customFormat="1" hidden="1" x14ac:dyDescent="0.25">
      <c r="A476" s="214"/>
      <c r="B476" s="215" t="s">
        <v>1822</v>
      </c>
      <c r="C476" s="215" t="s">
        <v>1823</v>
      </c>
      <c r="D476" s="215" t="s">
        <v>1836</v>
      </c>
      <c r="E476" s="215" t="s">
        <v>2277</v>
      </c>
      <c r="F476" s="215" t="s">
        <v>1825</v>
      </c>
      <c r="G476" s="215" t="s">
        <v>92</v>
      </c>
      <c r="H476" s="216" t="s">
        <v>2298</v>
      </c>
      <c r="I476" s="217"/>
      <c r="J476" s="217"/>
      <c r="K476" s="217"/>
      <c r="L476" s="217"/>
      <c r="M476" s="217"/>
      <c r="N476" s="217"/>
      <c r="O476" s="217"/>
      <c r="P476" s="217"/>
      <c r="Q476" s="218"/>
    </row>
    <row r="477" spans="1:17" s="219" customFormat="1" hidden="1" x14ac:dyDescent="0.25">
      <c r="A477" s="214"/>
      <c r="B477" s="215" t="s">
        <v>1822</v>
      </c>
      <c r="C477" s="215" t="s">
        <v>1823</v>
      </c>
      <c r="D477" s="215" t="s">
        <v>1836</v>
      </c>
      <c r="E477" s="215" t="s">
        <v>2277</v>
      </c>
      <c r="F477" s="215" t="s">
        <v>1825</v>
      </c>
      <c r="G477" s="215" t="s">
        <v>96</v>
      </c>
      <c r="H477" s="216" t="s">
        <v>2299</v>
      </c>
      <c r="I477" s="217"/>
      <c r="J477" s="217"/>
      <c r="K477" s="217"/>
      <c r="L477" s="217"/>
      <c r="M477" s="217"/>
      <c r="N477" s="217"/>
      <c r="O477" s="217"/>
      <c r="P477" s="217"/>
      <c r="Q477" s="218"/>
    </row>
    <row r="478" spans="1:17" s="219" customFormat="1" hidden="1" x14ac:dyDescent="0.25">
      <c r="A478" s="214"/>
      <c r="B478" s="215" t="s">
        <v>1822</v>
      </c>
      <c r="C478" s="215" t="s">
        <v>1823</v>
      </c>
      <c r="D478" s="215" t="s">
        <v>1836</v>
      </c>
      <c r="E478" s="215" t="s">
        <v>2277</v>
      </c>
      <c r="F478" s="215" t="s">
        <v>1825</v>
      </c>
      <c r="G478" s="215" t="s">
        <v>100</v>
      </c>
      <c r="H478" s="216" t="s">
        <v>2300</v>
      </c>
      <c r="I478" s="217"/>
      <c r="J478" s="217"/>
      <c r="K478" s="217"/>
      <c r="L478" s="217"/>
      <c r="M478" s="217"/>
      <c r="N478" s="217"/>
      <c r="O478" s="217"/>
      <c r="P478" s="217"/>
      <c r="Q478" s="218"/>
    </row>
    <row r="479" spans="1:17" s="219" customFormat="1" hidden="1" x14ac:dyDescent="0.25">
      <c r="A479" s="214"/>
      <c r="B479" s="215" t="s">
        <v>1822</v>
      </c>
      <c r="C479" s="215" t="s">
        <v>1823</v>
      </c>
      <c r="D479" s="215" t="s">
        <v>1836</v>
      </c>
      <c r="E479" s="215" t="s">
        <v>2277</v>
      </c>
      <c r="F479" s="215" t="s">
        <v>1825</v>
      </c>
      <c r="G479" s="215" t="s">
        <v>105</v>
      </c>
      <c r="H479" s="216" t="s">
        <v>2301</v>
      </c>
      <c r="I479" s="217"/>
      <c r="J479" s="217"/>
      <c r="K479" s="217"/>
      <c r="L479" s="217"/>
      <c r="M479" s="217"/>
      <c r="N479" s="217"/>
      <c r="O479" s="217"/>
      <c r="P479" s="217"/>
      <c r="Q479" s="218"/>
    </row>
    <row r="480" spans="1:17" s="219" customFormat="1" hidden="1" x14ac:dyDescent="0.25">
      <c r="A480" s="214"/>
      <c r="B480" s="215" t="s">
        <v>1822</v>
      </c>
      <c r="C480" s="215" t="s">
        <v>1823</v>
      </c>
      <c r="D480" s="215" t="s">
        <v>1836</v>
      </c>
      <c r="E480" s="215" t="s">
        <v>2277</v>
      </c>
      <c r="F480" s="215" t="s">
        <v>1825</v>
      </c>
      <c r="G480" s="215" t="s">
        <v>108</v>
      </c>
      <c r="H480" s="216" t="s">
        <v>2302</v>
      </c>
      <c r="I480" s="217"/>
      <c r="J480" s="217"/>
      <c r="K480" s="217"/>
      <c r="L480" s="217"/>
      <c r="M480" s="217"/>
      <c r="N480" s="217"/>
      <c r="O480" s="217"/>
      <c r="P480" s="217"/>
      <c r="Q480" s="218"/>
    </row>
    <row r="481" spans="1:17" s="213" customFormat="1" hidden="1" x14ac:dyDescent="0.25">
      <c r="A481" s="208" t="s">
        <v>263</v>
      </c>
      <c r="B481" s="209" t="s">
        <v>1822</v>
      </c>
      <c r="C481" s="209" t="s">
        <v>1823</v>
      </c>
      <c r="D481" s="209" t="s">
        <v>1836</v>
      </c>
      <c r="E481" s="209" t="s">
        <v>2277</v>
      </c>
      <c r="F481" s="209" t="s">
        <v>1836</v>
      </c>
      <c r="G481" s="209"/>
      <c r="H481" s="210" t="s">
        <v>2303</v>
      </c>
      <c r="I481" s="211">
        <f>SUM(I482:I486)</f>
        <v>0</v>
      </c>
      <c r="J481" s="211">
        <f t="shared" ref="J481:P481" si="47">SUM(J482:J486)</f>
        <v>0</v>
      </c>
      <c r="K481" s="211">
        <f t="shared" si="47"/>
        <v>0</v>
      </c>
      <c r="L481" s="211">
        <f t="shared" si="47"/>
        <v>0</v>
      </c>
      <c r="M481" s="211">
        <f t="shared" si="47"/>
        <v>0</v>
      </c>
      <c r="N481" s="211">
        <f t="shared" si="47"/>
        <v>0</v>
      </c>
      <c r="O481" s="211">
        <f t="shared" si="47"/>
        <v>0</v>
      </c>
      <c r="P481" s="211">
        <f t="shared" si="47"/>
        <v>0</v>
      </c>
      <c r="Q481" s="212"/>
    </row>
    <row r="482" spans="1:17" s="219" customFormat="1" hidden="1" x14ac:dyDescent="0.25">
      <c r="A482" s="214"/>
      <c r="B482" s="215" t="s">
        <v>1822</v>
      </c>
      <c r="C482" s="215" t="s">
        <v>1823</v>
      </c>
      <c r="D482" s="215" t="s">
        <v>1836</v>
      </c>
      <c r="E482" s="215" t="s">
        <v>2277</v>
      </c>
      <c r="F482" s="215" t="s">
        <v>1836</v>
      </c>
      <c r="G482" s="215" t="s">
        <v>58</v>
      </c>
      <c r="H482" s="216" t="s">
        <v>2304</v>
      </c>
      <c r="I482" s="217"/>
      <c r="J482" s="217"/>
      <c r="K482" s="217"/>
      <c r="L482" s="217"/>
      <c r="M482" s="217"/>
      <c r="N482" s="217"/>
      <c r="O482" s="217"/>
      <c r="P482" s="217"/>
      <c r="Q482" s="218"/>
    </row>
    <row r="483" spans="1:17" s="219" customFormat="1" hidden="1" x14ac:dyDescent="0.25">
      <c r="A483" s="214"/>
      <c r="B483" s="215" t="s">
        <v>1822</v>
      </c>
      <c r="C483" s="215" t="s">
        <v>1823</v>
      </c>
      <c r="D483" s="215" t="s">
        <v>1836</v>
      </c>
      <c r="E483" s="215" t="s">
        <v>2277</v>
      </c>
      <c r="F483" s="215" t="s">
        <v>1836</v>
      </c>
      <c r="G483" s="215" t="s">
        <v>75</v>
      </c>
      <c r="H483" s="216" t="s">
        <v>2305</v>
      </c>
      <c r="I483" s="217"/>
      <c r="J483" s="217"/>
      <c r="K483" s="217"/>
      <c r="L483" s="217"/>
      <c r="M483" s="217"/>
      <c r="N483" s="217"/>
      <c r="O483" s="217"/>
      <c r="P483" s="217"/>
      <c r="Q483" s="218"/>
    </row>
    <row r="484" spans="1:17" s="219" customFormat="1" ht="30" hidden="1" x14ac:dyDescent="0.25">
      <c r="A484" s="214"/>
      <c r="B484" s="215" t="s">
        <v>1822</v>
      </c>
      <c r="C484" s="215" t="s">
        <v>1823</v>
      </c>
      <c r="D484" s="215" t="s">
        <v>1836</v>
      </c>
      <c r="E484" s="215" t="s">
        <v>2277</v>
      </c>
      <c r="F484" s="215" t="s">
        <v>1836</v>
      </c>
      <c r="G484" s="215" t="s">
        <v>79</v>
      </c>
      <c r="H484" s="216" t="s">
        <v>2306</v>
      </c>
      <c r="I484" s="217"/>
      <c r="J484" s="217"/>
      <c r="K484" s="217"/>
      <c r="L484" s="217"/>
      <c r="M484" s="217"/>
      <c r="N484" s="217"/>
      <c r="O484" s="217"/>
      <c r="P484" s="217"/>
      <c r="Q484" s="218"/>
    </row>
    <row r="485" spans="1:17" s="219" customFormat="1" hidden="1" x14ac:dyDescent="0.25">
      <c r="A485" s="214"/>
      <c r="B485" s="215" t="s">
        <v>1822</v>
      </c>
      <c r="C485" s="215" t="s">
        <v>1823</v>
      </c>
      <c r="D485" s="215" t="s">
        <v>1836</v>
      </c>
      <c r="E485" s="215" t="s">
        <v>2277</v>
      </c>
      <c r="F485" s="215" t="s">
        <v>1836</v>
      </c>
      <c r="G485" s="215" t="s">
        <v>84</v>
      </c>
      <c r="H485" s="216" t="s">
        <v>2307</v>
      </c>
      <c r="I485" s="217"/>
      <c r="J485" s="217"/>
      <c r="K485" s="217"/>
      <c r="L485" s="217"/>
      <c r="M485" s="217"/>
      <c r="N485" s="217"/>
      <c r="O485" s="217"/>
      <c r="P485" s="217"/>
      <c r="Q485" s="218"/>
    </row>
    <row r="486" spans="1:17" s="219" customFormat="1" ht="30" hidden="1" x14ac:dyDescent="0.25">
      <c r="A486" s="214"/>
      <c r="B486" s="215" t="s">
        <v>1822</v>
      </c>
      <c r="C486" s="215" t="s">
        <v>1823</v>
      </c>
      <c r="D486" s="215" t="s">
        <v>1836</v>
      </c>
      <c r="E486" s="215" t="s">
        <v>2277</v>
      </c>
      <c r="F486" s="215" t="s">
        <v>1836</v>
      </c>
      <c r="G486" s="215" t="s">
        <v>88</v>
      </c>
      <c r="H486" s="216" t="s">
        <v>2308</v>
      </c>
      <c r="I486" s="217"/>
      <c r="J486" s="217"/>
      <c r="K486" s="217"/>
      <c r="L486" s="217"/>
      <c r="M486" s="217"/>
      <c r="N486" s="217"/>
      <c r="O486" s="217"/>
      <c r="P486" s="217"/>
      <c r="Q486" s="218"/>
    </row>
    <row r="487" spans="1:17" s="213" customFormat="1" hidden="1" x14ac:dyDescent="0.25">
      <c r="A487" s="208" t="s">
        <v>263</v>
      </c>
      <c r="B487" s="209" t="s">
        <v>1822</v>
      </c>
      <c r="C487" s="209" t="s">
        <v>1823</v>
      </c>
      <c r="D487" s="209" t="s">
        <v>1836</v>
      </c>
      <c r="E487" s="209" t="s">
        <v>2277</v>
      </c>
      <c r="F487" s="209" t="s">
        <v>1847</v>
      </c>
      <c r="G487" s="209"/>
      <c r="H487" s="210" t="s">
        <v>2309</v>
      </c>
      <c r="I487" s="211">
        <f>SUM(I488:I489)</f>
        <v>0</v>
      </c>
      <c r="J487" s="211">
        <f t="shared" ref="J487:P487" si="48">SUM(J488:J489)</f>
        <v>0</v>
      </c>
      <c r="K487" s="211">
        <f t="shared" si="48"/>
        <v>0</v>
      </c>
      <c r="L487" s="211">
        <f t="shared" si="48"/>
        <v>0</v>
      </c>
      <c r="M487" s="211">
        <f t="shared" si="48"/>
        <v>0</v>
      </c>
      <c r="N487" s="211">
        <f t="shared" si="48"/>
        <v>0</v>
      </c>
      <c r="O487" s="211">
        <f t="shared" si="48"/>
        <v>0</v>
      </c>
      <c r="P487" s="211">
        <f t="shared" si="48"/>
        <v>0</v>
      </c>
      <c r="Q487" s="212"/>
    </row>
    <row r="488" spans="1:17" s="219" customFormat="1" hidden="1" x14ac:dyDescent="0.25">
      <c r="A488" s="214"/>
      <c r="B488" s="215" t="s">
        <v>1822</v>
      </c>
      <c r="C488" s="215" t="s">
        <v>1823</v>
      </c>
      <c r="D488" s="215" t="s">
        <v>1836</v>
      </c>
      <c r="E488" s="215" t="s">
        <v>2277</v>
      </c>
      <c r="F488" s="215" t="s">
        <v>1847</v>
      </c>
      <c r="G488" s="215" t="s">
        <v>58</v>
      </c>
      <c r="H488" s="216" t="s">
        <v>2310</v>
      </c>
      <c r="I488" s="217"/>
      <c r="J488" s="217"/>
      <c r="K488" s="217"/>
      <c r="L488" s="217"/>
      <c r="M488" s="217"/>
      <c r="N488" s="217"/>
      <c r="O488" s="217"/>
      <c r="P488" s="217"/>
      <c r="Q488" s="218"/>
    </row>
    <row r="489" spans="1:17" s="219" customFormat="1" x14ac:dyDescent="0.25">
      <c r="A489" s="214"/>
      <c r="B489" s="215" t="s">
        <v>1822</v>
      </c>
      <c r="C489" s="215" t="s">
        <v>1823</v>
      </c>
      <c r="D489" s="215" t="s">
        <v>1836</v>
      </c>
      <c r="E489" s="215" t="s">
        <v>2277</v>
      </c>
      <c r="F489" s="215" t="s">
        <v>1847</v>
      </c>
      <c r="G489" s="215" t="s">
        <v>75</v>
      </c>
      <c r="H489" s="216" t="s">
        <v>2311</v>
      </c>
      <c r="I489" s="217"/>
      <c r="J489" s="217"/>
      <c r="K489" s="217"/>
      <c r="L489" s="217"/>
      <c r="M489" s="217"/>
      <c r="N489" s="217"/>
      <c r="O489" s="217"/>
      <c r="P489" s="217"/>
      <c r="Q489" s="218"/>
    </row>
    <row r="490" spans="1:17" s="213" customFormat="1" x14ac:dyDescent="0.25">
      <c r="A490" s="208" t="s">
        <v>2312</v>
      </c>
      <c r="B490" s="209" t="s">
        <v>1822</v>
      </c>
      <c r="C490" s="209" t="s">
        <v>1823</v>
      </c>
      <c r="D490" s="209" t="s">
        <v>1836</v>
      </c>
      <c r="E490" s="209" t="s">
        <v>2313</v>
      </c>
      <c r="F490" s="209"/>
      <c r="G490" s="209"/>
      <c r="H490" s="210" t="s">
        <v>2314</v>
      </c>
      <c r="I490" s="211">
        <f>SUM(I491+I495)</f>
        <v>2036906587</v>
      </c>
      <c r="J490" s="211">
        <f t="shared" ref="J490:P490" si="49">SUM(J491+J495)</f>
        <v>204022899.90000001</v>
      </c>
      <c r="K490" s="211">
        <f t="shared" si="49"/>
        <v>72992883.283333376</v>
      </c>
      <c r="L490" s="211">
        <f t="shared" si="49"/>
        <v>69845145.783333346</v>
      </c>
      <c r="M490" s="211">
        <f t="shared" si="49"/>
        <v>142838029.06666669</v>
      </c>
      <c r="N490" s="211">
        <f t="shared" si="49"/>
        <v>1617086560.7749996</v>
      </c>
      <c r="O490" s="211">
        <f t="shared" si="49"/>
        <v>419820026.22499996</v>
      </c>
      <c r="P490" s="211">
        <f t="shared" si="49"/>
        <v>0</v>
      </c>
      <c r="Q490" s="212"/>
    </row>
    <row r="491" spans="1:17" s="213" customFormat="1" x14ac:dyDescent="0.25">
      <c r="A491" s="208" t="s">
        <v>263</v>
      </c>
      <c r="B491" s="209" t="s">
        <v>1822</v>
      </c>
      <c r="C491" s="209" t="s">
        <v>1823</v>
      </c>
      <c r="D491" s="209" t="s">
        <v>1836</v>
      </c>
      <c r="E491" s="209" t="s">
        <v>2313</v>
      </c>
      <c r="F491" s="209" t="s">
        <v>1825</v>
      </c>
      <c r="G491" s="209"/>
      <c r="H491" s="210" t="s">
        <v>2315</v>
      </c>
      <c r="I491" s="211">
        <f>SUM(I492:I494)</f>
        <v>1560972607</v>
      </c>
      <c r="J491" s="211">
        <f t="shared" ref="J491:P491" si="50">SUM(J492:J494)</f>
        <v>179532803.90000001</v>
      </c>
      <c r="K491" s="211">
        <f t="shared" si="50"/>
        <v>63955670.616666704</v>
      </c>
      <c r="L491" s="211">
        <f t="shared" si="50"/>
        <v>61157599.45000001</v>
      </c>
      <c r="M491" s="211">
        <f t="shared" si="50"/>
        <v>125113270.06666668</v>
      </c>
      <c r="N491" s="211">
        <f t="shared" si="50"/>
        <v>1184979667.1083331</v>
      </c>
      <c r="O491" s="211">
        <f t="shared" si="50"/>
        <v>375992939.89166665</v>
      </c>
      <c r="P491" s="211">
        <f t="shared" si="50"/>
        <v>0</v>
      </c>
      <c r="Q491" s="212"/>
    </row>
    <row r="492" spans="1:17" s="219" customFormat="1" x14ac:dyDescent="0.25">
      <c r="A492" s="214"/>
      <c r="B492" s="215" t="s">
        <v>1822</v>
      </c>
      <c r="C492" s="215" t="s">
        <v>1823</v>
      </c>
      <c r="D492" s="215" t="s">
        <v>1836</v>
      </c>
      <c r="E492" s="215" t="s">
        <v>2313</v>
      </c>
      <c r="F492" s="215" t="s">
        <v>1825</v>
      </c>
      <c r="G492" s="215" t="s">
        <v>58</v>
      </c>
      <c r="H492" s="216" t="s">
        <v>2316</v>
      </c>
      <c r="I492" s="384">
        <v>1560972607</v>
      </c>
      <c r="J492" s="217">
        <v>179532803.90000001</v>
      </c>
      <c r="K492" s="217">
        <v>63955670.616666704</v>
      </c>
      <c r="L492" s="217">
        <v>61157599.45000001</v>
      </c>
      <c r="M492" s="217">
        <v>125113270.06666668</v>
      </c>
      <c r="N492" s="217">
        <v>1184979667.1083331</v>
      </c>
      <c r="O492" s="217">
        <v>375992939.89166665</v>
      </c>
      <c r="P492" s="217"/>
      <c r="Q492" s="218"/>
    </row>
    <row r="493" spans="1:17" s="219" customFormat="1" hidden="1" x14ac:dyDescent="0.25">
      <c r="A493" s="214"/>
      <c r="B493" s="215" t="s">
        <v>1822</v>
      </c>
      <c r="C493" s="215" t="s">
        <v>1823</v>
      </c>
      <c r="D493" s="215" t="s">
        <v>1836</v>
      </c>
      <c r="E493" s="215" t="s">
        <v>2313</v>
      </c>
      <c r="F493" s="215" t="s">
        <v>1825</v>
      </c>
      <c r="G493" s="215" t="s">
        <v>75</v>
      </c>
      <c r="H493" s="216" t="s">
        <v>2317</v>
      </c>
      <c r="I493" s="383"/>
      <c r="J493" s="217"/>
      <c r="K493" s="217"/>
      <c r="L493" s="217"/>
      <c r="M493" s="217"/>
      <c r="N493" s="217"/>
      <c r="O493" s="217"/>
      <c r="P493" s="217"/>
      <c r="Q493" s="218"/>
    </row>
    <row r="494" spans="1:17" s="219" customFormat="1" x14ac:dyDescent="0.25">
      <c r="A494" s="214"/>
      <c r="B494" s="215" t="s">
        <v>1822</v>
      </c>
      <c r="C494" s="215" t="s">
        <v>1823</v>
      </c>
      <c r="D494" s="215" t="s">
        <v>1836</v>
      </c>
      <c r="E494" s="215" t="s">
        <v>2313</v>
      </c>
      <c r="F494" s="215" t="s">
        <v>1825</v>
      </c>
      <c r="G494" s="215" t="s">
        <v>79</v>
      </c>
      <c r="H494" s="216" t="s">
        <v>2318</v>
      </c>
      <c r="I494" s="217"/>
      <c r="J494" s="217"/>
      <c r="K494" s="217"/>
      <c r="L494" s="217"/>
      <c r="M494" s="217"/>
      <c r="N494" s="217"/>
      <c r="O494" s="217"/>
      <c r="P494" s="217"/>
      <c r="Q494" s="218"/>
    </row>
    <row r="495" spans="1:17" s="213" customFormat="1" x14ac:dyDescent="0.25">
      <c r="A495" s="208" t="s">
        <v>263</v>
      </c>
      <c r="B495" s="209" t="s">
        <v>1822</v>
      </c>
      <c r="C495" s="209" t="s">
        <v>1823</v>
      </c>
      <c r="D495" s="209" t="s">
        <v>1836</v>
      </c>
      <c r="E495" s="209" t="s">
        <v>2313</v>
      </c>
      <c r="F495" s="209" t="s">
        <v>1836</v>
      </c>
      <c r="G495" s="209"/>
      <c r="H495" s="210" t="s">
        <v>2319</v>
      </c>
      <c r="I495" s="211">
        <f>SUM(I496:I500)</f>
        <v>475933980</v>
      </c>
      <c r="J495" s="211">
        <f t="shared" ref="J495:P495" si="51">SUM(J496:J500)</f>
        <v>24490096</v>
      </c>
      <c r="K495" s="211">
        <f t="shared" si="51"/>
        <v>9037212.6666666698</v>
      </c>
      <c r="L495" s="211">
        <f t="shared" si="51"/>
        <v>8687546.333333334</v>
      </c>
      <c r="M495" s="211">
        <f t="shared" si="51"/>
        <v>17724759.000000004</v>
      </c>
      <c r="N495" s="211">
        <f t="shared" si="51"/>
        <v>432106893.66666663</v>
      </c>
      <c r="O495" s="211">
        <f t="shared" si="51"/>
        <v>43827086.333333328</v>
      </c>
      <c r="P495" s="211">
        <f t="shared" si="51"/>
        <v>0</v>
      </c>
      <c r="Q495" s="212"/>
    </row>
    <row r="496" spans="1:17" s="219" customFormat="1" x14ac:dyDescent="0.25">
      <c r="A496" s="214"/>
      <c r="B496" s="215" t="s">
        <v>1822</v>
      </c>
      <c r="C496" s="215" t="s">
        <v>1823</v>
      </c>
      <c r="D496" s="215" t="s">
        <v>1836</v>
      </c>
      <c r="E496" s="215" t="s">
        <v>2313</v>
      </c>
      <c r="F496" s="215" t="s">
        <v>1836</v>
      </c>
      <c r="G496" s="215" t="s">
        <v>58</v>
      </c>
      <c r="H496" s="216" t="s">
        <v>2320</v>
      </c>
      <c r="I496" s="217">
        <v>475933980</v>
      </c>
      <c r="J496" s="217">
        <v>24490096</v>
      </c>
      <c r="K496" s="217">
        <v>9037212.6666666698</v>
      </c>
      <c r="L496" s="217">
        <v>8687546.333333334</v>
      </c>
      <c r="M496" s="217">
        <v>17724759.000000004</v>
      </c>
      <c r="N496" s="217">
        <v>432106893.66666663</v>
      </c>
      <c r="O496" s="217">
        <v>43827086.333333328</v>
      </c>
      <c r="P496" s="217"/>
      <c r="Q496" s="218"/>
    </row>
    <row r="497" spans="1:17" s="219" customFormat="1" x14ac:dyDescent="0.25">
      <c r="A497" s="214"/>
      <c r="B497" s="215" t="s">
        <v>1822</v>
      </c>
      <c r="C497" s="215" t="s">
        <v>1823</v>
      </c>
      <c r="D497" s="215" t="s">
        <v>1836</v>
      </c>
      <c r="E497" s="215" t="s">
        <v>2313</v>
      </c>
      <c r="F497" s="215" t="s">
        <v>1836</v>
      </c>
      <c r="G497" s="215" t="s">
        <v>75</v>
      </c>
      <c r="H497" s="216" t="s">
        <v>2321</v>
      </c>
      <c r="I497" s="217"/>
      <c r="J497" s="217"/>
      <c r="K497" s="217"/>
      <c r="L497" s="217"/>
      <c r="M497" s="217"/>
      <c r="N497" s="217"/>
      <c r="O497" s="217"/>
      <c r="P497" s="217"/>
      <c r="Q497" s="218"/>
    </row>
    <row r="498" spans="1:17" s="219" customFormat="1" hidden="1" x14ac:dyDescent="0.25">
      <c r="A498" s="214"/>
      <c r="B498" s="215" t="s">
        <v>1822</v>
      </c>
      <c r="C498" s="215" t="s">
        <v>1823</v>
      </c>
      <c r="D498" s="215" t="s">
        <v>1836</v>
      </c>
      <c r="E498" s="215" t="s">
        <v>2313</v>
      </c>
      <c r="F498" s="215" t="s">
        <v>1836</v>
      </c>
      <c r="G498" s="215" t="s">
        <v>79</v>
      </c>
      <c r="H498" s="216" t="s">
        <v>2322</v>
      </c>
      <c r="I498" s="217"/>
      <c r="J498" s="217"/>
      <c r="K498" s="217"/>
      <c r="L498" s="217"/>
      <c r="M498" s="217"/>
      <c r="N498" s="217"/>
      <c r="O498" s="217"/>
      <c r="P498" s="217"/>
      <c r="Q498" s="218"/>
    </row>
    <row r="499" spans="1:17" s="219" customFormat="1" hidden="1" x14ac:dyDescent="0.25">
      <c r="A499" s="214"/>
      <c r="B499" s="215" t="s">
        <v>1822</v>
      </c>
      <c r="C499" s="215" t="s">
        <v>1823</v>
      </c>
      <c r="D499" s="215" t="s">
        <v>1836</v>
      </c>
      <c r="E499" s="215" t="s">
        <v>2313</v>
      </c>
      <c r="F499" s="215" t="s">
        <v>1836</v>
      </c>
      <c r="G499" s="215" t="s">
        <v>84</v>
      </c>
      <c r="H499" s="216" t="s">
        <v>2323</v>
      </c>
      <c r="I499" s="217"/>
      <c r="J499" s="217"/>
      <c r="K499" s="217"/>
      <c r="L499" s="217"/>
      <c r="M499" s="217"/>
      <c r="N499" s="217"/>
      <c r="O499" s="217"/>
      <c r="P499" s="217"/>
      <c r="Q499" s="218"/>
    </row>
    <row r="500" spans="1:17" s="219" customFormat="1" hidden="1" x14ac:dyDescent="0.25">
      <c r="A500" s="214"/>
      <c r="B500" s="215" t="s">
        <v>1822</v>
      </c>
      <c r="C500" s="215" t="s">
        <v>1823</v>
      </c>
      <c r="D500" s="215" t="s">
        <v>1836</v>
      </c>
      <c r="E500" s="215" t="s">
        <v>2313</v>
      </c>
      <c r="F500" s="215" t="s">
        <v>1836</v>
      </c>
      <c r="G500" s="215" t="s">
        <v>88</v>
      </c>
      <c r="H500" s="216" t="s">
        <v>2324</v>
      </c>
      <c r="I500" s="217"/>
      <c r="J500" s="217"/>
      <c r="K500" s="217"/>
      <c r="L500" s="217"/>
      <c r="M500" s="217"/>
      <c r="N500" s="217"/>
      <c r="O500" s="217"/>
      <c r="P500" s="217"/>
      <c r="Q500" s="218"/>
    </row>
    <row r="501" spans="1:17" s="213" customFormat="1" hidden="1" x14ac:dyDescent="0.25">
      <c r="A501" s="208" t="s">
        <v>2325</v>
      </c>
      <c r="B501" s="209" t="s">
        <v>1822</v>
      </c>
      <c r="C501" s="209" t="s">
        <v>1823</v>
      </c>
      <c r="D501" s="209" t="s">
        <v>1836</v>
      </c>
      <c r="E501" s="209" t="s">
        <v>2326</v>
      </c>
      <c r="F501" s="209"/>
      <c r="G501" s="209"/>
      <c r="H501" s="210" t="s">
        <v>2327</v>
      </c>
      <c r="I501" s="211">
        <f>SUM(I502+I506)</f>
        <v>0</v>
      </c>
      <c r="J501" s="211">
        <f t="shared" ref="J501:P501" si="52">SUM(J502+J506)</f>
        <v>0</v>
      </c>
      <c r="K501" s="211">
        <f t="shared" si="52"/>
        <v>0</v>
      </c>
      <c r="L501" s="211">
        <f t="shared" si="52"/>
        <v>0</v>
      </c>
      <c r="M501" s="211">
        <f t="shared" si="52"/>
        <v>0</v>
      </c>
      <c r="N501" s="211">
        <f t="shared" si="52"/>
        <v>0</v>
      </c>
      <c r="O501" s="211">
        <f t="shared" si="52"/>
        <v>0</v>
      </c>
      <c r="P501" s="211">
        <f t="shared" si="52"/>
        <v>0</v>
      </c>
      <c r="Q501" s="212"/>
    </row>
    <row r="502" spans="1:17" s="213" customFormat="1" hidden="1" x14ac:dyDescent="0.25">
      <c r="A502" s="208" t="s">
        <v>263</v>
      </c>
      <c r="B502" s="209" t="s">
        <v>1822</v>
      </c>
      <c r="C502" s="209" t="s">
        <v>1823</v>
      </c>
      <c r="D502" s="209" t="s">
        <v>1836</v>
      </c>
      <c r="E502" s="209" t="s">
        <v>2326</v>
      </c>
      <c r="F502" s="209" t="s">
        <v>1825</v>
      </c>
      <c r="G502" s="209"/>
      <c r="H502" s="210" t="s">
        <v>2328</v>
      </c>
      <c r="I502" s="211">
        <f>SUM(I503:I505)</f>
        <v>0</v>
      </c>
      <c r="J502" s="211">
        <f t="shared" ref="J502:P502" si="53">SUM(J503:J505)</f>
        <v>0</v>
      </c>
      <c r="K502" s="211">
        <f t="shared" si="53"/>
        <v>0</v>
      </c>
      <c r="L502" s="211">
        <f t="shared" si="53"/>
        <v>0</v>
      </c>
      <c r="M502" s="211">
        <f t="shared" si="53"/>
        <v>0</v>
      </c>
      <c r="N502" s="211">
        <f t="shared" si="53"/>
        <v>0</v>
      </c>
      <c r="O502" s="211">
        <f t="shared" si="53"/>
        <v>0</v>
      </c>
      <c r="P502" s="211">
        <f t="shared" si="53"/>
        <v>0</v>
      </c>
      <c r="Q502" s="212"/>
    </row>
    <row r="503" spans="1:17" s="219" customFormat="1" hidden="1" x14ac:dyDescent="0.25">
      <c r="A503" s="214"/>
      <c r="B503" s="215" t="s">
        <v>1822</v>
      </c>
      <c r="C503" s="215" t="s">
        <v>1823</v>
      </c>
      <c r="D503" s="215" t="s">
        <v>1836</v>
      </c>
      <c r="E503" s="215" t="s">
        <v>2326</v>
      </c>
      <c r="F503" s="215" t="s">
        <v>1825</v>
      </c>
      <c r="G503" s="215" t="s">
        <v>58</v>
      </c>
      <c r="H503" s="216" t="s">
        <v>2329</v>
      </c>
      <c r="I503" s="217"/>
      <c r="J503" s="217"/>
      <c r="K503" s="217"/>
      <c r="L503" s="217"/>
      <c r="M503" s="217"/>
      <c r="N503" s="217"/>
      <c r="O503" s="217"/>
      <c r="P503" s="217"/>
      <c r="Q503" s="218"/>
    </row>
    <row r="504" spans="1:17" s="219" customFormat="1" hidden="1" x14ac:dyDescent="0.25">
      <c r="A504" s="214"/>
      <c r="B504" s="215" t="s">
        <v>1822</v>
      </c>
      <c r="C504" s="215" t="s">
        <v>1823</v>
      </c>
      <c r="D504" s="215" t="s">
        <v>1836</v>
      </c>
      <c r="E504" s="215" t="s">
        <v>2326</v>
      </c>
      <c r="F504" s="215" t="s">
        <v>1825</v>
      </c>
      <c r="G504" s="215" t="s">
        <v>75</v>
      </c>
      <c r="H504" s="216" t="s">
        <v>2330</v>
      </c>
      <c r="I504" s="217"/>
      <c r="J504" s="217"/>
      <c r="K504" s="217"/>
      <c r="L504" s="217"/>
      <c r="M504" s="217"/>
      <c r="N504" s="217"/>
      <c r="O504" s="217"/>
      <c r="P504" s="217"/>
      <c r="Q504" s="218"/>
    </row>
    <row r="505" spans="1:17" s="219" customFormat="1" hidden="1" x14ac:dyDescent="0.25">
      <c r="A505" s="214"/>
      <c r="B505" s="215" t="s">
        <v>1822</v>
      </c>
      <c r="C505" s="215" t="s">
        <v>1823</v>
      </c>
      <c r="D505" s="215" t="s">
        <v>1836</v>
      </c>
      <c r="E505" s="215" t="s">
        <v>2326</v>
      </c>
      <c r="F505" s="215" t="s">
        <v>1825</v>
      </c>
      <c r="G505" s="215" t="s">
        <v>79</v>
      </c>
      <c r="H505" s="216" t="s">
        <v>2331</v>
      </c>
      <c r="I505" s="217"/>
      <c r="J505" s="217"/>
      <c r="K505" s="217"/>
      <c r="L505" s="217"/>
      <c r="M505" s="217"/>
      <c r="N505" s="217"/>
      <c r="O505" s="217"/>
      <c r="P505" s="217"/>
      <c r="Q505" s="218"/>
    </row>
    <row r="506" spans="1:17" s="213" customFormat="1" hidden="1" x14ac:dyDescent="0.25">
      <c r="A506" s="208" t="s">
        <v>263</v>
      </c>
      <c r="B506" s="209" t="s">
        <v>1822</v>
      </c>
      <c r="C506" s="209" t="s">
        <v>1823</v>
      </c>
      <c r="D506" s="209" t="s">
        <v>1836</v>
      </c>
      <c r="E506" s="209" t="s">
        <v>2326</v>
      </c>
      <c r="F506" s="209" t="s">
        <v>1836</v>
      </c>
      <c r="G506" s="209"/>
      <c r="H506" s="210" t="s">
        <v>2332</v>
      </c>
      <c r="I506" s="211">
        <f>SUM(I507:I510)</f>
        <v>0</v>
      </c>
      <c r="J506" s="211">
        <f t="shared" ref="J506:P506" si="54">SUM(J507:J510)</f>
        <v>0</v>
      </c>
      <c r="K506" s="211">
        <f t="shared" si="54"/>
        <v>0</v>
      </c>
      <c r="L506" s="211">
        <f t="shared" si="54"/>
        <v>0</v>
      </c>
      <c r="M506" s="211">
        <f t="shared" si="54"/>
        <v>0</v>
      </c>
      <c r="N506" s="211">
        <f t="shared" si="54"/>
        <v>0</v>
      </c>
      <c r="O506" s="211">
        <f t="shared" si="54"/>
        <v>0</v>
      </c>
      <c r="P506" s="211">
        <f t="shared" si="54"/>
        <v>0</v>
      </c>
      <c r="Q506" s="212"/>
    </row>
    <row r="507" spans="1:17" s="219" customFormat="1" hidden="1" x14ac:dyDescent="0.25">
      <c r="A507" s="214"/>
      <c r="B507" s="215" t="s">
        <v>1822</v>
      </c>
      <c r="C507" s="215" t="s">
        <v>1823</v>
      </c>
      <c r="D507" s="215" t="s">
        <v>1836</v>
      </c>
      <c r="E507" s="215" t="s">
        <v>2326</v>
      </c>
      <c r="F507" s="215" t="s">
        <v>1836</v>
      </c>
      <c r="G507" s="215" t="s">
        <v>58</v>
      </c>
      <c r="H507" s="216" t="s">
        <v>2333</v>
      </c>
      <c r="I507" s="217"/>
      <c r="J507" s="217"/>
      <c r="K507" s="217"/>
      <c r="L507" s="217"/>
      <c r="M507" s="217"/>
      <c r="N507" s="217"/>
      <c r="O507" s="217"/>
      <c r="P507" s="217"/>
      <c r="Q507" s="218"/>
    </row>
    <row r="508" spans="1:17" s="219" customFormat="1" hidden="1" x14ac:dyDescent="0.25">
      <c r="A508" s="214"/>
      <c r="B508" s="215" t="s">
        <v>1822</v>
      </c>
      <c r="C508" s="215" t="s">
        <v>1823</v>
      </c>
      <c r="D508" s="215" t="s">
        <v>1836</v>
      </c>
      <c r="E508" s="215" t="s">
        <v>2326</v>
      </c>
      <c r="F508" s="215" t="s">
        <v>1836</v>
      </c>
      <c r="G508" s="215" t="s">
        <v>75</v>
      </c>
      <c r="H508" s="216" t="s">
        <v>2334</v>
      </c>
      <c r="I508" s="217"/>
      <c r="J508" s="217"/>
      <c r="K508" s="217"/>
      <c r="L508" s="217"/>
      <c r="M508" s="217"/>
      <c r="N508" s="217"/>
      <c r="O508" s="217"/>
      <c r="P508" s="217"/>
      <c r="Q508" s="218"/>
    </row>
    <row r="509" spans="1:17" s="219" customFormat="1" hidden="1" x14ac:dyDescent="0.25">
      <c r="A509" s="214"/>
      <c r="B509" s="215" t="s">
        <v>1822</v>
      </c>
      <c r="C509" s="215" t="s">
        <v>1823</v>
      </c>
      <c r="D509" s="215" t="s">
        <v>1836</v>
      </c>
      <c r="E509" s="215" t="s">
        <v>2326</v>
      </c>
      <c r="F509" s="215" t="s">
        <v>1836</v>
      </c>
      <c r="G509" s="215" t="s">
        <v>79</v>
      </c>
      <c r="H509" s="216" t="s">
        <v>2335</v>
      </c>
      <c r="I509" s="217"/>
      <c r="J509" s="217"/>
      <c r="K509" s="217"/>
      <c r="L509" s="217"/>
      <c r="M509" s="217"/>
      <c r="N509" s="217"/>
      <c r="O509" s="217"/>
      <c r="P509" s="217"/>
      <c r="Q509" s="218"/>
    </row>
    <row r="510" spans="1:17" s="219" customFormat="1" hidden="1" x14ac:dyDescent="0.25">
      <c r="A510" s="214"/>
      <c r="B510" s="215" t="s">
        <v>1822</v>
      </c>
      <c r="C510" s="215" t="s">
        <v>1823</v>
      </c>
      <c r="D510" s="215" t="s">
        <v>1836</v>
      </c>
      <c r="E510" s="215" t="s">
        <v>2326</v>
      </c>
      <c r="F510" s="215" t="s">
        <v>1836</v>
      </c>
      <c r="G510" s="215" t="s">
        <v>84</v>
      </c>
      <c r="H510" s="216" t="s">
        <v>2336</v>
      </c>
      <c r="I510" s="217"/>
      <c r="J510" s="217"/>
      <c r="K510" s="217"/>
      <c r="L510" s="217"/>
      <c r="M510" s="217"/>
      <c r="N510" s="217"/>
      <c r="O510" s="217"/>
      <c r="P510" s="217"/>
      <c r="Q510" s="218"/>
    </row>
    <row r="511" spans="1:17" s="213" customFormat="1" hidden="1" x14ac:dyDescent="0.25">
      <c r="A511" s="208" t="s">
        <v>2337</v>
      </c>
      <c r="B511" s="209" t="s">
        <v>1822</v>
      </c>
      <c r="C511" s="209" t="s">
        <v>1823</v>
      </c>
      <c r="D511" s="209" t="s">
        <v>1836</v>
      </c>
      <c r="E511" s="209" t="s">
        <v>2338</v>
      </c>
      <c r="F511" s="209"/>
      <c r="G511" s="209"/>
      <c r="H511" s="210" t="s">
        <v>2339</v>
      </c>
      <c r="I511" s="211">
        <f>SUM(I512+I516)</f>
        <v>0</v>
      </c>
      <c r="J511" s="211">
        <f t="shared" ref="J511:P511" si="55">SUM(J512+J516)</f>
        <v>0</v>
      </c>
      <c r="K511" s="211">
        <f t="shared" si="55"/>
        <v>0</v>
      </c>
      <c r="L511" s="211">
        <f t="shared" si="55"/>
        <v>0</v>
      </c>
      <c r="M511" s="211">
        <f t="shared" si="55"/>
        <v>0</v>
      </c>
      <c r="N511" s="211">
        <f t="shared" si="55"/>
        <v>0</v>
      </c>
      <c r="O511" s="211">
        <f t="shared" si="55"/>
        <v>0</v>
      </c>
      <c r="P511" s="211">
        <f t="shared" si="55"/>
        <v>0</v>
      </c>
      <c r="Q511" s="212"/>
    </row>
    <row r="512" spans="1:17" s="213" customFormat="1" hidden="1" x14ac:dyDescent="0.25">
      <c r="A512" s="208" t="s">
        <v>263</v>
      </c>
      <c r="B512" s="209" t="s">
        <v>1822</v>
      </c>
      <c r="C512" s="209" t="s">
        <v>1823</v>
      </c>
      <c r="D512" s="209" t="s">
        <v>1836</v>
      </c>
      <c r="E512" s="209" t="s">
        <v>2338</v>
      </c>
      <c r="F512" s="209" t="s">
        <v>1825</v>
      </c>
      <c r="G512" s="209"/>
      <c r="H512" s="210" t="s">
        <v>2340</v>
      </c>
      <c r="I512" s="211">
        <f>SUM(I513:I515)</f>
        <v>0</v>
      </c>
      <c r="J512" s="211">
        <f t="shared" ref="J512:P512" si="56">SUM(J513:J515)</f>
        <v>0</v>
      </c>
      <c r="K512" s="211">
        <f t="shared" si="56"/>
        <v>0</v>
      </c>
      <c r="L512" s="211">
        <f t="shared" si="56"/>
        <v>0</v>
      </c>
      <c r="M512" s="211">
        <f t="shared" si="56"/>
        <v>0</v>
      </c>
      <c r="N512" s="211">
        <f t="shared" si="56"/>
        <v>0</v>
      </c>
      <c r="O512" s="211">
        <f t="shared" si="56"/>
        <v>0</v>
      </c>
      <c r="P512" s="211">
        <f t="shared" si="56"/>
        <v>0</v>
      </c>
      <c r="Q512" s="212"/>
    </row>
    <row r="513" spans="1:17" s="219" customFormat="1" hidden="1" x14ac:dyDescent="0.25">
      <c r="A513" s="214"/>
      <c r="B513" s="215" t="s">
        <v>1822</v>
      </c>
      <c r="C513" s="215" t="s">
        <v>1823</v>
      </c>
      <c r="D513" s="215" t="s">
        <v>1836</v>
      </c>
      <c r="E513" s="215" t="s">
        <v>2338</v>
      </c>
      <c r="F513" s="215" t="s">
        <v>1825</v>
      </c>
      <c r="G513" s="215" t="s">
        <v>58</v>
      </c>
      <c r="H513" s="216" t="s">
        <v>2341</v>
      </c>
      <c r="I513" s="217"/>
      <c r="J513" s="217"/>
      <c r="K513" s="217"/>
      <c r="L513" s="217"/>
      <c r="M513" s="217"/>
      <c r="N513" s="217"/>
      <c r="O513" s="217"/>
      <c r="P513" s="217"/>
      <c r="Q513" s="218"/>
    </row>
    <row r="514" spans="1:17" s="219" customFormat="1" hidden="1" x14ac:dyDescent="0.25">
      <c r="A514" s="214"/>
      <c r="B514" s="215" t="s">
        <v>1822</v>
      </c>
      <c r="C514" s="215" t="s">
        <v>1823</v>
      </c>
      <c r="D514" s="215" t="s">
        <v>1836</v>
      </c>
      <c r="E514" s="215" t="s">
        <v>2338</v>
      </c>
      <c r="F514" s="215" t="s">
        <v>1825</v>
      </c>
      <c r="G514" s="215" t="s">
        <v>75</v>
      </c>
      <c r="H514" s="216" t="s">
        <v>2342</v>
      </c>
      <c r="I514" s="217"/>
      <c r="J514" s="217"/>
      <c r="K514" s="217"/>
      <c r="L514" s="217"/>
      <c r="M514" s="217"/>
      <c r="N514" s="217"/>
      <c r="O514" s="217"/>
      <c r="P514" s="217"/>
      <c r="Q514" s="218"/>
    </row>
    <row r="515" spans="1:17" s="219" customFormat="1" hidden="1" x14ac:dyDescent="0.25">
      <c r="A515" s="214"/>
      <c r="B515" s="215" t="s">
        <v>1822</v>
      </c>
      <c r="C515" s="215" t="s">
        <v>1823</v>
      </c>
      <c r="D515" s="215" t="s">
        <v>1836</v>
      </c>
      <c r="E515" s="215" t="s">
        <v>2338</v>
      </c>
      <c r="F515" s="215" t="s">
        <v>1825</v>
      </c>
      <c r="G515" s="215" t="s">
        <v>79</v>
      </c>
      <c r="H515" s="216" t="s">
        <v>2343</v>
      </c>
      <c r="I515" s="217"/>
      <c r="J515" s="217"/>
      <c r="K515" s="217"/>
      <c r="L515" s="217"/>
      <c r="M515" s="217"/>
      <c r="N515" s="217"/>
      <c r="O515" s="217"/>
      <c r="P515" s="217"/>
      <c r="Q515" s="218"/>
    </row>
    <row r="516" spans="1:17" s="213" customFormat="1" hidden="1" x14ac:dyDescent="0.25">
      <c r="A516" s="208" t="s">
        <v>263</v>
      </c>
      <c r="B516" s="209" t="s">
        <v>1822</v>
      </c>
      <c r="C516" s="209" t="s">
        <v>1823</v>
      </c>
      <c r="D516" s="209" t="s">
        <v>1836</v>
      </c>
      <c r="E516" s="209" t="s">
        <v>2338</v>
      </c>
      <c r="F516" s="209" t="s">
        <v>1836</v>
      </c>
      <c r="G516" s="209"/>
      <c r="H516" s="210" t="s">
        <v>2344</v>
      </c>
      <c r="I516" s="211">
        <f>SUM(I517:I521)</f>
        <v>0</v>
      </c>
      <c r="J516" s="211">
        <f t="shared" ref="J516:P516" si="57">SUM(J517:J521)</f>
        <v>0</v>
      </c>
      <c r="K516" s="211">
        <f t="shared" si="57"/>
        <v>0</v>
      </c>
      <c r="L516" s="211">
        <f t="shared" si="57"/>
        <v>0</v>
      </c>
      <c r="M516" s="211">
        <f t="shared" si="57"/>
        <v>0</v>
      </c>
      <c r="N516" s="211">
        <f t="shared" si="57"/>
        <v>0</v>
      </c>
      <c r="O516" s="211">
        <f t="shared" si="57"/>
        <v>0</v>
      </c>
      <c r="P516" s="211">
        <f t="shared" si="57"/>
        <v>0</v>
      </c>
      <c r="Q516" s="212"/>
    </row>
    <row r="517" spans="1:17" s="219" customFormat="1" hidden="1" x14ac:dyDescent="0.25">
      <c r="A517" s="214"/>
      <c r="B517" s="215" t="s">
        <v>1822</v>
      </c>
      <c r="C517" s="215" t="s">
        <v>1823</v>
      </c>
      <c r="D517" s="215" t="s">
        <v>1836</v>
      </c>
      <c r="E517" s="215" t="s">
        <v>2338</v>
      </c>
      <c r="F517" s="215" t="s">
        <v>1836</v>
      </c>
      <c r="G517" s="215" t="s">
        <v>58</v>
      </c>
      <c r="H517" s="216" t="s">
        <v>2345</v>
      </c>
      <c r="I517" s="217"/>
      <c r="J517" s="217"/>
      <c r="K517" s="217"/>
      <c r="L517" s="217"/>
      <c r="M517" s="217"/>
      <c r="N517" s="217"/>
      <c r="O517" s="217"/>
      <c r="P517" s="217"/>
      <c r="Q517" s="218"/>
    </row>
    <row r="518" spans="1:17" s="219" customFormat="1" hidden="1" x14ac:dyDescent="0.25">
      <c r="A518" s="214"/>
      <c r="B518" s="215" t="s">
        <v>1822</v>
      </c>
      <c r="C518" s="215" t="s">
        <v>1823</v>
      </c>
      <c r="D518" s="215" t="s">
        <v>1836</v>
      </c>
      <c r="E518" s="215" t="s">
        <v>2338</v>
      </c>
      <c r="F518" s="215" t="s">
        <v>1836</v>
      </c>
      <c r="G518" s="215" t="s">
        <v>75</v>
      </c>
      <c r="H518" s="216" t="s">
        <v>2346</v>
      </c>
      <c r="I518" s="217"/>
      <c r="J518" s="217"/>
      <c r="K518" s="217"/>
      <c r="L518" s="217"/>
      <c r="M518" s="217"/>
      <c r="N518" s="217"/>
      <c r="O518" s="217"/>
      <c r="P518" s="217"/>
      <c r="Q518" s="218"/>
    </row>
    <row r="519" spans="1:17" s="219" customFormat="1" hidden="1" x14ac:dyDescent="0.25">
      <c r="A519" s="214"/>
      <c r="B519" s="215" t="s">
        <v>1822</v>
      </c>
      <c r="C519" s="215" t="s">
        <v>1823</v>
      </c>
      <c r="D519" s="215" t="s">
        <v>1836</v>
      </c>
      <c r="E519" s="215" t="s">
        <v>2338</v>
      </c>
      <c r="F519" s="215" t="s">
        <v>1836</v>
      </c>
      <c r="G519" s="215" t="s">
        <v>79</v>
      </c>
      <c r="H519" s="216" t="s">
        <v>2347</v>
      </c>
      <c r="I519" s="217"/>
      <c r="J519" s="217"/>
      <c r="K519" s="217"/>
      <c r="L519" s="217"/>
      <c r="M519" s="217"/>
      <c r="N519" s="217"/>
      <c r="O519" s="217"/>
      <c r="P519" s="217"/>
      <c r="Q519" s="218"/>
    </row>
    <row r="520" spans="1:17" s="219" customFormat="1" hidden="1" x14ac:dyDescent="0.25">
      <c r="A520" s="214"/>
      <c r="B520" s="215" t="s">
        <v>1822</v>
      </c>
      <c r="C520" s="215" t="s">
        <v>1823</v>
      </c>
      <c r="D520" s="215" t="s">
        <v>1836</v>
      </c>
      <c r="E520" s="215" t="s">
        <v>2338</v>
      </c>
      <c r="F520" s="215" t="s">
        <v>1836</v>
      </c>
      <c r="G520" s="215" t="s">
        <v>84</v>
      </c>
      <c r="H520" s="216" t="s">
        <v>2348</v>
      </c>
      <c r="I520" s="217"/>
      <c r="J520" s="217"/>
      <c r="K520" s="217"/>
      <c r="L520" s="217"/>
      <c r="M520" s="217"/>
      <c r="N520" s="217"/>
      <c r="O520" s="217"/>
      <c r="P520" s="217"/>
      <c r="Q520" s="218"/>
    </row>
    <row r="521" spans="1:17" s="219" customFormat="1" hidden="1" x14ac:dyDescent="0.25">
      <c r="A521" s="214"/>
      <c r="B521" s="215" t="s">
        <v>1822</v>
      </c>
      <c r="C521" s="215" t="s">
        <v>1823</v>
      </c>
      <c r="D521" s="215" t="s">
        <v>1836</v>
      </c>
      <c r="E521" s="215" t="s">
        <v>2338</v>
      </c>
      <c r="F521" s="215" t="s">
        <v>1836</v>
      </c>
      <c r="G521" s="215" t="s">
        <v>88</v>
      </c>
      <c r="H521" s="216" t="s">
        <v>2349</v>
      </c>
      <c r="I521" s="217"/>
      <c r="J521" s="217"/>
      <c r="K521" s="217"/>
      <c r="L521" s="217"/>
      <c r="M521" s="217"/>
      <c r="N521" s="217"/>
      <c r="O521" s="217"/>
      <c r="P521" s="217"/>
      <c r="Q521" s="218"/>
    </row>
    <row r="522" spans="1:17" s="213" customFormat="1" ht="30" hidden="1" x14ac:dyDescent="0.25">
      <c r="A522" s="208" t="s">
        <v>2350</v>
      </c>
      <c r="B522" s="209" t="s">
        <v>1822</v>
      </c>
      <c r="C522" s="209" t="s">
        <v>1823</v>
      </c>
      <c r="D522" s="209" t="s">
        <v>1836</v>
      </c>
      <c r="E522" s="209" t="s">
        <v>2351</v>
      </c>
      <c r="F522" s="209"/>
      <c r="G522" s="209"/>
      <c r="H522" s="210" t="s">
        <v>2352</v>
      </c>
      <c r="I522" s="211">
        <f>SUM(I523+I527+I530)</f>
        <v>0</v>
      </c>
      <c r="J522" s="211">
        <f t="shared" ref="J522:P522" si="58">SUM(J523+J527+J530)</f>
        <v>0</v>
      </c>
      <c r="K522" s="211">
        <f t="shared" si="58"/>
        <v>0</v>
      </c>
      <c r="L522" s="211">
        <f t="shared" si="58"/>
        <v>0</v>
      </c>
      <c r="M522" s="211">
        <f t="shared" si="58"/>
        <v>0</v>
      </c>
      <c r="N522" s="211">
        <f t="shared" si="58"/>
        <v>0</v>
      </c>
      <c r="O522" s="211">
        <f t="shared" si="58"/>
        <v>0</v>
      </c>
      <c r="P522" s="211">
        <f t="shared" si="58"/>
        <v>0</v>
      </c>
      <c r="Q522" s="212"/>
    </row>
    <row r="523" spans="1:17" s="213" customFormat="1" hidden="1" x14ac:dyDescent="0.25">
      <c r="A523" s="208" t="s">
        <v>263</v>
      </c>
      <c r="B523" s="209" t="s">
        <v>1822</v>
      </c>
      <c r="C523" s="209" t="s">
        <v>1823</v>
      </c>
      <c r="D523" s="209" t="s">
        <v>1836</v>
      </c>
      <c r="E523" s="209" t="s">
        <v>2351</v>
      </c>
      <c r="F523" s="209" t="s">
        <v>1825</v>
      </c>
      <c r="G523" s="209"/>
      <c r="H523" s="210" t="s">
        <v>2353</v>
      </c>
      <c r="I523" s="211">
        <f>SUM(I524:I526)</f>
        <v>0</v>
      </c>
      <c r="J523" s="211">
        <f t="shared" ref="J523:P523" si="59">SUM(J524:J526)</f>
        <v>0</v>
      </c>
      <c r="K523" s="211">
        <f t="shared" si="59"/>
        <v>0</v>
      </c>
      <c r="L523" s="211">
        <f t="shared" si="59"/>
        <v>0</v>
      </c>
      <c r="M523" s="211">
        <f t="shared" si="59"/>
        <v>0</v>
      </c>
      <c r="N523" s="211">
        <f t="shared" si="59"/>
        <v>0</v>
      </c>
      <c r="O523" s="211">
        <f t="shared" si="59"/>
        <v>0</v>
      </c>
      <c r="P523" s="211">
        <f t="shared" si="59"/>
        <v>0</v>
      </c>
      <c r="Q523" s="212"/>
    </row>
    <row r="524" spans="1:17" s="219" customFormat="1" hidden="1" x14ac:dyDescent="0.25">
      <c r="A524" s="214"/>
      <c r="B524" s="215" t="s">
        <v>1822</v>
      </c>
      <c r="C524" s="215" t="s">
        <v>1823</v>
      </c>
      <c r="D524" s="215" t="s">
        <v>1836</v>
      </c>
      <c r="E524" s="215" t="s">
        <v>2351</v>
      </c>
      <c r="F524" s="215" t="s">
        <v>1825</v>
      </c>
      <c r="G524" s="215" t="s">
        <v>58</v>
      </c>
      <c r="H524" s="216" t="s">
        <v>2354</v>
      </c>
      <c r="I524" s="217"/>
      <c r="J524" s="217"/>
      <c r="K524" s="217"/>
      <c r="L524" s="217"/>
      <c r="M524" s="217"/>
      <c r="N524" s="217"/>
      <c r="O524" s="217"/>
      <c r="P524" s="217"/>
      <c r="Q524" s="218"/>
    </row>
    <row r="525" spans="1:17" s="219" customFormat="1" hidden="1" x14ac:dyDescent="0.25">
      <c r="A525" s="214"/>
      <c r="B525" s="215" t="s">
        <v>1822</v>
      </c>
      <c r="C525" s="215" t="s">
        <v>1823</v>
      </c>
      <c r="D525" s="215" t="s">
        <v>1836</v>
      </c>
      <c r="E525" s="215" t="s">
        <v>2351</v>
      </c>
      <c r="F525" s="215" t="s">
        <v>1825</v>
      </c>
      <c r="G525" s="215" t="s">
        <v>75</v>
      </c>
      <c r="H525" s="216" t="s">
        <v>2355</v>
      </c>
      <c r="I525" s="217"/>
      <c r="J525" s="217"/>
      <c r="K525" s="217"/>
      <c r="L525" s="217"/>
      <c r="M525" s="217"/>
      <c r="N525" s="217"/>
      <c r="O525" s="217"/>
      <c r="P525" s="217"/>
      <c r="Q525" s="218"/>
    </row>
    <row r="526" spans="1:17" s="219" customFormat="1" hidden="1" x14ac:dyDescent="0.25">
      <c r="A526" s="214"/>
      <c r="B526" s="215" t="s">
        <v>1822</v>
      </c>
      <c r="C526" s="215" t="s">
        <v>1823</v>
      </c>
      <c r="D526" s="215" t="s">
        <v>1836</v>
      </c>
      <c r="E526" s="215" t="s">
        <v>2351</v>
      </c>
      <c r="F526" s="215" t="s">
        <v>1825</v>
      </c>
      <c r="G526" s="215" t="s">
        <v>79</v>
      </c>
      <c r="H526" s="216" t="s">
        <v>2356</v>
      </c>
      <c r="I526" s="217"/>
      <c r="J526" s="217"/>
      <c r="K526" s="217"/>
      <c r="L526" s="217"/>
      <c r="M526" s="217"/>
      <c r="N526" s="217"/>
      <c r="O526" s="217"/>
      <c r="P526" s="217"/>
      <c r="Q526" s="218"/>
    </row>
    <row r="527" spans="1:17" s="213" customFormat="1" hidden="1" x14ac:dyDescent="0.25">
      <c r="A527" s="208" t="s">
        <v>263</v>
      </c>
      <c r="B527" s="209" t="s">
        <v>1822</v>
      </c>
      <c r="C527" s="209" t="s">
        <v>1823</v>
      </c>
      <c r="D527" s="209" t="s">
        <v>1836</v>
      </c>
      <c r="E527" s="209" t="s">
        <v>2351</v>
      </c>
      <c r="F527" s="209" t="s">
        <v>1836</v>
      </c>
      <c r="G527" s="209"/>
      <c r="H527" s="210" t="s">
        <v>2357</v>
      </c>
      <c r="I527" s="211">
        <f>SUM(I528:I529)</f>
        <v>0</v>
      </c>
      <c r="J527" s="211">
        <f t="shared" ref="J527:P527" si="60">SUM(J528:J529)</f>
        <v>0</v>
      </c>
      <c r="K527" s="211">
        <f t="shared" si="60"/>
        <v>0</v>
      </c>
      <c r="L527" s="211">
        <f t="shared" si="60"/>
        <v>0</v>
      </c>
      <c r="M527" s="211">
        <f t="shared" si="60"/>
        <v>0</v>
      </c>
      <c r="N527" s="211">
        <f t="shared" si="60"/>
        <v>0</v>
      </c>
      <c r="O527" s="211">
        <f t="shared" si="60"/>
        <v>0</v>
      </c>
      <c r="P527" s="211">
        <f t="shared" si="60"/>
        <v>0</v>
      </c>
      <c r="Q527" s="212"/>
    </row>
    <row r="528" spans="1:17" s="219" customFormat="1" hidden="1" x14ac:dyDescent="0.25">
      <c r="A528" s="214"/>
      <c r="B528" s="215" t="s">
        <v>1822</v>
      </c>
      <c r="C528" s="215" t="s">
        <v>1823</v>
      </c>
      <c r="D528" s="215" t="s">
        <v>1836</v>
      </c>
      <c r="E528" s="215" t="s">
        <v>2351</v>
      </c>
      <c r="F528" s="215" t="s">
        <v>1836</v>
      </c>
      <c r="G528" s="215" t="s">
        <v>58</v>
      </c>
      <c r="H528" s="216" t="s">
        <v>2358</v>
      </c>
      <c r="I528" s="217"/>
      <c r="J528" s="217"/>
      <c r="K528" s="217"/>
      <c r="L528" s="217"/>
      <c r="M528" s="217"/>
      <c r="N528" s="217"/>
      <c r="O528" s="217"/>
      <c r="P528" s="217"/>
      <c r="Q528" s="218"/>
    </row>
    <row r="529" spans="1:17" s="219" customFormat="1" hidden="1" x14ac:dyDescent="0.25">
      <c r="A529" s="214"/>
      <c r="B529" s="215" t="s">
        <v>1822</v>
      </c>
      <c r="C529" s="215" t="s">
        <v>1823</v>
      </c>
      <c r="D529" s="215" t="s">
        <v>1836</v>
      </c>
      <c r="E529" s="215" t="s">
        <v>2351</v>
      </c>
      <c r="F529" s="215" t="s">
        <v>1836</v>
      </c>
      <c r="G529" s="215" t="s">
        <v>75</v>
      </c>
      <c r="H529" s="216" t="s">
        <v>2359</v>
      </c>
      <c r="I529" s="217"/>
      <c r="J529" s="217"/>
      <c r="K529" s="217"/>
      <c r="L529" s="217"/>
      <c r="M529" s="217"/>
      <c r="N529" s="217"/>
      <c r="O529" s="217"/>
      <c r="P529" s="217"/>
      <c r="Q529" s="218"/>
    </row>
    <row r="530" spans="1:17" s="213" customFormat="1" hidden="1" x14ac:dyDescent="0.25">
      <c r="A530" s="208" t="s">
        <v>263</v>
      </c>
      <c r="B530" s="209" t="s">
        <v>1822</v>
      </c>
      <c r="C530" s="209" t="s">
        <v>1823</v>
      </c>
      <c r="D530" s="209" t="s">
        <v>1836</v>
      </c>
      <c r="E530" s="209" t="s">
        <v>2351</v>
      </c>
      <c r="F530" s="209" t="s">
        <v>1847</v>
      </c>
      <c r="G530" s="209"/>
      <c r="H530" s="210" t="s">
        <v>2360</v>
      </c>
      <c r="I530" s="211">
        <f>SUM(I531:I535)</f>
        <v>0</v>
      </c>
      <c r="J530" s="211">
        <f t="shared" ref="J530:P530" si="61">SUM(J531:J535)</f>
        <v>0</v>
      </c>
      <c r="K530" s="211">
        <f t="shared" si="61"/>
        <v>0</v>
      </c>
      <c r="L530" s="211">
        <f t="shared" si="61"/>
        <v>0</v>
      </c>
      <c r="M530" s="211">
        <f t="shared" si="61"/>
        <v>0</v>
      </c>
      <c r="N530" s="211">
        <f t="shared" si="61"/>
        <v>0</v>
      </c>
      <c r="O530" s="211">
        <f t="shared" si="61"/>
        <v>0</v>
      </c>
      <c r="P530" s="211">
        <f t="shared" si="61"/>
        <v>0</v>
      </c>
      <c r="Q530" s="212"/>
    </row>
    <row r="531" spans="1:17" s="219" customFormat="1" hidden="1" x14ac:dyDescent="0.25">
      <c r="A531" s="214"/>
      <c r="B531" s="215" t="s">
        <v>1822</v>
      </c>
      <c r="C531" s="215" t="s">
        <v>1823</v>
      </c>
      <c r="D531" s="215" t="s">
        <v>1836</v>
      </c>
      <c r="E531" s="215" t="s">
        <v>2351</v>
      </c>
      <c r="F531" s="215" t="s">
        <v>1847</v>
      </c>
      <c r="G531" s="215" t="s">
        <v>58</v>
      </c>
      <c r="H531" s="216" t="s">
        <v>2361</v>
      </c>
      <c r="I531" s="217"/>
      <c r="J531" s="217"/>
      <c r="K531" s="217"/>
      <c r="L531" s="217"/>
      <c r="M531" s="217"/>
      <c r="N531" s="217"/>
      <c r="O531" s="217"/>
      <c r="P531" s="217"/>
      <c r="Q531" s="218"/>
    </row>
    <row r="532" spans="1:17" s="219" customFormat="1" hidden="1" x14ac:dyDescent="0.25">
      <c r="A532" s="214"/>
      <c r="B532" s="215" t="s">
        <v>1822</v>
      </c>
      <c r="C532" s="215" t="s">
        <v>1823</v>
      </c>
      <c r="D532" s="215" t="s">
        <v>1836</v>
      </c>
      <c r="E532" s="215" t="s">
        <v>2351</v>
      </c>
      <c r="F532" s="215" t="s">
        <v>1847</v>
      </c>
      <c r="G532" s="215" t="s">
        <v>75</v>
      </c>
      <c r="H532" s="216" t="s">
        <v>2362</v>
      </c>
      <c r="I532" s="217"/>
      <c r="J532" s="217"/>
      <c r="K532" s="217"/>
      <c r="L532" s="217"/>
      <c r="M532" s="217"/>
      <c r="N532" s="217"/>
      <c r="O532" s="217"/>
      <c r="P532" s="217"/>
      <c r="Q532" s="218"/>
    </row>
    <row r="533" spans="1:17" s="219" customFormat="1" hidden="1" x14ac:dyDescent="0.25">
      <c r="A533" s="214"/>
      <c r="B533" s="215" t="s">
        <v>1822</v>
      </c>
      <c r="C533" s="215" t="s">
        <v>1823</v>
      </c>
      <c r="D533" s="215" t="s">
        <v>1836</v>
      </c>
      <c r="E533" s="215" t="s">
        <v>2351</v>
      </c>
      <c r="F533" s="215" t="s">
        <v>1847</v>
      </c>
      <c r="G533" s="215" t="s">
        <v>79</v>
      </c>
      <c r="H533" s="216" t="s">
        <v>2363</v>
      </c>
      <c r="I533" s="217"/>
      <c r="J533" s="217"/>
      <c r="K533" s="217"/>
      <c r="L533" s="217"/>
      <c r="M533" s="217"/>
      <c r="N533" s="217"/>
      <c r="O533" s="217"/>
      <c r="P533" s="217"/>
      <c r="Q533" s="218"/>
    </row>
    <row r="534" spans="1:17" s="219" customFormat="1" hidden="1" x14ac:dyDescent="0.25">
      <c r="A534" s="214"/>
      <c r="B534" s="215" t="s">
        <v>1822</v>
      </c>
      <c r="C534" s="215" t="s">
        <v>1823</v>
      </c>
      <c r="D534" s="215" t="s">
        <v>1836</v>
      </c>
      <c r="E534" s="215" t="s">
        <v>2351</v>
      </c>
      <c r="F534" s="215" t="s">
        <v>1847</v>
      </c>
      <c r="G534" s="215" t="s">
        <v>84</v>
      </c>
      <c r="H534" s="216" t="s">
        <v>2364</v>
      </c>
      <c r="I534" s="217"/>
      <c r="J534" s="217"/>
      <c r="K534" s="217"/>
      <c r="L534" s="217"/>
      <c r="M534" s="217"/>
      <c r="N534" s="217"/>
      <c r="O534" s="217"/>
      <c r="P534" s="217"/>
      <c r="Q534" s="218"/>
    </row>
    <row r="535" spans="1:17" s="219" customFormat="1" hidden="1" x14ac:dyDescent="0.25">
      <c r="A535" s="214"/>
      <c r="B535" s="215" t="s">
        <v>1822</v>
      </c>
      <c r="C535" s="215" t="s">
        <v>1823</v>
      </c>
      <c r="D535" s="215" t="s">
        <v>1836</v>
      </c>
      <c r="E535" s="215" t="s">
        <v>2351</v>
      </c>
      <c r="F535" s="215" t="s">
        <v>1847</v>
      </c>
      <c r="G535" s="215" t="s">
        <v>88</v>
      </c>
      <c r="H535" s="216" t="s">
        <v>2365</v>
      </c>
      <c r="I535" s="217"/>
      <c r="J535" s="217"/>
      <c r="K535" s="217"/>
      <c r="L535" s="217"/>
      <c r="M535" s="217"/>
      <c r="N535" s="217"/>
      <c r="O535" s="217"/>
      <c r="P535" s="217"/>
      <c r="Q535" s="218"/>
    </row>
    <row r="536" spans="1:17" s="213" customFormat="1" hidden="1" x14ac:dyDescent="0.25">
      <c r="A536" s="208" t="s">
        <v>2366</v>
      </c>
      <c r="B536" s="209" t="s">
        <v>1822</v>
      </c>
      <c r="C536" s="209" t="s">
        <v>1823</v>
      </c>
      <c r="D536" s="209" t="s">
        <v>1836</v>
      </c>
      <c r="E536" s="209" t="s">
        <v>2367</v>
      </c>
      <c r="F536" s="209"/>
      <c r="G536" s="209"/>
      <c r="H536" s="210" t="s">
        <v>2368</v>
      </c>
      <c r="I536" s="211">
        <f>SUM(I537+I541)</f>
        <v>0</v>
      </c>
      <c r="J536" s="211">
        <f t="shared" ref="J536:P536" si="62">SUM(J537+J541)</f>
        <v>0</v>
      </c>
      <c r="K536" s="211">
        <f t="shared" si="62"/>
        <v>0</v>
      </c>
      <c r="L536" s="211">
        <f t="shared" si="62"/>
        <v>0</v>
      </c>
      <c r="M536" s="211">
        <f t="shared" si="62"/>
        <v>0</v>
      </c>
      <c r="N536" s="211">
        <f t="shared" si="62"/>
        <v>0</v>
      </c>
      <c r="O536" s="211">
        <f t="shared" si="62"/>
        <v>0</v>
      </c>
      <c r="P536" s="211">
        <f t="shared" si="62"/>
        <v>0</v>
      </c>
      <c r="Q536" s="212"/>
    </row>
    <row r="537" spans="1:17" s="213" customFormat="1" hidden="1" x14ac:dyDescent="0.25">
      <c r="A537" s="208" t="s">
        <v>263</v>
      </c>
      <c r="B537" s="209" t="s">
        <v>1822</v>
      </c>
      <c r="C537" s="209" t="s">
        <v>1823</v>
      </c>
      <c r="D537" s="209" t="s">
        <v>1836</v>
      </c>
      <c r="E537" s="209" t="s">
        <v>2367</v>
      </c>
      <c r="F537" s="209" t="s">
        <v>1825</v>
      </c>
      <c r="G537" s="209"/>
      <c r="H537" s="210" t="s">
        <v>2368</v>
      </c>
      <c r="I537" s="211">
        <f>SUM(I538:I540)</f>
        <v>0</v>
      </c>
      <c r="J537" s="211">
        <f t="shared" ref="J537:P537" si="63">SUM(J538:J540)</f>
        <v>0</v>
      </c>
      <c r="K537" s="211">
        <f t="shared" si="63"/>
        <v>0</v>
      </c>
      <c r="L537" s="211">
        <f t="shared" si="63"/>
        <v>0</v>
      </c>
      <c r="M537" s="211">
        <f t="shared" si="63"/>
        <v>0</v>
      </c>
      <c r="N537" s="211">
        <f t="shared" si="63"/>
        <v>0</v>
      </c>
      <c r="O537" s="211">
        <f t="shared" si="63"/>
        <v>0</v>
      </c>
      <c r="P537" s="211">
        <f t="shared" si="63"/>
        <v>0</v>
      </c>
      <c r="Q537" s="212"/>
    </row>
    <row r="538" spans="1:17" s="219" customFormat="1" hidden="1" x14ac:dyDescent="0.25">
      <c r="A538" s="214"/>
      <c r="B538" s="215" t="s">
        <v>1822</v>
      </c>
      <c r="C538" s="215" t="s">
        <v>1823</v>
      </c>
      <c r="D538" s="215" t="s">
        <v>1836</v>
      </c>
      <c r="E538" s="215" t="s">
        <v>2367</v>
      </c>
      <c r="F538" s="215" t="s">
        <v>1825</v>
      </c>
      <c r="G538" s="215" t="s">
        <v>58</v>
      </c>
      <c r="H538" s="216" t="s">
        <v>2333</v>
      </c>
      <c r="I538" s="217"/>
      <c r="J538" s="217"/>
      <c r="K538" s="217"/>
      <c r="L538" s="217"/>
      <c r="M538" s="217"/>
      <c r="N538" s="217"/>
      <c r="O538" s="217"/>
      <c r="P538" s="217"/>
      <c r="Q538" s="218"/>
    </row>
    <row r="539" spans="1:17" s="219" customFormat="1" hidden="1" x14ac:dyDescent="0.25">
      <c r="A539" s="214"/>
      <c r="B539" s="215" t="s">
        <v>1822</v>
      </c>
      <c r="C539" s="215" t="s">
        <v>1823</v>
      </c>
      <c r="D539" s="215" t="s">
        <v>1836</v>
      </c>
      <c r="E539" s="215" t="s">
        <v>2367</v>
      </c>
      <c r="F539" s="215" t="s">
        <v>1825</v>
      </c>
      <c r="G539" s="215" t="s">
        <v>75</v>
      </c>
      <c r="H539" s="216" t="s">
        <v>2369</v>
      </c>
      <c r="I539" s="217"/>
      <c r="J539" s="217"/>
      <c r="K539" s="217"/>
      <c r="L539" s="217"/>
      <c r="M539" s="217"/>
      <c r="N539" s="217"/>
      <c r="O539" s="217"/>
      <c r="P539" s="217"/>
      <c r="Q539" s="218"/>
    </row>
    <row r="540" spans="1:17" s="219" customFormat="1" hidden="1" x14ac:dyDescent="0.25">
      <c r="A540" s="214"/>
      <c r="B540" s="215" t="s">
        <v>1822</v>
      </c>
      <c r="C540" s="215" t="s">
        <v>1823</v>
      </c>
      <c r="D540" s="215" t="s">
        <v>1836</v>
      </c>
      <c r="E540" s="215" t="s">
        <v>2367</v>
      </c>
      <c r="F540" s="215" t="s">
        <v>1825</v>
      </c>
      <c r="G540" s="215" t="s">
        <v>79</v>
      </c>
      <c r="H540" s="216" t="s">
        <v>2370</v>
      </c>
      <c r="I540" s="217"/>
      <c r="J540" s="217"/>
      <c r="K540" s="217"/>
      <c r="L540" s="217"/>
      <c r="M540" s="217"/>
      <c r="N540" s="217"/>
      <c r="O540" s="217"/>
      <c r="P540" s="217"/>
      <c r="Q540" s="218"/>
    </row>
    <row r="541" spans="1:17" s="213" customFormat="1" hidden="1" x14ac:dyDescent="0.25">
      <c r="A541" s="208" t="s">
        <v>263</v>
      </c>
      <c r="B541" s="209" t="s">
        <v>1822</v>
      </c>
      <c r="C541" s="209" t="s">
        <v>1823</v>
      </c>
      <c r="D541" s="209" t="s">
        <v>1836</v>
      </c>
      <c r="E541" s="209" t="s">
        <v>2367</v>
      </c>
      <c r="F541" s="209" t="s">
        <v>1836</v>
      </c>
      <c r="G541" s="209"/>
      <c r="H541" s="210" t="s">
        <v>2371</v>
      </c>
      <c r="I541" s="211">
        <f>SUM(I542:I544)</f>
        <v>0</v>
      </c>
      <c r="J541" s="211">
        <f t="shared" ref="J541:P541" si="64">SUM(J542:J544)</f>
        <v>0</v>
      </c>
      <c r="K541" s="211">
        <f t="shared" si="64"/>
        <v>0</v>
      </c>
      <c r="L541" s="211">
        <f t="shared" si="64"/>
        <v>0</v>
      </c>
      <c r="M541" s="211">
        <f t="shared" si="64"/>
        <v>0</v>
      </c>
      <c r="N541" s="211">
        <f t="shared" si="64"/>
        <v>0</v>
      </c>
      <c r="O541" s="211">
        <f t="shared" si="64"/>
        <v>0</v>
      </c>
      <c r="P541" s="211">
        <f t="shared" si="64"/>
        <v>0</v>
      </c>
      <c r="Q541" s="212"/>
    </row>
    <row r="542" spans="1:17" s="219" customFormat="1" hidden="1" x14ac:dyDescent="0.25">
      <c r="A542" s="214"/>
      <c r="B542" s="215" t="s">
        <v>1822</v>
      </c>
      <c r="C542" s="215" t="s">
        <v>1823</v>
      </c>
      <c r="D542" s="215" t="s">
        <v>1836</v>
      </c>
      <c r="E542" s="215" t="s">
        <v>2367</v>
      </c>
      <c r="F542" s="215" t="s">
        <v>1836</v>
      </c>
      <c r="G542" s="215" t="s">
        <v>58</v>
      </c>
      <c r="H542" s="216" t="s">
        <v>2372</v>
      </c>
      <c r="I542" s="217"/>
      <c r="J542" s="217"/>
      <c r="K542" s="217"/>
      <c r="L542" s="217"/>
      <c r="M542" s="217"/>
      <c r="N542" s="217"/>
      <c r="O542" s="217"/>
      <c r="P542" s="217"/>
      <c r="Q542" s="218"/>
    </row>
    <row r="543" spans="1:17" s="219" customFormat="1" hidden="1" x14ac:dyDescent="0.25">
      <c r="A543" s="214"/>
      <c r="B543" s="215" t="s">
        <v>1822</v>
      </c>
      <c r="C543" s="215" t="s">
        <v>1823</v>
      </c>
      <c r="D543" s="215" t="s">
        <v>1836</v>
      </c>
      <c r="E543" s="215" t="s">
        <v>2367</v>
      </c>
      <c r="F543" s="215" t="s">
        <v>1836</v>
      </c>
      <c r="G543" s="215" t="s">
        <v>75</v>
      </c>
      <c r="H543" s="216" t="s">
        <v>2373</v>
      </c>
      <c r="I543" s="217"/>
      <c r="J543" s="217"/>
      <c r="K543" s="217"/>
      <c r="L543" s="217"/>
      <c r="M543" s="217"/>
      <c r="N543" s="217"/>
      <c r="O543" s="217"/>
      <c r="P543" s="217"/>
      <c r="Q543" s="218"/>
    </row>
    <row r="544" spans="1:17" s="219" customFormat="1" hidden="1" x14ac:dyDescent="0.25">
      <c r="A544" s="214"/>
      <c r="B544" s="215" t="s">
        <v>1822</v>
      </c>
      <c r="C544" s="215" t="s">
        <v>1823</v>
      </c>
      <c r="D544" s="215" t="s">
        <v>1836</v>
      </c>
      <c r="E544" s="215" t="s">
        <v>2367</v>
      </c>
      <c r="F544" s="215" t="s">
        <v>1836</v>
      </c>
      <c r="G544" s="215" t="s">
        <v>79</v>
      </c>
      <c r="H544" s="216" t="s">
        <v>2374</v>
      </c>
      <c r="I544" s="217"/>
      <c r="J544" s="217"/>
      <c r="K544" s="217"/>
      <c r="L544" s="217"/>
      <c r="M544" s="217"/>
      <c r="N544" s="217"/>
      <c r="O544" s="217"/>
      <c r="P544" s="217"/>
      <c r="Q544" s="218"/>
    </row>
    <row r="545" spans="1:17" s="213" customFormat="1" hidden="1" x14ac:dyDescent="0.25">
      <c r="A545" s="208" t="s">
        <v>2375</v>
      </c>
      <c r="B545" s="209" t="s">
        <v>1822</v>
      </c>
      <c r="C545" s="209" t="s">
        <v>1823</v>
      </c>
      <c r="D545" s="209" t="s">
        <v>1836</v>
      </c>
      <c r="E545" s="209" t="s">
        <v>2376</v>
      </c>
      <c r="F545" s="209"/>
      <c r="G545" s="209"/>
      <c r="H545" s="210" t="s">
        <v>2377</v>
      </c>
      <c r="I545" s="211">
        <f>SUM(I546+I550+I557+I562)</f>
        <v>0</v>
      </c>
      <c r="J545" s="211">
        <f t="shared" ref="J545:P545" si="65">SUM(J546+J550+J557+J562)</f>
        <v>0</v>
      </c>
      <c r="K545" s="211">
        <f t="shared" si="65"/>
        <v>0</v>
      </c>
      <c r="L545" s="211">
        <f t="shared" si="65"/>
        <v>0</v>
      </c>
      <c r="M545" s="211">
        <f t="shared" si="65"/>
        <v>0</v>
      </c>
      <c r="N545" s="211">
        <f t="shared" si="65"/>
        <v>0</v>
      </c>
      <c r="O545" s="211">
        <f t="shared" si="65"/>
        <v>0</v>
      </c>
      <c r="P545" s="211">
        <f t="shared" si="65"/>
        <v>0</v>
      </c>
      <c r="Q545" s="212"/>
    </row>
    <row r="546" spans="1:17" s="213" customFormat="1" hidden="1" x14ac:dyDescent="0.25">
      <c r="A546" s="208" t="s">
        <v>263</v>
      </c>
      <c r="B546" s="209" t="s">
        <v>1822</v>
      </c>
      <c r="C546" s="209" t="s">
        <v>1823</v>
      </c>
      <c r="D546" s="209" t="s">
        <v>1836</v>
      </c>
      <c r="E546" s="209" t="s">
        <v>2376</v>
      </c>
      <c r="F546" s="209" t="s">
        <v>1825</v>
      </c>
      <c r="G546" s="209"/>
      <c r="H546" s="210" t="s">
        <v>2378</v>
      </c>
      <c r="I546" s="211">
        <f>SUM(I547:I549)</f>
        <v>0</v>
      </c>
      <c r="J546" s="211">
        <f t="shared" ref="J546:P546" si="66">SUM(J547:J549)</f>
        <v>0</v>
      </c>
      <c r="K546" s="211">
        <f t="shared" si="66"/>
        <v>0</v>
      </c>
      <c r="L546" s="211">
        <f t="shared" si="66"/>
        <v>0</v>
      </c>
      <c r="M546" s="211">
        <f t="shared" si="66"/>
        <v>0</v>
      </c>
      <c r="N546" s="211">
        <f t="shared" si="66"/>
        <v>0</v>
      </c>
      <c r="O546" s="211">
        <f t="shared" si="66"/>
        <v>0</v>
      </c>
      <c r="P546" s="211">
        <f t="shared" si="66"/>
        <v>0</v>
      </c>
      <c r="Q546" s="212"/>
    </row>
    <row r="547" spans="1:17" s="219" customFormat="1" hidden="1" x14ac:dyDescent="0.25">
      <c r="A547" s="214"/>
      <c r="B547" s="215" t="s">
        <v>1822</v>
      </c>
      <c r="C547" s="215" t="s">
        <v>1823</v>
      </c>
      <c r="D547" s="215" t="s">
        <v>1836</v>
      </c>
      <c r="E547" s="215" t="s">
        <v>2376</v>
      </c>
      <c r="F547" s="215" t="s">
        <v>1825</v>
      </c>
      <c r="G547" s="215" t="s">
        <v>58</v>
      </c>
      <c r="H547" s="216" t="s">
        <v>2379</v>
      </c>
      <c r="I547" s="217"/>
      <c r="J547" s="217"/>
      <c r="K547" s="217"/>
      <c r="L547" s="217"/>
      <c r="M547" s="217"/>
      <c r="N547" s="217"/>
      <c r="O547" s="217"/>
      <c r="P547" s="217"/>
      <c r="Q547" s="218"/>
    </row>
    <row r="548" spans="1:17" s="219" customFormat="1" hidden="1" x14ac:dyDescent="0.25">
      <c r="A548" s="214"/>
      <c r="B548" s="215" t="s">
        <v>1822</v>
      </c>
      <c r="C548" s="215" t="s">
        <v>1823</v>
      </c>
      <c r="D548" s="215" t="s">
        <v>1836</v>
      </c>
      <c r="E548" s="215" t="s">
        <v>2376</v>
      </c>
      <c r="F548" s="215" t="s">
        <v>1825</v>
      </c>
      <c r="G548" s="215" t="s">
        <v>75</v>
      </c>
      <c r="H548" s="216" t="s">
        <v>2380</v>
      </c>
      <c r="I548" s="217"/>
      <c r="J548" s="217"/>
      <c r="K548" s="217"/>
      <c r="L548" s="217"/>
      <c r="M548" s="217"/>
      <c r="N548" s="217"/>
      <c r="O548" s="217"/>
      <c r="P548" s="217"/>
      <c r="Q548" s="218"/>
    </row>
    <row r="549" spans="1:17" s="219" customFormat="1" hidden="1" x14ac:dyDescent="0.25">
      <c r="A549" s="214"/>
      <c r="B549" s="215" t="s">
        <v>1822</v>
      </c>
      <c r="C549" s="215" t="s">
        <v>1823</v>
      </c>
      <c r="D549" s="215" t="s">
        <v>1836</v>
      </c>
      <c r="E549" s="215" t="s">
        <v>2376</v>
      </c>
      <c r="F549" s="215" t="s">
        <v>1825</v>
      </c>
      <c r="G549" s="215" t="s">
        <v>79</v>
      </c>
      <c r="H549" s="216" t="s">
        <v>2381</v>
      </c>
      <c r="I549" s="217"/>
      <c r="J549" s="217"/>
      <c r="K549" s="217"/>
      <c r="L549" s="217"/>
      <c r="M549" s="217"/>
      <c r="N549" s="217"/>
      <c r="O549" s="217"/>
      <c r="P549" s="217"/>
      <c r="Q549" s="218"/>
    </row>
    <row r="550" spans="1:17" s="213" customFormat="1" hidden="1" x14ac:dyDescent="0.25">
      <c r="A550" s="208" t="s">
        <v>263</v>
      </c>
      <c r="B550" s="209" t="s">
        <v>1822</v>
      </c>
      <c r="C550" s="209" t="s">
        <v>1823</v>
      </c>
      <c r="D550" s="209" t="s">
        <v>1836</v>
      </c>
      <c r="E550" s="209" t="s">
        <v>2376</v>
      </c>
      <c r="F550" s="209" t="s">
        <v>1836</v>
      </c>
      <c r="G550" s="209"/>
      <c r="H550" s="210" t="s">
        <v>2382</v>
      </c>
      <c r="I550" s="211">
        <f>SUM(I551:I556)</f>
        <v>0</v>
      </c>
      <c r="J550" s="211">
        <f t="shared" ref="J550:P550" si="67">SUM(J551:J556)</f>
        <v>0</v>
      </c>
      <c r="K550" s="211">
        <f t="shared" si="67"/>
        <v>0</v>
      </c>
      <c r="L550" s="211">
        <f t="shared" si="67"/>
        <v>0</v>
      </c>
      <c r="M550" s="211">
        <f t="shared" si="67"/>
        <v>0</v>
      </c>
      <c r="N550" s="211">
        <f t="shared" si="67"/>
        <v>0</v>
      </c>
      <c r="O550" s="211">
        <f t="shared" si="67"/>
        <v>0</v>
      </c>
      <c r="P550" s="211">
        <f t="shared" si="67"/>
        <v>0</v>
      </c>
      <c r="Q550" s="212"/>
    </row>
    <row r="551" spans="1:17" s="219" customFormat="1" hidden="1" x14ac:dyDescent="0.25">
      <c r="A551" s="214"/>
      <c r="B551" s="215" t="s">
        <v>1822</v>
      </c>
      <c r="C551" s="215" t="s">
        <v>1823</v>
      </c>
      <c r="D551" s="215" t="s">
        <v>1836</v>
      </c>
      <c r="E551" s="215" t="s">
        <v>2376</v>
      </c>
      <c r="F551" s="215" t="s">
        <v>1836</v>
      </c>
      <c r="G551" s="215" t="s">
        <v>58</v>
      </c>
      <c r="H551" s="216" t="s">
        <v>2383</v>
      </c>
      <c r="I551" s="217"/>
      <c r="J551" s="217"/>
      <c r="K551" s="217"/>
      <c r="L551" s="217"/>
      <c r="M551" s="217"/>
      <c r="N551" s="217"/>
      <c r="O551" s="217"/>
      <c r="P551" s="217"/>
      <c r="Q551" s="218"/>
    </row>
    <row r="552" spans="1:17" s="219" customFormat="1" hidden="1" x14ac:dyDescent="0.25">
      <c r="A552" s="214"/>
      <c r="B552" s="215" t="s">
        <v>1822</v>
      </c>
      <c r="C552" s="215" t="s">
        <v>1823</v>
      </c>
      <c r="D552" s="215" t="s">
        <v>1836</v>
      </c>
      <c r="E552" s="215" t="s">
        <v>2376</v>
      </c>
      <c r="F552" s="215" t="s">
        <v>1836</v>
      </c>
      <c r="G552" s="215" t="s">
        <v>75</v>
      </c>
      <c r="H552" s="216" t="s">
        <v>2384</v>
      </c>
      <c r="I552" s="217"/>
      <c r="J552" s="217"/>
      <c r="K552" s="217"/>
      <c r="L552" s="217"/>
      <c r="M552" s="217"/>
      <c r="N552" s="217"/>
      <c r="O552" s="217"/>
      <c r="P552" s="217"/>
      <c r="Q552" s="218"/>
    </row>
    <row r="553" spans="1:17" s="219" customFormat="1" hidden="1" x14ac:dyDescent="0.25">
      <c r="A553" s="214"/>
      <c r="B553" s="215" t="s">
        <v>1822</v>
      </c>
      <c r="C553" s="215" t="s">
        <v>1823</v>
      </c>
      <c r="D553" s="215" t="s">
        <v>1836</v>
      </c>
      <c r="E553" s="215" t="s">
        <v>2376</v>
      </c>
      <c r="F553" s="215" t="s">
        <v>1836</v>
      </c>
      <c r="G553" s="215" t="s">
        <v>79</v>
      </c>
      <c r="H553" s="216" t="s">
        <v>2385</v>
      </c>
      <c r="I553" s="217"/>
      <c r="J553" s="217"/>
      <c r="K553" s="217"/>
      <c r="L553" s="217"/>
      <c r="M553" s="217"/>
      <c r="N553" s="217"/>
      <c r="O553" s="217"/>
      <c r="P553" s="217"/>
      <c r="Q553" s="218"/>
    </row>
    <row r="554" spans="1:17" s="219" customFormat="1" hidden="1" x14ac:dyDescent="0.25">
      <c r="A554" s="214"/>
      <c r="B554" s="215" t="s">
        <v>1822</v>
      </c>
      <c r="C554" s="215" t="s">
        <v>1823</v>
      </c>
      <c r="D554" s="215" t="s">
        <v>1836</v>
      </c>
      <c r="E554" s="215" t="s">
        <v>2376</v>
      </c>
      <c r="F554" s="215" t="s">
        <v>1836</v>
      </c>
      <c r="G554" s="215" t="s">
        <v>84</v>
      </c>
      <c r="H554" s="216" t="s">
        <v>2386</v>
      </c>
      <c r="I554" s="217"/>
      <c r="J554" s="217"/>
      <c r="K554" s="217"/>
      <c r="L554" s="217"/>
      <c r="M554" s="217"/>
      <c r="N554" s="217"/>
      <c r="O554" s="217"/>
      <c r="P554" s="217"/>
      <c r="Q554" s="218"/>
    </row>
    <row r="555" spans="1:17" s="219" customFormat="1" hidden="1" x14ac:dyDescent="0.25">
      <c r="A555" s="214"/>
      <c r="B555" s="215" t="s">
        <v>1822</v>
      </c>
      <c r="C555" s="215" t="s">
        <v>1823</v>
      </c>
      <c r="D555" s="215" t="s">
        <v>1836</v>
      </c>
      <c r="E555" s="215" t="s">
        <v>2376</v>
      </c>
      <c r="F555" s="215" t="s">
        <v>1836</v>
      </c>
      <c r="G555" s="215" t="s">
        <v>88</v>
      </c>
      <c r="H555" s="216" t="s">
        <v>2387</v>
      </c>
      <c r="I555" s="217"/>
      <c r="J555" s="217"/>
      <c r="K555" s="217"/>
      <c r="L555" s="217"/>
      <c r="M555" s="217"/>
      <c r="N555" s="217"/>
      <c r="O555" s="217"/>
      <c r="P555" s="217"/>
      <c r="Q555" s="218"/>
    </row>
    <row r="556" spans="1:17" s="219" customFormat="1" hidden="1" x14ac:dyDescent="0.25">
      <c r="A556" s="214"/>
      <c r="B556" s="215" t="s">
        <v>1822</v>
      </c>
      <c r="C556" s="215" t="s">
        <v>1823</v>
      </c>
      <c r="D556" s="215" t="s">
        <v>1836</v>
      </c>
      <c r="E556" s="215" t="s">
        <v>2376</v>
      </c>
      <c r="F556" s="215" t="s">
        <v>1836</v>
      </c>
      <c r="G556" s="215" t="s">
        <v>92</v>
      </c>
      <c r="H556" s="216" t="s">
        <v>2388</v>
      </c>
      <c r="I556" s="217"/>
      <c r="J556" s="217"/>
      <c r="K556" s="217"/>
      <c r="L556" s="217"/>
      <c r="M556" s="217"/>
      <c r="N556" s="217"/>
      <c r="O556" s="217"/>
      <c r="P556" s="217"/>
      <c r="Q556" s="218"/>
    </row>
    <row r="557" spans="1:17" s="213" customFormat="1" hidden="1" x14ac:dyDescent="0.25">
      <c r="A557" s="208" t="s">
        <v>263</v>
      </c>
      <c r="B557" s="209" t="s">
        <v>1822</v>
      </c>
      <c r="C557" s="209" t="s">
        <v>1823</v>
      </c>
      <c r="D557" s="209" t="s">
        <v>1836</v>
      </c>
      <c r="E557" s="209" t="s">
        <v>2376</v>
      </c>
      <c r="F557" s="209" t="s">
        <v>1847</v>
      </c>
      <c r="G557" s="209"/>
      <c r="H557" s="210" t="s">
        <v>2389</v>
      </c>
      <c r="I557" s="211">
        <f>SUM(I558:I561)</f>
        <v>0</v>
      </c>
      <c r="J557" s="211">
        <f t="shared" ref="J557:P557" si="68">SUM(J558:J561)</f>
        <v>0</v>
      </c>
      <c r="K557" s="211">
        <f t="shared" si="68"/>
        <v>0</v>
      </c>
      <c r="L557" s="211">
        <f t="shared" si="68"/>
        <v>0</v>
      </c>
      <c r="M557" s="211">
        <f t="shared" si="68"/>
        <v>0</v>
      </c>
      <c r="N557" s="211">
        <f t="shared" si="68"/>
        <v>0</v>
      </c>
      <c r="O557" s="211">
        <f t="shared" si="68"/>
        <v>0</v>
      </c>
      <c r="P557" s="211">
        <f t="shared" si="68"/>
        <v>0</v>
      </c>
      <c r="Q557" s="212"/>
    </row>
    <row r="558" spans="1:17" s="219" customFormat="1" hidden="1" x14ac:dyDescent="0.25">
      <c r="A558" s="214"/>
      <c r="B558" s="215" t="s">
        <v>1822</v>
      </c>
      <c r="C558" s="215" t="s">
        <v>1823</v>
      </c>
      <c r="D558" s="215" t="s">
        <v>1836</v>
      </c>
      <c r="E558" s="215" t="s">
        <v>2376</v>
      </c>
      <c r="F558" s="215" t="s">
        <v>1847</v>
      </c>
      <c r="G558" s="215" t="s">
        <v>58</v>
      </c>
      <c r="H558" s="216" t="s">
        <v>2390</v>
      </c>
      <c r="I558" s="217"/>
      <c r="J558" s="217"/>
      <c r="K558" s="217"/>
      <c r="L558" s="217"/>
      <c r="M558" s="217"/>
      <c r="N558" s="217"/>
      <c r="O558" s="217"/>
      <c r="P558" s="217"/>
      <c r="Q558" s="218"/>
    </row>
    <row r="559" spans="1:17" s="219" customFormat="1" hidden="1" x14ac:dyDescent="0.25">
      <c r="A559" s="214"/>
      <c r="B559" s="215" t="s">
        <v>1822</v>
      </c>
      <c r="C559" s="215" t="s">
        <v>1823</v>
      </c>
      <c r="D559" s="215" t="s">
        <v>1836</v>
      </c>
      <c r="E559" s="215" t="s">
        <v>2376</v>
      </c>
      <c r="F559" s="215" t="s">
        <v>1847</v>
      </c>
      <c r="G559" s="215" t="s">
        <v>75</v>
      </c>
      <c r="H559" s="216" t="s">
        <v>2391</v>
      </c>
      <c r="I559" s="217"/>
      <c r="J559" s="217"/>
      <c r="K559" s="217"/>
      <c r="L559" s="217"/>
      <c r="M559" s="217"/>
      <c r="N559" s="217"/>
      <c r="O559" s="217"/>
      <c r="P559" s="217"/>
      <c r="Q559" s="218"/>
    </row>
    <row r="560" spans="1:17" s="219" customFormat="1" hidden="1" x14ac:dyDescent="0.25">
      <c r="A560" s="214"/>
      <c r="B560" s="215" t="s">
        <v>1822</v>
      </c>
      <c r="C560" s="215" t="s">
        <v>1823</v>
      </c>
      <c r="D560" s="215" t="s">
        <v>1836</v>
      </c>
      <c r="E560" s="215" t="s">
        <v>2376</v>
      </c>
      <c r="F560" s="215" t="s">
        <v>1847</v>
      </c>
      <c r="G560" s="215" t="s">
        <v>79</v>
      </c>
      <c r="H560" s="216" t="s">
        <v>2392</v>
      </c>
      <c r="I560" s="217"/>
      <c r="J560" s="217"/>
      <c r="K560" s="217"/>
      <c r="L560" s="217"/>
      <c r="M560" s="217"/>
      <c r="N560" s="217"/>
      <c r="O560" s="217"/>
      <c r="P560" s="217"/>
      <c r="Q560" s="218"/>
    </row>
    <row r="561" spans="1:17" s="219" customFormat="1" hidden="1" x14ac:dyDescent="0.25">
      <c r="A561" s="214"/>
      <c r="B561" s="215" t="s">
        <v>1822</v>
      </c>
      <c r="C561" s="215" t="s">
        <v>1823</v>
      </c>
      <c r="D561" s="215" t="s">
        <v>1836</v>
      </c>
      <c r="E561" s="215" t="s">
        <v>2376</v>
      </c>
      <c r="F561" s="215" t="s">
        <v>1847</v>
      </c>
      <c r="G561" s="215" t="s">
        <v>84</v>
      </c>
      <c r="H561" s="216" t="s">
        <v>2393</v>
      </c>
      <c r="I561" s="217"/>
      <c r="J561" s="217"/>
      <c r="K561" s="217"/>
      <c r="L561" s="217"/>
      <c r="M561" s="217"/>
      <c r="N561" s="217"/>
      <c r="O561" s="217"/>
      <c r="P561" s="217"/>
      <c r="Q561" s="218"/>
    </row>
    <row r="562" spans="1:17" s="213" customFormat="1" hidden="1" x14ac:dyDescent="0.25">
      <c r="A562" s="208" t="s">
        <v>263</v>
      </c>
      <c r="B562" s="209" t="s">
        <v>1822</v>
      </c>
      <c r="C562" s="209" t="s">
        <v>1823</v>
      </c>
      <c r="D562" s="209" t="s">
        <v>1836</v>
      </c>
      <c r="E562" s="209" t="s">
        <v>2376</v>
      </c>
      <c r="F562" s="209" t="s">
        <v>1928</v>
      </c>
      <c r="G562" s="209"/>
      <c r="H562" s="210" t="s">
        <v>2394</v>
      </c>
      <c r="I562" s="211">
        <f>SUM(I563:I569)</f>
        <v>0</v>
      </c>
      <c r="J562" s="211">
        <f t="shared" ref="J562:P562" si="69">SUM(J563:J569)</f>
        <v>0</v>
      </c>
      <c r="K562" s="211">
        <f t="shared" si="69"/>
        <v>0</v>
      </c>
      <c r="L562" s="211">
        <f t="shared" si="69"/>
        <v>0</v>
      </c>
      <c r="M562" s="211">
        <f t="shared" si="69"/>
        <v>0</v>
      </c>
      <c r="N562" s="211">
        <f t="shared" si="69"/>
        <v>0</v>
      </c>
      <c r="O562" s="211">
        <f t="shared" si="69"/>
        <v>0</v>
      </c>
      <c r="P562" s="211">
        <f t="shared" si="69"/>
        <v>0</v>
      </c>
      <c r="Q562" s="212"/>
    </row>
    <row r="563" spans="1:17" s="219" customFormat="1" ht="30" hidden="1" x14ac:dyDescent="0.25">
      <c r="A563" s="214"/>
      <c r="B563" s="215" t="s">
        <v>1822</v>
      </c>
      <c r="C563" s="215" t="s">
        <v>1823</v>
      </c>
      <c r="D563" s="215" t="s">
        <v>1836</v>
      </c>
      <c r="E563" s="215" t="s">
        <v>2376</v>
      </c>
      <c r="F563" s="215" t="s">
        <v>1928</v>
      </c>
      <c r="G563" s="215" t="s">
        <v>58</v>
      </c>
      <c r="H563" s="216" t="s">
        <v>2395</v>
      </c>
      <c r="I563" s="217"/>
      <c r="J563" s="217"/>
      <c r="K563" s="217"/>
      <c r="L563" s="217"/>
      <c r="M563" s="217"/>
      <c r="N563" s="217"/>
      <c r="O563" s="217"/>
      <c r="P563" s="217"/>
      <c r="Q563" s="218"/>
    </row>
    <row r="564" spans="1:17" s="219" customFormat="1" ht="30" hidden="1" x14ac:dyDescent="0.25">
      <c r="A564" s="214"/>
      <c r="B564" s="215" t="s">
        <v>1822</v>
      </c>
      <c r="C564" s="215" t="s">
        <v>1823</v>
      </c>
      <c r="D564" s="215" t="s">
        <v>1836</v>
      </c>
      <c r="E564" s="215" t="s">
        <v>2376</v>
      </c>
      <c r="F564" s="215" t="s">
        <v>1928</v>
      </c>
      <c r="G564" s="215" t="s">
        <v>75</v>
      </c>
      <c r="H564" s="216" t="s">
        <v>2396</v>
      </c>
      <c r="I564" s="217"/>
      <c r="J564" s="217"/>
      <c r="K564" s="217"/>
      <c r="L564" s="217"/>
      <c r="M564" s="217"/>
      <c r="N564" s="217"/>
      <c r="O564" s="217"/>
      <c r="P564" s="217"/>
      <c r="Q564" s="218"/>
    </row>
    <row r="565" spans="1:17" s="219" customFormat="1" hidden="1" x14ac:dyDescent="0.25">
      <c r="A565" s="214"/>
      <c r="B565" s="215" t="s">
        <v>1822</v>
      </c>
      <c r="C565" s="215" t="s">
        <v>1823</v>
      </c>
      <c r="D565" s="215" t="s">
        <v>1836</v>
      </c>
      <c r="E565" s="215" t="s">
        <v>2376</v>
      </c>
      <c r="F565" s="215" t="s">
        <v>1928</v>
      </c>
      <c r="G565" s="215" t="s">
        <v>79</v>
      </c>
      <c r="H565" s="216" t="s">
        <v>2397</v>
      </c>
      <c r="I565" s="217"/>
      <c r="J565" s="217"/>
      <c r="K565" s="217"/>
      <c r="L565" s="217"/>
      <c r="M565" s="217"/>
      <c r="N565" s="217"/>
      <c r="O565" s="217"/>
      <c r="P565" s="217"/>
      <c r="Q565" s="218"/>
    </row>
    <row r="566" spans="1:17" s="219" customFormat="1" ht="30" hidden="1" x14ac:dyDescent="0.25">
      <c r="A566" s="214"/>
      <c r="B566" s="215" t="s">
        <v>1822</v>
      </c>
      <c r="C566" s="215" t="s">
        <v>1823</v>
      </c>
      <c r="D566" s="215" t="s">
        <v>1836</v>
      </c>
      <c r="E566" s="215" t="s">
        <v>2376</v>
      </c>
      <c r="F566" s="215" t="s">
        <v>1928</v>
      </c>
      <c r="G566" s="215" t="s">
        <v>84</v>
      </c>
      <c r="H566" s="216" t="s">
        <v>2398</v>
      </c>
      <c r="I566" s="217"/>
      <c r="J566" s="217"/>
      <c r="K566" s="217"/>
      <c r="L566" s="217"/>
      <c r="M566" s="217"/>
      <c r="N566" s="217"/>
      <c r="O566" s="217"/>
      <c r="P566" s="217"/>
      <c r="Q566" s="218"/>
    </row>
    <row r="567" spans="1:17" s="219" customFormat="1" ht="30" hidden="1" x14ac:dyDescent="0.25">
      <c r="A567" s="214"/>
      <c r="B567" s="215" t="s">
        <v>1822</v>
      </c>
      <c r="C567" s="215" t="s">
        <v>1823</v>
      </c>
      <c r="D567" s="215" t="s">
        <v>1836</v>
      </c>
      <c r="E567" s="215" t="s">
        <v>2376</v>
      </c>
      <c r="F567" s="215" t="s">
        <v>1928</v>
      </c>
      <c r="G567" s="215" t="s">
        <v>88</v>
      </c>
      <c r="H567" s="216" t="s">
        <v>2399</v>
      </c>
      <c r="I567" s="217"/>
      <c r="J567" s="217"/>
      <c r="K567" s="217"/>
      <c r="L567" s="217"/>
      <c r="M567" s="217"/>
      <c r="N567" s="217"/>
      <c r="O567" s="217"/>
      <c r="P567" s="217"/>
      <c r="Q567" s="218"/>
    </row>
    <row r="568" spans="1:17" s="219" customFormat="1" hidden="1" x14ac:dyDescent="0.25">
      <c r="A568" s="214"/>
      <c r="B568" s="215" t="s">
        <v>1822</v>
      </c>
      <c r="C568" s="215" t="s">
        <v>1823</v>
      </c>
      <c r="D568" s="215" t="s">
        <v>1836</v>
      </c>
      <c r="E568" s="215" t="s">
        <v>2376</v>
      </c>
      <c r="F568" s="215" t="s">
        <v>1928</v>
      </c>
      <c r="G568" s="215" t="s">
        <v>92</v>
      </c>
      <c r="H568" s="216" t="s">
        <v>2400</v>
      </c>
      <c r="I568" s="217"/>
      <c r="J568" s="217"/>
      <c r="K568" s="217"/>
      <c r="L568" s="217"/>
      <c r="M568" s="217"/>
      <c r="N568" s="217"/>
      <c r="O568" s="217"/>
      <c r="P568" s="217"/>
      <c r="Q568" s="218"/>
    </row>
    <row r="569" spans="1:17" s="219" customFormat="1" hidden="1" x14ac:dyDescent="0.25">
      <c r="A569" s="214"/>
      <c r="B569" s="215" t="s">
        <v>1822</v>
      </c>
      <c r="C569" s="215" t="s">
        <v>1823</v>
      </c>
      <c r="D569" s="215" t="s">
        <v>1836</v>
      </c>
      <c r="E569" s="215" t="s">
        <v>2376</v>
      </c>
      <c r="F569" s="215" t="s">
        <v>1928</v>
      </c>
      <c r="G569" s="215" t="s">
        <v>96</v>
      </c>
      <c r="H569" s="216" t="s">
        <v>2401</v>
      </c>
      <c r="I569" s="217"/>
      <c r="J569" s="217"/>
      <c r="K569" s="217"/>
      <c r="L569" s="217"/>
      <c r="M569" s="217"/>
      <c r="N569" s="217"/>
      <c r="O569" s="217"/>
      <c r="P569" s="217"/>
      <c r="Q569" s="218"/>
    </row>
    <row r="570" spans="1:17" s="213" customFormat="1" hidden="1" x14ac:dyDescent="0.25">
      <c r="A570" s="208" t="s">
        <v>2402</v>
      </c>
      <c r="B570" s="209" t="s">
        <v>1822</v>
      </c>
      <c r="C570" s="209" t="s">
        <v>1823</v>
      </c>
      <c r="D570" s="209" t="s">
        <v>1836</v>
      </c>
      <c r="E570" s="209" t="s">
        <v>2403</v>
      </c>
      <c r="F570" s="209"/>
      <c r="G570" s="209"/>
      <c r="H570" s="210" t="s">
        <v>2404</v>
      </c>
      <c r="I570" s="211">
        <f>SUM(I571)</f>
        <v>0</v>
      </c>
      <c r="J570" s="211">
        <f t="shared" ref="J570:P570" si="70">SUM(J571)</f>
        <v>0</v>
      </c>
      <c r="K570" s="211">
        <f t="shared" si="70"/>
        <v>0</v>
      </c>
      <c r="L570" s="211">
        <f t="shared" si="70"/>
        <v>0</v>
      </c>
      <c r="M570" s="211">
        <f t="shared" si="70"/>
        <v>0</v>
      </c>
      <c r="N570" s="211">
        <f t="shared" si="70"/>
        <v>0</v>
      </c>
      <c r="O570" s="211">
        <f t="shared" si="70"/>
        <v>0</v>
      </c>
      <c r="P570" s="211">
        <f t="shared" si="70"/>
        <v>0</v>
      </c>
      <c r="Q570" s="212"/>
    </row>
    <row r="571" spans="1:17" s="213" customFormat="1" ht="30" hidden="1" x14ac:dyDescent="0.25">
      <c r="A571" s="208" t="s">
        <v>263</v>
      </c>
      <c r="B571" s="209" t="s">
        <v>1822</v>
      </c>
      <c r="C571" s="209" t="s">
        <v>1823</v>
      </c>
      <c r="D571" s="209" t="s">
        <v>1836</v>
      </c>
      <c r="E571" s="209" t="s">
        <v>2403</v>
      </c>
      <c r="F571" s="209" t="s">
        <v>1825</v>
      </c>
      <c r="G571" s="209"/>
      <c r="H571" s="210" t="s">
        <v>2405</v>
      </c>
      <c r="I571" s="211">
        <f>SUM(I572:I574)</f>
        <v>0</v>
      </c>
      <c r="J571" s="211">
        <f t="shared" ref="J571:P571" si="71">SUM(J572:J574)</f>
        <v>0</v>
      </c>
      <c r="K571" s="211">
        <f t="shared" si="71"/>
        <v>0</v>
      </c>
      <c r="L571" s="211">
        <f t="shared" si="71"/>
        <v>0</v>
      </c>
      <c r="M571" s="211">
        <f t="shared" si="71"/>
        <v>0</v>
      </c>
      <c r="N571" s="211">
        <f t="shared" si="71"/>
        <v>0</v>
      </c>
      <c r="O571" s="211">
        <f t="shared" si="71"/>
        <v>0</v>
      </c>
      <c r="P571" s="211">
        <f t="shared" si="71"/>
        <v>0</v>
      </c>
      <c r="Q571" s="212"/>
    </row>
    <row r="572" spans="1:17" s="219" customFormat="1" hidden="1" x14ac:dyDescent="0.25">
      <c r="A572" s="214"/>
      <c r="B572" s="215" t="s">
        <v>1822</v>
      </c>
      <c r="C572" s="215" t="s">
        <v>1823</v>
      </c>
      <c r="D572" s="215" t="s">
        <v>1836</v>
      </c>
      <c r="E572" s="215" t="s">
        <v>2403</v>
      </c>
      <c r="F572" s="215" t="s">
        <v>1825</v>
      </c>
      <c r="G572" s="215" t="s">
        <v>58</v>
      </c>
      <c r="H572" s="216" t="s">
        <v>2406</v>
      </c>
      <c r="I572" s="217"/>
      <c r="J572" s="217"/>
      <c r="K572" s="217"/>
      <c r="L572" s="217"/>
      <c r="M572" s="217"/>
      <c r="N572" s="217"/>
      <c r="O572" s="217"/>
      <c r="P572" s="217"/>
      <c r="Q572" s="218"/>
    </row>
    <row r="573" spans="1:17" s="219" customFormat="1" hidden="1" x14ac:dyDescent="0.25">
      <c r="A573" s="214"/>
      <c r="B573" s="215" t="s">
        <v>1822</v>
      </c>
      <c r="C573" s="215" t="s">
        <v>1823</v>
      </c>
      <c r="D573" s="215" t="s">
        <v>1836</v>
      </c>
      <c r="E573" s="215" t="s">
        <v>2403</v>
      </c>
      <c r="F573" s="215" t="s">
        <v>1825</v>
      </c>
      <c r="G573" s="215" t="s">
        <v>75</v>
      </c>
      <c r="H573" s="216" t="s">
        <v>2407</v>
      </c>
      <c r="I573" s="217"/>
      <c r="J573" s="217"/>
      <c r="K573" s="217"/>
      <c r="L573" s="217"/>
      <c r="M573" s="217"/>
      <c r="N573" s="217"/>
      <c r="O573" s="217"/>
      <c r="P573" s="217"/>
      <c r="Q573" s="218"/>
    </row>
    <row r="574" spans="1:17" s="219" customFormat="1" ht="30" hidden="1" x14ac:dyDescent="0.25">
      <c r="A574" s="214"/>
      <c r="B574" s="215" t="s">
        <v>1822</v>
      </c>
      <c r="C574" s="215" t="s">
        <v>1823</v>
      </c>
      <c r="D574" s="215" t="s">
        <v>1836</v>
      </c>
      <c r="E574" s="215" t="s">
        <v>2403</v>
      </c>
      <c r="F574" s="215" t="s">
        <v>1825</v>
      </c>
      <c r="G574" s="215" t="s">
        <v>79</v>
      </c>
      <c r="H574" s="216" t="s">
        <v>2408</v>
      </c>
      <c r="I574" s="217"/>
      <c r="J574" s="217"/>
      <c r="K574" s="217"/>
      <c r="L574" s="217"/>
      <c r="M574" s="217"/>
      <c r="N574" s="217"/>
      <c r="O574" s="217"/>
      <c r="P574" s="217"/>
      <c r="Q574" s="218"/>
    </row>
    <row r="575" spans="1:17" s="213" customFormat="1" hidden="1" x14ac:dyDescent="0.25">
      <c r="A575" s="208" t="s">
        <v>2409</v>
      </c>
      <c r="B575" s="209" t="s">
        <v>1822</v>
      </c>
      <c r="C575" s="209" t="s">
        <v>1823</v>
      </c>
      <c r="D575" s="209" t="s">
        <v>1836</v>
      </c>
      <c r="E575" s="209" t="s">
        <v>2410</v>
      </c>
      <c r="F575" s="209"/>
      <c r="G575" s="209"/>
      <c r="H575" s="210" t="s">
        <v>2411</v>
      </c>
      <c r="I575" s="211">
        <f>SUM(I576)</f>
        <v>0</v>
      </c>
      <c r="J575" s="211">
        <f t="shared" ref="J575:P575" si="72">SUM(J576)</f>
        <v>0</v>
      </c>
      <c r="K575" s="211">
        <f t="shared" si="72"/>
        <v>0</v>
      </c>
      <c r="L575" s="211">
        <f t="shared" si="72"/>
        <v>0</v>
      </c>
      <c r="M575" s="211">
        <f t="shared" si="72"/>
        <v>0</v>
      </c>
      <c r="N575" s="211">
        <f t="shared" si="72"/>
        <v>0</v>
      </c>
      <c r="O575" s="211">
        <f t="shared" si="72"/>
        <v>0</v>
      </c>
      <c r="P575" s="211">
        <f t="shared" si="72"/>
        <v>0</v>
      </c>
      <c r="Q575" s="212"/>
    </row>
    <row r="576" spans="1:17" s="213" customFormat="1" hidden="1" x14ac:dyDescent="0.25">
      <c r="A576" s="208" t="s">
        <v>263</v>
      </c>
      <c r="B576" s="209" t="s">
        <v>1822</v>
      </c>
      <c r="C576" s="209" t="s">
        <v>1823</v>
      </c>
      <c r="D576" s="209" t="s">
        <v>1836</v>
      </c>
      <c r="E576" s="209" t="s">
        <v>2410</v>
      </c>
      <c r="F576" s="209" t="s">
        <v>1825</v>
      </c>
      <c r="G576" s="209"/>
      <c r="H576" s="210" t="s">
        <v>2412</v>
      </c>
      <c r="I576" s="211">
        <f>SUM(I577:I602)</f>
        <v>0</v>
      </c>
      <c r="J576" s="211">
        <f t="shared" ref="J576:P576" si="73">SUM(J577:J602)</f>
        <v>0</v>
      </c>
      <c r="K576" s="211">
        <f t="shared" si="73"/>
        <v>0</v>
      </c>
      <c r="L576" s="211">
        <f t="shared" si="73"/>
        <v>0</v>
      </c>
      <c r="M576" s="211">
        <f t="shared" si="73"/>
        <v>0</v>
      </c>
      <c r="N576" s="211">
        <f t="shared" si="73"/>
        <v>0</v>
      </c>
      <c r="O576" s="211">
        <f t="shared" si="73"/>
        <v>0</v>
      </c>
      <c r="P576" s="211">
        <f t="shared" si="73"/>
        <v>0</v>
      </c>
      <c r="Q576" s="212"/>
    </row>
    <row r="577" spans="1:17" s="219" customFormat="1" hidden="1" x14ac:dyDescent="0.25">
      <c r="A577" s="214"/>
      <c r="B577" s="215" t="s">
        <v>1822</v>
      </c>
      <c r="C577" s="215" t="s">
        <v>1823</v>
      </c>
      <c r="D577" s="215" t="s">
        <v>1836</v>
      </c>
      <c r="E577" s="215" t="s">
        <v>2410</v>
      </c>
      <c r="F577" s="215" t="s">
        <v>1825</v>
      </c>
      <c r="G577" s="215" t="s">
        <v>58</v>
      </c>
      <c r="H577" s="216" t="s">
        <v>2413</v>
      </c>
      <c r="I577" s="217"/>
      <c r="J577" s="217"/>
      <c r="K577" s="217"/>
      <c r="L577" s="217"/>
      <c r="M577" s="217"/>
      <c r="N577" s="217"/>
      <c r="O577" s="217"/>
      <c r="P577" s="217"/>
      <c r="Q577" s="218"/>
    </row>
    <row r="578" spans="1:17" s="219" customFormat="1" hidden="1" x14ac:dyDescent="0.25">
      <c r="A578" s="214"/>
      <c r="B578" s="215" t="s">
        <v>1822</v>
      </c>
      <c r="C578" s="215" t="s">
        <v>1823</v>
      </c>
      <c r="D578" s="215" t="s">
        <v>1836</v>
      </c>
      <c r="E578" s="215" t="s">
        <v>2410</v>
      </c>
      <c r="F578" s="215" t="s">
        <v>1825</v>
      </c>
      <c r="G578" s="215" t="s">
        <v>75</v>
      </c>
      <c r="H578" s="216" t="s">
        <v>2414</v>
      </c>
      <c r="I578" s="217"/>
      <c r="J578" s="217"/>
      <c r="K578" s="217"/>
      <c r="L578" s="217"/>
      <c r="M578" s="217"/>
      <c r="N578" s="217"/>
      <c r="O578" s="217"/>
      <c r="P578" s="217"/>
      <c r="Q578" s="218"/>
    </row>
    <row r="579" spans="1:17" s="219" customFormat="1" hidden="1" x14ac:dyDescent="0.25">
      <c r="A579" s="214"/>
      <c r="B579" s="215" t="s">
        <v>1822</v>
      </c>
      <c r="C579" s="215" t="s">
        <v>1823</v>
      </c>
      <c r="D579" s="215" t="s">
        <v>1836</v>
      </c>
      <c r="E579" s="215" t="s">
        <v>2410</v>
      </c>
      <c r="F579" s="215" t="s">
        <v>1825</v>
      </c>
      <c r="G579" s="215" t="s">
        <v>79</v>
      </c>
      <c r="H579" s="216" t="s">
        <v>2415</v>
      </c>
      <c r="I579" s="217"/>
      <c r="J579" s="217"/>
      <c r="K579" s="217"/>
      <c r="L579" s="217"/>
      <c r="M579" s="217"/>
      <c r="N579" s="217"/>
      <c r="O579" s="217"/>
      <c r="P579" s="217"/>
      <c r="Q579" s="218"/>
    </row>
    <row r="580" spans="1:17" s="219" customFormat="1" hidden="1" x14ac:dyDescent="0.25">
      <c r="A580" s="214"/>
      <c r="B580" s="215" t="s">
        <v>1822</v>
      </c>
      <c r="C580" s="215" t="s">
        <v>1823</v>
      </c>
      <c r="D580" s="215" t="s">
        <v>1836</v>
      </c>
      <c r="E580" s="215" t="s">
        <v>2410</v>
      </c>
      <c r="F580" s="215" t="s">
        <v>1825</v>
      </c>
      <c r="G580" s="215" t="s">
        <v>84</v>
      </c>
      <c r="H580" s="216" t="s">
        <v>2416</v>
      </c>
      <c r="I580" s="217"/>
      <c r="J580" s="217"/>
      <c r="K580" s="217"/>
      <c r="L580" s="217"/>
      <c r="M580" s="217"/>
      <c r="N580" s="217"/>
      <c r="O580" s="217"/>
      <c r="P580" s="217"/>
      <c r="Q580" s="218"/>
    </row>
    <row r="581" spans="1:17" s="219" customFormat="1" hidden="1" x14ac:dyDescent="0.25">
      <c r="A581" s="214"/>
      <c r="B581" s="215" t="s">
        <v>1822</v>
      </c>
      <c r="C581" s="215" t="s">
        <v>1823</v>
      </c>
      <c r="D581" s="215" t="s">
        <v>1836</v>
      </c>
      <c r="E581" s="215" t="s">
        <v>2410</v>
      </c>
      <c r="F581" s="215" t="s">
        <v>1825</v>
      </c>
      <c r="G581" s="215" t="s">
        <v>88</v>
      </c>
      <c r="H581" s="216" t="s">
        <v>2417</v>
      </c>
      <c r="I581" s="217"/>
      <c r="J581" s="217"/>
      <c r="K581" s="217"/>
      <c r="L581" s="217"/>
      <c r="M581" s="217"/>
      <c r="N581" s="217"/>
      <c r="O581" s="217"/>
      <c r="P581" s="217"/>
      <c r="Q581" s="218"/>
    </row>
    <row r="582" spans="1:17" s="219" customFormat="1" hidden="1" x14ac:dyDescent="0.25">
      <c r="A582" s="214"/>
      <c r="B582" s="215" t="s">
        <v>1822</v>
      </c>
      <c r="C582" s="215" t="s">
        <v>1823</v>
      </c>
      <c r="D582" s="215" t="s">
        <v>1836</v>
      </c>
      <c r="E582" s="215" t="s">
        <v>2410</v>
      </c>
      <c r="F582" s="215" t="s">
        <v>1825</v>
      </c>
      <c r="G582" s="215" t="s">
        <v>92</v>
      </c>
      <c r="H582" s="216" t="s">
        <v>2418</v>
      </c>
      <c r="I582" s="217"/>
      <c r="J582" s="217"/>
      <c r="K582" s="217"/>
      <c r="L582" s="217"/>
      <c r="M582" s="217"/>
      <c r="N582" s="217"/>
      <c r="O582" s="217"/>
      <c r="P582" s="217"/>
      <c r="Q582" s="218"/>
    </row>
    <row r="583" spans="1:17" s="219" customFormat="1" hidden="1" x14ac:dyDescent="0.25">
      <c r="A583" s="214"/>
      <c r="B583" s="215" t="s">
        <v>1822</v>
      </c>
      <c r="C583" s="215" t="s">
        <v>1823</v>
      </c>
      <c r="D583" s="215" t="s">
        <v>1836</v>
      </c>
      <c r="E583" s="215" t="s">
        <v>2410</v>
      </c>
      <c r="F583" s="215" t="s">
        <v>1825</v>
      </c>
      <c r="G583" s="215" t="s">
        <v>96</v>
      </c>
      <c r="H583" s="216" t="s">
        <v>2419</v>
      </c>
      <c r="I583" s="217"/>
      <c r="J583" s="217"/>
      <c r="K583" s="217"/>
      <c r="L583" s="217"/>
      <c r="M583" s="217"/>
      <c r="N583" s="217"/>
      <c r="O583" s="217"/>
      <c r="P583" s="217"/>
      <c r="Q583" s="218"/>
    </row>
    <row r="584" spans="1:17" s="219" customFormat="1" hidden="1" x14ac:dyDescent="0.25">
      <c r="A584" s="214"/>
      <c r="B584" s="215" t="s">
        <v>1822</v>
      </c>
      <c r="C584" s="215" t="s">
        <v>1823</v>
      </c>
      <c r="D584" s="215" t="s">
        <v>1836</v>
      </c>
      <c r="E584" s="215" t="s">
        <v>2410</v>
      </c>
      <c r="F584" s="215" t="s">
        <v>1825</v>
      </c>
      <c r="G584" s="215" t="s">
        <v>100</v>
      </c>
      <c r="H584" s="216" t="s">
        <v>2420</v>
      </c>
      <c r="I584" s="217"/>
      <c r="J584" s="217"/>
      <c r="K584" s="217"/>
      <c r="L584" s="217"/>
      <c r="M584" s="217"/>
      <c r="N584" s="217"/>
      <c r="O584" s="217"/>
      <c r="P584" s="217"/>
      <c r="Q584" s="218"/>
    </row>
    <row r="585" spans="1:17" s="219" customFormat="1" hidden="1" x14ac:dyDescent="0.25">
      <c r="A585" s="214"/>
      <c r="B585" s="215" t="s">
        <v>1822</v>
      </c>
      <c r="C585" s="215" t="s">
        <v>1823</v>
      </c>
      <c r="D585" s="215" t="s">
        <v>1836</v>
      </c>
      <c r="E585" s="215" t="s">
        <v>2410</v>
      </c>
      <c r="F585" s="215" t="s">
        <v>1825</v>
      </c>
      <c r="G585" s="215" t="s">
        <v>105</v>
      </c>
      <c r="H585" s="216" t="s">
        <v>2421</v>
      </c>
      <c r="I585" s="217"/>
      <c r="J585" s="217"/>
      <c r="K585" s="217"/>
      <c r="L585" s="217"/>
      <c r="M585" s="217"/>
      <c r="N585" s="217"/>
      <c r="O585" s="217"/>
      <c r="P585" s="217"/>
      <c r="Q585" s="218"/>
    </row>
    <row r="586" spans="1:17" s="219" customFormat="1" hidden="1" x14ac:dyDescent="0.25">
      <c r="A586" s="214"/>
      <c r="B586" s="215" t="s">
        <v>1822</v>
      </c>
      <c r="C586" s="215" t="s">
        <v>1823</v>
      </c>
      <c r="D586" s="215" t="s">
        <v>1836</v>
      </c>
      <c r="E586" s="215" t="s">
        <v>2410</v>
      </c>
      <c r="F586" s="215" t="s">
        <v>1825</v>
      </c>
      <c r="G586" s="215" t="s">
        <v>108</v>
      </c>
      <c r="H586" s="216" t="s">
        <v>2422</v>
      </c>
      <c r="I586" s="217"/>
      <c r="J586" s="217"/>
      <c r="K586" s="217"/>
      <c r="L586" s="217"/>
      <c r="M586" s="217"/>
      <c r="N586" s="217"/>
      <c r="O586" s="217"/>
      <c r="P586" s="217"/>
      <c r="Q586" s="218"/>
    </row>
    <row r="587" spans="1:17" s="219" customFormat="1" hidden="1" x14ac:dyDescent="0.25">
      <c r="A587" s="214"/>
      <c r="B587" s="215" t="s">
        <v>1822</v>
      </c>
      <c r="C587" s="215" t="s">
        <v>1823</v>
      </c>
      <c r="D587" s="215" t="s">
        <v>1836</v>
      </c>
      <c r="E587" s="215" t="s">
        <v>2410</v>
      </c>
      <c r="F587" s="215" t="s">
        <v>1825</v>
      </c>
      <c r="G587" s="215" t="s">
        <v>135</v>
      </c>
      <c r="H587" s="216" t="s">
        <v>2423</v>
      </c>
      <c r="I587" s="217"/>
      <c r="J587" s="217"/>
      <c r="K587" s="217"/>
      <c r="L587" s="217"/>
      <c r="M587" s="217"/>
      <c r="N587" s="217"/>
      <c r="O587" s="217"/>
      <c r="P587" s="217"/>
      <c r="Q587" s="218"/>
    </row>
    <row r="588" spans="1:17" s="219" customFormat="1" ht="30" hidden="1" x14ac:dyDescent="0.25">
      <c r="A588" s="214"/>
      <c r="B588" s="215" t="s">
        <v>1822</v>
      </c>
      <c r="C588" s="215" t="s">
        <v>1823</v>
      </c>
      <c r="D588" s="215" t="s">
        <v>1836</v>
      </c>
      <c r="E588" s="215" t="s">
        <v>2410</v>
      </c>
      <c r="F588" s="215" t="s">
        <v>1825</v>
      </c>
      <c r="G588" s="215" t="s">
        <v>138</v>
      </c>
      <c r="H588" s="216" t="s">
        <v>2424</v>
      </c>
      <c r="I588" s="217"/>
      <c r="J588" s="217"/>
      <c r="K588" s="217"/>
      <c r="L588" s="217"/>
      <c r="M588" s="217"/>
      <c r="N588" s="217"/>
      <c r="O588" s="217"/>
      <c r="P588" s="217"/>
      <c r="Q588" s="218"/>
    </row>
    <row r="589" spans="1:17" s="219" customFormat="1" hidden="1" x14ac:dyDescent="0.25">
      <c r="A589" s="214"/>
      <c r="B589" s="215" t="s">
        <v>1822</v>
      </c>
      <c r="C589" s="215" t="s">
        <v>1823</v>
      </c>
      <c r="D589" s="215" t="s">
        <v>1836</v>
      </c>
      <c r="E589" s="215" t="s">
        <v>2410</v>
      </c>
      <c r="F589" s="215" t="s">
        <v>1825</v>
      </c>
      <c r="G589" s="215" t="s">
        <v>140</v>
      </c>
      <c r="H589" s="216" t="s">
        <v>2425</v>
      </c>
      <c r="I589" s="217"/>
      <c r="J589" s="217"/>
      <c r="K589" s="217"/>
      <c r="L589" s="217"/>
      <c r="M589" s="217"/>
      <c r="N589" s="217"/>
      <c r="O589" s="217"/>
      <c r="P589" s="217"/>
      <c r="Q589" s="218"/>
    </row>
    <row r="590" spans="1:17" s="219" customFormat="1" hidden="1" x14ac:dyDescent="0.25">
      <c r="A590" s="214"/>
      <c r="B590" s="215" t="s">
        <v>1822</v>
      </c>
      <c r="C590" s="215" t="s">
        <v>1823</v>
      </c>
      <c r="D590" s="215" t="s">
        <v>1836</v>
      </c>
      <c r="E590" s="215" t="s">
        <v>2410</v>
      </c>
      <c r="F590" s="215" t="s">
        <v>1825</v>
      </c>
      <c r="G590" s="215" t="s">
        <v>143</v>
      </c>
      <c r="H590" s="216" t="s">
        <v>2426</v>
      </c>
      <c r="I590" s="217"/>
      <c r="J590" s="217"/>
      <c r="K590" s="217"/>
      <c r="L590" s="217"/>
      <c r="M590" s="217"/>
      <c r="N590" s="217"/>
      <c r="O590" s="217"/>
      <c r="P590" s="217"/>
      <c r="Q590" s="218"/>
    </row>
    <row r="591" spans="1:17" s="219" customFormat="1" hidden="1" x14ac:dyDescent="0.25">
      <c r="A591" s="214"/>
      <c r="B591" s="215" t="s">
        <v>1822</v>
      </c>
      <c r="C591" s="215" t="s">
        <v>1823</v>
      </c>
      <c r="D591" s="215" t="s">
        <v>1836</v>
      </c>
      <c r="E591" s="215" t="s">
        <v>2410</v>
      </c>
      <c r="F591" s="215" t="s">
        <v>1825</v>
      </c>
      <c r="G591" s="215" t="s">
        <v>146</v>
      </c>
      <c r="H591" s="216" t="s">
        <v>2427</v>
      </c>
      <c r="I591" s="217"/>
      <c r="J591" s="217"/>
      <c r="K591" s="217"/>
      <c r="L591" s="217"/>
      <c r="M591" s="217"/>
      <c r="N591" s="217"/>
      <c r="O591" s="217"/>
      <c r="P591" s="217"/>
      <c r="Q591" s="218"/>
    </row>
    <row r="592" spans="1:17" s="219" customFormat="1" hidden="1" x14ac:dyDescent="0.25">
      <c r="A592" s="214"/>
      <c r="B592" s="215" t="s">
        <v>1822</v>
      </c>
      <c r="C592" s="215" t="s">
        <v>1823</v>
      </c>
      <c r="D592" s="215" t="s">
        <v>1836</v>
      </c>
      <c r="E592" s="215" t="s">
        <v>2410</v>
      </c>
      <c r="F592" s="215" t="s">
        <v>1825</v>
      </c>
      <c r="G592" s="215" t="s">
        <v>150</v>
      </c>
      <c r="H592" s="216" t="s">
        <v>2428</v>
      </c>
      <c r="I592" s="217"/>
      <c r="J592" s="217"/>
      <c r="K592" s="217"/>
      <c r="L592" s="217"/>
      <c r="M592" s="217"/>
      <c r="N592" s="217"/>
      <c r="O592" s="217"/>
      <c r="P592" s="217"/>
      <c r="Q592" s="218"/>
    </row>
    <row r="593" spans="1:17" s="219" customFormat="1" hidden="1" x14ac:dyDescent="0.25">
      <c r="A593" s="214"/>
      <c r="B593" s="215" t="s">
        <v>1822</v>
      </c>
      <c r="C593" s="215" t="s">
        <v>1823</v>
      </c>
      <c r="D593" s="215" t="s">
        <v>1836</v>
      </c>
      <c r="E593" s="215" t="s">
        <v>2410</v>
      </c>
      <c r="F593" s="215" t="s">
        <v>1825</v>
      </c>
      <c r="G593" s="215" t="s">
        <v>153</v>
      </c>
      <c r="H593" s="216" t="s">
        <v>2429</v>
      </c>
      <c r="I593" s="217"/>
      <c r="J593" s="217"/>
      <c r="K593" s="217"/>
      <c r="L593" s="217"/>
      <c r="M593" s="217"/>
      <c r="N593" s="217"/>
      <c r="O593" s="217"/>
      <c r="P593" s="217"/>
      <c r="Q593" s="218"/>
    </row>
    <row r="594" spans="1:17" s="219" customFormat="1" hidden="1" x14ac:dyDescent="0.25">
      <c r="A594" s="214"/>
      <c r="B594" s="215" t="s">
        <v>1822</v>
      </c>
      <c r="C594" s="215" t="s">
        <v>1823</v>
      </c>
      <c r="D594" s="215" t="s">
        <v>1836</v>
      </c>
      <c r="E594" s="215" t="s">
        <v>2410</v>
      </c>
      <c r="F594" s="215" t="s">
        <v>1825</v>
      </c>
      <c r="G594" s="215" t="s">
        <v>156</v>
      </c>
      <c r="H594" s="216" t="s">
        <v>2430</v>
      </c>
      <c r="I594" s="217"/>
      <c r="J594" s="217"/>
      <c r="K594" s="217"/>
      <c r="L594" s="217"/>
      <c r="M594" s="217"/>
      <c r="N594" s="217"/>
      <c r="O594" s="217"/>
      <c r="P594" s="217"/>
      <c r="Q594" s="218"/>
    </row>
    <row r="595" spans="1:17" s="219" customFormat="1" ht="30" hidden="1" x14ac:dyDescent="0.25">
      <c r="A595" s="214"/>
      <c r="B595" s="215" t="s">
        <v>1822</v>
      </c>
      <c r="C595" s="215" t="s">
        <v>1823</v>
      </c>
      <c r="D595" s="215" t="s">
        <v>1836</v>
      </c>
      <c r="E595" s="215" t="s">
        <v>2410</v>
      </c>
      <c r="F595" s="215" t="s">
        <v>1825</v>
      </c>
      <c r="G595" s="215" t="s">
        <v>159</v>
      </c>
      <c r="H595" s="216" t="s">
        <v>2431</v>
      </c>
      <c r="I595" s="217"/>
      <c r="J595" s="217"/>
      <c r="K595" s="217"/>
      <c r="L595" s="217"/>
      <c r="M595" s="217"/>
      <c r="N595" s="217"/>
      <c r="O595" s="217"/>
      <c r="P595" s="217"/>
      <c r="Q595" s="218"/>
    </row>
    <row r="596" spans="1:17" s="219" customFormat="1" hidden="1" x14ac:dyDescent="0.25">
      <c r="A596" s="214"/>
      <c r="B596" s="215" t="s">
        <v>1822</v>
      </c>
      <c r="C596" s="215" t="s">
        <v>1823</v>
      </c>
      <c r="D596" s="215" t="s">
        <v>1836</v>
      </c>
      <c r="E596" s="215" t="s">
        <v>2410</v>
      </c>
      <c r="F596" s="215" t="s">
        <v>1825</v>
      </c>
      <c r="G596" s="215" t="s">
        <v>162</v>
      </c>
      <c r="H596" s="216" t="s">
        <v>2432</v>
      </c>
      <c r="I596" s="217"/>
      <c r="J596" s="217"/>
      <c r="K596" s="217"/>
      <c r="L596" s="217"/>
      <c r="M596" s="217"/>
      <c r="N596" s="217"/>
      <c r="O596" s="217"/>
      <c r="P596" s="217"/>
      <c r="Q596" s="218"/>
    </row>
    <row r="597" spans="1:17" s="219" customFormat="1" ht="30" hidden="1" x14ac:dyDescent="0.25">
      <c r="A597" s="214"/>
      <c r="B597" s="215" t="s">
        <v>1822</v>
      </c>
      <c r="C597" s="215" t="s">
        <v>1823</v>
      </c>
      <c r="D597" s="215" t="s">
        <v>1836</v>
      </c>
      <c r="E597" s="215" t="s">
        <v>2410</v>
      </c>
      <c r="F597" s="215" t="s">
        <v>1825</v>
      </c>
      <c r="G597" s="215" t="s">
        <v>312</v>
      </c>
      <c r="H597" s="216" t="s">
        <v>2433</v>
      </c>
      <c r="I597" s="217"/>
      <c r="J597" s="217"/>
      <c r="K597" s="217"/>
      <c r="L597" s="217"/>
      <c r="M597" s="217"/>
      <c r="N597" s="217"/>
      <c r="O597" s="217"/>
      <c r="P597" s="217"/>
      <c r="Q597" s="218"/>
    </row>
    <row r="598" spans="1:17" s="219" customFormat="1" hidden="1" x14ac:dyDescent="0.25">
      <c r="A598" s="214"/>
      <c r="B598" s="215" t="s">
        <v>1822</v>
      </c>
      <c r="C598" s="215" t="s">
        <v>1823</v>
      </c>
      <c r="D598" s="215" t="s">
        <v>1836</v>
      </c>
      <c r="E598" s="215" t="s">
        <v>2410</v>
      </c>
      <c r="F598" s="215" t="s">
        <v>1825</v>
      </c>
      <c r="G598" s="215" t="s">
        <v>313</v>
      </c>
      <c r="H598" s="216" t="s">
        <v>2434</v>
      </c>
      <c r="I598" s="217"/>
      <c r="J598" s="217"/>
      <c r="K598" s="217"/>
      <c r="L598" s="217"/>
      <c r="M598" s="217"/>
      <c r="N598" s="217"/>
      <c r="O598" s="217"/>
      <c r="P598" s="217"/>
      <c r="Q598" s="218"/>
    </row>
    <row r="599" spans="1:17" s="219" customFormat="1" hidden="1" x14ac:dyDescent="0.25">
      <c r="A599" s="214"/>
      <c r="B599" s="215" t="s">
        <v>1822</v>
      </c>
      <c r="C599" s="215" t="s">
        <v>1823</v>
      </c>
      <c r="D599" s="215" t="s">
        <v>1836</v>
      </c>
      <c r="E599" s="215" t="s">
        <v>2410</v>
      </c>
      <c r="F599" s="215" t="s">
        <v>1825</v>
      </c>
      <c r="G599" s="215" t="s">
        <v>559</v>
      </c>
      <c r="H599" s="216" t="s">
        <v>2435</v>
      </c>
      <c r="I599" s="217"/>
      <c r="J599" s="217"/>
      <c r="K599" s="217"/>
      <c r="L599" s="217"/>
      <c r="M599" s="217"/>
      <c r="N599" s="217"/>
      <c r="O599" s="217"/>
      <c r="P599" s="217"/>
      <c r="Q599" s="218"/>
    </row>
    <row r="600" spans="1:17" s="219" customFormat="1" hidden="1" x14ac:dyDescent="0.25">
      <c r="A600" s="214"/>
      <c r="B600" s="215" t="s">
        <v>1822</v>
      </c>
      <c r="C600" s="215" t="s">
        <v>1823</v>
      </c>
      <c r="D600" s="215" t="s">
        <v>1836</v>
      </c>
      <c r="E600" s="215" t="s">
        <v>2410</v>
      </c>
      <c r="F600" s="215" t="s">
        <v>1825</v>
      </c>
      <c r="G600" s="215" t="s">
        <v>561</v>
      </c>
      <c r="H600" s="216" t="s">
        <v>2436</v>
      </c>
      <c r="I600" s="217"/>
      <c r="J600" s="217"/>
      <c r="K600" s="217"/>
      <c r="L600" s="217"/>
      <c r="M600" s="217"/>
      <c r="N600" s="217"/>
      <c r="O600" s="217"/>
      <c r="P600" s="217"/>
      <c r="Q600" s="218"/>
    </row>
    <row r="601" spans="1:17" s="219" customFormat="1" hidden="1" x14ac:dyDescent="0.25">
      <c r="A601" s="214"/>
      <c r="B601" s="215" t="s">
        <v>1822</v>
      </c>
      <c r="C601" s="215" t="s">
        <v>1823</v>
      </c>
      <c r="D601" s="215" t="s">
        <v>1836</v>
      </c>
      <c r="E601" s="215" t="s">
        <v>2410</v>
      </c>
      <c r="F601" s="215" t="s">
        <v>1825</v>
      </c>
      <c r="G601" s="215" t="s">
        <v>563</v>
      </c>
      <c r="H601" s="216" t="s">
        <v>2437</v>
      </c>
      <c r="I601" s="217"/>
      <c r="J601" s="217"/>
      <c r="K601" s="217"/>
      <c r="L601" s="217"/>
      <c r="M601" s="217"/>
      <c r="N601" s="217"/>
      <c r="O601" s="217"/>
      <c r="P601" s="217"/>
      <c r="Q601" s="218"/>
    </row>
    <row r="602" spans="1:17" s="219" customFormat="1" ht="30" hidden="1" x14ac:dyDescent="0.25">
      <c r="A602" s="214"/>
      <c r="B602" s="215" t="s">
        <v>1822</v>
      </c>
      <c r="C602" s="215" t="s">
        <v>1823</v>
      </c>
      <c r="D602" s="215" t="s">
        <v>1836</v>
      </c>
      <c r="E602" s="215" t="s">
        <v>2410</v>
      </c>
      <c r="F602" s="215" t="s">
        <v>1825</v>
      </c>
      <c r="G602" s="215" t="s">
        <v>227</v>
      </c>
      <c r="H602" s="216" t="s">
        <v>2438</v>
      </c>
      <c r="I602" s="217"/>
      <c r="J602" s="217"/>
      <c r="K602" s="217"/>
      <c r="L602" s="217"/>
      <c r="M602" s="217"/>
      <c r="N602" s="217"/>
      <c r="O602" s="217"/>
      <c r="P602" s="217"/>
      <c r="Q602" s="218"/>
    </row>
    <row r="603" spans="1:17" s="213" customFormat="1" hidden="1" x14ac:dyDescent="0.25">
      <c r="A603" s="208" t="s">
        <v>2439</v>
      </c>
      <c r="B603" s="209" t="s">
        <v>1822</v>
      </c>
      <c r="C603" s="209" t="s">
        <v>1823</v>
      </c>
      <c r="D603" s="209" t="s">
        <v>1836</v>
      </c>
      <c r="E603" s="209" t="s">
        <v>2440</v>
      </c>
      <c r="F603" s="209"/>
      <c r="G603" s="209"/>
      <c r="H603" s="210" t="s">
        <v>2441</v>
      </c>
      <c r="I603" s="211">
        <f>SUM(+I604+I608+I616)</f>
        <v>0</v>
      </c>
      <c r="J603" s="211">
        <f t="shared" ref="J603:P603" si="74">SUM(+J604+J608+J616)</f>
        <v>0</v>
      </c>
      <c r="K603" s="211">
        <f t="shared" si="74"/>
        <v>0</v>
      </c>
      <c r="L603" s="211">
        <f t="shared" si="74"/>
        <v>0</v>
      </c>
      <c r="M603" s="211">
        <f t="shared" si="74"/>
        <v>0</v>
      </c>
      <c r="N603" s="211">
        <f t="shared" si="74"/>
        <v>0</v>
      </c>
      <c r="O603" s="211">
        <f t="shared" si="74"/>
        <v>0</v>
      </c>
      <c r="P603" s="211">
        <f t="shared" si="74"/>
        <v>0</v>
      </c>
      <c r="Q603" s="212"/>
    </row>
    <row r="604" spans="1:17" s="213" customFormat="1" hidden="1" x14ac:dyDescent="0.25">
      <c r="A604" s="208" t="s">
        <v>263</v>
      </c>
      <c r="B604" s="209" t="s">
        <v>1822</v>
      </c>
      <c r="C604" s="209" t="s">
        <v>1823</v>
      </c>
      <c r="D604" s="209" t="s">
        <v>1836</v>
      </c>
      <c r="E604" s="209" t="s">
        <v>2440</v>
      </c>
      <c r="F604" s="209" t="s">
        <v>1825</v>
      </c>
      <c r="G604" s="209"/>
      <c r="H604" s="210" t="s">
        <v>2442</v>
      </c>
      <c r="I604" s="211">
        <f>SUM(I605:I607)</f>
        <v>0</v>
      </c>
      <c r="J604" s="211">
        <f t="shared" ref="J604:P604" si="75">SUM(J605:J607)</f>
        <v>0</v>
      </c>
      <c r="K604" s="211">
        <f t="shared" si="75"/>
        <v>0</v>
      </c>
      <c r="L604" s="211">
        <f t="shared" si="75"/>
        <v>0</v>
      </c>
      <c r="M604" s="211">
        <f t="shared" si="75"/>
        <v>0</v>
      </c>
      <c r="N604" s="211">
        <f t="shared" si="75"/>
        <v>0</v>
      </c>
      <c r="O604" s="211">
        <f t="shared" si="75"/>
        <v>0</v>
      </c>
      <c r="P604" s="211">
        <f t="shared" si="75"/>
        <v>0</v>
      </c>
      <c r="Q604" s="212"/>
    </row>
    <row r="605" spans="1:17" s="219" customFormat="1" hidden="1" x14ac:dyDescent="0.25">
      <c r="A605" s="214"/>
      <c r="B605" s="215" t="s">
        <v>1822</v>
      </c>
      <c r="C605" s="215" t="s">
        <v>1823</v>
      </c>
      <c r="D605" s="215" t="s">
        <v>1836</v>
      </c>
      <c r="E605" s="215" t="s">
        <v>2440</v>
      </c>
      <c r="F605" s="215" t="s">
        <v>1825</v>
      </c>
      <c r="G605" s="215" t="s">
        <v>58</v>
      </c>
      <c r="H605" s="216" t="s">
        <v>2443</v>
      </c>
      <c r="I605" s="217"/>
      <c r="J605" s="217"/>
      <c r="K605" s="217"/>
      <c r="L605" s="217"/>
      <c r="M605" s="217"/>
      <c r="N605" s="217"/>
      <c r="O605" s="217"/>
      <c r="P605" s="217"/>
      <c r="Q605" s="218"/>
    </row>
    <row r="606" spans="1:17" s="219" customFormat="1" hidden="1" x14ac:dyDescent="0.25">
      <c r="A606" s="214"/>
      <c r="B606" s="215" t="s">
        <v>1822</v>
      </c>
      <c r="C606" s="215" t="s">
        <v>1823</v>
      </c>
      <c r="D606" s="215" t="s">
        <v>1836</v>
      </c>
      <c r="E606" s="215" t="s">
        <v>2440</v>
      </c>
      <c r="F606" s="215" t="s">
        <v>1825</v>
      </c>
      <c r="G606" s="215" t="s">
        <v>75</v>
      </c>
      <c r="H606" s="216" t="s">
        <v>2444</v>
      </c>
      <c r="I606" s="217"/>
      <c r="J606" s="217"/>
      <c r="K606" s="217"/>
      <c r="L606" s="217"/>
      <c r="M606" s="217"/>
      <c r="N606" s="217"/>
      <c r="O606" s="217"/>
      <c r="P606" s="217"/>
      <c r="Q606" s="218"/>
    </row>
    <row r="607" spans="1:17" s="219" customFormat="1" ht="30" hidden="1" x14ac:dyDescent="0.25">
      <c r="A607" s="214"/>
      <c r="B607" s="215" t="s">
        <v>1822</v>
      </c>
      <c r="C607" s="215" t="s">
        <v>1823</v>
      </c>
      <c r="D607" s="215" t="s">
        <v>1836</v>
      </c>
      <c r="E607" s="215" t="s">
        <v>2440</v>
      </c>
      <c r="F607" s="215" t="s">
        <v>1825</v>
      </c>
      <c r="G607" s="215" t="s">
        <v>79</v>
      </c>
      <c r="H607" s="216" t="s">
        <v>2445</v>
      </c>
      <c r="I607" s="217"/>
      <c r="J607" s="217"/>
      <c r="K607" s="217"/>
      <c r="L607" s="217"/>
      <c r="M607" s="217"/>
      <c r="N607" s="217"/>
      <c r="O607" s="217"/>
      <c r="P607" s="217"/>
      <c r="Q607" s="218"/>
    </row>
    <row r="608" spans="1:17" s="213" customFormat="1" hidden="1" x14ac:dyDescent="0.25">
      <c r="A608" s="208" t="s">
        <v>263</v>
      </c>
      <c r="B608" s="209" t="s">
        <v>1822</v>
      </c>
      <c r="C608" s="209" t="s">
        <v>1823</v>
      </c>
      <c r="D608" s="209" t="s">
        <v>1836</v>
      </c>
      <c r="E608" s="209" t="s">
        <v>2440</v>
      </c>
      <c r="F608" s="209" t="s">
        <v>1836</v>
      </c>
      <c r="G608" s="209"/>
      <c r="H608" s="210" t="s">
        <v>2446</v>
      </c>
      <c r="I608" s="211">
        <f>SUM(I609:I615)</f>
        <v>0</v>
      </c>
      <c r="J608" s="211">
        <f t="shared" ref="J608:P608" si="76">SUM(J609:J615)</f>
        <v>0</v>
      </c>
      <c r="K608" s="211">
        <f t="shared" si="76"/>
        <v>0</v>
      </c>
      <c r="L608" s="211">
        <f t="shared" si="76"/>
        <v>0</v>
      </c>
      <c r="M608" s="211">
        <f t="shared" si="76"/>
        <v>0</v>
      </c>
      <c r="N608" s="211">
        <f t="shared" si="76"/>
        <v>0</v>
      </c>
      <c r="O608" s="211">
        <f t="shared" si="76"/>
        <v>0</v>
      </c>
      <c r="P608" s="211">
        <f t="shared" si="76"/>
        <v>0</v>
      </c>
      <c r="Q608" s="212"/>
    </row>
    <row r="609" spans="1:17" s="219" customFormat="1" hidden="1" x14ac:dyDescent="0.25">
      <c r="A609" s="214"/>
      <c r="B609" s="215" t="s">
        <v>1822</v>
      </c>
      <c r="C609" s="215" t="s">
        <v>1823</v>
      </c>
      <c r="D609" s="215" t="s">
        <v>1836</v>
      </c>
      <c r="E609" s="215" t="s">
        <v>2440</v>
      </c>
      <c r="F609" s="215" t="s">
        <v>1836</v>
      </c>
      <c r="G609" s="215" t="s">
        <v>58</v>
      </c>
      <c r="H609" s="216" t="s">
        <v>2447</v>
      </c>
      <c r="I609" s="217"/>
      <c r="J609" s="217"/>
      <c r="K609" s="217"/>
      <c r="L609" s="217"/>
      <c r="M609" s="217"/>
      <c r="N609" s="217"/>
      <c r="O609" s="217"/>
      <c r="P609" s="217"/>
      <c r="Q609" s="218"/>
    </row>
    <row r="610" spans="1:17" s="219" customFormat="1" ht="30" hidden="1" x14ac:dyDescent="0.25">
      <c r="A610" s="214"/>
      <c r="B610" s="215" t="s">
        <v>1822</v>
      </c>
      <c r="C610" s="215" t="s">
        <v>1823</v>
      </c>
      <c r="D610" s="215" t="s">
        <v>1836</v>
      </c>
      <c r="E610" s="215" t="s">
        <v>2440</v>
      </c>
      <c r="F610" s="215" t="s">
        <v>1836</v>
      </c>
      <c r="G610" s="215" t="s">
        <v>75</v>
      </c>
      <c r="H610" s="216" t="s">
        <v>2448</v>
      </c>
      <c r="I610" s="217"/>
      <c r="J610" s="217"/>
      <c r="K610" s="217"/>
      <c r="L610" s="217"/>
      <c r="M610" s="217"/>
      <c r="N610" s="217"/>
      <c r="O610" s="217"/>
      <c r="P610" s="217"/>
      <c r="Q610" s="218"/>
    </row>
    <row r="611" spans="1:17" s="219" customFormat="1" hidden="1" x14ac:dyDescent="0.25">
      <c r="A611" s="214"/>
      <c r="B611" s="215" t="s">
        <v>1822</v>
      </c>
      <c r="C611" s="215" t="s">
        <v>1823</v>
      </c>
      <c r="D611" s="215" t="s">
        <v>1836</v>
      </c>
      <c r="E611" s="215" t="s">
        <v>2440</v>
      </c>
      <c r="F611" s="215" t="s">
        <v>1836</v>
      </c>
      <c r="G611" s="215" t="s">
        <v>79</v>
      </c>
      <c r="H611" s="216" t="s">
        <v>2449</v>
      </c>
      <c r="I611" s="217"/>
      <c r="J611" s="217"/>
      <c r="K611" s="217"/>
      <c r="L611" s="217"/>
      <c r="M611" s="217"/>
      <c r="N611" s="217"/>
      <c r="O611" s="217"/>
      <c r="P611" s="217"/>
      <c r="Q611" s="218"/>
    </row>
    <row r="612" spans="1:17" s="219" customFormat="1" hidden="1" x14ac:dyDescent="0.25">
      <c r="A612" s="214"/>
      <c r="B612" s="215" t="s">
        <v>1822</v>
      </c>
      <c r="C612" s="215" t="s">
        <v>1823</v>
      </c>
      <c r="D612" s="215" t="s">
        <v>1836</v>
      </c>
      <c r="E612" s="215" t="s">
        <v>2440</v>
      </c>
      <c r="F612" s="215" t="s">
        <v>1836</v>
      </c>
      <c r="G612" s="215" t="s">
        <v>84</v>
      </c>
      <c r="H612" s="216" t="s">
        <v>2450</v>
      </c>
      <c r="I612" s="217"/>
      <c r="J612" s="217"/>
      <c r="K612" s="217"/>
      <c r="L612" s="217"/>
      <c r="M612" s="217"/>
      <c r="N612" s="217"/>
      <c r="O612" s="217"/>
      <c r="P612" s="217"/>
      <c r="Q612" s="218"/>
    </row>
    <row r="613" spans="1:17" s="219" customFormat="1" hidden="1" x14ac:dyDescent="0.25">
      <c r="A613" s="214"/>
      <c r="B613" s="215" t="s">
        <v>1822</v>
      </c>
      <c r="C613" s="215" t="s">
        <v>1823</v>
      </c>
      <c r="D613" s="215" t="s">
        <v>1836</v>
      </c>
      <c r="E613" s="215" t="s">
        <v>2440</v>
      </c>
      <c r="F613" s="215" t="s">
        <v>1836</v>
      </c>
      <c r="G613" s="215" t="s">
        <v>88</v>
      </c>
      <c r="H613" s="216" t="s">
        <v>2451</v>
      </c>
      <c r="I613" s="217"/>
      <c r="J613" s="217"/>
      <c r="K613" s="217"/>
      <c r="L613" s="217"/>
      <c r="M613" s="217"/>
      <c r="N613" s="217"/>
      <c r="O613" s="217"/>
      <c r="P613" s="217"/>
      <c r="Q613" s="218"/>
    </row>
    <row r="614" spans="1:17" s="219" customFormat="1" hidden="1" x14ac:dyDescent="0.25">
      <c r="A614" s="214"/>
      <c r="B614" s="215" t="s">
        <v>1822</v>
      </c>
      <c r="C614" s="215" t="s">
        <v>1823</v>
      </c>
      <c r="D614" s="215" t="s">
        <v>1836</v>
      </c>
      <c r="E614" s="215" t="s">
        <v>2440</v>
      </c>
      <c r="F614" s="215" t="s">
        <v>1836</v>
      </c>
      <c r="G614" s="215" t="s">
        <v>92</v>
      </c>
      <c r="H614" s="216" t="s">
        <v>2452</v>
      </c>
      <c r="I614" s="217"/>
      <c r="J614" s="217"/>
      <c r="K614" s="217"/>
      <c r="L614" s="217"/>
      <c r="M614" s="217"/>
      <c r="N614" s="217"/>
      <c r="O614" s="217"/>
      <c r="P614" s="217"/>
      <c r="Q614" s="218"/>
    </row>
    <row r="615" spans="1:17" s="219" customFormat="1" ht="30" hidden="1" x14ac:dyDescent="0.25">
      <c r="A615" s="214"/>
      <c r="B615" s="215" t="s">
        <v>1822</v>
      </c>
      <c r="C615" s="215" t="s">
        <v>1823</v>
      </c>
      <c r="D615" s="215" t="s">
        <v>1836</v>
      </c>
      <c r="E615" s="215" t="s">
        <v>2440</v>
      </c>
      <c r="F615" s="215" t="s">
        <v>1836</v>
      </c>
      <c r="G615" s="215" t="s">
        <v>96</v>
      </c>
      <c r="H615" s="216" t="s">
        <v>2453</v>
      </c>
      <c r="I615" s="217"/>
      <c r="J615" s="217"/>
      <c r="K615" s="217"/>
      <c r="L615" s="217"/>
      <c r="M615" s="217"/>
      <c r="N615" s="217"/>
      <c r="O615" s="217"/>
      <c r="P615" s="217"/>
      <c r="Q615" s="218"/>
    </row>
    <row r="616" spans="1:17" s="213" customFormat="1" hidden="1" x14ac:dyDescent="0.25">
      <c r="A616" s="208" t="s">
        <v>263</v>
      </c>
      <c r="B616" s="209" t="s">
        <v>1822</v>
      </c>
      <c r="C616" s="209" t="s">
        <v>1823</v>
      </c>
      <c r="D616" s="209" t="s">
        <v>1836</v>
      </c>
      <c r="E616" s="209" t="s">
        <v>2440</v>
      </c>
      <c r="F616" s="209" t="s">
        <v>1847</v>
      </c>
      <c r="G616" s="209"/>
      <c r="H616" s="210" t="s">
        <v>2454</v>
      </c>
      <c r="I616" s="211">
        <f>SUM(I617:I618)</f>
        <v>0</v>
      </c>
      <c r="J616" s="211">
        <f t="shared" ref="J616:P616" si="77">SUM(J617:J618)</f>
        <v>0</v>
      </c>
      <c r="K616" s="211">
        <f t="shared" si="77"/>
        <v>0</v>
      </c>
      <c r="L616" s="211">
        <f t="shared" si="77"/>
        <v>0</v>
      </c>
      <c r="M616" s="211">
        <f t="shared" si="77"/>
        <v>0</v>
      </c>
      <c r="N616" s="211">
        <f t="shared" si="77"/>
        <v>0</v>
      </c>
      <c r="O616" s="211">
        <f t="shared" si="77"/>
        <v>0</v>
      </c>
      <c r="P616" s="211">
        <f t="shared" si="77"/>
        <v>0</v>
      </c>
      <c r="Q616" s="212"/>
    </row>
    <row r="617" spans="1:17" s="219" customFormat="1" hidden="1" x14ac:dyDescent="0.25">
      <c r="A617" s="214"/>
      <c r="B617" s="215" t="s">
        <v>1822</v>
      </c>
      <c r="C617" s="215" t="s">
        <v>1823</v>
      </c>
      <c r="D617" s="215" t="s">
        <v>1836</v>
      </c>
      <c r="E617" s="215" t="s">
        <v>2440</v>
      </c>
      <c r="F617" s="215" t="s">
        <v>1847</v>
      </c>
      <c r="G617" s="215" t="s">
        <v>58</v>
      </c>
      <c r="H617" s="216" t="s">
        <v>2455</v>
      </c>
      <c r="I617" s="217"/>
      <c r="J617" s="217"/>
      <c r="K617" s="217"/>
      <c r="L617" s="217"/>
      <c r="M617" s="217"/>
      <c r="N617" s="217"/>
      <c r="O617" s="217"/>
      <c r="P617" s="217"/>
      <c r="Q617" s="218"/>
    </row>
    <row r="618" spans="1:17" s="219" customFormat="1" ht="30" x14ac:dyDescent="0.25">
      <c r="A618" s="214"/>
      <c r="B618" s="215" t="s">
        <v>1822</v>
      </c>
      <c r="C618" s="215" t="s">
        <v>1823</v>
      </c>
      <c r="D618" s="215" t="s">
        <v>1836</v>
      </c>
      <c r="E618" s="215" t="s">
        <v>2440</v>
      </c>
      <c r="F618" s="215" t="s">
        <v>1847</v>
      </c>
      <c r="G618" s="215" t="s">
        <v>75</v>
      </c>
      <c r="H618" s="216" t="s">
        <v>2456</v>
      </c>
      <c r="I618" s="217"/>
      <c r="J618" s="217"/>
      <c r="K618" s="217"/>
      <c r="L618" s="217"/>
      <c r="M618" s="217"/>
      <c r="N618" s="217"/>
      <c r="O618" s="217"/>
      <c r="P618" s="217"/>
      <c r="Q618" s="218"/>
    </row>
    <row r="619" spans="1:17" s="213" customFormat="1" x14ac:dyDescent="0.25">
      <c r="A619" s="208" t="s">
        <v>2457</v>
      </c>
      <c r="B619" s="209" t="s">
        <v>1822</v>
      </c>
      <c r="C619" s="209" t="s">
        <v>1823</v>
      </c>
      <c r="D619" s="209" t="s">
        <v>1836</v>
      </c>
      <c r="E619" s="209" t="s">
        <v>2458</v>
      </c>
      <c r="F619" s="209"/>
      <c r="G619" s="209"/>
      <c r="H619" s="210" t="s">
        <v>1298</v>
      </c>
      <c r="I619" s="211">
        <f>SUM(I620)</f>
        <v>50797500</v>
      </c>
      <c r="J619" s="211">
        <f t="shared" ref="J619:P619" si="78">SUM(J620)</f>
        <v>10159500</v>
      </c>
      <c r="K619" s="211">
        <f t="shared" si="78"/>
        <v>4479750</v>
      </c>
      <c r="L619" s="211">
        <f t="shared" si="78"/>
        <v>4479750</v>
      </c>
      <c r="M619" s="211">
        <f t="shared" si="78"/>
        <v>8959500</v>
      </c>
      <c r="N619" s="211">
        <f t="shared" si="78"/>
        <v>35118375</v>
      </c>
      <c r="O619" s="211">
        <f t="shared" si="78"/>
        <v>15679125</v>
      </c>
      <c r="P619" s="211">
        <f t="shared" si="78"/>
        <v>0</v>
      </c>
      <c r="Q619" s="212"/>
    </row>
    <row r="620" spans="1:17" s="213" customFormat="1" x14ac:dyDescent="0.25">
      <c r="A620" s="208" t="s">
        <v>263</v>
      </c>
      <c r="B620" s="209" t="s">
        <v>1822</v>
      </c>
      <c r="C620" s="209" t="s">
        <v>1823</v>
      </c>
      <c r="D620" s="209" t="s">
        <v>1836</v>
      </c>
      <c r="E620" s="209" t="s">
        <v>2458</v>
      </c>
      <c r="F620" s="209" t="s">
        <v>1825</v>
      </c>
      <c r="G620" s="209"/>
      <c r="H620" s="210" t="s">
        <v>1298</v>
      </c>
      <c r="I620" s="211">
        <f>SUM(I621:I626)</f>
        <v>50797500</v>
      </c>
      <c r="J620" s="211">
        <f t="shared" ref="J620:P620" si="79">SUM(J621:J626)</f>
        <v>10159500</v>
      </c>
      <c r="K620" s="211">
        <f t="shared" si="79"/>
        <v>4479750</v>
      </c>
      <c r="L620" s="211">
        <f t="shared" si="79"/>
        <v>4479750</v>
      </c>
      <c r="M620" s="211">
        <f t="shared" si="79"/>
        <v>8959500</v>
      </c>
      <c r="N620" s="211">
        <f t="shared" si="79"/>
        <v>35118375</v>
      </c>
      <c r="O620" s="211">
        <f t="shared" si="79"/>
        <v>15679125</v>
      </c>
      <c r="P620" s="211">
        <f t="shared" si="79"/>
        <v>0</v>
      </c>
      <c r="Q620" s="212"/>
    </row>
    <row r="621" spans="1:17" s="219" customFormat="1" x14ac:dyDescent="0.25">
      <c r="A621" s="214"/>
      <c r="B621" s="215" t="s">
        <v>1822</v>
      </c>
      <c r="C621" s="215" t="s">
        <v>1823</v>
      </c>
      <c r="D621" s="215" t="s">
        <v>1836</v>
      </c>
      <c r="E621" s="215" t="s">
        <v>2458</v>
      </c>
      <c r="F621" s="215" t="s">
        <v>1825</v>
      </c>
      <c r="G621" s="215" t="s">
        <v>58</v>
      </c>
      <c r="H621" s="216" t="s">
        <v>2459</v>
      </c>
      <c r="I621" s="217">
        <v>50797500</v>
      </c>
      <c r="J621" s="217">
        <v>10159500</v>
      </c>
      <c r="K621" s="217">
        <v>4479750</v>
      </c>
      <c r="L621" s="217">
        <v>4479750</v>
      </c>
      <c r="M621" s="217">
        <v>8959500</v>
      </c>
      <c r="N621" s="217">
        <v>35118375</v>
      </c>
      <c r="O621" s="217">
        <v>15679125</v>
      </c>
      <c r="P621" s="217"/>
      <c r="Q621" s="218"/>
    </row>
    <row r="622" spans="1:17" s="219" customFormat="1" x14ac:dyDescent="0.25">
      <c r="A622" s="214"/>
      <c r="B622" s="215" t="s">
        <v>1822</v>
      </c>
      <c r="C622" s="215" t="s">
        <v>1823</v>
      </c>
      <c r="D622" s="215" t="s">
        <v>1836</v>
      </c>
      <c r="E622" s="215" t="s">
        <v>2458</v>
      </c>
      <c r="F622" s="215" t="s">
        <v>1825</v>
      </c>
      <c r="G622" s="215" t="s">
        <v>75</v>
      </c>
      <c r="H622" s="216" t="s">
        <v>2460</v>
      </c>
      <c r="I622" s="217"/>
      <c r="J622" s="217"/>
      <c r="K622" s="217"/>
      <c r="L622" s="217"/>
      <c r="M622" s="217"/>
      <c r="N622" s="217"/>
      <c r="O622" s="217"/>
      <c r="P622" s="217"/>
      <c r="Q622" s="218"/>
    </row>
    <row r="623" spans="1:17" s="219" customFormat="1" hidden="1" x14ac:dyDescent="0.25">
      <c r="A623" s="214"/>
      <c r="B623" s="215" t="s">
        <v>1822</v>
      </c>
      <c r="C623" s="215" t="s">
        <v>1823</v>
      </c>
      <c r="D623" s="215" t="s">
        <v>1836</v>
      </c>
      <c r="E623" s="215" t="s">
        <v>2458</v>
      </c>
      <c r="F623" s="215" t="s">
        <v>1825</v>
      </c>
      <c r="G623" s="215" t="s">
        <v>79</v>
      </c>
      <c r="H623" s="216" t="s">
        <v>2461</v>
      </c>
      <c r="I623" s="217"/>
      <c r="J623" s="217"/>
      <c r="K623" s="217"/>
      <c r="L623" s="217"/>
      <c r="M623" s="217"/>
      <c r="N623" s="217"/>
      <c r="O623" s="217"/>
      <c r="P623" s="217"/>
      <c r="Q623" s="218"/>
    </row>
    <row r="624" spans="1:17" s="219" customFormat="1" hidden="1" x14ac:dyDescent="0.25">
      <c r="A624" s="214"/>
      <c r="B624" s="215" t="s">
        <v>1822</v>
      </c>
      <c r="C624" s="215" t="s">
        <v>1823</v>
      </c>
      <c r="D624" s="215" t="s">
        <v>1836</v>
      </c>
      <c r="E624" s="215" t="s">
        <v>2458</v>
      </c>
      <c r="F624" s="215" t="s">
        <v>1825</v>
      </c>
      <c r="G624" s="215" t="s">
        <v>84</v>
      </c>
      <c r="H624" s="216" t="s">
        <v>2462</v>
      </c>
      <c r="I624" s="217"/>
      <c r="J624" s="217"/>
      <c r="K624" s="217"/>
      <c r="L624" s="217"/>
      <c r="M624" s="217"/>
      <c r="N624" s="217"/>
      <c r="O624" s="217"/>
      <c r="P624" s="217"/>
      <c r="Q624" s="218"/>
    </row>
    <row r="625" spans="1:17" s="219" customFormat="1" hidden="1" x14ac:dyDescent="0.25">
      <c r="A625" s="214"/>
      <c r="B625" s="215" t="s">
        <v>1822</v>
      </c>
      <c r="C625" s="215" t="s">
        <v>1823</v>
      </c>
      <c r="D625" s="215" t="s">
        <v>1836</v>
      </c>
      <c r="E625" s="215" t="s">
        <v>2458</v>
      </c>
      <c r="F625" s="215" t="s">
        <v>1825</v>
      </c>
      <c r="G625" s="215" t="s">
        <v>88</v>
      </c>
      <c r="H625" s="216" t="s">
        <v>2463</v>
      </c>
      <c r="I625" s="217"/>
      <c r="J625" s="217"/>
      <c r="K625" s="217"/>
      <c r="L625" s="217"/>
      <c r="M625" s="217"/>
      <c r="N625" s="217"/>
      <c r="O625" s="217"/>
      <c r="P625" s="217"/>
      <c r="Q625" s="218"/>
    </row>
    <row r="626" spans="1:17" s="219" customFormat="1" hidden="1" x14ac:dyDescent="0.25">
      <c r="A626" s="214"/>
      <c r="B626" s="215" t="s">
        <v>1822</v>
      </c>
      <c r="C626" s="215" t="s">
        <v>1823</v>
      </c>
      <c r="D626" s="215" t="s">
        <v>1836</v>
      </c>
      <c r="E626" s="215" t="s">
        <v>2458</v>
      </c>
      <c r="F626" s="215" t="s">
        <v>1825</v>
      </c>
      <c r="G626" s="215" t="s">
        <v>92</v>
      </c>
      <c r="H626" s="216" t="s">
        <v>2464</v>
      </c>
      <c r="I626" s="217"/>
      <c r="J626" s="217"/>
      <c r="K626" s="217"/>
      <c r="L626" s="217"/>
      <c r="M626" s="217"/>
      <c r="N626" s="217"/>
      <c r="O626" s="217"/>
      <c r="P626" s="217"/>
      <c r="Q626" s="218"/>
    </row>
    <row r="627" spans="1:17" s="231" customFormat="1" x14ac:dyDescent="0.25">
      <c r="A627" s="228"/>
      <c r="B627" s="229"/>
      <c r="C627" s="233"/>
      <c r="D627" s="233"/>
      <c r="E627" s="233"/>
      <c r="F627" s="233"/>
      <c r="G627" s="223"/>
      <c r="H627" s="225"/>
      <c r="I627" s="226"/>
      <c r="J627" s="226"/>
      <c r="K627" s="226"/>
      <c r="L627" s="226"/>
      <c r="M627" s="226"/>
      <c r="N627" s="226"/>
      <c r="O627" s="226"/>
      <c r="P627" s="226"/>
    </row>
    <row r="628" spans="1:17" s="231" customFormat="1" x14ac:dyDescent="0.25">
      <c r="A628" s="228">
        <v>3</v>
      </c>
      <c r="B628" s="229">
        <v>3</v>
      </c>
      <c r="C628" s="223" t="s">
        <v>1847</v>
      </c>
      <c r="D628" s="223"/>
      <c r="E628" s="223"/>
      <c r="F628" s="223"/>
      <c r="G628" s="223"/>
      <c r="H628" s="225" t="s">
        <v>1300</v>
      </c>
      <c r="I628" s="226">
        <f>SUM(I629+I682+I688+I695)</f>
        <v>22496690091</v>
      </c>
      <c r="J628" s="226">
        <f t="shared" ref="J628:P628" si="80">SUM(J629+J682+J688+J695)</f>
        <v>969647231.65802145</v>
      </c>
      <c r="K628" s="226">
        <f t="shared" si="80"/>
        <v>238513981.26827872</v>
      </c>
      <c r="L628" s="226">
        <f t="shared" si="80"/>
        <v>268248462.1330772</v>
      </c>
      <c r="M628" s="226">
        <f t="shared" si="80"/>
        <v>506762443.40135586</v>
      </c>
      <c r="N628" s="226">
        <f t="shared" si="80"/>
        <v>8627144660.8864174</v>
      </c>
      <c r="O628" s="226">
        <f t="shared" si="80"/>
        <v>13869545430.113585</v>
      </c>
      <c r="P628" s="226">
        <f t="shared" si="80"/>
        <v>0</v>
      </c>
    </row>
    <row r="629" spans="1:17" s="213" customFormat="1" x14ac:dyDescent="0.25">
      <c r="A629" s="208" t="s">
        <v>1827</v>
      </c>
      <c r="B629" s="209" t="s">
        <v>1822</v>
      </c>
      <c r="C629" s="209" t="s">
        <v>1823</v>
      </c>
      <c r="D629" s="209" t="s">
        <v>1847</v>
      </c>
      <c r="E629" s="209" t="s">
        <v>1825</v>
      </c>
      <c r="F629" s="209"/>
      <c r="G629" s="209"/>
      <c r="H629" s="210" t="s">
        <v>2465</v>
      </c>
      <c r="I629" s="211">
        <f>SUM(I630+I668)</f>
        <v>22416890091</v>
      </c>
      <c r="J629" s="211">
        <f t="shared" ref="J629:P629" si="81">SUM(J630+J668)</f>
        <v>968051231.65802145</v>
      </c>
      <c r="K629" s="211">
        <f t="shared" si="81"/>
        <v>237715981.26827872</v>
      </c>
      <c r="L629" s="211">
        <f t="shared" si="81"/>
        <v>267450462.1330772</v>
      </c>
      <c r="M629" s="211">
        <f t="shared" si="81"/>
        <v>505166443.40135586</v>
      </c>
      <c r="N629" s="211">
        <f t="shared" si="81"/>
        <v>8609588660.8864174</v>
      </c>
      <c r="O629" s="211">
        <f t="shared" si="81"/>
        <v>13807301430.113585</v>
      </c>
      <c r="P629" s="211">
        <f t="shared" si="81"/>
        <v>0</v>
      </c>
      <c r="Q629" s="212"/>
    </row>
    <row r="630" spans="1:17" s="213" customFormat="1" x14ac:dyDescent="0.25">
      <c r="A630" s="208" t="s">
        <v>263</v>
      </c>
      <c r="B630" s="209" t="s">
        <v>1822</v>
      </c>
      <c r="C630" s="209" t="s">
        <v>1823</v>
      </c>
      <c r="D630" s="209" t="s">
        <v>1847</v>
      </c>
      <c r="E630" s="209" t="s">
        <v>1825</v>
      </c>
      <c r="F630" s="209" t="s">
        <v>1825</v>
      </c>
      <c r="G630" s="209"/>
      <c r="H630" s="210" t="s">
        <v>2466</v>
      </c>
      <c r="I630" s="211">
        <f>SUM(I631:I667)</f>
        <v>13655936866</v>
      </c>
      <c r="J630" s="211">
        <f t="shared" ref="J630:P630" si="82">SUM(J631:J667)</f>
        <v>625842481.68672585</v>
      </c>
      <c r="K630" s="211">
        <v>141694306.91102767</v>
      </c>
      <c r="L630" s="211">
        <v>163973322.14699531</v>
      </c>
      <c r="M630" s="211">
        <f t="shared" si="82"/>
        <v>305667629.05802292</v>
      </c>
      <c r="N630" s="211">
        <f t="shared" si="82"/>
        <v>4844605700.4758997</v>
      </c>
      <c r="O630" s="211">
        <f t="shared" si="82"/>
        <v>8811331165.5241013</v>
      </c>
      <c r="P630" s="211">
        <f t="shared" si="82"/>
        <v>0</v>
      </c>
      <c r="Q630" s="212"/>
    </row>
    <row r="631" spans="1:17" s="219" customFormat="1" x14ac:dyDescent="0.25">
      <c r="A631" s="214"/>
      <c r="B631" s="215" t="s">
        <v>1822</v>
      </c>
      <c r="C631" s="215" t="s">
        <v>1823</v>
      </c>
      <c r="D631" s="215" t="s">
        <v>1847</v>
      </c>
      <c r="E631" s="215" t="s">
        <v>1825</v>
      </c>
      <c r="F631" s="215" t="s">
        <v>1825</v>
      </c>
      <c r="G631" s="215" t="s">
        <v>58</v>
      </c>
      <c r="H631" s="216" t="s">
        <v>2467</v>
      </c>
      <c r="I631" s="217">
        <v>13655936866</v>
      </c>
      <c r="J631" s="217">
        <v>625842481.68672585</v>
      </c>
      <c r="K631" s="217">
        <v>141694306.91102767</v>
      </c>
      <c r="L631" s="217">
        <v>163973322.14699531</v>
      </c>
      <c r="M631" s="217">
        <v>305667629.05802292</v>
      </c>
      <c r="N631" s="217">
        <v>4844605700.4758997</v>
      </c>
      <c r="O631" s="217">
        <v>8811331165.5241013</v>
      </c>
      <c r="P631" s="217"/>
      <c r="Q631" s="218"/>
    </row>
    <row r="632" spans="1:17" s="219" customFormat="1" hidden="1" x14ac:dyDescent="0.25">
      <c r="A632" s="214"/>
      <c r="B632" s="215" t="s">
        <v>1822</v>
      </c>
      <c r="C632" s="215" t="s">
        <v>1823</v>
      </c>
      <c r="D632" s="215" t="s">
        <v>1847</v>
      </c>
      <c r="E632" s="215" t="s">
        <v>1825</v>
      </c>
      <c r="F632" s="215" t="s">
        <v>1825</v>
      </c>
      <c r="G632" s="215" t="s">
        <v>75</v>
      </c>
      <c r="H632" s="216" t="s">
        <v>2468</v>
      </c>
      <c r="I632" s="217"/>
      <c r="J632" s="217"/>
      <c r="K632" s="217"/>
      <c r="L632" s="217"/>
      <c r="M632" s="217"/>
      <c r="N632" s="217"/>
      <c r="O632" s="217"/>
      <c r="P632" s="217"/>
      <c r="Q632" s="218"/>
    </row>
    <row r="633" spans="1:17" s="219" customFormat="1" ht="30" hidden="1" x14ac:dyDescent="0.25">
      <c r="A633" s="214"/>
      <c r="B633" s="215" t="s">
        <v>1822</v>
      </c>
      <c r="C633" s="215" t="s">
        <v>1823</v>
      </c>
      <c r="D633" s="215" t="s">
        <v>1847</v>
      </c>
      <c r="E633" s="215" t="s">
        <v>1825</v>
      </c>
      <c r="F633" s="215" t="s">
        <v>1825</v>
      </c>
      <c r="G633" s="215" t="s">
        <v>79</v>
      </c>
      <c r="H633" s="216" t="s">
        <v>2469</v>
      </c>
      <c r="I633" s="217"/>
      <c r="J633" s="217"/>
      <c r="K633" s="217"/>
      <c r="L633" s="217"/>
      <c r="M633" s="217"/>
      <c r="N633" s="217"/>
      <c r="O633" s="217"/>
      <c r="P633" s="217"/>
      <c r="Q633" s="218"/>
    </row>
    <row r="634" spans="1:17" s="219" customFormat="1" hidden="1" x14ac:dyDescent="0.25">
      <c r="A634" s="214"/>
      <c r="B634" s="215" t="s">
        <v>1822</v>
      </c>
      <c r="C634" s="215" t="s">
        <v>1823</v>
      </c>
      <c r="D634" s="215" t="s">
        <v>1847</v>
      </c>
      <c r="E634" s="215" t="s">
        <v>1825</v>
      </c>
      <c r="F634" s="215" t="s">
        <v>1825</v>
      </c>
      <c r="G634" s="215" t="s">
        <v>84</v>
      </c>
      <c r="H634" s="216" t="s">
        <v>2470</v>
      </c>
      <c r="I634" s="217"/>
      <c r="J634" s="217"/>
      <c r="K634" s="217"/>
      <c r="L634" s="217"/>
      <c r="M634" s="217"/>
      <c r="N634" s="217"/>
      <c r="O634" s="217"/>
      <c r="P634" s="217"/>
      <c r="Q634" s="218"/>
    </row>
    <row r="635" spans="1:17" s="219" customFormat="1" hidden="1" x14ac:dyDescent="0.25">
      <c r="A635" s="214"/>
      <c r="B635" s="215" t="s">
        <v>1822</v>
      </c>
      <c r="C635" s="215" t="s">
        <v>1823</v>
      </c>
      <c r="D635" s="215" t="s">
        <v>1847</v>
      </c>
      <c r="E635" s="215" t="s">
        <v>1825</v>
      </c>
      <c r="F635" s="215" t="s">
        <v>1825</v>
      </c>
      <c r="G635" s="215" t="s">
        <v>88</v>
      </c>
      <c r="H635" s="216" t="s">
        <v>2471</v>
      </c>
      <c r="I635" s="217"/>
      <c r="J635" s="217"/>
      <c r="K635" s="217"/>
      <c r="L635" s="217"/>
      <c r="M635" s="217"/>
      <c r="N635" s="217"/>
      <c r="O635" s="217"/>
      <c r="P635" s="217"/>
      <c r="Q635" s="218"/>
    </row>
    <row r="636" spans="1:17" s="219" customFormat="1" hidden="1" x14ac:dyDescent="0.25">
      <c r="A636" s="214"/>
      <c r="B636" s="215" t="s">
        <v>1822</v>
      </c>
      <c r="C636" s="215" t="s">
        <v>1823</v>
      </c>
      <c r="D636" s="215" t="s">
        <v>1847</v>
      </c>
      <c r="E636" s="215" t="s">
        <v>1825</v>
      </c>
      <c r="F636" s="215" t="s">
        <v>1825</v>
      </c>
      <c r="G636" s="215" t="s">
        <v>92</v>
      </c>
      <c r="H636" s="216" t="s">
        <v>2472</v>
      </c>
      <c r="I636" s="217"/>
      <c r="J636" s="217"/>
      <c r="K636" s="217"/>
      <c r="L636" s="217"/>
      <c r="M636" s="217"/>
      <c r="N636" s="217"/>
      <c r="O636" s="217"/>
      <c r="P636" s="217"/>
      <c r="Q636" s="218"/>
    </row>
    <row r="637" spans="1:17" s="219" customFormat="1" ht="30" hidden="1" x14ac:dyDescent="0.25">
      <c r="A637" s="214"/>
      <c r="B637" s="215" t="s">
        <v>1822</v>
      </c>
      <c r="C637" s="215" t="s">
        <v>1823</v>
      </c>
      <c r="D637" s="215" t="s">
        <v>1847</v>
      </c>
      <c r="E637" s="215" t="s">
        <v>1825</v>
      </c>
      <c r="F637" s="215" t="s">
        <v>1825</v>
      </c>
      <c r="G637" s="215" t="s">
        <v>96</v>
      </c>
      <c r="H637" s="216" t="s">
        <v>2473</v>
      </c>
      <c r="I637" s="217"/>
      <c r="J637" s="217"/>
      <c r="K637" s="217"/>
      <c r="L637" s="217"/>
      <c r="M637" s="217"/>
      <c r="N637" s="217"/>
      <c r="O637" s="217"/>
      <c r="P637" s="217"/>
      <c r="Q637" s="218"/>
    </row>
    <row r="638" spans="1:17" s="219" customFormat="1" hidden="1" x14ac:dyDescent="0.25">
      <c r="A638" s="214"/>
      <c r="B638" s="215" t="s">
        <v>1822</v>
      </c>
      <c r="C638" s="215" t="s">
        <v>1823</v>
      </c>
      <c r="D638" s="215" t="s">
        <v>1847</v>
      </c>
      <c r="E638" s="215" t="s">
        <v>1825</v>
      </c>
      <c r="F638" s="215" t="s">
        <v>1825</v>
      </c>
      <c r="G638" s="215" t="s">
        <v>100</v>
      </c>
      <c r="H638" s="216" t="s">
        <v>2474</v>
      </c>
      <c r="I638" s="217"/>
      <c r="J638" s="217"/>
      <c r="K638" s="217"/>
      <c r="L638" s="217"/>
      <c r="M638" s="217"/>
      <c r="N638" s="217"/>
      <c r="O638" s="217"/>
      <c r="P638" s="217"/>
      <c r="Q638" s="218"/>
    </row>
    <row r="639" spans="1:17" s="219" customFormat="1" hidden="1" x14ac:dyDescent="0.25">
      <c r="A639" s="214"/>
      <c r="B639" s="215" t="s">
        <v>1822</v>
      </c>
      <c r="C639" s="215" t="s">
        <v>1823</v>
      </c>
      <c r="D639" s="215" t="s">
        <v>1847</v>
      </c>
      <c r="E639" s="215" t="s">
        <v>1825</v>
      </c>
      <c r="F639" s="215" t="s">
        <v>1825</v>
      </c>
      <c r="G639" s="215" t="s">
        <v>105</v>
      </c>
      <c r="H639" s="216" t="s">
        <v>2475</v>
      </c>
      <c r="I639" s="217"/>
      <c r="J639" s="217"/>
      <c r="K639" s="217"/>
      <c r="L639" s="217"/>
      <c r="M639" s="217"/>
      <c r="N639" s="217"/>
      <c r="O639" s="217"/>
      <c r="P639" s="217"/>
      <c r="Q639" s="218"/>
    </row>
    <row r="640" spans="1:17" s="219" customFormat="1" ht="30" hidden="1" x14ac:dyDescent="0.25">
      <c r="A640" s="214"/>
      <c r="B640" s="215" t="s">
        <v>1822</v>
      </c>
      <c r="C640" s="215" t="s">
        <v>1823</v>
      </c>
      <c r="D640" s="215" t="s">
        <v>1847</v>
      </c>
      <c r="E640" s="215" t="s">
        <v>1825</v>
      </c>
      <c r="F640" s="215" t="s">
        <v>1825</v>
      </c>
      <c r="G640" s="215" t="s">
        <v>108</v>
      </c>
      <c r="H640" s="216" t="s">
        <v>2476</v>
      </c>
      <c r="I640" s="217"/>
      <c r="J640" s="217"/>
      <c r="K640" s="217"/>
      <c r="L640" s="217"/>
      <c r="M640" s="217"/>
      <c r="N640" s="217"/>
      <c r="O640" s="217"/>
      <c r="P640" s="217"/>
      <c r="Q640" s="218"/>
    </row>
    <row r="641" spans="1:17" s="219" customFormat="1" hidden="1" x14ac:dyDescent="0.25">
      <c r="A641" s="214"/>
      <c r="B641" s="215" t="s">
        <v>1822</v>
      </c>
      <c r="C641" s="215" t="s">
        <v>1823</v>
      </c>
      <c r="D641" s="215" t="s">
        <v>1847</v>
      </c>
      <c r="E641" s="215" t="s">
        <v>1825</v>
      </c>
      <c r="F641" s="215" t="s">
        <v>1825</v>
      </c>
      <c r="G641" s="215" t="s">
        <v>135</v>
      </c>
      <c r="H641" s="216" t="s">
        <v>2477</v>
      </c>
      <c r="I641" s="217"/>
      <c r="J641" s="217"/>
      <c r="K641" s="217"/>
      <c r="L641" s="217"/>
      <c r="M641" s="217"/>
      <c r="N641" s="217"/>
      <c r="O641" s="217"/>
      <c r="P641" s="217"/>
      <c r="Q641" s="218"/>
    </row>
    <row r="642" spans="1:17" s="219" customFormat="1" ht="30" hidden="1" x14ac:dyDescent="0.25">
      <c r="A642" s="214"/>
      <c r="B642" s="215" t="s">
        <v>1822</v>
      </c>
      <c r="C642" s="215" t="s">
        <v>1823</v>
      </c>
      <c r="D642" s="215" t="s">
        <v>1847</v>
      </c>
      <c r="E642" s="215" t="s">
        <v>1825</v>
      </c>
      <c r="F642" s="215" t="s">
        <v>1825</v>
      </c>
      <c r="G642" s="215" t="s">
        <v>138</v>
      </c>
      <c r="H642" s="216" t="s">
        <v>2478</v>
      </c>
      <c r="I642" s="217"/>
      <c r="J642" s="217"/>
      <c r="K642" s="217"/>
      <c r="L642" s="217"/>
      <c r="M642" s="217"/>
      <c r="N642" s="217"/>
      <c r="O642" s="217"/>
      <c r="P642" s="217"/>
      <c r="Q642" s="218"/>
    </row>
    <row r="643" spans="1:17" s="219" customFormat="1" hidden="1" x14ac:dyDescent="0.25">
      <c r="A643" s="214"/>
      <c r="B643" s="215" t="s">
        <v>1822</v>
      </c>
      <c r="C643" s="215" t="s">
        <v>1823</v>
      </c>
      <c r="D643" s="215" t="s">
        <v>1847</v>
      </c>
      <c r="E643" s="215" t="s">
        <v>1825</v>
      </c>
      <c r="F643" s="215" t="s">
        <v>1825</v>
      </c>
      <c r="G643" s="215" t="s">
        <v>140</v>
      </c>
      <c r="H643" s="216" t="s">
        <v>2479</v>
      </c>
      <c r="I643" s="217"/>
      <c r="J643" s="217"/>
      <c r="K643" s="217"/>
      <c r="L643" s="217"/>
      <c r="M643" s="217"/>
      <c r="N643" s="217"/>
      <c r="O643" s="217"/>
      <c r="P643" s="217"/>
      <c r="Q643" s="218"/>
    </row>
    <row r="644" spans="1:17" s="219" customFormat="1" hidden="1" x14ac:dyDescent="0.25">
      <c r="A644" s="214"/>
      <c r="B644" s="215" t="s">
        <v>1822</v>
      </c>
      <c r="C644" s="215" t="s">
        <v>1823</v>
      </c>
      <c r="D644" s="215" t="s">
        <v>1847</v>
      </c>
      <c r="E644" s="215" t="s">
        <v>1825</v>
      </c>
      <c r="F644" s="215" t="s">
        <v>1825</v>
      </c>
      <c r="G644" s="215" t="s">
        <v>143</v>
      </c>
      <c r="H644" s="216" t="s">
        <v>2480</v>
      </c>
      <c r="I644" s="217"/>
      <c r="J644" s="217"/>
      <c r="K644" s="217"/>
      <c r="L644" s="217"/>
      <c r="M644" s="217"/>
      <c r="N644" s="217"/>
      <c r="O644" s="217"/>
      <c r="P644" s="217"/>
      <c r="Q644" s="218"/>
    </row>
    <row r="645" spans="1:17" s="219" customFormat="1" hidden="1" x14ac:dyDescent="0.25">
      <c r="A645" s="214"/>
      <c r="B645" s="215" t="s">
        <v>1822</v>
      </c>
      <c r="C645" s="215" t="s">
        <v>1823</v>
      </c>
      <c r="D645" s="215" t="s">
        <v>1847</v>
      </c>
      <c r="E645" s="215" t="s">
        <v>1825</v>
      </c>
      <c r="F645" s="215" t="s">
        <v>1825</v>
      </c>
      <c r="G645" s="215" t="s">
        <v>146</v>
      </c>
      <c r="H645" s="216" t="s">
        <v>2481</v>
      </c>
      <c r="I645" s="217"/>
      <c r="J645" s="217"/>
      <c r="K645" s="217"/>
      <c r="L645" s="217"/>
      <c r="M645" s="217"/>
      <c r="N645" s="217"/>
      <c r="O645" s="217"/>
      <c r="P645" s="217"/>
      <c r="Q645" s="218"/>
    </row>
    <row r="646" spans="1:17" s="219" customFormat="1" hidden="1" x14ac:dyDescent="0.25">
      <c r="A646" s="214"/>
      <c r="B646" s="215" t="s">
        <v>1822</v>
      </c>
      <c r="C646" s="215" t="s">
        <v>1823</v>
      </c>
      <c r="D646" s="215" t="s">
        <v>1847</v>
      </c>
      <c r="E646" s="215" t="s">
        <v>1825</v>
      </c>
      <c r="F646" s="215" t="s">
        <v>1825</v>
      </c>
      <c r="G646" s="215" t="s">
        <v>150</v>
      </c>
      <c r="H646" s="216" t="s">
        <v>2482</v>
      </c>
      <c r="I646" s="217"/>
      <c r="J646" s="217"/>
      <c r="K646" s="217"/>
      <c r="L646" s="217"/>
      <c r="M646" s="217"/>
      <c r="N646" s="217"/>
      <c r="O646" s="217"/>
      <c r="P646" s="217"/>
      <c r="Q646" s="218"/>
    </row>
    <row r="647" spans="1:17" s="219" customFormat="1" hidden="1" x14ac:dyDescent="0.25">
      <c r="A647" s="214"/>
      <c r="B647" s="215" t="s">
        <v>1822</v>
      </c>
      <c r="C647" s="215" t="s">
        <v>1823</v>
      </c>
      <c r="D647" s="215" t="s">
        <v>1847</v>
      </c>
      <c r="E647" s="215" t="s">
        <v>1825</v>
      </c>
      <c r="F647" s="215" t="s">
        <v>1825</v>
      </c>
      <c r="G647" s="215" t="s">
        <v>153</v>
      </c>
      <c r="H647" s="216" t="s">
        <v>2483</v>
      </c>
      <c r="I647" s="217"/>
      <c r="J647" s="217"/>
      <c r="K647" s="217"/>
      <c r="L647" s="217"/>
      <c r="M647" s="217"/>
      <c r="N647" s="217"/>
      <c r="O647" s="217"/>
      <c r="P647" s="217"/>
      <c r="Q647" s="218"/>
    </row>
    <row r="648" spans="1:17" s="219" customFormat="1" ht="30" hidden="1" x14ac:dyDescent="0.25">
      <c r="A648" s="214"/>
      <c r="B648" s="215" t="s">
        <v>1822</v>
      </c>
      <c r="C648" s="215" t="s">
        <v>1823</v>
      </c>
      <c r="D648" s="215" t="s">
        <v>1847</v>
      </c>
      <c r="E648" s="215" t="s">
        <v>1825</v>
      </c>
      <c r="F648" s="215" t="s">
        <v>1825</v>
      </c>
      <c r="G648" s="215" t="s">
        <v>156</v>
      </c>
      <c r="H648" s="216" t="s">
        <v>2484</v>
      </c>
      <c r="I648" s="217"/>
      <c r="J648" s="217"/>
      <c r="K648" s="217"/>
      <c r="L648" s="217"/>
      <c r="M648" s="217"/>
      <c r="N648" s="217"/>
      <c r="O648" s="217"/>
      <c r="P648" s="217"/>
      <c r="Q648" s="218"/>
    </row>
    <row r="649" spans="1:17" s="219" customFormat="1" hidden="1" x14ac:dyDescent="0.25">
      <c r="A649" s="214"/>
      <c r="B649" s="215" t="s">
        <v>1822</v>
      </c>
      <c r="C649" s="215" t="s">
        <v>1823</v>
      </c>
      <c r="D649" s="215" t="s">
        <v>1847</v>
      </c>
      <c r="E649" s="215" t="s">
        <v>1825</v>
      </c>
      <c r="F649" s="215" t="s">
        <v>1825</v>
      </c>
      <c r="G649" s="215" t="s">
        <v>159</v>
      </c>
      <c r="H649" s="216" t="s">
        <v>2485</v>
      </c>
      <c r="I649" s="217"/>
      <c r="J649" s="217"/>
      <c r="K649" s="217"/>
      <c r="L649" s="217"/>
      <c r="M649" s="217"/>
      <c r="N649" s="217"/>
      <c r="O649" s="217"/>
      <c r="P649" s="217"/>
      <c r="Q649" s="218"/>
    </row>
    <row r="650" spans="1:17" s="219" customFormat="1" ht="30" hidden="1" x14ac:dyDescent="0.25">
      <c r="A650" s="214"/>
      <c r="B650" s="215" t="s">
        <v>1822</v>
      </c>
      <c r="C650" s="215" t="s">
        <v>1823</v>
      </c>
      <c r="D650" s="215" t="s">
        <v>1847</v>
      </c>
      <c r="E650" s="215" t="s">
        <v>1825</v>
      </c>
      <c r="F650" s="215" t="s">
        <v>1825</v>
      </c>
      <c r="G650" s="215" t="s">
        <v>162</v>
      </c>
      <c r="H650" s="216" t="s">
        <v>2486</v>
      </c>
      <c r="I650" s="217"/>
      <c r="J650" s="217"/>
      <c r="K650" s="217"/>
      <c r="L650" s="217"/>
      <c r="M650" s="217"/>
      <c r="N650" s="217"/>
      <c r="O650" s="217"/>
      <c r="P650" s="217"/>
      <c r="Q650" s="218"/>
    </row>
    <row r="651" spans="1:17" s="219" customFormat="1" hidden="1" x14ac:dyDescent="0.25">
      <c r="A651" s="214"/>
      <c r="B651" s="215" t="s">
        <v>1822</v>
      </c>
      <c r="C651" s="215" t="s">
        <v>1823</v>
      </c>
      <c r="D651" s="215" t="s">
        <v>1847</v>
      </c>
      <c r="E651" s="215" t="s">
        <v>1825</v>
      </c>
      <c r="F651" s="215" t="s">
        <v>1825</v>
      </c>
      <c r="G651" s="215" t="s">
        <v>312</v>
      </c>
      <c r="H651" s="216" t="s">
        <v>2487</v>
      </c>
      <c r="I651" s="217"/>
      <c r="J651" s="217"/>
      <c r="K651" s="217"/>
      <c r="L651" s="217"/>
      <c r="M651" s="217"/>
      <c r="N651" s="217"/>
      <c r="O651" s="217"/>
      <c r="P651" s="217"/>
      <c r="Q651" s="218"/>
    </row>
    <row r="652" spans="1:17" s="219" customFormat="1" hidden="1" x14ac:dyDescent="0.25">
      <c r="A652" s="214"/>
      <c r="B652" s="215" t="s">
        <v>1822</v>
      </c>
      <c r="C652" s="215" t="s">
        <v>1823</v>
      </c>
      <c r="D652" s="215" t="s">
        <v>1847</v>
      </c>
      <c r="E652" s="215" t="s">
        <v>1825</v>
      </c>
      <c r="F652" s="215" t="s">
        <v>1825</v>
      </c>
      <c r="G652" s="215" t="s">
        <v>313</v>
      </c>
      <c r="H652" s="216" t="s">
        <v>2488</v>
      </c>
      <c r="I652" s="217"/>
      <c r="J652" s="217"/>
      <c r="K652" s="217"/>
      <c r="L652" s="217"/>
      <c r="M652" s="217"/>
      <c r="N652" s="217"/>
      <c r="O652" s="217"/>
      <c r="P652" s="217"/>
      <c r="Q652" s="218"/>
    </row>
    <row r="653" spans="1:17" s="219" customFormat="1" ht="30" hidden="1" x14ac:dyDescent="0.25">
      <c r="A653" s="214"/>
      <c r="B653" s="215" t="s">
        <v>1822</v>
      </c>
      <c r="C653" s="215" t="s">
        <v>1823</v>
      </c>
      <c r="D653" s="215" t="s">
        <v>1847</v>
      </c>
      <c r="E653" s="215" t="s">
        <v>1825</v>
      </c>
      <c r="F653" s="215" t="s">
        <v>1825</v>
      </c>
      <c r="G653" s="215" t="s">
        <v>559</v>
      </c>
      <c r="H653" s="216" t="s">
        <v>2489</v>
      </c>
      <c r="I653" s="217"/>
      <c r="J653" s="217"/>
      <c r="K653" s="217"/>
      <c r="L653" s="217"/>
      <c r="M653" s="217"/>
      <c r="N653" s="217"/>
      <c r="O653" s="217"/>
      <c r="P653" s="217"/>
      <c r="Q653" s="218"/>
    </row>
    <row r="654" spans="1:17" s="219" customFormat="1" hidden="1" x14ac:dyDescent="0.25">
      <c r="A654" s="214"/>
      <c r="B654" s="215" t="s">
        <v>1822</v>
      </c>
      <c r="C654" s="215" t="s">
        <v>1823</v>
      </c>
      <c r="D654" s="215" t="s">
        <v>1847</v>
      </c>
      <c r="E654" s="215" t="s">
        <v>1825</v>
      </c>
      <c r="F654" s="215" t="s">
        <v>1825</v>
      </c>
      <c r="G654" s="215" t="s">
        <v>561</v>
      </c>
      <c r="H654" s="216" t="s">
        <v>2490</v>
      </c>
      <c r="I654" s="217"/>
      <c r="J654" s="217"/>
      <c r="K654" s="217"/>
      <c r="L654" s="217"/>
      <c r="M654" s="217"/>
      <c r="N654" s="217"/>
      <c r="O654" s="217"/>
      <c r="P654" s="217"/>
      <c r="Q654" s="218"/>
    </row>
    <row r="655" spans="1:17" s="219" customFormat="1" hidden="1" x14ac:dyDescent="0.25">
      <c r="A655" s="214"/>
      <c r="B655" s="215" t="s">
        <v>1822</v>
      </c>
      <c r="C655" s="215" t="s">
        <v>1823</v>
      </c>
      <c r="D655" s="215" t="s">
        <v>1847</v>
      </c>
      <c r="E655" s="215" t="s">
        <v>1825</v>
      </c>
      <c r="F655" s="215" t="s">
        <v>1825</v>
      </c>
      <c r="G655" s="215" t="s">
        <v>563</v>
      </c>
      <c r="H655" s="216" t="s">
        <v>2491</v>
      </c>
      <c r="I655" s="217"/>
      <c r="J655" s="217"/>
      <c r="K655" s="217"/>
      <c r="L655" s="217"/>
      <c r="M655" s="217"/>
      <c r="N655" s="217"/>
      <c r="O655" s="217"/>
      <c r="P655" s="217"/>
      <c r="Q655" s="218"/>
    </row>
    <row r="656" spans="1:17" s="219" customFormat="1" hidden="1" x14ac:dyDescent="0.25">
      <c r="A656" s="214"/>
      <c r="B656" s="215" t="s">
        <v>1822</v>
      </c>
      <c r="C656" s="215" t="s">
        <v>1823</v>
      </c>
      <c r="D656" s="215" t="s">
        <v>1847</v>
      </c>
      <c r="E656" s="215" t="s">
        <v>1825</v>
      </c>
      <c r="F656" s="215" t="s">
        <v>1825</v>
      </c>
      <c r="G656" s="215" t="s">
        <v>227</v>
      </c>
      <c r="H656" s="216" t="s">
        <v>2492</v>
      </c>
      <c r="I656" s="217"/>
      <c r="J656" s="217"/>
      <c r="K656" s="217"/>
      <c r="L656" s="217"/>
      <c r="M656" s="217"/>
      <c r="N656" s="217"/>
      <c r="O656" s="217"/>
      <c r="P656" s="217"/>
      <c r="Q656" s="218"/>
    </row>
    <row r="657" spans="1:17" s="219" customFormat="1" ht="30" hidden="1" x14ac:dyDescent="0.25">
      <c r="A657" s="214"/>
      <c r="B657" s="215" t="s">
        <v>1822</v>
      </c>
      <c r="C657" s="215" t="s">
        <v>1823</v>
      </c>
      <c r="D657" s="215" t="s">
        <v>1847</v>
      </c>
      <c r="E657" s="215" t="s">
        <v>1825</v>
      </c>
      <c r="F657" s="215" t="s">
        <v>1825</v>
      </c>
      <c r="G657" s="215" t="s">
        <v>230</v>
      </c>
      <c r="H657" s="216" t="s">
        <v>2493</v>
      </c>
      <c r="I657" s="217"/>
      <c r="J657" s="217"/>
      <c r="K657" s="217"/>
      <c r="L657" s="217"/>
      <c r="M657" s="217"/>
      <c r="N657" s="217"/>
      <c r="O657" s="217"/>
      <c r="P657" s="217"/>
      <c r="Q657" s="218"/>
    </row>
    <row r="658" spans="1:17" s="219" customFormat="1" hidden="1" x14ac:dyDescent="0.25">
      <c r="A658" s="214"/>
      <c r="B658" s="215" t="s">
        <v>1822</v>
      </c>
      <c r="C658" s="215" t="s">
        <v>1823</v>
      </c>
      <c r="D658" s="215" t="s">
        <v>1847</v>
      </c>
      <c r="E658" s="215" t="s">
        <v>1825</v>
      </c>
      <c r="F658" s="215" t="s">
        <v>1825</v>
      </c>
      <c r="G658" s="215" t="s">
        <v>232</v>
      </c>
      <c r="H658" s="216" t="s">
        <v>2494</v>
      </c>
      <c r="I658" s="217"/>
      <c r="J658" s="217"/>
      <c r="K658" s="217"/>
      <c r="L658" s="217"/>
      <c r="M658" s="217"/>
      <c r="N658" s="217"/>
      <c r="O658" s="217"/>
      <c r="P658" s="217"/>
      <c r="Q658" s="218"/>
    </row>
    <row r="659" spans="1:17" s="219" customFormat="1" hidden="1" x14ac:dyDescent="0.25">
      <c r="A659" s="214"/>
      <c r="B659" s="215" t="s">
        <v>1822</v>
      </c>
      <c r="C659" s="215" t="s">
        <v>1823</v>
      </c>
      <c r="D659" s="215" t="s">
        <v>1847</v>
      </c>
      <c r="E659" s="215" t="s">
        <v>1825</v>
      </c>
      <c r="F659" s="215" t="s">
        <v>1825</v>
      </c>
      <c r="G659" s="215" t="s">
        <v>234</v>
      </c>
      <c r="H659" s="216" t="s">
        <v>2495</v>
      </c>
      <c r="I659" s="217"/>
      <c r="J659" s="217"/>
      <c r="K659" s="217"/>
      <c r="L659" s="217"/>
      <c r="M659" s="217"/>
      <c r="N659" s="217"/>
      <c r="O659" s="217"/>
      <c r="P659" s="217"/>
      <c r="Q659" s="218"/>
    </row>
    <row r="660" spans="1:17" s="219" customFormat="1" ht="30" hidden="1" x14ac:dyDescent="0.25">
      <c r="A660" s="214"/>
      <c r="B660" s="215" t="s">
        <v>1822</v>
      </c>
      <c r="C660" s="215" t="s">
        <v>1823</v>
      </c>
      <c r="D660" s="215" t="s">
        <v>1847</v>
      </c>
      <c r="E660" s="215" t="s">
        <v>1825</v>
      </c>
      <c r="F660" s="215" t="s">
        <v>1825</v>
      </c>
      <c r="G660" s="215" t="s">
        <v>236</v>
      </c>
      <c r="H660" s="216" t="s">
        <v>2496</v>
      </c>
      <c r="I660" s="217"/>
      <c r="J660" s="217"/>
      <c r="K660" s="217"/>
      <c r="L660" s="217"/>
      <c r="M660" s="217"/>
      <c r="N660" s="217"/>
      <c r="O660" s="217"/>
      <c r="P660" s="217"/>
      <c r="Q660" s="218"/>
    </row>
    <row r="661" spans="1:17" s="219" customFormat="1" hidden="1" x14ac:dyDescent="0.25">
      <c r="A661" s="214"/>
      <c r="B661" s="215" t="s">
        <v>1822</v>
      </c>
      <c r="C661" s="215" t="s">
        <v>1823</v>
      </c>
      <c r="D661" s="215" t="s">
        <v>1847</v>
      </c>
      <c r="E661" s="215" t="s">
        <v>1825</v>
      </c>
      <c r="F661" s="215" t="s">
        <v>1825</v>
      </c>
      <c r="G661" s="215" t="s">
        <v>238</v>
      </c>
      <c r="H661" s="216" t="s">
        <v>2497</v>
      </c>
      <c r="I661" s="217"/>
      <c r="J661" s="217"/>
      <c r="K661" s="217"/>
      <c r="L661" s="217"/>
      <c r="M661" s="217"/>
      <c r="N661" s="217"/>
      <c r="O661" s="217"/>
      <c r="P661" s="217"/>
      <c r="Q661" s="218"/>
    </row>
    <row r="662" spans="1:17" s="219" customFormat="1" hidden="1" x14ac:dyDescent="0.25">
      <c r="A662" s="214"/>
      <c r="B662" s="215" t="s">
        <v>1822</v>
      </c>
      <c r="C662" s="215" t="s">
        <v>1823</v>
      </c>
      <c r="D662" s="215" t="s">
        <v>1847</v>
      </c>
      <c r="E662" s="215" t="s">
        <v>1825</v>
      </c>
      <c r="F662" s="215" t="s">
        <v>1825</v>
      </c>
      <c r="G662" s="215" t="s">
        <v>240</v>
      </c>
      <c r="H662" s="216" t="s">
        <v>2498</v>
      </c>
      <c r="I662" s="217"/>
      <c r="J662" s="217"/>
      <c r="K662" s="217"/>
      <c r="L662" s="217"/>
      <c r="M662" s="217"/>
      <c r="N662" s="217"/>
      <c r="O662" s="217"/>
      <c r="P662" s="217"/>
      <c r="Q662" s="218"/>
    </row>
    <row r="663" spans="1:17" s="219" customFormat="1" hidden="1" x14ac:dyDescent="0.25">
      <c r="A663" s="214"/>
      <c r="B663" s="215" t="s">
        <v>1822</v>
      </c>
      <c r="C663" s="215" t="s">
        <v>1823</v>
      </c>
      <c r="D663" s="215" t="s">
        <v>1847</v>
      </c>
      <c r="E663" s="215" t="s">
        <v>1825</v>
      </c>
      <c r="F663" s="215" t="s">
        <v>1825</v>
      </c>
      <c r="G663" s="215" t="s">
        <v>242</v>
      </c>
      <c r="H663" s="216" t="s">
        <v>2499</v>
      </c>
      <c r="I663" s="217"/>
      <c r="J663" s="217"/>
      <c r="K663" s="217"/>
      <c r="L663" s="217"/>
      <c r="M663" s="217"/>
      <c r="N663" s="217"/>
      <c r="O663" s="217"/>
      <c r="P663" s="217"/>
      <c r="Q663" s="218"/>
    </row>
    <row r="664" spans="1:17" s="219" customFormat="1" hidden="1" x14ac:dyDescent="0.25">
      <c r="A664" s="214"/>
      <c r="B664" s="215" t="s">
        <v>1822</v>
      </c>
      <c r="C664" s="215" t="s">
        <v>1823</v>
      </c>
      <c r="D664" s="215" t="s">
        <v>1847</v>
      </c>
      <c r="E664" s="215" t="s">
        <v>1825</v>
      </c>
      <c r="F664" s="215" t="s">
        <v>1825</v>
      </c>
      <c r="G664" s="215" t="s">
        <v>244</v>
      </c>
      <c r="H664" s="216" t="s">
        <v>2500</v>
      </c>
      <c r="I664" s="217"/>
      <c r="J664" s="217"/>
      <c r="K664" s="217"/>
      <c r="L664" s="217"/>
      <c r="M664" s="217"/>
      <c r="N664" s="217"/>
      <c r="O664" s="217"/>
      <c r="P664" s="217"/>
      <c r="Q664" s="218"/>
    </row>
    <row r="665" spans="1:17" s="219" customFormat="1" hidden="1" x14ac:dyDescent="0.25">
      <c r="A665" s="214"/>
      <c r="B665" s="215" t="s">
        <v>1822</v>
      </c>
      <c r="C665" s="215" t="s">
        <v>1823</v>
      </c>
      <c r="D665" s="215" t="s">
        <v>1847</v>
      </c>
      <c r="E665" s="215" t="s">
        <v>1825</v>
      </c>
      <c r="F665" s="215" t="s">
        <v>1825</v>
      </c>
      <c r="G665" s="215" t="s">
        <v>246</v>
      </c>
      <c r="H665" s="216" t="s">
        <v>2501</v>
      </c>
      <c r="I665" s="217"/>
      <c r="J665" s="217"/>
      <c r="K665" s="217"/>
      <c r="L665" s="217"/>
      <c r="M665" s="217"/>
      <c r="N665" s="217"/>
      <c r="O665" s="217"/>
      <c r="P665" s="217"/>
      <c r="Q665" s="218"/>
    </row>
    <row r="666" spans="1:17" s="219" customFormat="1" hidden="1" x14ac:dyDescent="0.25">
      <c r="A666" s="214"/>
      <c r="B666" s="215" t="s">
        <v>1822</v>
      </c>
      <c r="C666" s="215" t="s">
        <v>1823</v>
      </c>
      <c r="D666" s="215" t="s">
        <v>1847</v>
      </c>
      <c r="E666" s="215" t="s">
        <v>1825</v>
      </c>
      <c r="F666" s="215" t="s">
        <v>1825</v>
      </c>
      <c r="G666" s="215" t="s">
        <v>407</v>
      </c>
      <c r="H666" s="216" t="s">
        <v>2502</v>
      </c>
      <c r="I666" s="217"/>
      <c r="J666" s="217"/>
      <c r="K666" s="217"/>
      <c r="L666" s="217"/>
      <c r="M666" s="217"/>
      <c r="N666" s="217"/>
      <c r="O666" s="217"/>
      <c r="P666" s="217"/>
      <c r="Q666" s="218"/>
    </row>
    <row r="667" spans="1:17" s="219" customFormat="1" ht="30" hidden="1" x14ac:dyDescent="0.25">
      <c r="A667" s="214"/>
      <c r="B667" s="215" t="s">
        <v>1822</v>
      </c>
      <c r="C667" s="215" t="s">
        <v>1823</v>
      </c>
      <c r="D667" s="215" t="s">
        <v>1847</v>
      </c>
      <c r="E667" s="215" t="s">
        <v>1825</v>
      </c>
      <c r="F667" s="215" t="s">
        <v>1825</v>
      </c>
      <c r="G667" s="215" t="s">
        <v>408</v>
      </c>
      <c r="H667" s="216" t="s">
        <v>2496</v>
      </c>
      <c r="I667" s="217"/>
      <c r="J667" s="217"/>
      <c r="K667" s="217"/>
      <c r="L667" s="217"/>
      <c r="M667" s="217"/>
      <c r="N667" s="217"/>
      <c r="O667" s="217"/>
      <c r="P667" s="217"/>
      <c r="Q667" s="218"/>
    </row>
    <row r="668" spans="1:17" s="213" customFormat="1" x14ac:dyDescent="0.25">
      <c r="A668" s="208" t="s">
        <v>263</v>
      </c>
      <c r="B668" s="209" t="s">
        <v>1822</v>
      </c>
      <c r="C668" s="209" t="s">
        <v>1823</v>
      </c>
      <c r="D668" s="209" t="s">
        <v>1847</v>
      </c>
      <c r="E668" s="209" t="s">
        <v>1825</v>
      </c>
      <c r="F668" s="209" t="s">
        <v>1836</v>
      </c>
      <c r="G668" s="209"/>
      <c r="H668" s="210" t="s">
        <v>2503</v>
      </c>
      <c r="I668" s="211">
        <f>SUM(I669:I681)</f>
        <v>8760953225</v>
      </c>
      <c r="J668" s="211">
        <f t="shared" ref="J668:P668" si="83">SUM(J669:J681)</f>
        <v>342208749.97129554</v>
      </c>
      <c r="K668" s="211">
        <f t="shared" si="83"/>
        <v>96021674.357251033</v>
      </c>
      <c r="L668" s="211">
        <f t="shared" si="83"/>
        <v>103477139.9860819</v>
      </c>
      <c r="M668" s="211">
        <f t="shared" si="83"/>
        <v>199498814.34333292</v>
      </c>
      <c r="N668" s="211">
        <f t="shared" si="83"/>
        <v>3764982960.4105167</v>
      </c>
      <c r="O668" s="211">
        <f t="shared" si="83"/>
        <v>4995970264.5894833</v>
      </c>
      <c r="P668" s="211">
        <f t="shared" si="83"/>
        <v>0</v>
      </c>
      <c r="Q668" s="212"/>
    </row>
    <row r="669" spans="1:17" s="219" customFormat="1" hidden="1" x14ac:dyDescent="0.25">
      <c r="A669" s="214"/>
      <c r="B669" s="215" t="s">
        <v>1822</v>
      </c>
      <c r="C669" s="215" t="s">
        <v>1823</v>
      </c>
      <c r="D669" s="215" t="s">
        <v>1847</v>
      </c>
      <c r="E669" s="215" t="s">
        <v>1825</v>
      </c>
      <c r="F669" s="215" t="s">
        <v>1836</v>
      </c>
      <c r="G669" s="215" t="s">
        <v>58</v>
      </c>
      <c r="H669" s="216" t="s">
        <v>2504</v>
      </c>
      <c r="I669" s="217"/>
      <c r="J669" s="217"/>
      <c r="K669" s="217"/>
      <c r="L669" s="217"/>
      <c r="M669" s="217"/>
      <c r="N669" s="217"/>
      <c r="O669" s="217"/>
      <c r="P669" s="217"/>
      <c r="Q669" s="218"/>
    </row>
    <row r="670" spans="1:17" s="219" customFormat="1" hidden="1" x14ac:dyDescent="0.25">
      <c r="A670" s="214"/>
      <c r="B670" s="215" t="s">
        <v>1822</v>
      </c>
      <c r="C670" s="215" t="s">
        <v>1823</v>
      </c>
      <c r="D670" s="215" t="s">
        <v>1847</v>
      </c>
      <c r="E670" s="215" t="s">
        <v>1825</v>
      </c>
      <c r="F670" s="215" t="s">
        <v>1836</v>
      </c>
      <c r="G670" s="215" t="s">
        <v>75</v>
      </c>
      <c r="H670" s="216" t="s">
        <v>2505</v>
      </c>
      <c r="I670" s="217"/>
      <c r="J670" s="217"/>
      <c r="K670" s="217"/>
      <c r="L670" s="217"/>
      <c r="M670" s="217"/>
      <c r="N670" s="217"/>
      <c r="O670" s="217"/>
      <c r="P670" s="217"/>
      <c r="Q670" s="218"/>
    </row>
    <row r="671" spans="1:17" s="219" customFormat="1" hidden="1" x14ac:dyDescent="0.25">
      <c r="A671" s="214"/>
      <c r="B671" s="215" t="s">
        <v>1822</v>
      </c>
      <c r="C671" s="215" t="s">
        <v>1823</v>
      </c>
      <c r="D671" s="215" t="s">
        <v>1847</v>
      </c>
      <c r="E671" s="215" t="s">
        <v>1825</v>
      </c>
      <c r="F671" s="215" t="s">
        <v>1836</v>
      </c>
      <c r="G671" s="215" t="s">
        <v>79</v>
      </c>
      <c r="H671" s="216" t="s">
        <v>2506</v>
      </c>
      <c r="I671" s="217"/>
      <c r="J671" s="217"/>
      <c r="K671" s="217"/>
      <c r="L671" s="217"/>
      <c r="M671" s="217"/>
      <c r="N671" s="217"/>
      <c r="O671" s="217"/>
      <c r="P671" s="217"/>
      <c r="Q671" s="218"/>
    </row>
    <row r="672" spans="1:17" s="219" customFormat="1" ht="30" hidden="1" x14ac:dyDescent="0.25">
      <c r="A672" s="214"/>
      <c r="B672" s="215" t="s">
        <v>1822</v>
      </c>
      <c r="C672" s="215" t="s">
        <v>1823</v>
      </c>
      <c r="D672" s="215" t="s">
        <v>1847</v>
      </c>
      <c r="E672" s="215" t="s">
        <v>1825</v>
      </c>
      <c r="F672" s="215" t="s">
        <v>1836</v>
      </c>
      <c r="G672" s="215" t="s">
        <v>84</v>
      </c>
      <c r="H672" s="216" t="s">
        <v>2507</v>
      </c>
      <c r="I672" s="217"/>
      <c r="J672" s="217"/>
      <c r="K672" s="217"/>
      <c r="L672" s="217"/>
      <c r="M672" s="217"/>
      <c r="N672" s="217"/>
      <c r="O672" s="217"/>
      <c r="P672" s="217"/>
      <c r="Q672" s="218"/>
    </row>
    <row r="673" spans="1:17" s="219" customFormat="1" x14ac:dyDescent="0.25">
      <c r="A673" s="214"/>
      <c r="B673" s="215" t="s">
        <v>1822</v>
      </c>
      <c r="C673" s="215" t="s">
        <v>1823</v>
      </c>
      <c r="D673" s="215" t="s">
        <v>1847</v>
      </c>
      <c r="E673" s="215" t="s">
        <v>1825</v>
      </c>
      <c r="F673" s="215" t="s">
        <v>1836</v>
      </c>
      <c r="G673" s="215" t="s">
        <v>88</v>
      </c>
      <c r="H673" s="216" t="s">
        <v>850</v>
      </c>
      <c r="I673" s="217">
        <v>8760953225</v>
      </c>
      <c r="J673" s="217">
        <v>342208749.97129554</v>
      </c>
      <c r="K673" s="217">
        <v>96021674.357251033</v>
      </c>
      <c r="L673" s="217">
        <v>103477139.9860819</v>
      </c>
      <c r="M673" s="217">
        <v>199498814.34333292</v>
      </c>
      <c r="N673" s="217">
        <v>3764982960.4105167</v>
      </c>
      <c r="O673" s="217">
        <v>4995970264.5894833</v>
      </c>
      <c r="P673" s="217"/>
      <c r="Q673" s="218"/>
    </row>
    <row r="674" spans="1:17" s="219" customFormat="1" hidden="1" x14ac:dyDescent="0.25">
      <c r="A674" s="214"/>
      <c r="B674" s="215" t="s">
        <v>1822</v>
      </c>
      <c r="C674" s="215" t="s">
        <v>1823</v>
      </c>
      <c r="D674" s="215" t="s">
        <v>1847</v>
      </c>
      <c r="E674" s="215" t="s">
        <v>1825</v>
      </c>
      <c r="F674" s="215" t="s">
        <v>1836</v>
      </c>
      <c r="G674" s="215" t="s">
        <v>92</v>
      </c>
      <c r="H674" s="216" t="s">
        <v>2508</v>
      </c>
      <c r="I674" s="217"/>
      <c r="J674" s="217"/>
      <c r="K674" s="217"/>
      <c r="L674" s="217"/>
      <c r="M674" s="217"/>
      <c r="N674" s="217"/>
      <c r="O674" s="217"/>
      <c r="P674" s="217"/>
      <c r="Q674" s="218"/>
    </row>
    <row r="675" spans="1:17" s="219" customFormat="1" hidden="1" x14ac:dyDescent="0.25">
      <c r="A675" s="214"/>
      <c r="B675" s="215" t="s">
        <v>1822</v>
      </c>
      <c r="C675" s="215" t="s">
        <v>1823</v>
      </c>
      <c r="D675" s="215" t="s">
        <v>1847</v>
      </c>
      <c r="E675" s="215" t="s">
        <v>1825</v>
      </c>
      <c r="F675" s="215" t="s">
        <v>1836</v>
      </c>
      <c r="G675" s="215" t="s">
        <v>96</v>
      </c>
      <c r="H675" s="216" t="s">
        <v>2509</v>
      </c>
      <c r="I675" s="217"/>
      <c r="J675" s="217"/>
      <c r="K675" s="217"/>
      <c r="L675" s="217"/>
      <c r="M675" s="217"/>
      <c r="N675" s="217"/>
      <c r="O675" s="217"/>
      <c r="P675" s="217"/>
      <c r="Q675" s="218"/>
    </row>
    <row r="676" spans="1:17" s="219" customFormat="1" hidden="1" x14ac:dyDescent="0.25">
      <c r="A676" s="214"/>
      <c r="B676" s="215" t="s">
        <v>1822</v>
      </c>
      <c r="C676" s="215" t="s">
        <v>1823</v>
      </c>
      <c r="D676" s="215" t="s">
        <v>1847</v>
      </c>
      <c r="E676" s="215" t="s">
        <v>1825</v>
      </c>
      <c r="F676" s="215" t="s">
        <v>1836</v>
      </c>
      <c r="G676" s="215" t="s">
        <v>100</v>
      </c>
      <c r="H676" s="216" t="s">
        <v>2510</v>
      </c>
      <c r="I676" s="217"/>
      <c r="J676" s="217"/>
      <c r="K676" s="217"/>
      <c r="L676" s="217"/>
      <c r="M676" s="217"/>
      <c r="N676" s="217"/>
      <c r="O676" s="217"/>
      <c r="P676" s="217"/>
      <c r="Q676" s="218"/>
    </row>
    <row r="677" spans="1:17" s="219" customFormat="1" ht="30" hidden="1" x14ac:dyDescent="0.25">
      <c r="A677" s="214"/>
      <c r="B677" s="215" t="s">
        <v>1822</v>
      </c>
      <c r="C677" s="215" t="s">
        <v>1823</v>
      </c>
      <c r="D677" s="215" t="s">
        <v>1847</v>
      </c>
      <c r="E677" s="215" t="s">
        <v>1825</v>
      </c>
      <c r="F677" s="215" t="s">
        <v>1836</v>
      </c>
      <c r="G677" s="215" t="s">
        <v>105</v>
      </c>
      <c r="H677" s="216" t="s">
        <v>2511</v>
      </c>
      <c r="I677" s="217"/>
      <c r="J677" s="217"/>
      <c r="K677" s="217"/>
      <c r="L677" s="217"/>
      <c r="M677" s="217"/>
      <c r="N677" s="217"/>
      <c r="O677" s="217"/>
      <c r="P677" s="217"/>
      <c r="Q677" s="218"/>
    </row>
    <row r="678" spans="1:17" s="219" customFormat="1" hidden="1" x14ac:dyDescent="0.25">
      <c r="A678" s="214"/>
      <c r="B678" s="215" t="s">
        <v>1822</v>
      </c>
      <c r="C678" s="215" t="s">
        <v>1823</v>
      </c>
      <c r="D678" s="215" t="s">
        <v>1847</v>
      </c>
      <c r="E678" s="215" t="s">
        <v>1825</v>
      </c>
      <c r="F678" s="215" t="s">
        <v>1836</v>
      </c>
      <c r="G678" s="215" t="s">
        <v>108</v>
      </c>
      <c r="H678" s="216" t="s">
        <v>2512</v>
      </c>
      <c r="I678" s="217"/>
      <c r="J678" s="217"/>
      <c r="K678" s="217"/>
      <c r="L678" s="217"/>
      <c r="M678" s="217"/>
      <c r="N678" s="217"/>
      <c r="O678" s="217"/>
      <c r="P678" s="217"/>
      <c r="Q678" s="218"/>
    </row>
    <row r="679" spans="1:17" s="219" customFormat="1" hidden="1" x14ac:dyDescent="0.25">
      <c r="A679" s="214"/>
      <c r="B679" s="215" t="s">
        <v>1822</v>
      </c>
      <c r="C679" s="215" t="s">
        <v>1823</v>
      </c>
      <c r="D679" s="215" t="s">
        <v>1847</v>
      </c>
      <c r="E679" s="215" t="s">
        <v>1825</v>
      </c>
      <c r="F679" s="215" t="s">
        <v>1836</v>
      </c>
      <c r="G679" s="215" t="s">
        <v>135</v>
      </c>
      <c r="H679" s="216" t="s">
        <v>2513</v>
      </c>
      <c r="I679" s="217"/>
      <c r="J679" s="217"/>
      <c r="K679" s="217"/>
      <c r="L679" s="217"/>
      <c r="M679" s="217"/>
      <c r="N679" s="217"/>
      <c r="O679" s="217"/>
      <c r="P679" s="217"/>
      <c r="Q679" s="218"/>
    </row>
    <row r="680" spans="1:17" s="219" customFormat="1" hidden="1" x14ac:dyDescent="0.25">
      <c r="A680" s="214"/>
      <c r="B680" s="215" t="s">
        <v>1822</v>
      </c>
      <c r="C680" s="215" t="s">
        <v>1823</v>
      </c>
      <c r="D680" s="215" t="s">
        <v>1847</v>
      </c>
      <c r="E680" s="215" t="s">
        <v>1825</v>
      </c>
      <c r="F680" s="215" t="s">
        <v>1836</v>
      </c>
      <c r="G680" s="215" t="s">
        <v>138</v>
      </c>
      <c r="H680" s="216" t="s">
        <v>2514</v>
      </c>
      <c r="I680" s="217"/>
      <c r="J680" s="217"/>
      <c r="K680" s="217"/>
      <c r="L680" s="217"/>
      <c r="M680" s="217"/>
      <c r="N680" s="217"/>
      <c r="O680" s="217"/>
      <c r="P680" s="217"/>
      <c r="Q680" s="218"/>
    </row>
    <row r="681" spans="1:17" s="219" customFormat="1" ht="30" hidden="1" x14ac:dyDescent="0.25">
      <c r="A681" s="214"/>
      <c r="B681" s="215" t="s">
        <v>1822</v>
      </c>
      <c r="C681" s="215" t="s">
        <v>1823</v>
      </c>
      <c r="D681" s="215" t="s">
        <v>1847</v>
      </c>
      <c r="E681" s="215" t="s">
        <v>1825</v>
      </c>
      <c r="F681" s="215" t="s">
        <v>1836</v>
      </c>
      <c r="G681" s="215" t="s">
        <v>140</v>
      </c>
      <c r="H681" s="216" t="s">
        <v>2515</v>
      </c>
      <c r="I681" s="217"/>
      <c r="J681" s="217"/>
      <c r="K681" s="217"/>
      <c r="L681" s="217"/>
      <c r="M681" s="217"/>
      <c r="N681" s="217"/>
      <c r="O681" s="217"/>
      <c r="P681" s="217"/>
      <c r="Q681" s="218"/>
    </row>
    <row r="682" spans="1:17" s="213" customFormat="1" hidden="1" x14ac:dyDescent="0.25">
      <c r="A682" s="208" t="s">
        <v>1905</v>
      </c>
      <c r="B682" s="209" t="s">
        <v>1822</v>
      </c>
      <c r="C682" s="209" t="s">
        <v>1823</v>
      </c>
      <c r="D682" s="209" t="s">
        <v>1847</v>
      </c>
      <c r="E682" s="209" t="s">
        <v>1836</v>
      </c>
      <c r="F682" s="209"/>
      <c r="G682" s="209"/>
      <c r="H682" s="210" t="s">
        <v>2516</v>
      </c>
      <c r="I682" s="211">
        <f>I683</f>
        <v>0</v>
      </c>
      <c r="J682" s="211">
        <f t="shared" ref="J682:P682" si="84">J683</f>
        <v>0</v>
      </c>
      <c r="K682" s="211">
        <f t="shared" si="84"/>
        <v>0</v>
      </c>
      <c r="L682" s="211">
        <f t="shared" si="84"/>
        <v>0</v>
      </c>
      <c r="M682" s="211">
        <f t="shared" si="84"/>
        <v>0</v>
      </c>
      <c r="N682" s="211">
        <f t="shared" si="84"/>
        <v>0</v>
      </c>
      <c r="O682" s="211">
        <f t="shared" si="84"/>
        <v>0</v>
      </c>
      <c r="P682" s="211">
        <f t="shared" si="84"/>
        <v>0</v>
      </c>
      <c r="Q682" s="212"/>
    </row>
    <row r="683" spans="1:17" s="213" customFormat="1" hidden="1" x14ac:dyDescent="0.25">
      <c r="A683" s="208" t="s">
        <v>263</v>
      </c>
      <c r="B683" s="209" t="s">
        <v>1822</v>
      </c>
      <c r="C683" s="209" t="s">
        <v>1823</v>
      </c>
      <c r="D683" s="209" t="s">
        <v>1847</v>
      </c>
      <c r="E683" s="209" t="s">
        <v>1836</v>
      </c>
      <c r="F683" s="209" t="s">
        <v>1825</v>
      </c>
      <c r="G683" s="209"/>
      <c r="H683" s="210" t="s">
        <v>2517</v>
      </c>
      <c r="I683" s="211">
        <f>SUM(I684:I687)</f>
        <v>0</v>
      </c>
      <c r="J683" s="211">
        <f t="shared" ref="J683:P683" si="85">SUM(J684:J687)</f>
        <v>0</v>
      </c>
      <c r="K683" s="211">
        <f t="shared" si="85"/>
        <v>0</v>
      </c>
      <c r="L683" s="211">
        <f t="shared" si="85"/>
        <v>0</v>
      </c>
      <c r="M683" s="211">
        <f t="shared" si="85"/>
        <v>0</v>
      </c>
      <c r="N683" s="211">
        <f t="shared" si="85"/>
        <v>0</v>
      </c>
      <c r="O683" s="211">
        <f t="shared" si="85"/>
        <v>0</v>
      </c>
      <c r="P683" s="211">
        <f t="shared" si="85"/>
        <v>0</v>
      </c>
      <c r="Q683" s="212"/>
    </row>
    <row r="684" spans="1:17" s="219" customFormat="1" hidden="1" x14ac:dyDescent="0.25">
      <c r="A684" s="214"/>
      <c r="B684" s="215" t="s">
        <v>1822</v>
      </c>
      <c r="C684" s="215" t="s">
        <v>1823</v>
      </c>
      <c r="D684" s="215" t="s">
        <v>1847</v>
      </c>
      <c r="E684" s="215" t="s">
        <v>1836</v>
      </c>
      <c r="F684" s="215" t="s">
        <v>1825</v>
      </c>
      <c r="G684" s="215" t="s">
        <v>58</v>
      </c>
      <c r="H684" s="216" t="s">
        <v>2518</v>
      </c>
      <c r="I684" s="217"/>
      <c r="J684" s="217"/>
      <c r="K684" s="217"/>
      <c r="L684" s="217"/>
      <c r="M684" s="217"/>
      <c r="N684" s="217"/>
      <c r="O684" s="217"/>
      <c r="P684" s="217"/>
      <c r="Q684" s="218"/>
    </row>
    <row r="685" spans="1:17" s="219" customFormat="1" hidden="1" x14ac:dyDescent="0.25">
      <c r="A685" s="214"/>
      <c r="B685" s="215" t="s">
        <v>1822</v>
      </c>
      <c r="C685" s="215" t="s">
        <v>1823</v>
      </c>
      <c r="D685" s="215" t="s">
        <v>1847</v>
      </c>
      <c r="E685" s="215" t="s">
        <v>1836</v>
      </c>
      <c r="F685" s="215" t="s">
        <v>1825</v>
      </c>
      <c r="G685" s="215" t="s">
        <v>75</v>
      </c>
      <c r="H685" s="216" t="s">
        <v>2519</v>
      </c>
      <c r="I685" s="217"/>
      <c r="J685" s="217"/>
      <c r="K685" s="217"/>
      <c r="L685" s="217"/>
      <c r="M685" s="217"/>
      <c r="N685" s="217"/>
      <c r="O685" s="217"/>
      <c r="P685" s="217"/>
      <c r="Q685" s="218"/>
    </row>
    <row r="686" spans="1:17" s="219" customFormat="1" hidden="1" x14ac:dyDescent="0.25">
      <c r="A686" s="214"/>
      <c r="B686" s="215" t="s">
        <v>1822</v>
      </c>
      <c r="C686" s="215" t="s">
        <v>1823</v>
      </c>
      <c r="D686" s="215" t="s">
        <v>1847</v>
      </c>
      <c r="E686" s="215" t="s">
        <v>1836</v>
      </c>
      <c r="F686" s="215" t="s">
        <v>1825</v>
      </c>
      <c r="G686" s="215" t="s">
        <v>79</v>
      </c>
      <c r="H686" s="216" t="s">
        <v>2520</v>
      </c>
      <c r="I686" s="217"/>
      <c r="J686" s="217"/>
      <c r="K686" s="217"/>
      <c r="L686" s="217"/>
      <c r="M686" s="217"/>
      <c r="N686" s="217"/>
      <c r="O686" s="217"/>
      <c r="P686" s="217"/>
      <c r="Q686" s="218"/>
    </row>
    <row r="687" spans="1:17" s="219" customFormat="1" ht="30" hidden="1" x14ac:dyDescent="0.25">
      <c r="A687" s="214"/>
      <c r="B687" s="215" t="s">
        <v>1822</v>
      </c>
      <c r="C687" s="215" t="s">
        <v>1823</v>
      </c>
      <c r="D687" s="215" t="s">
        <v>1847</v>
      </c>
      <c r="E687" s="215" t="s">
        <v>1836</v>
      </c>
      <c r="F687" s="215" t="s">
        <v>1825</v>
      </c>
      <c r="G687" s="215" t="s">
        <v>84</v>
      </c>
      <c r="H687" s="216" t="s">
        <v>2521</v>
      </c>
      <c r="I687" s="217"/>
      <c r="J687" s="217"/>
      <c r="K687" s="217"/>
      <c r="L687" s="217"/>
      <c r="M687" s="217"/>
      <c r="N687" s="217"/>
      <c r="O687" s="217"/>
      <c r="P687" s="217"/>
      <c r="Q687" s="218"/>
    </row>
    <row r="688" spans="1:17" s="213" customFormat="1" x14ac:dyDescent="0.25">
      <c r="A688" s="208" t="s">
        <v>1938</v>
      </c>
      <c r="B688" s="209" t="s">
        <v>1822</v>
      </c>
      <c r="C688" s="209" t="s">
        <v>1823</v>
      </c>
      <c r="D688" s="209" t="s">
        <v>1847</v>
      </c>
      <c r="E688" s="209" t="s">
        <v>1847</v>
      </c>
      <c r="F688" s="209"/>
      <c r="G688" s="209"/>
      <c r="H688" s="210" t="s">
        <v>2522</v>
      </c>
      <c r="I688" s="211">
        <f>I689</f>
        <v>79800000</v>
      </c>
      <c r="J688" s="211">
        <f t="shared" ref="J688:P688" si="86">J689</f>
        <v>1596000</v>
      </c>
      <c r="K688" s="211">
        <f t="shared" si="86"/>
        <v>798000</v>
      </c>
      <c r="L688" s="211">
        <f t="shared" si="86"/>
        <v>798000</v>
      </c>
      <c r="M688" s="211">
        <f t="shared" si="86"/>
        <v>1596000</v>
      </c>
      <c r="N688" s="211">
        <f t="shared" si="86"/>
        <v>17556000</v>
      </c>
      <c r="O688" s="211">
        <f t="shared" si="86"/>
        <v>62244000</v>
      </c>
      <c r="P688" s="211">
        <f t="shared" si="86"/>
        <v>0</v>
      </c>
      <c r="Q688" s="212"/>
    </row>
    <row r="689" spans="1:17" s="213" customFormat="1" x14ac:dyDescent="0.25">
      <c r="A689" s="208" t="s">
        <v>263</v>
      </c>
      <c r="B689" s="209" t="s">
        <v>1822</v>
      </c>
      <c r="C689" s="209" t="s">
        <v>1823</v>
      </c>
      <c r="D689" s="209" t="s">
        <v>1847</v>
      </c>
      <c r="E689" s="209" t="s">
        <v>1847</v>
      </c>
      <c r="F689" s="209" t="s">
        <v>1825</v>
      </c>
      <c r="G689" s="209"/>
      <c r="H689" s="210" t="s">
        <v>2523</v>
      </c>
      <c r="I689" s="211">
        <f>SUM(I690:I694)</f>
        <v>79800000</v>
      </c>
      <c r="J689" s="211">
        <f t="shared" ref="J689:P689" si="87">SUM(J690:J694)</f>
        <v>1596000</v>
      </c>
      <c r="K689" s="211">
        <f t="shared" si="87"/>
        <v>798000</v>
      </c>
      <c r="L689" s="211">
        <f t="shared" si="87"/>
        <v>798000</v>
      </c>
      <c r="M689" s="211">
        <f t="shared" si="87"/>
        <v>1596000</v>
      </c>
      <c r="N689" s="211">
        <f t="shared" si="87"/>
        <v>17556000</v>
      </c>
      <c r="O689" s="211">
        <f t="shared" si="87"/>
        <v>62244000</v>
      </c>
      <c r="P689" s="211">
        <f t="shared" si="87"/>
        <v>0</v>
      </c>
      <c r="Q689" s="212"/>
    </row>
    <row r="690" spans="1:17" s="219" customFormat="1" ht="30" hidden="1" x14ac:dyDescent="0.25">
      <c r="A690" s="214"/>
      <c r="B690" s="215" t="s">
        <v>1822</v>
      </c>
      <c r="C690" s="215" t="s">
        <v>1823</v>
      </c>
      <c r="D690" s="215" t="s">
        <v>1847</v>
      </c>
      <c r="E690" s="215" t="s">
        <v>1847</v>
      </c>
      <c r="F690" s="215" t="s">
        <v>1825</v>
      </c>
      <c r="G690" s="215" t="s">
        <v>58</v>
      </c>
      <c r="H690" s="216" t="s">
        <v>2524</v>
      </c>
      <c r="I690" s="217"/>
      <c r="J690" s="217"/>
      <c r="K690" s="217"/>
      <c r="L690" s="217"/>
      <c r="M690" s="217"/>
      <c r="N690" s="217"/>
      <c r="O690" s="217"/>
      <c r="P690" s="217"/>
      <c r="Q690" s="218"/>
    </row>
    <row r="691" spans="1:17" s="219" customFormat="1" ht="30" hidden="1" x14ac:dyDescent="0.25">
      <c r="A691" s="214"/>
      <c r="B691" s="215" t="s">
        <v>1822</v>
      </c>
      <c r="C691" s="215" t="s">
        <v>1823</v>
      </c>
      <c r="D691" s="215" t="s">
        <v>1847</v>
      </c>
      <c r="E691" s="215" t="s">
        <v>1847</v>
      </c>
      <c r="F691" s="215" t="s">
        <v>1825</v>
      </c>
      <c r="G691" s="215" t="s">
        <v>75</v>
      </c>
      <c r="H691" s="216" t="s">
        <v>2525</v>
      </c>
      <c r="I691" s="217"/>
      <c r="J691" s="217"/>
      <c r="K691" s="217"/>
      <c r="L691" s="217"/>
      <c r="M691" s="217"/>
      <c r="N691" s="217"/>
      <c r="O691" s="217"/>
      <c r="P691" s="217"/>
      <c r="Q691" s="218"/>
    </row>
    <row r="692" spans="1:17" s="219" customFormat="1" hidden="1" x14ac:dyDescent="0.25">
      <c r="A692" s="214"/>
      <c r="B692" s="215" t="s">
        <v>1822</v>
      </c>
      <c r="C692" s="215" t="s">
        <v>1823</v>
      </c>
      <c r="D692" s="215" t="s">
        <v>1847</v>
      </c>
      <c r="E692" s="215" t="s">
        <v>1847</v>
      </c>
      <c r="F692" s="215" t="s">
        <v>1825</v>
      </c>
      <c r="G692" s="215" t="s">
        <v>79</v>
      </c>
      <c r="H692" s="216" t="s">
        <v>2526</v>
      </c>
      <c r="I692" s="217"/>
      <c r="J692" s="217"/>
      <c r="K692" s="217"/>
      <c r="L692" s="217"/>
      <c r="M692" s="217"/>
      <c r="N692" s="217"/>
      <c r="O692" s="217"/>
      <c r="P692" s="217"/>
      <c r="Q692" s="218"/>
    </row>
    <row r="693" spans="1:17" s="219" customFormat="1" hidden="1" x14ac:dyDescent="0.25">
      <c r="A693" s="214"/>
      <c r="B693" s="215" t="s">
        <v>1822</v>
      </c>
      <c r="C693" s="215" t="s">
        <v>1823</v>
      </c>
      <c r="D693" s="215" t="s">
        <v>1847</v>
      </c>
      <c r="E693" s="215" t="s">
        <v>1847</v>
      </c>
      <c r="F693" s="215" t="s">
        <v>1825</v>
      </c>
      <c r="G693" s="215" t="s">
        <v>84</v>
      </c>
      <c r="H693" s="216" t="s">
        <v>2527</v>
      </c>
      <c r="I693" s="217"/>
      <c r="J693" s="217"/>
      <c r="K693" s="217"/>
      <c r="L693" s="217"/>
      <c r="M693" s="217"/>
      <c r="N693" s="217"/>
      <c r="O693" s="217"/>
      <c r="P693" s="217"/>
      <c r="Q693" s="218"/>
    </row>
    <row r="694" spans="1:17" s="219" customFormat="1" ht="30" x14ac:dyDescent="0.25">
      <c r="A694" s="214"/>
      <c r="B694" s="215" t="s">
        <v>1822</v>
      </c>
      <c r="C694" s="215" t="s">
        <v>1823</v>
      </c>
      <c r="D694" s="215" t="s">
        <v>1847</v>
      </c>
      <c r="E694" s="215" t="s">
        <v>1847</v>
      </c>
      <c r="F694" s="215" t="s">
        <v>1825</v>
      </c>
      <c r="G694" s="215" t="s">
        <v>88</v>
      </c>
      <c r="H694" s="216" t="s">
        <v>2528</v>
      </c>
      <c r="I694" s="217">
        <v>79800000</v>
      </c>
      <c r="J694" s="217">
        <v>1596000</v>
      </c>
      <c r="K694" s="217">
        <v>798000</v>
      </c>
      <c r="L694" s="217">
        <v>798000</v>
      </c>
      <c r="M694" s="217">
        <v>1596000</v>
      </c>
      <c r="N694" s="217">
        <v>17556000</v>
      </c>
      <c r="O694" s="217">
        <v>62244000</v>
      </c>
      <c r="P694" s="217"/>
      <c r="Q694" s="218"/>
    </row>
    <row r="695" spans="1:17" s="213" customFormat="1" hidden="1" x14ac:dyDescent="0.25">
      <c r="A695" s="208" t="s">
        <v>1984</v>
      </c>
      <c r="B695" s="209" t="s">
        <v>1822</v>
      </c>
      <c r="C695" s="209" t="s">
        <v>1823</v>
      </c>
      <c r="D695" s="209" t="s">
        <v>1847</v>
      </c>
      <c r="E695" s="209" t="s">
        <v>1928</v>
      </c>
      <c r="F695" s="209"/>
      <c r="G695" s="209"/>
      <c r="H695" s="210" t="s">
        <v>2529</v>
      </c>
      <c r="I695" s="211">
        <f>I696</f>
        <v>0</v>
      </c>
      <c r="J695" s="211">
        <f t="shared" ref="J695:P695" si="88">J696</f>
        <v>0</v>
      </c>
      <c r="K695" s="211">
        <f t="shared" si="88"/>
        <v>0</v>
      </c>
      <c r="L695" s="211">
        <f t="shared" si="88"/>
        <v>0</v>
      </c>
      <c r="M695" s="211">
        <f t="shared" si="88"/>
        <v>0</v>
      </c>
      <c r="N695" s="211">
        <f t="shared" si="88"/>
        <v>0</v>
      </c>
      <c r="O695" s="211">
        <f t="shared" si="88"/>
        <v>0</v>
      </c>
      <c r="P695" s="211">
        <f t="shared" si="88"/>
        <v>0</v>
      </c>
      <c r="Q695" s="212"/>
    </row>
    <row r="696" spans="1:17" s="213" customFormat="1" hidden="1" x14ac:dyDescent="0.25">
      <c r="A696" s="208" t="s">
        <v>263</v>
      </c>
      <c r="B696" s="209" t="s">
        <v>1822</v>
      </c>
      <c r="C696" s="209" t="s">
        <v>1823</v>
      </c>
      <c r="D696" s="209" t="s">
        <v>1847</v>
      </c>
      <c r="E696" s="209" t="s">
        <v>1928</v>
      </c>
      <c r="F696" s="209" t="s">
        <v>1825</v>
      </c>
      <c r="G696" s="209"/>
      <c r="H696" s="210" t="s">
        <v>2530</v>
      </c>
      <c r="I696" s="211">
        <f>SUM(I697:I701)</f>
        <v>0</v>
      </c>
      <c r="J696" s="211">
        <f t="shared" ref="J696:P696" si="89">SUM(J697:J701)</f>
        <v>0</v>
      </c>
      <c r="K696" s="211">
        <f t="shared" si="89"/>
        <v>0</v>
      </c>
      <c r="L696" s="211">
        <f t="shared" si="89"/>
        <v>0</v>
      </c>
      <c r="M696" s="211">
        <f t="shared" si="89"/>
        <v>0</v>
      </c>
      <c r="N696" s="211">
        <f t="shared" si="89"/>
        <v>0</v>
      </c>
      <c r="O696" s="211">
        <f t="shared" si="89"/>
        <v>0</v>
      </c>
      <c r="P696" s="211">
        <f t="shared" si="89"/>
        <v>0</v>
      </c>
      <c r="Q696" s="212"/>
    </row>
    <row r="697" spans="1:17" s="219" customFormat="1" hidden="1" x14ac:dyDescent="0.25">
      <c r="A697" s="214"/>
      <c r="B697" s="215" t="s">
        <v>1822</v>
      </c>
      <c r="C697" s="215" t="s">
        <v>1823</v>
      </c>
      <c r="D697" s="215" t="s">
        <v>1847</v>
      </c>
      <c r="E697" s="215" t="s">
        <v>1928</v>
      </c>
      <c r="F697" s="215" t="s">
        <v>1825</v>
      </c>
      <c r="G697" s="215" t="s">
        <v>58</v>
      </c>
      <c r="H697" s="216" t="s">
        <v>2531</v>
      </c>
      <c r="I697" s="217"/>
      <c r="J697" s="217"/>
      <c r="K697" s="217"/>
      <c r="L697" s="217"/>
      <c r="M697" s="217"/>
      <c r="N697" s="217"/>
      <c r="O697" s="217"/>
      <c r="P697" s="217"/>
      <c r="Q697" s="218"/>
    </row>
    <row r="698" spans="1:17" s="219" customFormat="1" hidden="1" x14ac:dyDescent="0.25">
      <c r="A698" s="214"/>
      <c r="B698" s="215" t="s">
        <v>1822</v>
      </c>
      <c r="C698" s="215" t="s">
        <v>1823</v>
      </c>
      <c r="D698" s="215" t="s">
        <v>1847</v>
      </c>
      <c r="E698" s="215" t="s">
        <v>1928</v>
      </c>
      <c r="F698" s="215" t="s">
        <v>1825</v>
      </c>
      <c r="G698" s="215" t="s">
        <v>75</v>
      </c>
      <c r="H698" s="216" t="s">
        <v>2532</v>
      </c>
      <c r="I698" s="217"/>
      <c r="J698" s="217"/>
      <c r="K698" s="217"/>
      <c r="L698" s="217"/>
      <c r="M698" s="217"/>
      <c r="N698" s="217"/>
      <c r="O698" s="217"/>
      <c r="P698" s="217"/>
      <c r="Q698" s="218"/>
    </row>
    <row r="699" spans="1:17" s="219" customFormat="1" hidden="1" x14ac:dyDescent="0.25">
      <c r="A699" s="214"/>
      <c r="B699" s="215" t="s">
        <v>1822</v>
      </c>
      <c r="C699" s="215" t="s">
        <v>1823</v>
      </c>
      <c r="D699" s="215" t="s">
        <v>1847</v>
      </c>
      <c r="E699" s="215" t="s">
        <v>1928</v>
      </c>
      <c r="F699" s="215" t="s">
        <v>1825</v>
      </c>
      <c r="G699" s="215" t="s">
        <v>79</v>
      </c>
      <c r="H699" s="216" t="s">
        <v>2533</v>
      </c>
      <c r="I699" s="217"/>
      <c r="J699" s="217"/>
      <c r="K699" s="217"/>
      <c r="L699" s="217"/>
      <c r="M699" s="217"/>
      <c r="N699" s="217"/>
      <c r="O699" s="217"/>
      <c r="P699" s="217"/>
      <c r="Q699" s="218"/>
    </row>
    <row r="700" spans="1:17" s="219" customFormat="1" hidden="1" x14ac:dyDescent="0.25">
      <c r="A700" s="214"/>
      <c r="B700" s="215" t="s">
        <v>1822</v>
      </c>
      <c r="C700" s="215" t="s">
        <v>1823</v>
      </c>
      <c r="D700" s="215" t="s">
        <v>1847</v>
      </c>
      <c r="E700" s="215" t="s">
        <v>1928</v>
      </c>
      <c r="F700" s="215" t="s">
        <v>1825</v>
      </c>
      <c r="G700" s="215" t="s">
        <v>84</v>
      </c>
      <c r="H700" s="216" t="s">
        <v>2534</v>
      </c>
      <c r="I700" s="217"/>
      <c r="J700" s="217"/>
      <c r="K700" s="217"/>
      <c r="L700" s="217"/>
      <c r="M700" s="217"/>
      <c r="N700" s="217"/>
      <c r="O700" s="217"/>
      <c r="P700" s="217"/>
      <c r="Q700" s="218"/>
    </row>
    <row r="701" spans="1:17" s="219" customFormat="1" hidden="1" x14ac:dyDescent="0.25">
      <c r="A701" s="214"/>
      <c r="B701" s="215" t="s">
        <v>1822</v>
      </c>
      <c r="C701" s="215" t="s">
        <v>1823</v>
      </c>
      <c r="D701" s="215" t="s">
        <v>1847</v>
      </c>
      <c r="E701" s="215" t="s">
        <v>1928</v>
      </c>
      <c r="F701" s="215" t="s">
        <v>1825</v>
      </c>
      <c r="G701" s="215" t="s">
        <v>88</v>
      </c>
      <c r="H701" s="216" t="s">
        <v>2535</v>
      </c>
      <c r="I701" s="217"/>
      <c r="J701" s="217"/>
      <c r="K701" s="217"/>
      <c r="L701" s="217"/>
      <c r="M701" s="217"/>
      <c r="N701" s="217"/>
      <c r="O701" s="217"/>
      <c r="P701" s="217"/>
      <c r="Q701" s="218"/>
    </row>
    <row r="702" spans="1:17" s="231" customFormat="1" hidden="1" x14ac:dyDescent="0.25">
      <c r="A702" s="228"/>
      <c r="B702" s="229"/>
      <c r="C702" s="233"/>
      <c r="D702" s="233"/>
      <c r="E702" s="233"/>
      <c r="F702" s="233"/>
      <c r="G702" s="223"/>
      <c r="H702" s="225"/>
      <c r="I702" s="226"/>
      <c r="J702" s="226"/>
      <c r="K702" s="226"/>
      <c r="L702" s="226"/>
      <c r="M702" s="226"/>
      <c r="N702" s="226"/>
      <c r="O702" s="226"/>
      <c r="P702" s="226"/>
    </row>
    <row r="703" spans="1:17" s="231" customFormat="1" x14ac:dyDescent="0.25">
      <c r="A703" s="228">
        <v>4</v>
      </c>
      <c r="B703" s="229">
        <v>4</v>
      </c>
      <c r="C703" s="223" t="s">
        <v>1928</v>
      </c>
      <c r="D703" s="223"/>
      <c r="E703" s="223"/>
      <c r="F703" s="223"/>
      <c r="G703" s="223"/>
      <c r="H703" s="225" t="s">
        <v>2536</v>
      </c>
      <c r="I703" s="230">
        <f>SUM(I704+I730+I789+I844)</f>
        <v>1749770100</v>
      </c>
      <c r="J703" s="230">
        <f t="shared" ref="J703:P703" si="90">SUM(J704+J730+J789+J844)</f>
        <v>43087151.180672273</v>
      </c>
      <c r="K703" s="230">
        <f t="shared" si="90"/>
        <v>19703091.416666668</v>
      </c>
      <c r="L703" s="230">
        <f t="shared" si="90"/>
        <v>19245774.890056022</v>
      </c>
      <c r="M703" s="230">
        <f t="shared" si="90"/>
        <v>38948866.306722686</v>
      </c>
      <c r="N703" s="230">
        <f t="shared" si="90"/>
        <v>328634974.3067227</v>
      </c>
      <c r="O703" s="230">
        <f t="shared" si="90"/>
        <v>1421135125.6932774</v>
      </c>
      <c r="P703" s="230">
        <f t="shared" si="90"/>
        <v>0</v>
      </c>
    </row>
    <row r="704" spans="1:17" s="213" customFormat="1" hidden="1" x14ac:dyDescent="0.25">
      <c r="A704" s="208" t="s">
        <v>1827</v>
      </c>
      <c r="B704" s="209" t="s">
        <v>1822</v>
      </c>
      <c r="C704" s="209" t="s">
        <v>1823</v>
      </c>
      <c r="D704" s="209" t="s">
        <v>1928</v>
      </c>
      <c r="E704" s="209" t="s">
        <v>1825</v>
      </c>
      <c r="F704" s="209"/>
      <c r="G704" s="209"/>
      <c r="H704" s="210" t="s">
        <v>2537</v>
      </c>
      <c r="I704" s="211">
        <f>SUM(I705+I716)</f>
        <v>0</v>
      </c>
      <c r="J704" s="211">
        <f t="shared" ref="J704:P704" si="91">SUM(J705+J716)</f>
        <v>0</v>
      </c>
      <c r="K704" s="211">
        <f t="shared" si="91"/>
        <v>0</v>
      </c>
      <c r="L704" s="211">
        <f t="shared" si="91"/>
        <v>0</v>
      </c>
      <c r="M704" s="211">
        <f t="shared" si="91"/>
        <v>0</v>
      </c>
      <c r="N704" s="211">
        <f t="shared" si="91"/>
        <v>0</v>
      </c>
      <c r="O704" s="211">
        <f t="shared" si="91"/>
        <v>0</v>
      </c>
      <c r="P704" s="211">
        <f t="shared" si="91"/>
        <v>0</v>
      </c>
      <c r="Q704" s="212"/>
    </row>
    <row r="705" spans="1:17" s="213" customFormat="1" hidden="1" x14ac:dyDescent="0.25">
      <c r="A705" s="208" t="s">
        <v>263</v>
      </c>
      <c r="B705" s="209" t="s">
        <v>1822</v>
      </c>
      <c r="C705" s="209" t="s">
        <v>1823</v>
      </c>
      <c r="D705" s="209" t="s">
        <v>1928</v>
      </c>
      <c r="E705" s="209" t="s">
        <v>1825</v>
      </c>
      <c r="F705" s="209" t="s">
        <v>1825</v>
      </c>
      <c r="G705" s="209"/>
      <c r="H705" s="210" t="s">
        <v>2538</v>
      </c>
      <c r="I705" s="211">
        <f>SUM(I706:I715)</f>
        <v>0</v>
      </c>
      <c r="J705" s="211">
        <f t="shared" ref="J705:P705" si="92">SUM(J706:J715)</f>
        <v>0</v>
      </c>
      <c r="K705" s="211">
        <f t="shared" si="92"/>
        <v>0</v>
      </c>
      <c r="L705" s="211">
        <f t="shared" si="92"/>
        <v>0</v>
      </c>
      <c r="M705" s="211">
        <f t="shared" si="92"/>
        <v>0</v>
      </c>
      <c r="N705" s="211">
        <f t="shared" si="92"/>
        <v>0</v>
      </c>
      <c r="O705" s="211">
        <f t="shared" si="92"/>
        <v>0</v>
      </c>
      <c r="P705" s="211">
        <f t="shared" si="92"/>
        <v>0</v>
      </c>
      <c r="Q705" s="212"/>
    </row>
    <row r="706" spans="1:17" s="219" customFormat="1" hidden="1" x14ac:dyDescent="0.25">
      <c r="A706" s="214"/>
      <c r="B706" s="215" t="s">
        <v>1822</v>
      </c>
      <c r="C706" s="215" t="s">
        <v>1823</v>
      </c>
      <c r="D706" s="215" t="s">
        <v>1928</v>
      </c>
      <c r="E706" s="215" t="s">
        <v>1825</v>
      </c>
      <c r="F706" s="215" t="s">
        <v>1825</v>
      </c>
      <c r="G706" s="215" t="s">
        <v>58</v>
      </c>
      <c r="H706" s="216" t="s">
        <v>2539</v>
      </c>
      <c r="I706" s="217"/>
      <c r="J706" s="217"/>
      <c r="K706" s="217"/>
      <c r="L706" s="217"/>
      <c r="M706" s="217"/>
      <c r="N706" s="217"/>
      <c r="O706" s="217"/>
      <c r="P706" s="217"/>
      <c r="Q706" s="218"/>
    </row>
    <row r="707" spans="1:17" s="219" customFormat="1" hidden="1" x14ac:dyDescent="0.25">
      <c r="A707" s="214"/>
      <c r="B707" s="215" t="s">
        <v>1822</v>
      </c>
      <c r="C707" s="215" t="s">
        <v>1823</v>
      </c>
      <c r="D707" s="215" t="s">
        <v>1928</v>
      </c>
      <c r="E707" s="215" t="s">
        <v>1825</v>
      </c>
      <c r="F707" s="215" t="s">
        <v>1825</v>
      </c>
      <c r="G707" s="215" t="s">
        <v>75</v>
      </c>
      <c r="H707" s="216" t="s">
        <v>2540</v>
      </c>
      <c r="I707" s="217"/>
      <c r="J707" s="217"/>
      <c r="K707" s="217"/>
      <c r="L707" s="217"/>
      <c r="M707" s="217"/>
      <c r="N707" s="217"/>
      <c r="O707" s="217"/>
      <c r="P707" s="217"/>
      <c r="Q707" s="218"/>
    </row>
    <row r="708" spans="1:17" s="219" customFormat="1" hidden="1" x14ac:dyDescent="0.25">
      <c r="A708" s="214"/>
      <c r="B708" s="215" t="s">
        <v>1822</v>
      </c>
      <c r="C708" s="215" t="s">
        <v>1823</v>
      </c>
      <c r="D708" s="215" t="s">
        <v>1928</v>
      </c>
      <c r="E708" s="215" t="s">
        <v>1825</v>
      </c>
      <c r="F708" s="215" t="s">
        <v>1825</v>
      </c>
      <c r="G708" s="215" t="s">
        <v>79</v>
      </c>
      <c r="H708" s="216" t="s">
        <v>2541</v>
      </c>
      <c r="I708" s="217"/>
      <c r="J708" s="217"/>
      <c r="K708" s="217"/>
      <c r="L708" s="217"/>
      <c r="M708" s="217"/>
      <c r="N708" s="217"/>
      <c r="O708" s="217"/>
      <c r="P708" s="217"/>
      <c r="Q708" s="218"/>
    </row>
    <row r="709" spans="1:17" s="219" customFormat="1" hidden="1" x14ac:dyDescent="0.25">
      <c r="A709" s="214"/>
      <c r="B709" s="215" t="s">
        <v>1822</v>
      </c>
      <c r="C709" s="215" t="s">
        <v>1823</v>
      </c>
      <c r="D709" s="215" t="s">
        <v>1928</v>
      </c>
      <c r="E709" s="215" t="s">
        <v>1825</v>
      </c>
      <c r="F709" s="215" t="s">
        <v>1825</v>
      </c>
      <c r="G709" s="215" t="s">
        <v>84</v>
      </c>
      <c r="H709" s="216" t="s">
        <v>2542</v>
      </c>
      <c r="I709" s="217"/>
      <c r="J709" s="217"/>
      <c r="K709" s="217"/>
      <c r="L709" s="217"/>
      <c r="M709" s="217"/>
      <c r="N709" s="217"/>
      <c r="O709" s="217"/>
      <c r="P709" s="217"/>
      <c r="Q709" s="218"/>
    </row>
    <row r="710" spans="1:17" s="219" customFormat="1" hidden="1" x14ac:dyDescent="0.25">
      <c r="A710" s="214"/>
      <c r="B710" s="215" t="s">
        <v>1822</v>
      </c>
      <c r="C710" s="215" t="s">
        <v>1823</v>
      </c>
      <c r="D710" s="215" t="s">
        <v>1928</v>
      </c>
      <c r="E710" s="215" t="s">
        <v>1825</v>
      </c>
      <c r="F710" s="215" t="s">
        <v>1825</v>
      </c>
      <c r="G710" s="215" t="s">
        <v>88</v>
      </c>
      <c r="H710" s="216" t="s">
        <v>2543</v>
      </c>
      <c r="I710" s="217"/>
      <c r="J710" s="217"/>
      <c r="K710" s="217"/>
      <c r="L710" s="217"/>
      <c r="M710" s="217"/>
      <c r="N710" s="217"/>
      <c r="O710" s="217"/>
      <c r="P710" s="217"/>
      <c r="Q710" s="218"/>
    </row>
    <row r="711" spans="1:17" s="219" customFormat="1" hidden="1" x14ac:dyDescent="0.25">
      <c r="A711" s="214"/>
      <c r="B711" s="215" t="s">
        <v>1822</v>
      </c>
      <c r="C711" s="215" t="s">
        <v>1823</v>
      </c>
      <c r="D711" s="215" t="s">
        <v>1928</v>
      </c>
      <c r="E711" s="215" t="s">
        <v>1825</v>
      </c>
      <c r="F711" s="215" t="s">
        <v>1825</v>
      </c>
      <c r="G711" s="215" t="s">
        <v>92</v>
      </c>
      <c r="H711" s="216" t="s">
        <v>2544</v>
      </c>
      <c r="I711" s="217"/>
      <c r="J711" s="217"/>
      <c r="K711" s="217"/>
      <c r="L711" s="217"/>
      <c r="M711" s="217"/>
      <c r="N711" s="217"/>
      <c r="O711" s="217"/>
      <c r="P711" s="217"/>
      <c r="Q711" s="218"/>
    </row>
    <row r="712" spans="1:17" s="219" customFormat="1" hidden="1" x14ac:dyDescent="0.25">
      <c r="A712" s="214"/>
      <c r="B712" s="215" t="s">
        <v>1822</v>
      </c>
      <c r="C712" s="215" t="s">
        <v>1823</v>
      </c>
      <c r="D712" s="215" t="s">
        <v>1928</v>
      </c>
      <c r="E712" s="215" t="s">
        <v>1825</v>
      </c>
      <c r="F712" s="215" t="s">
        <v>1825</v>
      </c>
      <c r="G712" s="215" t="s">
        <v>96</v>
      </c>
      <c r="H712" s="216" t="s">
        <v>2545</v>
      </c>
      <c r="I712" s="217"/>
      <c r="J712" s="217"/>
      <c r="K712" s="217"/>
      <c r="L712" s="217"/>
      <c r="M712" s="217"/>
      <c r="N712" s="217"/>
      <c r="O712" s="217"/>
      <c r="P712" s="217"/>
      <c r="Q712" s="218"/>
    </row>
    <row r="713" spans="1:17" s="219" customFormat="1" hidden="1" x14ac:dyDescent="0.25">
      <c r="A713" s="214"/>
      <c r="B713" s="215" t="s">
        <v>1822</v>
      </c>
      <c r="C713" s="215" t="s">
        <v>1823</v>
      </c>
      <c r="D713" s="215" t="s">
        <v>1928</v>
      </c>
      <c r="E713" s="215" t="s">
        <v>1825</v>
      </c>
      <c r="F713" s="215" t="s">
        <v>1825</v>
      </c>
      <c r="G713" s="215" t="s">
        <v>100</v>
      </c>
      <c r="H713" s="216" t="s">
        <v>2546</v>
      </c>
      <c r="I713" s="217"/>
      <c r="J713" s="217"/>
      <c r="K713" s="217"/>
      <c r="L713" s="217"/>
      <c r="M713" s="217"/>
      <c r="N713" s="217"/>
      <c r="O713" s="217"/>
      <c r="P713" s="217"/>
      <c r="Q713" s="218"/>
    </row>
    <row r="714" spans="1:17" s="219" customFormat="1" hidden="1" x14ac:dyDescent="0.25">
      <c r="A714" s="214"/>
      <c r="B714" s="215" t="s">
        <v>1822</v>
      </c>
      <c r="C714" s="215" t="s">
        <v>1823</v>
      </c>
      <c r="D714" s="215" t="s">
        <v>1928</v>
      </c>
      <c r="E714" s="215" t="s">
        <v>1825</v>
      </c>
      <c r="F714" s="215" t="s">
        <v>1825</v>
      </c>
      <c r="G714" s="215" t="s">
        <v>105</v>
      </c>
      <c r="H714" s="216" t="s">
        <v>2547</v>
      </c>
      <c r="I714" s="217"/>
      <c r="J714" s="217"/>
      <c r="K714" s="217"/>
      <c r="L714" s="217"/>
      <c r="M714" s="217"/>
      <c r="N714" s="217"/>
      <c r="O714" s="217"/>
      <c r="P714" s="217"/>
      <c r="Q714" s="218"/>
    </row>
    <row r="715" spans="1:17" s="219" customFormat="1" hidden="1" x14ac:dyDescent="0.25">
      <c r="A715" s="214"/>
      <c r="B715" s="215" t="s">
        <v>1822</v>
      </c>
      <c r="C715" s="215" t="s">
        <v>1823</v>
      </c>
      <c r="D715" s="215" t="s">
        <v>1928</v>
      </c>
      <c r="E715" s="215" t="s">
        <v>1825</v>
      </c>
      <c r="F715" s="215" t="s">
        <v>1825</v>
      </c>
      <c r="G715" s="215" t="s">
        <v>108</v>
      </c>
      <c r="H715" s="216" t="s">
        <v>2548</v>
      </c>
      <c r="I715" s="217"/>
      <c r="J715" s="217"/>
      <c r="K715" s="217"/>
      <c r="L715" s="217"/>
      <c r="M715" s="217"/>
      <c r="N715" s="217"/>
      <c r="O715" s="217"/>
      <c r="P715" s="217"/>
      <c r="Q715" s="218"/>
    </row>
    <row r="716" spans="1:17" s="213" customFormat="1" hidden="1" x14ac:dyDescent="0.25">
      <c r="A716" s="208" t="s">
        <v>263</v>
      </c>
      <c r="B716" s="209" t="s">
        <v>1822</v>
      </c>
      <c r="C716" s="209" t="s">
        <v>1823</v>
      </c>
      <c r="D716" s="209" t="s">
        <v>1928</v>
      </c>
      <c r="E716" s="209" t="s">
        <v>1825</v>
      </c>
      <c r="F716" s="209" t="s">
        <v>1836</v>
      </c>
      <c r="G716" s="209"/>
      <c r="H716" s="210" t="s">
        <v>2549</v>
      </c>
      <c r="I716" s="211">
        <f>SUM(I717:I729)</f>
        <v>0</v>
      </c>
      <c r="J716" s="211">
        <f t="shared" ref="J716:P716" si="93">SUM(J717:J729)</f>
        <v>0</v>
      </c>
      <c r="K716" s="211">
        <f t="shared" si="93"/>
        <v>0</v>
      </c>
      <c r="L716" s="211">
        <f t="shared" si="93"/>
        <v>0</v>
      </c>
      <c r="M716" s="211">
        <f t="shared" si="93"/>
        <v>0</v>
      </c>
      <c r="N716" s="211">
        <f t="shared" si="93"/>
        <v>0</v>
      </c>
      <c r="O716" s="211">
        <f t="shared" si="93"/>
        <v>0</v>
      </c>
      <c r="P716" s="211">
        <f t="shared" si="93"/>
        <v>0</v>
      </c>
      <c r="Q716" s="212"/>
    </row>
    <row r="717" spans="1:17" s="219" customFormat="1" hidden="1" x14ac:dyDescent="0.25">
      <c r="A717" s="214"/>
      <c r="B717" s="215" t="s">
        <v>1822</v>
      </c>
      <c r="C717" s="215" t="s">
        <v>1823</v>
      </c>
      <c r="D717" s="215" t="s">
        <v>1928</v>
      </c>
      <c r="E717" s="215" t="s">
        <v>1825</v>
      </c>
      <c r="F717" s="215" t="s">
        <v>1836</v>
      </c>
      <c r="G717" s="215" t="s">
        <v>58</v>
      </c>
      <c r="H717" s="216" t="s">
        <v>2550</v>
      </c>
      <c r="I717" s="217"/>
      <c r="J717" s="217"/>
      <c r="K717" s="217"/>
      <c r="L717" s="217"/>
      <c r="M717" s="217"/>
      <c r="N717" s="217"/>
      <c r="O717" s="217"/>
      <c r="P717" s="217"/>
      <c r="Q717" s="218"/>
    </row>
    <row r="718" spans="1:17" s="219" customFormat="1" hidden="1" x14ac:dyDescent="0.25">
      <c r="A718" s="214"/>
      <c r="B718" s="215" t="s">
        <v>1822</v>
      </c>
      <c r="C718" s="215" t="s">
        <v>1823</v>
      </c>
      <c r="D718" s="215" t="s">
        <v>1928</v>
      </c>
      <c r="E718" s="215" t="s">
        <v>1825</v>
      </c>
      <c r="F718" s="215" t="s">
        <v>1836</v>
      </c>
      <c r="G718" s="215" t="s">
        <v>75</v>
      </c>
      <c r="H718" s="216" t="s">
        <v>2551</v>
      </c>
      <c r="I718" s="217"/>
      <c r="J718" s="217"/>
      <c r="K718" s="217"/>
      <c r="L718" s="217"/>
      <c r="M718" s="217"/>
      <c r="N718" s="217"/>
      <c r="O718" s="217"/>
      <c r="P718" s="217"/>
      <c r="Q718" s="218"/>
    </row>
    <row r="719" spans="1:17" s="219" customFormat="1" hidden="1" x14ac:dyDescent="0.25">
      <c r="A719" s="214"/>
      <c r="B719" s="215" t="s">
        <v>1822</v>
      </c>
      <c r="C719" s="215" t="s">
        <v>1823</v>
      </c>
      <c r="D719" s="215" t="s">
        <v>1928</v>
      </c>
      <c r="E719" s="215" t="s">
        <v>1825</v>
      </c>
      <c r="F719" s="215" t="s">
        <v>1836</v>
      </c>
      <c r="G719" s="215" t="s">
        <v>79</v>
      </c>
      <c r="H719" s="216" t="s">
        <v>2552</v>
      </c>
      <c r="I719" s="217"/>
      <c r="J719" s="217"/>
      <c r="K719" s="217"/>
      <c r="L719" s="217"/>
      <c r="M719" s="217"/>
      <c r="N719" s="217"/>
      <c r="O719" s="217"/>
      <c r="P719" s="217"/>
      <c r="Q719" s="218"/>
    </row>
    <row r="720" spans="1:17" s="219" customFormat="1" hidden="1" x14ac:dyDescent="0.25">
      <c r="A720" s="214"/>
      <c r="B720" s="215" t="s">
        <v>1822</v>
      </c>
      <c r="C720" s="215" t="s">
        <v>1823</v>
      </c>
      <c r="D720" s="215" t="s">
        <v>1928</v>
      </c>
      <c r="E720" s="215" t="s">
        <v>1825</v>
      </c>
      <c r="F720" s="215" t="s">
        <v>1836</v>
      </c>
      <c r="G720" s="215" t="s">
        <v>84</v>
      </c>
      <c r="H720" s="216" t="s">
        <v>2553</v>
      </c>
      <c r="I720" s="217"/>
      <c r="J720" s="217"/>
      <c r="K720" s="217"/>
      <c r="L720" s="217"/>
      <c r="M720" s="217"/>
      <c r="N720" s="217"/>
      <c r="O720" s="217"/>
      <c r="P720" s="217"/>
      <c r="Q720" s="218"/>
    </row>
    <row r="721" spans="1:17" s="219" customFormat="1" hidden="1" x14ac:dyDescent="0.25">
      <c r="A721" s="214"/>
      <c r="B721" s="215" t="s">
        <v>1822</v>
      </c>
      <c r="C721" s="215" t="s">
        <v>1823</v>
      </c>
      <c r="D721" s="215" t="s">
        <v>1928</v>
      </c>
      <c r="E721" s="215" t="s">
        <v>1825</v>
      </c>
      <c r="F721" s="215" t="s">
        <v>1836</v>
      </c>
      <c r="G721" s="215" t="s">
        <v>88</v>
      </c>
      <c r="H721" s="216" t="s">
        <v>2554</v>
      </c>
      <c r="I721" s="217"/>
      <c r="J721" s="217"/>
      <c r="K721" s="217"/>
      <c r="L721" s="217"/>
      <c r="M721" s="217"/>
      <c r="N721" s="217"/>
      <c r="O721" s="217"/>
      <c r="P721" s="217"/>
      <c r="Q721" s="218"/>
    </row>
    <row r="722" spans="1:17" s="219" customFormat="1" hidden="1" x14ac:dyDescent="0.25">
      <c r="A722" s="214"/>
      <c r="B722" s="215" t="s">
        <v>1822</v>
      </c>
      <c r="C722" s="215" t="s">
        <v>1823</v>
      </c>
      <c r="D722" s="215" t="s">
        <v>1928</v>
      </c>
      <c r="E722" s="215" t="s">
        <v>1825</v>
      </c>
      <c r="F722" s="215" t="s">
        <v>1836</v>
      </c>
      <c r="G722" s="215" t="s">
        <v>92</v>
      </c>
      <c r="H722" s="216" t="s">
        <v>2555</v>
      </c>
      <c r="I722" s="217"/>
      <c r="J722" s="217"/>
      <c r="K722" s="217"/>
      <c r="L722" s="217"/>
      <c r="M722" s="217"/>
      <c r="N722" s="217"/>
      <c r="O722" s="217"/>
      <c r="P722" s="217"/>
      <c r="Q722" s="218"/>
    </row>
    <row r="723" spans="1:17" s="219" customFormat="1" hidden="1" x14ac:dyDescent="0.25">
      <c r="A723" s="214"/>
      <c r="B723" s="215" t="s">
        <v>1822</v>
      </c>
      <c r="C723" s="215" t="s">
        <v>1823</v>
      </c>
      <c r="D723" s="215" t="s">
        <v>1928</v>
      </c>
      <c r="E723" s="215" t="s">
        <v>1825</v>
      </c>
      <c r="F723" s="215" t="s">
        <v>1836</v>
      </c>
      <c r="G723" s="215" t="s">
        <v>96</v>
      </c>
      <c r="H723" s="216" t="s">
        <v>2556</v>
      </c>
      <c r="I723" s="217"/>
      <c r="J723" s="217"/>
      <c r="K723" s="217"/>
      <c r="L723" s="217"/>
      <c r="M723" s="217"/>
      <c r="N723" s="217"/>
      <c r="O723" s="217"/>
      <c r="P723" s="217"/>
      <c r="Q723" s="218"/>
    </row>
    <row r="724" spans="1:17" s="219" customFormat="1" ht="30" hidden="1" x14ac:dyDescent="0.25">
      <c r="A724" s="214"/>
      <c r="B724" s="215" t="s">
        <v>1822</v>
      </c>
      <c r="C724" s="215" t="s">
        <v>1823</v>
      </c>
      <c r="D724" s="215" t="s">
        <v>1928</v>
      </c>
      <c r="E724" s="215" t="s">
        <v>1825</v>
      </c>
      <c r="F724" s="215" t="s">
        <v>1836</v>
      </c>
      <c r="G724" s="215" t="s">
        <v>100</v>
      </c>
      <c r="H724" s="216" t="s">
        <v>2557</v>
      </c>
      <c r="I724" s="217"/>
      <c r="J724" s="217"/>
      <c r="K724" s="217"/>
      <c r="L724" s="217"/>
      <c r="M724" s="217"/>
      <c r="N724" s="217"/>
      <c r="O724" s="217"/>
      <c r="P724" s="217"/>
      <c r="Q724" s="218"/>
    </row>
    <row r="725" spans="1:17" s="219" customFormat="1" hidden="1" x14ac:dyDescent="0.25">
      <c r="A725" s="214"/>
      <c r="B725" s="215" t="s">
        <v>1822</v>
      </c>
      <c r="C725" s="215" t="s">
        <v>1823</v>
      </c>
      <c r="D725" s="215" t="s">
        <v>1928</v>
      </c>
      <c r="E725" s="215" t="s">
        <v>1825</v>
      </c>
      <c r="F725" s="215" t="s">
        <v>1836</v>
      </c>
      <c r="G725" s="215" t="s">
        <v>105</v>
      </c>
      <c r="H725" s="216" t="s">
        <v>2558</v>
      </c>
      <c r="I725" s="217"/>
      <c r="J725" s="217"/>
      <c r="K725" s="217"/>
      <c r="L725" s="217"/>
      <c r="M725" s="217"/>
      <c r="N725" s="217"/>
      <c r="O725" s="217"/>
      <c r="P725" s="217"/>
      <c r="Q725" s="218"/>
    </row>
    <row r="726" spans="1:17" s="219" customFormat="1" hidden="1" x14ac:dyDescent="0.25">
      <c r="A726" s="214"/>
      <c r="B726" s="215" t="s">
        <v>1822</v>
      </c>
      <c r="C726" s="215" t="s">
        <v>1823</v>
      </c>
      <c r="D726" s="215" t="s">
        <v>1928</v>
      </c>
      <c r="E726" s="215" t="s">
        <v>1825</v>
      </c>
      <c r="F726" s="215" t="s">
        <v>1836</v>
      </c>
      <c r="G726" s="215" t="s">
        <v>108</v>
      </c>
      <c r="H726" s="216" t="s">
        <v>2559</v>
      </c>
      <c r="I726" s="217"/>
      <c r="J726" s="217"/>
      <c r="K726" s="217"/>
      <c r="L726" s="217"/>
      <c r="M726" s="217"/>
      <c r="N726" s="217"/>
      <c r="O726" s="217"/>
      <c r="P726" s="217"/>
      <c r="Q726" s="218"/>
    </row>
    <row r="727" spans="1:17" s="219" customFormat="1" ht="30" hidden="1" x14ac:dyDescent="0.25">
      <c r="A727" s="214"/>
      <c r="B727" s="215" t="s">
        <v>1822</v>
      </c>
      <c r="C727" s="215" t="s">
        <v>1823</v>
      </c>
      <c r="D727" s="215" t="s">
        <v>1928</v>
      </c>
      <c r="E727" s="215" t="s">
        <v>1825</v>
      </c>
      <c r="F727" s="215" t="s">
        <v>1836</v>
      </c>
      <c r="G727" s="215" t="s">
        <v>135</v>
      </c>
      <c r="H727" s="216" t="s">
        <v>2560</v>
      </c>
      <c r="I727" s="217"/>
      <c r="J727" s="217"/>
      <c r="K727" s="217"/>
      <c r="L727" s="217"/>
      <c r="M727" s="217"/>
      <c r="N727" s="217"/>
      <c r="O727" s="217"/>
      <c r="P727" s="217"/>
      <c r="Q727" s="218"/>
    </row>
    <row r="728" spans="1:17" s="219" customFormat="1" hidden="1" x14ac:dyDescent="0.25">
      <c r="A728" s="214"/>
      <c r="B728" s="215" t="s">
        <v>1822</v>
      </c>
      <c r="C728" s="215" t="s">
        <v>1823</v>
      </c>
      <c r="D728" s="215" t="s">
        <v>1928</v>
      </c>
      <c r="E728" s="215" t="s">
        <v>1825</v>
      </c>
      <c r="F728" s="215" t="s">
        <v>1836</v>
      </c>
      <c r="G728" s="215" t="s">
        <v>138</v>
      </c>
      <c r="H728" s="216" t="s">
        <v>2561</v>
      </c>
      <c r="I728" s="217"/>
      <c r="J728" s="217"/>
      <c r="K728" s="217"/>
      <c r="L728" s="217"/>
      <c r="M728" s="217"/>
      <c r="N728" s="217"/>
      <c r="O728" s="217"/>
      <c r="P728" s="217"/>
      <c r="Q728" s="218"/>
    </row>
    <row r="729" spans="1:17" s="219" customFormat="1" hidden="1" x14ac:dyDescent="0.25">
      <c r="A729" s="214"/>
      <c r="B729" s="215" t="s">
        <v>1822</v>
      </c>
      <c r="C729" s="215" t="s">
        <v>1823</v>
      </c>
      <c r="D729" s="215" t="s">
        <v>1928</v>
      </c>
      <c r="E729" s="215" t="s">
        <v>1825</v>
      </c>
      <c r="F729" s="215" t="s">
        <v>1836</v>
      </c>
      <c r="G729" s="215" t="s">
        <v>140</v>
      </c>
      <c r="H729" s="216" t="s">
        <v>2562</v>
      </c>
      <c r="I729" s="217"/>
      <c r="J729" s="217"/>
      <c r="K729" s="217"/>
      <c r="L729" s="217"/>
      <c r="M729" s="217"/>
      <c r="N729" s="217"/>
      <c r="O729" s="217"/>
      <c r="P729" s="217"/>
      <c r="Q729" s="218"/>
    </row>
    <row r="730" spans="1:17" s="213" customFormat="1" hidden="1" x14ac:dyDescent="0.25">
      <c r="A730" s="208" t="s">
        <v>1905</v>
      </c>
      <c r="B730" s="209" t="s">
        <v>1822</v>
      </c>
      <c r="C730" s="209" t="s">
        <v>1823</v>
      </c>
      <c r="D730" s="209" t="s">
        <v>1928</v>
      </c>
      <c r="E730" s="209" t="s">
        <v>1836</v>
      </c>
      <c r="F730" s="209"/>
      <c r="G730" s="209"/>
      <c r="H730" s="210" t="s">
        <v>2563</v>
      </c>
      <c r="I730" s="211">
        <f>SUM(I731+I740+I749+I758+I766+I775+I782)</f>
        <v>0</v>
      </c>
      <c r="J730" s="211">
        <f t="shared" ref="J730:P730" si="94">SUM(J731+J740+J749+J758+J766+J775+J782)</f>
        <v>0</v>
      </c>
      <c r="K730" s="211">
        <f t="shared" si="94"/>
        <v>0</v>
      </c>
      <c r="L730" s="211">
        <f t="shared" si="94"/>
        <v>0</v>
      </c>
      <c r="M730" s="211">
        <f t="shared" si="94"/>
        <v>0</v>
      </c>
      <c r="N730" s="211">
        <f t="shared" si="94"/>
        <v>0</v>
      </c>
      <c r="O730" s="211">
        <f t="shared" si="94"/>
        <v>0</v>
      </c>
      <c r="P730" s="211">
        <f t="shared" si="94"/>
        <v>0</v>
      </c>
      <c r="Q730" s="212"/>
    </row>
    <row r="731" spans="1:17" s="213" customFormat="1" hidden="1" x14ac:dyDescent="0.25">
      <c r="A731" s="208" t="s">
        <v>263</v>
      </c>
      <c r="B731" s="209" t="s">
        <v>1822</v>
      </c>
      <c r="C731" s="209" t="s">
        <v>1823</v>
      </c>
      <c r="D731" s="209" t="s">
        <v>1928</v>
      </c>
      <c r="E731" s="209" t="s">
        <v>1836</v>
      </c>
      <c r="F731" s="209" t="s">
        <v>1825</v>
      </c>
      <c r="G731" s="209"/>
      <c r="H731" s="210" t="s">
        <v>2564</v>
      </c>
      <c r="I731" s="211">
        <f>SUM(I732:I739)</f>
        <v>0</v>
      </c>
      <c r="J731" s="211">
        <f t="shared" ref="J731:P731" si="95">SUM(J732:J739)</f>
        <v>0</v>
      </c>
      <c r="K731" s="211">
        <f t="shared" si="95"/>
        <v>0</v>
      </c>
      <c r="L731" s="211">
        <f t="shared" si="95"/>
        <v>0</v>
      </c>
      <c r="M731" s="211">
        <f t="shared" si="95"/>
        <v>0</v>
      </c>
      <c r="N731" s="211">
        <f t="shared" si="95"/>
        <v>0</v>
      </c>
      <c r="O731" s="211">
        <f t="shared" si="95"/>
        <v>0</v>
      </c>
      <c r="P731" s="211">
        <f t="shared" si="95"/>
        <v>0</v>
      </c>
      <c r="Q731" s="212"/>
    </row>
    <row r="732" spans="1:17" s="219" customFormat="1" hidden="1" x14ac:dyDescent="0.25">
      <c r="A732" s="214"/>
      <c r="B732" s="215" t="s">
        <v>1822</v>
      </c>
      <c r="C732" s="215" t="s">
        <v>1823</v>
      </c>
      <c r="D732" s="215" t="s">
        <v>1928</v>
      </c>
      <c r="E732" s="215" t="s">
        <v>1836</v>
      </c>
      <c r="F732" s="215" t="s">
        <v>1825</v>
      </c>
      <c r="G732" s="215" t="s">
        <v>58</v>
      </c>
      <c r="H732" s="216" t="s">
        <v>2565</v>
      </c>
      <c r="I732" s="217"/>
      <c r="J732" s="217"/>
      <c r="K732" s="217"/>
      <c r="L732" s="217"/>
      <c r="M732" s="217"/>
      <c r="N732" s="217"/>
      <c r="O732" s="217"/>
      <c r="P732" s="217"/>
      <c r="Q732" s="218"/>
    </row>
    <row r="733" spans="1:17" s="219" customFormat="1" hidden="1" x14ac:dyDescent="0.25">
      <c r="A733" s="214"/>
      <c r="B733" s="215" t="s">
        <v>1822</v>
      </c>
      <c r="C733" s="215" t="s">
        <v>1823</v>
      </c>
      <c r="D733" s="215" t="s">
        <v>1928</v>
      </c>
      <c r="E733" s="215" t="s">
        <v>1836</v>
      </c>
      <c r="F733" s="215" t="s">
        <v>1825</v>
      </c>
      <c r="G733" s="215" t="s">
        <v>75</v>
      </c>
      <c r="H733" s="216" t="s">
        <v>2566</v>
      </c>
      <c r="I733" s="217"/>
      <c r="J733" s="217"/>
      <c r="K733" s="217"/>
      <c r="L733" s="217"/>
      <c r="M733" s="217"/>
      <c r="N733" s="217"/>
      <c r="O733" s="217"/>
      <c r="P733" s="217"/>
      <c r="Q733" s="218"/>
    </row>
    <row r="734" spans="1:17" s="219" customFormat="1" hidden="1" x14ac:dyDescent="0.25">
      <c r="A734" s="214"/>
      <c r="B734" s="215" t="s">
        <v>1822</v>
      </c>
      <c r="C734" s="215" t="s">
        <v>1823</v>
      </c>
      <c r="D734" s="215" t="s">
        <v>1928</v>
      </c>
      <c r="E734" s="215" t="s">
        <v>1836</v>
      </c>
      <c r="F734" s="215" t="s">
        <v>1825</v>
      </c>
      <c r="G734" s="215" t="s">
        <v>79</v>
      </c>
      <c r="H734" s="216" t="s">
        <v>2567</v>
      </c>
      <c r="I734" s="217"/>
      <c r="J734" s="217"/>
      <c r="K734" s="217"/>
      <c r="L734" s="217"/>
      <c r="M734" s="217"/>
      <c r="N734" s="217"/>
      <c r="O734" s="217"/>
      <c r="P734" s="217"/>
      <c r="Q734" s="218"/>
    </row>
    <row r="735" spans="1:17" s="219" customFormat="1" hidden="1" x14ac:dyDescent="0.25">
      <c r="A735" s="214"/>
      <c r="B735" s="215" t="s">
        <v>1822</v>
      </c>
      <c r="C735" s="215" t="s">
        <v>1823</v>
      </c>
      <c r="D735" s="215" t="s">
        <v>1928</v>
      </c>
      <c r="E735" s="215" t="s">
        <v>1836</v>
      </c>
      <c r="F735" s="215" t="s">
        <v>1825</v>
      </c>
      <c r="G735" s="215" t="s">
        <v>84</v>
      </c>
      <c r="H735" s="216" t="s">
        <v>2568</v>
      </c>
      <c r="I735" s="217"/>
      <c r="J735" s="217"/>
      <c r="K735" s="217"/>
      <c r="L735" s="217"/>
      <c r="M735" s="217"/>
      <c r="N735" s="217"/>
      <c r="O735" s="217"/>
      <c r="P735" s="217"/>
      <c r="Q735" s="218"/>
    </row>
    <row r="736" spans="1:17" s="219" customFormat="1" hidden="1" x14ac:dyDescent="0.25">
      <c r="A736" s="214"/>
      <c r="B736" s="215" t="s">
        <v>1822</v>
      </c>
      <c r="C736" s="215" t="s">
        <v>1823</v>
      </c>
      <c r="D736" s="215" t="s">
        <v>1928</v>
      </c>
      <c r="E736" s="215" t="s">
        <v>1836</v>
      </c>
      <c r="F736" s="215" t="s">
        <v>1825</v>
      </c>
      <c r="G736" s="215" t="s">
        <v>88</v>
      </c>
      <c r="H736" s="216" t="s">
        <v>2569</v>
      </c>
      <c r="I736" s="217"/>
      <c r="J736" s="217"/>
      <c r="K736" s="217"/>
      <c r="L736" s="217"/>
      <c r="M736" s="217"/>
      <c r="N736" s="217"/>
      <c r="O736" s="217"/>
      <c r="P736" s="217"/>
      <c r="Q736" s="218"/>
    </row>
    <row r="737" spans="1:17" s="219" customFormat="1" hidden="1" x14ac:dyDescent="0.25">
      <c r="A737" s="214"/>
      <c r="B737" s="215" t="s">
        <v>1822</v>
      </c>
      <c r="C737" s="215" t="s">
        <v>1823</v>
      </c>
      <c r="D737" s="215" t="s">
        <v>1928</v>
      </c>
      <c r="E737" s="215" t="s">
        <v>1836</v>
      </c>
      <c r="F737" s="215" t="s">
        <v>1825</v>
      </c>
      <c r="G737" s="215" t="s">
        <v>92</v>
      </c>
      <c r="H737" s="216" t="s">
        <v>2570</v>
      </c>
      <c r="I737" s="217"/>
      <c r="J737" s="217"/>
      <c r="K737" s="217"/>
      <c r="L737" s="217"/>
      <c r="M737" s="217"/>
      <c r="N737" s="217"/>
      <c r="O737" s="217"/>
      <c r="P737" s="217"/>
      <c r="Q737" s="218"/>
    </row>
    <row r="738" spans="1:17" s="219" customFormat="1" hidden="1" x14ac:dyDescent="0.25">
      <c r="A738" s="214"/>
      <c r="B738" s="215" t="s">
        <v>1822</v>
      </c>
      <c r="C738" s="215" t="s">
        <v>1823</v>
      </c>
      <c r="D738" s="215" t="s">
        <v>1928</v>
      </c>
      <c r="E738" s="215" t="s">
        <v>1836</v>
      </c>
      <c r="F738" s="215" t="s">
        <v>1825</v>
      </c>
      <c r="G738" s="215" t="s">
        <v>96</v>
      </c>
      <c r="H738" s="216" t="s">
        <v>2571</v>
      </c>
      <c r="I738" s="217"/>
      <c r="J738" s="217"/>
      <c r="K738" s="217"/>
      <c r="L738" s="217"/>
      <c r="M738" s="217"/>
      <c r="N738" s="217"/>
      <c r="O738" s="217"/>
      <c r="P738" s="217"/>
      <c r="Q738" s="218"/>
    </row>
    <row r="739" spans="1:17" s="219" customFormat="1" hidden="1" x14ac:dyDescent="0.25">
      <c r="A739" s="214"/>
      <c r="B739" s="215" t="s">
        <v>1822</v>
      </c>
      <c r="C739" s="215" t="s">
        <v>1823</v>
      </c>
      <c r="D739" s="215" t="s">
        <v>1928</v>
      </c>
      <c r="E739" s="215" t="s">
        <v>1836</v>
      </c>
      <c r="F739" s="215" t="s">
        <v>1825</v>
      </c>
      <c r="G739" s="215" t="s">
        <v>100</v>
      </c>
      <c r="H739" s="216" t="s">
        <v>2572</v>
      </c>
      <c r="I739" s="217"/>
      <c r="J739" s="217"/>
      <c r="K739" s="217"/>
      <c r="L739" s="217"/>
      <c r="M739" s="217"/>
      <c r="N739" s="217"/>
      <c r="O739" s="217"/>
      <c r="P739" s="217"/>
      <c r="Q739" s="218"/>
    </row>
    <row r="740" spans="1:17" s="213" customFormat="1" hidden="1" x14ac:dyDescent="0.25">
      <c r="A740" s="208" t="s">
        <v>263</v>
      </c>
      <c r="B740" s="209" t="s">
        <v>1822</v>
      </c>
      <c r="C740" s="209" t="s">
        <v>1823</v>
      </c>
      <c r="D740" s="209" t="s">
        <v>1928</v>
      </c>
      <c r="E740" s="209" t="s">
        <v>1836</v>
      </c>
      <c r="F740" s="209" t="s">
        <v>1836</v>
      </c>
      <c r="G740" s="209"/>
      <c r="H740" s="210" t="s">
        <v>2573</v>
      </c>
      <c r="I740" s="211">
        <f>SUM(I741:I748)</f>
        <v>0</v>
      </c>
      <c r="J740" s="211">
        <f t="shared" ref="J740:P740" si="96">SUM(J741:J748)</f>
        <v>0</v>
      </c>
      <c r="K740" s="211">
        <f t="shared" si="96"/>
        <v>0</v>
      </c>
      <c r="L740" s="211">
        <f t="shared" si="96"/>
        <v>0</v>
      </c>
      <c r="M740" s="211">
        <f t="shared" si="96"/>
        <v>0</v>
      </c>
      <c r="N740" s="211">
        <f t="shared" si="96"/>
        <v>0</v>
      </c>
      <c r="O740" s="211">
        <f t="shared" si="96"/>
        <v>0</v>
      </c>
      <c r="P740" s="211">
        <f t="shared" si="96"/>
        <v>0</v>
      </c>
      <c r="Q740" s="212"/>
    </row>
    <row r="741" spans="1:17" s="219" customFormat="1" hidden="1" x14ac:dyDescent="0.25">
      <c r="A741" s="214"/>
      <c r="B741" s="215" t="s">
        <v>1822</v>
      </c>
      <c r="C741" s="215" t="s">
        <v>1823</v>
      </c>
      <c r="D741" s="215" t="s">
        <v>1928</v>
      </c>
      <c r="E741" s="215" t="s">
        <v>1836</v>
      </c>
      <c r="F741" s="215" t="s">
        <v>1836</v>
      </c>
      <c r="G741" s="215" t="s">
        <v>58</v>
      </c>
      <c r="H741" s="216" t="s">
        <v>2574</v>
      </c>
      <c r="I741" s="217"/>
      <c r="J741" s="217"/>
      <c r="K741" s="217"/>
      <c r="L741" s="217"/>
      <c r="M741" s="217"/>
      <c r="N741" s="217"/>
      <c r="O741" s="217"/>
      <c r="P741" s="217"/>
      <c r="Q741" s="218"/>
    </row>
    <row r="742" spans="1:17" s="219" customFormat="1" hidden="1" x14ac:dyDescent="0.25">
      <c r="A742" s="214"/>
      <c r="B742" s="215" t="s">
        <v>1822</v>
      </c>
      <c r="C742" s="215" t="s">
        <v>1823</v>
      </c>
      <c r="D742" s="215" t="s">
        <v>1928</v>
      </c>
      <c r="E742" s="215" t="s">
        <v>1836</v>
      </c>
      <c r="F742" s="215" t="s">
        <v>1836</v>
      </c>
      <c r="G742" s="215" t="s">
        <v>75</v>
      </c>
      <c r="H742" s="216" t="s">
        <v>2575</v>
      </c>
      <c r="I742" s="217"/>
      <c r="J742" s="217"/>
      <c r="K742" s="217"/>
      <c r="L742" s="217"/>
      <c r="M742" s="217"/>
      <c r="N742" s="217"/>
      <c r="O742" s="217"/>
      <c r="P742" s="217"/>
      <c r="Q742" s="218"/>
    </row>
    <row r="743" spans="1:17" s="219" customFormat="1" hidden="1" x14ac:dyDescent="0.25">
      <c r="A743" s="214"/>
      <c r="B743" s="215" t="s">
        <v>1822</v>
      </c>
      <c r="C743" s="215" t="s">
        <v>1823</v>
      </c>
      <c r="D743" s="215" t="s">
        <v>1928</v>
      </c>
      <c r="E743" s="215" t="s">
        <v>1836</v>
      </c>
      <c r="F743" s="215" t="s">
        <v>1836</v>
      </c>
      <c r="G743" s="215" t="s">
        <v>79</v>
      </c>
      <c r="H743" s="216" t="s">
        <v>2576</v>
      </c>
      <c r="I743" s="217"/>
      <c r="J743" s="217"/>
      <c r="K743" s="217"/>
      <c r="L743" s="217"/>
      <c r="M743" s="217"/>
      <c r="N743" s="217"/>
      <c r="O743" s="217"/>
      <c r="P743" s="217"/>
      <c r="Q743" s="218"/>
    </row>
    <row r="744" spans="1:17" s="219" customFormat="1" hidden="1" x14ac:dyDescent="0.25">
      <c r="A744" s="214"/>
      <c r="B744" s="215" t="s">
        <v>1822</v>
      </c>
      <c r="C744" s="215" t="s">
        <v>1823</v>
      </c>
      <c r="D744" s="215" t="s">
        <v>1928</v>
      </c>
      <c r="E744" s="215" t="s">
        <v>1836</v>
      </c>
      <c r="F744" s="215" t="s">
        <v>1836</v>
      </c>
      <c r="G744" s="215" t="s">
        <v>84</v>
      </c>
      <c r="H744" s="216" t="s">
        <v>2577</v>
      </c>
      <c r="I744" s="217"/>
      <c r="J744" s="217"/>
      <c r="K744" s="217"/>
      <c r="L744" s="217"/>
      <c r="M744" s="217"/>
      <c r="N744" s="217"/>
      <c r="O744" s="217"/>
      <c r="P744" s="217"/>
      <c r="Q744" s="218"/>
    </row>
    <row r="745" spans="1:17" s="219" customFormat="1" hidden="1" x14ac:dyDescent="0.25">
      <c r="A745" s="214"/>
      <c r="B745" s="215" t="s">
        <v>1822</v>
      </c>
      <c r="C745" s="215" t="s">
        <v>1823</v>
      </c>
      <c r="D745" s="215" t="s">
        <v>1928</v>
      </c>
      <c r="E745" s="215" t="s">
        <v>1836</v>
      </c>
      <c r="F745" s="215" t="s">
        <v>1836</v>
      </c>
      <c r="G745" s="215" t="s">
        <v>88</v>
      </c>
      <c r="H745" s="216" t="s">
        <v>2578</v>
      </c>
      <c r="I745" s="217"/>
      <c r="J745" s="217"/>
      <c r="K745" s="217"/>
      <c r="L745" s="217"/>
      <c r="M745" s="217"/>
      <c r="N745" s="217"/>
      <c r="O745" s="217"/>
      <c r="P745" s="217"/>
      <c r="Q745" s="218"/>
    </row>
    <row r="746" spans="1:17" s="219" customFormat="1" hidden="1" x14ac:dyDescent="0.25">
      <c r="A746" s="214"/>
      <c r="B746" s="215" t="s">
        <v>1822</v>
      </c>
      <c r="C746" s="215" t="s">
        <v>1823</v>
      </c>
      <c r="D746" s="215" t="s">
        <v>1928</v>
      </c>
      <c r="E746" s="215" t="s">
        <v>1836</v>
      </c>
      <c r="F746" s="215" t="s">
        <v>1836</v>
      </c>
      <c r="G746" s="215" t="s">
        <v>92</v>
      </c>
      <c r="H746" s="216" t="s">
        <v>2579</v>
      </c>
      <c r="I746" s="217"/>
      <c r="J746" s="217"/>
      <c r="K746" s="217"/>
      <c r="L746" s="217"/>
      <c r="M746" s="217"/>
      <c r="N746" s="217"/>
      <c r="O746" s="217"/>
      <c r="P746" s="217"/>
      <c r="Q746" s="218"/>
    </row>
    <row r="747" spans="1:17" s="219" customFormat="1" hidden="1" x14ac:dyDescent="0.25">
      <c r="A747" s="214"/>
      <c r="B747" s="215" t="s">
        <v>1822</v>
      </c>
      <c r="C747" s="215" t="s">
        <v>1823</v>
      </c>
      <c r="D747" s="215" t="s">
        <v>1928</v>
      </c>
      <c r="E747" s="215" t="s">
        <v>1836</v>
      </c>
      <c r="F747" s="215" t="s">
        <v>1836</v>
      </c>
      <c r="G747" s="215" t="s">
        <v>96</v>
      </c>
      <c r="H747" s="216" t="s">
        <v>2580</v>
      </c>
      <c r="I747" s="217"/>
      <c r="J747" s="217"/>
      <c r="K747" s="217"/>
      <c r="L747" s="217"/>
      <c r="M747" s="217"/>
      <c r="N747" s="217"/>
      <c r="O747" s="217"/>
      <c r="P747" s="217"/>
      <c r="Q747" s="218"/>
    </row>
    <row r="748" spans="1:17" s="219" customFormat="1" ht="30" hidden="1" x14ac:dyDescent="0.25">
      <c r="A748" s="214"/>
      <c r="B748" s="215" t="s">
        <v>1822</v>
      </c>
      <c r="C748" s="215" t="s">
        <v>1823</v>
      </c>
      <c r="D748" s="215" t="s">
        <v>1928</v>
      </c>
      <c r="E748" s="215" t="s">
        <v>1836</v>
      </c>
      <c r="F748" s="215" t="s">
        <v>1836</v>
      </c>
      <c r="G748" s="215" t="s">
        <v>100</v>
      </c>
      <c r="H748" s="216" t="s">
        <v>2581</v>
      </c>
      <c r="I748" s="217"/>
      <c r="J748" s="217"/>
      <c r="K748" s="217"/>
      <c r="L748" s="217"/>
      <c r="M748" s="217"/>
      <c r="N748" s="217"/>
      <c r="O748" s="217"/>
      <c r="P748" s="217"/>
      <c r="Q748" s="218"/>
    </row>
    <row r="749" spans="1:17" s="213" customFormat="1" ht="30" hidden="1" x14ac:dyDescent="0.25">
      <c r="A749" s="208" t="s">
        <v>263</v>
      </c>
      <c r="B749" s="209" t="s">
        <v>1822</v>
      </c>
      <c r="C749" s="209" t="s">
        <v>1823</v>
      </c>
      <c r="D749" s="209" t="s">
        <v>1928</v>
      </c>
      <c r="E749" s="209" t="s">
        <v>1836</v>
      </c>
      <c r="F749" s="209" t="s">
        <v>1847</v>
      </c>
      <c r="G749" s="209"/>
      <c r="H749" s="210" t="s">
        <v>2582</v>
      </c>
      <c r="I749" s="211">
        <f>SUM(I750:I757)</f>
        <v>0</v>
      </c>
      <c r="J749" s="211">
        <f t="shared" ref="J749:P749" si="97">SUM(J750:J757)</f>
        <v>0</v>
      </c>
      <c r="K749" s="211">
        <f t="shared" si="97"/>
        <v>0</v>
      </c>
      <c r="L749" s="211">
        <f t="shared" si="97"/>
        <v>0</v>
      </c>
      <c r="M749" s="211">
        <f t="shared" si="97"/>
        <v>0</v>
      </c>
      <c r="N749" s="211">
        <f t="shared" si="97"/>
        <v>0</v>
      </c>
      <c r="O749" s="211">
        <f t="shared" si="97"/>
        <v>0</v>
      </c>
      <c r="P749" s="211">
        <f t="shared" si="97"/>
        <v>0</v>
      </c>
      <c r="Q749" s="212"/>
    </row>
    <row r="750" spans="1:17" s="219" customFormat="1" ht="30" hidden="1" x14ac:dyDescent="0.25">
      <c r="A750" s="214"/>
      <c r="B750" s="215" t="s">
        <v>1822</v>
      </c>
      <c r="C750" s="215" t="s">
        <v>1823</v>
      </c>
      <c r="D750" s="215" t="s">
        <v>1928</v>
      </c>
      <c r="E750" s="215" t="s">
        <v>1836</v>
      </c>
      <c r="F750" s="215" t="s">
        <v>1847</v>
      </c>
      <c r="G750" s="215" t="s">
        <v>58</v>
      </c>
      <c r="H750" s="216" t="s">
        <v>2583</v>
      </c>
      <c r="I750" s="217"/>
      <c r="J750" s="217"/>
      <c r="K750" s="217"/>
      <c r="L750" s="217"/>
      <c r="M750" s="217"/>
      <c r="N750" s="217"/>
      <c r="O750" s="217"/>
      <c r="P750" s="217"/>
      <c r="Q750" s="218"/>
    </row>
    <row r="751" spans="1:17" s="219" customFormat="1" ht="30" hidden="1" x14ac:dyDescent="0.25">
      <c r="A751" s="214"/>
      <c r="B751" s="215" t="s">
        <v>1822</v>
      </c>
      <c r="C751" s="215" t="s">
        <v>1823</v>
      </c>
      <c r="D751" s="215" t="s">
        <v>1928</v>
      </c>
      <c r="E751" s="215" t="s">
        <v>1836</v>
      </c>
      <c r="F751" s="215" t="s">
        <v>1847</v>
      </c>
      <c r="G751" s="215" t="s">
        <v>75</v>
      </c>
      <c r="H751" s="216" t="s">
        <v>2584</v>
      </c>
      <c r="I751" s="217"/>
      <c r="J751" s="217"/>
      <c r="K751" s="217"/>
      <c r="L751" s="217"/>
      <c r="M751" s="217"/>
      <c r="N751" s="217"/>
      <c r="O751" s="217"/>
      <c r="P751" s="217"/>
      <c r="Q751" s="218"/>
    </row>
    <row r="752" spans="1:17" s="219" customFormat="1" ht="30" hidden="1" x14ac:dyDescent="0.25">
      <c r="A752" s="214"/>
      <c r="B752" s="215" t="s">
        <v>1822</v>
      </c>
      <c r="C752" s="215" t="s">
        <v>1823</v>
      </c>
      <c r="D752" s="215" t="s">
        <v>1928</v>
      </c>
      <c r="E752" s="215" t="s">
        <v>1836</v>
      </c>
      <c r="F752" s="215" t="s">
        <v>1847</v>
      </c>
      <c r="G752" s="215" t="s">
        <v>79</v>
      </c>
      <c r="H752" s="216" t="s">
        <v>2585</v>
      </c>
      <c r="I752" s="217"/>
      <c r="J752" s="217"/>
      <c r="K752" s="217"/>
      <c r="L752" s="217"/>
      <c r="M752" s="217"/>
      <c r="N752" s="217"/>
      <c r="O752" s="217"/>
      <c r="P752" s="217"/>
      <c r="Q752" s="218"/>
    </row>
    <row r="753" spans="1:17" s="219" customFormat="1" ht="30" hidden="1" x14ac:dyDescent="0.25">
      <c r="A753" s="214"/>
      <c r="B753" s="215" t="s">
        <v>1822</v>
      </c>
      <c r="C753" s="215" t="s">
        <v>1823</v>
      </c>
      <c r="D753" s="215" t="s">
        <v>1928</v>
      </c>
      <c r="E753" s="215" t="s">
        <v>1836</v>
      </c>
      <c r="F753" s="215" t="s">
        <v>1847</v>
      </c>
      <c r="G753" s="215" t="s">
        <v>84</v>
      </c>
      <c r="H753" s="216" t="s">
        <v>2586</v>
      </c>
      <c r="I753" s="217"/>
      <c r="J753" s="217"/>
      <c r="K753" s="217"/>
      <c r="L753" s="217"/>
      <c r="M753" s="217"/>
      <c r="N753" s="217"/>
      <c r="O753" s="217"/>
      <c r="P753" s="217"/>
      <c r="Q753" s="218"/>
    </row>
    <row r="754" spans="1:17" s="219" customFormat="1" ht="30" hidden="1" x14ac:dyDescent="0.25">
      <c r="A754" s="214"/>
      <c r="B754" s="215" t="s">
        <v>1822</v>
      </c>
      <c r="C754" s="215" t="s">
        <v>1823</v>
      </c>
      <c r="D754" s="215" t="s">
        <v>1928</v>
      </c>
      <c r="E754" s="215" t="s">
        <v>1836</v>
      </c>
      <c r="F754" s="215" t="s">
        <v>1847</v>
      </c>
      <c r="G754" s="215" t="s">
        <v>88</v>
      </c>
      <c r="H754" s="216" t="s">
        <v>2587</v>
      </c>
      <c r="I754" s="217"/>
      <c r="J754" s="217"/>
      <c r="K754" s="217"/>
      <c r="L754" s="217"/>
      <c r="M754" s="217"/>
      <c r="N754" s="217"/>
      <c r="O754" s="217"/>
      <c r="P754" s="217"/>
      <c r="Q754" s="218"/>
    </row>
    <row r="755" spans="1:17" s="219" customFormat="1" ht="30" hidden="1" x14ac:dyDescent="0.25">
      <c r="A755" s="214"/>
      <c r="B755" s="215" t="s">
        <v>1822</v>
      </c>
      <c r="C755" s="215" t="s">
        <v>1823</v>
      </c>
      <c r="D755" s="215" t="s">
        <v>1928</v>
      </c>
      <c r="E755" s="215" t="s">
        <v>1836</v>
      </c>
      <c r="F755" s="215" t="s">
        <v>1847</v>
      </c>
      <c r="G755" s="215" t="s">
        <v>92</v>
      </c>
      <c r="H755" s="216" t="s">
        <v>2588</v>
      </c>
      <c r="I755" s="217"/>
      <c r="J755" s="217"/>
      <c r="K755" s="217"/>
      <c r="L755" s="217"/>
      <c r="M755" s="217"/>
      <c r="N755" s="217"/>
      <c r="O755" s="217"/>
      <c r="P755" s="217"/>
      <c r="Q755" s="218"/>
    </row>
    <row r="756" spans="1:17" s="219" customFormat="1" ht="30" hidden="1" x14ac:dyDescent="0.25">
      <c r="A756" s="214"/>
      <c r="B756" s="215" t="s">
        <v>1822</v>
      </c>
      <c r="C756" s="215" t="s">
        <v>1823</v>
      </c>
      <c r="D756" s="215" t="s">
        <v>1928</v>
      </c>
      <c r="E756" s="215" t="s">
        <v>1836</v>
      </c>
      <c r="F756" s="215" t="s">
        <v>1847</v>
      </c>
      <c r="G756" s="215" t="s">
        <v>96</v>
      </c>
      <c r="H756" s="216" t="s">
        <v>2589</v>
      </c>
      <c r="I756" s="217"/>
      <c r="J756" s="217"/>
      <c r="K756" s="217"/>
      <c r="L756" s="217"/>
      <c r="M756" s="217"/>
      <c r="N756" s="217"/>
      <c r="O756" s="217"/>
      <c r="P756" s="217"/>
      <c r="Q756" s="218"/>
    </row>
    <row r="757" spans="1:17" s="219" customFormat="1" ht="30" hidden="1" x14ac:dyDescent="0.25">
      <c r="A757" s="214"/>
      <c r="B757" s="215" t="s">
        <v>1822</v>
      </c>
      <c r="C757" s="215" t="s">
        <v>1823</v>
      </c>
      <c r="D757" s="215" t="s">
        <v>1928</v>
      </c>
      <c r="E757" s="215" t="s">
        <v>1836</v>
      </c>
      <c r="F757" s="215" t="s">
        <v>1847</v>
      </c>
      <c r="G757" s="215" t="s">
        <v>100</v>
      </c>
      <c r="H757" s="216" t="s">
        <v>2590</v>
      </c>
      <c r="I757" s="217"/>
      <c r="J757" s="217"/>
      <c r="K757" s="217"/>
      <c r="L757" s="217"/>
      <c r="M757" s="217"/>
      <c r="N757" s="217"/>
      <c r="O757" s="217"/>
      <c r="P757" s="217"/>
      <c r="Q757" s="218"/>
    </row>
    <row r="758" spans="1:17" s="213" customFormat="1" ht="30" hidden="1" x14ac:dyDescent="0.25">
      <c r="A758" s="208" t="s">
        <v>263</v>
      </c>
      <c r="B758" s="209" t="s">
        <v>1822</v>
      </c>
      <c r="C758" s="209" t="s">
        <v>1823</v>
      </c>
      <c r="D758" s="209" t="s">
        <v>1928</v>
      </c>
      <c r="E758" s="209" t="s">
        <v>1836</v>
      </c>
      <c r="F758" s="209" t="s">
        <v>1928</v>
      </c>
      <c r="G758" s="209"/>
      <c r="H758" s="210" t="s">
        <v>2591</v>
      </c>
      <c r="I758" s="211">
        <f>SUM(I759:I765)</f>
        <v>0</v>
      </c>
      <c r="J758" s="211">
        <f t="shared" ref="J758:P758" si="98">SUM(J759:J765)</f>
        <v>0</v>
      </c>
      <c r="K758" s="211">
        <f t="shared" si="98"/>
        <v>0</v>
      </c>
      <c r="L758" s="211">
        <f t="shared" si="98"/>
        <v>0</v>
      </c>
      <c r="M758" s="211">
        <f t="shared" si="98"/>
        <v>0</v>
      </c>
      <c r="N758" s="211">
        <f t="shared" si="98"/>
        <v>0</v>
      </c>
      <c r="O758" s="211">
        <f t="shared" si="98"/>
        <v>0</v>
      </c>
      <c r="P758" s="211">
        <f t="shared" si="98"/>
        <v>0</v>
      </c>
      <c r="Q758" s="212"/>
    </row>
    <row r="759" spans="1:17" s="219" customFormat="1" ht="30" hidden="1" x14ac:dyDescent="0.25">
      <c r="A759" s="214"/>
      <c r="B759" s="215" t="s">
        <v>1822</v>
      </c>
      <c r="C759" s="215" t="s">
        <v>1823</v>
      </c>
      <c r="D759" s="215" t="s">
        <v>1928</v>
      </c>
      <c r="E759" s="215" t="s">
        <v>1836</v>
      </c>
      <c r="F759" s="215" t="s">
        <v>1928</v>
      </c>
      <c r="G759" s="215" t="s">
        <v>58</v>
      </c>
      <c r="H759" s="216" t="s">
        <v>2591</v>
      </c>
      <c r="I759" s="217"/>
      <c r="J759" s="217"/>
      <c r="K759" s="217"/>
      <c r="L759" s="217"/>
      <c r="M759" s="217"/>
      <c r="N759" s="217"/>
      <c r="O759" s="217"/>
      <c r="P759" s="217"/>
      <c r="Q759" s="218"/>
    </row>
    <row r="760" spans="1:17" s="219" customFormat="1" ht="30" hidden="1" x14ac:dyDescent="0.25">
      <c r="A760" s="214"/>
      <c r="B760" s="215" t="s">
        <v>1822</v>
      </c>
      <c r="C760" s="215" t="s">
        <v>1823</v>
      </c>
      <c r="D760" s="215" t="s">
        <v>1928</v>
      </c>
      <c r="E760" s="215" t="s">
        <v>1836</v>
      </c>
      <c r="F760" s="215" t="s">
        <v>1928</v>
      </c>
      <c r="G760" s="215" t="s">
        <v>75</v>
      </c>
      <c r="H760" s="216" t="s">
        <v>2592</v>
      </c>
      <c r="I760" s="217"/>
      <c r="J760" s="217"/>
      <c r="K760" s="217"/>
      <c r="L760" s="217"/>
      <c r="M760" s="217"/>
      <c r="N760" s="217"/>
      <c r="O760" s="217"/>
      <c r="P760" s="217"/>
      <c r="Q760" s="218"/>
    </row>
    <row r="761" spans="1:17" s="219" customFormat="1" ht="30" hidden="1" x14ac:dyDescent="0.25">
      <c r="A761" s="214"/>
      <c r="B761" s="215" t="s">
        <v>1822</v>
      </c>
      <c r="C761" s="215" t="s">
        <v>1823</v>
      </c>
      <c r="D761" s="215" t="s">
        <v>1928</v>
      </c>
      <c r="E761" s="215" t="s">
        <v>1836</v>
      </c>
      <c r="F761" s="215" t="s">
        <v>1928</v>
      </c>
      <c r="G761" s="215" t="s">
        <v>79</v>
      </c>
      <c r="H761" s="216" t="s">
        <v>2593</v>
      </c>
      <c r="I761" s="217"/>
      <c r="J761" s="217"/>
      <c r="K761" s="217"/>
      <c r="L761" s="217"/>
      <c r="M761" s="217"/>
      <c r="N761" s="217"/>
      <c r="O761" s="217"/>
      <c r="P761" s="217"/>
      <c r="Q761" s="218"/>
    </row>
    <row r="762" spans="1:17" s="219" customFormat="1" ht="30" hidden="1" x14ac:dyDescent="0.25">
      <c r="A762" s="214"/>
      <c r="B762" s="215" t="s">
        <v>1822</v>
      </c>
      <c r="C762" s="215" t="s">
        <v>1823</v>
      </c>
      <c r="D762" s="215" t="s">
        <v>1928</v>
      </c>
      <c r="E762" s="215" t="s">
        <v>1836</v>
      </c>
      <c r="F762" s="215" t="s">
        <v>1928</v>
      </c>
      <c r="G762" s="215" t="s">
        <v>84</v>
      </c>
      <c r="H762" s="216" t="s">
        <v>2594</v>
      </c>
      <c r="I762" s="217"/>
      <c r="J762" s="217"/>
      <c r="K762" s="217"/>
      <c r="L762" s="217"/>
      <c r="M762" s="217"/>
      <c r="N762" s="217"/>
      <c r="O762" s="217"/>
      <c r="P762" s="217"/>
      <c r="Q762" s="218"/>
    </row>
    <row r="763" spans="1:17" s="219" customFormat="1" ht="30" hidden="1" x14ac:dyDescent="0.25">
      <c r="A763" s="214"/>
      <c r="B763" s="215" t="s">
        <v>1822</v>
      </c>
      <c r="C763" s="215" t="s">
        <v>1823</v>
      </c>
      <c r="D763" s="215" t="s">
        <v>1928</v>
      </c>
      <c r="E763" s="215" t="s">
        <v>1836</v>
      </c>
      <c r="F763" s="215" t="s">
        <v>1928</v>
      </c>
      <c r="G763" s="215" t="s">
        <v>88</v>
      </c>
      <c r="H763" s="216" t="s">
        <v>2595</v>
      </c>
      <c r="I763" s="217"/>
      <c r="J763" s="217"/>
      <c r="K763" s="217"/>
      <c r="L763" s="217"/>
      <c r="M763" s="217"/>
      <c r="N763" s="217"/>
      <c r="O763" s="217"/>
      <c r="P763" s="217"/>
      <c r="Q763" s="218"/>
    </row>
    <row r="764" spans="1:17" s="219" customFormat="1" ht="30" hidden="1" x14ac:dyDescent="0.25">
      <c r="A764" s="214"/>
      <c r="B764" s="215" t="s">
        <v>1822</v>
      </c>
      <c r="C764" s="215" t="s">
        <v>1823</v>
      </c>
      <c r="D764" s="215" t="s">
        <v>1928</v>
      </c>
      <c r="E764" s="215" t="s">
        <v>1836</v>
      </c>
      <c r="F764" s="215" t="s">
        <v>1928</v>
      </c>
      <c r="G764" s="215" t="s">
        <v>92</v>
      </c>
      <c r="H764" s="216" t="s">
        <v>2596</v>
      </c>
      <c r="I764" s="217"/>
      <c r="J764" s="217"/>
      <c r="K764" s="217"/>
      <c r="L764" s="217"/>
      <c r="M764" s="217"/>
      <c r="N764" s="217"/>
      <c r="O764" s="217"/>
      <c r="P764" s="217"/>
      <c r="Q764" s="218"/>
    </row>
    <row r="765" spans="1:17" s="219" customFormat="1" ht="45" hidden="1" x14ac:dyDescent="0.25">
      <c r="A765" s="214"/>
      <c r="B765" s="215" t="s">
        <v>1822</v>
      </c>
      <c r="C765" s="215" t="s">
        <v>1823</v>
      </c>
      <c r="D765" s="215" t="s">
        <v>1928</v>
      </c>
      <c r="E765" s="215" t="s">
        <v>1836</v>
      </c>
      <c r="F765" s="215" t="s">
        <v>1928</v>
      </c>
      <c r="G765" s="215" t="s">
        <v>96</v>
      </c>
      <c r="H765" s="216" t="s">
        <v>2597</v>
      </c>
      <c r="I765" s="217"/>
      <c r="J765" s="217"/>
      <c r="K765" s="217"/>
      <c r="L765" s="217"/>
      <c r="M765" s="217"/>
      <c r="N765" s="217"/>
      <c r="O765" s="217"/>
      <c r="P765" s="217"/>
      <c r="Q765" s="218"/>
    </row>
    <row r="766" spans="1:17" s="213" customFormat="1" ht="30" hidden="1" x14ac:dyDescent="0.25">
      <c r="A766" s="208" t="s">
        <v>263</v>
      </c>
      <c r="B766" s="209" t="s">
        <v>1822</v>
      </c>
      <c r="C766" s="209" t="s">
        <v>1823</v>
      </c>
      <c r="D766" s="209" t="s">
        <v>1928</v>
      </c>
      <c r="E766" s="209" t="s">
        <v>1836</v>
      </c>
      <c r="F766" s="209" t="s">
        <v>1934</v>
      </c>
      <c r="G766" s="209"/>
      <c r="H766" s="210" t="s">
        <v>2598</v>
      </c>
      <c r="I766" s="211">
        <f>SUM(I767:I774)</f>
        <v>0</v>
      </c>
      <c r="J766" s="211">
        <f t="shared" ref="J766:P766" si="99">SUM(J767:J774)</f>
        <v>0</v>
      </c>
      <c r="K766" s="211">
        <f t="shared" si="99"/>
        <v>0</v>
      </c>
      <c r="L766" s="211">
        <f t="shared" si="99"/>
        <v>0</v>
      </c>
      <c r="M766" s="211">
        <f t="shared" si="99"/>
        <v>0</v>
      </c>
      <c r="N766" s="211">
        <f t="shared" si="99"/>
        <v>0</v>
      </c>
      <c r="O766" s="211">
        <f t="shared" si="99"/>
        <v>0</v>
      </c>
      <c r="P766" s="211">
        <f t="shared" si="99"/>
        <v>0</v>
      </c>
      <c r="Q766" s="212"/>
    </row>
    <row r="767" spans="1:17" s="219" customFormat="1" ht="30" hidden="1" x14ac:dyDescent="0.25">
      <c r="A767" s="214"/>
      <c r="B767" s="215" t="s">
        <v>1822</v>
      </c>
      <c r="C767" s="215" t="s">
        <v>1823</v>
      </c>
      <c r="D767" s="215" t="s">
        <v>1928</v>
      </c>
      <c r="E767" s="215" t="s">
        <v>1836</v>
      </c>
      <c r="F767" s="215" t="s">
        <v>1934</v>
      </c>
      <c r="G767" s="215" t="s">
        <v>58</v>
      </c>
      <c r="H767" s="216" t="s">
        <v>2599</v>
      </c>
      <c r="I767" s="217"/>
      <c r="J767" s="217"/>
      <c r="K767" s="217"/>
      <c r="L767" s="217"/>
      <c r="M767" s="217"/>
      <c r="N767" s="217"/>
      <c r="O767" s="217"/>
      <c r="P767" s="217"/>
      <c r="Q767" s="218"/>
    </row>
    <row r="768" spans="1:17" s="219" customFormat="1" ht="30" hidden="1" x14ac:dyDescent="0.25">
      <c r="A768" s="214"/>
      <c r="B768" s="215" t="s">
        <v>1822</v>
      </c>
      <c r="C768" s="215" t="s">
        <v>1823</v>
      </c>
      <c r="D768" s="215" t="s">
        <v>1928</v>
      </c>
      <c r="E768" s="215" t="s">
        <v>1836</v>
      </c>
      <c r="F768" s="215" t="s">
        <v>1934</v>
      </c>
      <c r="G768" s="215" t="s">
        <v>75</v>
      </c>
      <c r="H768" s="216" t="s">
        <v>2600</v>
      </c>
      <c r="I768" s="217"/>
      <c r="J768" s="217"/>
      <c r="K768" s="217"/>
      <c r="L768" s="217"/>
      <c r="M768" s="217"/>
      <c r="N768" s="217"/>
      <c r="O768" s="217"/>
      <c r="P768" s="217"/>
      <c r="Q768" s="218"/>
    </row>
    <row r="769" spans="1:17" s="219" customFormat="1" ht="30" hidden="1" x14ac:dyDescent="0.25">
      <c r="A769" s="214"/>
      <c r="B769" s="215" t="s">
        <v>1822</v>
      </c>
      <c r="C769" s="215" t="s">
        <v>1823</v>
      </c>
      <c r="D769" s="215" t="s">
        <v>1928</v>
      </c>
      <c r="E769" s="215" t="s">
        <v>1836</v>
      </c>
      <c r="F769" s="215" t="s">
        <v>1934</v>
      </c>
      <c r="G769" s="215" t="s">
        <v>79</v>
      </c>
      <c r="H769" s="216" t="s">
        <v>2601</v>
      </c>
      <c r="I769" s="217"/>
      <c r="J769" s="217"/>
      <c r="K769" s="217"/>
      <c r="L769" s="217"/>
      <c r="M769" s="217"/>
      <c r="N769" s="217"/>
      <c r="O769" s="217"/>
      <c r="P769" s="217"/>
      <c r="Q769" s="218"/>
    </row>
    <row r="770" spans="1:17" s="219" customFormat="1" ht="30" hidden="1" x14ac:dyDescent="0.25">
      <c r="A770" s="214"/>
      <c r="B770" s="215" t="s">
        <v>1822</v>
      </c>
      <c r="C770" s="215" t="s">
        <v>1823</v>
      </c>
      <c r="D770" s="215" t="s">
        <v>1928</v>
      </c>
      <c r="E770" s="215" t="s">
        <v>1836</v>
      </c>
      <c r="F770" s="215" t="s">
        <v>1934</v>
      </c>
      <c r="G770" s="215" t="s">
        <v>84</v>
      </c>
      <c r="H770" s="216" t="s">
        <v>2602</v>
      </c>
      <c r="I770" s="217"/>
      <c r="J770" s="217"/>
      <c r="K770" s="217"/>
      <c r="L770" s="217"/>
      <c r="M770" s="217"/>
      <c r="N770" s="217"/>
      <c r="O770" s="217"/>
      <c r="P770" s="217"/>
      <c r="Q770" s="218"/>
    </row>
    <row r="771" spans="1:17" s="219" customFormat="1" ht="30" hidden="1" x14ac:dyDescent="0.25">
      <c r="A771" s="214"/>
      <c r="B771" s="215" t="s">
        <v>1822</v>
      </c>
      <c r="C771" s="215" t="s">
        <v>1823</v>
      </c>
      <c r="D771" s="215" t="s">
        <v>1928</v>
      </c>
      <c r="E771" s="215" t="s">
        <v>1836</v>
      </c>
      <c r="F771" s="215" t="s">
        <v>1934</v>
      </c>
      <c r="G771" s="215" t="s">
        <v>88</v>
      </c>
      <c r="H771" s="216" t="s">
        <v>2603</v>
      </c>
      <c r="I771" s="217"/>
      <c r="J771" s="217"/>
      <c r="K771" s="217"/>
      <c r="L771" s="217"/>
      <c r="M771" s="217"/>
      <c r="N771" s="217"/>
      <c r="O771" s="217"/>
      <c r="P771" s="217"/>
      <c r="Q771" s="218"/>
    </row>
    <row r="772" spans="1:17" s="219" customFormat="1" ht="30" hidden="1" x14ac:dyDescent="0.25">
      <c r="A772" s="214"/>
      <c r="B772" s="215" t="s">
        <v>1822</v>
      </c>
      <c r="C772" s="215" t="s">
        <v>1823</v>
      </c>
      <c r="D772" s="215" t="s">
        <v>1928</v>
      </c>
      <c r="E772" s="215" t="s">
        <v>1836</v>
      </c>
      <c r="F772" s="215" t="s">
        <v>1934</v>
      </c>
      <c r="G772" s="215" t="s">
        <v>92</v>
      </c>
      <c r="H772" s="216" t="s">
        <v>2604</v>
      </c>
      <c r="I772" s="217"/>
      <c r="J772" s="217"/>
      <c r="K772" s="217"/>
      <c r="L772" s="217"/>
      <c r="M772" s="217"/>
      <c r="N772" s="217"/>
      <c r="O772" s="217"/>
      <c r="P772" s="217"/>
      <c r="Q772" s="218"/>
    </row>
    <row r="773" spans="1:17" s="219" customFormat="1" hidden="1" x14ac:dyDescent="0.25">
      <c r="A773" s="214"/>
      <c r="B773" s="215" t="s">
        <v>1822</v>
      </c>
      <c r="C773" s="215" t="s">
        <v>1823</v>
      </c>
      <c r="D773" s="215" t="s">
        <v>1928</v>
      </c>
      <c r="E773" s="215" t="s">
        <v>1836</v>
      </c>
      <c r="F773" s="215" t="s">
        <v>1934</v>
      </c>
      <c r="G773" s="215" t="s">
        <v>96</v>
      </c>
      <c r="H773" s="216" t="s">
        <v>2605</v>
      </c>
      <c r="I773" s="217"/>
      <c r="J773" s="217"/>
      <c r="K773" s="217"/>
      <c r="L773" s="217"/>
      <c r="M773" s="217"/>
      <c r="N773" s="217"/>
      <c r="O773" s="217"/>
      <c r="P773" s="217"/>
      <c r="Q773" s="218"/>
    </row>
    <row r="774" spans="1:17" s="219" customFormat="1" ht="30" hidden="1" x14ac:dyDescent="0.25">
      <c r="A774" s="214"/>
      <c r="B774" s="215" t="s">
        <v>1822</v>
      </c>
      <c r="C774" s="215" t="s">
        <v>1823</v>
      </c>
      <c r="D774" s="215" t="s">
        <v>1928</v>
      </c>
      <c r="E774" s="215" t="s">
        <v>1836</v>
      </c>
      <c r="F774" s="215" t="s">
        <v>1934</v>
      </c>
      <c r="G774" s="215" t="s">
        <v>100</v>
      </c>
      <c r="H774" s="216" t="s">
        <v>2606</v>
      </c>
      <c r="I774" s="217"/>
      <c r="J774" s="217"/>
      <c r="K774" s="217"/>
      <c r="L774" s="217"/>
      <c r="M774" s="217"/>
      <c r="N774" s="217"/>
      <c r="O774" s="217"/>
      <c r="P774" s="217"/>
      <c r="Q774" s="218"/>
    </row>
    <row r="775" spans="1:17" s="213" customFormat="1" hidden="1" x14ac:dyDescent="0.25">
      <c r="A775" s="208" t="s">
        <v>263</v>
      </c>
      <c r="B775" s="209" t="s">
        <v>1822</v>
      </c>
      <c r="C775" s="209" t="s">
        <v>1823</v>
      </c>
      <c r="D775" s="209" t="s">
        <v>1928</v>
      </c>
      <c r="E775" s="209" t="s">
        <v>1836</v>
      </c>
      <c r="F775" s="209" t="s">
        <v>2022</v>
      </c>
      <c r="G775" s="209"/>
      <c r="H775" s="210" t="s">
        <v>2607</v>
      </c>
      <c r="I775" s="211">
        <f>SUM(I776:I781)</f>
        <v>0</v>
      </c>
      <c r="J775" s="211">
        <f t="shared" ref="J775:P775" si="100">SUM(J776:J781)</f>
        <v>0</v>
      </c>
      <c r="K775" s="211">
        <f t="shared" si="100"/>
        <v>0</v>
      </c>
      <c r="L775" s="211">
        <f t="shared" si="100"/>
        <v>0</v>
      </c>
      <c r="M775" s="211">
        <f t="shared" si="100"/>
        <v>0</v>
      </c>
      <c r="N775" s="211">
        <f t="shared" si="100"/>
        <v>0</v>
      </c>
      <c r="O775" s="211">
        <f t="shared" si="100"/>
        <v>0</v>
      </c>
      <c r="P775" s="211">
        <f t="shared" si="100"/>
        <v>0</v>
      </c>
      <c r="Q775" s="212"/>
    </row>
    <row r="776" spans="1:17" s="219" customFormat="1" ht="30" hidden="1" x14ac:dyDescent="0.25">
      <c r="A776" s="214"/>
      <c r="B776" s="215" t="s">
        <v>1822</v>
      </c>
      <c r="C776" s="215" t="s">
        <v>1823</v>
      </c>
      <c r="D776" s="215" t="s">
        <v>1928</v>
      </c>
      <c r="E776" s="215" t="s">
        <v>1836</v>
      </c>
      <c r="F776" s="215" t="s">
        <v>2022</v>
      </c>
      <c r="G776" s="215" t="s">
        <v>58</v>
      </c>
      <c r="H776" s="216" t="s">
        <v>2608</v>
      </c>
      <c r="I776" s="217"/>
      <c r="J776" s="217"/>
      <c r="K776" s="217"/>
      <c r="L776" s="217"/>
      <c r="M776" s="217"/>
      <c r="N776" s="217"/>
      <c r="O776" s="217"/>
      <c r="P776" s="217"/>
      <c r="Q776" s="218"/>
    </row>
    <row r="777" spans="1:17" s="219" customFormat="1" ht="30" hidden="1" x14ac:dyDescent="0.25">
      <c r="A777" s="214"/>
      <c r="B777" s="215" t="s">
        <v>1822</v>
      </c>
      <c r="C777" s="215" t="s">
        <v>1823</v>
      </c>
      <c r="D777" s="215" t="s">
        <v>1928</v>
      </c>
      <c r="E777" s="215" t="s">
        <v>1836</v>
      </c>
      <c r="F777" s="215" t="s">
        <v>2022</v>
      </c>
      <c r="G777" s="215" t="s">
        <v>75</v>
      </c>
      <c r="H777" s="216" t="s">
        <v>2609</v>
      </c>
      <c r="I777" s="217"/>
      <c r="J777" s="217"/>
      <c r="K777" s="217"/>
      <c r="L777" s="217"/>
      <c r="M777" s="217"/>
      <c r="N777" s="217"/>
      <c r="O777" s="217"/>
      <c r="P777" s="217"/>
      <c r="Q777" s="218"/>
    </row>
    <row r="778" spans="1:17" s="219" customFormat="1" ht="30" hidden="1" x14ac:dyDescent="0.25">
      <c r="A778" s="214"/>
      <c r="B778" s="215" t="s">
        <v>1822</v>
      </c>
      <c r="C778" s="215" t="s">
        <v>1823</v>
      </c>
      <c r="D778" s="215" t="s">
        <v>1928</v>
      </c>
      <c r="E778" s="215" t="s">
        <v>1836</v>
      </c>
      <c r="F778" s="215" t="s">
        <v>2022</v>
      </c>
      <c r="G778" s="215" t="s">
        <v>79</v>
      </c>
      <c r="H778" s="216" t="s">
        <v>2610</v>
      </c>
      <c r="I778" s="217"/>
      <c r="J778" s="217"/>
      <c r="K778" s="217"/>
      <c r="L778" s="217"/>
      <c r="M778" s="217"/>
      <c r="N778" s="217"/>
      <c r="O778" s="217"/>
      <c r="P778" s="217"/>
      <c r="Q778" s="218"/>
    </row>
    <row r="779" spans="1:17" s="219" customFormat="1" ht="30" hidden="1" x14ac:dyDescent="0.25">
      <c r="A779" s="214"/>
      <c r="B779" s="215" t="s">
        <v>1822</v>
      </c>
      <c r="C779" s="215" t="s">
        <v>1823</v>
      </c>
      <c r="D779" s="215" t="s">
        <v>1928</v>
      </c>
      <c r="E779" s="215" t="s">
        <v>1836</v>
      </c>
      <c r="F779" s="215" t="s">
        <v>2022</v>
      </c>
      <c r="G779" s="215" t="s">
        <v>84</v>
      </c>
      <c r="H779" s="216" t="s">
        <v>2611</v>
      </c>
      <c r="I779" s="217"/>
      <c r="J779" s="217"/>
      <c r="K779" s="217"/>
      <c r="L779" s="217"/>
      <c r="M779" s="217"/>
      <c r="N779" s="217"/>
      <c r="O779" s="217"/>
      <c r="P779" s="217"/>
      <c r="Q779" s="218"/>
    </row>
    <row r="780" spans="1:17" s="219" customFormat="1" ht="30" hidden="1" x14ac:dyDescent="0.25">
      <c r="A780" s="214"/>
      <c r="B780" s="215" t="s">
        <v>1822</v>
      </c>
      <c r="C780" s="215" t="s">
        <v>1823</v>
      </c>
      <c r="D780" s="215" t="s">
        <v>1928</v>
      </c>
      <c r="E780" s="215" t="s">
        <v>1836</v>
      </c>
      <c r="F780" s="215" t="s">
        <v>2022</v>
      </c>
      <c r="G780" s="215" t="s">
        <v>88</v>
      </c>
      <c r="H780" s="216" t="s">
        <v>2612</v>
      </c>
      <c r="I780" s="217"/>
      <c r="J780" s="217"/>
      <c r="K780" s="217"/>
      <c r="L780" s="217"/>
      <c r="M780" s="217"/>
      <c r="N780" s="217"/>
      <c r="O780" s="217"/>
      <c r="P780" s="217"/>
      <c r="Q780" s="218"/>
    </row>
    <row r="781" spans="1:17" s="219" customFormat="1" ht="30" hidden="1" x14ac:dyDescent="0.25">
      <c r="A781" s="214"/>
      <c r="B781" s="215" t="s">
        <v>1822</v>
      </c>
      <c r="C781" s="215" t="s">
        <v>1823</v>
      </c>
      <c r="D781" s="215" t="s">
        <v>1928</v>
      </c>
      <c r="E781" s="215" t="s">
        <v>1836</v>
      </c>
      <c r="F781" s="215" t="s">
        <v>2022</v>
      </c>
      <c r="G781" s="215" t="s">
        <v>92</v>
      </c>
      <c r="H781" s="216" t="s">
        <v>2613</v>
      </c>
      <c r="I781" s="217"/>
      <c r="J781" s="217"/>
      <c r="K781" s="217"/>
      <c r="L781" s="217"/>
      <c r="M781" s="217"/>
      <c r="N781" s="217"/>
      <c r="O781" s="217"/>
      <c r="P781" s="217"/>
      <c r="Q781" s="218"/>
    </row>
    <row r="782" spans="1:17" s="213" customFormat="1" hidden="1" x14ac:dyDescent="0.25">
      <c r="A782" s="208" t="s">
        <v>263</v>
      </c>
      <c r="B782" s="209" t="s">
        <v>1822</v>
      </c>
      <c r="C782" s="209" t="s">
        <v>1823</v>
      </c>
      <c r="D782" s="209" t="s">
        <v>1928</v>
      </c>
      <c r="E782" s="209" t="s">
        <v>1836</v>
      </c>
      <c r="F782" s="209" t="s">
        <v>2100</v>
      </c>
      <c r="G782" s="209"/>
      <c r="H782" s="210" t="s">
        <v>2614</v>
      </c>
      <c r="I782" s="211">
        <f>SUM(I783:I788)</f>
        <v>0</v>
      </c>
      <c r="J782" s="211">
        <f t="shared" ref="J782:P782" si="101">SUM(J783:J788)</f>
        <v>0</v>
      </c>
      <c r="K782" s="211">
        <f t="shared" si="101"/>
        <v>0</v>
      </c>
      <c r="L782" s="211">
        <f t="shared" si="101"/>
        <v>0</v>
      </c>
      <c r="M782" s="211">
        <f t="shared" si="101"/>
        <v>0</v>
      </c>
      <c r="N782" s="211">
        <f t="shared" si="101"/>
        <v>0</v>
      </c>
      <c r="O782" s="211">
        <f t="shared" si="101"/>
        <v>0</v>
      </c>
      <c r="P782" s="211">
        <f t="shared" si="101"/>
        <v>0</v>
      </c>
      <c r="Q782" s="212"/>
    </row>
    <row r="783" spans="1:17" s="219" customFormat="1" hidden="1" x14ac:dyDescent="0.25">
      <c r="A783" s="214"/>
      <c r="B783" s="215" t="s">
        <v>1822</v>
      </c>
      <c r="C783" s="215" t="s">
        <v>1823</v>
      </c>
      <c r="D783" s="215" t="s">
        <v>1928</v>
      </c>
      <c r="E783" s="215" t="s">
        <v>1836</v>
      </c>
      <c r="F783" s="215" t="s">
        <v>2100</v>
      </c>
      <c r="G783" s="215" t="s">
        <v>58</v>
      </c>
      <c r="H783" s="216" t="s">
        <v>2615</v>
      </c>
      <c r="I783" s="217"/>
      <c r="J783" s="217"/>
      <c r="K783" s="217"/>
      <c r="L783" s="217"/>
      <c r="M783" s="217"/>
      <c r="N783" s="217"/>
      <c r="O783" s="217"/>
      <c r="P783" s="217"/>
      <c r="Q783" s="218"/>
    </row>
    <row r="784" spans="1:17" s="219" customFormat="1" hidden="1" x14ac:dyDescent="0.25">
      <c r="A784" s="214"/>
      <c r="B784" s="215" t="s">
        <v>1822</v>
      </c>
      <c r="C784" s="215" t="s">
        <v>1823</v>
      </c>
      <c r="D784" s="215" t="s">
        <v>1928</v>
      </c>
      <c r="E784" s="215" t="s">
        <v>1836</v>
      </c>
      <c r="F784" s="215" t="s">
        <v>2100</v>
      </c>
      <c r="G784" s="215" t="s">
        <v>75</v>
      </c>
      <c r="H784" s="216" t="s">
        <v>2616</v>
      </c>
      <c r="I784" s="217"/>
      <c r="J784" s="217"/>
      <c r="K784" s="217"/>
      <c r="L784" s="217"/>
      <c r="M784" s="217"/>
      <c r="N784" s="217"/>
      <c r="O784" s="217"/>
      <c r="P784" s="217"/>
      <c r="Q784" s="218"/>
    </row>
    <row r="785" spans="1:17" s="219" customFormat="1" hidden="1" x14ac:dyDescent="0.25">
      <c r="A785" s="214"/>
      <c r="B785" s="215" t="s">
        <v>1822</v>
      </c>
      <c r="C785" s="215" t="s">
        <v>1823</v>
      </c>
      <c r="D785" s="215" t="s">
        <v>1928</v>
      </c>
      <c r="E785" s="215" t="s">
        <v>1836</v>
      </c>
      <c r="F785" s="215" t="s">
        <v>2100</v>
      </c>
      <c r="G785" s="215" t="s">
        <v>79</v>
      </c>
      <c r="H785" s="216" t="s">
        <v>2617</v>
      </c>
      <c r="I785" s="217"/>
      <c r="J785" s="217"/>
      <c r="K785" s="217"/>
      <c r="L785" s="217"/>
      <c r="M785" s="217"/>
      <c r="N785" s="217"/>
      <c r="O785" s="217"/>
      <c r="P785" s="217"/>
      <c r="Q785" s="218"/>
    </row>
    <row r="786" spans="1:17" s="219" customFormat="1" hidden="1" x14ac:dyDescent="0.25">
      <c r="A786" s="214"/>
      <c r="B786" s="215" t="s">
        <v>1822</v>
      </c>
      <c r="C786" s="215" t="s">
        <v>1823</v>
      </c>
      <c r="D786" s="215" t="s">
        <v>1928</v>
      </c>
      <c r="E786" s="215" t="s">
        <v>1836</v>
      </c>
      <c r="F786" s="215" t="s">
        <v>2100</v>
      </c>
      <c r="G786" s="215" t="s">
        <v>84</v>
      </c>
      <c r="H786" s="216" t="s">
        <v>2618</v>
      </c>
      <c r="I786" s="217"/>
      <c r="J786" s="217"/>
      <c r="K786" s="217"/>
      <c r="L786" s="217"/>
      <c r="M786" s="217"/>
      <c r="N786" s="217"/>
      <c r="O786" s="217"/>
      <c r="P786" s="217"/>
      <c r="Q786" s="218"/>
    </row>
    <row r="787" spans="1:17" s="219" customFormat="1" hidden="1" x14ac:dyDescent="0.25">
      <c r="A787" s="214"/>
      <c r="B787" s="215" t="s">
        <v>1822</v>
      </c>
      <c r="C787" s="215" t="s">
        <v>1823</v>
      </c>
      <c r="D787" s="215" t="s">
        <v>1928</v>
      </c>
      <c r="E787" s="215" t="s">
        <v>1836</v>
      </c>
      <c r="F787" s="215" t="s">
        <v>2100</v>
      </c>
      <c r="G787" s="215" t="s">
        <v>88</v>
      </c>
      <c r="H787" s="216" t="s">
        <v>2619</v>
      </c>
      <c r="I787" s="217"/>
      <c r="J787" s="217"/>
      <c r="K787" s="217"/>
      <c r="L787" s="217"/>
      <c r="M787" s="217"/>
      <c r="N787" s="217"/>
      <c r="O787" s="217"/>
      <c r="P787" s="217"/>
      <c r="Q787" s="218"/>
    </row>
    <row r="788" spans="1:17" s="219" customFormat="1" hidden="1" x14ac:dyDescent="0.25">
      <c r="A788" s="214"/>
      <c r="B788" s="215" t="s">
        <v>1822</v>
      </c>
      <c r="C788" s="215" t="s">
        <v>1823</v>
      </c>
      <c r="D788" s="215" t="s">
        <v>1928</v>
      </c>
      <c r="E788" s="215" t="s">
        <v>1836</v>
      </c>
      <c r="F788" s="215" t="s">
        <v>2100</v>
      </c>
      <c r="G788" s="215" t="s">
        <v>92</v>
      </c>
      <c r="H788" s="216" t="s">
        <v>2620</v>
      </c>
      <c r="I788" s="217"/>
      <c r="J788" s="217"/>
      <c r="K788" s="217"/>
      <c r="L788" s="217"/>
      <c r="M788" s="217"/>
      <c r="N788" s="217"/>
      <c r="O788" s="217"/>
      <c r="P788" s="217"/>
      <c r="Q788" s="218"/>
    </row>
    <row r="789" spans="1:17" s="213" customFormat="1" x14ac:dyDescent="0.25">
      <c r="A789" s="208" t="s">
        <v>1938</v>
      </c>
      <c r="B789" s="209" t="s">
        <v>1822</v>
      </c>
      <c r="C789" s="209" t="s">
        <v>1823</v>
      </c>
      <c r="D789" s="209" t="s">
        <v>1928</v>
      </c>
      <c r="E789" s="209" t="s">
        <v>1847</v>
      </c>
      <c r="F789" s="209"/>
      <c r="G789" s="209"/>
      <c r="H789" s="210" t="s">
        <v>2621</v>
      </c>
      <c r="I789" s="211">
        <f>SUM(I790+I796+I801+I806+I811+I824+I829+I832+I837+I842)</f>
        <v>489024600</v>
      </c>
      <c r="J789" s="211">
        <f t="shared" ref="J789:P789" si="102">SUM(J790+J796+J801+J806+J811+J824+J829+J832+J837+J842)</f>
        <v>11568513.680672269</v>
      </c>
      <c r="K789" s="211">
        <f t="shared" si="102"/>
        <v>3943772.6666666665</v>
      </c>
      <c r="L789" s="211">
        <f t="shared" si="102"/>
        <v>3486456.1400560224</v>
      </c>
      <c r="M789" s="211">
        <f t="shared" si="102"/>
        <v>7430228.8067226894</v>
      </c>
      <c r="N789" s="211">
        <f t="shared" si="102"/>
        <v>61821011.806722686</v>
      </c>
      <c r="O789" s="211">
        <f t="shared" si="102"/>
        <v>427203588.1932773</v>
      </c>
      <c r="P789" s="211">
        <f t="shared" si="102"/>
        <v>0</v>
      </c>
      <c r="Q789" s="212"/>
    </row>
    <row r="790" spans="1:17" s="213" customFormat="1" x14ac:dyDescent="0.25">
      <c r="A790" s="208" t="s">
        <v>263</v>
      </c>
      <c r="B790" s="209" t="s">
        <v>1822</v>
      </c>
      <c r="C790" s="209" t="s">
        <v>1823</v>
      </c>
      <c r="D790" s="209" t="s">
        <v>1928</v>
      </c>
      <c r="E790" s="209" t="s">
        <v>1847</v>
      </c>
      <c r="F790" s="209" t="s">
        <v>1825</v>
      </c>
      <c r="G790" s="209"/>
      <c r="H790" s="210" t="s">
        <v>2622</v>
      </c>
      <c r="I790" s="211">
        <f>SUM(I791:I795)</f>
        <v>489024600</v>
      </c>
      <c r="J790" s="211">
        <f t="shared" ref="J790:P790" si="103">SUM(J791:J795)</f>
        <v>11568513.680672269</v>
      </c>
      <c r="K790" s="211">
        <f t="shared" si="103"/>
        <v>3943772.6666666665</v>
      </c>
      <c r="L790" s="211">
        <f t="shared" si="103"/>
        <v>3486456.1400560224</v>
      </c>
      <c r="M790" s="211">
        <f t="shared" si="103"/>
        <v>7430228.8067226894</v>
      </c>
      <c r="N790" s="211">
        <f t="shared" si="103"/>
        <v>61821011.806722686</v>
      </c>
      <c r="O790" s="211">
        <f t="shared" si="103"/>
        <v>427203588.1932773</v>
      </c>
      <c r="P790" s="211">
        <f t="shared" si="103"/>
        <v>0</v>
      </c>
      <c r="Q790" s="212"/>
    </row>
    <row r="791" spans="1:17" s="219" customFormat="1" hidden="1" x14ac:dyDescent="0.25">
      <c r="A791" s="208"/>
      <c r="B791" s="215" t="s">
        <v>1822</v>
      </c>
      <c r="C791" s="215" t="s">
        <v>1823</v>
      </c>
      <c r="D791" s="215" t="s">
        <v>1928</v>
      </c>
      <c r="E791" s="215" t="s">
        <v>1847</v>
      </c>
      <c r="F791" s="215" t="s">
        <v>1825</v>
      </c>
      <c r="G791" s="215" t="s">
        <v>58</v>
      </c>
      <c r="H791" s="216" t="s">
        <v>2623</v>
      </c>
      <c r="I791" s="217"/>
      <c r="J791" s="217"/>
      <c r="K791" s="217"/>
      <c r="L791" s="217"/>
      <c r="M791" s="217"/>
      <c r="N791" s="217"/>
      <c r="O791" s="217"/>
      <c r="P791" s="217"/>
      <c r="Q791" s="218"/>
    </row>
    <row r="792" spans="1:17" s="219" customFormat="1" hidden="1" x14ac:dyDescent="0.25">
      <c r="A792" s="214"/>
      <c r="B792" s="215" t="s">
        <v>1822</v>
      </c>
      <c r="C792" s="215" t="s">
        <v>1823</v>
      </c>
      <c r="D792" s="215" t="s">
        <v>1928</v>
      </c>
      <c r="E792" s="215" t="s">
        <v>1847</v>
      </c>
      <c r="F792" s="215" t="s">
        <v>1825</v>
      </c>
      <c r="G792" s="215" t="s">
        <v>75</v>
      </c>
      <c r="H792" s="216" t="s">
        <v>2624</v>
      </c>
      <c r="I792" s="217"/>
      <c r="J792" s="217"/>
      <c r="K792" s="217"/>
      <c r="L792" s="217"/>
      <c r="M792" s="217"/>
      <c r="N792" s="217"/>
      <c r="O792" s="217"/>
      <c r="P792" s="217"/>
      <c r="Q792" s="218"/>
    </row>
    <row r="793" spans="1:17" s="219" customFormat="1" hidden="1" x14ac:dyDescent="0.25">
      <c r="A793" s="214"/>
      <c r="B793" s="215" t="s">
        <v>1822</v>
      </c>
      <c r="C793" s="215" t="s">
        <v>1823</v>
      </c>
      <c r="D793" s="215" t="s">
        <v>1928</v>
      </c>
      <c r="E793" s="215" t="s">
        <v>1847</v>
      </c>
      <c r="F793" s="215" t="s">
        <v>1825</v>
      </c>
      <c r="G793" s="215" t="s">
        <v>79</v>
      </c>
      <c r="H793" s="216" t="s">
        <v>2625</v>
      </c>
      <c r="I793" s="217"/>
      <c r="J793" s="217"/>
      <c r="K793" s="217"/>
      <c r="L793" s="217"/>
      <c r="M793" s="217"/>
      <c r="N793" s="217"/>
      <c r="O793" s="217"/>
      <c r="P793" s="217"/>
      <c r="Q793" s="218"/>
    </row>
    <row r="794" spans="1:17" s="219" customFormat="1" hidden="1" x14ac:dyDescent="0.25">
      <c r="A794" s="214"/>
      <c r="B794" s="215" t="s">
        <v>1822</v>
      </c>
      <c r="C794" s="215" t="s">
        <v>1823</v>
      </c>
      <c r="D794" s="215" t="s">
        <v>1928</v>
      </c>
      <c r="E794" s="215" t="s">
        <v>1847</v>
      </c>
      <c r="F794" s="215" t="s">
        <v>1825</v>
      </c>
      <c r="G794" s="215" t="s">
        <v>84</v>
      </c>
      <c r="H794" s="216" t="s">
        <v>2626</v>
      </c>
      <c r="I794" s="217"/>
      <c r="J794" s="217"/>
      <c r="K794" s="217"/>
      <c r="L794" s="217"/>
      <c r="M794" s="217"/>
      <c r="N794" s="217"/>
      <c r="O794" s="217"/>
      <c r="P794" s="217"/>
      <c r="Q794" s="218"/>
    </row>
    <row r="795" spans="1:17" s="219" customFormat="1" x14ac:dyDescent="0.25">
      <c r="A795" s="214"/>
      <c r="B795" s="215" t="s">
        <v>1822</v>
      </c>
      <c r="C795" s="215" t="s">
        <v>1823</v>
      </c>
      <c r="D795" s="215" t="s">
        <v>1928</v>
      </c>
      <c r="E795" s="215" t="s">
        <v>1847</v>
      </c>
      <c r="F795" s="215" t="s">
        <v>1825</v>
      </c>
      <c r="G795" s="215" t="s">
        <v>88</v>
      </c>
      <c r="H795" s="216" t="s">
        <v>2627</v>
      </c>
      <c r="I795" s="217">
        <v>489024600</v>
      </c>
      <c r="J795" s="217">
        <v>11568513.680672269</v>
      </c>
      <c r="K795" s="217">
        <v>3943772.6666666665</v>
      </c>
      <c r="L795" s="217">
        <v>3486456.1400560224</v>
      </c>
      <c r="M795" s="217">
        <v>7430228.8067226894</v>
      </c>
      <c r="N795" s="217">
        <v>61821011.806722686</v>
      </c>
      <c r="O795" s="217">
        <v>427203588.1932773</v>
      </c>
      <c r="P795" s="217"/>
      <c r="Q795" s="218"/>
    </row>
    <row r="796" spans="1:17" s="213" customFormat="1" hidden="1" x14ac:dyDescent="0.25">
      <c r="A796" s="208" t="s">
        <v>263</v>
      </c>
      <c r="B796" s="209" t="s">
        <v>1822</v>
      </c>
      <c r="C796" s="209" t="s">
        <v>1823</v>
      </c>
      <c r="D796" s="209" t="s">
        <v>1928</v>
      </c>
      <c r="E796" s="209" t="s">
        <v>1847</v>
      </c>
      <c r="F796" s="209" t="s">
        <v>1836</v>
      </c>
      <c r="G796" s="209"/>
      <c r="H796" s="210" t="s">
        <v>2628</v>
      </c>
      <c r="I796" s="211">
        <f>SUM(I797:I800)</f>
        <v>0</v>
      </c>
      <c r="J796" s="211">
        <f t="shared" ref="J796:P796" si="104">SUM(J797:J800)</f>
        <v>0</v>
      </c>
      <c r="K796" s="211">
        <f t="shared" si="104"/>
        <v>0</v>
      </c>
      <c r="L796" s="211">
        <f t="shared" si="104"/>
        <v>0</v>
      </c>
      <c r="M796" s="211">
        <f t="shared" si="104"/>
        <v>0</v>
      </c>
      <c r="N796" s="211">
        <f t="shared" si="104"/>
        <v>0</v>
      </c>
      <c r="O796" s="211">
        <f t="shared" si="104"/>
        <v>0</v>
      </c>
      <c r="P796" s="211">
        <f t="shared" si="104"/>
        <v>0</v>
      </c>
      <c r="Q796" s="212"/>
    </row>
    <row r="797" spans="1:17" s="219" customFormat="1" hidden="1" x14ac:dyDescent="0.25">
      <c r="A797" s="214"/>
      <c r="B797" s="215" t="s">
        <v>1822</v>
      </c>
      <c r="C797" s="215" t="s">
        <v>1823</v>
      </c>
      <c r="D797" s="215" t="s">
        <v>1928</v>
      </c>
      <c r="E797" s="215" t="s">
        <v>1847</v>
      </c>
      <c r="F797" s="215" t="s">
        <v>1836</v>
      </c>
      <c r="G797" s="215" t="s">
        <v>58</v>
      </c>
      <c r="H797" s="216" t="s">
        <v>2629</v>
      </c>
      <c r="I797" s="217"/>
      <c r="J797" s="217"/>
      <c r="K797" s="217"/>
      <c r="L797" s="217"/>
      <c r="M797" s="217"/>
      <c r="N797" s="217"/>
      <c r="O797" s="217"/>
      <c r="P797" s="217"/>
      <c r="Q797" s="218"/>
    </row>
    <row r="798" spans="1:17" s="219" customFormat="1" hidden="1" x14ac:dyDescent="0.25">
      <c r="A798" s="214"/>
      <c r="B798" s="215" t="s">
        <v>1822</v>
      </c>
      <c r="C798" s="215" t="s">
        <v>1823</v>
      </c>
      <c r="D798" s="215" t="s">
        <v>1928</v>
      </c>
      <c r="E798" s="215" t="s">
        <v>1847</v>
      </c>
      <c r="F798" s="215" t="s">
        <v>1836</v>
      </c>
      <c r="G798" s="215" t="s">
        <v>75</v>
      </c>
      <c r="H798" s="216" t="s">
        <v>2630</v>
      </c>
      <c r="I798" s="217"/>
      <c r="J798" s="217"/>
      <c r="K798" s="217"/>
      <c r="L798" s="217"/>
      <c r="M798" s="217"/>
      <c r="N798" s="217"/>
      <c r="O798" s="217"/>
      <c r="P798" s="217"/>
      <c r="Q798" s="218"/>
    </row>
    <row r="799" spans="1:17" s="219" customFormat="1" hidden="1" x14ac:dyDescent="0.25">
      <c r="A799" s="214"/>
      <c r="B799" s="215" t="s">
        <v>1822</v>
      </c>
      <c r="C799" s="215" t="s">
        <v>1823</v>
      </c>
      <c r="D799" s="215" t="s">
        <v>1928</v>
      </c>
      <c r="E799" s="215" t="s">
        <v>1847</v>
      </c>
      <c r="F799" s="215" t="s">
        <v>1836</v>
      </c>
      <c r="G799" s="215" t="s">
        <v>79</v>
      </c>
      <c r="H799" s="216" t="s">
        <v>2631</v>
      </c>
      <c r="I799" s="217"/>
      <c r="J799" s="217"/>
      <c r="K799" s="217"/>
      <c r="L799" s="217"/>
      <c r="M799" s="217"/>
      <c r="N799" s="217"/>
      <c r="O799" s="217"/>
      <c r="P799" s="217"/>
      <c r="Q799" s="218"/>
    </row>
    <row r="800" spans="1:17" s="219" customFormat="1" hidden="1" x14ac:dyDescent="0.25">
      <c r="A800" s="214"/>
      <c r="B800" s="215" t="s">
        <v>1822</v>
      </c>
      <c r="C800" s="215" t="s">
        <v>1823</v>
      </c>
      <c r="D800" s="215" t="s">
        <v>1928</v>
      </c>
      <c r="E800" s="215" t="s">
        <v>1847</v>
      </c>
      <c r="F800" s="215" t="s">
        <v>1836</v>
      </c>
      <c r="G800" s="215" t="s">
        <v>84</v>
      </c>
      <c r="H800" s="216" t="s">
        <v>2632</v>
      </c>
      <c r="I800" s="217"/>
      <c r="J800" s="217"/>
      <c r="K800" s="217"/>
      <c r="L800" s="217"/>
      <c r="M800" s="217"/>
      <c r="N800" s="217"/>
      <c r="O800" s="217"/>
      <c r="P800" s="217"/>
      <c r="Q800" s="218"/>
    </row>
    <row r="801" spans="1:17" s="213" customFormat="1" hidden="1" x14ac:dyDescent="0.25">
      <c r="A801" s="208" t="s">
        <v>263</v>
      </c>
      <c r="B801" s="209" t="s">
        <v>1822</v>
      </c>
      <c r="C801" s="209" t="s">
        <v>1823</v>
      </c>
      <c r="D801" s="209" t="s">
        <v>1928</v>
      </c>
      <c r="E801" s="209" t="s">
        <v>1847</v>
      </c>
      <c r="F801" s="209" t="s">
        <v>1847</v>
      </c>
      <c r="G801" s="209"/>
      <c r="H801" s="210" t="s">
        <v>2633</v>
      </c>
      <c r="I801" s="211">
        <f>SUM(I802:I805)</f>
        <v>0</v>
      </c>
      <c r="J801" s="211">
        <f t="shared" ref="J801:P801" si="105">SUM(J802:J805)</f>
        <v>0</v>
      </c>
      <c r="K801" s="211">
        <f t="shared" si="105"/>
        <v>0</v>
      </c>
      <c r="L801" s="211">
        <f t="shared" si="105"/>
        <v>0</v>
      </c>
      <c r="M801" s="211">
        <f t="shared" si="105"/>
        <v>0</v>
      </c>
      <c r="N801" s="211">
        <f t="shared" si="105"/>
        <v>0</v>
      </c>
      <c r="O801" s="211">
        <f t="shared" si="105"/>
        <v>0</v>
      </c>
      <c r="P801" s="211">
        <f t="shared" si="105"/>
        <v>0</v>
      </c>
      <c r="Q801" s="212"/>
    </row>
    <row r="802" spans="1:17" s="219" customFormat="1" hidden="1" x14ac:dyDescent="0.25">
      <c r="A802" s="214"/>
      <c r="B802" s="215" t="s">
        <v>1822</v>
      </c>
      <c r="C802" s="215" t="s">
        <v>1823</v>
      </c>
      <c r="D802" s="215" t="s">
        <v>1928</v>
      </c>
      <c r="E802" s="215" t="s">
        <v>1847</v>
      </c>
      <c r="F802" s="215" t="s">
        <v>1847</v>
      </c>
      <c r="G802" s="215" t="s">
        <v>58</v>
      </c>
      <c r="H802" s="216" t="s">
        <v>2634</v>
      </c>
      <c r="I802" s="217"/>
      <c r="J802" s="217"/>
      <c r="K802" s="217"/>
      <c r="L802" s="217"/>
      <c r="M802" s="217"/>
      <c r="N802" s="217"/>
      <c r="O802" s="217"/>
      <c r="P802" s="217"/>
      <c r="Q802" s="218"/>
    </row>
    <row r="803" spans="1:17" s="219" customFormat="1" ht="30" hidden="1" x14ac:dyDescent="0.25">
      <c r="A803" s="214"/>
      <c r="B803" s="215" t="s">
        <v>1822</v>
      </c>
      <c r="C803" s="215" t="s">
        <v>1823</v>
      </c>
      <c r="D803" s="215" t="s">
        <v>1928</v>
      </c>
      <c r="E803" s="215" t="s">
        <v>1847</v>
      </c>
      <c r="F803" s="215" t="s">
        <v>1847</v>
      </c>
      <c r="G803" s="215" t="s">
        <v>75</v>
      </c>
      <c r="H803" s="216" t="s">
        <v>2635</v>
      </c>
      <c r="I803" s="217"/>
      <c r="J803" s="217"/>
      <c r="K803" s="217"/>
      <c r="L803" s="217"/>
      <c r="M803" s="217"/>
      <c r="N803" s="217"/>
      <c r="O803" s="217"/>
      <c r="P803" s="217"/>
      <c r="Q803" s="218"/>
    </row>
    <row r="804" spans="1:17" s="219" customFormat="1" hidden="1" x14ac:dyDescent="0.25">
      <c r="A804" s="214"/>
      <c r="B804" s="215" t="s">
        <v>1822</v>
      </c>
      <c r="C804" s="215" t="s">
        <v>1823</v>
      </c>
      <c r="D804" s="215" t="s">
        <v>1928</v>
      </c>
      <c r="E804" s="215" t="s">
        <v>1847</v>
      </c>
      <c r="F804" s="215" t="s">
        <v>1847</v>
      </c>
      <c r="G804" s="215" t="s">
        <v>79</v>
      </c>
      <c r="H804" s="216" t="s">
        <v>2636</v>
      </c>
      <c r="I804" s="217"/>
      <c r="J804" s="217"/>
      <c r="K804" s="217"/>
      <c r="L804" s="217"/>
      <c r="M804" s="217"/>
      <c r="N804" s="217"/>
      <c r="O804" s="217"/>
      <c r="P804" s="217"/>
      <c r="Q804" s="218"/>
    </row>
    <row r="805" spans="1:17" s="219" customFormat="1" hidden="1" x14ac:dyDescent="0.25">
      <c r="A805" s="214"/>
      <c r="B805" s="215" t="s">
        <v>1822</v>
      </c>
      <c r="C805" s="215" t="s">
        <v>1823</v>
      </c>
      <c r="D805" s="215" t="s">
        <v>1928</v>
      </c>
      <c r="E805" s="215" t="s">
        <v>1847</v>
      </c>
      <c r="F805" s="215" t="s">
        <v>1847</v>
      </c>
      <c r="G805" s="215" t="s">
        <v>84</v>
      </c>
      <c r="H805" s="216" t="s">
        <v>2637</v>
      </c>
      <c r="I805" s="217"/>
      <c r="J805" s="217"/>
      <c r="K805" s="217"/>
      <c r="L805" s="217"/>
      <c r="M805" s="217"/>
      <c r="N805" s="217"/>
      <c r="O805" s="217"/>
      <c r="P805" s="217"/>
      <c r="Q805" s="218"/>
    </row>
    <row r="806" spans="1:17" s="213" customFormat="1" ht="30" hidden="1" x14ac:dyDescent="0.25">
      <c r="A806" s="208" t="s">
        <v>263</v>
      </c>
      <c r="B806" s="209" t="s">
        <v>1822</v>
      </c>
      <c r="C806" s="209" t="s">
        <v>1823</v>
      </c>
      <c r="D806" s="209" t="s">
        <v>1928</v>
      </c>
      <c r="E806" s="209" t="s">
        <v>1847</v>
      </c>
      <c r="F806" s="209" t="s">
        <v>1928</v>
      </c>
      <c r="G806" s="209"/>
      <c r="H806" s="210" t="s">
        <v>2638</v>
      </c>
      <c r="I806" s="211">
        <f>SUM(I807:I810)</f>
        <v>0</v>
      </c>
      <c r="J806" s="211">
        <f t="shared" ref="J806:P806" si="106">SUM(J807:J810)</f>
        <v>0</v>
      </c>
      <c r="K806" s="211">
        <f t="shared" si="106"/>
        <v>0</v>
      </c>
      <c r="L806" s="211">
        <f t="shared" si="106"/>
        <v>0</v>
      </c>
      <c r="M806" s="211">
        <f t="shared" si="106"/>
        <v>0</v>
      </c>
      <c r="N806" s="211">
        <f t="shared" si="106"/>
        <v>0</v>
      </c>
      <c r="O806" s="211">
        <f t="shared" si="106"/>
        <v>0</v>
      </c>
      <c r="P806" s="211">
        <f t="shared" si="106"/>
        <v>0</v>
      </c>
      <c r="Q806" s="212"/>
    </row>
    <row r="807" spans="1:17" s="219" customFormat="1" ht="30" hidden="1" x14ac:dyDescent="0.25">
      <c r="A807" s="214"/>
      <c r="B807" s="215" t="s">
        <v>1822</v>
      </c>
      <c r="C807" s="215" t="s">
        <v>1823</v>
      </c>
      <c r="D807" s="215" t="s">
        <v>1928</v>
      </c>
      <c r="E807" s="215" t="s">
        <v>1847</v>
      </c>
      <c r="F807" s="215" t="s">
        <v>1928</v>
      </c>
      <c r="G807" s="215" t="s">
        <v>58</v>
      </c>
      <c r="H807" s="216" t="s">
        <v>2639</v>
      </c>
      <c r="I807" s="217"/>
      <c r="J807" s="217"/>
      <c r="K807" s="217"/>
      <c r="L807" s="217"/>
      <c r="M807" s="217"/>
      <c r="N807" s="217"/>
      <c r="O807" s="217"/>
      <c r="P807" s="217"/>
      <c r="Q807" s="218"/>
    </row>
    <row r="808" spans="1:17" s="219" customFormat="1" ht="30" hidden="1" x14ac:dyDescent="0.25">
      <c r="A808" s="214"/>
      <c r="B808" s="215" t="s">
        <v>1822</v>
      </c>
      <c r="C808" s="215" t="s">
        <v>1823</v>
      </c>
      <c r="D808" s="215" t="s">
        <v>1928</v>
      </c>
      <c r="E808" s="215" t="s">
        <v>1847</v>
      </c>
      <c r="F808" s="215" t="s">
        <v>1928</v>
      </c>
      <c r="G808" s="215" t="s">
        <v>75</v>
      </c>
      <c r="H808" s="216" t="s">
        <v>2640</v>
      </c>
      <c r="I808" s="217"/>
      <c r="J808" s="217"/>
      <c r="K808" s="217"/>
      <c r="L808" s="217"/>
      <c r="M808" s="217"/>
      <c r="N808" s="217"/>
      <c r="O808" s="217"/>
      <c r="P808" s="217"/>
      <c r="Q808" s="218"/>
    </row>
    <row r="809" spans="1:17" s="219" customFormat="1" ht="30" hidden="1" x14ac:dyDescent="0.25">
      <c r="A809" s="214"/>
      <c r="B809" s="215" t="s">
        <v>1822</v>
      </c>
      <c r="C809" s="215" t="s">
        <v>1823</v>
      </c>
      <c r="D809" s="215" t="s">
        <v>1928</v>
      </c>
      <c r="E809" s="215" t="s">
        <v>1847</v>
      </c>
      <c r="F809" s="215" t="s">
        <v>1928</v>
      </c>
      <c r="G809" s="215" t="s">
        <v>79</v>
      </c>
      <c r="H809" s="216" t="s">
        <v>2641</v>
      </c>
      <c r="I809" s="217"/>
      <c r="J809" s="217"/>
      <c r="K809" s="217"/>
      <c r="L809" s="217"/>
      <c r="M809" s="217"/>
      <c r="N809" s="217"/>
      <c r="O809" s="217"/>
      <c r="P809" s="217"/>
      <c r="Q809" s="218"/>
    </row>
    <row r="810" spans="1:17" s="219" customFormat="1" ht="30" hidden="1" x14ac:dyDescent="0.25">
      <c r="A810" s="214"/>
      <c r="B810" s="215" t="s">
        <v>1822</v>
      </c>
      <c r="C810" s="215" t="s">
        <v>1823</v>
      </c>
      <c r="D810" s="215" t="s">
        <v>1928</v>
      </c>
      <c r="E810" s="215" t="s">
        <v>1847</v>
      </c>
      <c r="F810" s="215" t="s">
        <v>1928</v>
      </c>
      <c r="G810" s="215" t="s">
        <v>84</v>
      </c>
      <c r="H810" s="216" t="s">
        <v>2642</v>
      </c>
      <c r="I810" s="217"/>
      <c r="J810" s="217"/>
      <c r="K810" s="217"/>
      <c r="L810" s="217"/>
      <c r="M810" s="217"/>
      <c r="N810" s="217"/>
      <c r="O810" s="217"/>
      <c r="P810" s="217"/>
      <c r="Q810" s="218"/>
    </row>
    <row r="811" spans="1:17" s="213" customFormat="1" hidden="1" x14ac:dyDescent="0.25">
      <c r="A811" s="208" t="s">
        <v>263</v>
      </c>
      <c r="B811" s="209" t="s">
        <v>1822</v>
      </c>
      <c r="C811" s="209" t="s">
        <v>1823</v>
      </c>
      <c r="D811" s="209" t="s">
        <v>1928</v>
      </c>
      <c r="E811" s="209" t="s">
        <v>1847</v>
      </c>
      <c r="F811" s="209" t="s">
        <v>1934</v>
      </c>
      <c r="G811" s="209"/>
      <c r="H811" s="210" t="s">
        <v>2643</v>
      </c>
      <c r="I811" s="211">
        <f>SUM(I812:I823)</f>
        <v>0</v>
      </c>
      <c r="J811" s="211">
        <f t="shared" ref="J811:P811" si="107">SUM(J812:J823)</f>
        <v>0</v>
      </c>
      <c r="K811" s="211">
        <f t="shared" si="107"/>
        <v>0</v>
      </c>
      <c r="L811" s="211">
        <f t="shared" si="107"/>
        <v>0</v>
      </c>
      <c r="M811" s="211">
        <f t="shared" si="107"/>
        <v>0</v>
      </c>
      <c r="N811" s="211">
        <f t="shared" si="107"/>
        <v>0</v>
      </c>
      <c r="O811" s="211">
        <f t="shared" si="107"/>
        <v>0</v>
      </c>
      <c r="P811" s="211">
        <f t="shared" si="107"/>
        <v>0</v>
      </c>
      <c r="Q811" s="212"/>
    </row>
    <row r="812" spans="1:17" s="219" customFormat="1" ht="30" hidden="1" x14ac:dyDescent="0.25">
      <c r="A812" s="214"/>
      <c r="B812" s="215" t="s">
        <v>1822</v>
      </c>
      <c r="C812" s="215" t="s">
        <v>1823</v>
      </c>
      <c r="D812" s="215" t="s">
        <v>1928</v>
      </c>
      <c r="E812" s="215" t="s">
        <v>1847</v>
      </c>
      <c r="F812" s="215" t="s">
        <v>1934</v>
      </c>
      <c r="G812" s="215" t="s">
        <v>58</v>
      </c>
      <c r="H812" s="216" t="s">
        <v>2644</v>
      </c>
      <c r="I812" s="217"/>
      <c r="J812" s="217"/>
      <c r="K812" s="217"/>
      <c r="L812" s="217"/>
      <c r="M812" s="217"/>
      <c r="N812" s="217"/>
      <c r="O812" s="217"/>
      <c r="P812" s="217"/>
      <c r="Q812" s="218"/>
    </row>
    <row r="813" spans="1:17" s="219" customFormat="1" ht="30" hidden="1" x14ac:dyDescent="0.25">
      <c r="A813" s="214"/>
      <c r="B813" s="215" t="s">
        <v>1822</v>
      </c>
      <c r="C813" s="215" t="s">
        <v>1823</v>
      </c>
      <c r="D813" s="215" t="s">
        <v>1928</v>
      </c>
      <c r="E813" s="215" t="s">
        <v>1847</v>
      </c>
      <c r="F813" s="215" t="s">
        <v>1934</v>
      </c>
      <c r="G813" s="215" t="s">
        <v>75</v>
      </c>
      <c r="H813" s="216" t="s">
        <v>2645</v>
      </c>
      <c r="I813" s="217"/>
      <c r="J813" s="217"/>
      <c r="K813" s="217"/>
      <c r="L813" s="217"/>
      <c r="M813" s="217"/>
      <c r="N813" s="217"/>
      <c r="O813" s="217"/>
      <c r="P813" s="217"/>
      <c r="Q813" s="218"/>
    </row>
    <row r="814" spans="1:17" s="219" customFormat="1" ht="30" hidden="1" x14ac:dyDescent="0.25">
      <c r="A814" s="214"/>
      <c r="B814" s="215" t="s">
        <v>1822</v>
      </c>
      <c r="C814" s="215" t="s">
        <v>1823</v>
      </c>
      <c r="D814" s="215" t="s">
        <v>1928</v>
      </c>
      <c r="E814" s="215" t="s">
        <v>1847</v>
      </c>
      <c r="F814" s="215" t="s">
        <v>1934</v>
      </c>
      <c r="G814" s="215" t="s">
        <v>79</v>
      </c>
      <c r="H814" s="216" t="s">
        <v>2646</v>
      </c>
      <c r="I814" s="217"/>
      <c r="J814" s="217"/>
      <c r="K814" s="217"/>
      <c r="L814" s="217"/>
      <c r="M814" s="217"/>
      <c r="N814" s="217"/>
      <c r="O814" s="217"/>
      <c r="P814" s="217"/>
      <c r="Q814" s="218"/>
    </row>
    <row r="815" spans="1:17" s="219" customFormat="1" ht="30" hidden="1" x14ac:dyDescent="0.25">
      <c r="A815" s="214"/>
      <c r="B815" s="215" t="s">
        <v>1822</v>
      </c>
      <c r="C815" s="215" t="s">
        <v>1823</v>
      </c>
      <c r="D815" s="215" t="s">
        <v>1928</v>
      </c>
      <c r="E815" s="215" t="s">
        <v>1847</v>
      </c>
      <c r="F815" s="215" t="s">
        <v>1934</v>
      </c>
      <c r="G815" s="215" t="s">
        <v>84</v>
      </c>
      <c r="H815" s="216" t="s">
        <v>2647</v>
      </c>
      <c r="I815" s="217"/>
      <c r="J815" s="217"/>
      <c r="K815" s="217"/>
      <c r="L815" s="217"/>
      <c r="M815" s="217"/>
      <c r="N815" s="217"/>
      <c r="O815" s="217"/>
      <c r="P815" s="217"/>
      <c r="Q815" s="218"/>
    </row>
    <row r="816" spans="1:17" s="219" customFormat="1" ht="30" hidden="1" x14ac:dyDescent="0.25">
      <c r="A816" s="214"/>
      <c r="B816" s="215" t="s">
        <v>1822</v>
      </c>
      <c r="C816" s="215" t="s">
        <v>1823</v>
      </c>
      <c r="D816" s="215" t="s">
        <v>1928</v>
      </c>
      <c r="E816" s="215" t="s">
        <v>1847</v>
      </c>
      <c r="F816" s="215" t="s">
        <v>1934</v>
      </c>
      <c r="G816" s="215" t="s">
        <v>88</v>
      </c>
      <c r="H816" s="216" t="s">
        <v>2648</v>
      </c>
      <c r="I816" s="217"/>
      <c r="J816" s="217"/>
      <c r="K816" s="217"/>
      <c r="L816" s="217"/>
      <c r="M816" s="217"/>
      <c r="N816" s="217"/>
      <c r="O816" s="217"/>
      <c r="P816" s="217"/>
      <c r="Q816" s="218"/>
    </row>
    <row r="817" spans="1:17" s="219" customFormat="1" ht="30" hidden="1" x14ac:dyDescent="0.25">
      <c r="A817" s="214"/>
      <c r="B817" s="215" t="s">
        <v>1822</v>
      </c>
      <c r="C817" s="215" t="s">
        <v>1823</v>
      </c>
      <c r="D817" s="215" t="s">
        <v>1928</v>
      </c>
      <c r="E817" s="215" t="s">
        <v>1847</v>
      </c>
      <c r="F817" s="215" t="s">
        <v>1934</v>
      </c>
      <c r="G817" s="215" t="s">
        <v>92</v>
      </c>
      <c r="H817" s="216" t="s">
        <v>2649</v>
      </c>
      <c r="I817" s="217"/>
      <c r="J817" s="217"/>
      <c r="K817" s="217"/>
      <c r="L817" s="217"/>
      <c r="M817" s="217"/>
      <c r="N817" s="217"/>
      <c r="O817" s="217"/>
      <c r="P817" s="217"/>
      <c r="Q817" s="218"/>
    </row>
    <row r="818" spans="1:17" s="219" customFormat="1" ht="30" hidden="1" x14ac:dyDescent="0.25">
      <c r="A818" s="214"/>
      <c r="B818" s="215" t="s">
        <v>1822</v>
      </c>
      <c r="C818" s="215" t="s">
        <v>1823</v>
      </c>
      <c r="D818" s="215" t="s">
        <v>1928</v>
      </c>
      <c r="E818" s="215" t="s">
        <v>1847</v>
      </c>
      <c r="F818" s="215" t="s">
        <v>1934</v>
      </c>
      <c r="G818" s="215" t="s">
        <v>96</v>
      </c>
      <c r="H818" s="216" t="s">
        <v>2650</v>
      </c>
      <c r="I818" s="217"/>
      <c r="J818" s="217"/>
      <c r="K818" s="217"/>
      <c r="L818" s="217"/>
      <c r="M818" s="217"/>
      <c r="N818" s="217"/>
      <c r="O818" s="217"/>
      <c r="P818" s="217"/>
      <c r="Q818" s="218"/>
    </row>
    <row r="819" spans="1:17" s="219" customFormat="1" ht="30" hidden="1" x14ac:dyDescent="0.25">
      <c r="A819" s="214"/>
      <c r="B819" s="215" t="s">
        <v>1822</v>
      </c>
      <c r="C819" s="215" t="s">
        <v>1823</v>
      </c>
      <c r="D819" s="215" t="s">
        <v>1928</v>
      </c>
      <c r="E819" s="215" t="s">
        <v>1847</v>
      </c>
      <c r="F819" s="215" t="s">
        <v>1934</v>
      </c>
      <c r="G819" s="215" t="s">
        <v>100</v>
      </c>
      <c r="H819" s="216" t="s">
        <v>2651</v>
      </c>
      <c r="I819" s="217"/>
      <c r="J819" s="217"/>
      <c r="K819" s="217"/>
      <c r="L819" s="217"/>
      <c r="M819" s="217"/>
      <c r="N819" s="217"/>
      <c r="O819" s="217"/>
      <c r="P819" s="217"/>
      <c r="Q819" s="218"/>
    </row>
    <row r="820" spans="1:17" s="219" customFormat="1" ht="30" hidden="1" x14ac:dyDescent="0.25">
      <c r="A820" s="214"/>
      <c r="B820" s="215" t="s">
        <v>1822</v>
      </c>
      <c r="C820" s="215" t="s">
        <v>1823</v>
      </c>
      <c r="D820" s="215" t="s">
        <v>1928</v>
      </c>
      <c r="E820" s="215" t="s">
        <v>1847</v>
      </c>
      <c r="F820" s="215" t="s">
        <v>1934</v>
      </c>
      <c r="G820" s="215" t="s">
        <v>105</v>
      </c>
      <c r="H820" s="216" t="s">
        <v>2652</v>
      </c>
      <c r="I820" s="217"/>
      <c r="J820" s="217"/>
      <c r="K820" s="217"/>
      <c r="L820" s="217"/>
      <c r="M820" s="217"/>
      <c r="N820" s="217"/>
      <c r="O820" s="217"/>
      <c r="P820" s="217"/>
      <c r="Q820" s="218"/>
    </row>
    <row r="821" spans="1:17" s="219" customFormat="1" ht="30" hidden="1" x14ac:dyDescent="0.25">
      <c r="A821" s="214"/>
      <c r="B821" s="215" t="s">
        <v>1822</v>
      </c>
      <c r="C821" s="215" t="s">
        <v>1823</v>
      </c>
      <c r="D821" s="215" t="s">
        <v>1928</v>
      </c>
      <c r="E821" s="215" t="s">
        <v>1847</v>
      </c>
      <c r="F821" s="215" t="s">
        <v>1934</v>
      </c>
      <c r="G821" s="215" t="s">
        <v>108</v>
      </c>
      <c r="H821" s="216" t="s">
        <v>2653</v>
      </c>
      <c r="I821" s="217"/>
      <c r="J821" s="217"/>
      <c r="K821" s="217"/>
      <c r="L821" s="217"/>
      <c r="M821" s="217"/>
      <c r="N821" s="217"/>
      <c r="O821" s="217"/>
      <c r="P821" s="217"/>
      <c r="Q821" s="218"/>
    </row>
    <row r="822" spans="1:17" s="219" customFormat="1" ht="30" hidden="1" x14ac:dyDescent="0.25">
      <c r="A822" s="214"/>
      <c r="B822" s="215" t="s">
        <v>1822</v>
      </c>
      <c r="C822" s="215" t="s">
        <v>1823</v>
      </c>
      <c r="D822" s="215" t="s">
        <v>1928</v>
      </c>
      <c r="E822" s="215" t="s">
        <v>1847</v>
      </c>
      <c r="F822" s="215" t="s">
        <v>1934</v>
      </c>
      <c r="G822" s="215" t="s">
        <v>135</v>
      </c>
      <c r="H822" s="216" t="s">
        <v>2654</v>
      </c>
      <c r="I822" s="217"/>
      <c r="J822" s="217"/>
      <c r="K822" s="217"/>
      <c r="L822" s="217"/>
      <c r="M822" s="217"/>
      <c r="N822" s="217"/>
      <c r="O822" s="217"/>
      <c r="P822" s="217"/>
      <c r="Q822" s="218"/>
    </row>
    <row r="823" spans="1:17" s="219" customFormat="1" hidden="1" x14ac:dyDescent="0.25">
      <c r="A823" s="214"/>
      <c r="B823" s="215" t="s">
        <v>1822</v>
      </c>
      <c r="C823" s="215" t="s">
        <v>1823</v>
      </c>
      <c r="D823" s="215" t="s">
        <v>1928</v>
      </c>
      <c r="E823" s="215" t="s">
        <v>1847</v>
      </c>
      <c r="F823" s="215" t="s">
        <v>1934</v>
      </c>
      <c r="G823" s="215" t="s">
        <v>138</v>
      </c>
      <c r="H823" s="216" t="s">
        <v>2655</v>
      </c>
      <c r="I823" s="217"/>
      <c r="J823" s="217"/>
      <c r="K823" s="217"/>
      <c r="L823" s="217"/>
      <c r="M823" s="217"/>
      <c r="N823" s="217"/>
      <c r="O823" s="217"/>
      <c r="P823" s="217"/>
      <c r="Q823" s="218"/>
    </row>
    <row r="824" spans="1:17" s="213" customFormat="1" hidden="1" x14ac:dyDescent="0.25">
      <c r="A824" s="208" t="s">
        <v>263</v>
      </c>
      <c r="B824" s="209" t="s">
        <v>1822</v>
      </c>
      <c r="C824" s="209" t="s">
        <v>1823</v>
      </c>
      <c r="D824" s="209" t="s">
        <v>1928</v>
      </c>
      <c r="E824" s="209" t="s">
        <v>1847</v>
      </c>
      <c r="F824" s="209" t="s">
        <v>2022</v>
      </c>
      <c r="G824" s="209"/>
      <c r="H824" s="210" t="s">
        <v>2656</v>
      </c>
      <c r="I824" s="211">
        <f>SUM(I825:I828)</f>
        <v>0</v>
      </c>
      <c r="J824" s="211">
        <f t="shared" ref="J824:P824" si="108">SUM(J825:J828)</f>
        <v>0</v>
      </c>
      <c r="K824" s="211">
        <f t="shared" si="108"/>
        <v>0</v>
      </c>
      <c r="L824" s="211">
        <f t="shared" si="108"/>
        <v>0</v>
      </c>
      <c r="M824" s="211">
        <f t="shared" si="108"/>
        <v>0</v>
      </c>
      <c r="N824" s="211">
        <f t="shared" si="108"/>
        <v>0</v>
      </c>
      <c r="O824" s="211">
        <f t="shared" si="108"/>
        <v>0</v>
      </c>
      <c r="P824" s="211">
        <f t="shared" si="108"/>
        <v>0</v>
      </c>
      <c r="Q824" s="212"/>
    </row>
    <row r="825" spans="1:17" s="219" customFormat="1" hidden="1" x14ac:dyDescent="0.25">
      <c r="A825" s="214"/>
      <c r="B825" s="215" t="s">
        <v>1822</v>
      </c>
      <c r="C825" s="215" t="s">
        <v>1823</v>
      </c>
      <c r="D825" s="215" t="s">
        <v>1928</v>
      </c>
      <c r="E825" s="215" t="s">
        <v>1847</v>
      </c>
      <c r="F825" s="215" t="s">
        <v>2022</v>
      </c>
      <c r="G825" s="215" t="s">
        <v>58</v>
      </c>
      <c r="H825" s="216" t="s">
        <v>2657</v>
      </c>
      <c r="I825" s="217"/>
      <c r="J825" s="217"/>
      <c r="K825" s="217"/>
      <c r="L825" s="217"/>
      <c r="M825" s="217"/>
      <c r="N825" s="217"/>
      <c r="O825" s="217"/>
      <c r="P825" s="217"/>
      <c r="Q825" s="218"/>
    </row>
    <row r="826" spans="1:17" s="219" customFormat="1" hidden="1" x14ac:dyDescent="0.25">
      <c r="A826" s="214"/>
      <c r="B826" s="215" t="s">
        <v>1822</v>
      </c>
      <c r="C826" s="215" t="s">
        <v>1823</v>
      </c>
      <c r="D826" s="215" t="s">
        <v>1928</v>
      </c>
      <c r="E826" s="215" t="s">
        <v>1847</v>
      </c>
      <c r="F826" s="215" t="s">
        <v>2022</v>
      </c>
      <c r="G826" s="215" t="s">
        <v>75</v>
      </c>
      <c r="H826" s="216" t="s">
        <v>2658</v>
      </c>
      <c r="I826" s="217"/>
      <c r="J826" s="217"/>
      <c r="K826" s="217"/>
      <c r="L826" s="217"/>
      <c r="M826" s="217"/>
      <c r="N826" s="217"/>
      <c r="O826" s="217"/>
      <c r="P826" s="217"/>
      <c r="Q826" s="218"/>
    </row>
    <row r="827" spans="1:17" s="219" customFormat="1" hidden="1" x14ac:dyDescent="0.25">
      <c r="A827" s="214"/>
      <c r="B827" s="215" t="s">
        <v>1822</v>
      </c>
      <c r="C827" s="215" t="s">
        <v>1823</v>
      </c>
      <c r="D827" s="215" t="s">
        <v>1928</v>
      </c>
      <c r="E827" s="215" t="s">
        <v>1847</v>
      </c>
      <c r="F827" s="215" t="s">
        <v>2022</v>
      </c>
      <c r="G827" s="215" t="s">
        <v>79</v>
      </c>
      <c r="H827" s="216" t="s">
        <v>2659</v>
      </c>
      <c r="I827" s="217"/>
      <c r="J827" s="217"/>
      <c r="K827" s="217"/>
      <c r="L827" s="217"/>
      <c r="M827" s="217"/>
      <c r="N827" s="217"/>
      <c r="O827" s="217"/>
      <c r="P827" s="217"/>
      <c r="Q827" s="218"/>
    </row>
    <row r="828" spans="1:17" s="219" customFormat="1" hidden="1" x14ac:dyDescent="0.25">
      <c r="A828" s="214"/>
      <c r="B828" s="215" t="s">
        <v>1822</v>
      </c>
      <c r="C828" s="215" t="s">
        <v>1823</v>
      </c>
      <c r="D828" s="215" t="s">
        <v>1928</v>
      </c>
      <c r="E828" s="215" t="s">
        <v>1847</v>
      </c>
      <c r="F828" s="215" t="s">
        <v>2022</v>
      </c>
      <c r="G828" s="215" t="s">
        <v>84</v>
      </c>
      <c r="H828" s="216" t="s">
        <v>2660</v>
      </c>
      <c r="I828" s="217"/>
      <c r="J828" s="217"/>
      <c r="K828" s="217"/>
      <c r="L828" s="217"/>
      <c r="M828" s="217"/>
      <c r="N828" s="217"/>
      <c r="O828" s="217"/>
      <c r="P828" s="217"/>
      <c r="Q828" s="218"/>
    </row>
    <row r="829" spans="1:17" s="213" customFormat="1" hidden="1" x14ac:dyDescent="0.25">
      <c r="A829" s="208" t="s">
        <v>263</v>
      </c>
      <c r="B829" s="209" t="s">
        <v>1822</v>
      </c>
      <c r="C829" s="209" t="s">
        <v>1823</v>
      </c>
      <c r="D829" s="209" t="s">
        <v>1928</v>
      </c>
      <c r="E829" s="209" t="s">
        <v>1847</v>
      </c>
      <c r="F829" s="209" t="s">
        <v>2100</v>
      </c>
      <c r="G829" s="209"/>
      <c r="H829" s="210" t="s">
        <v>2661</v>
      </c>
      <c r="I829" s="211">
        <f>SUM(I830:I831)</f>
        <v>0</v>
      </c>
      <c r="J829" s="211">
        <f t="shared" ref="J829:P829" si="109">SUM(J830:J831)</f>
        <v>0</v>
      </c>
      <c r="K829" s="211">
        <f t="shared" si="109"/>
        <v>0</v>
      </c>
      <c r="L829" s="211">
        <f t="shared" si="109"/>
        <v>0</v>
      </c>
      <c r="M829" s="211">
        <f t="shared" si="109"/>
        <v>0</v>
      </c>
      <c r="N829" s="211">
        <f t="shared" si="109"/>
        <v>0</v>
      </c>
      <c r="O829" s="211">
        <f t="shared" si="109"/>
        <v>0</v>
      </c>
      <c r="P829" s="211">
        <f t="shared" si="109"/>
        <v>0</v>
      </c>
      <c r="Q829" s="212"/>
    </row>
    <row r="830" spans="1:17" s="219" customFormat="1" hidden="1" x14ac:dyDescent="0.25">
      <c r="A830" s="214"/>
      <c r="B830" s="215" t="s">
        <v>1822</v>
      </c>
      <c r="C830" s="215" t="s">
        <v>1823</v>
      </c>
      <c r="D830" s="215" t="s">
        <v>1928</v>
      </c>
      <c r="E830" s="215" t="s">
        <v>1847</v>
      </c>
      <c r="F830" s="215" t="s">
        <v>2100</v>
      </c>
      <c r="G830" s="215" t="s">
        <v>58</v>
      </c>
      <c r="H830" s="216" t="s">
        <v>2662</v>
      </c>
      <c r="I830" s="217"/>
      <c r="J830" s="217"/>
      <c r="K830" s="217"/>
      <c r="L830" s="217"/>
      <c r="M830" s="217"/>
      <c r="N830" s="217"/>
      <c r="O830" s="217"/>
      <c r="P830" s="217"/>
      <c r="Q830" s="218"/>
    </row>
    <row r="831" spans="1:17" s="219" customFormat="1" hidden="1" x14ac:dyDescent="0.25">
      <c r="A831" s="214"/>
      <c r="B831" s="215" t="s">
        <v>1822</v>
      </c>
      <c r="C831" s="215" t="s">
        <v>1823</v>
      </c>
      <c r="D831" s="215" t="s">
        <v>1928</v>
      </c>
      <c r="E831" s="215" t="s">
        <v>1847</v>
      </c>
      <c r="F831" s="215" t="s">
        <v>2100</v>
      </c>
      <c r="G831" s="215" t="s">
        <v>75</v>
      </c>
      <c r="H831" s="216" t="s">
        <v>2663</v>
      </c>
      <c r="I831" s="217"/>
      <c r="J831" s="217"/>
      <c r="K831" s="217"/>
      <c r="L831" s="217"/>
      <c r="M831" s="217"/>
      <c r="N831" s="217"/>
      <c r="O831" s="217"/>
      <c r="P831" s="217"/>
      <c r="Q831" s="218"/>
    </row>
    <row r="832" spans="1:17" s="213" customFormat="1" hidden="1" x14ac:dyDescent="0.25">
      <c r="A832" s="208" t="s">
        <v>263</v>
      </c>
      <c r="B832" s="209" t="s">
        <v>1822</v>
      </c>
      <c r="C832" s="209" t="s">
        <v>1823</v>
      </c>
      <c r="D832" s="209" t="s">
        <v>1928</v>
      </c>
      <c r="E832" s="209" t="s">
        <v>1847</v>
      </c>
      <c r="F832" s="209" t="s">
        <v>2139</v>
      </c>
      <c r="G832" s="209"/>
      <c r="H832" s="210" t="s">
        <v>2664</v>
      </c>
      <c r="I832" s="211">
        <f>SUM(I833:I836)</f>
        <v>0</v>
      </c>
      <c r="J832" s="211">
        <f t="shared" ref="J832:P832" si="110">SUM(J833:J836)</f>
        <v>0</v>
      </c>
      <c r="K832" s="211">
        <f t="shared" si="110"/>
        <v>0</v>
      </c>
      <c r="L832" s="211">
        <f t="shared" si="110"/>
        <v>0</v>
      </c>
      <c r="M832" s="211">
        <f t="shared" si="110"/>
        <v>0</v>
      </c>
      <c r="N832" s="211">
        <f t="shared" si="110"/>
        <v>0</v>
      </c>
      <c r="O832" s="211">
        <f t="shared" si="110"/>
        <v>0</v>
      </c>
      <c r="P832" s="211">
        <f t="shared" si="110"/>
        <v>0</v>
      </c>
      <c r="Q832" s="212"/>
    </row>
    <row r="833" spans="1:17" s="219" customFormat="1" hidden="1" x14ac:dyDescent="0.25">
      <c r="A833" s="214"/>
      <c r="B833" s="215" t="s">
        <v>1822</v>
      </c>
      <c r="C833" s="215" t="s">
        <v>1823</v>
      </c>
      <c r="D833" s="215" t="s">
        <v>1928</v>
      </c>
      <c r="E833" s="215" t="s">
        <v>1847</v>
      </c>
      <c r="F833" s="215" t="s">
        <v>2139</v>
      </c>
      <c r="G833" s="215" t="s">
        <v>58</v>
      </c>
      <c r="H833" s="216" t="s">
        <v>2665</v>
      </c>
      <c r="I833" s="217"/>
      <c r="J833" s="217"/>
      <c r="K833" s="217"/>
      <c r="L833" s="217"/>
      <c r="M833" s="217"/>
      <c r="N833" s="217"/>
      <c r="O833" s="217"/>
      <c r="P833" s="217"/>
      <c r="Q833" s="218"/>
    </row>
    <row r="834" spans="1:17" s="219" customFormat="1" hidden="1" x14ac:dyDescent="0.25">
      <c r="A834" s="214"/>
      <c r="B834" s="215" t="s">
        <v>1822</v>
      </c>
      <c r="C834" s="215" t="s">
        <v>1823</v>
      </c>
      <c r="D834" s="215" t="s">
        <v>1928</v>
      </c>
      <c r="E834" s="215" t="s">
        <v>1847</v>
      </c>
      <c r="F834" s="215" t="s">
        <v>2139</v>
      </c>
      <c r="G834" s="215" t="s">
        <v>75</v>
      </c>
      <c r="H834" s="216" t="s">
        <v>2666</v>
      </c>
      <c r="I834" s="217"/>
      <c r="J834" s="217"/>
      <c r="K834" s="217"/>
      <c r="L834" s="217"/>
      <c r="M834" s="217"/>
      <c r="N834" s="217"/>
      <c r="O834" s="217"/>
      <c r="P834" s="217"/>
      <c r="Q834" s="218"/>
    </row>
    <row r="835" spans="1:17" s="219" customFormat="1" hidden="1" x14ac:dyDescent="0.25">
      <c r="A835" s="214"/>
      <c r="B835" s="215" t="s">
        <v>1822</v>
      </c>
      <c r="C835" s="215" t="s">
        <v>1823</v>
      </c>
      <c r="D835" s="215" t="s">
        <v>1928</v>
      </c>
      <c r="E835" s="215" t="s">
        <v>1847</v>
      </c>
      <c r="F835" s="215" t="s">
        <v>2139</v>
      </c>
      <c r="G835" s="215" t="s">
        <v>79</v>
      </c>
      <c r="H835" s="216" t="s">
        <v>2667</v>
      </c>
      <c r="I835" s="217"/>
      <c r="J835" s="217"/>
      <c r="K835" s="217"/>
      <c r="L835" s="217"/>
      <c r="M835" s="217"/>
      <c r="N835" s="217"/>
      <c r="O835" s="217"/>
      <c r="P835" s="217"/>
      <c r="Q835" s="218"/>
    </row>
    <row r="836" spans="1:17" s="219" customFormat="1" hidden="1" x14ac:dyDescent="0.25">
      <c r="A836" s="214"/>
      <c r="B836" s="215" t="s">
        <v>1822</v>
      </c>
      <c r="C836" s="215" t="s">
        <v>1823</v>
      </c>
      <c r="D836" s="215" t="s">
        <v>1928</v>
      </c>
      <c r="E836" s="215" t="s">
        <v>1847</v>
      </c>
      <c r="F836" s="215" t="s">
        <v>2139</v>
      </c>
      <c r="G836" s="215" t="s">
        <v>84</v>
      </c>
      <c r="H836" s="216" t="s">
        <v>2668</v>
      </c>
      <c r="I836" s="217"/>
      <c r="J836" s="217"/>
      <c r="K836" s="217"/>
      <c r="L836" s="217"/>
      <c r="M836" s="217"/>
      <c r="N836" s="217"/>
      <c r="O836" s="217"/>
      <c r="P836" s="217"/>
      <c r="Q836" s="218"/>
    </row>
    <row r="837" spans="1:17" s="213" customFormat="1" hidden="1" x14ac:dyDescent="0.25">
      <c r="A837" s="208" t="s">
        <v>263</v>
      </c>
      <c r="B837" s="209" t="s">
        <v>1822</v>
      </c>
      <c r="C837" s="209" t="s">
        <v>1823</v>
      </c>
      <c r="D837" s="209" t="s">
        <v>1928</v>
      </c>
      <c r="E837" s="209" t="s">
        <v>1847</v>
      </c>
      <c r="F837" s="209" t="s">
        <v>2277</v>
      </c>
      <c r="G837" s="209"/>
      <c r="H837" s="210" t="s">
        <v>2669</v>
      </c>
      <c r="I837" s="211">
        <f>SUM(I838:I841)</f>
        <v>0</v>
      </c>
      <c r="J837" s="211">
        <f t="shared" ref="J837:P837" si="111">SUM(J838:J841)</f>
        <v>0</v>
      </c>
      <c r="K837" s="211">
        <f t="shared" si="111"/>
        <v>0</v>
      </c>
      <c r="L837" s="211">
        <f t="shared" si="111"/>
        <v>0</v>
      </c>
      <c r="M837" s="211">
        <f t="shared" si="111"/>
        <v>0</v>
      </c>
      <c r="N837" s="211">
        <f t="shared" si="111"/>
        <v>0</v>
      </c>
      <c r="O837" s="211">
        <f t="shared" si="111"/>
        <v>0</v>
      </c>
      <c r="P837" s="211">
        <f t="shared" si="111"/>
        <v>0</v>
      </c>
      <c r="Q837" s="212"/>
    </row>
    <row r="838" spans="1:17" s="219" customFormat="1" hidden="1" x14ac:dyDescent="0.25">
      <c r="A838" s="214"/>
      <c r="B838" s="215" t="s">
        <v>1822</v>
      </c>
      <c r="C838" s="215" t="s">
        <v>1823</v>
      </c>
      <c r="D838" s="215" t="s">
        <v>1928</v>
      </c>
      <c r="E838" s="215" t="s">
        <v>1847</v>
      </c>
      <c r="F838" s="215" t="s">
        <v>2277</v>
      </c>
      <c r="G838" s="215" t="s">
        <v>58</v>
      </c>
      <c r="H838" s="216" t="s">
        <v>2670</v>
      </c>
      <c r="I838" s="217"/>
      <c r="J838" s="217"/>
      <c r="K838" s="217"/>
      <c r="L838" s="217"/>
      <c r="M838" s="217"/>
      <c r="N838" s="217"/>
      <c r="O838" s="217"/>
      <c r="P838" s="217"/>
      <c r="Q838" s="218"/>
    </row>
    <row r="839" spans="1:17" s="219" customFormat="1" hidden="1" x14ac:dyDescent="0.25">
      <c r="A839" s="214"/>
      <c r="B839" s="215" t="s">
        <v>1822</v>
      </c>
      <c r="C839" s="215" t="s">
        <v>1823</v>
      </c>
      <c r="D839" s="215" t="s">
        <v>1928</v>
      </c>
      <c r="E839" s="215" t="s">
        <v>1847</v>
      </c>
      <c r="F839" s="215" t="s">
        <v>2277</v>
      </c>
      <c r="G839" s="215" t="s">
        <v>75</v>
      </c>
      <c r="H839" s="216" t="s">
        <v>2671</v>
      </c>
      <c r="I839" s="217"/>
      <c r="J839" s="217"/>
      <c r="K839" s="217"/>
      <c r="L839" s="217"/>
      <c r="M839" s="217"/>
      <c r="N839" s="217"/>
      <c r="O839" s="217"/>
      <c r="P839" s="217"/>
      <c r="Q839" s="218"/>
    </row>
    <row r="840" spans="1:17" s="219" customFormat="1" ht="30" hidden="1" x14ac:dyDescent="0.25">
      <c r="A840" s="214"/>
      <c r="B840" s="215" t="s">
        <v>1822</v>
      </c>
      <c r="C840" s="215" t="s">
        <v>1823</v>
      </c>
      <c r="D840" s="215" t="s">
        <v>1928</v>
      </c>
      <c r="E840" s="215" t="s">
        <v>1847</v>
      </c>
      <c r="F840" s="215" t="s">
        <v>2277</v>
      </c>
      <c r="G840" s="215" t="s">
        <v>79</v>
      </c>
      <c r="H840" s="216" t="s">
        <v>2672</v>
      </c>
      <c r="I840" s="217"/>
      <c r="J840" s="217"/>
      <c r="K840" s="217"/>
      <c r="L840" s="217"/>
      <c r="M840" s="217"/>
      <c r="N840" s="217"/>
      <c r="O840" s="217"/>
      <c r="P840" s="217"/>
      <c r="Q840" s="218"/>
    </row>
    <row r="841" spans="1:17" s="219" customFormat="1" hidden="1" x14ac:dyDescent="0.25">
      <c r="A841" s="214"/>
      <c r="B841" s="215" t="s">
        <v>1822</v>
      </c>
      <c r="C841" s="215" t="s">
        <v>1823</v>
      </c>
      <c r="D841" s="215" t="s">
        <v>1928</v>
      </c>
      <c r="E841" s="215" t="s">
        <v>1847</v>
      </c>
      <c r="F841" s="215" t="s">
        <v>2277</v>
      </c>
      <c r="G841" s="215" t="s">
        <v>84</v>
      </c>
      <c r="H841" s="216" t="s">
        <v>2673</v>
      </c>
      <c r="I841" s="217"/>
      <c r="J841" s="217"/>
      <c r="K841" s="217"/>
      <c r="L841" s="217"/>
      <c r="M841" s="217"/>
      <c r="N841" s="217"/>
      <c r="O841" s="217"/>
      <c r="P841" s="217"/>
      <c r="Q841" s="218"/>
    </row>
    <row r="842" spans="1:17" s="213" customFormat="1" hidden="1" x14ac:dyDescent="0.25">
      <c r="A842" s="208" t="s">
        <v>263</v>
      </c>
      <c r="B842" s="209" t="s">
        <v>1822</v>
      </c>
      <c r="C842" s="209" t="s">
        <v>1823</v>
      </c>
      <c r="D842" s="209" t="s">
        <v>1928</v>
      </c>
      <c r="E842" s="209" t="s">
        <v>1847</v>
      </c>
      <c r="F842" s="209" t="s">
        <v>2313</v>
      </c>
      <c r="G842" s="209"/>
      <c r="H842" s="210" t="s">
        <v>2674</v>
      </c>
      <c r="I842" s="211">
        <f>I843</f>
        <v>0</v>
      </c>
      <c r="J842" s="211">
        <f t="shared" ref="J842:P842" si="112">J843</f>
        <v>0</v>
      </c>
      <c r="K842" s="211">
        <f t="shared" si="112"/>
        <v>0</v>
      </c>
      <c r="L842" s="211">
        <f t="shared" si="112"/>
        <v>0</v>
      </c>
      <c r="M842" s="211">
        <f t="shared" si="112"/>
        <v>0</v>
      </c>
      <c r="N842" s="211">
        <f t="shared" si="112"/>
        <v>0</v>
      </c>
      <c r="O842" s="211">
        <f t="shared" si="112"/>
        <v>0</v>
      </c>
      <c r="P842" s="211">
        <f t="shared" si="112"/>
        <v>0</v>
      </c>
      <c r="Q842" s="212"/>
    </row>
    <row r="843" spans="1:17" s="219" customFormat="1" hidden="1" x14ac:dyDescent="0.25">
      <c r="A843" s="214"/>
      <c r="B843" s="215" t="s">
        <v>1822</v>
      </c>
      <c r="C843" s="215" t="s">
        <v>1823</v>
      </c>
      <c r="D843" s="215" t="s">
        <v>1928</v>
      </c>
      <c r="E843" s="215" t="s">
        <v>1847</v>
      </c>
      <c r="F843" s="215" t="s">
        <v>2313</v>
      </c>
      <c r="G843" s="215" t="s">
        <v>58</v>
      </c>
      <c r="H843" s="216" t="s">
        <v>2674</v>
      </c>
      <c r="I843" s="217"/>
      <c r="J843" s="217"/>
      <c r="K843" s="217"/>
      <c r="L843" s="217"/>
      <c r="M843" s="217"/>
      <c r="N843" s="217"/>
      <c r="O843" s="217"/>
      <c r="P843" s="217"/>
      <c r="Q843" s="218"/>
    </row>
    <row r="844" spans="1:17" s="213" customFormat="1" x14ac:dyDescent="0.25">
      <c r="A844" s="208" t="s">
        <v>1984</v>
      </c>
      <c r="B844" s="209" t="s">
        <v>1822</v>
      </c>
      <c r="C844" s="209" t="s">
        <v>1823</v>
      </c>
      <c r="D844" s="209" t="s">
        <v>1928</v>
      </c>
      <c r="E844" s="209" t="s">
        <v>1928</v>
      </c>
      <c r="F844" s="209"/>
      <c r="G844" s="209"/>
      <c r="H844" s="210" t="s">
        <v>2675</v>
      </c>
      <c r="I844" s="211">
        <f>SUM(I845+I851+I855+I861)</f>
        <v>1260745500</v>
      </c>
      <c r="J844" s="211">
        <f t="shared" ref="J844:P844" si="113">SUM(J845+J851+J855+J861)</f>
        <v>31518637.5</v>
      </c>
      <c r="K844" s="211">
        <f t="shared" si="113"/>
        <v>15759318.75</v>
      </c>
      <c r="L844" s="211">
        <f t="shared" si="113"/>
        <v>15759318.75</v>
      </c>
      <c r="M844" s="211">
        <f t="shared" si="113"/>
        <v>31518637.5</v>
      </c>
      <c r="N844" s="211">
        <f t="shared" si="113"/>
        <v>266813962.5</v>
      </c>
      <c r="O844" s="211">
        <f t="shared" si="113"/>
        <v>993931537.5</v>
      </c>
      <c r="P844" s="211">
        <f t="shared" si="113"/>
        <v>0</v>
      </c>
      <c r="Q844" s="212"/>
    </row>
    <row r="845" spans="1:17" s="213" customFormat="1" hidden="1" x14ac:dyDescent="0.25">
      <c r="A845" s="208" t="s">
        <v>263</v>
      </c>
      <c r="B845" s="209" t="s">
        <v>1822</v>
      </c>
      <c r="C845" s="209" t="s">
        <v>1823</v>
      </c>
      <c r="D845" s="209" t="s">
        <v>1928</v>
      </c>
      <c r="E845" s="209" t="s">
        <v>1928</v>
      </c>
      <c r="F845" s="209" t="s">
        <v>1825</v>
      </c>
      <c r="G845" s="209"/>
      <c r="H845" s="210" t="s">
        <v>2676</v>
      </c>
      <c r="I845" s="211">
        <f>SUM(I846:I850)</f>
        <v>0</v>
      </c>
      <c r="J845" s="211">
        <f t="shared" ref="J845:P845" si="114">SUM(J846:J850)</f>
        <v>0</v>
      </c>
      <c r="K845" s="211">
        <f t="shared" si="114"/>
        <v>0</v>
      </c>
      <c r="L845" s="211">
        <f t="shared" si="114"/>
        <v>0</v>
      </c>
      <c r="M845" s="211">
        <f t="shared" si="114"/>
        <v>0</v>
      </c>
      <c r="N845" s="211">
        <f t="shared" si="114"/>
        <v>0</v>
      </c>
      <c r="O845" s="211">
        <f t="shared" si="114"/>
        <v>0</v>
      </c>
      <c r="P845" s="211">
        <f t="shared" si="114"/>
        <v>0</v>
      </c>
      <c r="Q845" s="212"/>
    </row>
    <row r="846" spans="1:17" s="219" customFormat="1" hidden="1" x14ac:dyDescent="0.25">
      <c r="A846" s="214"/>
      <c r="B846" s="215" t="s">
        <v>1822</v>
      </c>
      <c r="C846" s="215" t="s">
        <v>1823</v>
      </c>
      <c r="D846" s="215" t="s">
        <v>1928</v>
      </c>
      <c r="E846" s="215" t="s">
        <v>1928</v>
      </c>
      <c r="F846" s="215" t="s">
        <v>1825</v>
      </c>
      <c r="G846" s="215" t="s">
        <v>58</v>
      </c>
      <c r="H846" s="216" t="s">
        <v>2677</v>
      </c>
      <c r="I846" s="217"/>
      <c r="J846" s="217"/>
      <c r="K846" s="217"/>
      <c r="L846" s="217"/>
      <c r="M846" s="217"/>
      <c r="N846" s="217"/>
      <c r="O846" s="217"/>
      <c r="P846" s="217"/>
      <c r="Q846" s="218"/>
    </row>
    <row r="847" spans="1:17" s="219" customFormat="1" hidden="1" x14ac:dyDescent="0.25">
      <c r="A847" s="214"/>
      <c r="B847" s="215" t="s">
        <v>1822</v>
      </c>
      <c r="C847" s="215" t="s">
        <v>1823</v>
      </c>
      <c r="D847" s="215" t="s">
        <v>1928</v>
      </c>
      <c r="E847" s="215" t="s">
        <v>1928</v>
      </c>
      <c r="F847" s="215" t="s">
        <v>1825</v>
      </c>
      <c r="G847" s="215" t="s">
        <v>75</v>
      </c>
      <c r="H847" s="216" t="s">
        <v>2678</v>
      </c>
      <c r="I847" s="217"/>
      <c r="J847" s="217"/>
      <c r="K847" s="217"/>
      <c r="L847" s="217"/>
      <c r="M847" s="217"/>
      <c r="N847" s="217"/>
      <c r="O847" s="217"/>
      <c r="P847" s="217"/>
      <c r="Q847" s="218"/>
    </row>
    <row r="848" spans="1:17" s="219" customFormat="1" hidden="1" x14ac:dyDescent="0.25">
      <c r="A848" s="214"/>
      <c r="B848" s="215" t="s">
        <v>1822</v>
      </c>
      <c r="C848" s="215" t="s">
        <v>1823</v>
      </c>
      <c r="D848" s="215" t="s">
        <v>1928</v>
      </c>
      <c r="E848" s="215" t="s">
        <v>1928</v>
      </c>
      <c r="F848" s="215" t="s">
        <v>1825</v>
      </c>
      <c r="G848" s="215" t="s">
        <v>79</v>
      </c>
      <c r="H848" s="216" t="s">
        <v>2679</v>
      </c>
      <c r="I848" s="217"/>
      <c r="J848" s="217"/>
      <c r="K848" s="217"/>
      <c r="L848" s="217"/>
      <c r="M848" s="217"/>
      <c r="N848" s="217"/>
      <c r="O848" s="217"/>
      <c r="P848" s="217"/>
      <c r="Q848" s="218"/>
    </row>
    <row r="849" spans="1:17" s="219" customFormat="1" hidden="1" x14ac:dyDescent="0.25">
      <c r="A849" s="214"/>
      <c r="B849" s="215" t="s">
        <v>1822</v>
      </c>
      <c r="C849" s="215" t="s">
        <v>1823</v>
      </c>
      <c r="D849" s="215" t="s">
        <v>1928</v>
      </c>
      <c r="E849" s="215" t="s">
        <v>1928</v>
      </c>
      <c r="F849" s="215" t="s">
        <v>1825</v>
      </c>
      <c r="G849" s="215" t="s">
        <v>84</v>
      </c>
      <c r="H849" s="216" t="s">
        <v>2680</v>
      </c>
      <c r="I849" s="217"/>
      <c r="J849" s="217"/>
      <c r="K849" s="217"/>
      <c r="L849" s="217"/>
      <c r="M849" s="217"/>
      <c r="N849" s="217"/>
      <c r="O849" s="217"/>
      <c r="P849" s="217"/>
      <c r="Q849" s="218"/>
    </row>
    <row r="850" spans="1:17" s="219" customFormat="1" hidden="1" x14ac:dyDescent="0.25">
      <c r="A850" s="214"/>
      <c r="B850" s="215" t="s">
        <v>1822</v>
      </c>
      <c r="C850" s="215" t="s">
        <v>1823</v>
      </c>
      <c r="D850" s="215" t="s">
        <v>1928</v>
      </c>
      <c r="E850" s="215" t="s">
        <v>1928</v>
      </c>
      <c r="F850" s="215" t="s">
        <v>1825</v>
      </c>
      <c r="G850" s="215" t="s">
        <v>88</v>
      </c>
      <c r="H850" s="216" t="s">
        <v>2681</v>
      </c>
      <c r="I850" s="217"/>
      <c r="J850" s="217"/>
      <c r="K850" s="217"/>
      <c r="L850" s="217"/>
      <c r="M850" s="217"/>
      <c r="N850" s="217"/>
      <c r="O850" s="217"/>
      <c r="P850" s="217"/>
      <c r="Q850" s="218"/>
    </row>
    <row r="851" spans="1:17" s="213" customFormat="1" x14ac:dyDescent="0.25">
      <c r="A851" s="208" t="s">
        <v>263</v>
      </c>
      <c r="B851" s="209" t="s">
        <v>1822</v>
      </c>
      <c r="C851" s="209" t="s">
        <v>1823</v>
      </c>
      <c r="D851" s="209" t="s">
        <v>1928</v>
      </c>
      <c r="E851" s="209" t="s">
        <v>1928</v>
      </c>
      <c r="F851" s="209" t="s">
        <v>1836</v>
      </c>
      <c r="G851" s="209"/>
      <c r="H851" s="210" t="s">
        <v>1428</v>
      </c>
      <c r="I851" s="211">
        <f>SUM(I852:I854)</f>
        <v>1260745500</v>
      </c>
      <c r="J851" s="211">
        <f t="shared" ref="J851:P851" si="115">SUM(J852:J854)</f>
        <v>31518637.5</v>
      </c>
      <c r="K851" s="211">
        <f t="shared" si="115"/>
        <v>15759318.75</v>
      </c>
      <c r="L851" s="211">
        <f t="shared" si="115"/>
        <v>15759318.75</v>
      </c>
      <c r="M851" s="211">
        <f t="shared" si="115"/>
        <v>31518637.5</v>
      </c>
      <c r="N851" s="211">
        <f t="shared" si="115"/>
        <v>266813962.5</v>
      </c>
      <c r="O851" s="211">
        <f t="shared" si="115"/>
        <v>993931537.5</v>
      </c>
      <c r="P851" s="211">
        <f t="shared" si="115"/>
        <v>0</v>
      </c>
      <c r="Q851" s="212"/>
    </row>
    <row r="852" spans="1:17" s="219" customFormat="1" hidden="1" x14ac:dyDescent="0.25">
      <c r="A852" s="214"/>
      <c r="B852" s="215" t="s">
        <v>1822</v>
      </c>
      <c r="C852" s="215" t="s">
        <v>1823</v>
      </c>
      <c r="D852" s="215" t="s">
        <v>1928</v>
      </c>
      <c r="E852" s="215" t="s">
        <v>1928</v>
      </c>
      <c r="F852" s="215" t="s">
        <v>1836</v>
      </c>
      <c r="G852" s="215" t="s">
        <v>58</v>
      </c>
      <c r="H852" s="216" t="s">
        <v>2682</v>
      </c>
      <c r="I852" s="217"/>
      <c r="J852" s="217"/>
      <c r="K852" s="217"/>
      <c r="L852" s="217"/>
      <c r="M852" s="217"/>
      <c r="N852" s="217"/>
      <c r="O852" s="217"/>
      <c r="P852" s="217"/>
      <c r="Q852" s="218"/>
    </row>
    <row r="853" spans="1:17" s="219" customFormat="1" hidden="1" x14ac:dyDescent="0.25">
      <c r="A853" s="214"/>
      <c r="B853" s="215" t="s">
        <v>1822</v>
      </c>
      <c r="C853" s="215" t="s">
        <v>1823</v>
      </c>
      <c r="D853" s="215" t="s">
        <v>1928</v>
      </c>
      <c r="E853" s="215" t="s">
        <v>1928</v>
      </c>
      <c r="F853" s="215" t="s">
        <v>1836</v>
      </c>
      <c r="G853" s="215" t="s">
        <v>75</v>
      </c>
      <c r="H853" s="216" t="s">
        <v>2683</v>
      </c>
      <c r="I853" s="217"/>
      <c r="J853" s="217"/>
      <c r="K853" s="217"/>
      <c r="L853" s="217"/>
      <c r="M853" s="217"/>
      <c r="N853" s="217"/>
      <c r="O853" s="217"/>
      <c r="P853" s="217"/>
      <c r="Q853" s="218"/>
    </row>
    <row r="854" spans="1:17" s="219" customFormat="1" x14ac:dyDescent="0.25">
      <c r="A854" s="214"/>
      <c r="B854" s="215" t="s">
        <v>1822</v>
      </c>
      <c r="C854" s="215" t="s">
        <v>1823</v>
      </c>
      <c r="D854" s="215" t="s">
        <v>1928</v>
      </c>
      <c r="E854" s="215" t="s">
        <v>1928</v>
      </c>
      <c r="F854" s="215" t="s">
        <v>1836</v>
      </c>
      <c r="G854" s="215" t="s">
        <v>79</v>
      </c>
      <c r="H854" s="216" t="s">
        <v>2684</v>
      </c>
      <c r="I854" s="217">
        <v>1260745500</v>
      </c>
      <c r="J854" s="217">
        <v>31518637.5</v>
      </c>
      <c r="K854" s="217">
        <v>15759318.75</v>
      </c>
      <c r="L854" s="217">
        <v>15759318.75</v>
      </c>
      <c r="M854" s="217">
        <v>31518637.5</v>
      </c>
      <c r="N854" s="217">
        <v>266813962.5</v>
      </c>
      <c r="O854" s="217">
        <v>993931537.5</v>
      </c>
      <c r="P854" s="217"/>
      <c r="Q854" s="218"/>
    </row>
    <row r="855" spans="1:17" s="213" customFormat="1" hidden="1" x14ac:dyDescent="0.25">
      <c r="A855" s="208" t="s">
        <v>263</v>
      </c>
      <c r="B855" s="209" t="s">
        <v>1822</v>
      </c>
      <c r="C855" s="209" t="s">
        <v>1823</v>
      </c>
      <c r="D855" s="209" t="s">
        <v>1928</v>
      </c>
      <c r="E855" s="209" t="s">
        <v>1928</v>
      </c>
      <c r="F855" s="209" t="s">
        <v>1847</v>
      </c>
      <c r="G855" s="209"/>
      <c r="H855" s="210" t="s">
        <v>2685</v>
      </c>
      <c r="I855" s="211">
        <f>SUM(I856:I860)</f>
        <v>0</v>
      </c>
      <c r="J855" s="211">
        <f t="shared" ref="J855:P855" si="116">SUM(J856:J860)</f>
        <v>0</v>
      </c>
      <c r="K855" s="211">
        <f t="shared" si="116"/>
        <v>0</v>
      </c>
      <c r="L855" s="211">
        <f t="shared" si="116"/>
        <v>0</v>
      </c>
      <c r="M855" s="211">
        <f t="shared" si="116"/>
        <v>0</v>
      </c>
      <c r="N855" s="211">
        <f t="shared" si="116"/>
        <v>0</v>
      </c>
      <c r="O855" s="211">
        <f t="shared" si="116"/>
        <v>0</v>
      </c>
      <c r="P855" s="211">
        <f t="shared" si="116"/>
        <v>0</v>
      </c>
      <c r="Q855" s="212"/>
    </row>
    <row r="856" spans="1:17" s="219" customFormat="1" hidden="1" x14ac:dyDescent="0.25">
      <c r="A856" s="214"/>
      <c r="B856" s="215" t="s">
        <v>1822</v>
      </c>
      <c r="C856" s="215" t="s">
        <v>1823</v>
      </c>
      <c r="D856" s="215" t="s">
        <v>1928</v>
      </c>
      <c r="E856" s="215" t="s">
        <v>1928</v>
      </c>
      <c r="F856" s="215" t="s">
        <v>1847</v>
      </c>
      <c r="G856" s="215" t="s">
        <v>58</v>
      </c>
      <c r="H856" s="216" t="s">
        <v>2686</v>
      </c>
      <c r="I856" s="217"/>
      <c r="J856" s="217"/>
      <c r="K856" s="217"/>
      <c r="L856" s="217"/>
      <c r="M856" s="217"/>
      <c r="N856" s="217"/>
      <c r="O856" s="217"/>
      <c r="P856" s="217"/>
      <c r="Q856" s="218"/>
    </row>
    <row r="857" spans="1:17" s="219" customFormat="1" hidden="1" x14ac:dyDescent="0.25">
      <c r="A857" s="214"/>
      <c r="B857" s="215" t="s">
        <v>1822</v>
      </c>
      <c r="C857" s="215" t="s">
        <v>1823</v>
      </c>
      <c r="D857" s="215" t="s">
        <v>1928</v>
      </c>
      <c r="E857" s="215" t="s">
        <v>1928</v>
      </c>
      <c r="F857" s="215" t="s">
        <v>1847</v>
      </c>
      <c r="G857" s="215" t="s">
        <v>75</v>
      </c>
      <c r="H857" s="216" t="s">
        <v>2687</v>
      </c>
      <c r="I857" s="217"/>
      <c r="J857" s="217"/>
      <c r="K857" s="217"/>
      <c r="L857" s="217"/>
      <c r="M857" s="217"/>
      <c r="N857" s="217"/>
      <c r="O857" s="217"/>
      <c r="P857" s="217"/>
      <c r="Q857" s="218"/>
    </row>
    <row r="858" spans="1:17" s="219" customFormat="1" hidden="1" x14ac:dyDescent="0.25">
      <c r="A858" s="214"/>
      <c r="B858" s="215" t="s">
        <v>1822</v>
      </c>
      <c r="C858" s="215" t="s">
        <v>1823</v>
      </c>
      <c r="D858" s="215" t="s">
        <v>1928</v>
      </c>
      <c r="E858" s="215" t="s">
        <v>1928</v>
      </c>
      <c r="F858" s="215" t="s">
        <v>1847</v>
      </c>
      <c r="G858" s="215" t="s">
        <v>79</v>
      </c>
      <c r="H858" s="216" t="s">
        <v>2688</v>
      </c>
      <c r="I858" s="217"/>
      <c r="J858" s="217"/>
      <c r="K858" s="217"/>
      <c r="L858" s="217"/>
      <c r="M858" s="217"/>
      <c r="N858" s="217"/>
      <c r="O858" s="217"/>
      <c r="P858" s="217"/>
      <c r="Q858" s="218"/>
    </row>
    <row r="859" spans="1:17" s="219" customFormat="1" hidden="1" x14ac:dyDescent="0.25">
      <c r="A859" s="214"/>
      <c r="B859" s="215" t="s">
        <v>1822</v>
      </c>
      <c r="C859" s="215" t="s">
        <v>1823</v>
      </c>
      <c r="D859" s="215" t="s">
        <v>1928</v>
      </c>
      <c r="E859" s="215" t="s">
        <v>1928</v>
      </c>
      <c r="F859" s="215" t="s">
        <v>1847</v>
      </c>
      <c r="G859" s="215" t="s">
        <v>84</v>
      </c>
      <c r="H859" s="216" t="s">
        <v>2689</v>
      </c>
      <c r="I859" s="217"/>
      <c r="J859" s="217"/>
      <c r="K859" s="217"/>
      <c r="L859" s="217"/>
      <c r="M859" s="217"/>
      <c r="N859" s="217"/>
      <c r="O859" s="217"/>
      <c r="P859" s="217"/>
      <c r="Q859" s="218"/>
    </row>
    <row r="860" spans="1:17" s="219" customFormat="1" hidden="1" x14ac:dyDescent="0.25">
      <c r="A860" s="214"/>
      <c r="B860" s="215" t="s">
        <v>1822</v>
      </c>
      <c r="C860" s="215" t="s">
        <v>1823</v>
      </c>
      <c r="D860" s="215" t="s">
        <v>1928</v>
      </c>
      <c r="E860" s="215" t="s">
        <v>1928</v>
      </c>
      <c r="F860" s="215" t="s">
        <v>1847</v>
      </c>
      <c r="G860" s="215" t="s">
        <v>88</v>
      </c>
      <c r="H860" s="216" t="s">
        <v>2690</v>
      </c>
      <c r="I860" s="217"/>
      <c r="J860" s="217"/>
      <c r="K860" s="217"/>
      <c r="L860" s="217"/>
      <c r="M860" s="217"/>
      <c r="N860" s="217"/>
      <c r="O860" s="217"/>
      <c r="P860" s="217"/>
      <c r="Q860" s="218"/>
    </row>
    <row r="861" spans="1:17" s="213" customFormat="1" hidden="1" x14ac:dyDescent="0.25">
      <c r="A861" s="208" t="s">
        <v>263</v>
      </c>
      <c r="B861" s="209" t="s">
        <v>1822</v>
      </c>
      <c r="C861" s="209" t="s">
        <v>1823</v>
      </c>
      <c r="D861" s="209" t="s">
        <v>1928</v>
      </c>
      <c r="E861" s="209" t="s">
        <v>1928</v>
      </c>
      <c r="F861" s="209" t="s">
        <v>1928</v>
      </c>
      <c r="G861" s="209"/>
      <c r="H861" s="210" t="s">
        <v>2691</v>
      </c>
      <c r="I861" s="211">
        <f>SUM(I862:I866)</f>
        <v>0</v>
      </c>
      <c r="J861" s="211">
        <f t="shared" ref="J861:P861" si="117">SUM(J862:J866)</f>
        <v>0</v>
      </c>
      <c r="K861" s="211">
        <f t="shared" si="117"/>
        <v>0</v>
      </c>
      <c r="L861" s="211">
        <f t="shared" si="117"/>
        <v>0</v>
      </c>
      <c r="M861" s="211">
        <f t="shared" si="117"/>
        <v>0</v>
      </c>
      <c r="N861" s="211">
        <f t="shared" si="117"/>
        <v>0</v>
      </c>
      <c r="O861" s="211">
        <f t="shared" si="117"/>
        <v>0</v>
      </c>
      <c r="P861" s="211">
        <f t="shared" si="117"/>
        <v>0</v>
      </c>
      <c r="Q861" s="212"/>
    </row>
    <row r="862" spans="1:17" s="219" customFormat="1" hidden="1" x14ac:dyDescent="0.25">
      <c r="A862" s="214"/>
      <c r="B862" s="215" t="s">
        <v>1822</v>
      </c>
      <c r="C862" s="215" t="s">
        <v>1823</v>
      </c>
      <c r="D862" s="215" t="s">
        <v>1928</v>
      </c>
      <c r="E862" s="215" t="s">
        <v>1928</v>
      </c>
      <c r="F862" s="215" t="s">
        <v>1928</v>
      </c>
      <c r="G862" s="215" t="s">
        <v>58</v>
      </c>
      <c r="H862" s="216" t="s">
        <v>2692</v>
      </c>
      <c r="I862" s="217"/>
      <c r="J862" s="217"/>
      <c r="K862" s="217"/>
      <c r="L862" s="217"/>
      <c r="M862" s="217"/>
      <c r="N862" s="217"/>
      <c r="O862" s="217"/>
      <c r="P862" s="217"/>
      <c r="Q862" s="218"/>
    </row>
    <row r="863" spans="1:17" s="219" customFormat="1" hidden="1" x14ac:dyDescent="0.25">
      <c r="A863" s="214"/>
      <c r="B863" s="215" t="s">
        <v>1822</v>
      </c>
      <c r="C863" s="215" t="s">
        <v>1823</v>
      </c>
      <c r="D863" s="215" t="s">
        <v>1928</v>
      </c>
      <c r="E863" s="215" t="s">
        <v>1928</v>
      </c>
      <c r="F863" s="215" t="s">
        <v>1928</v>
      </c>
      <c r="G863" s="215" t="s">
        <v>75</v>
      </c>
      <c r="H863" s="216" t="s">
        <v>2693</v>
      </c>
      <c r="I863" s="217"/>
      <c r="J863" s="217"/>
      <c r="K863" s="217"/>
      <c r="L863" s="217"/>
      <c r="M863" s="217"/>
      <c r="N863" s="217"/>
      <c r="O863" s="217"/>
      <c r="P863" s="217"/>
      <c r="Q863" s="218"/>
    </row>
    <row r="864" spans="1:17" s="219" customFormat="1" hidden="1" x14ac:dyDescent="0.25">
      <c r="A864" s="214"/>
      <c r="B864" s="215" t="s">
        <v>1822</v>
      </c>
      <c r="C864" s="215" t="s">
        <v>1823</v>
      </c>
      <c r="D864" s="215" t="s">
        <v>1928</v>
      </c>
      <c r="E864" s="215" t="s">
        <v>1928</v>
      </c>
      <c r="F864" s="215" t="s">
        <v>1928</v>
      </c>
      <c r="G864" s="215" t="s">
        <v>79</v>
      </c>
      <c r="H864" s="216" t="s">
        <v>2694</v>
      </c>
      <c r="I864" s="217"/>
      <c r="J864" s="217"/>
      <c r="K864" s="217"/>
      <c r="L864" s="217"/>
      <c r="M864" s="217"/>
      <c r="N864" s="217"/>
      <c r="O864" s="217"/>
      <c r="P864" s="217"/>
      <c r="Q864" s="218"/>
    </row>
    <row r="865" spans="1:17" s="219" customFormat="1" hidden="1" x14ac:dyDescent="0.25">
      <c r="A865" s="214"/>
      <c r="B865" s="215" t="s">
        <v>1822</v>
      </c>
      <c r="C865" s="215" t="s">
        <v>1823</v>
      </c>
      <c r="D865" s="215" t="s">
        <v>1928</v>
      </c>
      <c r="E865" s="215" t="s">
        <v>1928</v>
      </c>
      <c r="F865" s="215" t="s">
        <v>1928</v>
      </c>
      <c r="G865" s="215" t="s">
        <v>84</v>
      </c>
      <c r="H865" s="216" t="s">
        <v>2695</v>
      </c>
      <c r="I865" s="217"/>
      <c r="J865" s="217"/>
      <c r="K865" s="217"/>
      <c r="L865" s="217"/>
      <c r="M865" s="217"/>
      <c r="N865" s="217"/>
      <c r="O865" s="217"/>
      <c r="P865" s="217"/>
      <c r="Q865" s="218"/>
    </row>
    <row r="866" spans="1:17" s="219" customFormat="1" hidden="1" x14ac:dyDescent="0.25">
      <c r="A866" s="214"/>
      <c r="B866" s="215" t="s">
        <v>1822</v>
      </c>
      <c r="C866" s="215" t="s">
        <v>1823</v>
      </c>
      <c r="D866" s="215" t="s">
        <v>1928</v>
      </c>
      <c r="E866" s="215" t="s">
        <v>1928</v>
      </c>
      <c r="F866" s="215" t="s">
        <v>1928</v>
      </c>
      <c r="G866" s="215" t="s">
        <v>88</v>
      </c>
      <c r="H866" s="216" t="s">
        <v>2696</v>
      </c>
      <c r="I866" s="217"/>
      <c r="J866" s="217"/>
      <c r="K866" s="217"/>
      <c r="L866" s="217"/>
      <c r="M866" s="217"/>
      <c r="N866" s="217"/>
      <c r="O866" s="217"/>
      <c r="P866" s="217"/>
      <c r="Q866" s="218"/>
    </row>
    <row r="867" spans="1:17" s="231" customFormat="1" hidden="1" x14ac:dyDescent="0.25">
      <c r="A867" s="228"/>
      <c r="B867" s="229"/>
      <c r="C867" s="233"/>
      <c r="D867" s="233"/>
      <c r="E867" s="233"/>
      <c r="F867" s="233"/>
      <c r="G867" s="223"/>
      <c r="H867" s="225"/>
      <c r="I867" s="226"/>
      <c r="J867" s="226"/>
      <c r="K867" s="226"/>
      <c r="L867" s="226"/>
      <c r="M867" s="226"/>
      <c r="N867" s="226"/>
      <c r="O867" s="226"/>
      <c r="P867" s="226"/>
    </row>
    <row r="868" spans="1:17" s="231" customFormat="1" x14ac:dyDescent="0.25">
      <c r="A868" s="228">
        <v>5</v>
      </c>
      <c r="B868" s="229">
        <v>5</v>
      </c>
      <c r="C868" s="223" t="s">
        <v>1934</v>
      </c>
      <c r="D868" s="223"/>
      <c r="E868" s="223"/>
      <c r="F868" s="223"/>
      <c r="G868" s="223"/>
      <c r="H868" s="225" t="s">
        <v>1434</v>
      </c>
      <c r="I868" s="226">
        <f>SUM(I869+I904+I918+I931+I952+I955+I964)</f>
        <v>254806915</v>
      </c>
      <c r="J868" s="226">
        <f t="shared" ref="J868:P868" si="118">SUM(J869+J904+J918+J931+J952+J955+J964)</f>
        <v>0</v>
      </c>
      <c r="K868" s="226">
        <f t="shared" si="118"/>
        <v>0</v>
      </c>
      <c r="L868" s="226">
        <f t="shared" si="118"/>
        <v>0</v>
      </c>
      <c r="M868" s="226">
        <f t="shared" si="118"/>
        <v>0</v>
      </c>
      <c r="N868" s="226">
        <f t="shared" si="118"/>
        <v>0</v>
      </c>
      <c r="O868" s="226">
        <f t="shared" si="118"/>
        <v>254806915</v>
      </c>
      <c r="P868" s="226">
        <f t="shared" si="118"/>
        <v>0</v>
      </c>
    </row>
    <row r="869" spans="1:17" s="213" customFormat="1" x14ac:dyDescent="0.25">
      <c r="A869" s="208" t="s">
        <v>1827</v>
      </c>
      <c r="B869" s="209" t="s">
        <v>1822</v>
      </c>
      <c r="C869" s="209" t="s">
        <v>1823</v>
      </c>
      <c r="D869" s="209" t="s">
        <v>1934</v>
      </c>
      <c r="E869" s="209" t="s">
        <v>1825</v>
      </c>
      <c r="F869" s="209"/>
      <c r="G869" s="209"/>
      <c r="H869" s="210" t="s">
        <v>2697</v>
      </c>
      <c r="I869" s="211">
        <f>SUM(I870+I883+I887+I892+I895+I898+I901)</f>
        <v>254806915</v>
      </c>
      <c r="J869" s="211">
        <f t="shared" ref="J869:P869" si="119">SUM(J870+J883+J887+J892+J895+J898+J901)</f>
        <v>0</v>
      </c>
      <c r="K869" s="211">
        <f t="shared" si="119"/>
        <v>0</v>
      </c>
      <c r="L869" s="211">
        <f t="shared" si="119"/>
        <v>0</v>
      </c>
      <c r="M869" s="211">
        <f t="shared" si="119"/>
        <v>0</v>
      </c>
      <c r="N869" s="211">
        <f t="shared" si="119"/>
        <v>0</v>
      </c>
      <c r="O869" s="211">
        <f t="shared" si="119"/>
        <v>254806915</v>
      </c>
      <c r="P869" s="211">
        <f t="shared" si="119"/>
        <v>0</v>
      </c>
      <c r="Q869" s="212"/>
    </row>
    <row r="870" spans="1:17" s="213" customFormat="1" x14ac:dyDescent="0.25">
      <c r="A870" s="208" t="s">
        <v>263</v>
      </c>
      <c r="B870" s="209" t="s">
        <v>1822</v>
      </c>
      <c r="C870" s="209" t="s">
        <v>1823</v>
      </c>
      <c r="D870" s="209" t="s">
        <v>1934</v>
      </c>
      <c r="E870" s="209" t="s">
        <v>1825</v>
      </c>
      <c r="F870" s="209" t="s">
        <v>1825</v>
      </c>
      <c r="G870" s="209"/>
      <c r="H870" s="210" t="s">
        <v>2698</v>
      </c>
      <c r="I870" s="211">
        <f>SUM(I871:I882)</f>
        <v>254806915</v>
      </c>
      <c r="J870" s="211">
        <f t="shared" ref="J870:P870" si="120">SUM(J871:J882)</f>
        <v>0</v>
      </c>
      <c r="K870" s="211">
        <f t="shared" si="120"/>
        <v>0</v>
      </c>
      <c r="L870" s="211">
        <f t="shared" si="120"/>
        <v>0</v>
      </c>
      <c r="M870" s="211">
        <f t="shared" si="120"/>
        <v>0</v>
      </c>
      <c r="N870" s="211">
        <f t="shared" si="120"/>
        <v>0</v>
      </c>
      <c r="O870" s="211">
        <f t="shared" si="120"/>
        <v>254806915</v>
      </c>
      <c r="P870" s="211">
        <f t="shared" si="120"/>
        <v>0</v>
      </c>
      <c r="Q870" s="212"/>
    </row>
    <row r="871" spans="1:17" s="219" customFormat="1" x14ac:dyDescent="0.25">
      <c r="A871" s="214"/>
      <c r="B871" s="215" t="s">
        <v>1822</v>
      </c>
      <c r="C871" s="215" t="s">
        <v>1823</v>
      </c>
      <c r="D871" s="215" t="s">
        <v>1934</v>
      </c>
      <c r="E871" s="215" t="s">
        <v>1825</v>
      </c>
      <c r="F871" s="215" t="s">
        <v>1825</v>
      </c>
      <c r="G871" s="215" t="s">
        <v>58</v>
      </c>
      <c r="H871" s="216" t="s">
        <v>1454</v>
      </c>
      <c r="I871" s="217">
        <v>254806915</v>
      </c>
      <c r="J871" s="217"/>
      <c r="K871" s="217"/>
      <c r="L871" s="217"/>
      <c r="M871" s="217"/>
      <c r="N871" s="217"/>
      <c r="O871" s="217">
        <v>254806915</v>
      </c>
      <c r="P871" s="217"/>
      <c r="Q871" s="218"/>
    </row>
    <row r="872" spans="1:17" s="219" customFormat="1" hidden="1" x14ac:dyDescent="0.25">
      <c r="A872" s="214"/>
      <c r="B872" s="215" t="s">
        <v>1822</v>
      </c>
      <c r="C872" s="215" t="s">
        <v>1823</v>
      </c>
      <c r="D872" s="215" t="s">
        <v>1934</v>
      </c>
      <c r="E872" s="215" t="s">
        <v>1825</v>
      </c>
      <c r="F872" s="215" t="s">
        <v>1825</v>
      </c>
      <c r="G872" s="215" t="s">
        <v>75</v>
      </c>
      <c r="H872" s="216" t="s">
        <v>2699</v>
      </c>
      <c r="I872" s="217"/>
      <c r="J872" s="217"/>
      <c r="K872" s="217"/>
      <c r="L872" s="217"/>
      <c r="M872" s="217"/>
      <c r="N872" s="217"/>
      <c r="O872" s="217"/>
      <c r="P872" s="217"/>
      <c r="Q872" s="218"/>
    </row>
    <row r="873" spans="1:17" s="219" customFormat="1" hidden="1" x14ac:dyDescent="0.25">
      <c r="A873" s="214"/>
      <c r="B873" s="215" t="s">
        <v>1822</v>
      </c>
      <c r="C873" s="215" t="s">
        <v>1823</v>
      </c>
      <c r="D873" s="215" t="s">
        <v>1934</v>
      </c>
      <c r="E873" s="215" t="s">
        <v>1825</v>
      </c>
      <c r="F873" s="215" t="s">
        <v>1825</v>
      </c>
      <c r="G873" s="215" t="s">
        <v>79</v>
      </c>
      <c r="H873" s="216" t="s">
        <v>2700</v>
      </c>
      <c r="I873" s="217"/>
      <c r="J873" s="217"/>
      <c r="K873" s="217"/>
      <c r="L873" s="217"/>
      <c r="M873" s="217"/>
      <c r="N873" s="217"/>
      <c r="O873" s="217"/>
      <c r="P873" s="217"/>
      <c r="Q873" s="218"/>
    </row>
    <row r="874" spans="1:17" s="219" customFormat="1" hidden="1" x14ac:dyDescent="0.25">
      <c r="A874" s="214"/>
      <c r="B874" s="215" t="s">
        <v>1822</v>
      </c>
      <c r="C874" s="215" t="s">
        <v>1823</v>
      </c>
      <c r="D874" s="215" t="s">
        <v>1934</v>
      </c>
      <c r="E874" s="215" t="s">
        <v>1825</v>
      </c>
      <c r="F874" s="215" t="s">
        <v>1825</v>
      </c>
      <c r="G874" s="215" t="s">
        <v>84</v>
      </c>
      <c r="H874" s="216" t="s">
        <v>2701</v>
      </c>
      <c r="I874" s="217"/>
      <c r="J874" s="217"/>
      <c r="K874" s="217"/>
      <c r="L874" s="217"/>
      <c r="M874" s="217"/>
      <c r="N874" s="217"/>
      <c r="O874" s="217"/>
      <c r="P874" s="217"/>
      <c r="Q874" s="218"/>
    </row>
    <row r="875" spans="1:17" s="219" customFormat="1" hidden="1" x14ac:dyDescent="0.25">
      <c r="A875" s="214"/>
      <c r="B875" s="215" t="s">
        <v>1822</v>
      </c>
      <c r="C875" s="215" t="s">
        <v>1823</v>
      </c>
      <c r="D875" s="215" t="s">
        <v>1934</v>
      </c>
      <c r="E875" s="215" t="s">
        <v>1825</v>
      </c>
      <c r="F875" s="215" t="s">
        <v>1825</v>
      </c>
      <c r="G875" s="215" t="s">
        <v>88</v>
      </c>
      <c r="H875" s="216" t="s">
        <v>1456</v>
      </c>
      <c r="I875" s="217"/>
      <c r="J875" s="217"/>
      <c r="K875" s="217"/>
      <c r="L875" s="217"/>
      <c r="M875" s="217"/>
      <c r="N875" s="217"/>
      <c r="O875" s="217"/>
      <c r="P875" s="217"/>
      <c r="Q875" s="218"/>
    </row>
    <row r="876" spans="1:17" s="219" customFormat="1" ht="30" hidden="1" x14ac:dyDescent="0.25">
      <c r="A876" s="214"/>
      <c r="B876" s="215" t="s">
        <v>1822</v>
      </c>
      <c r="C876" s="215" t="s">
        <v>1823</v>
      </c>
      <c r="D876" s="215" t="s">
        <v>1934</v>
      </c>
      <c r="E876" s="215" t="s">
        <v>1825</v>
      </c>
      <c r="F876" s="215" t="s">
        <v>1825</v>
      </c>
      <c r="G876" s="215" t="s">
        <v>92</v>
      </c>
      <c r="H876" s="216" t="s">
        <v>2702</v>
      </c>
      <c r="I876" s="217"/>
      <c r="J876" s="217"/>
      <c r="K876" s="217"/>
      <c r="L876" s="217"/>
      <c r="M876" s="217"/>
      <c r="N876" s="217"/>
      <c r="O876" s="217"/>
      <c r="P876" s="217"/>
      <c r="Q876" s="218"/>
    </row>
    <row r="877" spans="1:17" s="219" customFormat="1" hidden="1" x14ac:dyDescent="0.25">
      <c r="A877" s="214"/>
      <c r="B877" s="215" t="s">
        <v>1822</v>
      </c>
      <c r="C877" s="215" t="s">
        <v>1823</v>
      </c>
      <c r="D877" s="215" t="s">
        <v>1934</v>
      </c>
      <c r="E877" s="215" t="s">
        <v>1825</v>
      </c>
      <c r="F877" s="215" t="s">
        <v>1825</v>
      </c>
      <c r="G877" s="215" t="s">
        <v>96</v>
      </c>
      <c r="H877" s="216" t="s">
        <v>2703</v>
      </c>
      <c r="I877" s="217"/>
      <c r="J877" s="217"/>
      <c r="K877" s="217"/>
      <c r="L877" s="217"/>
      <c r="M877" s="217"/>
      <c r="N877" s="217"/>
      <c r="O877" s="217"/>
      <c r="P877" s="217"/>
      <c r="Q877" s="218"/>
    </row>
    <row r="878" spans="1:17" s="219" customFormat="1" ht="30" hidden="1" x14ac:dyDescent="0.25">
      <c r="A878" s="214"/>
      <c r="B878" s="215" t="s">
        <v>1822</v>
      </c>
      <c r="C878" s="215" t="s">
        <v>1823</v>
      </c>
      <c r="D878" s="215" t="s">
        <v>1934</v>
      </c>
      <c r="E878" s="215" t="s">
        <v>1825</v>
      </c>
      <c r="F878" s="215" t="s">
        <v>1825</v>
      </c>
      <c r="G878" s="215" t="s">
        <v>100</v>
      </c>
      <c r="H878" s="216" t="s">
        <v>2704</v>
      </c>
      <c r="I878" s="217"/>
      <c r="J878" s="217"/>
      <c r="K878" s="217"/>
      <c r="L878" s="217"/>
      <c r="M878" s="217"/>
      <c r="N878" s="217"/>
      <c r="O878" s="217"/>
      <c r="P878" s="217"/>
      <c r="Q878" s="218"/>
    </row>
    <row r="879" spans="1:17" s="219" customFormat="1" hidden="1" x14ac:dyDescent="0.25">
      <c r="A879" s="214"/>
      <c r="B879" s="215" t="s">
        <v>1822</v>
      </c>
      <c r="C879" s="215" t="s">
        <v>1823</v>
      </c>
      <c r="D879" s="215" t="s">
        <v>1934</v>
      </c>
      <c r="E879" s="215" t="s">
        <v>1825</v>
      </c>
      <c r="F879" s="215" t="s">
        <v>1825</v>
      </c>
      <c r="G879" s="215" t="s">
        <v>105</v>
      </c>
      <c r="H879" s="216" t="s">
        <v>2705</v>
      </c>
      <c r="I879" s="217"/>
      <c r="J879" s="217"/>
      <c r="K879" s="217"/>
      <c r="L879" s="217"/>
      <c r="M879" s="217"/>
      <c r="N879" s="217"/>
      <c r="O879" s="217"/>
      <c r="P879" s="217"/>
      <c r="Q879" s="218"/>
    </row>
    <row r="880" spans="1:17" s="219" customFormat="1" hidden="1" x14ac:dyDescent="0.25">
      <c r="A880" s="214"/>
      <c r="B880" s="215" t="s">
        <v>1822</v>
      </c>
      <c r="C880" s="215" t="s">
        <v>1823</v>
      </c>
      <c r="D880" s="215" t="s">
        <v>1934</v>
      </c>
      <c r="E880" s="215" t="s">
        <v>1825</v>
      </c>
      <c r="F880" s="215" t="s">
        <v>1825</v>
      </c>
      <c r="G880" s="215" t="s">
        <v>108</v>
      </c>
      <c r="H880" s="216" t="s">
        <v>2706</v>
      </c>
      <c r="I880" s="217"/>
      <c r="J880" s="217"/>
      <c r="K880" s="217"/>
      <c r="L880" s="217"/>
      <c r="M880" s="217"/>
      <c r="N880" s="217"/>
      <c r="O880" s="217"/>
      <c r="P880" s="217"/>
      <c r="Q880" s="218"/>
    </row>
    <row r="881" spans="1:17" s="219" customFormat="1" hidden="1" x14ac:dyDescent="0.25">
      <c r="A881" s="214"/>
      <c r="B881" s="215" t="s">
        <v>1822</v>
      </c>
      <c r="C881" s="215" t="s">
        <v>1823</v>
      </c>
      <c r="D881" s="215" t="s">
        <v>1934</v>
      </c>
      <c r="E881" s="215" t="s">
        <v>1825</v>
      </c>
      <c r="F881" s="215" t="s">
        <v>1825</v>
      </c>
      <c r="G881" s="215" t="s">
        <v>135</v>
      </c>
      <c r="H881" s="216" t="s">
        <v>2707</v>
      </c>
      <c r="I881" s="217"/>
      <c r="J881" s="217"/>
      <c r="K881" s="217"/>
      <c r="L881" s="217"/>
      <c r="M881" s="217"/>
      <c r="N881" s="217"/>
      <c r="O881" s="217"/>
      <c r="P881" s="217"/>
      <c r="Q881" s="218"/>
    </row>
    <row r="882" spans="1:17" s="219" customFormat="1" ht="30" hidden="1" x14ac:dyDescent="0.25">
      <c r="A882" s="214"/>
      <c r="B882" s="215" t="s">
        <v>1822</v>
      </c>
      <c r="C882" s="215" t="s">
        <v>1823</v>
      </c>
      <c r="D882" s="215" t="s">
        <v>1934</v>
      </c>
      <c r="E882" s="215" t="s">
        <v>1825</v>
      </c>
      <c r="F882" s="215" t="s">
        <v>1825</v>
      </c>
      <c r="G882" s="215" t="s">
        <v>138</v>
      </c>
      <c r="H882" s="216" t="s">
        <v>2708</v>
      </c>
      <c r="I882" s="217"/>
      <c r="J882" s="217"/>
      <c r="K882" s="217"/>
      <c r="L882" s="217"/>
      <c r="M882" s="217"/>
      <c r="N882" s="217"/>
      <c r="O882" s="217"/>
      <c r="P882" s="217"/>
      <c r="Q882" s="218"/>
    </row>
    <row r="883" spans="1:17" s="213" customFormat="1" ht="30" hidden="1" x14ac:dyDescent="0.25">
      <c r="A883" s="208" t="s">
        <v>263</v>
      </c>
      <c r="B883" s="209" t="s">
        <v>1822</v>
      </c>
      <c r="C883" s="209" t="s">
        <v>1823</v>
      </c>
      <c r="D883" s="209" t="s">
        <v>1934</v>
      </c>
      <c r="E883" s="209" t="s">
        <v>1825</v>
      </c>
      <c r="F883" s="209" t="s">
        <v>1836</v>
      </c>
      <c r="G883" s="209"/>
      <c r="H883" s="210" t="s">
        <v>2709</v>
      </c>
      <c r="I883" s="211">
        <f>SUM(I884:I886)</f>
        <v>0</v>
      </c>
      <c r="J883" s="211">
        <f t="shared" ref="J883:P883" si="121">SUM(J884:J886)</f>
        <v>0</v>
      </c>
      <c r="K883" s="211">
        <f t="shared" si="121"/>
        <v>0</v>
      </c>
      <c r="L883" s="211">
        <f t="shared" si="121"/>
        <v>0</v>
      </c>
      <c r="M883" s="211">
        <f t="shared" si="121"/>
        <v>0</v>
      </c>
      <c r="N883" s="211">
        <f t="shared" si="121"/>
        <v>0</v>
      </c>
      <c r="O883" s="211">
        <f t="shared" si="121"/>
        <v>0</v>
      </c>
      <c r="P883" s="211">
        <f t="shared" si="121"/>
        <v>0</v>
      </c>
      <c r="Q883" s="212"/>
    </row>
    <row r="884" spans="1:17" s="219" customFormat="1" hidden="1" x14ac:dyDescent="0.25">
      <c r="A884" s="214"/>
      <c r="B884" s="215" t="s">
        <v>1822</v>
      </c>
      <c r="C884" s="215" t="s">
        <v>1823</v>
      </c>
      <c r="D884" s="215" t="s">
        <v>1934</v>
      </c>
      <c r="E884" s="215" t="s">
        <v>1825</v>
      </c>
      <c r="F884" s="215" t="s">
        <v>1836</v>
      </c>
      <c r="G884" s="215" t="s">
        <v>58</v>
      </c>
      <c r="H884" s="216" t="s">
        <v>2710</v>
      </c>
      <c r="I884" s="217"/>
      <c r="J884" s="217"/>
      <c r="K884" s="217"/>
      <c r="L884" s="217"/>
      <c r="M884" s="217"/>
      <c r="N884" s="217"/>
      <c r="O884" s="217"/>
      <c r="P884" s="217"/>
      <c r="Q884" s="218"/>
    </row>
    <row r="885" spans="1:17" s="219" customFormat="1" hidden="1" x14ac:dyDescent="0.25">
      <c r="A885" s="214"/>
      <c r="B885" s="215" t="s">
        <v>1822</v>
      </c>
      <c r="C885" s="215" t="s">
        <v>1823</v>
      </c>
      <c r="D885" s="215" t="s">
        <v>1934</v>
      </c>
      <c r="E885" s="215" t="s">
        <v>1825</v>
      </c>
      <c r="F885" s="215" t="s">
        <v>1836</v>
      </c>
      <c r="G885" s="215" t="s">
        <v>75</v>
      </c>
      <c r="H885" s="216" t="s">
        <v>2711</v>
      </c>
      <c r="I885" s="217"/>
      <c r="J885" s="217"/>
      <c r="K885" s="217"/>
      <c r="L885" s="217"/>
      <c r="M885" s="217"/>
      <c r="N885" s="217"/>
      <c r="O885" s="217"/>
      <c r="P885" s="217"/>
      <c r="Q885" s="218"/>
    </row>
    <row r="886" spans="1:17" s="219" customFormat="1" hidden="1" x14ac:dyDescent="0.25">
      <c r="A886" s="214"/>
      <c r="B886" s="215" t="s">
        <v>1822</v>
      </c>
      <c r="C886" s="215" t="s">
        <v>1823</v>
      </c>
      <c r="D886" s="215" t="s">
        <v>1934</v>
      </c>
      <c r="E886" s="215" t="s">
        <v>1825</v>
      </c>
      <c r="F886" s="215" t="s">
        <v>1836</v>
      </c>
      <c r="G886" s="215" t="s">
        <v>79</v>
      </c>
      <c r="H886" s="216" t="s">
        <v>2712</v>
      </c>
      <c r="I886" s="217"/>
      <c r="J886" s="217"/>
      <c r="K886" s="217"/>
      <c r="L886" s="217"/>
      <c r="M886" s="217"/>
      <c r="N886" s="217"/>
      <c r="O886" s="217"/>
      <c r="P886" s="217"/>
      <c r="Q886" s="218"/>
    </row>
    <row r="887" spans="1:17" s="213" customFormat="1" hidden="1" x14ac:dyDescent="0.25">
      <c r="A887" s="208" t="s">
        <v>263</v>
      </c>
      <c r="B887" s="209" t="s">
        <v>1822</v>
      </c>
      <c r="C887" s="209" t="s">
        <v>1823</v>
      </c>
      <c r="D887" s="209" t="s">
        <v>1934</v>
      </c>
      <c r="E887" s="209" t="s">
        <v>1825</v>
      </c>
      <c r="F887" s="209" t="s">
        <v>1847</v>
      </c>
      <c r="G887" s="209"/>
      <c r="H887" s="210" t="s">
        <v>2713</v>
      </c>
      <c r="I887" s="211">
        <f>SUM(I888:I891)</f>
        <v>0</v>
      </c>
      <c r="J887" s="211">
        <f t="shared" ref="J887:P887" si="122">SUM(J888:J891)</f>
        <v>0</v>
      </c>
      <c r="K887" s="211">
        <f t="shared" si="122"/>
        <v>0</v>
      </c>
      <c r="L887" s="211">
        <f t="shared" si="122"/>
        <v>0</v>
      </c>
      <c r="M887" s="211">
        <f t="shared" si="122"/>
        <v>0</v>
      </c>
      <c r="N887" s="211">
        <f t="shared" si="122"/>
        <v>0</v>
      </c>
      <c r="O887" s="211">
        <f t="shared" si="122"/>
        <v>0</v>
      </c>
      <c r="P887" s="211">
        <f t="shared" si="122"/>
        <v>0</v>
      </c>
      <c r="Q887" s="212"/>
    </row>
    <row r="888" spans="1:17" s="219" customFormat="1" hidden="1" x14ac:dyDescent="0.25">
      <c r="A888" s="214"/>
      <c r="B888" s="215" t="s">
        <v>1822</v>
      </c>
      <c r="C888" s="215" t="s">
        <v>1823</v>
      </c>
      <c r="D888" s="215" t="s">
        <v>1934</v>
      </c>
      <c r="E888" s="215" t="s">
        <v>1825</v>
      </c>
      <c r="F888" s="215" t="s">
        <v>1847</v>
      </c>
      <c r="G888" s="215" t="s">
        <v>58</v>
      </c>
      <c r="H888" s="216" t="s">
        <v>2714</v>
      </c>
      <c r="I888" s="217"/>
      <c r="J888" s="217"/>
      <c r="K888" s="217"/>
      <c r="L888" s="217"/>
      <c r="M888" s="217"/>
      <c r="N888" s="217"/>
      <c r="O888" s="217"/>
      <c r="P888" s="217"/>
      <c r="Q888" s="218"/>
    </row>
    <row r="889" spans="1:17" s="219" customFormat="1" hidden="1" x14ac:dyDescent="0.25">
      <c r="A889" s="214"/>
      <c r="B889" s="215" t="s">
        <v>1822</v>
      </c>
      <c r="C889" s="215" t="s">
        <v>1823</v>
      </c>
      <c r="D889" s="215" t="s">
        <v>1934</v>
      </c>
      <c r="E889" s="215" t="s">
        <v>1825</v>
      </c>
      <c r="F889" s="215" t="s">
        <v>1847</v>
      </c>
      <c r="G889" s="215" t="s">
        <v>75</v>
      </c>
      <c r="H889" s="216" t="s">
        <v>2715</v>
      </c>
      <c r="I889" s="217"/>
      <c r="J889" s="217"/>
      <c r="K889" s="217"/>
      <c r="L889" s="217"/>
      <c r="M889" s="217"/>
      <c r="N889" s="217"/>
      <c r="O889" s="217"/>
      <c r="P889" s="217"/>
      <c r="Q889" s="218"/>
    </row>
    <row r="890" spans="1:17" s="219" customFormat="1" hidden="1" x14ac:dyDescent="0.25">
      <c r="A890" s="214"/>
      <c r="B890" s="215" t="s">
        <v>1822</v>
      </c>
      <c r="C890" s="215" t="s">
        <v>1823</v>
      </c>
      <c r="D890" s="215" t="s">
        <v>1934</v>
      </c>
      <c r="E890" s="215" t="s">
        <v>1825</v>
      </c>
      <c r="F890" s="215" t="s">
        <v>1847</v>
      </c>
      <c r="G890" s="215" t="s">
        <v>79</v>
      </c>
      <c r="H890" s="216" t="s">
        <v>2716</v>
      </c>
      <c r="I890" s="217"/>
      <c r="J890" s="217"/>
      <c r="K890" s="217"/>
      <c r="L890" s="217"/>
      <c r="M890" s="217"/>
      <c r="N890" s="217"/>
      <c r="O890" s="217"/>
      <c r="P890" s="217"/>
      <c r="Q890" s="218"/>
    </row>
    <row r="891" spans="1:17" s="219" customFormat="1" ht="30" hidden="1" x14ac:dyDescent="0.25">
      <c r="A891" s="214"/>
      <c r="B891" s="215" t="s">
        <v>1822</v>
      </c>
      <c r="C891" s="215" t="s">
        <v>1823</v>
      </c>
      <c r="D891" s="215" t="s">
        <v>1934</v>
      </c>
      <c r="E891" s="215" t="s">
        <v>1825</v>
      </c>
      <c r="F891" s="215" t="s">
        <v>1847</v>
      </c>
      <c r="G891" s="215" t="s">
        <v>84</v>
      </c>
      <c r="H891" s="216" t="s">
        <v>2717</v>
      </c>
      <c r="I891" s="217"/>
      <c r="J891" s="217"/>
      <c r="K891" s="217"/>
      <c r="L891" s="217"/>
      <c r="M891" s="217"/>
      <c r="N891" s="217"/>
      <c r="O891" s="217"/>
      <c r="P891" s="217"/>
      <c r="Q891" s="218"/>
    </row>
    <row r="892" spans="1:17" s="213" customFormat="1" hidden="1" x14ac:dyDescent="0.25">
      <c r="A892" s="208" t="s">
        <v>263</v>
      </c>
      <c r="B892" s="209" t="s">
        <v>1822</v>
      </c>
      <c r="C892" s="209" t="s">
        <v>1823</v>
      </c>
      <c r="D892" s="209" t="s">
        <v>1934</v>
      </c>
      <c r="E892" s="209" t="s">
        <v>1825</v>
      </c>
      <c r="F892" s="209" t="s">
        <v>1928</v>
      </c>
      <c r="G892" s="209"/>
      <c r="H892" s="210" t="s">
        <v>2718</v>
      </c>
      <c r="I892" s="211">
        <f>SUM(I893:I894)</f>
        <v>0</v>
      </c>
      <c r="J892" s="211">
        <f t="shared" ref="J892:P892" si="123">SUM(J893:J894)</f>
        <v>0</v>
      </c>
      <c r="K892" s="211">
        <f t="shared" si="123"/>
        <v>0</v>
      </c>
      <c r="L892" s="211">
        <f t="shared" si="123"/>
        <v>0</v>
      </c>
      <c r="M892" s="211">
        <f t="shared" si="123"/>
        <v>0</v>
      </c>
      <c r="N892" s="211">
        <f t="shared" si="123"/>
        <v>0</v>
      </c>
      <c r="O892" s="211">
        <f t="shared" si="123"/>
        <v>0</v>
      </c>
      <c r="P892" s="211">
        <f t="shared" si="123"/>
        <v>0</v>
      </c>
      <c r="Q892" s="212"/>
    </row>
    <row r="893" spans="1:17" s="219" customFormat="1" hidden="1" x14ac:dyDescent="0.25">
      <c r="A893" s="214"/>
      <c r="B893" s="215" t="s">
        <v>1822</v>
      </c>
      <c r="C893" s="215" t="s">
        <v>1823</v>
      </c>
      <c r="D893" s="215" t="s">
        <v>1934</v>
      </c>
      <c r="E893" s="215" t="s">
        <v>1825</v>
      </c>
      <c r="F893" s="215" t="s">
        <v>1928</v>
      </c>
      <c r="G893" s="215" t="s">
        <v>58</v>
      </c>
      <c r="H893" s="216" t="s">
        <v>2719</v>
      </c>
      <c r="I893" s="217"/>
      <c r="J893" s="217"/>
      <c r="K893" s="217"/>
      <c r="L893" s="217"/>
      <c r="M893" s="217"/>
      <c r="N893" s="217"/>
      <c r="O893" s="217"/>
      <c r="P893" s="217"/>
      <c r="Q893" s="218"/>
    </row>
    <row r="894" spans="1:17" s="219" customFormat="1" hidden="1" x14ac:dyDescent="0.25">
      <c r="A894" s="214"/>
      <c r="B894" s="215" t="s">
        <v>1822</v>
      </c>
      <c r="C894" s="215" t="s">
        <v>1823</v>
      </c>
      <c r="D894" s="215" t="s">
        <v>1934</v>
      </c>
      <c r="E894" s="215" t="s">
        <v>1825</v>
      </c>
      <c r="F894" s="215" t="s">
        <v>1928</v>
      </c>
      <c r="G894" s="215" t="s">
        <v>75</v>
      </c>
      <c r="H894" s="216" t="s">
        <v>2720</v>
      </c>
      <c r="I894" s="217"/>
      <c r="J894" s="217"/>
      <c r="K894" s="217"/>
      <c r="L894" s="217"/>
      <c r="M894" s="217"/>
      <c r="N894" s="217"/>
      <c r="O894" s="217"/>
      <c r="P894" s="217"/>
      <c r="Q894" s="218"/>
    </row>
    <row r="895" spans="1:17" s="213" customFormat="1" hidden="1" x14ac:dyDescent="0.25">
      <c r="A895" s="208" t="s">
        <v>263</v>
      </c>
      <c r="B895" s="209" t="s">
        <v>1822</v>
      </c>
      <c r="C895" s="209" t="s">
        <v>1823</v>
      </c>
      <c r="D895" s="209" t="s">
        <v>1934</v>
      </c>
      <c r="E895" s="209" t="s">
        <v>1825</v>
      </c>
      <c r="F895" s="209" t="s">
        <v>1934</v>
      </c>
      <c r="G895" s="209"/>
      <c r="H895" s="210" t="s">
        <v>2721</v>
      </c>
      <c r="I895" s="211">
        <f>SUM(I896:I897)</f>
        <v>0</v>
      </c>
      <c r="J895" s="211">
        <f t="shared" ref="J895:P895" si="124">SUM(J896:J897)</f>
        <v>0</v>
      </c>
      <c r="K895" s="211">
        <f t="shared" si="124"/>
        <v>0</v>
      </c>
      <c r="L895" s="211">
        <f t="shared" si="124"/>
        <v>0</v>
      </c>
      <c r="M895" s="211">
        <f t="shared" si="124"/>
        <v>0</v>
      </c>
      <c r="N895" s="211">
        <f t="shared" si="124"/>
        <v>0</v>
      </c>
      <c r="O895" s="211">
        <f t="shared" si="124"/>
        <v>0</v>
      </c>
      <c r="P895" s="211">
        <f t="shared" si="124"/>
        <v>0</v>
      </c>
      <c r="Q895" s="212"/>
    </row>
    <row r="896" spans="1:17" s="219" customFormat="1" hidden="1" x14ac:dyDescent="0.25">
      <c r="A896" s="214"/>
      <c r="B896" s="215" t="s">
        <v>1822</v>
      </c>
      <c r="C896" s="215" t="s">
        <v>1823</v>
      </c>
      <c r="D896" s="215" t="s">
        <v>1934</v>
      </c>
      <c r="E896" s="215" t="s">
        <v>1825</v>
      </c>
      <c r="F896" s="215" t="s">
        <v>1934</v>
      </c>
      <c r="G896" s="215" t="s">
        <v>58</v>
      </c>
      <c r="H896" s="216" t="s">
        <v>2721</v>
      </c>
      <c r="I896" s="217"/>
      <c r="J896" s="217"/>
      <c r="K896" s="217"/>
      <c r="L896" s="217"/>
      <c r="M896" s="217"/>
      <c r="N896" s="217"/>
      <c r="O896" s="217"/>
      <c r="P896" s="217"/>
      <c r="Q896" s="218"/>
    </row>
    <row r="897" spans="1:17" s="219" customFormat="1" ht="30" hidden="1" x14ac:dyDescent="0.25">
      <c r="A897" s="214"/>
      <c r="B897" s="215" t="s">
        <v>1822</v>
      </c>
      <c r="C897" s="215" t="s">
        <v>1823</v>
      </c>
      <c r="D897" s="215" t="s">
        <v>1934</v>
      </c>
      <c r="E897" s="215" t="s">
        <v>1825</v>
      </c>
      <c r="F897" s="215" t="s">
        <v>1934</v>
      </c>
      <c r="G897" s="215" t="s">
        <v>75</v>
      </c>
      <c r="H897" s="216" t="s">
        <v>2722</v>
      </c>
      <c r="I897" s="217"/>
      <c r="J897" s="217"/>
      <c r="K897" s="217"/>
      <c r="L897" s="217"/>
      <c r="M897" s="217"/>
      <c r="N897" s="217"/>
      <c r="O897" s="217"/>
      <c r="P897" s="217"/>
      <c r="Q897" s="218"/>
    </row>
    <row r="898" spans="1:17" s="213" customFormat="1" ht="30" hidden="1" x14ac:dyDescent="0.25">
      <c r="A898" s="208" t="s">
        <v>263</v>
      </c>
      <c r="B898" s="209" t="s">
        <v>1822</v>
      </c>
      <c r="C898" s="209" t="s">
        <v>1823</v>
      </c>
      <c r="D898" s="209" t="s">
        <v>1934</v>
      </c>
      <c r="E898" s="209" t="s">
        <v>1825</v>
      </c>
      <c r="F898" s="209" t="s">
        <v>2022</v>
      </c>
      <c r="G898" s="209"/>
      <c r="H898" s="210" t="s">
        <v>2723</v>
      </c>
      <c r="I898" s="211">
        <f>SUM(I899:I900)</f>
        <v>0</v>
      </c>
      <c r="J898" s="211">
        <f t="shared" ref="J898:P898" si="125">SUM(J899:J900)</f>
        <v>0</v>
      </c>
      <c r="K898" s="211">
        <f t="shared" si="125"/>
        <v>0</v>
      </c>
      <c r="L898" s="211">
        <f t="shared" si="125"/>
        <v>0</v>
      </c>
      <c r="M898" s="211">
        <f t="shared" si="125"/>
        <v>0</v>
      </c>
      <c r="N898" s="211">
        <f t="shared" si="125"/>
        <v>0</v>
      </c>
      <c r="O898" s="211">
        <f t="shared" si="125"/>
        <v>0</v>
      </c>
      <c r="P898" s="211">
        <f t="shared" si="125"/>
        <v>0</v>
      </c>
      <c r="Q898" s="212"/>
    </row>
    <row r="899" spans="1:17" s="219" customFormat="1" ht="30" hidden="1" x14ac:dyDescent="0.25">
      <c r="A899" s="214"/>
      <c r="B899" s="215" t="s">
        <v>1822</v>
      </c>
      <c r="C899" s="215" t="s">
        <v>1823</v>
      </c>
      <c r="D899" s="215" t="s">
        <v>1934</v>
      </c>
      <c r="E899" s="215" t="s">
        <v>1825</v>
      </c>
      <c r="F899" s="215" t="s">
        <v>2022</v>
      </c>
      <c r="G899" s="215" t="s">
        <v>58</v>
      </c>
      <c r="H899" s="216" t="s">
        <v>2723</v>
      </c>
      <c r="I899" s="217"/>
      <c r="J899" s="217"/>
      <c r="K899" s="217"/>
      <c r="L899" s="217"/>
      <c r="M899" s="217"/>
      <c r="N899" s="217"/>
      <c r="O899" s="217"/>
      <c r="P899" s="217"/>
      <c r="Q899" s="218"/>
    </row>
    <row r="900" spans="1:17" s="219" customFormat="1" ht="30" hidden="1" x14ac:dyDescent="0.25">
      <c r="A900" s="214"/>
      <c r="B900" s="215" t="s">
        <v>1822</v>
      </c>
      <c r="C900" s="215" t="s">
        <v>1823</v>
      </c>
      <c r="D900" s="215" t="s">
        <v>1934</v>
      </c>
      <c r="E900" s="215" t="s">
        <v>1825</v>
      </c>
      <c r="F900" s="215" t="s">
        <v>2022</v>
      </c>
      <c r="G900" s="215" t="s">
        <v>75</v>
      </c>
      <c r="H900" s="216" t="s">
        <v>2724</v>
      </c>
      <c r="I900" s="217"/>
      <c r="J900" s="217"/>
      <c r="K900" s="217"/>
      <c r="L900" s="217"/>
      <c r="M900" s="217"/>
      <c r="N900" s="217"/>
      <c r="O900" s="217"/>
      <c r="P900" s="217"/>
      <c r="Q900" s="218"/>
    </row>
    <row r="901" spans="1:17" s="213" customFormat="1" hidden="1" x14ac:dyDescent="0.25">
      <c r="A901" s="208" t="s">
        <v>263</v>
      </c>
      <c r="B901" s="209" t="s">
        <v>1822</v>
      </c>
      <c r="C901" s="209" t="s">
        <v>1823</v>
      </c>
      <c r="D901" s="209" t="s">
        <v>1934</v>
      </c>
      <c r="E901" s="209" t="s">
        <v>1825</v>
      </c>
      <c r="F901" s="209" t="s">
        <v>2100</v>
      </c>
      <c r="G901" s="209"/>
      <c r="H901" s="210" t="s">
        <v>2725</v>
      </c>
      <c r="I901" s="211">
        <f>SUM(I902:I903)</f>
        <v>0</v>
      </c>
      <c r="J901" s="211">
        <f t="shared" ref="J901:P901" si="126">SUM(J902:J903)</f>
        <v>0</v>
      </c>
      <c r="K901" s="211">
        <f t="shared" si="126"/>
        <v>0</v>
      </c>
      <c r="L901" s="211">
        <f t="shared" si="126"/>
        <v>0</v>
      </c>
      <c r="M901" s="211">
        <f t="shared" si="126"/>
        <v>0</v>
      </c>
      <c r="N901" s="211">
        <f t="shared" si="126"/>
        <v>0</v>
      </c>
      <c r="O901" s="211">
        <f t="shared" si="126"/>
        <v>0</v>
      </c>
      <c r="P901" s="211">
        <f t="shared" si="126"/>
        <v>0</v>
      </c>
      <c r="Q901" s="212"/>
    </row>
    <row r="902" spans="1:17" s="219" customFormat="1" hidden="1" x14ac:dyDescent="0.25">
      <c r="A902" s="214"/>
      <c r="B902" s="215" t="s">
        <v>1822</v>
      </c>
      <c r="C902" s="215" t="s">
        <v>1823</v>
      </c>
      <c r="D902" s="215" t="s">
        <v>1934</v>
      </c>
      <c r="E902" s="215" t="s">
        <v>1825</v>
      </c>
      <c r="F902" s="215" t="s">
        <v>2100</v>
      </c>
      <c r="G902" s="215" t="s">
        <v>58</v>
      </c>
      <c r="H902" s="216" t="s">
        <v>2725</v>
      </c>
      <c r="I902" s="217"/>
      <c r="J902" s="217"/>
      <c r="K902" s="217"/>
      <c r="L902" s="217"/>
      <c r="M902" s="217"/>
      <c r="N902" s="217"/>
      <c r="O902" s="217"/>
      <c r="P902" s="217"/>
      <c r="Q902" s="218"/>
    </row>
    <row r="903" spans="1:17" s="219" customFormat="1" hidden="1" x14ac:dyDescent="0.25">
      <c r="A903" s="214"/>
      <c r="B903" s="215" t="s">
        <v>1822</v>
      </c>
      <c r="C903" s="215" t="s">
        <v>1823</v>
      </c>
      <c r="D903" s="215" t="s">
        <v>1934</v>
      </c>
      <c r="E903" s="215" t="s">
        <v>1825</v>
      </c>
      <c r="F903" s="215" t="s">
        <v>2100</v>
      </c>
      <c r="G903" s="215" t="s">
        <v>75</v>
      </c>
      <c r="H903" s="216" t="s">
        <v>2726</v>
      </c>
      <c r="I903" s="217"/>
      <c r="J903" s="217"/>
      <c r="K903" s="217"/>
      <c r="L903" s="217"/>
      <c r="M903" s="217"/>
      <c r="N903" s="217"/>
      <c r="O903" s="217"/>
      <c r="P903" s="217"/>
      <c r="Q903" s="218"/>
    </row>
    <row r="904" spans="1:17" s="213" customFormat="1" ht="30" hidden="1" x14ac:dyDescent="0.25">
      <c r="A904" s="208" t="s">
        <v>1905</v>
      </c>
      <c r="B904" s="209" t="s">
        <v>1822</v>
      </c>
      <c r="C904" s="209" t="s">
        <v>1823</v>
      </c>
      <c r="D904" s="209" t="s">
        <v>1934</v>
      </c>
      <c r="E904" s="209" t="s">
        <v>1836</v>
      </c>
      <c r="F904" s="209"/>
      <c r="G904" s="209"/>
      <c r="H904" s="210" t="s">
        <v>2727</v>
      </c>
      <c r="I904" s="211">
        <f>SUM(I905+I910+I915)</f>
        <v>0</v>
      </c>
      <c r="J904" s="211">
        <f t="shared" ref="J904:P904" si="127">SUM(J905+J910+J915)</f>
        <v>0</v>
      </c>
      <c r="K904" s="211">
        <f t="shared" si="127"/>
        <v>0</v>
      </c>
      <c r="L904" s="211">
        <f t="shared" si="127"/>
        <v>0</v>
      </c>
      <c r="M904" s="211">
        <f t="shared" si="127"/>
        <v>0</v>
      </c>
      <c r="N904" s="211">
        <f t="shared" si="127"/>
        <v>0</v>
      </c>
      <c r="O904" s="211">
        <f t="shared" si="127"/>
        <v>0</v>
      </c>
      <c r="P904" s="211">
        <f t="shared" si="127"/>
        <v>0</v>
      </c>
      <c r="Q904" s="212"/>
    </row>
    <row r="905" spans="1:17" s="213" customFormat="1" hidden="1" x14ac:dyDescent="0.25">
      <c r="A905" s="208" t="s">
        <v>263</v>
      </c>
      <c r="B905" s="209" t="s">
        <v>1822</v>
      </c>
      <c r="C905" s="209" t="s">
        <v>1823</v>
      </c>
      <c r="D905" s="209" t="s">
        <v>1934</v>
      </c>
      <c r="E905" s="209" t="s">
        <v>1836</v>
      </c>
      <c r="F905" s="209" t="s">
        <v>1825</v>
      </c>
      <c r="G905" s="209"/>
      <c r="H905" s="210" t="s">
        <v>2728</v>
      </c>
      <c r="I905" s="211">
        <f>SUM(I906:I909)</f>
        <v>0</v>
      </c>
      <c r="J905" s="211">
        <f t="shared" ref="J905:P905" si="128">SUM(J906:J909)</f>
        <v>0</v>
      </c>
      <c r="K905" s="211">
        <f t="shared" si="128"/>
        <v>0</v>
      </c>
      <c r="L905" s="211">
        <f t="shared" si="128"/>
        <v>0</v>
      </c>
      <c r="M905" s="211">
        <f t="shared" si="128"/>
        <v>0</v>
      </c>
      <c r="N905" s="211">
        <f t="shared" si="128"/>
        <v>0</v>
      </c>
      <c r="O905" s="211">
        <f t="shared" si="128"/>
        <v>0</v>
      </c>
      <c r="P905" s="211">
        <f t="shared" si="128"/>
        <v>0</v>
      </c>
      <c r="Q905" s="212"/>
    </row>
    <row r="906" spans="1:17" s="219" customFormat="1" hidden="1" x14ac:dyDescent="0.25">
      <c r="A906" s="214"/>
      <c r="B906" s="215" t="s">
        <v>1822</v>
      </c>
      <c r="C906" s="215" t="s">
        <v>1823</v>
      </c>
      <c r="D906" s="215" t="s">
        <v>1934</v>
      </c>
      <c r="E906" s="215" t="s">
        <v>1836</v>
      </c>
      <c r="F906" s="215" t="s">
        <v>1825</v>
      </c>
      <c r="G906" s="215" t="s">
        <v>58</v>
      </c>
      <c r="H906" s="216" t="s">
        <v>2729</v>
      </c>
      <c r="I906" s="217"/>
      <c r="J906" s="217"/>
      <c r="K906" s="217"/>
      <c r="L906" s="217"/>
      <c r="M906" s="217"/>
      <c r="N906" s="217"/>
      <c r="O906" s="217"/>
      <c r="P906" s="217"/>
      <c r="Q906" s="218"/>
    </row>
    <row r="907" spans="1:17" s="219" customFormat="1" hidden="1" x14ac:dyDescent="0.25">
      <c r="A907" s="214"/>
      <c r="B907" s="215" t="s">
        <v>1822</v>
      </c>
      <c r="C907" s="215" t="s">
        <v>1823</v>
      </c>
      <c r="D907" s="215" t="s">
        <v>1934</v>
      </c>
      <c r="E907" s="215" t="s">
        <v>1836</v>
      </c>
      <c r="F907" s="215" t="s">
        <v>1825</v>
      </c>
      <c r="G907" s="215" t="s">
        <v>75</v>
      </c>
      <c r="H907" s="216" t="s">
        <v>2730</v>
      </c>
      <c r="I907" s="217"/>
      <c r="J907" s="217"/>
      <c r="K907" s="217"/>
      <c r="L907" s="217"/>
      <c r="M907" s="217"/>
      <c r="N907" s="217"/>
      <c r="O907" s="217"/>
      <c r="P907" s="217"/>
      <c r="Q907" s="218"/>
    </row>
    <row r="908" spans="1:17" s="219" customFormat="1" hidden="1" x14ac:dyDescent="0.25">
      <c r="A908" s="214"/>
      <c r="B908" s="215" t="s">
        <v>1822</v>
      </c>
      <c r="C908" s="215" t="s">
        <v>1823</v>
      </c>
      <c r="D908" s="215" t="s">
        <v>1934</v>
      </c>
      <c r="E908" s="215" t="s">
        <v>1836</v>
      </c>
      <c r="F908" s="215" t="s">
        <v>1825</v>
      </c>
      <c r="G908" s="215" t="s">
        <v>79</v>
      </c>
      <c r="H908" s="216" t="s">
        <v>2731</v>
      </c>
      <c r="I908" s="217"/>
      <c r="J908" s="217"/>
      <c r="K908" s="217"/>
      <c r="L908" s="217"/>
      <c r="M908" s="217"/>
      <c r="N908" s="217"/>
      <c r="O908" s="217"/>
      <c r="P908" s="217"/>
      <c r="Q908" s="218"/>
    </row>
    <row r="909" spans="1:17" s="219" customFormat="1" hidden="1" x14ac:dyDescent="0.25">
      <c r="A909" s="214"/>
      <c r="B909" s="215" t="s">
        <v>1822</v>
      </c>
      <c r="C909" s="215" t="s">
        <v>1823</v>
      </c>
      <c r="D909" s="215" t="s">
        <v>1934</v>
      </c>
      <c r="E909" s="215" t="s">
        <v>1836</v>
      </c>
      <c r="F909" s="215" t="s">
        <v>1825</v>
      </c>
      <c r="G909" s="215" t="s">
        <v>84</v>
      </c>
      <c r="H909" s="216" t="s">
        <v>2732</v>
      </c>
      <c r="I909" s="217"/>
      <c r="J909" s="217"/>
      <c r="K909" s="217"/>
      <c r="L909" s="217"/>
      <c r="M909" s="217"/>
      <c r="N909" s="217"/>
      <c r="O909" s="217"/>
      <c r="P909" s="217"/>
      <c r="Q909" s="218"/>
    </row>
    <row r="910" spans="1:17" s="213" customFormat="1" hidden="1" x14ac:dyDescent="0.25">
      <c r="A910" s="208" t="s">
        <v>263</v>
      </c>
      <c r="B910" s="209" t="s">
        <v>1822</v>
      </c>
      <c r="C910" s="209" t="s">
        <v>1823</v>
      </c>
      <c r="D910" s="209" t="s">
        <v>1934</v>
      </c>
      <c r="E910" s="209" t="s">
        <v>1836</v>
      </c>
      <c r="F910" s="209" t="s">
        <v>1836</v>
      </c>
      <c r="G910" s="209"/>
      <c r="H910" s="210" t="s">
        <v>2733</v>
      </c>
      <c r="I910" s="211">
        <f>SUM(I911:I914)</f>
        <v>0</v>
      </c>
      <c r="J910" s="211">
        <f t="shared" ref="J910:P910" si="129">SUM(J911:J914)</f>
        <v>0</v>
      </c>
      <c r="K910" s="211">
        <f t="shared" si="129"/>
        <v>0</v>
      </c>
      <c r="L910" s="211">
        <f t="shared" si="129"/>
        <v>0</v>
      </c>
      <c r="M910" s="211">
        <f t="shared" si="129"/>
        <v>0</v>
      </c>
      <c r="N910" s="211">
        <f t="shared" si="129"/>
        <v>0</v>
      </c>
      <c r="O910" s="211">
        <f t="shared" si="129"/>
        <v>0</v>
      </c>
      <c r="P910" s="211">
        <f t="shared" si="129"/>
        <v>0</v>
      </c>
      <c r="Q910" s="212"/>
    </row>
    <row r="911" spans="1:17" s="219" customFormat="1" hidden="1" x14ac:dyDescent="0.25">
      <c r="A911" s="214"/>
      <c r="B911" s="215" t="s">
        <v>1822</v>
      </c>
      <c r="C911" s="215" t="s">
        <v>1823</v>
      </c>
      <c r="D911" s="215" t="s">
        <v>1934</v>
      </c>
      <c r="E911" s="215" t="s">
        <v>1836</v>
      </c>
      <c r="F911" s="215" t="s">
        <v>1836</v>
      </c>
      <c r="G911" s="215" t="s">
        <v>58</v>
      </c>
      <c r="H911" s="216" t="s">
        <v>2734</v>
      </c>
      <c r="I911" s="217"/>
      <c r="J911" s="217"/>
      <c r="K911" s="217"/>
      <c r="L911" s="217"/>
      <c r="M911" s="217"/>
      <c r="N911" s="217"/>
      <c r="O911" s="217"/>
      <c r="P911" s="217"/>
      <c r="Q911" s="218"/>
    </row>
    <row r="912" spans="1:17" s="219" customFormat="1" ht="30" hidden="1" x14ac:dyDescent="0.25">
      <c r="A912" s="214"/>
      <c r="B912" s="215" t="s">
        <v>1822</v>
      </c>
      <c r="C912" s="215" t="s">
        <v>1823</v>
      </c>
      <c r="D912" s="215" t="s">
        <v>1934</v>
      </c>
      <c r="E912" s="215" t="s">
        <v>1836</v>
      </c>
      <c r="F912" s="215" t="s">
        <v>1836</v>
      </c>
      <c r="G912" s="215" t="s">
        <v>75</v>
      </c>
      <c r="H912" s="216" t="s">
        <v>2735</v>
      </c>
      <c r="I912" s="217"/>
      <c r="J912" s="217"/>
      <c r="K912" s="217"/>
      <c r="L912" s="217"/>
      <c r="M912" s="217"/>
      <c r="N912" s="217"/>
      <c r="O912" s="217"/>
      <c r="P912" s="217"/>
      <c r="Q912" s="218"/>
    </row>
    <row r="913" spans="1:17" s="219" customFormat="1" hidden="1" x14ac:dyDescent="0.25">
      <c r="A913" s="214"/>
      <c r="B913" s="215" t="s">
        <v>1822</v>
      </c>
      <c r="C913" s="215" t="s">
        <v>1823</v>
      </c>
      <c r="D913" s="215" t="s">
        <v>1934</v>
      </c>
      <c r="E913" s="215" t="s">
        <v>1836</v>
      </c>
      <c r="F913" s="215" t="s">
        <v>1836</v>
      </c>
      <c r="G913" s="215" t="s">
        <v>79</v>
      </c>
      <c r="H913" s="216" t="s">
        <v>2736</v>
      </c>
      <c r="I913" s="217"/>
      <c r="J913" s="217"/>
      <c r="K913" s="217"/>
      <c r="L913" s="217"/>
      <c r="M913" s="217"/>
      <c r="N913" s="217"/>
      <c r="O913" s="217"/>
      <c r="P913" s="217"/>
      <c r="Q913" s="218"/>
    </row>
    <row r="914" spans="1:17" s="219" customFormat="1" hidden="1" x14ac:dyDescent="0.25">
      <c r="A914" s="214"/>
      <c r="B914" s="215" t="s">
        <v>1822</v>
      </c>
      <c r="C914" s="215" t="s">
        <v>1823</v>
      </c>
      <c r="D914" s="215" t="s">
        <v>1934</v>
      </c>
      <c r="E914" s="215" t="s">
        <v>1836</v>
      </c>
      <c r="F914" s="215" t="s">
        <v>1836</v>
      </c>
      <c r="G914" s="215" t="s">
        <v>84</v>
      </c>
      <c r="H914" s="216" t="s">
        <v>2737</v>
      </c>
      <c r="I914" s="217"/>
      <c r="J914" s="217"/>
      <c r="K914" s="217"/>
      <c r="L914" s="217"/>
      <c r="M914" s="217"/>
      <c r="N914" s="217"/>
      <c r="O914" s="217"/>
      <c r="P914" s="217"/>
      <c r="Q914" s="218"/>
    </row>
    <row r="915" spans="1:17" s="213" customFormat="1" hidden="1" x14ac:dyDescent="0.25">
      <c r="A915" s="208" t="s">
        <v>263</v>
      </c>
      <c r="B915" s="209" t="s">
        <v>1822</v>
      </c>
      <c r="C915" s="209" t="s">
        <v>1823</v>
      </c>
      <c r="D915" s="209" t="s">
        <v>1934</v>
      </c>
      <c r="E915" s="209" t="s">
        <v>1836</v>
      </c>
      <c r="F915" s="209" t="s">
        <v>1847</v>
      </c>
      <c r="G915" s="209"/>
      <c r="H915" s="210" t="s">
        <v>2738</v>
      </c>
      <c r="I915" s="211">
        <f>SUM(I916:I917)</f>
        <v>0</v>
      </c>
      <c r="J915" s="211">
        <f t="shared" ref="J915:P915" si="130">SUM(J916:J917)</f>
        <v>0</v>
      </c>
      <c r="K915" s="211">
        <f t="shared" si="130"/>
        <v>0</v>
      </c>
      <c r="L915" s="211">
        <f t="shared" si="130"/>
        <v>0</v>
      </c>
      <c r="M915" s="211">
        <f t="shared" si="130"/>
        <v>0</v>
      </c>
      <c r="N915" s="211">
        <f t="shared" si="130"/>
        <v>0</v>
      </c>
      <c r="O915" s="211">
        <f t="shared" si="130"/>
        <v>0</v>
      </c>
      <c r="P915" s="211">
        <f t="shared" si="130"/>
        <v>0</v>
      </c>
      <c r="Q915" s="212"/>
    </row>
    <row r="916" spans="1:17" s="219" customFormat="1" hidden="1" x14ac:dyDescent="0.25">
      <c r="A916" s="214"/>
      <c r="B916" s="215" t="s">
        <v>1822</v>
      </c>
      <c r="C916" s="215" t="s">
        <v>1823</v>
      </c>
      <c r="D916" s="215" t="s">
        <v>1934</v>
      </c>
      <c r="E916" s="215" t="s">
        <v>1836</v>
      </c>
      <c r="F916" s="215" t="s">
        <v>1847</v>
      </c>
      <c r="G916" s="215" t="s">
        <v>58</v>
      </c>
      <c r="H916" s="216" t="s">
        <v>2739</v>
      </c>
      <c r="I916" s="217"/>
      <c r="J916" s="217"/>
      <c r="K916" s="217"/>
      <c r="L916" s="217"/>
      <c r="M916" s="217"/>
      <c r="N916" s="217"/>
      <c r="O916" s="217"/>
      <c r="P916" s="217"/>
      <c r="Q916" s="218"/>
    </row>
    <row r="917" spans="1:17" s="219" customFormat="1" hidden="1" x14ac:dyDescent="0.25">
      <c r="A917" s="214"/>
      <c r="B917" s="215" t="s">
        <v>1822</v>
      </c>
      <c r="C917" s="215" t="s">
        <v>1823</v>
      </c>
      <c r="D917" s="215" t="s">
        <v>1934</v>
      </c>
      <c r="E917" s="215" t="s">
        <v>1836</v>
      </c>
      <c r="F917" s="215" t="s">
        <v>1847</v>
      </c>
      <c r="G917" s="215" t="s">
        <v>75</v>
      </c>
      <c r="H917" s="216" t="s">
        <v>2740</v>
      </c>
      <c r="I917" s="217"/>
      <c r="J917" s="217"/>
      <c r="K917" s="217"/>
      <c r="L917" s="217"/>
      <c r="M917" s="217"/>
      <c r="N917" s="217"/>
      <c r="O917" s="217"/>
      <c r="P917" s="217"/>
      <c r="Q917" s="218"/>
    </row>
    <row r="918" spans="1:17" s="213" customFormat="1" hidden="1" x14ac:dyDescent="0.25">
      <c r="A918" s="208" t="s">
        <v>1938</v>
      </c>
      <c r="B918" s="209" t="s">
        <v>1822</v>
      </c>
      <c r="C918" s="209" t="s">
        <v>1823</v>
      </c>
      <c r="D918" s="209" t="s">
        <v>1934</v>
      </c>
      <c r="E918" s="209" t="s">
        <v>1847</v>
      </c>
      <c r="F918" s="209"/>
      <c r="G918" s="209"/>
      <c r="H918" s="210" t="s">
        <v>2741</v>
      </c>
      <c r="I918" s="211">
        <f>I919+I924+I929</f>
        <v>0</v>
      </c>
      <c r="J918" s="211">
        <f t="shared" ref="J918:P918" si="131">J919+J924+J929</f>
        <v>0</v>
      </c>
      <c r="K918" s="211">
        <f t="shared" si="131"/>
        <v>0</v>
      </c>
      <c r="L918" s="211">
        <f t="shared" si="131"/>
        <v>0</v>
      </c>
      <c r="M918" s="211">
        <f t="shared" si="131"/>
        <v>0</v>
      </c>
      <c r="N918" s="211">
        <f t="shared" si="131"/>
        <v>0</v>
      </c>
      <c r="O918" s="211">
        <f t="shared" si="131"/>
        <v>0</v>
      </c>
      <c r="P918" s="211">
        <f t="shared" si="131"/>
        <v>0</v>
      </c>
      <c r="Q918" s="212"/>
    </row>
    <row r="919" spans="1:17" s="213" customFormat="1" hidden="1" x14ac:dyDescent="0.25">
      <c r="A919" s="208" t="s">
        <v>263</v>
      </c>
      <c r="B919" s="209" t="s">
        <v>1822</v>
      </c>
      <c r="C919" s="209" t="s">
        <v>1823</v>
      </c>
      <c r="D919" s="209" t="s">
        <v>1934</v>
      </c>
      <c r="E919" s="209" t="s">
        <v>1847</v>
      </c>
      <c r="F919" s="209" t="s">
        <v>1825</v>
      </c>
      <c r="G919" s="209"/>
      <c r="H919" s="210" t="s">
        <v>2742</v>
      </c>
      <c r="I919" s="211">
        <f>SUM(I920:I923)</f>
        <v>0</v>
      </c>
      <c r="J919" s="211">
        <f t="shared" ref="J919:P919" si="132">SUM(J920:J923)</f>
        <v>0</v>
      </c>
      <c r="K919" s="211">
        <f t="shared" si="132"/>
        <v>0</v>
      </c>
      <c r="L919" s="211">
        <f t="shared" si="132"/>
        <v>0</v>
      </c>
      <c r="M919" s="211">
        <f t="shared" si="132"/>
        <v>0</v>
      </c>
      <c r="N919" s="211">
        <f t="shared" si="132"/>
        <v>0</v>
      </c>
      <c r="O919" s="211">
        <f t="shared" si="132"/>
        <v>0</v>
      </c>
      <c r="P919" s="211">
        <f t="shared" si="132"/>
        <v>0</v>
      </c>
      <c r="Q919" s="212"/>
    </row>
    <row r="920" spans="1:17" s="219" customFormat="1" hidden="1" x14ac:dyDescent="0.25">
      <c r="A920" s="214"/>
      <c r="B920" s="215" t="s">
        <v>1822</v>
      </c>
      <c r="C920" s="215" t="s">
        <v>1823</v>
      </c>
      <c r="D920" s="215" t="s">
        <v>1934</v>
      </c>
      <c r="E920" s="215" t="s">
        <v>1847</v>
      </c>
      <c r="F920" s="215" t="s">
        <v>1825</v>
      </c>
      <c r="G920" s="215" t="s">
        <v>58</v>
      </c>
      <c r="H920" s="216" t="s">
        <v>2743</v>
      </c>
      <c r="I920" s="217"/>
      <c r="J920" s="217"/>
      <c r="K920" s="217"/>
      <c r="L920" s="217"/>
      <c r="M920" s="217"/>
      <c r="N920" s="217"/>
      <c r="O920" s="217"/>
      <c r="P920" s="217"/>
      <c r="Q920" s="218"/>
    </row>
    <row r="921" spans="1:17" s="219" customFormat="1" hidden="1" x14ac:dyDescent="0.25">
      <c r="A921" s="214"/>
      <c r="B921" s="215" t="s">
        <v>1822</v>
      </c>
      <c r="C921" s="215" t="s">
        <v>1823</v>
      </c>
      <c r="D921" s="215" t="s">
        <v>1934</v>
      </c>
      <c r="E921" s="215" t="s">
        <v>1847</v>
      </c>
      <c r="F921" s="215" t="s">
        <v>1825</v>
      </c>
      <c r="G921" s="215" t="s">
        <v>75</v>
      </c>
      <c r="H921" s="216" t="s">
        <v>2744</v>
      </c>
      <c r="I921" s="217"/>
      <c r="J921" s="217"/>
      <c r="K921" s="217"/>
      <c r="L921" s="217"/>
      <c r="M921" s="217"/>
      <c r="N921" s="217"/>
      <c r="O921" s="217"/>
      <c r="P921" s="217"/>
      <c r="Q921" s="218"/>
    </row>
    <row r="922" spans="1:17" s="219" customFormat="1" hidden="1" x14ac:dyDescent="0.25">
      <c r="A922" s="214"/>
      <c r="B922" s="215" t="s">
        <v>1822</v>
      </c>
      <c r="C922" s="215" t="s">
        <v>1823</v>
      </c>
      <c r="D922" s="215" t="s">
        <v>1934</v>
      </c>
      <c r="E922" s="215" t="s">
        <v>1847</v>
      </c>
      <c r="F922" s="215" t="s">
        <v>1825</v>
      </c>
      <c r="G922" s="215" t="s">
        <v>79</v>
      </c>
      <c r="H922" s="216" t="s">
        <v>2745</v>
      </c>
      <c r="I922" s="217"/>
      <c r="J922" s="217"/>
      <c r="K922" s="217"/>
      <c r="L922" s="217"/>
      <c r="M922" s="217"/>
      <c r="N922" s="217"/>
      <c r="O922" s="217"/>
      <c r="P922" s="217"/>
      <c r="Q922" s="218"/>
    </row>
    <row r="923" spans="1:17" s="219" customFormat="1" hidden="1" x14ac:dyDescent="0.25">
      <c r="A923" s="214"/>
      <c r="B923" s="215" t="s">
        <v>1822</v>
      </c>
      <c r="C923" s="215" t="s">
        <v>1823</v>
      </c>
      <c r="D923" s="215" t="s">
        <v>1934</v>
      </c>
      <c r="E923" s="215" t="s">
        <v>1847</v>
      </c>
      <c r="F923" s="215" t="s">
        <v>1825</v>
      </c>
      <c r="G923" s="215" t="s">
        <v>84</v>
      </c>
      <c r="H923" s="216" t="s">
        <v>2746</v>
      </c>
      <c r="I923" s="217"/>
      <c r="J923" s="217"/>
      <c r="K923" s="217"/>
      <c r="L923" s="217"/>
      <c r="M923" s="217"/>
      <c r="N923" s="217"/>
      <c r="O923" s="217"/>
      <c r="P923" s="217"/>
      <c r="Q923" s="218"/>
    </row>
    <row r="924" spans="1:17" s="213" customFormat="1" hidden="1" x14ac:dyDescent="0.25">
      <c r="A924" s="208" t="s">
        <v>263</v>
      </c>
      <c r="B924" s="209" t="s">
        <v>1822</v>
      </c>
      <c r="C924" s="209" t="s">
        <v>1823</v>
      </c>
      <c r="D924" s="209" t="s">
        <v>1934</v>
      </c>
      <c r="E924" s="209" t="s">
        <v>1847</v>
      </c>
      <c r="F924" s="209" t="s">
        <v>1836</v>
      </c>
      <c r="G924" s="209"/>
      <c r="H924" s="210" t="s">
        <v>2747</v>
      </c>
      <c r="I924" s="211">
        <f>SUM(I925:I928)</f>
        <v>0</v>
      </c>
      <c r="J924" s="211">
        <f t="shared" ref="J924:P924" si="133">SUM(J925:J928)</f>
        <v>0</v>
      </c>
      <c r="K924" s="211">
        <f t="shared" si="133"/>
        <v>0</v>
      </c>
      <c r="L924" s="211">
        <f t="shared" si="133"/>
        <v>0</v>
      </c>
      <c r="M924" s="211">
        <f t="shared" si="133"/>
        <v>0</v>
      </c>
      <c r="N924" s="211">
        <f t="shared" si="133"/>
        <v>0</v>
      </c>
      <c r="O924" s="211">
        <f t="shared" si="133"/>
        <v>0</v>
      </c>
      <c r="P924" s="211">
        <f t="shared" si="133"/>
        <v>0</v>
      </c>
      <c r="Q924" s="212"/>
    </row>
    <row r="925" spans="1:17" s="219" customFormat="1" hidden="1" x14ac:dyDescent="0.25">
      <c r="A925" s="214"/>
      <c r="B925" s="215" t="s">
        <v>1822</v>
      </c>
      <c r="C925" s="215" t="s">
        <v>1823</v>
      </c>
      <c r="D925" s="215" t="s">
        <v>1934</v>
      </c>
      <c r="E925" s="215" t="s">
        <v>1847</v>
      </c>
      <c r="F925" s="215" t="s">
        <v>1836</v>
      </c>
      <c r="G925" s="215" t="s">
        <v>58</v>
      </c>
      <c r="H925" s="216" t="s">
        <v>2748</v>
      </c>
      <c r="I925" s="217"/>
      <c r="J925" s="217"/>
      <c r="K925" s="217"/>
      <c r="L925" s="217"/>
      <c r="M925" s="217"/>
      <c r="N925" s="217"/>
      <c r="O925" s="217"/>
      <c r="P925" s="217"/>
      <c r="Q925" s="218"/>
    </row>
    <row r="926" spans="1:17" s="219" customFormat="1" hidden="1" x14ac:dyDescent="0.25">
      <c r="A926" s="214"/>
      <c r="B926" s="215" t="s">
        <v>1822</v>
      </c>
      <c r="C926" s="215" t="s">
        <v>1823</v>
      </c>
      <c r="D926" s="215" t="s">
        <v>1934</v>
      </c>
      <c r="E926" s="215" t="s">
        <v>1847</v>
      </c>
      <c r="F926" s="215" t="s">
        <v>1836</v>
      </c>
      <c r="G926" s="215" t="s">
        <v>75</v>
      </c>
      <c r="H926" s="216" t="s">
        <v>2749</v>
      </c>
      <c r="I926" s="217"/>
      <c r="J926" s="217"/>
      <c r="K926" s="217"/>
      <c r="L926" s="217"/>
      <c r="M926" s="217"/>
      <c r="N926" s="217"/>
      <c r="O926" s="217"/>
      <c r="P926" s="217"/>
      <c r="Q926" s="218"/>
    </row>
    <row r="927" spans="1:17" s="219" customFormat="1" hidden="1" x14ac:dyDescent="0.25">
      <c r="A927" s="214"/>
      <c r="B927" s="215" t="s">
        <v>1822</v>
      </c>
      <c r="C927" s="215" t="s">
        <v>1823</v>
      </c>
      <c r="D927" s="215" t="s">
        <v>1934</v>
      </c>
      <c r="E927" s="215" t="s">
        <v>1847</v>
      </c>
      <c r="F927" s="215" t="s">
        <v>1836</v>
      </c>
      <c r="G927" s="215" t="s">
        <v>79</v>
      </c>
      <c r="H927" s="216" t="s">
        <v>2750</v>
      </c>
      <c r="I927" s="217"/>
      <c r="J927" s="217"/>
      <c r="K927" s="217"/>
      <c r="L927" s="217"/>
      <c r="M927" s="217"/>
      <c r="N927" s="217"/>
      <c r="O927" s="217"/>
      <c r="P927" s="217"/>
      <c r="Q927" s="218"/>
    </row>
    <row r="928" spans="1:17" s="219" customFormat="1" hidden="1" x14ac:dyDescent="0.25">
      <c r="A928" s="214"/>
      <c r="B928" s="215" t="s">
        <v>1822</v>
      </c>
      <c r="C928" s="215" t="s">
        <v>1823</v>
      </c>
      <c r="D928" s="215" t="s">
        <v>1934</v>
      </c>
      <c r="E928" s="215" t="s">
        <v>1847</v>
      </c>
      <c r="F928" s="215" t="s">
        <v>1836</v>
      </c>
      <c r="G928" s="215" t="s">
        <v>84</v>
      </c>
      <c r="H928" s="216" t="s">
        <v>2751</v>
      </c>
      <c r="I928" s="217"/>
      <c r="J928" s="217"/>
      <c r="K928" s="217"/>
      <c r="L928" s="217"/>
      <c r="M928" s="217"/>
      <c r="N928" s="217"/>
      <c r="O928" s="217"/>
      <c r="P928" s="217"/>
      <c r="Q928" s="218"/>
    </row>
    <row r="929" spans="1:17" s="213" customFormat="1" hidden="1" x14ac:dyDescent="0.25">
      <c r="A929" s="208" t="s">
        <v>263</v>
      </c>
      <c r="B929" s="209" t="s">
        <v>1822</v>
      </c>
      <c r="C929" s="209" t="s">
        <v>1823</v>
      </c>
      <c r="D929" s="209" t="s">
        <v>1934</v>
      </c>
      <c r="E929" s="209" t="s">
        <v>1847</v>
      </c>
      <c r="F929" s="209" t="s">
        <v>1847</v>
      </c>
      <c r="G929" s="209"/>
      <c r="H929" s="210" t="s">
        <v>2752</v>
      </c>
      <c r="I929" s="211">
        <f>I930</f>
        <v>0</v>
      </c>
      <c r="J929" s="211">
        <f t="shared" ref="J929:P929" si="134">J930</f>
        <v>0</v>
      </c>
      <c r="K929" s="211">
        <f t="shared" si="134"/>
        <v>0</v>
      </c>
      <c r="L929" s="211">
        <f t="shared" si="134"/>
        <v>0</v>
      </c>
      <c r="M929" s="211">
        <f t="shared" si="134"/>
        <v>0</v>
      </c>
      <c r="N929" s="211">
        <f t="shared" si="134"/>
        <v>0</v>
      </c>
      <c r="O929" s="211">
        <f t="shared" si="134"/>
        <v>0</v>
      </c>
      <c r="P929" s="211">
        <f t="shared" si="134"/>
        <v>0</v>
      </c>
      <c r="Q929" s="212"/>
    </row>
    <row r="930" spans="1:17" s="219" customFormat="1" hidden="1" x14ac:dyDescent="0.25">
      <c r="A930" s="214"/>
      <c r="B930" s="215" t="s">
        <v>1822</v>
      </c>
      <c r="C930" s="215" t="s">
        <v>1823</v>
      </c>
      <c r="D930" s="215" t="s">
        <v>1934</v>
      </c>
      <c r="E930" s="215" t="s">
        <v>1847</v>
      </c>
      <c r="F930" s="215" t="s">
        <v>1847</v>
      </c>
      <c r="G930" s="215" t="s">
        <v>58</v>
      </c>
      <c r="H930" s="216" t="s">
        <v>2752</v>
      </c>
      <c r="I930" s="217"/>
      <c r="J930" s="217"/>
      <c r="K930" s="217"/>
      <c r="L930" s="217"/>
      <c r="M930" s="217"/>
      <c r="N930" s="217"/>
      <c r="O930" s="217"/>
      <c r="P930" s="217"/>
      <c r="Q930" s="218"/>
    </row>
    <row r="931" spans="1:17" s="213" customFormat="1" hidden="1" x14ac:dyDescent="0.25">
      <c r="A931" s="208" t="s">
        <v>1984</v>
      </c>
      <c r="B931" s="209" t="s">
        <v>1822</v>
      </c>
      <c r="C931" s="209" t="s">
        <v>1823</v>
      </c>
      <c r="D931" s="209" t="s">
        <v>1934</v>
      </c>
      <c r="E931" s="209" t="s">
        <v>1928</v>
      </c>
      <c r="F931" s="209"/>
      <c r="G931" s="209"/>
      <c r="H931" s="210" t="s">
        <v>2753</v>
      </c>
      <c r="I931" s="211">
        <f>SUM(I932+I934+I936+I938+I940+I942+I944+I946+I948+I950)</f>
        <v>0</v>
      </c>
      <c r="J931" s="211">
        <f t="shared" ref="J931:P931" si="135">SUM(J932+J934+J936+J938+J940+J942+J944+J946+J948+J950)</f>
        <v>0</v>
      </c>
      <c r="K931" s="211">
        <f t="shared" si="135"/>
        <v>0</v>
      </c>
      <c r="L931" s="211">
        <f t="shared" si="135"/>
        <v>0</v>
      </c>
      <c r="M931" s="211">
        <f t="shared" si="135"/>
        <v>0</v>
      </c>
      <c r="N931" s="211">
        <f t="shared" si="135"/>
        <v>0</v>
      </c>
      <c r="O931" s="211">
        <f t="shared" si="135"/>
        <v>0</v>
      </c>
      <c r="P931" s="211">
        <f t="shared" si="135"/>
        <v>0</v>
      </c>
      <c r="Q931" s="212"/>
    </row>
    <row r="932" spans="1:17" s="213" customFormat="1" hidden="1" x14ac:dyDescent="0.25">
      <c r="A932" s="208" t="s">
        <v>263</v>
      </c>
      <c r="B932" s="209" t="s">
        <v>1822</v>
      </c>
      <c r="C932" s="209" t="s">
        <v>1823</v>
      </c>
      <c r="D932" s="209" t="s">
        <v>1934</v>
      </c>
      <c r="E932" s="209" t="s">
        <v>1928</v>
      </c>
      <c r="F932" s="209" t="s">
        <v>1825</v>
      </c>
      <c r="G932" s="209"/>
      <c r="H932" s="210" t="s">
        <v>2754</v>
      </c>
      <c r="I932" s="211">
        <f>I933</f>
        <v>0</v>
      </c>
      <c r="J932" s="211">
        <f t="shared" ref="J932:P932" si="136">J933</f>
        <v>0</v>
      </c>
      <c r="K932" s="211">
        <f t="shared" si="136"/>
        <v>0</v>
      </c>
      <c r="L932" s="211">
        <f t="shared" si="136"/>
        <v>0</v>
      </c>
      <c r="M932" s="211">
        <f t="shared" si="136"/>
        <v>0</v>
      </c>
      <c r="N932" s="211">
        <f t="shared" si="136"/>
        <v>0</v>
      </c>
      <c r="O932" s="211">
        <f t="shared" si="136"/>
        <v>0</v>
      </c>
      <c r="P932" s="211">
        <f t="shared" si="136"/>
        <v>0</v>
      </c>
      <c r="Q932" s="212"/>
    </row>
    <row r="933" spans="1:17" s="219" customFormat="1" hidden="1" x14ac:dyDescent="0.25">
      <c r="A933" s="214"/>
      <c r="B933" s="215" t="s">
        <v>1822</v>
      </c>
      <c r="C933" s="215" t="s">
        <v>1823</v>
      </c>
      <c r="D933" s="215" t="s">
        <v>1934</v>
      </c>
      <c r="E933" s="215" t="s">
        <v>1928</v>
      </c>
      <c r="F933" s="215" t="s">
        <v>1825</v>
      </c>
      <c r="G933" s="215" t="s">
        <v>58</v>
      </c>
      <c r="H933" s="216" t="s">
        <v>2755</v>
      </c>
      <c r="I933" s="217"/>
      <c r="J933" s="217"/>
      <c r="K933" s="217"/>
      <c r="L933" s="217"/>
      <c r="M933" s="217"/>
      <c r="N933" s="217"/>
      <c r="O933" s="217"/>
      <c r="P933" s="217"/>
      <c r="Q933" s="218"/>
    </row>
    <row r="934" spans="1:17" s="213" customFormat="1" ht="30" hidden="1" x14ac:dyDescent="0.25">
      <c r="A934" s="208" t="s">
        <v>263</v>
      </c>
      <c r="B934" s="209" t="s">
        <v>1822</v>
      </c>
      <c r="C934" s="209" t="s">
        <v>1823</v>
      </c>
      <c r="D934" s="209" t="s">
        <v>1934</v>
      </c>
      <c r="E934" s="209" t="s">
        <v>1928</v>
      </c>
      <c r="F934" s="209" t="s">
        <v>1836</v>
      </c>
      <c r="G934" s="209"/>
      <c r="H934" s="210" t="s">
        <v>2756</v>
      </c>
      <c r="I934" s="211">
        <f>I935</f>
        <v>0</v>
      </c>
      <c r="J934" s="211">
        <f t="shared" ref="J934:P934" si="137">J935</f>
        <v>0</v>
      </c>
      <c r="K934" s="211">
        <f t="shared" si="137"/>
        <v>0</v>
      </c>
      <c r="L934" s="211">
        <f t="shared" si="137"/>
        <v>0</v>
      </c>
      <c r="M934" s="211">
        <f t="shared" si="137"/>
        <v>0</v>
      </c>
      <c r="N934" s="211">
        <f t="shared" si="137"/>
        <v>0</v>
      </c>
      <c r="O934" s="211">
        <f t="shared" si="137"/>
        <v>0</v>
      </c>
      <c r="P934" s="211">
        <f t="shared" si="137"/>
        <v>0</v>
      </c>
      <c r="Q934" s="212"/>
    </row>
    <row r="935" spans="1:17" s="219" customFormat="1" ht="45" hidden="1" x14ac:dyDescent="0.25">
      <c r="A935" s="214"/>
      <c r="B935" s="215" t="s">
        <v>1822</v>
      </c>
      <c r="C935" s="215" t="s">
        <v>1823</v>
      </c>
      <c r="D935" s="215" t="s">
        <v>1934</v>
      </c>
      <c r="E935" s="215" t="s">
        <v>1928</v>
      </c>
      <c r="F935" s="215" t="s">
        <v>1836</v>
      </c>
      <c r="G935" s="215" t="s">
        <v>58</v>
      </c>
      <c r="H935" s="216" t="s">
        <v>2757</v>
      </c>
      <c r="I935" s="217"/>
      <c r="J935" s="217"/>
      <c r="K935" s="217"/>
      <c r="L935" s="217"/>
      <c r="M935" s="217"/>
      <c r="N935" s="217"/>
      <c r="O935" s="217"/>
      <c r="P935" s="217"/>
      <c r="Q935" s="218"/>
    </row>
    <row r="936" spans="1:17" s="213" customFormat="1" ht="45" hidden="1" x14ac:dyDescent="0.25">
      <c r="A936" s="208" t="s">
        <v>263</v>
      </c>
      <c r="B936" s="209" t="s">
        <v>1822</v>
      </c>
      <c r="C936" s="209" t="s">
        <v>1823</v>
      </c>
      <c r="D936" s="209" t="s">
        <v>1934</v>
      </c>
      <c r="E936" s="209" t="s">
        <v>1928</v>
      </c>
      <c r="F936" s="209" t="s">
        <v>1847</v>
      </c>
      <c r="G936" s="209"/>
      <c r="H936" s="210" t="s">
        <v>2758</v>
      </c>
      <c r="I936" s="211">
        <f>I937</f>
        <v>0</v>
      </c>
      <c r="J936" s="211">
        <f t="shared" ref="J936:P936" si="138">J937</f>
        <v>0</v>
      </c>
      <c r="K936" s="211">
        <f t="shared" si="138"/>
        <v>0</v>
      </c>
      <c r="L936" s="211">
        <f t="shared" si="138"/>
        <v>0</v>
      </c>
      <c r="M936" s="211">
        <f t="shared" si="138"/>
        <v>0</v>
      </c>
      <c r="N936" s="211">
        <f t="shared" si="138"/>
        <v>0</v>
      </c>
      <c r="O936" s="211">
        <f t="shared" si="138"/>
        <v>0</v>
      </c>
      <c r="P936" s="211">
        <f t="shared" si="138"/>
        <v>0</v>
      </c>
      <c r="Q936" s="212"/>
    </row>
    <row r="937" spans="1:17" s="219" customFormat="1" ht="45" hidden="1" x14ac:dyDescent="0.25">
      <c r="A937" s="214"/>
      <c r="B937" s="215" t="s">
        <v>1822</v>
      </c>
      <c r="C937" s="215" t="s">
        <v>1823</v>
      </c>
      <c r="D937" s="215" t="s">
        <v>1934</v>
      </c>
      <c r="E937" s="215" t="s">
        <v>1928</v>
      </c>
      <c r="F937" s="215" t="s">
        <v>1847</v>
      </c>
      <c r="G937" s="215" t="s">
        <v>58</v>
      </c>
      <c r="H937" s="216" t="s">
        <v>2759</v>
      </c>
      <c r="I937" s="217"/>
      <c r="J937" s="217"/>
      <c r="K937" s="217"/>
      <c r="L937" s="217"/>
      <c r="M937" s="217"/>
      <c r="N937" s="217"/>
      <c r="O937" s="217"/>
      <c r="P937" s="217"/>
      <c r="Q937" s="218"/>
    </row>
    <row r="938" spans="1:17" s="213" customFormat="1" ht="30" hidden="1" x14ac:dyDescent="0.25">
      <c r="A938" s="208" t="s">
        <v>263</v>
      </c>
      <c r="B938" s="209" t="s">
        <v>1822</v>
      </c>
      <c r="C938" s="209" t="s">
        <v>1823</v>
      </c>
      <c r="D938" s="209" t="s">
        <v>1934</v>
      </c>
      <c r="E938" s="209" t="s">
        <v>1928</v>
      </c>
      <c r="F938" s="209" t="s">
        <v>1928</v>
      </c>
      <c r="G938" s="209"/>
      <c r="H938" s="210" t="s">
        <v>2760</v>
      </c>
      <c r="I938" s="211">
        <f>I939</f>
        <v>0</v>
      </c>
      <c r="J938" s="211">
        <f t="shared" ref="J938:P938" si="139">J939</f>
        <v>0</v>
      </c>
      <c r="K938" s="211">
        <f t="shared" si="139"/>
        <v>0</v>
      </c>
      <c r="L938" s="211">
        <f t="shared" si="139"/>
        <v>0</v>
      </c>
      <c r="M938" s="211">
        <f t="shared" si="139"/>
        <v>0</v>
      </c>
      <c r="N938" s="211">
        <f t="shared" si="139"/>
        <v>0</v>
      </c>
      <c r="O938" s="211">
        <f t="shared" si="139"/>
        <v>0</v>
      </c>
      <c r="P938" s="211">
        <f t="shared" si="139"/>
        <v>0</v>
      </c>
      <c r="Q938" s="212"/>
    </row>
    <row r="939" spans="1:17" s="219" customFormat="1" ht="30" hidden="1" x14ac:dyDescent="0.25">
      <c r="A939" s="214"/>
      <c r="B939" s="215" t="s">
        <v>1822</v>
      </c>
      <c r="C939" s="215" t="s">
        <v>1823</v>
      </c>
      <c r="D939" s="215" t="s">
        <v>1934</v>
      </c>
      <c r="E939" s="215" t="s">
        <v>1928</v>
      </c>
      <c r="F939" s="215" t="s">
        <v>1928</v>
      </c>
      <c r="G939" s="215" t="s">
        <v>58</v>
      </c>
      <c r="H939" s="216" t="s">
        <v>2761</v>
      </c>
      <c r="I939" s="217"/>
      <c r="J939" s="217"/>
      <c r="K939" s="217"/>
      <c r="L939" s="217"/>
      <c r="M939" s="217"/>
      <c r="N939" s="217"/>
      <c r="O939" s="217"/>
      <c r="P939" s="217"/>
      <c r="Q939" s="218"/>
    </row>
    <row r="940" spans="1:17" s="213" customFormat="1" ht="30" hidden="1" x14ac:dyDescent="0.25">
      <c r="A940" s="208" t="s">
        <v>263</v>
      </c>
      <c r="B940" s="209" t="s">
        <v>1822</v>
      </c>
      <c r="C940" s="209" t="s">
        <v>1823</v>
      </c>
      <c r="D940" s="209" t="s">
        <v>1934</v>
      </c>
      <c r="E940" s="209" t="s">
        <v>1928</v>
      </c>
      <c r="F940" s="209" t="s">
        <v>1934</v>
      </c>
      <c r="G940" s="209"/>
      <c r="H940" s="210" t="s">
        <v>2762</v>
      </c>
      <c r="I940" s="211">
        <f>I941</f>
        <v>0</v>
      </c>
      <c r="J940" s="211">
        <f t="shared" ref="J940:P940" si="140">J941</f>
        <v>0</v>
      </c>
      <c r="K940" s="211">
        <f t="shared" si="140"/>
        <v>0</v>
      </c>
      <c r="L940" s="211">
        <f t="shared" si="140"/>
        <v>0</v>
      </c>
      <c r="M940" s="211">
        <f t="shared" si="140"/>
        <v>0</v>
      </c>
      <c r="N940" s="211">
        <f t="shared" si="140"/>
        <v>0</v>
      </c>
      <c r="O940" s="211">
        <f t="shared" si="140"/>
        <v>0</v>
      </c>
      <c r="P940" s="211">
        <f t="shared" si="140"/>
        <v>0</v>
      </c>
      <c r="Q940" s="212"/>
    </row>
    <row r="941" spans="1:17" s="219" customFormat="1" ht="30" hidden="1" x14ac:dyDescent="0.25">
      <c r="A941" s="214"/>
      <c r="B941" s="215" t="s">
        <v>1822</v>
      </c>
      <c r="C941" s="215" t="s">
        <v>1823</v>
      </c>
      <c r="D941" s="215" t="s">
        <v>1934</v>
      </c>
      <c r="E941" s="215" t="s">
        <v>1928</v>
      </c>
      <c r="F941" s="215" t="s">
        <v>1934</v>
      </c>
      <c r="G941" s="215" t="s">
        <v>58</v>
      </c>
      <c r="H941" s="216" t="s">
        <v>2763</v>
      </c>
      <c r="I941" s="217"/>
      <c r="J941" s="217"/>
      <c r="K941" s="217"/>
      <c r="L941" s="217"/>
      <c r="M941" s="217"/>
      <c r="N941" s="217"/>
      <c r="O941" s="217"/>
      <c r="P941" s="217"/>
      <c r="Q941" s="218"/>
    </row>
    <row r="942" spans="1:17" s="213" customFormat="1" hidden="1" x14ac:dyDescent="0.25">
      <c r="A942" s="208" t="s">
        <v>263</v>
      </c>
      <c r="B942" s="209" t="s">
        <v>1822</v>
      </c>
      <c r="C942" s="209" t="s">
        <v>1823</v>
      </c>
      <c r="D942" s="209" t="s">
        <v>1934</v>
      </c>
      <c r="E942" s="209" t="s">
        <v>1928</v>
      </c>
      <c r="F942" s="209" t="s">
        <v>2022</v>
      </c>
      <c r="G942" s="209"/>
      <c r="H942" s="210" t="s">
        <v>2764</v>
      </c>
      <c r="I942" s="211">
        <f>I943</f>
        <v>0</v>
      </c>
      <c r="J942" s="211">
        <f t="shared" ref="J942:P942" si="141">J943</f>
        <v>0</v>
      </c>
      <c r="K942" s="211">
        <f t="shared" si="141"/>
        <v>0</v>
      </c>
      <c r="L942" s="211">
        <f t="shared" si="141"/>
        <v>0</v>
      </c>
      <c r="M942" s="211">
        <f t="shared" si="141"/>
        <v>0</v>
      </c>
      <c r="N942" s="211">
        <f t="shared" si="141"/>
        <v>0</v>
      </c>
      <c r="O942" s="211">
        <f t="shared" si="141"/>
        <v>0</v>
      </c>
      <c r="P942" s="211">
        <f t="shared" si="141"/>
        <v>0</v>
      </c>
      <c r="Q942" s="212"/>
    </row>
    <row r="943" spans="1:17" s="219" customFormat="1" ht="30" hidden="1" x14ac:dyDescent="0.25">
      <c r="A943" s="214"/>
      <c r="B943" s="215" t="s">
        <v>1822</v>
      </c>
      <c r="C943" s="215" t="s">
        <v>1823</v>
      </c>
      <c r="D943" s="215" t="s">
        <v>1934</v>
      </c>
      <c r="E943" s="215" t="s">
        <v>1928</v>
      </c>
      <c r="F943" s="215" t="s">
        <v>2022</v>
      </c>
      <c r="G943" s="215" t="s">
        <v>58</v>
      </c>
      <c r="H943" s="216" t="s">
        <v>2765</v>
      </c>
      <c r="I943" s="217"/>
      <c r="J943" s="217"/>
      <c r="K943" s="217"/>
      <c r="L943" s="217"/>
      <c r="M943" s="217"/>
      <c r="N943" s="217"/>
      <c r="O943" s="217"/>
      <c r="P943" s="217"/>
      <c r="Q943" s="218"/>
    </row>
    <row r="944" spans="1:17" s="213" customFormat="1" ht="30" hidden="1" x14ac:dyDescent="0.25">
      <c r="A944" s="208" t="s">
        <v>263</v>
      </c>
      <c r="B944" s="209" t="s">
        <v>1822</v>
      </c>
      <c r="C944" s="209" t="s">
        <v>1823</v>
      </c>
      <c r="D944" s="209" t="s">
        <v>1934</v>
      </c>
      <c r="E944" s="209" t="s">
        <v>1928</v>
      </c>
      <c r="F944" s="209" t="s">
        <v>2100</v>
      </c>
      <c r="G944" s="209"/>
      <c r="H944" s="210" t="s">
        <v>2766</v>
      </c>
      <c r="I944" s="211">
        <f>I945</f>
        <v>0</v>
      </c>
      <c r="J944" s="211">
        <f t="shared" ref="J944:P944" si="142">J945</f>
        <v>0</v>
      </c>
      <c r="K944" s="211">
        <f t="shared" si="142"/>
        <v>0</v>
      </c>
      <c r="L944" s="211">
        <f t="shared" si="142"/>
        <v>0</v>
      </c>
      <c r="M944" s="211">
        <f t="shared" si="142"/>
        <v>0</v>
      </c>
      <c r="N944" s="211">
        <f t="shared" si="142"/>
        <v>0</v>
      </c>
      <c r="O944" s="211">
        <f t="shared" si="142"/>
        <v>0</v>
      </c>
      <c r="P944" s="211">
        <f t="shared" si="142"/>
        <v>0</v>
      </c>
      <c r="Q944" s="212"/>
    </row>
    <row r="945" spans="1:17" s="219" customFormat="1" ht="45" hidden="1" x14ac:dyDescent="0.25">
      <c r="A945" s="214"/>
      <c r="B945" s="215" t="s">
        <v>1822</v>
      </c>
      <c r="C945" s="215" t="s">
        <v>1823</v>
      </c>
      <c r="D945" s="215" t="s">
        <v>1934</v>
      </c>
      <c r="E945" s="215" t="s">
        <v>1928</v>
      </c>
      <c r="F945" s="215" t="s">
        <v>2100</v>
      </c>
      <c r="G945" s="215" t="s">
        <v>58</v>
      </c>
      <c r="H945" s="216" t="s">
        <v>2767</v>
      </c>
      <c r="I945" s="217"/>
      <c r="J945" s="217"/>
      <c r="K945" s="217"/>
      <c r="L945" s="217"/>
      <c r="M945" s="217"/>
      <c r="N945" s="217"/>
      <c r="O945" s="217"/>
      <c r="P945" s="217"/>
      <c r="Q945" s="218"/>
    </row>
    <row r="946" spans="1:17" s="213" customFormat="1" ht="30" hidden="1" x14ac:dyDescent="0.25">
      <c r="A946" s="208" t="s">
        <v>263</v>
      </c>
      <c r="B946" s="209" t="s">
        <v>1822</v>
      </c>
      <c r="C946" s="209" t="s">
        <v>1823</v>
      </c>
      <c r="D946" s="209" t="s">
        <v>1934</v>
      </c>
      <c r="E946" s="209" t="s">
        <v>1928</v>
      </c>
      <c r="F946" s="209" t="s">
        <v>2139</v>
      </c>
      <c r="G946" s="209"/>
      <c r="H946" s="210" t="s">
        <v>2768</v>
      </c>
      <c r="I946" s="211">
        <f>I947</f>
        <v>0</v>
      </c>
      <c r="J946" s="211">
        <f t="shared" ref="J946:P946" si="143">J947</f>
        <v>0</v>
      </c>
      <c r="K946" s="211">
        <f t="shared" si="143"/>
        <v>0</v>
      </c>
      <c r="L946" s="211">
        <f t="shared" si="143"/>
        <v>0</v>
      </c>
      <c r="M946" s="211">
        <f t="shared" si="143"/>
        <v>0</v>
      </c>
      <c r="N946" s="211">
        <f t="shared" si="143"/>
        <v>0</v>
      </c>
      <c r="O946" s="211">
        <f t="shared" si="143"/>
        <v>0</v>
      </c>
      <c r="P946" s="211">
        <f t="shared" si="143"/>
        <v>0</v>
      </c>
      <c r="Q946" s="212"/>
    </row>
    <row r="947" spans="1:17" s="219" customFormat="1" ht="45" hidden="1" x14ac:dyDescent="0.25">
      <c r="A947" s="214"/>
      <c r="B947" s="215" t="s">
        <v>1822</v>
      </c>
      <c r="C947" s="215" t="s">
        <v>1823</v>
      </c>
      <c r="D947" s="215" t="s">
        <v>1934</v>
      </c>
      <c r="E947" s="215" t="s">
        <v>1928</v>
      </c>
      <c r="F947" s="215" t="s">
        <v>2139</v>
      </c>
      <c r="G947" s="215" t="s">
        <v>58</v>
      </c>
      <c r="H947" s="216" t="s">
        <v>2769</v>
      </c>
      <c r="I947" s="217"/>
      <c r="J947" s="217"/>
      <c r="K947" s="217"/>
      <c r="L947" s="217"/>
      <c r="M947" s="217"/>
      <c r="N947" s="217"/>
      <c r="O947" s="217"/>
      <c r="P947" s="217"/>
      <c r="Q947" s="218"/>
    </row>
    <row r="948" spans="1:17" s="213" customFormat="1" ht="45" hidden="1" x14ac:dyDescent="0.25">
      <c r="A948" s="208" t="s">
        <v>263</v>
      </c>
      <c r="B948" s="209" t="s">
        <v>1822</v>
      </c>
      <c r="C948" s="209" t="s">
        <v>1823</v>
      </c>
      <c r="D948" s="209" t="s">
        <v>1934</v>
      </c>
      <c r="E948" s="209" t="s">
        <v>1928</v>
      </c>
      <c r="F948" s="209" t="s">
        <v>2277</v>
      </c>
      <c r="G948" s="209"/>
      <c r="H948" s="210" t="s">
        <v>2770</v>
      </c>
      <c r="I948" s="211">
        <f>I949</f>
        <v>0</v>
      </c>
      <c r="J948" s="211">
        <f t="shared" ref="J948:P948" si="144">J949</f>
        <v>0</v>
      </c>
      <c r="K948" s="211">
        <f t="shared" si="144"/>
        <v>0</v>
      </c>
      <c r="L948" s="211">
        <f t="shared" si="144"/>
        <v>0</v>
      </c>
      <c r="M948" s="211">
        <f t="shared" si="144"/>
        <v>0</v>
      </c>
      <c r="N948" s="211">
        <f t="shared" si="144"/>
        <v>0</v>
      </c>
      <c r="O948" s="211">
        <f t="shared" si="144"/>
        <v>0</v>
      </c>
      <c r="P948" s="211">
        <f t="shared" si="144"/>
        <v>0</v>
      </c>
      <c r="Q948" s="212"/>
    </row>
    <row r="949" spans="1:17" s="219" customFormat="1" ht="45" hidden="1" x14ac:dyDescent="0.25">
      <c r="A949" s="214"/>
      <c r="B949" s="215" t="s">
        <v>1822</v>
      </c>
      <c r="C949" s="215" t="s">
        <v>1823</v>
      </c>
      <c r="D949" s="215" t="s">
        <v>1934</v>
      </c>
      <c r="E949" s="215" t="s">
        <v>1928</v>
      </c>
      <c r="F949" s="215" t="s">
        <v>2277</v>
      </c>
      <c r="G949" s="215" t="s">
        <v>58</v>
      </c>
      <c r="H949" s="216" t="s">
        <v>2771</v>
      </c>
      <c r="I949" s="217"/>
      <c r="J949" s="217"/>
      <c r="K949" s="217"/>
      <c r="L949" s="217"/>
      <c r="M949" s="217"/>
      <c r="N949" s="217"/>
      <c r="O949" s="217"/>
      <c r="P949" s="217"/>
      <c r="Q949" s="218"/>
    </row>
    <row r="950" spans="1:17" s="213" customFormat="1" hidden="1" x14ac:dyDescent="0.25">
      <c r="A950" s="208" t="s">
        <v>263</v>
      </c>
      <c r="B950" s="209" t="s">
        <v>1822</v>
      </c>
      <c r="C950" s="209" t="s">
        <v>1823</v>
      </c>
      <c r="D950" s="209" t="s">
        <v>1934</v>
      </c>
      <c r="E950" s="209" t="s">
        <v>1928</v>
      </c>
      <c r="F950" s="209" t="s">
        <v>2313</v>
      </c>
      <c r="G950" s="209"/>
      <c r="H950" s="210" t="s">
        <v>2772</v>
      </c>
      <c r="I950" s="211">
        <f>I951</f>
        <v>0</v>
      </c>
      <c r="J950" s="211">
        <f t="shared" ref="J950:P950" si="145">J951</f>
        <v>0</v>
      </c>
      <c r="K950" s="211">
        <f t="shared" si="145"/>
        <v>0</v>
      </c>
      <c r="L950" s="211">
        <f t="shared" si="145"/>
        <v>0</v>
      </c>
      <c r="M950" s="211">
        <f t="shared" si="145"/>
        <v>0</v>
      </c>
      <c r="N950" s="211">
        <f t="shared" si="145"/>
        <v>0</v>
      </c>
      <c r="O950" s="211">
        <f t="shared" si="145"/>
        <v>0</v>
      </c>
      <c r="P950" s="211">
        <f t="shared" si="145"/>
        <v>0</v>
      </c>
      <c r="Q950" s="212"/>
    </row>
    <row r="951" spans="1:17" s="219" customFormat="1" hidden="1" x14ac:dyDescent="0.25">
      <c r="A951" s="214"/>
      <c r="B951" s="215" t="s">
        <v>1822</v>
      </c>
      <c r="C951" s="215" t="s">
        <v>1823</v>
      </c>
      <c r="D951" s="215" t="s">
        <v>1934</v>
      </c>
      <c r="E951" s="215" t="s">
        <v>1928</v>
      </c>
      <c r="F951" s="215" t="s">
        <v>2313</v>
      </c>
      <c r="G951" s="215" t="s">
        <v>58</v>
      </c>
      <c r="H951" s="216" t="s">
        <v>2773</v>
      </c>
      <c r="I951" s="217"/>
      <c r="J951" s="217"/>
      <c r="K951" s="217"/>
      <c r="L951" s="217"/>
      <c r="M951" s="217"/>
      <c r="N951" s="217"/>
      <c r="O951" s="217"/>
      <c r="P951" s="217"/>
      <c r="Q951" s="218"/>
    </row>
    <row r="952" spans="1:17" s="213" customFormat="1" hidden="1" x14ac:dyDescent="0.25">
      <c r="A952" s="208" t="s">
        <v>1997</v>
      </c>
      <c r="B952" s="209" t="s">
        <v>1822</v>
      </c>
      <c r="C952" s="209" t="s">
        <v>1823</v>
      </c>
      <c r="D952" s="209" t="s">
        <v>1934</v>
      </c>
      <c r="E952" s="209" t="s">
        <v>1934</v>
      </c>
      <c r="F952" s="209"/>
      <c r="G952" s="209"/>
      <c r="H952" s="210" t="s">
        <v>2774</v>
      </c>
      <c r="I952" s="211">
        <f>I953</f>
        <v>0</v>
      </c>
      <c r="J952" s="211">
        <f t="shared" ref="J952:P953" si="146">J953</f>
        <v>0</v>
      </c>
      <c r="K952" s="211">
        <f t="shared" si="146"/>
        <v>0</v>
      </c>
      <c r="L952" s="211">
        <f t="shared" si="146"/>
        <v>0</v>
      </c>
      <c r="M952" s="211">
        <f t="shared" si="146"/>
        <v>0</v>
      </c>
      <c r="N952" s="211">
        <f t="shared" si="146"/>
        <v>0</v>
      </c>
      <c r="O952" s="211">
        <f t="shared" si="146"/>
        <v>0</v>
      </c>
      <c r="P952" s="211">
        <f t="shared" si="146"/>
        <v>0</v>
      </c>
      <c r="Q952" s="212"/>
    </row>
    <row r="953" spans="1:17" s="213" customFormat="1" hidden="1" x14ac:dyDescent="0.25">
      <c r="A953" s="208" t="s">
        <v>263</v>
      </c>
      <c r="B953" s="209" t="s">
        <v>1822</v>
      </c>
      <c r="C953" s="209" t="s">
        <v>1823</v>
      </c>
      <c r="D953" s="209" t="s">
        <v>1934</v>
      </c>
      <c r="E953" s="209" t="s">
        <v>1934</v>
      </c>
      <c r="F953" s="209" t="s">
        <v>1825</v>
      </c>
      <c r="G953" s="209"/>
      <c r="H953" s="210" t="s">
        <v>2774</v>
      </c>
      <c r="I953" s="211">
        <f>I954</f>
        <v>0</v>
      </c>
      <c r="J953" s="211">
        <f t="shared" si="146"/>
        <v>0</v>
      </c>
      <c r="K953" s="211">
        <f t="shared" si="146"/>
        <v>0</v>
      </c>
      <c r="L953" s="211">
        <f t="shared" si="146"/>
        <v>0</v>
      </c>
      <c r="M953" s="211">
        <f t="shared" si="146"/>
        <v>0</v>
      </c>
      <c r="N953" s="211">
        <f t="shared" si="146"/>
        <v>0</v>
      </c>
      <c r="O953" s="211">
        <f t="shared" si="146"/>
        <v>0</v>
      </c>
      <c r="P953" s="211">
        <f t="shared" si="146"/>
        <v>0</v>
      </c>
      <c r="Q953" s="212"/>
    </row>
    <row r="954" spans="1:17" s="219" customFormat="1" hidden="1" x14ac:dyDescent="0.25">
      <c r="A954" s="214"/>
      <c r="B954" s="215" t="s">
        <v>1822</v>
      </c>
      <c r="C954" s="215" t="s">
        <v>1823</v>
      </c>
      <c r="D954" s="215" t="s">
        <v>1934</v>
      </c>
      <c r="E954" s="215" t="s">
        <v>1934</v>
      </c>
      <c r="F954" s="215" t="s">
        <v>1825</v>
      </c>
      <c r="G954" s="215" t="s">
        <v>58</v>
      </c>
      <c r="H954" s="216" t="s">
        <v>2774</v>
      </c>
      <c r="I954" s="217"/>
      <c r="J954" s="217"/>
      <c r="K954" s="217"/>
      <c r="L954" s="217"/>
      <c r="M954" s="217"/>
      <c r="N954" s="217"/>
      <c r="O954" s="217"/>
      <c r="P954" s="217"/>
      <c r="Q954" s="218"/>
    </row>
    <row r="955" spans="1:17" s="213" customFormat="1" hidden="1" x14ac:dyDescent="0.25">
      <c r="A955" s="208" t="s">
        <v>2021</v>
      </c>
      <c r="B955" s="209" t="s">
        <v>1822</v>
      </c>
      <c r="C955" s="209" t="s">
        <v>1823</v>
      </c>
      <c r="D955" s="209" t="s">
        <v>1934</v>
      </c>
      <c r="E955" s="209" t="s">
        <v>2022</v>
      </c>
      <c r="F955" s="209"/>
      <c r="G955" s="209"/>
      <c r="H955" s="210" t="s">
        <v>2775</v>
      </c>
      <c r="I955" s="211">
        <f>I956</f>
        <v>0</v>
      </c>
      <c r="J955" s="211">
        <f t="shared" ref="J955:P955" si="147">J956</f>
        <v>0</v>
      </c>
      <c r="K955" s="211">
        <f t="shared" si="147"/>
        <v>0</v>
      </c>
      <c r="L955" s="211">
        <f t="shared" si="147"/>
        <v>0</v>
      </c>
      <c r="M955" s="211">
        <f t="shared" si="147"/>
        <v>0</v>
      </c>
      <c r="N955" s="211">
        <f t="shared" si="147"/>
        <v>0</v>
      </c>
      <c r="O955" s="211">
        <f t="shared" si="147"/>
        <v>0</v>
      </c>
      <c r="P955" s="211">
        <f t="shared" si="147"/>
        <v>0</v>
      </c>
      <c r="Q955" s="212"/>
    </row>
    <row r="956" spans="1:17" s="213" customFormat="1" hidden="1" x14ac:dyDescent="0.25">
      <c r="A956" s="208" t="s">
        <v>263</v>
      </c>
      <c r="B956" s="209" t="s">
        <v>1822</v>
      </c>
      <c r="C956" s="209" t="s">
        <v>1823</v>
      </c>
      <c r="D956" s="209" t="s">
        <v>1934</v>
      </c>
      <c r="E956" s="209" t="s">
        <v>2022</v>
      </c>
      <c r="F956" s="209" t="s">
        <v>1825</v>
      </c>
      <c r="G956" s="209"/>
      <c r="H956" s="210" t="s">
        <v>2775</v>
      </c>
      <c r="I956" s="211">
        <f>SUM(I957:I963)</f>
        <v>0</v>
      </c>
      <c r="J956" s="211">
        <f t="shared" ref="J956:P956" si="148">SUM(J957:J963)</f>
        <v>0</v>
      </c>
      <c r="K956" s="211">
        <f t="shared" si="148"/>
        <v>0</v>
      </c>
      <c r="L956" s="211">
        <f t="shared" si="148"/>
        <v>0</v>
      </c>
      <c r="M956" s="211">
        <f t="shared" si="148"/>
        <v>0</v>
      </c>
      <c r="N956" s="211">
        <f t="shared" si="148"/>
        <v>0</v>
      </c>
      <c r="O956" s="211">
        <f t="shared" si="148"/>
        <v>0</v>
      </c>
      <c r="P956" s="211">
        <f t="shared" si="148"/>
        <v>0</v>
      </c>
      <c r="Q956" s="212"/>
    </row>
    <row r="957" spans="1:17" s="219" customFormat="1" hidden="1" x14ac:dyDescent="0.25">
      <c r="A957" s="214"/>
      <c r="B957" s="215" t="s">
        <v>1822</v>
      </c>
      <c r="C957" s="215" t="s">
        <v>1823</v>
      </c>
      <c r="D957" s="215" t="s">
        <v>1934</v>
      </c>
      <c r="E957" s="215" t="s">
        <v>2022</v>
      </c>
      <c r="F957" s="215" t="s">
        <v>1825</v>
      </c>
      <c r="G957" s="215" t="s">
        <v>58</v>
      </c>
      <c r="H957" s="216" t="s">
        <v>2776</v>
      </c>
      <c r="I957" s="217"/>
      <c r="J957" s="217"/>
      <c r="K957" s="217"/>
      <c r="L957" s="217"/>
      <c r="M957" s="217"/>
      <c r="N957" s="217"/>
      <c r="O957" s="217"/>
      <c r="P957" s="217"/>
      <c r="Q957" s="218"/>
    </row>
    <row r="958" spans="1:17" s="219" customFormat="1" hidden="1" x14ac:dyDescent="0.25">
      <c r="A958" s="214"/>
      <c r="B958" s="215" t="s">
        <v>1822</v>
      </c>
      <c r="C958" s="215" t="s">
        <v>1823</v>
      </c>
      <c r="D958" s="215" t="s">
        <v>1934</v>
      </c>
      <c r="E958" s="215" t="s">
        <v>2022</v>
      </c>
      <c r="F958" s="215" t="s">
        <v>1825</v>
      </c>
      <c r="G958" s="215" t="s">
        <v>75</v>
      </c>
      <c r="H958" s="216" t="s">
        <v>2777</v>
      </c>
      <c r="I958" s="217"/>
      <c r="J958" s="217"/>
      <c r="K958" s="217"/>
      <c r="L958" s="217"/>
      <c r="M958" s="217"/>
      <c r="N958" s="217"/>
      <c r="O958" s="217"/>
      <c r="P958" s="217"/>
      <c r="Q958" s="218"/>
    </row>
    <row r="959" spans="1:17" s="219" customFormat="1" hidden="1" x14ac:dyDescent="0.25">
      <c r="A959" s="214"/>
      <c r="B959" s="215" t="s">
        <v>1822</v>
      </c>
      <c r="C959" s="215" t="s">
        <v>1823</v>
      </c>
      <c r="D959" s="215" t="s">
        <v>1934</v>
      </c>
      <c r="E959" s="215" t="s">
        <v>2022</v>
      </c>
      <c r="F959" s="215" t="s">
        <v>1825</v>
      </c>
      <c r="G959" s="215" t="s">
        <v>79</v>
      </c>
      <c r="H959" s="216" t="s">
        <v>2778</v>
      </c>
      <c r="I959" s="217"/>
      <c r="J959" s="217"/>
      <c r="K959" s="217"/>
      <c r="L959" s="217"/>
      <c r="M959" s="217"/>
      <c r="N959" s="217"/>
      <c r="O959" s="217"/>
      <c r="P959" s="217"/>
      <c r="Q959" s="218"/>
    </row>
    <row r="960" spans="1:17" s="219" customFormat="1" hidden="1" x14ac:dyDescent="0.25">
      <c r="A960" s="214"/>
      <c r="B960" s="215" t="s">
        <v>1822</v>
      </c>
      <c r="C960" s="215" t="s">
        <v>1823</v>
      </c>
      <c r="D960" s="215" t="s">
        <v>1934</v>
      </c>
      <c r="E960" s="215" t="s">
        <v>2022</v>
      </c>
      <c r="F960" s="215" t="s">
        <v>1825</v>
      </c>
      <c r="G960" s="215" t="s">
        <v>84</v>
      </c>
      <c r="H960" s="216" t="s">
        <v>2779</v>
      </c>
      <c r="I960" s="217"/>
      <c r="J960" s="217"/>
      <c r="K960" s="217"/>
      <c r="L960" s="217"/>
      <c r="M960" s="217"/>
      <c r="N960" s="217"/>
      <c r="O960" s="217"/>
      <c r="P960" s="217"/>
      <c r="Q960" s="218"/>
    </row>
    <row r="961" spans="1:17" s="219" customFormat="1" hidden="1" x14ac:dyDescent="0.25">
      <c r="A961" s="214"/>
      <c r="B961" s="215" t="s">
        <v>1822</v>
      </c>
      <c r="C961" s="215" t="s">
        <v>1823</v>
      </c>
      <c r="D961" s="215" t="s">
        <v>1934</v>
      </c>
      <c r="E961" s="215" t="s">
        <v>2022</v>
      </c>
      <c r="F961" s="215" t="s">
        <v>1825</v>
      </c>
      <c r="G961" s="215" t="s">
        <v>88</v>
      </c>
      <c r="H961" s="216" t="s">
        <v>2780</v>
      </c>
      <c r="I961" s="217"/>
      <c r="J961" s="217"/>
      <c r="K961" s="217"/>
      <c r="L961" s="217"/>
      <c r="M961" s="217"/>
      <c r="N961" s="217"/>
      <c r="O961" s="217"/>
      <c r="P961" s="217"/>
      <c r="Q961" s="218"/>
    </row>
    <row r="962" spans="1:17" s="219" customFormat="1" hidden="1" x14ac:dyDescent="0.25">
      <c r="A962" s="214"/>
      <c r="B962" s="215" t="s">
        <v>1822</v>
      </c>
      <c r="C962" s="215" t="s">
        <v>1823</v>
      </c>
      <c r="D962" s="215" t="s">
        <v>1934</v>
      </c>
      <c r="E962" s="215" t="s">
        <v>2022</v>
      </c>
      <c r="F962" s="215" t="s">
        <v>1825</v>
      </c>
      <c r="G962" s="215" t="s">
        <v>92</v>
      </c>
      <c r="H962" s="216" t="s">
        <v>2781</v>
      </c>
      <c r="I962" s="217"/>
      <c r="J962" s="217"/>
      <c r="K962" s="217"/>
      <c r="L962" s="217"/>
      <c r="M962" s="217"/>
      <c r="N962" s="217"/>
      <c r="O962" s="217"/>
      <c r="P962" s="217"/>
      <c r="Q962" s="218"/>
    </row>
    <row r="963" spans="1:17" s="219" customFormat="1" hidden="1" x14ac:dyDescent="0.25">
      <c r="A963" s="214"/>
      <c r="B963" s="215" t="s">
        <v>1822</v>
      </c>
      <c r="C963" s="215" t="s">
        <v>1823</v>
      </c>
      <c r="D963" s="215" t="s">
        <v>1934</v>
      </c>
      <c r="E963" s="215" t="s">
        <v>2022</v>
      </c>
      <c r="F963" s="215" t="s">
        <v>1825</v>
      </c>
      <c r="G963" s="215" t="s">
        <v>96</v>
      </c>
      <c r="H963" s="216" t="s">
        <v>2782</v>
      </c>
      <c r="I963" s="217"/>
      <c r="J963" s="217"/>
      <c r="K963" s="217"/>
      <c r="L963" s="217"/>
      <c r="M963" s="217"/>
      <c r="N963" s="217"/>
      <c r="O963" s="217"/>
      <c r="P963" s="217"/>
      <c r="Q963" s="218"/>
    </row>
    <row r="964" spans="1:17" s="213" customFormat="1" hidden="1" x14ac:dyDescent="0.25">
      <c r="A964" s="208" t="s">
        <v>2099</v>
      </c>
      <c r="B964" s="209" t="s">
        <v>1822</v>
      </c>
      <c r="C964" s="209" t="s">
        <v>1823</v>
      </c>
      <c r="D964" s="209" t="s">
        <v>1934</v>
      </c>
      <c r="E964" s="209" t="s">
        <v>2100</v>
      </c>
      <c r="F964" s="209"/>
      <c r="G964" s="209"/>
      <c r="H964" s="210" t="s">
        <v>2783</v>
      </c>
      <c r="I964" s="211">
        <f>I965</f>
        <v>0</v>
      </c>
      <c r="J964" s="211">
        <f t="shared" ref="J964:P964" si="149">J965</f>
        <v>0</v>
      </c>
      <c r="K964" s="211">
        <f t="shared" si="149"/>
        <v>0</v>
      </c>
      <c r="L964" s="211">
        <f t="shared" si="149"/>
        <v>0</v>
      </c>
      <c r="M964" s="211">
        <f t="shared" si="149"/>
        <v>0</v>
      </c>
      <c r="N964" s="211">
        <f t="shared" si="149"/>
        <v>0</v>
      </c>
      <c r="O964" s="211">
        <f t="shared" si="149"/>
        <v>0</v>
      </c>
      <c r="P964" s="211">
        <f t="shared" si="149"/>
        <v>0</v>
      </c>
      <c r="Q964" s="212"/>
    </row>
    <row r="965" spans="1:17" s="213" customFormat="1" hidden="1" x14ac:dyDescent="0.25">
      <c r="A965" s="208" t="s">
        <v>263</v>
      </c>
      <c r="B965" s="209" t="s">
        <v>1822</v>
      </c>
      <c r="C965" s="209" t="s">
        <v>1823</v>
      </c>
      <c r="D965" s="209" t="s">
        <v>1934</v>
      </c>
      <c r="E965" s="209" t="s">
        <v>2100</v>
      </c>
      <c r="F965" s="209" t="s">
        <v>1825</v>
      </c>
      <c r="G965" s="209"/>
      <c r="H965" s="210" t="s">
        <v>2783</v>
      </c>
      <c r="I965" s="211">
        <f>SUM(I966)</f>
        <v>0</v>
      </c>
      <c r="J965" s="211">
        <f t="shared" ref="J965:P965" si="150">SUM(J966)</f>
        <v>0</v>
      </c>
      <c r="K965" s="211">
        <f t="shared" si="150"/>
        <v>0</v>
      </c>
      <c r="L965" s="211">
        <f t="shared" si="150"/>
        <v>0</v>
      </c>
      <c r="M965" s="211">
        <f t="shared" si="150"/>
        <v>0</v>
      </c>
      <c r="N965" s="211">
        <f t="shared" si="150"/>
        <v>0</v>
      </c>
      <c r="O965" s="211">
        <f t="shared" si="150"/>
        <v>0</v>
      </c>
      <c r="P965" s="211">
        <f t="shared" si="150"/>
        <v>0</v>
      </c>
      <c r="Q965" s="212"/>
    </row>
    <row r="966" spans="1:17" s="219" customFormat="1" hidden="1" x14ac:dyDescent="0.25">
      <c r="A966" s="214"/>
      <c r="B966" s="215" t="s">
        <v>1822</v>
      </c>
      <c r="C966" s="215" t="s">
        <v>1823</v>
      </c>
      <c r="D966" s="215" t="s">
        <v>1934</v>
      </c>
      <c r="E966" s="215" t="s">
        <v>2100</v>
      </c>
      <c r="F966" s="215" t="s">
        <v>1825</v>
      </c>
      <c r="G966" s="215" t="s">
        <v>58</v>
      </c>
      <c r="H966" s="216" t="s">
        <v>2783</v>
      </c>
      <c r="I966" s="217"/>
      <c r="J966" s="217"/>
      <c r="K966" s="217"/>
      <c r="L966" s="217"/>
      <c r="M966" s="217"/>
      <c r="N966" s="217"/>
      <c r="O966" s="217"/>
      <c r="P966" s="217"/>
      <c r="Q966" s="218"/>
    </row>
    <row r="967" spans="1:17" s="231" customFormat="1" hidden="1" x14ac:dyDescent="0.25">
      <c r="A967" s="228"/>
      <c r="B967" s="229"/>
      <c r="C967" s="233"/>
      <c r="D967" s="233"/>
      <c r="E967" s="233"/>
      <c r="F967" s="233"/>
      <c r="G967" s="223"/>
      <c r="H967" s="225"/>
      <c r="I967" s="226"/>
      <c r="J967" s="226"/>
      <c r="K967" s="226"/>
      <c r="L967" s="226"/>
      <c r="M967" s="226"/>
      <c r="N967" s="226"/>
      <c r="O967" s="226"/>
      <c r="P967" s="226"/>
    </row>
    <row r="968" spans="1:17" s="231" customFormat="1" ht="30" hidden="1" x14ac:dyDescent="0.25">
      <c r="A968" s="228">
        <v>6</v>
      </c>
      <c r="B968" s="229">
        <v>6</v>
      </c>
      <c r="C968" s="223" t="s">
        <v>2022</v>
      </c>
      <c r="D968" s="223"/>
      <c r="E968" s="223"/>
      <c r="F968" s="223"/>
      <c r="G968" s="223"/>
      <c r="H968" s="225" t="s">
        <v>2784</v>
      </c>
      <c r="I968" s="230">
        <f>SUM(I969+I1006+I1507+I1576+I1717)</f>
        <v>0</v>
      </c>
      <c r="J968" s="230">
        <f t="shared" ref="J968:P968" si="151">SUM(J969+J1006+J1507+J1576+J1717)</f>
        <v>0</v>
      </c>
      <c r="K968" s="230">
        <f t="shared" si="151"/>
        <v>0</v>
      </c>
      <c r="L968" s="230">
        <f t="shared" si="151"/>
        <v>0</v>
      </c>
      <c r="M968" s="230">
        <f t="shared" si="151"/>
        <v>0</v>
      </c>
      <c r="N968" s="230">
        <f t="shared" si="151"/>
        <v>0</v>
      </c>
      <c r="O968" s="230">
        <f t="shared" si="151"/>
        <v>0</v>
      </c>
      <c r="P968" s="230">
        <f t="shared" si="151"/>
        <v>0</v>
      </c>
    </row>
    <row r="969" spans="1:17" s="213" customFormat="1" hidden="1" x14ac:dyDescent="0.25">
      <c r="A969" s="208" t="s">
        <v>1827</v>
      </c>
      <c r="B969" s="234">
        <v>1</v>
      </c>
      <c r="C969" s="234">
        <v>3</v>
      </c>
      <c r="D969" s="235" t="s">
        <v>2022</v>
      </c>
      <c r="E969" s="235" t="s">
        <v>1825</v>
      </c>
      <c r="F969" s="234"/>
      <c r="G969" s="234"/>
      <c r="H969" s="236" t="s">
        <v>2785</v>
      </c>
      <c r="I969" s="230">
        <f>I970</f>
        <v>0</v>
      </c>
      <c r="J969" s="230">
        <f t="shared" ref="J969:P969" si="152">J970</f>
        <v>0</v>
      </c>
      <c r="K969" s="230">
        <f t="shared" si="152"/>
        <v>0</v>
      </c>
      <c r="L969" s="230">
        <f t="shared" si="152"/>
        <v>0</v>
      </c>
      <c r="M969" s="230">
        <f t="shared" si="152"/>
        <v>0</v>
      </c>
      <c r="N969" s="230">
        <f t="shared" si="152"/>
        <v>0</v>
      </c>
      <c r="O969" s="230">
        <f t="shared" si="152"/>
        <v>0</v>
      </c>
      <c r="P969" s="230">
        <f t="shared" si="152"/>
        <v>0</v>
      </c>
      <c r="Q969" s="201"/>
    </row>
    <row r="970" spans="1:17" s="213" customFormat="1" hidden="1" x14ac:dyDescent="0.25">
      <c r="A970" s="208" t="s">
        <v>263</v>
      </c>
      <c r="B970" s="234">
        <v>1</v>
      </c>
      <c r="C970" s="234">
        <v>3</v>
      </c>
      <c r="D970" s="235" t="s">
        <v>2022</v>
      </c>
      <c r="E970" s="235" t="s">
        <v>1825</v>
      </c>
      <c r="F970" s="235" t="s">
        <v>1825</v>
      </c>
      <c r="G970" s="234"/>
      <c r="H970" s="236" t="s">
        <v>2785</v>
      </c>
      <c r="I970" s="230">
        <f>SUM(I971:I1005)</f>
        <v>0</v>
      </c>
      <c r="J970" s="230">
        <f t="shared" ref="J970:P970" si="153">SUM(J971:J1005)</f>
        <v>0</v>
      </c>
      <c r="K970" s="230">
        <f t="shared" si="153"/>
        <v>0</v>
      </c>
      <c r="L970" s="230">
        <f t="shared" si="153"/>
        <v>0</v>
      </c>
      <c r="M970" s="230">
        <f t="shared" si="153"/>
        <v>0</v>
      </c>
      <c r="N970" s="230">
        <f t="shared" si="153"/>
        <v>0</v>
      </c>
      <c r="O970" s="230">
        <f t="shared" si="153"/>
        <v>0</v>
      </c>
      <c r="P970" s="230">
        <f t="shared" si="153"/>
        <v>0</v>
      </c>
      <c r="Q970" s="201"/>
    </row>
    <row r="971" spans="1:17" s="219" customFormat="1" ht="45" hidden="1" x14ac:dyDescent="0.25">
      <c r="A971" s="214"/>
      <c r="B971" s="237">
        <v>1</v>
      </c>
      <c r="C971" s="237">
        <v>3</v>
      </c>
      <c r="D971" s="238" t="s">
        <v>2022</v>
      </c>
      <c r="E971" s="238" t="s">
        <v>1825</v>
      </c>
      <c r="F971" s="238" t="s">
        <v>1825</v>
      </c>
      <c r="G971" s="238" t="s">
        <v>58</v>
      </c>
      <c r="H971" s="239" t="s">
        <v>2786</v>
      </c>
      <c r="I971" s="217"/>
      <c r="J971" s="217"/>
      <c r="K971" s="217"/>
      <c r="L971" s="217"/>
      <c r="M971" s="217"/>
      <c r="N971" s="217"/>
      <c r="O971" s="217"/>
      <c r="P971" s="217"/>
    </row>
    <row r="972" spans="1:17" s="219" customFormat="1" ht="45" hidden="1" x14ac:dyDescent="0.25">
      <c r="A972" s="214"/>
      <c r="B972" s="237">
        <v>1</v>
      </c>
      <c r="C972" s="237">
        <v>3</v>
      </c>
      <c r="D972" s="238" t="s">
        <v>2022</v>
      </c>
      <c r="E972" s="238" t="s">
        <v>1825</v>
      </c>
      <c r="F972" s="238" t="s">
        <v>1825</v>
      </c>
      <c r="G972" s="238" t="s">
        <v>75</v>
      </c>
      <c r="H972" s="239" t="s">
        <v>2787</v>
      </c>
      <c r="I972" s="217"/>
      <c r="J972" s="217"/>
      <c r="K972" s="217"/>
      <c r="L972" s="217"/>
      <c r="M972" s="217"/>
      <c r="N972" s="217"/>
      <c r="O972" s="217"/>
      <c r="P972" s="217"/>
    </row>
    <row r="973" spans="1:17" s="219" customFormat="1" ht="45" hidden="1" x14ac:dyDescent="0.25">
      <c r="A973" s="214"/>
      <c r="B973" s="237">
        <v>1</v>
      </c>
      <c r="C973" s="237">
        <v>3</v>
      </c>
      <c r="D973" s="238" t="s">
        <v>2022</v>
      </c>
      <c r="E973" s="238" t="s">
        <v>1825</v>
      </c>
      <c r="F973" s="238" t="s">
        <v>1825</v>
      </c>
      <c r="G973" s="238" t="s">
        <v>79</v>
      </c>
      <c r="H973" s="239" t="s">
        <v>2788</v>
      </c>
      <c r="I973" s="217"/>
      <c r="J973" s="217"/>
      <c r="K973" s="217"/>
      <c r="L973" s="217"/>
      <c r="M973" s="217"/>
      <c r="N973" s="217"/>
      <c r="O973" s="217"/>
      <c r="P973" s="217"/>
    </row>
    <row r="974" spans="1:17" s="219" customFormat="1" ht="45" hidden="1" x14ac:dyDescent="0.25">
      <c r="A974" s="214"/>
      <c r="B974" s="237">
        <v>1</v>
      </c>
      <c r="C974" s="237">
        <v>3</v>
      </c>
      <c r="D974" s="238" t="s">
        <v>2022</v>
      </c>
      <c r="E974" s="238" t="s">
        <v>1825</v>
      </c>
      <c r="F974" s="238" t="s">
        <v>1825</v>
      </c>
      <c r="G974" s="238" t="s">
        <v>84</v>
      </c>
      <c r="H974" s="239" t="s">
        <v>2789</v>
      </c>
      <c r="I974" s="217"/>
      <c r="J974" s="217"/>
      <c r="K974" s="217"/>
      <c r="L974" s="217"/>
      <c r="M974" s="217"/>
      <c r="N974" s="217"/>
      <c r="O974" s="217"/>
      <c r="P974" s="217"/>
    </row>
    <row r="975" spans="1:17" s="219" customFormat="1" ht="45" hidden="1" x14ac:dyDescent="0.25">
      <c r="A975" s="214"/>
      <c r="B975" s="237">
        <v>1</v>
      </c>
      <c r="C975" s="237">
        <v>3</v>
      </c>
      <c r="D975" s="238" t="s">
        <v>2022</v>
      </c>
      <c r="E975" s="238" t="s">
        <v>1825</v>
      </c>
      <c r="F975" s="238" t="s">
        <v>1825</v>
      </c>
      <c r="G975" s="238" t="s">
        <v>88</v>
      </c>
      <c r="H975" s="239" t="s">
        <v>2790</v>
      </c>
      <c r="I975" s="217"/>
      <c r="J975" s="217"/>
      <c r="K975" s="217"/>
      <c r="L975" s="217"/>
      <c r="M975" s="217"/>
      <c r="N975" s="217"/>
      <c r="O975" s="217"/>
      <c r="P975" s="217"/>
    </row>
    <row r="976" spans="1:17" s="219" customFormat="1" ht="45" hidden="1" x14ac:dyDescent="0.25">
      <c r="A976" s="214"/>
      <c r="B976" s="237">
        <v>1</v>
      </c>
      <c r="C976" s="237">
        <v>3</v>
      </c>
      <c r="D976" s="238" t="s">
        <v>2022</v>
      </c>
      <c r="E976" s="238" t="s">
        <v>1825</v>
      </c>
      <c r="F976" s="238" t="s">
        <v>1825</v>
      </c>
      <c r="G976" s="238" t="s">
        <v>92</v>
      </c>
      <c r="H976" s="239" t="s">
        <v>2791</v>
      </c>
      <c r="I976" s="217"/>
      <c r="J976" s="217"/>
      <c r="K976" s="217"/>
      <c r="L976" s="217"/>
      <c r="M976" s="217"/>
      <c r="N976" s="217"/>
      <c r="O976" s="217"/>
      <c r="P976" s="217"/>
    </row>
    <row r="977" spans="1:16" s="219" customFormat="1" ht="30" hidden="1" x14ac:dyDescent="0.25">
      <c r="A977" s="214"/>
      <c r="B977" s="237">
        <v>1</v>
      </c>
      <c r="C977" s="237">
        <v>3</v>
      </c>
      <c r="D977" s="238" t="s">
        <v>2022</v>
      </c>
      <c r="E977" s="238" t="s">
        <v>1825</v>
      </c>
      <c r="F977" s="238" t="s">
        <v>1825</v>
      </c>
      <c r="G977" s="238" t="s">
        <v>96</v>
      </c>
      <c r="H977" s="239" t="s">
        <v>2792</v>
      </c>
      <c r="I977" s="217"/>
      <c r="J977" s="217"/>
      <c r="K977" s="217"/>
      <c r="L977" s="217"/>
      <c r="M977" s="217"/>
      <c r="N977" s="217"/>
      <c r="O977" s="217"/>
      <c r="P977" s="217"/>
    </row>
    <row r="978" spans="1:16" s="219" customFormat="1" ht="30" hidden="1" x14ac:dyDescent="0.25">
      <c r="A978" s="214"/>
      <c r="B978" s="237">
        <v>1</v>
      </c>
      <c r="C978" s="237">
        <v>3</v>
      </c>
      <c r="D978" s="238" t="s">
        <v>2022</v>
      </c>
      <c r="E978" s="238" t="s">
        <v>1825</v>
      </c>
      <c r="F978" s="238" t="s">
        <v>1825</v>
      </c>
      <c r="G978" s="238" t="s">
        <v>100</v>
      </c>
      <c r="H978" s="239" t="s">
        <v>2793</v>
      </c>
      <c r="I978" s="217"/>
      <c r="J978" s="217"/>
      <c r="K978" s="217"/>
      <c r="L978" s="217"/>
      <c r="M978" s="217"/>
      <c r="N978" s="217"/>
      <c r="O978" s="217"/>
      <c r="P978" s="217"/>
    </row>
    <row r="979" spans="1:16" s="219" customFormat="1" ht="30" hidden="1" x14ac:dyDescent="0.25">
      <c r="A979" s="214"/>
      <c r="B979" s="237">
        <v>1</v>
      </c>
      <c r="C979" s="237">
        <v>3</v>
      </c>
      <c r="D979" s="238" t="s">
        <v>2022</v>
      </c>
      <c r="E979" s="238" t="s">
        <v>1825</v>
      </c>
      <c r="F979" s="238" t="s">
        <v>1825</v>
      </c>
      <c r="G979" s="238" t="s">
        <v>105</v>
      </c>
      <c r="H979" s="239" t="s">
        <v>2794</v>
      </c>
      <c r="I979" s="217"/>
      <c r="J979" s="217"/>
      <c r="K979" s="217"/>
      <c r="L979" s="217"/>
      <c r="M979" s="217"/>
      <c r="N979" s="217"/>
      <c r="O979" s="217"/>
      <c r="P979" s="217"/>
    </row>
    <row r="980" spans="1:16" s="219" customFormat="1" ht="30" hidden="1" x14ac:dyDescent="0.25">
      <c r="A980" s="214"/>
      <c r="B980" s="237">
        <v>1</v>
      </c>
      <c r="C980" s="237">
        <v>3</v>
      </c>
      <c r="D980" s="238" t="s">
        <v>2022</v>
      </c>
      <c r="E980" s="238" t="s">
        <v>1825</v>
      </c>
      <c r="F980" s="238" t="s">
        <v>1825</v>
      </c>
      <c r="G980" s="238" t="s">
        <v>108</v>
      </c>
      <c r="H980" s="239" t="s">
        <v>2795</v>
      </c>
      <c r="I980" s="217"/>
      <c r="J980" s="217"/>
      <c r="K980" s="217"/>
      <c r="L980" s="217"/>
      <c r="M980" s="217"/>
      <c r="N980" s="217"/>
      <c r="O980" s="217"/>
      <c r="P980" s="217"/>
    </row>
    <row r="981" spans="1:16" s="219" customFormat="1" ht="30" hidden="1" x14ac:dyDescent="0.25">
      <c r="A981" s="214"/>
      <c r="B981" s="237">
        <v>1</v>
      </c>
      <c r="C981" s="237">
        <v>3</v>
      </c>
      <c r="D981" s="238" t="s">
        <v>2022</v>
      </c>
      <c r="E981" s="238" t="s">
        <v>1825</v>
      </c>
      <c r="F981" s="238" t="s">
        <v>1825</v>
      </c>
      <c r="G981" s="238" t="s">
        <v>135</v>
      </c>
      <c r="H981" s="239" t="s">
        <v>2796</v>
      </c>
      <c r="I981" s="217"/>
      <c r="J981" s="217"/>
      <c r="K981" s="217"/>
      <c r="L981" s="217"/>
      <c r="M981" s="217"/>
      <c r="N981" s="217"/>
      <c r="O981" s="217"/>
      <c r="P981" s="217"/>
    </row>
    <row r="982" spans="1:16" s="219" customFormat="1" ht="30" hidden="1" x14ac:dyDescent="0.25">
      <c r="A982" s="214"/>
      <c r="B982" s="237">
        <v>1</v>
      </c>
      <c r="C982" s="237">
        <v>3</v>
      </c>
      <c r="D982" s="238" t="s">
        <v>2022</v>
      </c>
      <c r="E982" s="238" t="s">
        <v>1825</v>
      </c>
      <c r="F982" s="238" t="s">
        <v>1825</v>
      </c>
      <c r="G982" s="238" t="s">
        <v>138</v>
      </c>
      <c r="H982" s="239" t="s">
        <v>2797</v>
      </c>
      <c r="I982" s="217"/>
      <c r="J982" s="217"/>
      <c r="K982" s="217"/>
      <c r="L982" s="217"/>
      <c r="M982" s="217"/>
      <c r="N982" s="217"/>
      <c r="O982" s="217"/>
      <c r="P982" s="217"/>
    </row>
    <row r="983" spans="1:16" s="219" customFormat="1" ht="45" hidden="1" x14ac:dyDescent="0.25">
      <c r="A983" s="214"/>
      <c r="B983" s="237">
        <v>1</v>
      </c>
      <c r="C983" s="237">
        <v>3</v>
      </c>
      <c r="D983" s="238" t="s">
        <v>2022</v>
      </c>
      <c r="E983" s="238" t="s">
        <v>1825</v>
      </c>
      <c r="F983" s="238" t="s">
        <v>1825</v>
      </c>
      <c r="G983" s="238" t="s">
        <v>140</v>
      </c>
      <c r="H983" s="239" t="s">
        <v>2798</v>
      </c>
      <c r="I983" s="217"/>
      <c r="J983" s="217"/>
      <c r="K983" s="217"/>
      <c r="L983" s="217"/>
      <c r="M983" s="217"/>
      <c r="N983" s="217"/>
      <c r="O983" s="217"/>
      <c r="P983" s="217"/>
    </row>
    <row r="984" spans="1:16" s="219" customFormat="1" ht="30" hidden="1" x14ac:dyDescent="0.25">
      <c r="A984" s="214"/>
      <c r="B984" s="237">
        <v>1</v>
      </c>
      <c r="C984" s="237">
        <v>3</v>
      </c>
      <c r="D984" s="238" t="s">
        <v>2022</v>
      </c>
      <c r="E984" s="238" t="s">
        <v>1825</v>
      </c>
      <c r="F984" s="238" t="s">
        <v>1825</v>
      </c>
      <c r="G984" s="238" t="s">
        <v>143</v>
      </c>
      <c r="H984" s="239" t="s">
        <v>2799</v>
      </c>
      <c r="I984" s="217"/>
      <c r="J984" s="217"/>
      <c r="K984" s="217"/>
      <c r="L984" s="217"/>
      <c r="M984" s="217"/>
      <c r="N984" s="217"/>
      <c r="O984" s="217"/>
      <c r="P984" s="217"/>
    </row>
    <row r="985" spans="1:16" s="219" customFormat="1" ht="30" hidden="1" x14ac:dyDescent="0.25">
      <c r="A985" s="214"/>
      <c r="B985" s="237">
        <v>1</v>
      </c>
      <c r="C985" s="237">
        <v>3</v>
      </c>
      <c r="D985" s="238" t="s">
        <v>2022</v>
      </c>
      <c r="E985" s="238" t="s">
        <v>1825</v>
      </c>
      <c r="F985" s="238" t="s">
        <v>1825</v>
      </c>
      <c r="G985" s="238" t="s">
        <v>146</v>
      </c>
      <c r="H985" s="239" t="s">
        <v>2800</v>
      </c>
      <c r="I985" s="217"/>
      <c r="J985" s="217"/>
      <c r="K985" s="217"/>
      <c r="L985" s="217"/>
      <c r="M985" s="217"/>
      <c r="N985" s="217"/>
      <c r="O985" s="217"/>
      <c r="P985" s="217"/>
    </row>
    <row r="986" spans="1:16" s="219" customFormat="1" ht="30" hidden="1" x14ac:dyDescent="0.25">
      <c r="A986" s="214"/>
      <c r="B986" s="237">
        <v>1</v>
      </c>
      <c r="C986" s="237">
        <v>3</v>
      </c>
      <c r="D986" s="238" t="s">
        <v>2022</v>
      </c>
      <c r="E986" s="238" t="s">
        <v>1825</v>
      </c>
      <c r="F986" s="238" t="s">
        <v>1825</v>
      </c>
      <c r="G986" s="238" t="s">
        <v>150</v>
      </c>
      <c r="H986" s="239" t="s">
        <v>2801</v>
      </c>
      <c r="I986" s="217"/>
      <c r="J986" s="217"/>
      <c r="K986" s="217"/>
      <c r="L986" s="217"/>
      <c r="M986" s="217"/>
      <c r="N986" s="217"/>
      <c r="O986" s="217"/>
      <c r="P986" s="217"/>
    </row>
    <row r="987" spans="1:16" s="219" customFormat="1" ht="30" hidden="1" x14ac:dyDescent="0.25">
      <c r="A987" s="214"/>
      <c r="B987" s="237">
        <v>1</v>
      </c>
      <c r="C987" s="237">
        <v>3</v>
      </c>
      <c r="D987" s="238" t="s">
        <v>2022</v>
      </c>
      <c r="E987" s="238" t="s">
        <v>1825</v>
      </c>
      <c r="F987" s="238" t="s">
        <v>1825</v>
      </c>
      <c r="G987" s="238" t="s">
        <v>153</v>
      </c>
      <c r="H987" s="239" t="s">
        <v>2802</v>
      </c>
      <c r="I987" s="217"/>
      <c r="J987" s="217"/>
      <c r="K987" s="217"/>
      <c r="L987" s="217"/>
      <c r="M987" s="217"/>
      <c r="N987" s="217"/>
      <c r="O987" s="217"/>
      <c r="P987" s="217"/>
    </row>
    <row r="988" spans="1:16" s="219" customFormat="1" ht="30" hidden="1" x14ac:dyDescent="0.25">
      <c r="A988" s="214"/>
      <c r="B988" s="237">
        <v>1</v>
      </c>
      <c r="C988" s="237">
        <v>3</v>
      </c>
      <c r="D988" s="238" t="s">
        <v>2022</v>
      </c>
      <c r="E988" s="238" t="s">
        <v>1825</v>
      </c>
      <c r="F988" s="238" t="s">
        <v>1825</v>
      </c>
      <c r="G988" s="238" t="s">
        <v>156</v>
      </c>
      <c r="H988" s="239" t="s">
        <v>2803</v>
      </c>
      <c r="I988" s="217"/>
      <c r="J988" s="217"/>
      <c r="K988" s="217"/>
      <c r="L988" s="217"/>
      <c r="M988" s="217"/>
      <c r="N988" s="217"/>
      <c r="O988" s="217"/>
      <c r="P988" s="217"/>
    </row>
    <row r="989" spans="1:16" s="219" customFormat="1" ht="45" hidden="1" x14ac:dyDescent="0.25">
      <c r="A989" s="214"/>
      <c r="B989" s="237">
        <v>1</v>
      </c>
      <c r="C989" s="237">
        <v>3</v>
      </c>
      <c r="D989" s="238" t="s">
        <v>2022</v>
      </c>
      <c r="E989" s="238" t="s">
        <v>1825</v>
      </c>
      <c r="F989" s="238" t="s">
        <v>1825</v>
      </c>
      <c r="G989" s="238" t="s">
        <v>159</v>
      </c>
      <c r="H989" s="239" t="s">
        <v>2804</v>
      </c>
      <c r="I989" s="217"/>
      <c r="J989" s="217"/>
      <c r="K989" s="217"/>
      <c r="L989" s="217"/>
      <c r="M989" s="217"/>
      <c r="N989" s="217"/>
      <c r="O989" s="217"/>
      <c r="P989" s="217"/>
    </row>
    <row r="990" spans="1:16" s="219" customFormat="1" ht="45" hidden="1" x14ac:dyDescent="0.25">
      <c r="A990" s="214"/>
      <c r="B990" s="237">
        <v>1</v>
      </c>
      <c r="C990" s="237">
        <v>3</v>
      </c>
      <c r="D990" s="238" t="s">
        <v>2022</v>
      </c>
      <c r="E990" s="238" t="s">
        <v>1825</v>
      </c>
      <c r="F990" s="238" t="s">
        <v>1825</v>
      </c>
      <c r="G990" s="238" t="s">
        <v>162</v>
      </c>
      <c r="H990" s="239" t="s">
        <v>2805</v>
      </c>
      <c r="I990" s="217"/>
      <c r="J990" s="217"/>
      <c r="K990" s="217"/>
      <c r="L990" s="217"/>
      <c r="M990" s="217"/>
      <c r="N990" s="217"/>
      <c r="O990" s="217"/>
      <c r="P990" s="217"/>
    </row>
    <row r="991" spans="1:16" s="219" customFormat="1" ht="45" hidden="1" x14ac:dyDescent="0.25">
      <c r="A991" s="214"/>
      <c r="B991" s="237">
        <v>1</v>
      </c>
      <c r="C991" s="237">
        <v>3</v>
      </c>
      <c r="D991" s="238" t="s">
        <v>2022</v>
      </c>
      <c r="E991" s="238" t="s">
        <v>1825</v>
      </c>
      <c r="F991" s="238" t="s">
        <v>1825</v>
      </c>
      <c r="G991" s="238" t="s">
        <v>312</v>
      </c>
      <c r="H991" s="239" t="s">
        <v>2806</v>
      </c>
      <c r="I991" s="217"/>
      <c r="J991" s="217"/>
      <c r="K991" s="217"/>
      <c r="L991" s="217"/>
      <c r="M991" s="217"/>
      <c r="N991" s="217"/>
      <c r="O991" s="217"/>
      <c r="P991" s="217"/>
    </row>
    <row r="992" spans="1:16" s="219" customFormat="1" ht="30" hidden="1" x14ac:dyDescent="0.25">
      <c r="A992" s="214"/>
      <c r="B992" s="237">
        <v>1</v>
      </c>
      <c r="C992" s="237">
        <v>3</v>
      </c>
      <c r="D992" s="238" t="s">
        <v>2022</v>
      </c>
      <c r="E992" s="238" t="s">
        <v>1825</v>
      </c>
      <c r="F992" s="238" t="s">
        <v>1825</v>
      </c>
      <c r="G992" s="238" t="s">
        <v>313</v>
      </c>
      <c r="H992" s="239" t="s">
        <v>2807</v>
      </c>
      <c r="I992" s="217"/>
      <c r="J992" s="217"/>
      <c r="K992" s="217"/>
      <c r="L992" s="217"/>
      <c r="M992" s="217"/>
      <c r="N992" s="217"/>
      <c r="O992" s="217"/>
      <c r="P992" s="217"/>
    </row>
    <row r="993" spans="1:16" s="219" customFormat="1" ht="30" hidden="1" x14ac:dyDescent="0.25">
      <c r="A993" s="214"/>
      <c r="B993" s="237">
        <v>1</v>
      </c>
      <c r="C993" s="237">
        <v>3</v>
      </c>
      <c r="D993" s="238" t="s">
        <v>2022</v>
      </c>
      <c r="E993" s="238" t="s">
        <v>1825</v>
      </c>
      <c r="F993" s="238" t="s">
        <v>1825</v>
      </c>
      <c r="G993" s="238" t="s">
        <v>559</v>
      </c>
      <c r="H993" s="239" t="s">
        <v>2808</v>
      </c>
      <c r="I993" s="217"/>
      <c r="J993" s="217"/>
      <c r="K993" s="217"/>
      <c r="L993" s="217"/>
      <c r="M993" s="217"/>
      <c r="N993" s="217"/>
      <c r="O993" s="217"/>
      <c r="P993" s="217"/>
    </row>
    <row r="994" spans="1:16" s="219" customFormat="1" ht="30" hidden="1" x14ac:dyDescent="0.25">
      <c r="A994" s="214"/>
      <c r="B994" s="237">
        <v>1</v>
      </c>
      <c r="C994" s="237">
        <v>3</v>
      </c>
      <c r="D994" s="238" t="s">
        <v>2022</v>
      </c>
      <c r="E994" s="238" t="s">
        <v>1825</v>
      </c>
      <c r="F994" s="238" t="s">
        <v>1825</v>
      </c>
      <c r="G994" s="238" t="s">
        <v>561</v>
      </c>
      <c r="H994" s="239" t="s">
        <v>2809</v>
      </c>
      <c r="I994" s="217"/>
      <c r="J994" s="217"/>
      <c r="K994" s="217"/>
      <c r="L994" s="217"/>
      <c r="M994" s="217"/>
      <c r="N994" s="217"/>
      <c r="O994" s="217"/>
      <c r="P994" s="217"/>
    </row>
    <row r="995" spans="1:16" s="219" customFormat="1" ht="45" hidden="1" x14ac:dyDescent="0.25">
      <c r="A995" s="214"/>
      <c r="B995" s="237">
        <v>1</v>
      </c>
      <c r="C995" s="237">
        <v>3</v>
      </c>
      <c r="D995" s="238" t="s">
        <v>2022</v>
      </c>
      <c r="E995" s="238" t="s">
        <v>1825</v>
      </c>
      <c r="F995" s="238" t="s">
        <v>1825</v>
      </c>
      <c r="G995" s="238" t="s">
        <v>563</v>
      </c>
      <c r="H995" s="239" t="s">
        <v>2810</v>
      </c>
      <c r="I995" s="217"/>
      <c r="J995" s="217"/>
      <c r="K995" s="217"/>
      <c r="L995" s="217"/>
      <c r="M995" s="217"/>
      <c r="N995" s="217"/>
      <c r="O995" s="217"/>
      <c r="P995" s="217"/>
    </row>
    <row r="996" spans="1:16" s="219" customFormat="1" ht="45" hidden="1" x14ac:dyDescent="0.25">
      <c r="A996" s="214"/>
      <c r="B996" s="237">
        <v>1</v>
      </c>
      <c r="C996" s="237">
        <v>3</v>
      </c>
      <c r="D996" s="238" t="s">
        <v>2022</v>
      </c>
      <c r="E996" s="238" t="s">
        <v>1825</v>
      </c>
      <c r="F996" s="238" t="s">
        <v>1825</v>
      </c>
      <c r="G996" s="238" t="s">
        <v>227</v>
      </c>
      <c r="H996" s="239" t="s">
        <v>2811</v>
      </c>
      <c r="I996" s="217"/>
      <c r="J996" s="217"/>
      <c r="K996" s="217"/>
      <c r="L996" s="217"/>
      <c r="M996" s="217"/>
      <c r="N996" s="217"/>
      <c r="O996" s="217"/>
      <c r="P996" s="217"/>
    </row>
    <row r="997" spans="1:16" s="219" customFormat="1" ht="45" hidden="1" x14ac:dyDescent="0.25">
      <c r="A997" s="214"/>
      <c r="B997" s="237">
        <v>1</v>
      </c>
      <c r="C997" s="237">
        <v>3</v>
      </c>
      <c r="D997" s="238" t="s">
        <v>2022</v>
      </c>
      <c r="E997" s="238" t="s">
        <v>1825</v>
      </c>
      <c r="F997" s="238" t="s">
        <v>1825</v>
      </c>
      <c r="G997" s="238" t="s">
        <v>230</v>
      </c>
      <c r="H997" s="239" t="s">
        <v>2812</v>
      </c>
      <c r="I997" s="217"/>
      <c r="J997" s="217"/>
      <c r="K997" s="217"/>
      <c r="L997" s="217"/>
      <c r="M997" s="217"/>
      <c r="N997" s="217"/>
      <c r="O997" s="217"/>
      <c r="P997" s="217"/>
    </row>
    <row r="998" spans="1:16" s="219" customFormat="1" ht="30" hidden="1" x14ac:dyDescent="0.25">
      <c r="A998" s="214"/>
      <c r="B998" s="237">
        <v>1</v>
      </c>
      <c r="C998" s="237">
        <v>3</v>
      </c>
      <c r="D998" s="238" t="s">
        <v>2022</v>
      </c>
      <c r="E998" s="238" t="s">
        <v>1825</v>
      </c>
      <c r="F998" s="238" t="s">
        <v>1825</v>
      </c>
      <c r="G998" s="238" t="s">
        <v>232</v>
      </c>
      <c r="H998" s="239" t="s">
        <v>2813</v>
      </c>
      <c r="I998" s="217"/>
      <c r="J998" s="217"/>
      <c r="K998" s="217"/>
      <c r="L998" s="217"/>
      <c r="M998" s="217"/>
      <c r="N998" s="217"/>
      <c r="O998" s="217"/>
      <c r="P998" s="217"/>
    </row>
    <row r="999" spans="1:16" s="219" customFormat="1" ht="30" hidden="1" x14ac:dyDescent="0.25">
      <c r="A999" s="214"/>
      <c r="B999" s="237">
        <v>1</v>
      </c>
      <c r="C999" s="237">
        <v>3</v>
      </c>
      <c r="D999" s="238" t="s">
        <v>2022</v>
      </c>
      <c r="E999" s="238" t="s">
        <v>1825</v>
      </c>
      <c r="F999" s="238" t="s">
        <v>1825</v>
      </c>
      <c r="G999" s="238" t="s">
        <v>234</v>
      </c>
      <c r="H999" s="239" t="s">
        <v>2814</v>
      </c>
      <c r="I999" s="217"/>
      <c r="J999" s="217"/>
      <c r="K999" s="217"/>
      <c r="L999" s="217"/>
      <c r="M999" s="217"/>
      <c r="N999" s="217"/>
      <c r="O999" s="217"/>
      <c r="P999" s="217"/>
    </row>
    <row r="1000" spans="1:16" s="219" customFormat="1" ht="30" hidden="1" x14ac:dyDescent="0.25">
      <c r="A1000" s="214"/>
      <c r="B1000" s="237">
        <v>1</v>
      </c>
      <c r="C1000" s="237">
        <v>3</v>
      </c>
      <c r="D1000" s="238" t="s">
        <v>2022</v>
      </c>
      <c r="E1000" s="238" t="s">
        <v>1825</v>
      </c>
      <c r="F1000" s="238" t="s">
        <v>1825</v>
      </c>
      <c r="G1000" s="238" t="s">
        <v>236</v>
      </c>
      <c r="H1000" s="239" t="s">
        <v>2815</v>
      </c>
      <c r="I1000" s="217"/>
      <c r="J1000" s="217"/>
      <c r="K1000" s="217"/>
      <c r="L1000" s="217"/>
      <c r="M1000" s="217"/>
      <c r="N1000" s="217"/>
      <c r="O1000" s="217"/>
      <c r="P1000" s="217"/>
    </row>
    <row r="1001" spans="1:16" s="219" customFormat="1" ht="30" hidden="1" x14ac:dyDescent="0.25">
      <c r="A1001" s="214"/>
      <c r="B1001" s="237">
        <v>1</v>
      </c>
      <c r="C1001" s="237">
        <v>3</v>
      </c>
      <c r="D1001" s="238" t="s">
        <v>2022</v>
      </c>
      <c r="E1001" s="238" t="s">
        <v>1825</v>
      </c>
      <c r="F1001" s="238" t="s">
        <v>1825</v>
      </c>
      <c r="G1001" s="238" t="s">
        <v>238</v>
      </c>
      <c r="H1001" s="239" t="s">
        <v>2816</v>
      </c>
      <c r="I1001" s="217"/>
      <c r="J1001" s="217"/>
      <c r="K1001" s="217"/>
      <c r="L1001" s="217"/>
      <c r="M1001" s="217"/>
      <c r="N1001" s="217"/>
      <c r="O1001" s="217"/>
      <c r="P1001" s="217"/>
    </row>
    <row r="1002" spans="1:16" s="219" customFormat="1" ht="30" hidden="1" x14ac:dyDescent="0.25">
      <c r="A1002" s="214"/>
      <c r="B1002" s="237">
        <v>1</v>
      </c>
      <c r="C1002" s="237">
        <v>3</v>
      </c>
      <c r="D1002" s="238" t="s">
        <v>2022</v>
      </c>
      <c r="E1002" s="238" t="s">
        <v>1825</v>
      </c>
      <c r="F1002" s="238" t="s">
        <v>1825</v>
      </c>
      <c r="G1002" s="238" t="s">
        <v>240</v>
      </c>
      <c r="H1002" s="239" t="s">
        <v>2817</v>
      </c>
      <c r="I1002" s="217"/>
      <c r="J1002" s="217"/>
      <c r="K1002" s="217"/>
      <c r="L1002" s="217"/>
      <c r="M1002" s="217"/>
      <c r="N1002" s="217"/>
      <c r="O1002" s="217"/>
      <c r="P1002" s="217"/>
    </row>
    <row r="1003" spans="1:16" s="219" customFormat="1" ht="30" hidden="1" x14ac:dyDescent="0.25">
      <c r="A1003" s="214"/>
      <c r="B1003" s="237">
        <v>1</v>
      </c>
      <c r="C1003" s="237">
        <v>3</v>
      </c>
      <c r="D1003" s="238" t="s">
        <v>2022</v>
      </c>
      <c r="E1003" s="238" t="s">
        <v>1825</v>
      </c>
      <c r="F1003" s="238" t="s">
        <v>1825</v>
      </c>
      <c r="G1003" s="238" t="s">
        <v>242</v>
      </c>
      <c r="H1003" s="239" t="s">
        <v>2818</v>
      </c>
      <c r="I1003" s="217"/>
      <c r="J1003" s="217"/>
      <c r="K1003" s="217"/>
      <c r="L1003" s="217"/>
      <c r="M1003" s="217"/>
      <c r="N1003" s="217"/>
      <c r="O1003" s="217"/>
      <c r="P1003" s="217"/>
    </row>
    <row r="1004" spans="1:16" s="219" customFormat="1" ht="30" hidden="1" x14ac:dyDescent="0.25">
      <c r="A1004" s="214"/>
      <c r="B1004" s="237">
        <v>1</v>
      </c>
      <c r="C1004" s="237">
        <v>3</v>
      </c>
      <c r="D1004" s="238" t="s">
        <v>2022</v>
      </c>
      <c r="E1004" s="238" t="s">
        <v>1825</v>
      </c>
      <c r="F1004" s="238" t="s">
        <v>1825</v>
      </c>
      <c r="G1004" s="238" t="s">
        <v>244</v>
      </c>
      <c r="H1004" s="239" t="s">
        <v>2819</v>
      </c>
      <c r="I1004" s="217"/>
      <c r="J1004" s="217"/>
      <c r="K1004" s="217"/>
      <c r="L1004" s="217"/>
      <c r="M1004" s="217"/>
      <c r="N1004" s="217"/>
      <c r="O1004" s="217"/>
      <c r="P1004" s="217"/>
    </row>
    <row r="1005" spans="1:16" s="219" customFormat="1" ht="30" hidden="1" x14ac:dyDescent="0.25">
      <c r="A1005" s="214"/>
      <c r="B1005" s="237">
        <v>1</v>
      </c>
      <c r="C1005" s="237">
        <v>3</v>
      </c>
      <c r="D1005" s="238" t="s">
        <v>2022</v>
      </c>
      <c r="E1005" s="238" t="s">
        <v>1825</v>
      </c>
      <c r="F1005" s="238" t="s">
        <v>1825</v>
      </c>
      <c r="G1005" s="238" t="s">
        <v>246</v>
      </c>
      <c r="H1005" s="239" t="s">
        <v>2820</v>
      </c>
      <c r="I1005" s="217"/>
      <c r="J1005" s="217"/>
      <c r="K1005" s="217"/>
      <c r="L1005" s="217"/>
      <c r="M1005" s="217"/>
      <c r="N1005" s="217"/>
      <c r="O1005" s="217"/>
      <c r="P1005" s="217"/>
    </row>
    <row r="1006" spans="1:16" s="213" customFormat="1" ht="30" hidden="1" x14ac:dyDescent="0.25">
      <c r="A1006" s="208" t="s">
        <v>1905</v>
      </c>
      <c r="B1006" s="234">
        <v>1</v>
      </c>
      <c r="C1006" s="234">
        <v>3</v>
      </c>
      <c r="D1006" s="235" t="s">
        <v>2022</v>
      </c>
      <c r="E1006" s="235" t="s">
        <v>1836</v>
      </c>
      <c r="F1006" s="234"/>
      <c r="G1006" s="234"/>
      <c r="H1006" s="236" t="s">
        <v>2821</v>
      </c>
      <c r="I1006" s="211">
        <f>SUM(I1007+I1042+I1067+I1112+I1123+I1143+I1216+I1251+I1391+I1400+I1408+I1417+I1428+I1435+I1456+I1460+I1487+I1500)</f>
        <v>0</v>
      </c>
      <c r="J1006" s="211">
        <f t="shared" ref="J1006:P1006" si="154">SUM(J1007+J1042+J1067+J1112+J1123+J1143+J1216+J1251+J1391+J1400+J1408+J1417+J1428+J1435+J1456+J1460+J1487+J1500)</f>
        <v>0</v>
      </c>
      <c r="K1006" s="211">
        <f t="shared" si="154"/>
        <v>0</v>
      </c>
      <c r="L1006" s="211">
        <f t="shared" si="154"/>
        <v>0</v>
      </c>
      <c r="M1006" s="211">
        <f t="shared" si="154"/>
        <v>0</v>
      </c>
      <c r="N1006" s="211">
        <f t="shared" si="154"/>
        <v>0</v>
      </c>
      <c r="O1006" s="211">
        <f t="shared" si="154"/>
        <v>0</v>
      </c>
      <c r="P1006" s="211">
        <f t="shared" si="154"/>
        <v>0</v>
      </c>
    </row>
    <row r="1007" spans="1:16" s="213" customFormat="1" ht="30" hidden="1" x14ac:dyDescent="0.25">
      <c r="A1007" s="208" t="s">
        <v>263</v>
      </c>
      <c r="B1007" s="234">
        <v>1</v>
      </c>
      <c r="C1007" s="234">
        <v>3</v>
      </c>
      <c r="D1007" s="235" t="s">
        <v>2022</v>
      </c>
      <c r="E1007" s="235" t="s">
        <v>1836</v>
      </c>
      <c r="F1007" s="235" t="s">
        <v>1825</v>
      </c>
      <c r="G1007" s="234"/>
      <c r="H1007" s="236" t="s">
        <v>2822</v>
      </c>
      <c r="I1007" s="211">
        <f>SUM(I1008:I1041)</f>
        <v>0</v>
      </c>
      <c r="J1007" s="211">
        <f t="shared" ref="J1007:P1007" si="155">SUM(J1008:J1041)</f>
        <v>0</v>
      </c>
      <c r="K1007" s="211">
        <f t="shared" si="155"/>
        <v>0</v>
      </c>
      <c r="L1007" s="211">
        <f t="shared" si="155"/>
        <v>0</v>
      </c>
      <c r="M1007" s="211">
        <f t="shared" si="155"/>
        <v>0</v>
      </c>
      <c r="N1007" s="211">
        <f t="shared" si="155"/>
        <v>0</v>
      </c>
      <c r="O1007" s="211">
        <f t="shared" si="155"/>
        <v>0</v>
      </c>
      <c r="P1007" s="211">
        <f t="shared" si="155"/>
        <v>0</v>
      </c>
    </row>
    <row r="1008" spans="1:16" s="219" customFormat="1" ht="30" hidden="1" x14ac:dyDescent="0.25">
      <c r="A1008" s="214"/>
      <c r="B1008" s="237">
        <v>1</v>
      </c>
      <c r="C1008" s="237">
        <v>3</v>
      </c>
      <c r="D1008" s="238" t="s">
        <v>2022</v>
      </c>
      <c r="E1008" s="238" t="s">
        <v>1836</v>
      </c>
      <c r="F1008" s="238" t="s">
        <v>1825</v>
      </c>
      <c r="G1008" s="238" t="s">
        <v>58</v>
      </c>
      <c r="H1008" s="239" t="s">
        <v>2823</v>
      </c>
      <c r="I1008" s="217"/>
      <c r="J1008" s="217"/>
      <c r="K1008" s="217"/>
      <c r="L1008" s="217"/>
      <c r="M1008" s="217"/>
      <c r="N1008" s="217"/>
      <c r="O1008" s="217"/>
      <c r="P1008" s="217"/>
    </row>
    <row r="1009" spans="1:16" s="219" customFormat="1" ht="30" hidden="1" x14ac:dyDescent="0.25">
      <c r="A1009" s="214"/>
      <c r="B1009" s="237">
        <v>1</v>
      </c>
      <c r="C1009" s="237">
        <v>3</v>
      </c>
      <c r="D1009" s="238" t="s">
        <v>2022</v>
      </c>
      <c r="E1009" s="238" t="s">
        <v>1836</v>
      </c>
      <c r="F1009" s="238" t="s">
        <v>1825</v>
      </c>
      <c r="G1009" s="238" t="s">
        <v>75</v>
      </c>
      <c r="H1009" s="239" t="s">
        <v>2824</v>
      </c>
      <c r="I1009" s="217"/>
      <c r="J1009" s="217"/>
      <c r="K1009" s="217"/>
      <c r="L1009" s="217"/>
      <c r="M1009" s="217"/>
      <c r="N1009" s="217"/>
      <c r="O1009" s="217"/>
      <c r="P1009" s="217"/>
    </row>
    <row r="1010" spans="1:16" s="219" customFormat="1" ht="30" hidden="1" x14ac:dyDescent="0.25">
      <c r="A1010" s="214"/>
      <c r="B1010" s="237">
        <v>1</v>
      </c>
      <c r="C1010" s="237">
        <v>3</v>
      </c>
      <c r="D1010" s="238" t="s">
        <v>2022</v>
      </c>
      <c r="E1010" s="238" t="s">
        <v>1836</v>
      </c>
      <c r="F1010" s="238" t="s">
        <v>1825</v>
      </c>
      <c r="G1010" s="238" t="s">
        <v>79</v>
      </c>
      <c r="H1010" s="239" t="s">
        <v>2825</v>
      </c>
      <c r="I1010" s="217"/>
      <c r="J1010" s="217"/>
      <c r="K1010" s="217"/>
      <c r="L1010" s="217"/>
      <c r="M1010" s="217"/>
      <c r="N1010" s="217"/>
      <c r="O1010" s="217"/>
      <c r="P1010" s="217"/>
    </row>
    <row r="1011" spans="1:16" s="219" customFormat="1" ht="30" hidden="1" x14ac:dyDescent="0.25">
      <c r="A1011" s="214"/>
      <c r="B1011" s="237">
        <v>1</v>
      </c>
      <c r="C1011" s="237">
        <v>3</v>
      </c>
      <c r="D1011" s="238" t="s">
        <v>2022</v>
      </c>
      <c r="E1011" s="238" t="s">
        <v>1836</v>
      </c>
      <c r="F1011" s="238" t="s">
        <v>1825</v>
      </c>
      <c r="G1011" s="238" t="s">
        <v>84</v>
      </c>
      <c r="H1011" s="239" t="s">
        <v>2826</v>
      </c>
      <c r="I1011" s="217"/>
      <c r="J1011" s="217"/>
      <c r="K1011" s="217"/>
      <c r="L1011" s="217"/>
      <c r="M1011" s="217"/>
      <c r="N1011" s="217"/>
      <c r="O1011" s="217"/>
      <c r="P1011" s="217"/>
    </row>
    <row r="1012" spans="1:16" s="219" customFormat="1" ht="30" hidden="1" x14ac:dyDescent="0.25">
      <c r="A1012" s="214"/>
      <c r="B1012" s="237">
        <v>1</v>
      </c>
      <c r="C1012" s="237">
        <v>3</v>
      </c>
      <c r="D1012" s="238" t="s">
        <v>2022</v>
      </c>
      <c r="E1012" s="238" t="s">
        <v>1836</v>
      </c>
      <c r="F1012" s="238" t="s">
        <v>1825</v>
      </c>
      <c r="G1012" s="238" t="s">
        <v>88</v>
      </c>
      <c r="H1012" s="239" t="s">
        <v>2827</v>
      </c>
      <c r="I1012" s="217"/>
      <c r="J1012" s="217"/>
      <c r="K1012" s="217"/>
      <c r="L1012" s="217"/>
      <c r="M1012" s="217"/>
      <c r="N1012" s="217"/>
      <c r="O1012" s="217"/>
      <c r="P1012" s="217"/>
    </row>
    <row r="1013" spans="1:16" s="219" customFormat="1" ht="30" hidden="1" x14ac:dyDescent="0.25">
      <c r="A1013" s="214"/>
      <c r="B1013" s="237">
        <v>1</v>
      </c>
      <c r="C1013" s="237">
        <v>3</v>
      </c>
      <c r="D1013" s="238" t="s">
        <v>2022</v>
      </c>
      <c r="E1013" s="238" t="s">
        <v>1836</v>
      </c>
      <c r="F1013" s="238" t="s">
        <v>1825</v>
      </c>
      <c r="G1013" s="238" t="s">
        <v>92</v>
      </c>
      <c r="H1013" s="239" t="s">
        <v>2828</v>
      </c>
      <c r="I1013" s="217"/>
      <c r="J1013" s="217"/>
      <c r="K1013" s="217"/>
      <c r="L1013" s="217"/>
      <c r="M1013" s="217"/>
      <c r="N1013" s="217"/>
      <c r="O1013" s="217"/>
      <c r="P1013" s="217"/>
    </row>
    <row r="1014" spans="1:16" s="219" customFormat="1" ht="30" hidden="1" x14ac:dyDescent="0.25">
      <c r="A1014" s="214"/>
      <c r="B1014" s="237">
        <v>1</v>
      </c>
      <c r="C1014" s="237">
        <v>3</v>
      </c>
      <c r="D1014" s="238" t="s">
        <v>2022</v>
      </c>
      <c r="E1014" s="238" t="s">
        <v>1836</v>
      </c>
      <c r="F1014" s="238" t="s">
        <v>1825</v>
      </c>
      <c r="G1014" s="238" t="s">
        <v>96</v>
      </c>
      <c r="H1014" s="239" t="s">
        <v>2829</v>
      </c>
      <c r="I1014" s="217"/>
      <c r="J1014" s="217"/>
      <c r="K1014" s="217"/>
      <c r="L1014" s="217"/>
      <c r="M1014" s="217"/>
      <c r="N1014" s="217"/>
      <c r="O1014" s="217"/>
      <c r="P1014" s="217"/>
    </row>
    <row r="1015" spans="1:16" s="219" customFormat="1" ht="45" hidden="1" x14ac:dyDescent="0.25">
      <c r="A1015" s="214"/>
      <c r="B1015" s="237">
        <v>1</v>
      </c>
      <c r="C1015" s="237">
        <v>3</v>
      </c>
      <c r="D1015" s="238" t="s">
        <v>2022</v>
      </c>
      <c r="E1015" s="238" t="s">
        <v>1836</v>
      </c>
      <c r="F1015" s="238" t="s">
        <v>1825</v>
      </c>
      <c r="G1015" s="238" t="s">
        <v>100</v>
      </c>
      <c r="H1015" s="239" t="s">
        <v>2830</v>
      </c>
      <c r="I1015" s="217"/>
      <c r="J1015" s="217"/>
      <c r="K1015" s="217"/>
      <c r="L1015" s="217"/>
      <c r="M1015" s="217"/>
      <c r="N1015" s="217"/>
      <c r="O1015" s="217"/>
      <c r="P1015" s="217"/>
    </row>
    <row r="1016" spans="1:16" s="219" customFormat="1" ht="30" hidden="1" x14ac:dyDescent="0.25">
      <c r="A1016" s="214"/>
      <c r="B1016" s="237">
        <v>1</v>
      </c>
      <c r="C1016" s="237">
        <v>3</v>
      </c>
      <c r="D1016" s="238" t="s">
        <v>2022</v>
      </c>
      <c r="E1016" s="238" t="s">
        <v>1836</v>
      </c>
      <c r="F1016" s="238" t="s">
        <v>1825</v>
      </c>
      <c r="G1016" s="238" t="s">
        <v>105</v>
      </c>
      <c r="H1016" s="239" t="s">
        <v>2831</v>
      </c>
      <c r="I1016" s="217"/>
      <c r="J1016" s="217"/>
      <c r="K1016" s="217"/>
      <c r="L1016" s="217"/>
      <c r="M1016" s="217"/>
      <c r="N1016" s="217"/>
      <c r="O1016" s="217"/>
      <c r="P1016" s="217"/>
    </row>
    <row r="1017" spans="1:16" s="219" customFormat="1" ht="30" hidden="1" x14ac:dyDescent="0.25">
      <c r="A1017" s="214"/>
      <c r="B1017" s="237">
        <v>1</v>
      </c>
      <c r="C1017" s="237">
        <v>3</v>
      </c>
      <c r="D1017" s="238" t="s">
        <v>2022</v>
      </c>
      <c r="E1017" s="238" t="s">
        <v>1836</v>
      </c>
      <c r="F1017" s="238" t="s">
        <v>1825</v>
      </c>
      <c r="G1017" s="238" t="s">
        <v>108</v>
      </c>
      <c r="H1017" s="239" t="s">
        <v>2832</v>
      </c>
      <c r="I1017" s="217"/>
      <c r="J1017" s="217"/>
      <c r="K1017" s="217"/>
      <c r="L1017" s="217"/>
      <c r="M1017" s="217"/>
      <c r="N1017" s="217"/>
      <c r="O1017" s="217"/>
      <c r="P1017" s="217"/>
    </row>
    <row r="1018" spans="1:16" s="219" customFormat="1" ht="30" hidden="1" x14ac:dyDescent="0.25">
      <c r="A1018" s="214"/>
      <c r="B1018" s="237">
        <v>1</v>
      </c>
      <c r="C1018" s="237">
        <v>3</v>
      </c>
      <c r="D1018" s="238" t="s">
        <v>2022</v>
      </c>
      <c r="E1018" s="238" t="s">
        <v>1836</v>
      </c>
      <c r="F1018" s="238" t="s">
        <v>1825</v>
      </c>
      <c r="G1018" s="238" t="s">
        <v>135</v>
      </c>
      <c r="H1018" s="239" t="s">
        <v>2833</v>
      </c>
      <c r="I1018" s="217"/>
      <c r="J1018" s="217"/>
      <c r="K1018" s="217"/>
      <c r="L1018" s="217"/>
      <c r="M1018" s="217"/>
      <c r="N1018" s="217"/>
      <c r="O1018" s="217"/>
      <c r="P1018" s="217"/>
    </row>
    <row r="1019" spans="1:16" s="219" customFormat="1" ht="45" hidden="1" x14ac:dyDescent="0.25">
      <c r="A1019" s="214"/>
      <c r="B1019" s="237">
        <v>1</v>
      </c>
      <c r="C1019" s="237">
        <v>3</v>
      </c>
      <c r="D1019" s="238" t="s">
        <v>2022</v>
      </c>
      <c r="E1019" s="238" t="s">
        <v>1836</v>
      </c>
      <c r="F1019" s="238" t="s">
        <v>1825</v>
      </c>
      <c r="G1019" s="238" t="s">
        <v>138</v>
      </c>
      <c r="H1019" s="239" t="s">
        <v>2834</v>
      </c>
      <c r="I1019" s="217"/>
      <c r="J1019" s="217"/>
      <c r="K1019" s="217"/>
      <c r="L1019" s="217"/>
      <c r="M1019" s="217"/>
      <c r="N1019" s="217"/>
      <c r="O1019" s="217"/>
      <c r="P1019" s="217"/>
    </row>
    <row r="1020" spans="1:16" s="219" customFormat="1" ht="30" hidden="1" x14ac:dyDescent="0.25">
      <c r="A1020" s="214"/>
      <c r="B1020" s="237">
        <v>1</v>
      </c>
      <c r="C1020" s="237">
        <v>3</v>
      </c>
      <c r="D1020" s="238" t="s">
        <v>2022</v>
      </c>
      <c r="E1020" s="238" t="s">
        <v>1836</v>
      </c>
      <c r="F1020" s="238" t="s">
        <v>1825</v>
      </c>
      <c r="G1020" s="238" t="s">
        <v>140</v>
      </c>
      <c r="H1020" s="239" t="s">
        <v>2835</v>
      </c>
      <c r="I1020" s="217"/>
      <c r="J1020" s="217"/>
      <c r="K1020" s="217"/>
      <c r="L1020" s="217"/>
      <c r="M1020" s="217"/>
      <c r="N1020" s="217"/>
      <c r="O1020" s="217"/>
      <c r="P1020" s="217"/>
    </row>
    <row r="1021" spans="1:16" s="219" customFormat="1" ht="30" hidden="1" x14ac:dyDescent="0.25">
      <c r="A1021" s="214"/>
      <c r="B1021" s="237">
        <v>1</v>
      </c>
      <c r="C1021" s="237">
        <v>3</v>
      </c>
      <c r="D1021" s="238" t="s">
        <v>2022</v>
      </c>
      <c r="E1021" s="238" t="s">
        <v>1836</v>
      </c>
      <c r="F1021" s="238" t="s">
        <v>1825</v>
      </c>
      <c r="G1021" s="238" t="s">
        <v>143</v>
      </c>
      <c r="H1021" s="239" t="s">
        <v>2836</v>
      </c>
      <c r="I1021" s="217"/>
      <c r="J1021" s="217"/>
      <c r="K1021" s="217"/>
      <c r="L1021" s="217"/>
      <c r="M1021" s="217"/>
      <c r="N1021" s="217"/>
      <c r="O1021" s="217"/>
      <c r="P1021" s="217"/>
    </row>
    <row r="1022" spans="1:16" s="219" customFormat="1" ht="30" hidden="1" x14ac:dyDescent="0.25">
      <c r="A1022" s="214"/>
      <c r="B1022" s="237">
        <v>1</v>
      </c>
      <c r="C1022" s="237">
        <v>3</v>
      </c>
      <c r="D1022" s="238" t="s">
        <v>2022</v>
      </c>
      <c r="E1022" s="238" t="s">
        <v>1836</v>
      </c>
      <c r="F1022" s="238" t="s">
        <v>1825</v>
      </c>
      <c r="G1022" s="238" t="s">
        <v>146</v>
      </c>
      <c r="H1022" s="239" t="s">
        <v>2837</v>
      </c>
      <c r="I1022" s="217"/>
      <c r="J1022" s="217"/>
      <c r="K1022" s="217"/>
      <c r="L1022" s="217"/>
      <c r="M1022" s="217"/>
      <c r="N1022" s="217"/>
      <c r="O1022" s="217"/>
      <c r="P1022" s="217"/>
    </row>
    <row r="1023" spans="1:16" s="219" customFormat="1" ht="30" hidden="1" x14ac:dyDescent="0.25">
      <c r="A1023" s="214"/>
      <c r="B1023" s="237">
        <v>1</v>
      </c>
      <c r="C1023" s="237">
        <v>3</v>
      </c>
      <c r="D1023" s="238" t="s">
        <v>2022</v>
      </c>
      <c r="E1023" s="238" t="s">
        <v>1836</v>
      </c>
      <c r="F1023" s="238" t="s">
        <v>1825</v>
      </c>
      <c r="G1023" s="238" t="s">
        <v>150</v>
      </c>
      <c r="H1023" s="239" t="s">
        <v>2838</v>
      </c>
      <c r="I1023" s="217"/>
      <c r="J1023" s="217"/>
      <c r="K1023" s="217"/>
      <c r="L1023" s="217"/>
      <c r="M1023" s="217"/>
      <c r="N1023" s="217"/>
      <c r="O1023" s="217"/>
      <c r="P1023" s="217"/>
    </row>
    <row r="1024" spans="1:16" s="219" customFormat="1" ht="30" hidden="1" x14ac:dyDescent="0.25">
      <c r="A1024" s="214"/>
      <c r="B1024" s="237">
        <v>1</v>
      </c>
      <c r="C1024" s="237">
        <v>3</v>
      </c>
      <c r="D1024" s="238" t="s">
        <v>2022</v>
      </c>
      <c r="E1024" s="238" t="s">
        <v>1836</v>
      </c>
      <c r="F1024" s="238" t="s">
        <v>1825</v>
      </c>
      <c r="G1024" s="238" t="s">
        <v>153</v>
      </c>
      <c r="H1024" s="239" t="s">
        <v>2839</v>
      </c>
      <c r="I1024" s="217"/>
      <c r="J1024" s="217"/>
      <c r="K1024" s="217"/>
      <c r="L1024" s="217"/>
      <c r="M1024" s="217"/>
      <c r="N1024" s="217"/>
      <c r="O1024" s="217"/>
      <c r="P1024" s="217"/>
    </row>
    <row r="1025" spans="1:16" s="219" customFormat="1" ht="45" hidden="1" x14ac:dyDescent="0.25">
      <c r="A1025" s="214"/>
      <c r="B1025" s="237">
        <v>1</v>
      </c>
      <c r="C1025" s="237">
        <v>3</v>
      </c>
      <c r="D1025" s="238" t="s">
        <v>2022</v>
      </c>
      <c r="E1025" s="238" t="s">
        <v>1836</v>
      </c>
      <c r="F1025" s="238" t="s">
        <v>1825</v>
      </c>
      <c r="G1025" s="238" t="s">
        <v>156</v>
      </c>
      <c r="H1025" s="239" t="s">
        <v>2840</v>
      </c>
      <c r="I1025" s="217"/>
      <c r="J1025" s="217"/>
      <c r="K1025" s="217"/>
      <c r="L1025" s="217"/>
      <c r="M1025" s="217"/>
      <c r="N1025" s="217"/>
      <c r="O1025" s="217"/>
      <c r="P1025" s="217"/>
    </row>
    <row r="1026" spans="1:16" s="219" customFormat="1" ht="30" hidden="1" x14ac:dyDescent="0.25">
      <c r="A1026" s="214"/>
      <c r="B1026" s="237">
        <v>1</v>
      </c>
      <c r="C1026" s="237">
        <v>3</v>
      </c>
      <c r="D1026" s="238" t="s">
        <v>2022</v>
      </c>
      <c r="E1026" s="238" t="s">
        <v>1836</v>
      </c>
      <c r="F1026" s="238" t="s">
        <v>1825</v>
      </c>
      <c r="G1026" s="238" t="s">
        <v>159</v>
      </c>
      <c r="H1026" s="239" t="s">
        <v>2841</v>
      </c>
      <c r="I1026" s="217"/>
      <c r="J1026" s="217"/>
      <c r="K1026" s="217"/>
      <c r="L1026" s="217"/>
      <c r="M1026" s="217"/>
      <c r="N1026" s="217"/>
      <c r="O1026" s="217"/>
      <c r="P1026" s="217"/>
    </row>
    <row r="1027" spans="1:16" s="219" customFormat="1" ht="30" hidden="1" x14ac:dyDescent="0.25">
      <c r="A1027" s="214"/>
      <c r="B1027" s="237">
        <v>1</v>
      </c>
      <c r="C1027" s="237">
        <v>3</v>
      </c>
      <c r="D1027" s="238" t="s">
        <v>2022</v>
      </c>
      <c r="E1027" s="238" t="s">
        <v>1836</v>
      </c>
      <c r="F1027" s="238" t="s">
        <v>1825</v>
      </c>
      <c r="G1027" s="238" t="s">
        <v>162</v>
      </c>
      <c r="H1027" s="239" t="s">
        <v>2842</v>
      </c>
      <c r="I1027" s="217"/>
      <c r="J1027" s="217"/>
      <c r="K1027" s="217"/>
      <c r="L1027" s="217"/>
      <c r="M1027" s="217"/>
      <c r="N1027" s="217"/>
      <c r="O1027" s="217"/>
      <c r="P1027" s="217"/>
    </row>
    <row r="1028" spans="1:16" s="219" customFormat="1" ht="30" hidden="1" x14ac:dyDescent="0.25">
      <c r="A1028" s="214"/>
      <c r="B1028" s="237">
        <v>1</v>
      </c>
      <c r="C1028" s="237">
        <v>3</v>
      </c>
      <c r="D1028" s="238" t="s">
        <v>2022</v>
      </c>
      <c r="E1028" s="238" t="s">
        <v>1836</v>
      </c>
      <c r="F1028" s="238" t="s">
        <v>1825</v>
      </c>
      <c r="G1028" s="238" t="s">
        <v>312</v>
      </c>
      <c r="H1028" s="239" t="s">
        <v>2843</v>
      </c>
      <c r="I1028" s="217"/>
      <c r="J1028" s="217"/>
      <c r="K1028" s="217"/>
      <c r="L1028" s="217"/>
      <c r="M1028" s="217"/>
      <c r="N1028" s="217"/>
      <c r="O1028" s="217"/>
      <c r="P1028" s="217"/>
    </row>
    <row r="1029" spans="1:16" s="219" customFormat="1" ht="30" hidden="1" x14ac:dyDescent="0.25">
      <c r="A1029" s="214"/>
      <c r="B1029" s="237">
        <v>1</v>
      </c>
      <c r="C1029" s="237">
        <v>3</v>
      </c>
      <c r="D1029" s="238" t="s">
        <v>2022</v>
      </c>
      <c r="E1029" s="238" t="s">
        <v>1836</v>
      </c>
      <c r="F1029" s="238" t="s">
        <v>1825</v>
      </c>
      <c r="G1029" s="238" t="s">
        <v>313</v>
      </c>
      <c r="H1029" s="239" t="s">
        <v>2844</v>
      </c>
      <c r="I1029" s="217"/>
      <c r="J1029" s="217"/>
      <c r="K1029" s="217"/>
      <c r="L1029" s="217"/>
      <c r="M1029" s="217"/>
      <c r="N1029" s="217"/>
      <c r="O1029" s="217"/>
      <c r="P1029" s="217"/>
    </row>
    <row r="1030" spans="1:16" s="219" customFormat="1" ht="30" hidden="1" x14ac:dyDescent="0.25">
      <c r="A1030" s="214"/>
      <c r="B1030" s="237">
        <v>1</v>
      </c>
      <c r="C1030" s="237">
        <v>3</v>
      </c>
      <c r="D1030" s="238" t="s">
        <v>2022</v>
      </c>
      <c r="E1030" s="238" t="s">
        <v>1836</v>
      </c>
      <c r="F1030" s="238" t="s">
        <v>1825</v>
      </c>
      <c r="G1030" s="238" t="s">
        <v>559</v>
      </c>
      <c r="H1030" s="239" t="s">
        <v>2845</v>
      </c>
      <c r="I1030" s="217"/>
      <c r="J1030" s="217"/>
      <c r="K1030" s="217"/>
      <c r="L1030" s="217"/>
      <c r="M1030" s="217"/>
      <c r="N1030" s="217"/>
      <c r="O1030" s="217"/>
      <c r="P1030" s="217"/>
    </row>
    <row r="1031" spans="1:16" s="219" customFormat="1" ht="30" hidden="1" x14ac:dyDescent="0.25">
      <c r="A1031" s="214"/>
      <c r="B1031" s="237">
        <v>1</v>
      </c>
      <c r="C1031" s="237">
        <v>3</v>
      </c>
      <c r="D1031" s="238" t="s">
        <v>2022</v>
      </c>
      <c r="E1031" s="238" t="s">
        <v>1836</v>
      </c>
      <c r="F1031" s="238" t="s">
        <v>1825</v>
      </c>
      <c r="G1031" s="238" t="s">
        <v>561</v>
      </c>
      <c r="H1031" s="239" t="s">
        <v>2846</v>
      </c>
      <c r="I1031" s="217"/>
      <c r="J1031" s="217"/>
      <c r="K1031" s="217"/>
      <c r="L1031" s="217"/>
      <c r="M1031" s="217"/>
      <c r="N1031" s="217"/>
      <c r="O1031" s="217"/>
      <c r="P1031" s="217"/>
    </row>
    <row r="1032" spans="1:16" s="219" customFormat="1" ht="30" hidden="1" x14ac:dyDescent="0.25">
      <c r="A1032" s="214"/>
      <c r="B1032" s="237">
        <v>1</v>
      </c>
      <c r="C1032" s="237">
        <v>3</v>
      </c>
      <c r="D1032" s="238" t="s">
        <v>2022</v>
      </c>
      <c r="E1032" s="238" t="s">
        <v>1836</v>
      </c>
      <c r="F1032" s="238" t="s">
        <v>1825</v>
      </c>
      <c r="G1032" s="238" t="s">
        <v>563</v>
      </c>
      <c r="H1032" s="239" t="s">
        <v>2847</v>
      </c>
      <c r="I1032" s="217"/>
      <c r="J1032" s="217"/>
      <c r="K1032" s="217"/>
      <c r="L1032" s="217"/>
      <c r="M1032" s="217"/>
      <c r="N1032" s="217"/>
      <c r="O1032" s="217"/>
      <c r="P1032" s="217"/>
    </row>
    <row r="1033" spans="1:16" s="219" customFormat="1" ht="30" hidden="1" x14ac:dyDescent="0.25">
      <c r="A1033" s="214"/>
      <c r="B1033" s="237">
        <v>1</v>
      </c>
      <c r="C1033" s="237">
        <v>3</v>
      </c>
      <c r="D1033" s="238" t="s">
        <v>2022</v>
      </c>
      <c r="E1033" s="238" t="s">
        <v>1836</v>
      </c>
      <c r="F1033" s="238" t="s">
        <v>1825</v>
      </c>
      <c r="G1033" s="238" t="s">
        <v>227</v>
      </c>
      <c r="H1033" s="239" t="s">
        <v>2848</v>
      </c>
      <c r="I1033" s="217"/>
      <c r="J1033" s="217"/>
      <c r="K1033" s="217"/>
      <c r="L1033" s="217"/>
      <c r="M1033" s="217"/>
      <c r="N1033" s="217"/>
      <c r="O1033" s="217"/>
      <c r="P1033" s="217"/>
    </row>
    <row r="1034" spans="1:16" s="219" customFormat="1" ht="45" hidden="1" x14ac:dyDescent="0.25">
      <c r="A1034" s="214"/>
      <c r="B1034" s="237">
        <v>1</v>
      </c>
      <c r="C1034" s="237">
        <v>3</v>
      </c>
      <c r="D1034" s="238" t="s">
        <v>2022</v>
      </c>
      <c r="E1034" s="238" t="s">
        <v>1836</v>
      </c>
      <c r="F1034" s="238" t="s">
        <v>1825</v>
      </c>
      <c r="G1034" s="238" t="s">
        <v>230</v>
      </c>
      <c r="H1034" s="239" t="s">
        <v>2849</v>
      </c>
      <c r="I1034" s="217"/>
      <c r="J1034" s="217"/>
      <c r="K1034" s="217"/>
      <c r="L1034" s="217"/>
      <c r="M1034" s="217"/>
      <c r="N1034" s="217"/>
      <c r="O1034" s="217"/>
      <c r="P1034" s="217"/>
    </row>
    <row r="1035" spans="1:16" s="219" customFormat="1" ht="45" hidden="1" x14ac:dyDescent="0.25">
      <c r="A1035" s="214"/>
      <c r="B1035" s="237">
        <v>1</v>
      </c>
      <c r="C1035" s="237">
        <v>3</v>
      </c>
      <c r="D1035" s="238" t="s">
        <v>2022</v>
      </c>
      <c r="E1035" s="238" t="s">
        <v>1836</v>
      </c>
      <c r="F1035" s="238" t="s">
        <v>1825</v>
      </c>
      <c r="G1035" s="238" t="s">
        <v>232</v>
      </c>
      <c r="H1035" s="239" t="s">
        <v>2850</v>
      </c>
      <c r="I1035" s="217"/>
      <c r="J1035" s="217"/>
      <c r="K1035" s="217"/>
      <c r="L1035" s="217"/>
      <c r="M1035" s="217"/>
      <c r="N1035" s="217"/>
      <c r="O1035" s="217"/>
      <c r="P1035" s="217"/>
    </row>
    <row r="1036" spans="1:16" s="219" customFormat="1" ht="30" hidden="1" x14ac:dyDescent="0.25">
      <c r="A1036" s="214"/>
      <c r="B1036" s="237">
        <v>1</v>
      </c>
      <c r="C1036" s="237">
        <v>3</v>
      </c>
      <c r="D1036" s="238" t="s">
        <v>2022</v>
      </c>
      <c r="E1036" s="238" t="s">
        <v>1836</v>
      </c>
      <c r="F1036" s="238" t="s">
        <v>1825</v>
      </c>
      <c r="G1036" s="238" t="s">
        <v>234</v>
      </c>
      <c r="H1036" s="239" t="s">
        <v>2851</v>
      </c>
      <c r="I1036" s="217"/>
      <c r="J1036" s="217"/>
      <c r="K1036" s="217"/>
      <c r="L1036" s="217"/>
      <c r="M1036" s="217"/>
      <c r="N1036" s="217"/>
      <c r="O1036" s="217"/>
      <c r="P1036" s="217"/>
    </row>
    <row r="1037" spans="1:16" s="219" customFormat="1" ht="45" hidden="1" x14ac:dyDescent="0.25">
      <c r="A1037" s="214"/>
      <c r="B1037" s="237">
        <v>1</v>
      </c>
      <c r="C1037" s="237">
        <v>3</v>
      </c>
      <c r="D1037" s="238" t="s">
        <v>2022</v>
      </c>
      <c r="E1037" s="238" t="s">
        <v>1836</v>
      </c>
      <c r="F1037" s="238" t="s">
        <v>1825</v>
      </c>
      <c r="G1037" s="238" t="s">
        <v>236</v>
      </c>
      <c r="H1037" s="239" t="s">
        <v>2852</v>
      </c>
      <c r="I1037" s="217"/>
      <c r="J1037" s="217"/>
      <c r="K1037" s="217"/>
      <c r="L1037" s="217"/>
      <c r="M1037" s="217"/>
      <c r="N1037" s="217"/>
      <c r="O1037" s="217"/>
      <c r="P1037" s="217"/>
    </row>
    <row r="1038" spans="1:16" s="219" customFormat="1" ht="30" hidden="1" x14ac:dyDescent="0.25">
      <c r="A1038" s="214"/>
      <c r="B1038" s="237">
        <v>1</v>
      </c>
      <c r="C1038" s="237">
        <v>3</v>
      </c>
      <c r="D1038" s="238" t="s">
        <v>2022</v>
      </c>
      <c r="E1038" s="238" t="s">
        <v>1836</v>
      </c>
      <c r="F1038" s="238" t="s">
        <v>1825</v>
      </c>
      <c r="G1038" s="238" t="s">
        <v>238</v>
      </c>
      <c r="H1038" s="239" t="s">
        <v>2853</v>
      </c>
      <c r="I1038" s="217"/>
      <c r="J1038" s="217"/>
      <c r="K1038" s="217"/>
      <c r="L1038" s="217"/>
      <c r="M1038" s="217"/>
      <c r="N1038" s="217"/>
      <c r="O1038" s="217"/>
      <c r="P1038" s="217"/>
    </row>
    <row r="1039" spans="1:16" s="219" customFormat="1" ht="30" hidden="1" x14ac:dyDescent="0.25">
      <c r="A1039" s="214"/>
      <c r="B1039" s="237">
        <v>1</v>
      </c>
      <c r="C1039" s="237">
        <v>3</v>
      </c>
      <c r="D1039" s="238" t="s">
        <v>2022</v>
      </c>
      <c r="E1039" s="238" t="s">
        <v>1836</v>
      </c>
      <c r="F1039" s="238" t="s">
        <v>1825</v>
      </c>
      <c r="G1039" s="238" t="s">
        <v>240</v>
      </c>
      <c r="H1039" s="239" t="s">
        <v>2854</v>
      </c>
      <c r="I1039" s="217"/>
      <c r="J1039" s="217"/>
      <c r="K1039" s="217"/>
      <c r="L1039" s="217"/>
      <c r="M1039" s="217"/>
      <c r="N1039" s="217"/>
      <c r="O1039" s="217"/>
      <c r="P1039" s="217"/>
    </row>
    <row r="1040" spans="1:16" s="219" customFormat="1" ht="30" hidden="1" x14ac:dyDescent="0.25">
      <c r="A1040" s="214"/>
      <c r="B1040" s="237">
        <v>1</v>
      </c>
      <c r="C1040" s="237">
        <v>3</v>
      </c>
      <c r="D1040" s="238" t="s">
        <v>2022</v>
      </c>
      <c r="E1040" s="238" t="s">
        <v>1836</v>
      </c>
      <c r="F1040" s="238" t="s">
        <v>1825</v>
      </c>
      <c r="G1040" s="238" t="s">
        <v>242</v>
      </c>
      <c r="H1040" s="239" t="s">
        <v>2855</v>
      </c>
      <c r="I1040" s="217"/>
      <c r="J1040" s="217"/>
      <c r="K1040" s="217"/>
      <c r="L1040" s="217"/>
      <c r="M1040" s="217"/>
      <c r="N1040" s="217"/>
      <c r="O1040" s="217"/>
      <c r="P1040" s="217"/>
    </row>
    <row r="1041" spans="1:16" s="219" customFormat="1" ht="30" hidden="1" x14ac:dyDescent="0.25">
      <c r="A1041" s="214"/>
      <c r="B1041" s="237">
        <v>1</v>
      </c>
      <c r="C1041" s="237">
        <v>3</v>
      </c>
      <c r="D1041" s="238" t="s">
        <v>2022</v>
      </c>
      <c r="E1041" s="238" t="s">
        <v>1836</v>
      </c>
      <c r="F1041" s="238" t="s">
        <v>1825</v>
      </c>
      <c r="G1041" s="238" t="s">
        <v>244</v>
      </c>
      <c r="H1041" s="239" t="s">
        <v>2856</v>
      </c>
      <c r="I1041" s="217"/>
      <c r="J1041" s="217"/>
      <c r="K1041" s="217"/>
      <c r="L1041" s="217"/>
      <c r="M1041" s="217"/>
      <c r="N1041" s="217"/>
      <c r="O1041" s="217"/>
      <c r="P1041" s="217"/>
    </row>
    <row r="1042" spans="1:16" s="213" customFormat="1" ht="30" hidden="1" x14ac:dyDescent="0.25">
      <c r="A1042" s="208" t="s">
        <v>263</v>
      </c>
      <c r="B1042" s="234">
        <v>1</v>
      </c>
      <c r="C1042" s="234">
        <v>3</v>
      </c>
      <c r="D1042" s="235" t="s">
        <v>2022</v>
      </c>
      <c r="E1042" s="235" t="s">
        <v>1836</v>
      </c>
      <c r="F1042" s="235" t="s">
        <v>1836</v>
      </c>
      <c r="G1042" s="234"/>
      <c r="H1042" s="236" t="s">
        <v>2857</v>
      </c>
      <c r="I1042" s="211">
        <f>SUM(I1043:I1066)</f>
        <v>0</v>
      </c>
      <c r="J1042" s="211">
        <f t="shared" ref="J1042:P1042" si="156">SUM(J1043:J1066)</f>
        <v>0</v>
      </c>
      <c r="K1042" s="211">
        <f t="shared" si="156"/>
        <v>0</v>
      </c>
      <c r="L1042" s="211">
        <f t="shared" si="156"/>
        <v>0</v>
      </c>
      <c r="M1042" s="211">
        <f t="shared" si="156"/>
        <v>0</v>
      </c>
      <c r="N1042" s="211">
        <f t="shared" si="156"/>
        <v>0</v>
      </c>
      <c r="O1042" s="211">
        <f t="shared" si="156"/>
        <v>0</v>
      </c>
      <c r="P1042" s="211">
        <f t="shared" si="156"/>
        <v>0</v>
      </c>
    </row>
    <row r="1043" spans="1:16" s="219" customFormat="1" ht="45" hidden="1" x14ac:dyDescent="0.25">
      <c r="A1043" s="214"/>
      <c r="B1043" s="237">
        <v>1</v>
      </c>
      <c r="C1043" s="237">
        <v>3</v>
      </c>
      <c r="D1043" s="238" t="s">
        <v>2022</v>
      </c>
      <c r="E1043" s="238" t="s">
        <v>1836</v>
      </c>
      <c r="F1043" s="238" t="s">
        <v>1836</v>
      </c>
      <c r="G1043" s="238" t="s">
        <v>58</v>
      </c>
      <c r="H1043" s="239" t="s">
        <v>2858</v>
      </c>
      <c r="I1043" s="217"/>
      <c r="J1043" s="217"/>
      <c r="K1043" s="217"/>
      <c r="L1043" s="217"/>
      <c r="M1043" s="217"/>
      <c r="N1043" s="217"/>
      <c r="O1043" s="217"/>
      <c r="P1043" s="217"/>
    </row>
    <row r="1044" spans="1:16" s="219" customFormat="1" ht="45" hidden="1" x14ac:dyDescent="0.25">
      <c r="A1044" s="214"/>
      <c r="B1044" s="237">
        <v>1</v>
      </c>
      <c r="C1044" s="237">
        <v>3</v>
      </c>
      <c r="D1044" s="238" t="s">
        <v>2022</v>
      </c>
      <c r="E1044" s="238" t="s">
        <v>1836</v>
      </c>
      <c r="F1044" s="238" t="s">
        <v>1836</v>
      </c>
      <c r="G1044" s="238" t="s">
        <v>75</v>
      </c>
      <c r="H1044" s="239" t="s">
        <v>2859</v>
      </c>
      <c r="I1044" s="217"/>
      <c r="J1044" s="217"/>
      <c r="K1044" s="217"/>
      <c r="L1044" s="217"/>
      <c r="M1044" s="217"/>
      <c r="N1044" s="217"/>
      <c r="O1044" s="217"/>
      <c r="P1044" s="217"/>
    </row>
    <row r="1045" spans="1:16" s="219" customFormat="1" ht="45" hidden="1" x14ac:dyDescent="0.25">
      <c r="A1045" s="214"/>
      <c r="B1045" s="237">
        <v>1</v>
      </c>
      <c r="C1045" s="237">
        <v>3</v>
      </c>
      <c r="D1045" s="238" t="s">
        <v>2022</v>
      </c>
      <c r="E1045" s="238" t="s">
        <v>1836</v>
      </c>
      <c r="F1045" s="238" t="s">
        <v>1836</v>
      </c>
      <c r="G1045" s="238" t="s">
        <v>79</v>
      </c>
      <c r="H1045" s="239" t="s">
        <v>2860</v>
      </c>
      <c r="I1045" s="217"/>
      <c r="J1045" s="217"/>
      <c r="K1045" s="217"/>
      <c r="L1045" s="217"/>
      <c r="M1045" s="217"/>
      <c r="N1045" s="217"/>
      <c r="O1045" s="217"/>
      <c r="P1045" s="217"/>
    </row>
    <row r="1046" spans="1:16" s="219" customFormat="1" ht="45" hidden="1" x14ac:dyDescent="0.25">
      <c r="A1046" s="214"/>
      <c r="B1046" s="237">
        <v>1</v>
      </c>
      <c r="C1046" s="237">
        <v>3</v>
      </c>
      <c r="D1046" s="238" t="s">
        <v>2022</v>
      </c>
      <c r="E1046" s="238" t="s">
        <v>1836</v>
      </c>
      <c r="F1046" s="238" t="s">
        <v>1836</v>
      </c>
      <c r="G1046" s="238" t="s">
        <v>84</v>
      </c>
      <c r="H1046" s="239" t="s">
        <v>2861</v>
      </c>
      <c r="I1046" s="217"/>
      <c r="J1046" s="217"/>
      <c r="K1046" s="217"/>
      <c r="L1046" s="217"/>
      <c r="M1046" s="217"/>
      <c r="N1046" s="217"/>
      <c r="O1046" s="217"/>
      <c r="P1046" s="217"/>
    </row>
    <row r="1047" spans="1:16" s="219" customFormat="1" ht="45" hidden="1" x14ac:dyDescent="0.25">
      <c r="A1047" s="214"/>
      <c r="B1047" s="237">
        <v>1</v>
      </c>
      <c r="C1047" s="237">
        <v>3</v>
      </c>
      <c r="D1047" s="238" t="s">
        <v>2022</v>
      </c>
      <c r="E1047" s="238" t="s">
        <v>1836</v>
      </c>
      <c r="F1047" s="238" t="s">
        <v>1836</v>
      </c>
      <c r="G1047" s="238" t="s">
        <v>88</v>
      </c>
      <c r="H1047" s="239" t="s">
        <v>2862</v>
      </c>
      <c r="I1047" s="217"/>
      <c r="J1047" s="217"/>
      <c r="K1047" s="217"/>
      <c r="L1047" s="217"/>
      <c r="M1047" s="217"/>
      <c r="N1047" s="217"/>
      <c r="O1047" s="217"/>
      <c r="P1047" s="217"/>
    </row>
    <row r="1048" spans="1:16" s="219" customFormat="1" ht="45" hidden="1" x14ac:dyDescent="0.25">
      <c r="A1048" s="214"/>
      <c r="B1048" s="237">
        <v>1</v>
      </c>
      <c r="C1048" s="237">
        <v>3</v>
      </c>
      <c r="D1048" s="238" t="s">
        <v>2022</v>
      </c>
      <c r="E1048" s="238" t="s">
        <v>1836</v>
      </c>
      <c r="F1048" s="238" t="s">
        <v>1836</v>
      </c>
      <c r="G1048" s="238" t="s">
        <v>92</v>
      </c>
      <c r="H1048" s="239" t="s">
        <v>2863</v>
      </c>
      <c r="I1048" s="217"/>
      <c r="J1048" s="217"/>
      <c r="K1048" s="217"/>
      <c r="L1048" s="217"/>
      <c r="M1048" s="217"/>
      <c r="N1048" s="217"/>
      <c r="O1048" s="217"/>
      <c r="P1048" s="217"/>
    </row>
    <row r="1049" spans="1:16" s="219" customFormat="1" ht="45" hidden="1" x14ac:dyDescent="0.25">
      <c r="A1049" s="214"/>
      <c r="B1049" s="237">
        <v>1</v>
      </c>
      <c r="C1049" s="237">
        <v>3</v>
      </c>
      <c r="D1049" s="238" t="s">
        <v>2022</v>
      </c>
      <c r="E1049" s="238" t="s">
        <v>1836</v>
      </c>
      <c r="F1049" s="238" t="s">
        <v>1836</v>
      </c>
      <c r="G1049" s="238" t="s">
        <v>96</v>
      </c>
      <c r="H1049" s="239" t="s">
        <v>2864</v>
      </c>
      <c r="I1049" s="217"/>
      <c r="J1049" s="217"/>
      <c r="K1049" s="217"/>
      <c r="L1049" s="217"/>
      <c r="M1049" s="217"/>
      <c r="N1049" s="217"/>
      <c r="O1049" s="217"/>
      <c r="P1049" s="217"/>
    </row>
    <row r="1050" spans="1:16" s="219" customFormat="1" ht="45" hidden="1" x14ac:dyDescent="0.25">
      <c r="A1050" s="214"/>
      <c r="B1050" s="237">
        <v>1</v>
      </c>
      <c r="C1050" s="237">
        <v>3</v>
      </c>
      <c r="D1050" s="238" t="s">
        <v>2022</v>
      </c>
      <c r="E1050" s="238" t="s">
        <v>1836</v>
      </c>
      <c r="F1050" s="238" t="s">
        <v>1836</v>
      </c>
      <c r="G1050" s="238" t="s">
        <v>100</v>
      </c>
      <c r="H1050" s="239" t="s">
        <v>2865</v>
      </c>
      <c r="I1050" s="217"/>
      <c r="J1050" s="217"/>
      <c r="K1050" s="217"/>
      <c r="L1050" s="217"/>
      <c r="M1050" s="217"/>
      <c r="N1050" s="217"/>
      <c r="O1050" s="217"/>
      <c r="P1050" s="217"/>
    </row>
    <row r="1051" spans="1:16" s="219" customFormat="1" ht="45" hidden="1" x14ac:dyDescent="0.25">
      <c r="A1051" s="214"/>
      <c r="B1051" s="237">
        <v>1</v>
      </c>
      <c r="C1051" s="237">
        <v>3</v>
      </c>
      <c r="D1051" s="238" t="s">
        <v>2022</v>
      </c>
      <c r="E1051" s="238" t="s">
        <v>1836</v>
      </c>
      <c r="F1051" s="238" t="s">
        <v>1836</v>
      </c>
      <c r="G1051" s="238" t="s">
        <v>105</v>
      </c>
      <c r="H1051" s="239" t="s">
        <v>2866</v>
      </c>
      <c r="I1051" s="217"/>
      <c r="J1051" s="217"/>
      <c r="K1051" s="217"/>
      <c r="L1051" s="217"/>
      <c r="M1051" s="217"/>
      <c r="N1051" s="217"/>
      <c r="O1051" s="217"/>
      <c r="P1051" s="217"/>
    </row>
    <row r="1052" spans="1:16" s="219" customFormat="1" ht="60" hidden="1" x14ac:dyDescent="0.25">
      <c r="A1052" s="214"/>
      <c r="B1052" s="237">
        <v>1</v>
      </c>
      <c r="C1052" s="237">
        <v>3</v>
      </c>
      <c r="D1052" s="238" t="s">
        <v>2022</v>
      </c>
      <c r="E1052" s="238" t="s">
        <v>1836</v>
      </c>
      <c r="F1052" s="238" t="s">
        <v>1836</v>
      </c>
      <c r="G1052" s="238" t="s">
        <v>108</v>
      </c>
      <c r="H1052" s="239" t="s">
        <v>2867</v>
      </c>
      <c r="I1052" s="217"/>
      <c r="J1052" s="217"/>
      <c r="K1052" s="217"/>
      <c r="L1052" s="217"/>
      <c r="M1052" s="217"/>
      <c r="N1052" s="217"/>
      <c r="O1052" s="217"/>
      <c r="P1052" s="217"/>
    </row>
    <row r="1053" spans="1:16" s="219" customFormat="1" ht="45" hidden="1" x14ac:dyDescent="0.25">
      <c r="A1053" s="214"/>
      <c r="B1053" s="237">
        <v>1</v>
      </c>
      <c r="C1053" s="237">
        <v>3</v>
      </c>
      <c r="D1053" s="238" t="s">
        <v>2022</v>
      </c>
      <c r="E1053" s="238" t="s">
        <v>1836</v>
      </c>
      <c r="F1053" s="238" t="s">
        <v>1836</v>
      </c>
      <c r="G1053" s="238" t="s">
        <v>135</v>
      </c>
      <c r="H1053" s="239" t="s">
        <v>2868</v>
      </c>
      <c r="I1053" s="217"/>
      <c r="J1053" s="217"/>
      <c r="K1053" s="217"/>
      <c r="L1053" s="217"/>
      <c r="M1053" s="217"/>
      <c r="N1053" s="217"/>
      <c r="O1053" s="217"/>
      <c r="P1053" s="217"/>
    </row>
    <row r="1054" spans="1:16" s="219" customFormat="1" ht="45" hidden="1" x14ac:dyDescent="0.25">
      <c r="A1054" s="214"/>
      <c r="B1054" s="237">
        <v>1</v>
      </c>
      <c r="C1054" s="237">
        <v>3</v>
      </c>
      <c r="D1054" s="238" t="s">
        <v>2022</v>
      </c>
      <c r="E1054" s="238" t="s">
        <v>1836</v>
      </c>
      <c r="F1054" s="238" t="s">
        <v>1836</v>
      </c>
      <c r="G1054" s="238" t="s">
        <v>138</v>
      </c>
      <c r="H1054" s="239" t="s">
        <v>2869</v>
      </c>
      <c r="I1054" s="217"/>
      <c r="J1054" s="217"/>
      <c r="K1054" s="217"/>
      <c r="L1054" s="217"/>
      <c r="M1054" s="217"/>
      <c r="N1054" s="217"/>
      <c r="O1054" s="217"/>
      <c r="P1054" s="217"/>
    </row>
    <row r="1055" spans="1:16" s="219" customFormat="1" ht="60" hidden="1" x14ac:dyDescent="0.25">
      <c r="A1055" s="214"/>
      <c r="B1055" s="237">
        <v>1</v>
      </c>
      <c r="C1055" s="237">
        <v>3</v>
      </c>
      <c r="D1055" s="238" t="s">
        <v>2022</v>
      </c>
      <c r="E1055" s="238" t="s">
        <v>1836</v>
      </c>
      <c r="F1055" s="238" t="s">
        <v>1836</v>
      </c>
      <c r="G1055" s="238" t="s">
        <v>140</v>
      </c>
      <c r="H1055" s="239" t="s">
        <v>2870</v>
      </c>
      <c r="I1055" s="217"/>
      <c r="J1055" s="217"/>
      <c r="K1055" s="217"/>
      <c r="L1055" s="217"/>
      <c r="M1055" s="217"/>
      <c r="N1055" s="217"/>
      <c r="O1055" s="217"/>
      <c r="P1055" s="217"/>
    </row>
    <row r="1056" spans="1:16" s="219" customFormat="1" ht="60" hidden="1" x14ac:dyDescent="0.25">
      <c r="A1056" s="214"/>
      <c r="B1056" s="237">
        <v>1</v>
      </c>
      <c r="C1056" s="237">
        <v>3</v>
      </c>
      <c r="D1056" s="238" t="s">
        <v>2022</v>
      </c>
      <c r="E1056" s="238" t="s">
        <v>1836</v>
      </c>
      <c r="F1056" s="238" t="s">
        <v>1836</v>
      </c>
      <c r="G1056" s="238" t="s">
        <v>143</v>
      </c>
      <c r="H1056" s="239" t="s">
        <v>2871</v>
      </c>
      <c r="I1056" s="217"/>
      <c r="J1056" s="217"/>
      <c r="K1056" s="217"/>
      <c r="L1056" s="217"/>
      <c r="M1056" s="217"/>
      <c r="N1056" s="217"/>
      <c r="O1056" s="217"/>
      <c r="P1056" s="217"/>
    </row>
    <row r="1057" spans="1:16" s="219" customFormat="1" ht="60" hidden="1" x14ac:dyDescent="0.25">
      <c r="A1057" s="214"/>
      <c r="B1057" s="237">
        <v>1</v>
      </c>
      <c r="C1057" s="237">
        <v>3</v>
      </c>
      <c r="D1057" s="238" t="s">
        <v>2022</v>
      </c>
      <c r="E1057" s="238" t="s">
        <v>1836</v>
      </c>
      <c r="F1057" s="238" t="s">
        <v>1836</v>
      </c>
      <c r="G1057" s="238" t="s">
        <v>146</v>
      </c>
      <c r="H1057" s="239" t="s">
        <v>2872</v>
      </c>
      <c r="I1057" s="217"/>
      <c r="J1057" s="217"/>
      <c r="K1057" s="217"/>
      <c r="L1057" s="217"/>
      <c r="M1057" s="217"/>
      <c r="N1057" s="217"/>
      <c r="O1057" s="217"/>
      <c r="P1057" s="217"/>
    </row>
    <row r="1058" spans="1:16" s="219" customFormat="1" ht="45" hidden="1" x14ac:dyDescent="0.25">
      <c r="A1058" s="214"/>
      <c r="B1058" s="237">
        <v>1</v>
      </c>
      <c r="C1058" s="237">
        <v>3</v>
      </c>
      <c r="D1058" s="238" t="s">
        <v>2022</v>
      </c>
      <c r="E1058" s="238" t="s">
        <v>1836</v>
      </c>
      <c r="F1058" s="238" t="s">
        <v>1836</v>
      </c>
      <c r="G1058" s="238" t="s">
        <v>150</v>
      </c>
      <c r="H1058" s="239" t="s">
        <v>2873</v>
      </c>
      <c r="I1058" s="217"/>
      <c r="J1058" s="217"/>
      <c r="K1058" s="217"/>
      <c r="L1058" s="217"/>
      <c r="M1058" s="217"/>
      <c r="N1058" s="217"/>
      <c r="O1058" s="217"/>
      <c r="P1058" s="217"/>
    </row>
    <row r="1059" spans="1:16" s="219" customFormat="1" ht="45" hidden="1" x14ac:dyDescent="0.25">
      <c r="A1059" s="214"/>
      <c r="B1059" s="237">
        <v>1</v>
      </c>
      <c r="C1059" s="237">
        <v>3</v>
      </c>
      <c r="D1059" s="238" t="s">
        <v>2022</v>
      </c>
      <c r="E1059" s="238" t="s">
        <v>1836</v>
      </c>
      <c r="F1059" s="238" t="s">
        <v>1836</v>
      </c>
      <c r="G1059" s="238" t="s">
        <v>153</v>
      </c>
      <c r="H1059" s="239" t="s">
        <v>2874</v>
      </c>
      <c r="I1059" s="217"/>
      <c r="J1059" s="217"/>
      <c r="K1059" s="217"/>
      <c r="L1059" s="217"/>
      <c r="M1059" s="217"/>
      <c r="N1059" s="217"/>
      <c r="O1059" s="217"/>
      <c r="P1059" s="217"/>
    </row>
    <row r="1060" spans="1:16" s="219" customFormat="1" ht="45" hidden="1" x14ac:dyDescent="0.25">
      <c r="A1060" s="214"/>
      <c r="B1060" s="237">
        <v>1</v>
      </c>
      <c r="C1060" s="237">
        <v>3</v>
      </c>
      <c r="D1060" s="238" t="s">
        <v>2022</v>
      </c>
      <c r="E1060" s="238" t="s">
        <v>1836</v>
      </c>
      <c r="F1060" s="238" t="s">
        <v>1836</v>
      </c>
      <c r="G1060" s="238" t="s">
        <v>156</v>
      </c>
      <c r="H1060" s="239" t="s">
        <v>2875</v>
      </c>
      <c r="I1060" s="217"/>
      <c r="J1060" s="217"/>
      <c r="K1060" s="217"/>
      <c r="L1060" s="217"/>
      <c r="M1060" s="217"/>
      <c r="N1060" s="217"/>
      <c r="O1060" s="217"/>
      <c r="P1060" s="217"/>
    </row>
    <row r="1061" spans="1:16" s="219" customFormat="1" ht="60" hidden="1" x14ac:dyDescent="0.25">
      <c r="A1061" s="214"/>
      <c r="B1061" s="237">
        <v>1</v>
      </c>
      <c r="C1061" s="237">
        <v>3</v>
      </c>
      <c r="D1061" s="238" t="s">
        <v>2022</v>
      </c>
      <c r="E1061" s="238" t="s">
        <v>1836</v>
      </c>
      <c r="F1061" s="238" t="s">
        <v>1836</v>
      </c>
      <c r="G1061" s="238" t="s">
        <v>159</v>
      </c>
      <c r="H1061" s="239" t="s">
        <v>2876</v>
      </c>
      <c r="I1061" s="217"/>
      <c r="J1061" s="217"/>
      <c r="K1061" s="217"/>
      <c r="L1061" s="217"/>
      <c r="M1061" s="217"/>
      <c r="N1061" s="217"/>
      <c r="O1061" s="217"/>
      <c r="P1061" s="217"/>
    </row>
    <row r="1062" spans="1:16" s="219" customFormat="1" ht="60" hidden="1" x14ac:dyDescent="0.25">
      <c r="A1062" s="214"/>
      <c r="B1062" s="237">
        <v>1</v>
      </c>
      <c r="C1062" s="237">
        <v>3</v>
      </c>
      <c r="D1062" s="238" t="s">
        <v>2022</v>
      </c>
      <c r="E1062" s="238" t="s">
        <v>1836</v>
      </c>
      <c r="F1062" s="238" t="s">
        <v>1836</v>
      </c>
      <c r="G1062" s="238" t="s">
        <v>162</v>
      </c>
      <c r="H1062" s="239" t="s">
        <v>2877</v>
      </c>
      <c r="I1062" s="217"/>
      <c r="J1062" s="217"/>
      <c r="K1062" s="217"/>
      <c r="L1062" s="217"/>
      <c r="M1062" s="217"/>
      <c r="N1062" s="217"/>
      <c r="O1062" s="217"/>
      <c r="P1062" s="217"/>
    </row>
    <row r="1063" spans="1:16" s="219" customFormat="1" ht="60" hidden="1" x14ac:dyDescent="0.25">
      <c r="A1063" s="214"/>
      <c r="B1063" s="237">
        <v>1</v>
      </c>
      <c r="C1063" s="237">
        <v>3</v>
      </c>
      <c r="D1063" s="238" t="s">
        <v>2022</v>
      </c>
      <c r="E1063" s="238" t="s">
        <v>1836</v>
      </c>
      <c r="F1063" s="238" t="s">
        <v>1836</v>
      </c>
      <c r="G1063" s="238" t="s">
        <v>312</v>
      </c>
      <c r="H1063" s="239" t="s">
        <v>2878</v>
      </c>
      <c r="I1063" s="217"/>
      <c r="J1063" s="217"/>
      <c r="K1063" s="217"/>
      <c r="L1063" s="217"/>
      <c r="M1063" s="217"/>
      <c r="N1063" s="217"/>
      <c r="O1063" s="217"/>
      <c r="P1063" s="217"/>
    </row>
    <row r="1064" spans="1:16" s="219" customFormat="1" ht="60" hidden="1" x14ac:dyDescent="0.25">
      <c r="A1064" s="214"/>
      <c r="B1064" s="237">
        <v>1</v>
      </c>
      <c r="C1064" s="237">
        <v>3</v>
      </c>
      <c r="D1064" s="238" t="s">
        <v>2022</v>
      </c>
      <c r="E1064" s="238" t="s">
        <v>1836</v>
      </c>
      <c r="F1064" s="238" t="s">
        <v>1836</v>
      </c>
      <c r="G1064" s="238" t="s">
        <v>313</v>
      </c>
      <c r="H1064" s="239" t="s">
        <v>2879</v>
      </c>
      <c r="I1064" s="217"/>
      <c r="J1064" s="217"/>
      <c r="K1064" s="217"/>
      <c r="L1064" s="217"/>
      <c r="M1064" s="217"/>
      <c r="N1064" s="217"/>
      <c r="O1064" s="217"/>
      <c r="P1064" s="217"/>
    </row>
    <row r="1065" spans="1:16" s="219" customFormat="1" ht="45" hidden="1" x14ac:dyDescent="0.25">
      <c r="A1065" s="214"/>
      <c r="B1065" s="237">
        <v>1</v>
      </c>
      <c r="C1065" s="237">
        <v>3</v>
      </c>
      <c r="D1065" s="238" t="s">
        <v>2022</v>
      </c>
      <c r="E1065" s="238" t="s">
        <v>1836</v>
      </c>
      <c r="F1065" s="238" t="s">
        <v>1836</v>
      </c>
      <c r="G1065" s="238" t="s">
        <v>559</v>
      </c>
      <c r="H1065" s="239" t="s">
        <v>2880</v>
      </c>
      <c r="I1065" s="217"/>
      <c r="J1065" s="217"/>
      <c r="K1065" s="217"/>
      <c r="L1065" s="217"/>
      <c r="M1065" s="217"/>
      <c r="N1065" s="217"/>
      <c r="O1065" s="217"/>
      <c r="P1065" s="217"/>
    </row>
    <row r="1066" spans="1:16" s="219" customFormat="1" ht="45" hidden="1" x14ac:dyDescent="0.25">
      <c r="A1066" s="214"/>
      <c r="B1066" s="237">
        <v>1</v>
      </c>
      <c r="C1066" s="237">
        <v>3</v>
      </c>
      <c r="D1066" s="238" t="s">
        <v>2022</v>
      </c>
      <c r="E1066" s="238" t="s">
        <v>1836</v>
      </c>
      <c r="F1066" s="238" t="s">
        <v>1836</v>
      </c>
      <c r="G1066" s="238" t="s">
        <v>561</v>
      </c>
      <c r="H1066" s="239" t="s">
        <v>2881</v>
      </c>
      <c r="I1066" s="217"/>
      <c r="J1066" s="217"/>
      <c r="K1066" s="217"/>
      <c r="L1066" s="217"/>
      <c r="M1066" s="217"/>
      <c r="N1066" s="217"/>
      <c r="O1066" s="217"/>
      <c r="P1066" s="217"/>
    </row>
    <row r="1067" spans="1:16" s="213" customFormat="1" ht="30" hidden="1" x14ac:dyDescent="0.25">
      <c r="A1067" s="208" t="s">
        <v>263</v>
      </c>
      <c r="B1067" s="234">
        <v>1</v>
      </c>
      <c r="C1067" s="234">
        <v>3</v>
      </c>
      <c r="D1067" s="235" t="s">
        <v>2022</v>
      </c>
      <c r="E1067" s="235" t="s">
        <v>1836</v>
      </c>
      <c r="F1067" s="235" t="s">
        <v>1847</v>
      </c>
      <c r="G1067" s="234"/>
      <c r="H1067" s="210" t="s">
        <v>2882</v>
      </c>
      <c r="I1067" s="211">
        <f>SUM(I1068:I1111)</f>
        <v>0</v>
      </c>
      <c r="J1067" s="211">
        <f t="shared" ref="J1067:P1067" si="157">SUM(J1068:J1111)</f>
        <v>0</v>
      </c>
      <c r="K1067" s="211">
        <f t="shared" si="157"/>
        <v>0</v>
      </c>
      <c r="L1067" s="211">
        <f t="shared" si="157"/>
        <v>0</v>
      </c>
      <c r="M1067" s="211">
        <f t="shared" si="157"/>
        <v>0</v>
      </c>
      <c r="N1067" s="211">
        <f t="shared" si="157"/>
        <v>0</v>
      </c>
      <c r="O1067" s="211">
        <f t="shared" si="157"/>
        <v>0</v>
      </c>
      <c r="P1067" s="211">
        <f t="shared" si="157"/>
        <v>0</v>
      </c>
    </row>
    <row r="1068" spans="1:16" s="219" customFormat="1" ht="60" hidden="1" x14ac:dyDescent="0.25">
      <c r="A1068" s="214"/>
      <c r="B1068" s="237">
        <v>1</v>
      </c>
      <c r="C1068" s="237">
        <v>3</v>
      </c>
      <c r="D1068" s="238" t="s">
        <v>2022</v>
      </c>
      <c r="E1068" s="238" t="s">
        <v>1836</v>
      </c>
      <c r="F1068" s="238" t="s">
        <v>1847</v>
      </c>
      <c r="G1068" s="238" t="s">
        <v>58</v>
      </c>
      <c r="H1068" s="239" t="s">
        <v>2883</v>
      </c>
      <c r="I1068" s="217"/>
      <c r="J1068" s="217"/>
      <c r="K1068" s="217"/>
      <c r="L1068" s="217"/>
      <c r="M1068" s="217"/>
      <c r="N1068" s="217"/>
      <c r="O1068" s="217"/>
      <c r="P1068" s="217"/>
    </row>
    <row r="1069" spans="1:16" s="219" customFormat="1" ht="60" hidden="1" x14ac:dyDescent="0.25">
      <c r="A1069" s="214"/>
      <c r="B1069" s="237">
        <v>1</v>
      </c>
      <c r="C1069" s="237">
        <v>3</v>
      </c>
      <c r="D1069" s="238" t="s">
        <v>2022</v>
      </c>
      <c r="E1069" s="238" t="s">
        <v>1836</v>
      </c>
      <c r="F1069" s="238" t="s">
        <v>1847</v>
      </c>
      <c r="G1069" s="238" t="s">
        <v>75</v>
      </c>
      <c r="H1069" s="239" t="s">
        <v>2884</v>
      </c>
      <c r="I1069" s="217"/>
      <c r="J1069" s="217"/>
      <c r="K1069" s="217"/>
      <c r="L1069" s="217"/>
      <c r="M1069" s="217"/>
      <c r="N1069" s="217"/>
      <c r="O1069" s="217"/>
      <c r="P1069" s="217"/>
    </row>
    <row r="1070" spans="1:16" s="219" customFormat="1" ht="45" hidden="1" x14ac:dyDescent="0.25">
      <c r="A1070" s="214"/>
      <c r="B1070" s="237">
        <v>1</v>
      </c>
      <c r="C1070" s="237">
        <v>3</v>
      </c>
      <c r="D1070" s="238" t="s">
        <v>2022</v>
      </c>
      <c r="E1070" s="238" t="s">
        <v>1836</v>
      </c>
      <c r="F1070" s="238" t="s">
        <v>1847</v>
      </c>
      <c r="G1070" s="238" t="s">
        <v>79</v>
      </c>
      <c r="H1070" s="239" t="s">
        <v>2885</v>
      </c>
      <c r="I1070" s="217"/>
      <c r="J1070" s="217"/>
      <c r="K1070" s="217"/>
      <c r="L1070" s="217"/>
      <c r="M1070" s="217"/>
      <c r="N1070" s="217"/>
      <c r="O1070" s="217"/>
      <c r="P1070" s="217"/>
    </row>
    <row r="1071" spans="1:16" s="219" customFormat="1" ht="45" hidden="1" x14ac:dyDescent="0.25">
      <c r="A1071" s="214"/>
      <c r="B1071" s="237">
        <v>1</v>
      </c>
      <c r="C1071" s="237">
        <v>3</v>
      </c>
      <c r="D1071" s="238" t="s">
        <v>2022</v>
      </c>
      <c r="E1071" s="238" t="s">
        <v>1836</v>
      </c>
      <c r="F1071" s="238" t="s">
        <v>1847</v>
      </c>
      <c r="G1071" s="238" t="s">
        <v>84</v>
      </c>
      <c r="H1071" s="239" t="s">
        <v>2886</v>
      </c>
      <c r="I1071" s="217"/>
      <c r="J1071" s="217"/>
      <c r="K1071" s="217"/>
      <c r="L1071" s="217"/>
      <c r="M1071" s="217"/>
      <c r="N1071" s="217"/>
      <c r="O1071" s="217"/>
      <c r="P1071" s="217"/>
    </row>
    <row r="1072" spans="1:16" s="219" customFormat="1" ht="45" hidden="1" x14ac:dyDescent="0.25">
      <c r="A1072" s="214"/>
      <c r="B1072" s="237">
        <v>1</v>
      </c>
      <c r="C1072" s="237">
        <v>3</v>
      </c>
      <c r="D1072" s="238" t="s">
        <v>2022</v>
      </c>
      <c r="E1072" s="238" t="s">
        <v>1836</v>
      </c>
      <c r="F1072" s="238" t="s">
        <v>1847</v>
      </c>
      <c r="G1072" s="238" t="s">
        <v>88</v>
      </c>
      <c r="H1072" s="239" t="s">
        <v>2887</v>
      </c>
      <c r="I1072" s="217"/>
      <c r="J1072" s="217"/>
      <c r="K1072" s="217"/>
      <c r="L1072" s="217"/>
      <c r="M1072" s="217"/>
      <c r="N1072" s="217"/>
      <c r="O1072" s="217"/>
      <c r="P1072" s="217"/>
    </row>
    <row r="1073" spans="1:16" s="219" customFormat="1" ht="45" hidden="1" x14ac:dyDescent="0.25">
      <c r="A1073" s="214"/>
      <c r="B1073" s="237">
        <v>1</v>
      </c>
      <c r="C1073" s="237">
        <v>3</v>
      </c>
      <c r="D1073" s="238" t="s">
        <v>2022</v>
      </c>
      <c r="E1073" s="238" t="s">
        <v>1836</v>
      </c>
      <c r="F1073" s="238" t="s">
        <v>1847</v>
      </c>
      <c r="G1073" s="238" t="s">
        <v>92</v>
      </c>
      <c r="H1073" s="239" t="s">
        <v>2888</v>
      </c>
      <c r="I1073" s="217"/>
      <c r="J1073" s="217"/>
      <c r="K1073" s="217"/>
      <c r="L1073" s="217"/>
      <c r="M1073" s="217"/>
      <c r="N1073" s="217"/>
      <c r="O1073" s="217"/>
      <c r="P1073" s="217"/>
    </row>
    <row r="1074" spans="1:16" s="219" customFormat="1" ht="45" hidden="1" x14ac:dyDescent="0.25">
      <c r="A1074" s="214"/>
      <c r="B1074" s="237">
        <v>1</v>
      </c>
      <c r="C1074" s="237">
        <v>3</v>
      </c>
      <c r="D1074" s="238" t="s">
        <v>2022</v>
      </c>
      <c r="E1074" s="238" t="s">
        <v>1836</v>
      </c>
      <c r="F1074" s="238" t="s">
        <v>1847</v>
      </c>
      <c r="G1074" s="238" t="s">
        <v>96</v>
      </c>
      <c r="H1074" s="239" t="s">
        <v>2889</v>
      </c>
      <c r="I1074" s="217"/>
      <c r="J1074" s="217"/>
      <c r="K1074" s="217"/>
      <c r="L1074" s="217"/>
      <c r="M1074" s="217"/>
      <c r="N1074" s="217"/>
      <c r="O1074" s="217"/>
      <c r="P1074" s="217"/>
    </row>
    <row r="1075" spans="1:16" s="219" customFormat="1" ht="30" hidden="1" x14ac:dyDescent="0.25">
      <c r="A1075" s="214"/>
      <c r="B1075" s="237">
        <v>1</v>
      </c>
      <c r="C1075" s="237">
        <v>3</v>
      </c>
      <c r="D1075" s="238" t="s">
        <v>2022</v>
      </c>
      <c r="E1075" s="238" t="s">
        <v>1836</v>
      </c>
      <c r="F1075" s="238" t="s">
        <v>1847</v>
      </c>
      <c r="G1075" s="238" t="s">
        <v>100</v>
      </c>
      <c r="H1075" s="239" t="s">
        <v>2890</v>
      </c>
      <c r="I1075" s="217"/>
      <c r="J1075" s="217"/>
      <c r="K1075" s="217"/>
      <c r="L1075" s="217"/>
      <c r="M1075" s="217"/>
      <c r="N1075" s="217"/>
      <c r="O1075" s="217"/>
      <c r="P1075" s="217"/>
    </row>
    <row r="1076" spans="1:16" s="219" customFormat="1" ht="45" hidden="1" x14ac:dyDescent="0.25">
      <c r="A1076" s="214"/>
      <c r="B1076" s="237">
        <v>1</v>
      </c>
      <c r="C1076" s="237">
        <v>3</v>
      </c>
      <c r="D1076" s="238" t="s">
        <v>2022</v>
      </c>
      <c r="E1076" s="238" t="s">
        <v>1836</v>
      </c>
      <c r="F1076" s="238" t="s">
        <v>1847</v>
      </c>
      <c r="G1076" s="238" t="s">
        <v>105</v>
      </c>
      <c r="H1076" s="239" t="s">
        <v>2891</v>
      </c>
      <c r="I1076" s="217"/>
      <c r="J1076" s="217"/>
      <c r="K1076" s="217"/>
      <c r="L1076" s="217"/>
      <c r="M1076" s="217"/>
      <c r="N1076" s="217"/>
      <c r="O1076" s="217"/>
      <c r="P1076" s="217"/>
    </row>
    <row r="1077" spans="1:16" s="219" customFormat="1" ht="45" hidden="1" x14ac:dyDescent="0.25">
      <c r="A1077" s="214"/>
      <c r="B1077" s="237">
        <v>1</v>
      </c>
      <c r="C1077" s="237">
        <v>3</v>
      </c>
      <c r="D1077" s="238" t="s">
        <v>2022</v>
      </c>
      <c r="E1077" s="238" t="s">
        <v>1836</v>
      </c>
      <c r="F1077" s="238" t="s">
        <v>1847</v>
      </c>
      <c r="G1077" s="238" t="s">
        <v>108</v>
      </c>
      <c r="H1077" s="239" t="s">
        <v>2892</v>
      </c>
      <c r="I1077" s="217"/>
      <c r="J1077" s="217"/>
      <c r="K1077" s="217"/>
      <c r="L1077" s="217"/>
      <c r="M1077" s="217"/>
      <c r="N1077" s="217"/>
      <c r="O1077" s="217"/>
      <c r="P1077" s="217"/>
    </row>
    <row r="1078" spans="1:16" s="219" customFormat="1" ht="45" hidden="1" x14ac:dyDescent="0.25">
      <c r="A1078" s="214"/>
      <c r="B1078" s="237">
        <v>1</v>
      </c>
      <c r="C1078" s="237">
        <v>3</v>
      </c>
      <c r="D1078" s="238" t="s">
        <v>2022</v>
      </c>
      <c r="E1078" s="238" t="s">
        <v>1836</v>
      </c>
      <c r="F1078" s="238" t="s">
        <v>1847</v>
      </c>
      <c r="G1078" s="238" t="s">
        <v>135</v>
      </c>
      <c r="H1078" s="239" t="s">
        <v>2893</v>
      </c>
      <c r="I1078" s="217"/>
      <c r="J1078" s="217"/>
      <c r="K1078" s="217"/>
      <c r="L1078" s="217"/>
      <c r="M1078" s="217"/>
      <c r="N1078" s="217"/>
      <c r="O1078" s="217"/>
      <c r="P1078" s="217"/>
    </row>
    <row r="1079" spans="1:16" s="219" customFormat="1" ht="45" hidden="1" x14ac:dyDescent="0.25">
      <c r="A1079" s="214"/>
      <c r="B1079" s="237">
        <v>1</v>
      </c>
      <c r="C1079" s="237">
        <v>3</v>
      </c>
      <c r="D1079" s="238" t="s">
        <v>2022</v>
      </c>
      <c r="E1079" s="238" t="s">
        <v>1836</v>
      </c>
      <c r="F1079" s="238" t="s">
        <v>1847</v>
      </c>
      <c r="G1079" s="238" t="s">
        <v>138</v>
      </c>
      <c r="H1079" s="239" t="s">
        <v>2894</v>
      </c>
      <c r="I1079" s="217"/>
      <c r="J1079" s="217"/>
      <c r="K1079" s="217"/>
      <c r="L1079" s="217"/>
      <c r="M1079" s="217"/>
      <c r="N1079" s="217"/>
      <c r="O1079" s="217"/>
      <c r="P1079" s="217"/>
    </row>
    <row r="1080" spans="1:16" s="219" customFormat="1" ht="45" hidden="1" x14ac:dyDescent="0.25">
      <c r="A1080" s="214"/>
      <c r="B1080" s="237">
        <v>1</v>
      </c>
      <c r="C1080" s="237">
        <v>3</v>
      </c>
      <c r="D1080" s="238" t="s">
        <v>2022</v>
      </c>
      <c r="E1080" s="238" t="s">
        <v>1836</v>
      </c>
      <c r="F1080" s="238" t="s">
        <v>1847</v>
      </c>
      <c r="G1080" s="238" t="s">
        <v>140</v>
      </c>
      <c r="H1080" s="239" t="s">
        <v>2895</v>
      </c>
      <c r="I1080" s="217"/>
      <c r="J1080" s="217"/>
      <c r="K1080" s="217"/>
      <c r="L1080" s="217"/>
      <c r="M1080" s="217"/>
      <c r="N1080" s="217"/>
      <c r="O1080" s="217"/>
      <c r="P1080" s="217"/>
    </row>
    <row r="1081" spans="1:16" s="219" customFormat="1" ht="45" hidden="1" x14ac:dyDescent="0.25">
      <c r="A1081" s="214"/>
      <c r="B1081" s="237">
        <v>1</v>
      </c>
      <c r="C1081" s="237">
        <v>3</v>
      </c>
      <c r="D1081" s="238" t="s">
        <v>2022</v>
      </c>
      <c r="E1081" s="238" t="s">
        <v>1836</v>
      </c>
      <c r="F1081" s="238" t="s">
        <v>1847</v>
      </c>
      <c r="G1081" s="238" t="s">
        <v>143</v>
      </c>
      <c r="H1081" s="239" t="s">
        <v>2896</v>
      </c>
      <c r="I1081" s="217"/>
      <c r="J1081" s="217"/>
      <c r="K1081" s="217"/>
      <c r="L1081" s="217"/>
      <c r="M1081" s="217"/>
      <c r="N1081" s="217"/>
      <c r="O1081" s="217"/>
      <c r="P1081" s="217"/>
    </row>
    <row r="1082" spans="1:16" s="219" customFormat="1" ht="45" hidden="1" x14ac:dyDescent="0.25">
      <c r="A1082" s="214"/>
      <c r="B1082" s="237">
        <v>1</v>
      </c>
      <c r="C1082" s="237">
        <v>3</v>
      </c>
      <c r="D1082" s="238" t="s">
        <v>2022</v>
      </c>
      <c r="E1082" s="238" t="s">
        <v>1836</v>
      </c>
      <c r="F1082" s="238" t="s">
        <v>1847</v>
      </c>
      <c r="G1082" s="238" t="s">
        <v>146</v>
      </c>
      <c r="H1082" s="239" t="s">
        <v>2897</v>
      </c>
      <c r="I1082" s="217"/>
      <c r="J1082" s="217"/>
      <c r="K1082" s="217"/>
      <c r="L1082" s="217"/>
      <c r="M1082" s="217"/>
      <c r="N1082" s="217"/>
      <c r="O1082" s="217"/>
      <c r="P1082" s="217"/>
    </row>
    <row r="1083" spans="1:16" s="219" customFormat="1" ht="45" hidden="1" x14ac:dyDescent="0.25">
      <c r="A1083" s="214"/>
      <c r="B1083" s="237">
        <v>1</v>
      </c>
      <c r="C1083" s="237">
        <v>3</v>
      </c>
      <c r="D1083" s="238" t="s">
        <v>2022</v>
      </c>
      <c r="E1083" s="238" t="s">
        <v>1836</v>
      </c>
      <c r="F1083" s="238" t="s">
        <v>1847</v>
      </c>
      <c r="G1083" s="238" t="s">
        <v>150</v>
      </c>
      <c r="H1083" s="239" t="s">
        <v>2898</v>
      </c>
      <c r="I1083" s="217"/>
      <c r="J1083" s="217"/>
      <c r="K1083" s="217"/>
      <c r="L1083" s="217"/>
      <c r="M1083" s="217"/>
      <c r="N1083" s="217"/>
      <c r="O1083" s="217"/>
      <c r="P1083" s="217"/>
    </row>
    <row r="1084" spans="1:16" s="219" customFormat="1" ht="45" hidden="1" x14ac:dyDescent="0.25">
      <c r="A1084" s="214"/>
      <c r="B1084" s="237">
        <v>1</v>
      </c>
      <c r="C1084" s="237">
        <v>3</v>
      </c>
      <c r="D1084" s="238" t="s">
        <v>2022</v>
      </c>
      <c r="E1084" s="238" t="s">
        <v>1836</v>
      </c>
      <c r="F1084" s="238" t="s">
        <v>1847</v>
      </c>
      <c r="G1084" s="238" t="s">
        <v>153</v>
      </c>
      <c r="H1084" s="239" t="s">
        <v>2899</v>
      </c>
      <c r="I1084" s="217"/>
      <c r="J1084" s="217"/>
      <c r="K1084" s="217"/>
      <c r="L1084" s="217"/>
      <c r="M1084" s="217"/>
      <c r="N1084" s="217"/>
      <c r="O1084" s="217"/>
      <c r="P1084" s="217"/>
    </row>
    <row r="1085" spans="1:16" s="219" customFormat="1" ht="45" hidden="1" x14ac:dyDescent="0.25">
      <c r="A1085" s="214"/>
      <c r="B1085" s="237">
        <v>1</v>
      </c>
      <c r="C1085" s="237">
        <v>3</v>
      </c>
      <c r="D1085" s="238" t="s">
        <v>2022</v>
      </c>
      <c r="E1085" s="238" t="s">
        <v>1836</v>
      </c>
      <c r="F1085" s="238" t="s">
        <v>1847</v>
      </c>
      <c r="G1085" s="238" t="s">
        <v>156</v>
      </c>
      <c r="H1085" s="239" t="s">
        <v>2900</v>
      </c>
      <c r="I1085" s="217"/>
      <c r="J1085" s="217"/>
      <c r="K1085" s="217"/>
      <c r="L1085" s="217"/>
      <c r="M1085" s="217"/>
      <c r="N1085" s="217"/>
      <c r="O1085" s="217"/>
      <c r="P1085" s="217"/>
    </row>
    <row r="1086" spans="1:16" s="219" customFormat="1" ht="45" hidden="1" x14ac:dyDescent="0.25">
      <c r="A1086" s="214"/>
      <c r="B1086" s="237">
        <v>1</v>
      </c>
      <c r="C1086" s="237">
        <v>3</v>
      </c>
      <c r="D1086" s="238" t="s">
        <v>2022</v>
      </c>
      <c r="E1086" s="238" t="s">
        <v>1836</v>
      </c>
      <c r="F1086" s="238" t="s">
        <v>1847</v>
      </c>
      <c r="G1086" s="238" t="s">
        <v>159</v>
      </c>
      <c r="H1086" s="239" t="s">
        <v>2901</v>
      </c>
      <c r="I1086" s="217"/>
      <c r="J1086" s="217"/>
      <c r="K1086" s="217"/>
      <c r="L1086" s="217"/>
      <c r="M1086" s="217"/>
      <c r="N1086" s="217"/>
      <c r="O1086" s="217"/>
      <c r="P1086" s="217"/>
    </row>
    <row r="1087" spans="1:16" s="219" customFormat="1" ht="45" hidden="1" x14ac:dyDescent="0.25">
      <c r="A1087" s="214"/>
      <c r="B1087" s="237">
        <v>1</v>
      </c>
      <c r="C1087" s="237">
        <v>3</v>
      </c>
      <c r="D1087" s="238" t="s">
        <v>2022</v>
      </c>
      <c r="E1087" s="238" t="s">
        <v>1836</v>
      </c>
      <c r="F1087" s="238" t="s">
        <v>1847</v>
      </c>
      <c r="G1087" s="238" t="s">
        <v>162</v>
      </c>
      <c r="H1087" s="239" t="s">
        <v>2901</v>
      </c>
      <c r="I1087" s="217"/>
      <c r="J1087" s="217"/>
      <c r="K1087" s="217"/>
      <c r="L1087" s="217"/>
      <c r="M1087" s="217"/>
      <c r="N1087" s="217"/>
      <c r="O1087" s="217"/>
      <c r="P1087" s="217"/>
    </row>
    <row r="1088" spans="1:16" s="219" customFormat="1" ht="45" hidden="1" x14ac:dyDescent="0.25">
      <c r="A1088" s="214"/>
      <c r="B1088" s="237">
        <v>1</v>
      </c>
      <c r="C1088" s="237">
        <v>3</v>
      </c>
      <c r="D1088" s="238" t="s">
        <v>2022</v>
      </c>
      <c r="E1088" s="238" t="s">
        <v>1836</v>
      </c>
      <c r="F1088" s="238" t="s">
        <v>1847</v>
      </c>
      <c r="G1088" s="238" t="s">
        <v>312</v>
      </c>
      <c r="H1088" s="239" t="s">
        <v>2902</v>
      </c>
      <c r="I1088" s="217"/>
      <c r="J1088" s="217"/>
      <c r="K1088" s="217"/>
      <c r="L1088" s="217"/>
      <c r="M1088" s="217"/>
      <c r="N1088" s="217"/>
      <c r="O1088" s="217"/>
      <c r="P1088" s="217"/>
    </row>
    <row r="1089" spans="1:16" s="219" customFormat="1" ht="45" hidden="1" x14ac:dyDescent="0.25">
      <c r="A1089" s="214"/>
      <c r="B1089" s="237">
        <v>1</v>
      </c>
      <c r="C1089" s="237">
        <v>3</v>
      </c>
      <c r="D1089" s="238" t="s">
        <v>2022</v>
      </c>
      <c r="E1089" s="238" t="s">
        <v>1836</v>
      </c>
      <c r="F1089" s="238" t="s">
        <v>1847</v>
      </c>
      <c r="G1089" s="238" t="s">
        <v>313</v>
      </c>
      <c r="H1089" s="239" t="s">
        <v>2903</v>
      </c>
      <c r="I1089" s="217"/>
      <c r="J1089" s="217"/>
      <c r="K1089" s="217"/>
      <c r="L1089" s="217"/>
      <c r="M1089" s="217"/>
      <c r="N1089" s="217"/>
      <c r="O1089" s="217"/>
      <c r="P1089" s="217"/>
    </row>
    <row r="1090" spans="1:16" s="219" customFormat="1" ht="45" hidden="1" x14ac:dyDescent="0.25">
      <c r="A1090" s="214"/>
      <c r="B1090" s="237">
        <v>1</v>
      </c>
      <c r="C1090" s="237">
        <v>3</v>
      </c>
      <c r="D1090" s="238" t="s">
        <v>2022</v>
      </c>
      <c r="E1090" s="238" t="s">
        <v>1836</v>
      </c>
      <c r="F1090" s="238" t="s">
        <v>1847</v>
      </c>
      <c r="G1090" s="238" t="s">
        <v>559</v>
      </c>
      <c r="H1090" s="239" t="s">
        <v>2904</v>
      </c>
      <c r="I1090" s="217"/>
      <c r="J1090" s="217"/>
      <c r="K1090" s="217"/>
      <c r="L1090" s="217"/>
      <c r="M1090" s="217"/>
      <c r="N1090" s="217"/>
      <c r="O1090" s="217"/>
      <c r="P1090" s="217"/>
    </row>
    <row r="1091" spans="1:16" s="219" customFormat="1" ht="30" hidden="1" x14ac:dyDescent="0.25">
      <c r="A1091" s="214"/>
      <c r="B1091" s="237">
        <v>1</v>
      </c>
      <c r="C1091" s="237">
        <v>3</v>
      </c>
      <c r="D1091" s="238" t="s">
        <v>2022</v>
      </c>
      <c r="E1091" s="238" t="s">
        <v>1836</v>
      </c>
      <c r="F1091" s="238" t="s">
        <v>1847</v>
      </c>
      <c r="G1091" s="238" t="s">
        <v>561</v>
      </c>
      <c r="H1091" s="239" t="s">
        <v>2905</v>
      </c>
      <c r="I1091" s="217"/>
      <c r="J1091" s="217"/>
      <c r="K1091" s="217"/>
      <c r="L1091" s="217"/>
      <c r="M1091" s="217"/>
      <c r="N1091" s="217"/>
      <c r="O1091" s="217"/>
      <c r="P1091" s="217"/>
    </row>
    <row r="1092" spans="1:16" s="219" customFormat="1" ht="30" hidden="1" x14ac:dyDescent="0.25">
      <c r="A1092" s="214"/>
      <c r="B1092" s="237">
        <v>1</v>
      </c>
      <c r="C1092" s="237">
        <v>3</v>
      </c>
      <c r="D1092" s="238" t="s">
        <v>2022</v>
      </c>
      <c r="E1092" s="238" t="s">
        <v>1836</v>
      </c>
      <c r="F1092" s="238" t="s">
        <v>1847</v>
      </c>
      <c r="G1092" s="238" t="s">
        <v>563</v>
      </c>
      <c r="H1092" s="239" t="s">
        <v>2906</v>
      </c>
      <c r="I1092" s="217"/>
      <c r="J1092" s="217"/>
      <c r="K1092" s="217"/>
      <c r="L1092" s="217"/>
      <c r="M1092" s="217"/>
      <c r="N1092" s="217"/>
      <c r="O1092" s="217"/>
      <c r="P1092" s="217"/>
    </row>
    <row r="1093" spans="1:16" s="219" customFormat="1" ht="30" hidden="1" x14ac:dyDescent="0.25">
      <c r="A1093" s="214"/>
      <c r="B1093" s="237">
        <v>1</v>
      </c>
      <c r="C1093" s="237">
        <v>3</v>
      </c>
      <c r="D1093" s="238" t="s">
        <v>2022</v>
      </c>
      <c r="E1093" s="238" t="s">
        <v>1836</v>
      </c>
      <c r="F1093" s="238" t="s">
        <v>1847</v>
      </c>
      <c r="G1093" s="238" t="s">
        <v>227</v>
      </c>
      <c r="H1093" s="239" t="s">
        <v>2907</v>
      </c>
      <c r="I1093" s="217"/>
      <c r="J1093" s="217"/>
      <c r="K1093" s="217"/>
      <c r="L1093" s="217"/>
      <c r="M1093" s="217"/>
      <c r="N1093" s="217"/>
      <c r="O1093" s="217"/>
      <c r="P1093" s="217"/>
    </row>
    <row r="1094" spans="1:16" s="219" customFormat="1" ht="30" hidden="1" x14ac:dyDescent="0.25">
      <c r="A1094" s="214"/>
      <c r="B1094" s="237">
        <v>1</v>
      </c>
      <c r="C1094" s="237">
        <v>3</v>
      </c>
      <c r="D1094" s="238" t="s">
        <v>2022</v>
      </c>
      <c r="E1094" s="238" t="s">
        <v>1836</v>
      </c>
      <c r="F1094" s="238" t="s">
        <v>1847</v>
      </c>
      <c r="G1094" s="238" t="s">
        <v>230</v>
      </c>
      <c r="H1094" s="239" t="s">
        <v>2908</v>
      </c>
      <c r="I1094" s="217"/>
      <c r="J1094" s="217"/>
      <c r="K1094" s="217"/>
      <c r="L1094" s="217"/>
      <c r="M1094" s="217"/>
      <c r="N1094" s="217"/>
      <c r="O1094" s="217"/>
      <c r="P1094" s="217"/>
    </row>
    <row r="1095" spans="1:16" s="219" customFormat="1" ht="30" hidden="1" x14ac:dyDescent="0.25">
      <c r="A1095" s="214"/>
      <c r="B1095" s="237">
        <v>1</v>
      </c>
      <c r="C1095" s="237">
        <v>3</v>
      </c>
      <c r="D1095" s="238" t="s">
        <v>2022</v>
      </c>
      <c r="E1095" s="238" t="s">
        <v>1836</v>
      </c>
      <c r="F1095" s="238" t="s">
        <v>1847</v>
      </c>
      <c r="G1095" s="238" t="s">
        <v>232</v>
      </c>
      <c r="H1095" s="239" t="s">
        <v>2909</v>
      </c>
      <c r="I1095" s="217"/>
      <c r="J1095" s="217"/>
      <c r="K1095" s="217"/>
      <c r="L1095" s="217"/>
      <c r="M1095" s="217"/>
      <c r="N1095" s="217"/>
      <c r="O1095" s="217"/>
      <c r="P1095" s="217"/>
    </row>
    <row r="1096" spans="1:16" s="219" customFormat="1" ht="30" hidden="1" x14ac:dyDescent="0.25">
      <c r="A1096" s="214"/>
      <c r="B1096" s="237">
        <v>1</v>
      </c>
      <c r="C1096" s="237">
        <v>3</v>
      </c>
      <c r="D1096" s="238" t="s">
        <v>2022</v>
      </c>
      <c r="E1096" s="238" t="s">
        <v>1836</v>
      </c>
      <c r="F1096" s="238" t="s">
        <v>1847</v>
      </c>
      <c r="G1096" s="238" t="s">
        <v>234</v>
      </c>
      <c r="H1096" s="239" t="s">
        <v>2910</v>
      </c>
      <c r="I1096" s="217"/>
      <c r="J1096" s="217"/>
      <c r="K1096" s="217"/>
      <c r="L1096" s="217"/>
      <c r="M1096" s="217"/>
      <c r="N1096" s="217"/>
      <c r="O1096" s="217"/>
      <c r="P1096" s="217"/>
    </row>
    <row r="1097" spans="1:16" s="219" customFormat="1" ht="30" hidden="1" x14ac:dyDescent="0.25">
      <c r="A1097" s="214"/>
      <c r="B1097" s="237">
        <v>1</v>
      </c>
      <c r="C1097" s="237">
        <v>3</v>
      </c>
      <c r="D1097" s="238" t="s">
        <v>2022</v>
      </c>
      <c r="E1097" s="238" t="s">
        <v>1836</v>
      </c>
      <c r="F1097" s="238" t="s">
        <v>1847</v>
      </c>
      <c r="G1097" s="238" t="s">
        <v>236</v>
      </c>
      <c r="H1097" s="239" t="s">
        <v>2911</v>
      </c>
      <c r="I1097" s="217"/>
      <c r="J1097" s="217"/>
      <c r="K1097" s="217"/>
      <c r="L1097" s="217"/>
      <c r="M1097" s="217"/>
      <c r="N1097" s="217"/>
      <c r="O1097" s="217"/>
      <c r="P1097" s="217"/>
    </row>
    <row r="1098" spans="1:16" s="219" customFormat="1" ht="30" hidden="1" x14ac:dyDescent="0.25">
      <c r="A1098" s="214"/>
      <c r="B1098" s="237">
        <v>1</v>
      </c>
      <c r="C1098" s="237">
        <v>3</v>
      </c>
      <c r="D1098" s="238" t="s">
        <v>2022</v>
      </c>
      <c r="E1098" s="238" t="s">
        <v>1836</v>
      </c>
      <c r="F1098" s="238" t="s">
        <v>1847</v>
      </c>
      <c r="G1098" s="238" t="s">
        <v>238</v>
      </c>
      <c r="H1098" s="239" t="s">
        <v>2912</v>
      </c>
      <c r="I1098" s="217"/>
      <c r="J1098" s="217"/>
      <c r="K1098" s="217"/>
      <c r="L1098" s="217"/>
      <c r="M1098" s="217"/>
      <c r="N1098" s="217"/>
      <c r="O1098" s="217"/>
      <c r="P1098" s="217"/>
    </row>
    <row r="1099" spans="1:16" s="219" customFormat="1" ht="30" hidden="1" x14ac:dyDescent="0.25">
      <c r="A1099" s="214"/>
      <c r="B1099" s="237">
        <v>1</v>
      </c>
      <c r="C1099" s="237">
        <v>3</v>
      </c>
      <c r="D1099" s="238" t="s">
        <v>2022</v>
      </c>
      <c r="E1099" s="238" t="s">
        <v>1836</v>
      </c>
      <c r="F1099" s="238" t="s">
        <v>1847</v>
      </c>
      <c r="G1099" s="238" t="s">
        <v>240</v>
      </c>
      <c r="H1099" s="239" t="s">
        <v>2913</v>
      </c>
      <c r="I1099" s="217"/>
      <c r="J1099" s="217"/>
      <c r="K1099" s="217"/>
      <c r="L1099" s="217"/>
      <c r="M1099" s="217"/>
      <c r="N1099" s="217"/>
      <c r="O1099" s="217"/>
      <c r="P1099" s="217"/>
    </row>
    <row r="1100" spans="1:16" s="219" customFormat="1" ht="30" hidden="1" x14ac:dyDescent="0.25">
      <c r="A1100" s="214"/>
      <c r="B1100" s="237">
        <v>1</v>
      </c>
      <c r="C1100" s="237">
        <v>3</v>
      </c>
      <c r="D1100" s="238" t="s">
        <v>2022</v>
      </c>
      <c r="E1100" s="238" t="s">
        <v>1836</v>
      </c>
      <c r="F1100" s="238" t="s">
        <v>1847</v>
      </c>
      <c r="G1100" s="238" t="s">
        <v>242</v>
      </c>
      <c r="H1100" s="239" t="s">
        <v>2914</v>
      </c>
      <c r="I1100" s="217"/>
      <c r="J1100" s="217"/>
      <c r="K1100" s="217"/>
      <c r="L1100" s="217"/>
      <c r="M1100" s="217"/>
      <c r="N1100" s="217"/>
      <c r="O1100" s="217"/>
      <c r="P1100" s="217"/>
    </row>
    <row r="1101" spans="1:16" s="219" customFormat="1" ht="30" hidden="1" x14ac:dyDescent="0.25">
      <c r="A1101" s="214"/>
      <c r="B1101" s="237">
        <v>1</v>
      </c>
      <c r="C1101" s="237">
        <v>3</v>
      </c>
      <c r="D1101" s="238" t="s">
        <v>2022</v>
      </c>
      <c r="E1101" s="238" t="s">
        <v>1836</v>
      </c>
      <c r="F1101" s="238" t="s">
        <v>1847</v>
      </c>
      <c r="G1101" s="238" t="s">
        <v>244</v>
      </c>
      <c r="H1101" s="239" t="s">
        <v>2915</v>
      </c>
      <c r="I1101" s="217"/>
      <c r="J1101" s="217"/>
      <c r="K1101" s="217"/>
      <c r="L1101" s="217"/>
      <c r="M1101" s="217"/>
      <c r="N1101" s="217"/>
      <c r="O1101" s="217"/>
      <c r="P1101" s="217"/>
    </row>
    <row r="1102" spans="1:16" s="219" customFormat="1" ht="30" hidden="1" x14ac:dyDescent="0.25">
      <c r="A1102" s="214"/>
      <c r="B1102" s="237">
        <v>1</v>
      </c>
      <c r="C1102" s="237">
        <v>3</v>
      </c>
      <c r="D1102" s="238" t="s">
        <v>2022</v>
      </c>
      <c r="E1102" s="238" t="s">
        <v>1836</v>
      </c>
      <c r="F1102" s="238" t="s">
        <v>1847</v>
      </c>
      <c r="G1102" s="238" t="s">
        <v>246</v>
      </c>
      <c r="H1102" s="239" t="s">
        <v>2916</v>
      </c>
      <c r="I1102" s="217"/>
      <c r="J1102" s="217"/>
      <c r="K1102" s="217"/>
      <c r="L1102" s="217"/>
      <c r="M1102" s="217"/>
      <c r="N1102" s="217"/>
      <c r="O1102" s="217"/>
      <c r="P1102" s="217"/>
    </row>
    <row r="1103" spans="1:16" s="219" customFormat="1" ht="30" hidden="1" x14ac:dyDescent="0.25">
      <c r="A1103" s="214"/>
      <c r="B1103" s="237">
        <v>1</v>
      </c>
      <c r="C1103" s="237">
        <v>3</v>
      </c>
      <c r="D1103" s="238" t="s">
        <v>2022</v>
      </c>
      <c r="E1103" s="238" t="s">
        <v>1836</v>
      </c>
      <c r="F1103" s="238" t="s">
        <v>1847</v>
      </c>
      <c r="G1103" s="238" t="s">
        <v>407</v>
      </c>
      <c r="H1103" s="239" t="s">
        <v>2917</v>
      </c>
      <c r="I1103" s="217"/>
      <c r="J1103" s="217"/>
      <c r="K1103" s="217"/>
      <c r="L1103" s="217"/>
      <c r="M1103" s="217"/>
      <c r="N1103" s="217"/>
      <c r="O1103" s="217"/>
      <c r="P1103" s="217"/>
    </row>
    <row r="1104" spans="1:16" s="219" customFormat="1" ht="30" hidden="1" x14ac:dyDescent="0.25">
      <c r="A1104" s="214"/>
      <c r="B1104" s="237">
        <v>1</v>
      </c>
      <c r="C1104" s="237">
        <v>3</v>
      </c>
      <c r="D1104" s="238" t="s">
        <v>2022</v>
      </c>
      <c r="E1104" s="238" t="s">
        <v>1836</v>
      </c>
      <c r="F1104" s="238" t="s">
        <v>1847</v>
      </c>
      <c r="G1104" s="238" t="s">
        <v>408</v>
      </c>
      <c r="H1104" s="239" t="s">
        <v>2918</v>
      </c>
      <c r="I1104" s="217"/>
      <c r="J1104" s="217"/>
      <c r="K1104" s="217"/>
      <c r="L1104" s="217"/>
      <c r="M1104" s="217"/>
      <c r="N1104" s="217"/>
      <c r="O1104" s="217"/>
      <c r="P1104" s="217"/>
    </row>
    <row r="1105" spans="1:16" s="219" customFormat="1" ht="45" hidden="1" x14ac:dyDescent="0.25">
      <c r="A1105" s="214"/>
      <c r="B1105" s="237">
        <v>1</v>
      </c>
      <c r="C1105" s="237">
        <v>3</v>
      </c>
      <c r="D1105" s="238" t="s">
        <v>2022</v>
      </c>
      <c r="E1105" s="238" t="s">
        <v>1836</v>
      </c>
      <c r="F1105" s="238" t="s">
        <v>1847</v>
      </c>
      <c r="G1105" s="238" t="s">
        <v>409</v>
      </c>
      <c r="H1105" s="239" t="s">
        <v>2919</v>
      </c>
      <c r="I1105" s="217"/>
      <c r="J1105" s="217"/>
      <c r="K1105" s="217"/>
      <c r="L1105" s="217"/>
      <c r="M1105" s="217"/>
      <c r="N1105" s="217"/>
      <c r="O1105" s="217"/>
      <c r="P1105" s="217"/>
    </row>
    <row r="1106" spans="1:16" s="219" customFormat="1" ht="30" hidden="1" x14ac:dyDescent="0.25">
      <c r="A1106" s="214"/>
      <c r="B1106" s="237">
        <v>1</v>
      </c>
      <c r="C1106" s="237">
        <v>3</v>
      </c>
      <c r="D1106" s="238" t="s">
        <v>2022</v>
      </c>
      <c r="E1106" s="238" t="s">
        <v>1836</v>
      </c>
      <c r="F1106" s="238" t="s">
        <v>1847</v>
      </c>
      <c r="G1106" s="238" t="s">
        <v>788</v>
      </c>
      <c r="H1106" s="239" t="s">
        <v>2920</v>
      </c>
      <c r="I1106" s="217"/>
      <c r="J1106" s="217"/>
      <c r="K1106" s="217"/>
      <c r="L1106" s="217"/>
      <c r="M1106" s="217"/>
      <c r="N1106" s="217"/>
      <c r="O1106" s="217"/>
      <c r="P1106" s="217"/>
    </row>
    <row r="1107" spans="1:16" s="219" customFormat="1" ht="30" hidden="1" x14ac:dyDescent="0.25">
      <c r="A1107" s="214"/>
      <c r="B1107" s="237">
        <v>1</v>
      </c>
      <c r="C1107" s="237">
        <v>3</v>
      </c>
      <c r="D1107" s="238" t="s">
        <v>2022</v>
      </c>
      <c r="E1107" s="238" t="s">
        <v>1836</v>
      </c>
      <c r="F1107" s="238" t="s">
        <v>1847</v>
      </c>
      <c r="G1107" s="238" t="s">
        <v>1017</v>
      </c>
      <c r="H1107" s="239" t="s">
        <v>2921</v>
      </c>
      <c r="I1107" s="217"/>
      <c r="J1107" s="217"/>
      <c r="K1107" s="217"/>
      <c r="L1107" s="217"/>
      <c r="M1107" s="217"/>
      <c r="N1107" s="217"/>
      <c r="O1107" s="217"/>
      <c r="P1107" s="217"/>
    </row>
    <row r="1108" spans="1:16" s="219" customFormat="1" ht="30" hidden="1" x14ac:dyDescent="0.25">
      <c r="A1108" s="214"/>
      <c r="B1108" s="237">
        <v>1</v>
      </c>
      <c r="C1108" s="237">
        <v>3</v>
      </c>
      <c r="D1108" s="238" t="s">
        <v>2022</v>
      </c>
      <c r="E1108" s="238" t="s">
        <v>1836</v>
      </c>
      <c r="F1108" s="238" t="s">
        <v>1847</v>
      </c>
      <c r="G1108" s="238" t="s">
        <v>411</v>
      </c>
      <c r="H1108" s="239" t="s">
        <v>2922</v>
      </c>
      <c r="I1108" s="217"/>
      <c r="J1108" s="217"/>
      <c r="K1108" s="217"/>
      <c r="L1108" s="217"/>
      <c r="M1108" s="217"/>
      <c r="N1108" s="217"/>
      <c r="O1108" s="217"/>
      <c r="P1108" s="217"/>
    </row>
    <row r="1109" spans="1:16" s="219" customFormat="1" ht="45" hidden="1" x14ac:dyDescent="0.25">
      <c r="A1109" s="214"/>
      <c r="B1109" s="237">
        <v>1</v>
      </c>
      <c r="C1109" s="237">
        <v>3</v>
      </c>
      <c r="D1109" s="238" t="s">
        <v>2022</v>
      </c>
      <c r="E1109" s="238" t="s">
        <v>1836</v>
      </c>
      <c r="F1109" s="238" t="s">
        <v>1847</v>
      </c>
      <c r="G1109" s="238" t="s">
        <v>247</v>
      </c>
      <c r="H1109" s="239" t="s">
        <v>2923</v>
      </c>
      <c r="I1109" s="217"/>
      <c r="J1109" s="217"/>
      <c r="K1109" s="217"/>
      <c r="L1109" s="217"/>
      <c r="M1109" s="217"/>
      <c r="N1109" s="217"/>
      <c r="O1109" s="217"/>
      <c r="P1109" s="217"/>
    </row>
    <row r="1110" spans="1:16" s="219" customFormat="1" ht="30" hidden="1" x14ac:dyDescent="0.25">
      <c r="A1110" s="214"/>
      <c r="B1110" s="237">
        <v>1</v>
      </c>
      <c r="C1110" s="237">
        <v>3</v>
      </c>
      <c r="D1110" s="238" t="s">
        <v>2022</v>
      </c>
      <c r="E1110" s="238" t="s">
        <v>1836</v>
      </c>
      <c r="F1110" s="238" t="s">
        <v>1847</v>
      </c>
      <c r="G1110" s="238" t="s">
        <v>1019</v>
      </c>
      <c r="H1110" s="239" t="s">
        <v>2924</v>
      </c>
      <c r="I1110" s="217"/>
      <c r="J1110" s="217"/>
      <c r="K1110" s="217"/>
      <c r="L1110" s="217"/>
      <c r="M1110" s="217"/>
      <c r="N1110" s="217"/>
      <c r="O1110" s="217"/>
      <c r="P1110" s="217"/>
    </row>
    <row r="1111" spans="1:16" s="219" customFormat="1" ht="30" hidden="1" x14ac:dyDescent="0.25">
      <c r="A1111" s="214"/>
      <c r="B1111" s="237">
        <v>1</v>
      </c>
      <c r="C1111" s="237">
        <v>3</v>
      </c>
      <c r="D1111" s="238" t="s">
        <v>2022</v>
      </c>
      <c r="E1111" s="238" t="s">
        <v>1836</v>
      </c>
      <c r="F1111" s="238" t="s">
        <v>1847</v>
      </c>
      <c r="G1111" s="238" t="s">
        <v>1022</v>
      </c>
      <c r="H1111" s="239" t="s">
        <v>2925</v>
      </c>
      <c r="I1111" s="217"/>
      <c r="J1111" s="217"/>
      <c r="K1111" s="217"/>
      <c r="L1111" s="217"/>
      <c r="M1111" s="217"/>
      <c r="N1111" s="217"/>
      <c r="O1111" s="217"/>
      <c r="P1111" s="217"/>
    </row>
    <row r="1112" spans="1:16" s="213" customFormat="1" ht="30" hidden="1" x14ac:dyDescent="0.25">
      <c r="A1112" s="208" t="s">
        <v>263</v>
      </c>
      <c r="B1112" s="234">
        <v>1</v>
      </c>
      <c r="C1112" s="234">
        <v>3</v>
      </c>
      <c r="D1112" s="235" t="s">
        <v>2022</v>
      </c>
      <c r="E1112" s="235" t="s">
        <v>1836</v>
      </c>
      <c r="F1112" s="235" t="s">
        <v>1928</v>
      </c>
      <c r="G1112" s="234"/>
      <c r="H1112" s="236" t="s">
        <v>2926</v>
      </c>
      <c r="I1112" s="211">
        <f>SUM(I1113:I1122)</f>
        <v>0</v>
      </c>
      <c r="J1112" s="211">
        <f t="shared" ref="J1112:P1112" si="158">SUM(J1113:J1122)</f>
        <v>0</v>
      </c>
      <c r="K1112" s="211">
        <f t="shared" si="158"/>
        <v>0</v>
      </c>
      <c r="L1112" s="211">
        <f t="shared" si="158"/>
        <v>0</v>
      </c>
      <c r="M1112" s="211">
        <f t="shared" si="158"/>
        <v>0</v>
      </c>
      <c r="N1112" s="211">
        <f t="shared" si="158"/>
        <v>0</v>
      </c>
      <c r="O1112" s="211">
        <f t="shared" si="158"/>
        <v>0</v>
      </c>
      <c r="P1112" s="211">
        <f t="shared" si="158"/>
        <v>0</v>
      </c>
    </row>
    <row r="1113" spans="1:16" s="219" customFormat="1" ht="45" hidden="1" x14ac:dyDescent="0.25">
      <c r="A1113" s="214"/>
      <c r="B1113" s="237">
        <v>1</v>
      </c>
      <c r="C1113" s="237">
        <v>3</v>
      </c>
      <c r="D1113" s="238" t="s">
        <v>2022</v>
      </c>
      <c r="E1113" s="238" t="s">
        <v>1836</v>
      </c>
      <c r="F1113" s="238" t="s">
        <v>1928</v>
      </c>
      <c r="G1113" s="238" t="s">
        <v>58</v>
      </c>
      <c r="H1113" s="239" t="s">
        <v>2927</v>
      </c>
      <c r="I1113" s="217"/>
      <c r="J1113" s="217"/>
      <c r="K1113" s="217"/>
      <c r="L1113" s="217"/>
      <c r="M1113" s="217"/>
      <c r="N1113" s="217"/>
      <c r="O1113" s="217"/>
      <c r="P1113" s="217"/>
    </row>
    <row r="1114" spans="1:16" s="219" customFormat="1" ht="45" hidden="1" x14ac:dyDescent="0.25">
      <c r="A1114" s="214"/>
      <c r="B1114" s="237">
        <v>1</v>
      </c>
      <c r="C1114" s="237">
        <v>3</v>
      </c>
      <c r="D1114" s="238" t="s">
        <v>2022</v>
      </c>
      <c r="E1114" s="238" t="s">
        <v>1836</v>
      </c>
      <c r="F1114" s="238" t="s">
        <v>1928</v>
      </c>
      <c r="G1114" s="238" t="s">
        <v>75</v>
      </c>
      <c r="H1114" s="239" t="s">
        <v>2928</v>
      </c>
      <c r="I1114" s="217"/>
      <c r="J1114" s="217"/>
      <c r="K1114" s="217"/>
      <c r="L1114" s="217"/>
      <c r="M1114" s="217"/>
      <c r="N1114" s="217"/>
      <c r="O1114" s="217"/>
      <c r="P1114" s="217"/>
    </row>
    <row r="1115" spans="1:16" s="219" customFormat="1" ht="30" hidden="1" x14ac:dyDescent="0.25">
      <c r="A1115" s="214"/>
      <c r="B1115" s="237">
        <v>1</v>
      </c>
      <c r="C1115" s="237">
        <v>3</v>
      </c>
      <c r="D1115" s="238" t="s">
        <v>2022</v>
      </c>
      <c r="E1115" s="238" t="s">
        <v>1836</v>
      </c>
      <c r="F1115" s="238" t="s">
        <v>1928</v>
      </c>
      <c r="G1115" s="238" t="s">
        <v>79</v>
      </c>
      <c r="H1115" s="239" t="s">
        <v>2929</v>
      </c>
      <c r="I1115" s="217"/>
      <c r="J1115" s="217"/>
      <c r="K1115" s="217"/>
      <c r="L1115" s="217"/>
      <c r="M1115" s="217"/>
      <c r="N1115" s="217"/>
      <c r="O1115" s="217"/>
      <c r="P1115" s="217"/>
    </row>
    <row r="1116" spans="1:16" s="219" customFormat="1" ht="45" hidden="1" x14ac:dyDescent="0.25">
      <c r="A1116" s="214"/>
      <c r="B1116" s="237">
        <v>1</v>
      </c>
      <c r="C1116" s="237">
        <v>3</v>
      </c>
      <c r="D1116" s="238" t="s">
        <v>2022</v>
      </c>
      <c r="E1116" s="238" t="s">
        <v>1836</v>
      </c>
      <c r="F1116" s="238" t="s">
        <v>1928</v>
      </c>
      <c r="G1116" s="238" t="s">
        <v>84</v>
      </c>
      <c r="H1116" s="239" t="s">
        <v>2930</v>
      </c>
      <c r="I1116" s="217"/>
      <c r="J1116" s="217"/>
      <c r="K1116" s="217"/>
      <c r="L1116" s="217"/>
      <c r="M1116" s="217"/>
      <c r="N1116" s="217"/>
      <c r="O1116" s="217"/>
      <c r="P1116" s="217"/>
    </row>
    <row r="1117" spans="1:16" s="219" customFormat="1" ht="45" hidden="1" x14ac:dyDescent="0.25">
      <c r="A1117" s="214"/>
      <c r="B1117" s="237">
        <v>1</v>
      </c>
      <c r="C1117" s="237">
        <v>3</v>
      </c>
      <c r="D1117" s="238" t="s">
        <v>2022</v>
      </c>
      <c r="E1117" s="238" t="s">
        <v>1836</v>
      </c>
      <c r="F1117" s="238" t="s">
        <v>1928</v>
      </c>
      <c r="G1117" s="238" t="s">
        <v>88</v>
      </c>
      <c r="H1117" s="239" t="s">
        <v>2931</v>
      </c>
      <c r="I1117" s="217"/>
      <c r="J1117" s="217"/>
      <c r="K1117" s="217"/>
      <c r="L1117" s="217"/>
      <c r="M1117" s="217"/>
      <c r="N1117" s="217"/>
      <c r="O1117" s="217"/>
      <c r="P1117" s="217"/>
    </row>
    <row r="1118" spans="1:16" s="219" customFormat="1" ht="30" hidden="1" x14ac:dyDescent="0.25">
      <c r="A1118" s="214"/>
      <c r="B1118" s="237">
        <v>1</v>
      </c>
      <c r="C1118" s="237">
        <v>3</v>
      </c>
      <c r="D1118" s="238" t="s">
        <v>2022</v>
      </c>
      <c r="E1118" s="238" t="s">
        <v>1836</v>
      </c>
      <c r="F1118" s="238" t="s">
        <v>1928</v>
      </c>
      <c r="G1118" s="238" t="s">
        <v>92</v>
      </c>
      <c r="H1118" s="239" t="s">
        <v>2932</v>
      </c>
      <c r="I1118" s="217"/>
      <c r="J1118" s="217"/>
      <c r="K1118" s="217"/>
      <c r="L1118" s="217"/>
      <c r="M1118" s="217"/>
      <c r="N1118" s="217"/>
      <c r="O1118" s="217"/>
      <c r="P1118" s="217"/>
    </row>
    <row r="1119" spans="1:16" s="219" customFormat="1" ht="30" hidden="1" x14ac:dyDescent="0.25">
      <c r="A1119" s="214"/>
      <c r="B1119" s="237">
        <v>1</v>
      </c>
      <c r="C1119" s="237">
        <v>3</v>
      </c>
      <c r="D1119" s="238" t="s">
        <v>2022</v>
      </c>
      <c r="E1119" s="238" t="s">
        <v>1836</v>
      </c>
      <c r="F1119" s="238" t="s">
        <v>1928</v>
      </c>
      <c r="G1119" s="238" t="s">
        <v>96</v>
      </c>
      <c r="H1119" s="239" t="s">
        <v>2933</v>
      </c>
      <c r="I1119" s="217"/>
      <c r="J1119" s="217"/>
      <c r="K1119" s="217"/>
      <c r="L1119" s="217"/>
      <c r="M1119" s="217"/>
      <c r="N1119" s="217"/>
      <c r="O1119" s="217"/>
      <c r="P1119" s="217"/>
    </row>
    <row r="1120" spans="1:16" s="219" customFormat="1" ht="30" hidden="1" x14ac:dyDescent="0.25">
      <c r="A1120" s="214"/>
      <c r="B1120" s="237">
        <v>1</v>
      </c>
      <c r="C1120" s="237">
        <v>3</v>
      </c>
      <c r="D1120" s="238" t="s">
        <v>2022</v>
      </c>
      <c r="E1120" s="238" t="s">
        <v>1836</v>
      </c>
      <c r="F1120" s="238" t="s">
        <v>1928</v>
      </c>
      <c r="G1120" s="238" t="s">
        <v>100</v>
      </c>
      <c r="H1120" s="239" t="s">
        <v>2934</v>
      </c>
      <c r="I1120" s="217"/>
      <c r="J1120" s="217"/>
      <c r="K1120" s="217"/>
      <c r="L1120" s="217"/>
      <c r="M1120" s="217"/>
      <c r="N1120" s="217"/>
      <c r="O1120" s="217"/>
      <c r="P1120" s="217"/>
    </row>
    <row r="1121" spans="1:16" s="219" customFormat="1" ht="30" hidden="1" x14ac:dyDescent="0.25">
      <c r="A1121" s="214"/>
      <c r="B1121" s="237">
        <v>1</v>
      </c>
      <c r="C1121" s="237">
        <v>3</v>
      </c>
      <c r="D1121" s="238" t="s">
        <v>2022</v>
      </c>
      <c r="E1121" s="238" t="s">
        <v>1836</v>
      </c>
      <c r="F1121" s="238" t="s">
        <v>1928</v>
      </c>
      <c r="G1121" s="238" t="s">
        <v>105</v>
      </c>
      <c r="H1121" s="239" t="s">
        <v>2935</v>
      </c>
      <c r="I1121" s="217"/>
      <c r="J1121" s="217"/>
      <c r="K1121" s="217"/>
      <c r="L1121" s="217"/>
      <c r="M1121" s="217"/>
      <c r="N1121" s="217"/>
      <c r="O1121" s="217"/>
      <c r="P1121" s="217"/>
    </row>
    <row r="1122" spans="1:16" s="219" customFormat="1" ht="30" hidden="1" x14ac:dyDescent="0.25">
      <c r="A1122" s="214"/>
      <c r="B1122" s="237">
        <v>1</v>
      </c>
      <c r="C1122" s="237">
        <v>3</v>
      </c>
      <c r="D1122" s="238" t="s">
        <v>2022</v>
      </c>
      <c r="E1122" s="238" t="s">
        <v>1836</v>
      </c>
      <c r="F1122" s="238" t="s">
        <v>1928</v>
      </c>
      <c r="G1122" s="238" t="s">
        <v>108</v>
      </c>
      <c r="H1122" s="239" t="s">
        <v>2936</v>
      </c>
      <c r="I1122" s="217"/>
      <c r="J1122" s="217"/>
      <c r="K1122" s="217"/>
      <c r="L1122" s="217"/>
      <c r="M1122" s="217"/>
      <c r="N1122" s="217"/>
      <c r="O1122" s="217"/>
      <c r="P1122" s="217"/>
    </row>
    <row r="1123" spans="1:16" s="213" customFormat="1" ht="30" hidden="1" x14ac:dyDescent="0.25">
      <c r="A1123" s="208" t="s">
        <v>263</v>
      </c>
      <c r="B1123" s="234">
        <v>1</v>
      </c>
      <c r="C1123" s="234">
        <v>3</v>
      </c>
      <c r="D1123" s="235" t="s">
        <v>2022</v>
      </c>
      <c r="E1123" s="235" t="s">
        <v>1836</v>
      </c>
      <c r="F1123" s="235" t="s">
        <v>1934</v>
      </c>
      <c r="G1123" s="234"/>
      <c r="H1123" s="236" t="s">
        <v>2937</v>
      </c>
      <c r="I1123" s="211">
        <f>SUM(I1124:I1142)</f>
        <v>0</v>
      </c>
      <c r="J1123" s="211">
        <f t="shared" ref="J1123:P1123" si="159">SUM(J1124:J1142)</f>
        <v>0</v>
      </c>
      <c r="K1123" s="211">
        <f t="shared" si="159"/>
        <v>0</v>
      </c>
      <c r="L1123" s="211">
        <f t="shared" si="159"/>
        <v>0</v>
      </c>
      <c r="M1123" s="211">
        <f t="shared" si="159"/>
        <v>0</v>
      </c>
      <c r="N1123" s="211">
        <f t="shared" si="159"/>
        <v>0</v>
      </c>
      <c r="O1123" s="211">
        <f t="shared" si="159"/>
        <v>0</v>
      </c>
      <c r="P1123" s="211">
        <f t="shared" si="159"/>
        <v>0</v>
      </c>
    </row>
    <row r="1124" spans="1:16" s="219" customFormat="1" ht="30" hidden="1" x14ac:dyDescent="0.25">
      <c r="A1124" s="214"/>
      <c r="B1124" s="237">
        <v>1</v>
      </c>
      <c r="C1124" s="237">
        <v>3</v>
      </c>
      <c r="D1124" s="238" t="s">
        <v>2022</v>
      </c>
      <c r="E1124" s="238" t="s">
        <v>1836</v>
      </c>
      <c r="F1124" s="238" t="s">
        <v>1934</v>
      </c>
      <c r="G1124" s="238" t="s">
        <v>58</v>
      </c>
      <c r="H1124" s="239" t="s">
        <v>2938</v>
      </c>
      <c r="I1124" s="217"/>
      <c r="J1124" s="217"/>
      <c r="K1124" s="217"/>
      <c r="L1124" s="217"/>
      <c r="M1124" s="217"/>
      <c r="N1124" s="217"/>
      <c r="O1124" s="217"/>
      <c r="P1124" s="217"/>
    </row>
    <row r="1125" spans="1:16" s="219" customFormat="1" ht="30" hidden="1" x14ac:dyDescent="0.25">
      <c r="A1125" s="214"/>
      <c r="B1125" s="237">
        <v>1</v>
      </c>
      <c r="C1125" s="237">
        <v>3</v>
      </c>
      <c r="D1125" s="238" t="s">
        <v>2022</v>
      </c>
      <c r="E1125" s="238" t="s">
        <v>1836</v>
      </c>
      <c r="F1125" s="238" t="s">
        <v>1934</v>
      </c>
      <c r="G1125" s="238" t="s">
        <v>75</v>
      </c>
      <c r="H1125" s="239" t="s">
        <v>2939</v>
      </c>
      <c r="I1125" s="217"/>
      <c r="J1125" s="217"/>
      <c r="K1125" s="217"/>
      <c r="L1125" s="217"/>
      <c r="M1125" s="217"/>
      <c r="N1125" s="217"/>
      <c r="O1125" s="217"/>
      <c r="P1125" s="217"/>
    </row>
    <row r="1126" spans="1:16" s="219" customFormat="1" ht="45" hidden="1" x14ac:dyDescent="0.25">
      <c r="A1126" s="214"/>
      <c r="B1126" s="237">
        <v>1</v>
      </c>
      <c r="C1126" s="237">
        <v>3</v>
      </c>
      <c r="D1126" s="238" t="s">
        <v>2022</v>
      </c>
      <c r="E1126" s="238" t="s">
        <v>1836</v>
      </c>
      <c r="F1126" s="238" t="s">
        <v>1934</v>
      </c>
      <c r="G1126" s="238" t="s">
        <v>79</v>
      </c>
      <c r="H1126" s="239" t="s">
        <v>2940</v>
      </c>
      <c r="I1126" s="217"/>
      <c r="J1126" s="217"/>
      <c r="K1126" s="217"/>
      <c r="L1126" s="217"/>
      <c r="M1126" s="217"/>
      <c r="N1126" s="217"/>
      <c r="O1126" s="217"/>
      <c r="P1126" s="217"/>
    </row>
    <row r="1127" spans="1:16" s="219" customFormat="1" ht="45" hidden="1" x14ac:dyDescent="0.25">
      <c r="A1127" s="214"/>
      <c r="B1127" s="237">
        <v>1</v>
      </c>
      <c r="C1127" s="237">
        <v>3</v>
      </c>
      <c r="D1127" s="238" t="s">
        <v>2022</v>
      </c>
      <c r="E1127" s="238" t="s">
        <v>1836</v>
      </c>
      <c r="F1127" s="238" t="s">
        <v>1934</v>
      </c>
      <c r="G1127" s="238" t="s">
        <v>84</v>
      </c>
      <c r="H1127" s="239" t="s">
        <v>2941</v>
      </c>
      <c r="I1127" s="217"/>
      <c r="J1127" s="217"/>
      <c r="K1127" s="217"/>
      <c r="L1127" s="217"/>
      <c r="M1127" s="217"/>
      <c r="N1127" s="217"/>
      <c r="O1127" s="217"/>
      <c r="P1127" s="217"/>
    </row>
    <row r="1128" spans="1:16" s="219" customFormat="1" ht="30" hidden="1" x14ac:dyDescent="0.25">
      <c r="A1128" s="214"/>
      <c r="B1128" s="237">
        <v>1</v>
      </c>
      <c r="C1128" s="237">
        <v>3</v>
      </c>
      <c r="D1128" s="238" t="s">
        <v>2022</v>
      </c>
      <c r="E1128" s="238" t="s">
        <v>1836</v>
      </c>
      <c r="F1128" s="238" t="s">
        <v>1934</v>
      </c>
      <c r="G1128" s="238" t="s">
        <v>88</v>
      </c>
      <c r="H1128" s="239" t="s">
        <v>2942</v>
      </c>
      <c r="I1128" s="217"/>
      <c r="J1128" s="217"/>
      <c r="K1128" s="217"/>
      <c r="L1128" s="217"/>
      <c r="M1128" s="217"/>
      <c r="N1128" s="217"/>
      <c r="O1128" s="217"/>
      <c r="P1128" s="217"/>
    </row>
    <row r="1129" spans="1:16" s="219" customFormat="1" ht="30" hidden="1" x14ac:dyDescent="0.25">
      <c r="A1129" s="214"/>
      <c r="B1129" s="237">
        <v>1</v>
      </c>
      <c r="C1129" s="237">
        <v>3</v>
      </c>
      <c r="D1129" s="238" t="s">
        <v>2022</v>
      </c>
      <c r="E1129" s="238" t="s">
        <v>1836</v>
      </c>
      <c r="F1129" s="238" t="s">
        <v>1934</v>
      </c>
      <c r="G1129" s="238" t="s">
        <v>92</v>
      </c>
      <c r="H1129" s="239" t="s">
        <v>2943</v>
      </c>
      <c r="I1129" s="217"/>
      <c r="J1129" s="217"/>
      <c r="K1129" s="217"/>
      <c r="L1129" s="217"/>
      <c r="M1129" s="217"/>
      <c r="N1129" s="217"/>
      <c r="O1129" s="217"/>
      <c r="P1129" s="217"/>
    </row>
    <row r="1130" spans="1:16" s="219" customFormat="1" ht="30" hidden="1" x14ac:dyDescent="0.25">
      <c r="A1130" s="214"/>
      <c r="B1130" s="237">
        <v>1</v>
      </c>
      <c r="C1130" s="237">
        <v>3</v>
      </c>
      <c r="D1130" s="238" t="s">
        <v>2022</v>
      </c>
      <c r="E1130" s="238" t="s">
        <v>1836</v>
      </c>
      <c r="F1130" s="238" t="s">
        <v>1934</v>
      </c>
      <c r="G1130" s="238" t="s">
        <v>96</v>
      </c>
      <c r="H1130" s="239" t="s">
        <v>2944</v>
      </c>
      <c r="I1130" s="217"/>
      <c r="J1130" s="217"/>
      <c r="K1130" s="217"/>
      <c r="L1130" s="217"/>
      <c r="M1130" s="217"/>
      <c r="N1130" s="217"/>
      <c r="O1130" s="217"/>
      <c r="P1130" s="217"/>
    </row>
    <row r="1131" spans="1:16" s="219" customFormat="1" ht="30" hidden="1" x14ac:dyDescent="0.25">
      <c r="A1131" s="214"/>
      <c r="B1131" s="237">
        <v>1</v>
      </c>
      <c r="C1131" s="237">
        <v>3</v>
      </c>
      <c r="D1131" s="238" t="s">
        <v>2022</v>
      </c>
      <c r="E1131" s="238" t="s">
        <v>1836</v>
      </c>
      <c r="F1131" s="238" t="s">
        <v>1934</v>
      </c>
      <c r="G1131" s="238" t="s">
        <v>100</v>
      </c>
      <c r="H1131" s="239" t="s">
        <v>2945</v>
      </c>
      <c r="I1131" s="217"/>
      <c r="J1131" s="217"/>
      <c r="K1131" s="217"/>
      <c r="L1131" s="217"/>
      <c r="M1131" s="217"/>
      <c r="N1131" s="217"/>
      <c r="O1131" s="217"/>
      <c r="P1131" s="217"/>
    </row>
    <row r="1132" spans="1:16" s="219" customFormat="1" ht="30" hidden="1" x14ac:dyDescent="0.25">
      <c r="A1132" s="214"/>
      <c r="B1132" s="237">
        <v>1</v>
      </c>
      <c r="C1132" s="237">
        <v>3</v>
      </c>
      <c r="D1132" s="238" t="s">
        <v>2022</v>
      </c>
      <c r="E1132" s="238" t="s">
        <v>1836</v>
      </c>
      <c r="F1132" s="238" t="s">
        <v>1934</v>
      </c>
      <c r="G1132" s="238" t="s">
        <v>105</v>
      </c>
      <c r="H1132" s="239" t="s">
        <v>2946</v>
      </c>
      <c r="I1132" s="217"/>
      <c r="J1132" s="217"/>
      <c r="K1132" s="217"/>
      <c r="L1132" s="217"/>
      <c r="M1132" s="217"/>
      <c r="N1132" s="217"/>
      <c r="O1132" s="217"/>
      <c r="P1132" s="217"/>
    </row>
    <row r="1133" spans="1:16" s="219" customFormat="1" ht="30" hidden="1" x14ac:dyDescent="0.25">
      <c r="A1133" s="214"/>
      <c r="B1133" s="237">
        <v>1</v>
      </c>
      <c r="C1133" s="237">
        <v>3</v>
      </c>
      <c r="D1133" s="238" t="s">
        <v>2022</v>
      </c>
      <c r="E1133" s="238" t="s">
        <v>1836</v>
      </c>
      <c r="F1133" s="238" t="s">
        <v>1934</v>
      </c>
      <c r="G1133" s="238" t="s">
        <v>108</v>
      </c>
      <c r="H1133" s="239" t="s">
        <v>2947</v>
      </c>
      <c r="I1133" s="217"/>
      <c r="J1133" s="217"/>
      <c r="K1133" s="217"/>
      <c r="L1133" s="217"/>
      <c r="M1133" s="217"/>
      <c r="N1133" s="217"/>
      <c r="O1133" s="217"/>
      <c r="P1133" s="217"/>
    </row>
    <row r="1134" spans="1:16" s="219" customFormat="1" ht="45" hidden="1" x14ac:dyDescent="0.25">
      <c r="A1134" s="214"/>
      <c r="B1134" s="237">
        <v>1</v>
      </c>
      <c r="C1134" s="237">
        <v>3</v>
      </c>
      <c r="D1134" s="238" t="s">
        <v>2022</v>
      </c>
      <c r="E1134" s="238" t="s">
        <v>1836</v>
      </c>
      <c r="F1134" s="238" t="s">
        <v>1934</v>
      </c>
      <c r="G1134" s="238" t="s">
        <v>135</v>
      </c>
      <c r="H1134" s="239" t="s">
        <v>2948</v>
      </c>
      <c r="I1134" s="217"/>
      <c r="J1134" s="217"/>
      <c r="K1134" s="217"/>
      <c r="L1134" s="217"/>
      <c r="M1134" s="217"/>
      <c r="N1134" s="217"/>
      <c r="O1134" s="217"/>
      <c r="P1134" s="217"/>
    </row>
    <row r="1135" spans="1:16" s="219" customFormat="1" ht="45" hidden="1" x14ac:dyDescent="0.25">
      <c r="A1135" s="214"/>
      <c r="B1135" s="237">
        <v>1</v>
      </c>
      <c r="C1135" s="237">
        <v>3</v>
      </c>
      <c r="D1135" s="238" t="s">
        <v>2022</v>
      </c>
      <c r="E1135" s="238" t="s">
        <v>1836</v>
      </c>
      <c r="F1135" s="238" t="s">
        <v>1934</v>
      </c>
      <c r="G1135" s="238" t="s">
        <v>138</v>
      </c>
      <c r="H1135" s="239" t="s">
        <v>2949</v>
      </c>
      <c r="I1135" s="217"/>
      <c r="J1135" s="217"/>
      <c r="K1135" s="217"/>
      <c r="L1135" s="217"/>
      <c r="M1135" s="217"/>
      <c r="N1135" s="217"/>
      <c r="O1135" s="217"/>
      <c r="P1135" s="217"/>
    </row>
    <row r="1136" spans="1:16" s="219" customFormat="1" ht="45" hidden="1" x14ac:dyDescent="0.25">
      <c r="A1136" s="214"/>
      <c r="B1136" s="237">
        <v>1</v>
      </c>
      <c r="C1136" s="237">
        <v>3</v>
      </c>
      <c r="D1136" s="238" t="s">
        <v>2022</v>
      </c>
      <c r="E1136" s="238" t="s">
        <v>1836</v>
      </c>
      <c r="F1136" s="238" t="s">
        <v>1934</v>
      </c>
      <c r="G1136" s="238" t="s">
        <v>140</v>
      </c>
      <c r="H1136" s="239" t="s">
        <v>2950</v>
      </c>
      <c r="I1136" s="217"/>
      <c r="J1136" s="217"/>
      <c r="K1136" s="217"/>
      <c r="L1136" s="217"/>
      <c r="M1136" s="217"/>
      <c r="N1136" s="217"/>
      <c r="O1136" s="217"/>
      <c r="P1136" s="217"/>
    </row>
    <row r="1137" spans="1:16" s="219" customFormat="1" ht="45" hidden="1" x14ac:dyDescent="0.25">
      <c r="A1137" s="214"/>
      <c r="B1137" s="237">
        <v>1</v>
      </c>
      <c r="C1137" s="237">
        <v>3</v>
      </c>
      <c r="D1137" s="238" t="s">
        <v>2022</v>
      </c>
      <c r="E1137" s="238" t="s">
        <v>1836</v>
      </c>
      <c r="F1137" s="238" t="s">
        <v>1934</v>
      </c>
      <c r="G1137" s="238" t="s">
        <v>143</v>
      </c>
      <c r="H1137" s="239" t="s">
        <v>2951</v>
      </c>
      <c r="I1137" s="217"/>
      <c r="J1137" s="217"/>
      <c r="K1137" s="217"/>
      <c r="L1137" s="217"/>
      <c r="M1137" s="217"/>
      <c r="N1137" s="217"/>
      <c r="O1137" s="217"/>
      <c r="P1137" s="217"/>
    </row>
    <row r="1138" spans="1:16" s="219" customFormat="1" ht="45" hidden="1" x14ac:dyDescent="0.25">
      <c r="A1138" s="214"/>
      <c r="B1138" s="237">
        <v>1</v>
      </c>
      <c r="C1138" s="237">
        <v>3</v>
      </c>
      <c r="D1138" s="238" t="s">
        <v>2022</v>
      </c>
      <c r="E1138" s="238" t="s">
        <v>1836</v>
      </c>
      <c r="F1138" s="238" t="s">
        <v>1934</v>
      </c>
      <c r="G1138" s="238" t="s">
        <v>146</v>
      </c>
      <c r="H1138" s="239" t="s">
        <v>2952</v>
      </c>
      <c r="I1138" s="217"/>
      <c r="J1138" s="217"/>
      <c r="K1138" s="217"/>
      <c r="L1138" s="217"/>
      <c r="M1138" s="217"/>
      <c r="N1138" s="217"/>
      <c r="O1138" s="217"/>
      <c r="P1138" s="217"/>
    </row>
    <row r="1139" spans="1:16" s="219" customFormat="1" ht="45" hidden="1" x14ac:dyDescent="0.25">
      <c r="A1139" s="214"/>
      <c r="B1139" s="237">
        <v>1</v>
      </c>
      <c r="C1139" s="237">
        <v>3</v>
      </c>
      <c r="D1139" s="238" t="s">
        <v>2022</v>
      </c>
      <c r="E1139" s="238" t="s">
        <v>1836</v>
      </c>
      <c r="F1139" s="238" t="s">
        <v>1934</v>
      </c>
      <c r="G1139" s="238" t="s">
        <v>150</v>
      </c>
      <c r="H1139" s="239" t="s">
        <v>2953</v>
      </c>
      <c r="I1139" s="217"/>
      <c r="J1139" s="217"/>
      <c r="K1139" s="217"/>
      <c r="L1139" s="217"/>
      <c r="M1139" s="217"/>
      <c r="N1139" s="217"/>
      <c r="O1139" s="217"/>
      <c r="P1139" s="217"/>
    </row>
    <row r="1140" spans="1:16" s="219" customFormat="1" ht="45" hidden="1" x14ac:dyDescent="0.25">
      <c r="A1140" s="214"/>
      <c r="B1140" s="237">
        <v>1</v>
      </c>
      <c r="C1140" s="237">
        <v>3</v>
      </c>
      <c r="D1140" s="238" t="s">
        <v>2022</v>
      </c>
      <c r="E1140" s="238" t="s">
        <v>1836</v>
      </c>
      <c r="F1140" s="238" t="s">
        <v>1934</v>
      </c>
      <c r="G1140" s="238" t="s">
        <v>153</v>
      </c>
      <c r="H1140" s="239" t="s">
        <v>2954</v>
      </c>
      <c r="I1140" s="217"/>
      <c r="J1140" s="217"/>
      <c r="K1140" s="217"/>
      <c r="L1140" s="217"/>
      <c r="M1140" s="217"/>
      <c r="N1140" s="217"/>
      <c r="O1140" s="217"/>
      <c r="P1140" s="217"/>
    </row>
    <row r="1141" spans="1:16" s="219" customFormat="1" ht="45" hidden="1" x14ac:dyDescent="0.25">
      <c r="A1141" s="214"/>
      <c r="B1141" s="237">
        <v>1</v>
      </c>
      <c r="C1141" s="237">
        <v>3</v>
      </c>
      <c r="D1141" s="238" t="s">
        <v>2022</v>
      </c>
      <c r="E1141" s="238" t="s">
        <v>1836</v>
      </c>
      <c r="F1141" s="238" t="s">
        <v>1934</v>
      </c>
      <c r="G1141" s="238" t="s">
        <v>156</v>
      </c>
      <c r="H1141" s="239" t="s">
        <v>2955</v>
      </c>
      <c r="I1141" s="217"/>
      <c r="J1141" s="217"/>
      <c r="K1141" s="217"/>
      <c r="L1141" s="217"/>
      <c r="M1141" s="217"/>
      <c r="N1141" s="217"/>
      <c r="O1141" s="217"/>
      <c r="P1141" s="217"/>
    </row>
    <row r="1142" spans="1:16" s="219" customFormat="1" ht="45" hidden="1" x14ac:dyDescent="0.25">
      <c r="A1142" s="214"/>
      <c r="B1142" s="237">
        <v>1</v>
      </c>
      <c r="C1142" s="237">
        <v>3</v>
      </c>
      <c r="D1142" s="238" t="s">
        <v>2022</v>
      </c>
      <c r="E1142" s="238" t="s">
        <v>1836</v>
      </c>
      <c r="F1142" s="238" t="s">
        <v>1934</v>
      </c>
      <c r="G1142" s="238" t="s">
        <v>159</v>
      </c>
      <c r="H1142" s="239" t="s">
        <v>2956</v>
      </c>
      <c r="I1142" s="217"/>
      <c r="J1142" s="217"/>
      <c r="K1142" s="217"/>
      <c r="L1142" s="217"/>
      <c r="M1142" s="217"/>
      <c r="N1142" s="217"/>
      <c r="O1142" s="217"/>
      <c r="P1142" s="217"/>
    </row>
    <row r="1143" spans="1:16" s="213" customFormat="1" ht="30" hidden="1" x14ac:dyDescent="0.25">
      <c r="A1143" s="208" t="s">
        <v>263</v>
      </c>
      <c r="B1143" s="234">
        <v>1</v>
      </c>
      <c r="C1143" s="234">
        <v>3</v>
      </c>
      <c r="D1143" s="235" t="s">
        <v>2022</v>
      </c>
      <c r="E1143" s="235" t="s">
        <v>1836</v>
      </c>
      <c r="F1143" s="235" t="s">
        <v>2022</v>
      </c>
      <c r="G1143" s="234"/>
      <c r="H1143" s="236" t="s">
        <v>2957</v>
      </c>
      <c r="I1143" s="211">
        <f>SUM(I1144:I1215)</f>
        <v>0</v>
      </c>
      <c r="J1143" s="211">
        <f t="shared" ref="J1143:P1143" si="160">SUM(J1144:J1215)</f>
        <v>0</v>
      </c>
      <c r="K1143" s="211">
        <f t="shared" si="160"/>
        <v>0</v>
      </c>
      <c r="L1143" s="211">
        <f t="shared" si="160"/>
        <v>0</v>
      </c>
      <c r="M1143" s="211">
        <f t="shared" si="160"/>
        <v>0</v>
      </c>
      <c r="N1143" s="211">
        <f t="shared" si="160"/>
        <v>0</v>
      </c>
      <c r="O1143" s="211">
        <f t="shared" si="160"/>
        <v>0</v>
      </c>
      <c r="P1143" s="211">
        <f t="shared" si="160"/>
        <v>0</v>
      </c>
    </row>
    <row r="1144" spans="1:16" s="219" customFormat="1" ht="30" hidden="1" x14ac:dyDescent="0.25">
      <c r="A1144" s="214"/>
      <c r="B1144" s="237">
        <v>1</v>
      </c>
      <c r="C1144" s="237">
        <v>3</v>
      </c>
      <c r="D1144" s="238" t="s">
        <v>2022</v>
      </c>
      <c r="E1144" s="238" t="s">
        <v>1836</v>
      </c>
      <c r="F1144" s="238" t="s">
        <v>2022</v>
      </c>
      <c r="G1144" s="238" t="s">
        <v>58</v>
      </c>
      <c r="H1144" s="239" t="s">
        <v>2958</v>
      </c>
      <c r="I1144" s="217"/>
      <c r="J1144" s="217"/>
      <c r="K1144" s="217"/>
      <c r="L1144" s="217"/>
      <c r="M1144" s="217"/>
      <c r="N1144" s="217"/>
      <c r="O1144" s="217"/>
      <c r="P1144" s="217"/>
    </row>
    <row r="1145" spans="1:16" s="219" customFormat="1" ht="45" hidden="1" x14ac:dyDescent="0.25">
      <c r="A1145" s="214"/>
      <c r="B1145" s="237">
        <v>1</v>
      </c>
      <c r="C1145" s="237">
        <v>3</v>
      </c>
      <c r="D1145" s="238" t="s">
        <v>2022</v>
      </c>
      <c r="E1145" s="238" t="s">
        <v>1836</v>
      </c>
      <c r="F1145" s="238" t="s">
        <v>2022</v>
      </c>
      <c r="G1145" s="238" t="s">
        <v>75</v>
      </c>
      <c r="H1145" s="239" t="s">
        <v>2959</v>
      </c>
      <c r="I1145" s="217"/>
      <c r="J1145" s="217"/>
      <c r="K1145" s="217"/>
      <c r="L1145" s="217"/>
      <c r="M1145" s="217"/>
      <c r="N1145" s="217"/>
      <c r="O1145" s="217"/>
      <c r="P1145" s="217"/>
    </row>
    <row r="1146" spans="1:16" s="219" customFormat="1" ht="30" hidden="1" x14ac:dyDescent="0.25">
      <c r="A1146" s="214"/>
      <c r="B1146" s="237">
        <v>1</v>
      </c>
      <c r="C1146" s="237">
        <v>3</v>
      </c>
      <c r="D1146" s="238" t="s">
        <v>2022</v>
      </c>
      <c r="E1146" s="238" t="s">
        <v>1836</v>
      </c>
      <c r="F1146" s="238" t="s">
        <v>2022</v>
      </c>
      <c r="G1146" s="238" t="s">
        <v>79</v>
      </c>
      <c r="H1146" s="239" t="s">
        <v>2960</v>
      </c>
      <c r="I1146" s="217"/>
      <c r="J1146" s="217"/>
      <c r="K1146" s="217"/>
      <c r="L1146" s="217"/>
      <c r="M1146" s="217"/>
      <c r="N1146" s="217"/>
      <c r="O1146" s="217"/>
      <c r="P1146" s="217"/>
    </row>
    <row r="1147" spans="1:16" s="219" customFormat="1" ht="30" hidden="1" x14ac:dyDescent="0.25">
      <c r="A1147" s="214"/>
      <c r="B1147" s="237">
        <v>1</v>
      </c>
      <c r="C1147" s="237">
        <v>3</v>
      </c>
      <c r="D1147" s="238" t="s">
        <v>2022</v>
      </c>
      <c r="E1147" s="238" t="s">
        <v>1836</v>
      </c>
      <c r="F1147" s="238" t="s">
        <v>2022</v>
      </c>
      <c r="G1147" s="238" t="s">
        <v>84</v>
      </c>
      <c r="H1147" s="239" t="s">
        <v>2961</v>
      </c>
      <c r="I1147" s="217"/>
      <c r="J1147" s="217"/>
      <c r="K1147" s="217"/>
      <c r="L1147" s="217"/>
      <c r="M1147" s="217"/>
      <c r="N1147" s="217"/>
      <c r="O1147" s="217"/>
      <c r="P1147" s="217"/>
    </row>
    <row r="1148" spans="1:16" s="219" customFormat="1" ht="45" hidden="1" x14ac:dyDescent="0.25">
      <c r="A1148" s="214"/>
      <c r="B1148" s="237">
        <v>1</v>
      </c>
      <c r="C1148" s="237">
        <v>3</v>
      </c>
      <c r="D1148" s="238" t="s">
        <v>2022</v>
      </c>
      <c r="E1148" s="238" t="s">
        <v>1836</v>
      </c>
      <c r="F1148" s="238" t="s">
        <v>2022</v>
      </c>
      <c r="G1148" s="238" t="s">
        <v>88</v>
      </c>
      <c r="H1148" s="239" t="s">
        <v>2962</v>
      </c>
      <c r="I1148" s="217"/>
      <c r="J1148" s="217"/>
      <c r="K1148" s="217"/>
      <c r="L1148" s="217"/>
      <c r="M1148" s="217"/>
      <c r="N1148" s="217"/>
      <c r="O1148" s="217"/>
      <c r="P1148" s="217"/>
    </row>
    <row r="1149" spans="1:16" s="219" customFormat="1" ht="30" hidden="1" x14ac:dyDescent="0.25">
      <c r="A1149" s="214"/>
      <c r="B1149" s="237">
        <v>1</v>
      </c>
      <c r="C1149" s="237">
        <v>3</v>
      </c>
      <c r="D1149" s="238" t="s">
        <v>2022</v>
      </c>
      <c r="E1149" s="238" t="s">
        <v>1836</v>
      </c>
      <c r="F1149" s="238" t="s">
        <v>2022</v>
      </c>
      <c r="G1149" s="238" t="s">
        <v>92</v>
      </c>
      <c r="H1149" s="239" t="s">
        <v>2963</v>
      </c>
      <c r="I1149" s="217"/>
      <c r="J1149" s="217"/>
      <c r="K1149" s="217"/>
      <c r="L1149" s="217"/>
      <c r="M1149" s="217"/>
      <c r="N1149" s="217"/>
      <c r="O1149" s="217"/>
      <c r="P1149" s="217"/>
    </row>
    <row r="1150" spans="1:16" s="219" customFormat="1" ht="45" hidden="1" x14ac:dyDescent="0.25">
      <c r="A1150" s="214"/>
      <c r="B1150" s="237">
        <v>1</v>
      </c>
      <c r="C1150" s="237">
        <v>3</v>
      </c>
      <c r="D1150" s="238" t="s">
        <v>2022</v>
      </c>
      <c r="E1150" s="238" t="s">
        <v>1836</v>
      </c>
      <c r="F1150" s="238" t="s">
        <v>2022</v>
      </c>
      <c r="G1150" s="238" t="s">
        <v>96</v>
      </c>
      <c r="H1150" s="239" t="s">
        <v>2964</v>
      </c>
      <c r="I1150" s="217"/>
      <c r="J1150" s="217"/>
      <c r="K1150" s="217"/>
      <c r="L1150" s="217"/>
      <c r="M1150" s="217"/>
      <c r="N1150" s="217"/>
      <c r="O1150" s="217"/>
      <c r="P1150" s="217"/>
    </row>
    <row r="1151" spans="1:16" s="219" customFormat="1" ht="45" hidden="1" x14ac:dyDescent="0.25">
      <c r="A1151" s="214"/>
      <c r="B1151" s="237">
        <v>1</v>
      </c>
      <c r="C1151" s="237">
        <v>3</v>
      </c>
      <c r="D1151" s="238" t="s">
        <v>2022</v>
      </c>
      <c r="E1151" s="238" t="s">
        <v>1836</v>
      </c>
      <c r="F1151" s="238" t="s">
        <v>2022</v>
      </c>
      <c r="G1151" s="238" t="s">
        <v>100</v>
      </c>
      <c r="H1151" s="239" t="s">
        <v>2965</v>
      </c>
      <c r="I1151" s="217"/>
      <c r="J1151" s="217"/>
      <c r="K1151" s="217"/>
      <c r="L1151" s="217"/>
      <c r="M1151" s="217"/>
      <c r="N1151" s="217"/>
      <c r="O1151" s="217"/>
      <c r="P1151" s="217"/>
    </row>
    <row r="1152" spans="1:16" s="219" customFormat="1" ht="45" hidden="1" x14ac:dyDescent="0.25">
      <c r="A1152" s="214"/>
      <c r="B1152" s="237">
        <v>1</v>
      </c>
      <c r="C1152" s="237">
        <v>3</v>
      </c>
      <c r="D1152" s="238" t="s">
        <v>2022</v>
      </c>
      <c r="E1152" s="238" t="s">
        <v>1836</v>
      </c>
      <c r="F1152" s="238" t="s">
        <v>2022</v>
      </c>
      <c r="G1152" s="238" t="s">
        <v>105</v>
      </c>
      <c r="H1152" s="239" t="s">
        <v>2966</v>
      </c>
      <c r="I1152" s="217"/>
      <c r="J1152" s="217"/>
      <c r="K1152" s="217"/>
      <c r="L1152" s="217"/>
      <c r="M1152" s="217"/>
      <c r="N1152" s="217"/>
      <c r="O1152" s="217"/>
      <c r="P1152" s="217"/>
    </row>
    <row r="1153" spans="1:16" s="219" customFormat="1" ht="45" hidden="1" x14ac:dyDescent="0.25">
      <c r="A1153" s="214"/>
      <c r="B1153" s="237">
        <v>1</v>
      </c>
      <c r="C1153" s="237">
        <v>3</v>
      </c>
      <c r="D1153" s="238" t="s">
        <v>2022</v>
      </c>
      <c r="E1153" s="238" t="s">
        <v>1836</v>
      </c>
      <c r="F1153" s="238" t="s">
        <v>2022</v>
      </c>
      <c r="G1153" s="238" t="s">
        <v>108</v>
      </c>
      <c r="H1153" s="239" t="s">
        <v>2967</v>
      </c>
      <c r="I1153" s="217"/>
      <c r="J1153" s="217"/>
      <c r="K1153" s="217"/>
      <c r="L1153" s="217"/>
      <c r="M1153" s="217"/>
      <c r="N1153" s="217"/>
      <c r="O1153" s="217"/>
      <c r="P1153" s="217"/>
    </row>
    <row r="1154" spans="1:16" s="219" customFormat="1" ht="45" hidden="1" x14ac:dyDescent="0.25">
      <c r="A1154" s="214"/>
      <c r="B1154" s="237">
        <v>1</v>
      </c>
      <c r="C1154" s="237">
        <v>3</v>
      </c>
      <c r="D1154" s="238" t="s">
        <v>2022</v>
      </c>
      <c r="E1154" s="238" t="s">
        <v>1836</v>
      </c>
      <c r="F1154" s="238" t="s">
        <v>2022</v>
      </c>
      <c r="G1154" s="238" t="s">
        <v>135</v>
      </c>
      <c r="H1154" s="239" t="s">
        <v>2968</v>
      </c>
      <c r="I1154" s="217"/>
      <c r="J1154" s="217"/>
      <c r="K1154" s="217"/>
      <c r="L1154" s="217"/>
      <c r="M1154" s="217"/>
      <c r="N1154" s="217"/>
      <c r="O1154" s="217"/>
      <c r="P1154" s="217"/>
    </row>
    <row r="1155" spans="1:16" s="219" customFormat="1" ht="30" hidden="1" x14ac:dyDescent="0.25">
      <c r="A1155" s="214"/>
      <c r="B1155" s="237">
        <v>1</v>
      </c>
      <c r="C1155" s="237">
        <v>3</v>
      </c>
      <c r="D1155" s="238" t="s">
        <v>2022</v>
      </c>
      <c r="E1155" s="238" t="s">
        <v>1836</v>
      </c>
      <c r="F1155" s="238" t="s">
        <v>2022</v>
      </c>
      <c r="G1155" s="238" t="s">
        <v>138</v>
      </c>
      <c r="H1155" s="239" t="s">
        <v>2969</v>
      </c>
      <c r="I1155" s="217"/>
      <c r="J1155" s="217"/>
      <c r="K1155" s="217"/>
      <c r="L1155" s="217"/>
      <c r="M1155" s="217"/>
      <c r="N1155" s="217"/>
      <c r="O1155" s="217"/>
      <c r="P1155" s="217"/>
    </row>
    <row r="1156" spans="1:16" s="219" customFormat="1" ht="30" hidden="1" x14ac:dyDescent="0.25">
      <c r="A1156" s="214"/>
      <c r="B1156" s="237">
        <v>1</v>
      </c>
      <c r="C1156" s="237">
        <v>3</v>
      </c>
      <c r="D1156" s="238" t="s">
        <v>2022</v>
      </c>
      <c r="E1156" s="238" t="s">
        <v>1836</v>
      </c>
      <c r="F1156" s="238" t="s">
        <v>2022</v>
      </c>
      <c r="G1156" s="238" t="s">
        <v>140</v>
      </c>
      <c r="H1156" s="239" t="s">
        <v>2970</v>
      </c>
      <c r="I1156" s="217"/>
      <c r="J1156" s="217"/>
      <c r="K1156" s="217"/>
      <c r="L1156" s="217"/>
      <c r="M1156" s="217"/>
      <c r="N1156" s="217"/>
      <c r="O1156" s="217"/>
      <c r="P1156" s="217"/>
    </row>
    <row r="1157" spans="1:16" s="219" customFormat="1" ht="30" hidden="1" x14ac:dyDescent="0.25">
      <c r="A1157" s="214"/>
      <c r="B1157" s="237">
        <v>1</v>
      </c>
      <c r="C1157" s="237">
        <v>3</v>
      </c>
      <c r="D1157" s="238" t="s">
        <v>2022</v>
      </c>
      <c r="E1157" s="238" t="s">
        <v>1836</v>
      </c>
      <c r="F1157" s="238" t="s">
        <v>2022</v>
      </c>
      <c r="G1157" s="238" t="s">
        <v>143</v>
      </c>
      <c r="H1157" s="239" t="s">
        <v>2971</v>
      </c>
      <c r="I1157" s="217"/>
      <c r="J1157" s="217"/>
      <c r="K1157" s="217"/>
      <c r="L1157" s="217"/>
      <c r="M1157" s="217"/>
      <c r="N1157" s="217"/>
      <c r="O1157" s="217"/>
      <c r="P1157" s="217"/>
    </row>
    <row r="1158" spans="1:16" s="219" customFormat="1" ht="45" hidden="1" x14ac:dyDescent="0.25">
      <c r="A1158" s="214"/>
      <c r="B1158" s="237">
        <v>1</v>
      </c>
      <c r="C1158" s="237">
        <v>3</v>
      </c>
      <c r="D1158" s="238" t="s">
        <v>2022</v>
      </c>
      <c r="E1158" s="238" t="s">
        <v>1836</v>
      </c>
      <c r="F1158" s="238" t="s">
        <v>2022</v>
      </c>
      <c r="G1158" s="238" t="s">
        <v>146</v>
      </c>
      <c r="H1158" s="239" t="s">
        <v>2972</v>
      </c>
      <c r="I1158" s="217"/>
      <c r="J1158" s="217"/>
      <c r="K1158" s="217"/>
      <c r="L1158" s="217"/>
      <c r="M1158" s="217"/>
      <c r="N1158" s="217"/>
      <c r="O1158" s="217"/>
      <c r="P1158" s="217"/>
    </row>
    <row r="1159" spans="1:16" s="219" customFormat="1" ht="30" hidden="1" x14ac:dyDescent="0.25">
      <c r="A1159" s="214"/>
      <c r="B1159" s="237">
        <v>1</v>
      </c>
      <c r="C1159" s="237">
        <v>3</v>
      </c>
      <c r="D1159" s="238" t="s">
        <v>2022</v>
      </c>
      <c r="E1159" s="238" t="s">
        <v>1836</v>
      </c>
      <c r="F1159" s="238" t="s">
        <v>2022</v>
      </c>
      <c r="G1159" s="238" t="s">
        <v>150</v>
      </c>
      <c r="H1159" s="239" t="s">
        <v>2973</v>
      </c>
      <c r="I1159" s="217"/>
      <c r="J1159" s="217"/>
      <c r="K1159" s="217"/>
      <c r="L1159" s="217"/>
      <c r="M1159" s="217"/>
      <c r="N1159" s="217"/>
      <c r="O1159" s="217"/>
      <c r="P1159" s="217"/>
    </row>
    <row r="1160" spans="1:16" s="219" customFormat="1" ht="30" hidden="1" x14ac:dyDescent="0.25">
      <c r="A1160" s="214"/>
      <c r="B1160" s="237">
        <v>1</v>
      </c>
      <c r="C1160" s="237">
        <v>3</v>
      </c>
      <c r="D1160" s="238" t="s">
        <v>2022</v>
      </c>
      <c r="E1160" s="238" t="s">
        <v>1836</v>
      </c>
      <c r="F1160" s="238" t="s">
        <v>2022</v>
      </c>
      <c r="G1160" s="238" t="s">
        <v>153</v>
      </c>
      <c r="H1160" s="239" t="s">
        <v>2974</v>
      </c>
      <c r="I1160" s="217"/>
      <c r="J1160" s="217"/>
      <c r="K1160" s="217"/>
      <c r="L1160" s="217"/>
      <c r="M1160" s="217"/>
      <c r="N1160" s="217"/>
      <c r="O1160" s="217"/>
      <c r="P1160" s="217"/>
    </row>
    <row r="1161" spans="1:16" s="219" customFormat="1" ht="45" hidden="1" x14ac:dyDescent="0.25">
      <c r="A1161" s="214"/>
      <c r="B1161" s="237">
        <v>1</v>
      </c>
      <c r="C1161" s="237">
        <v>3</v>
      </c>
      <c r="D1161" s="238" t="s">
        <v>2022</v>
      </c>
      <c r="E1161" s="238" t="s">
        <v>1836</v>
      </c>
      <c r="F1161" s="238" t="s">
        <v>2022</v>
      </c>
      <c r="G1161" s="238" t="s">
        <v>156</v>
      </c>
      <c r="H1161" s="239" t="s">
        <v>2975</v>
      </c>
      <c r="I1161" s="217"/>
      <c r="J1161" s="217"/>
      <c r="K1161" s="217"/>
      <c r="L1161" s="217"/>
      <c r="M1161" s="217"/>
      <c r="N1161" s="217"/>
      <c r="O1161" s="217"/>
      <c r="P1161" s="217"/>
    </row>
    <row r="1162" spans="1:16" s="219" customFormat="1" ht="45" hidden="1" x14ac:dyDescent="0.25">
      <c r="A1162" s="214"/>
      <c r="B1162" s="237">
        <v>1</v>
      </c>
      <c r="C1162" s="237">
        <v>3</v>
      </c>
      <c r="D1162" s="238" t="s">
        <v>2022</v>
      </c>
      <c r="E1162" s="238" t="s">
        <v>1836</v>
      </c>
      <c r="F1162" s="238" t="s">
        <v>2022</v>
      </c>
      <c r="G1162" s="238" t="s">
        <v>159</v>
      </c>
      <c r="H1162" s="239" t="s">
        <v>2976</v>
      </c>
      <c r="I1162" s="217"/>
      <c r="J1162" s="217"/>
      <c r="K1162" s="217"/>
      <c r="L1162" s="217"/>
      <c r="M1162" s="217"/>
      <c r="N1162" s="217"/>
      <c r="O1162" s="217"/>
      <c r="P1162" s="217"/>
    </row>
    <row r="1163" spans="1:16" s="219" customFormat="1" ht="45" hidden="1" x14ac:dyDescent="0.25">
      <c r="A1163" s="214"/>
      <c r="B1163" s="237">
        <v>1</v>
      </c>
      <c r="C1163" s="237">
        <v>3</v>
      </c>
      <c r="D1163" s="238" t="s">
        <v>2022</v>
      </c>
      <c r="E1163" s="238" t="s">
        <v>1836</v>
      </c>
      <c r="F1163" s="238" t="s">
        <v>2022</v>
      </c>
      <c r="G1163" s="238" t="s">
        <v>162</v>
      </c>
      <c r="H1163" s="239" t="s">
        <v>2977</v>
      </c>
      <c r="I1163" s="217"/>
      <c r="J1163" s="217"/>
      <c r="K1163" s="217"/>
      <c r="L1163" s="217"/>
      <c r="M1163" s="217"/>
      <c r="N1163" s="217"/>
      <c r="O1163" s="217"/>
      <c r="P1163" s="217"/>
    </row>
    <row r="1164" spans="1:16" s="219" customFormat="1" ht="45" hidden="1" x14ac:dyDescent="0.25">
      <c r="A1164" s="214"/>
      <c r="B1164" s="237">
        <v>1</v>
      </c>
      <c r="C1164" s="237">
        <v>3</v>
      </c>
      <c r="D1164" s="238" t="s">
        <v>2022</v>
      </c>
      <c r="E1164" s="238" t="s">
        <v>1836</v>
      </c>
      <c r="F1164" s="238" t="s">
        <v>2022</v>
      </c>
      <c r="G1164" s="238" t="s">
        <v>312</v>
      </c>
      <c r="H1164" s="239" t="s">
        <v>2978</v>
      </c>
      <c r="I1164" s="217"/>
      <c r="J1164" s="217"/>
      <c r="K1164" s="217"/>
      <c r="L1164" s="217"/>
      <c r="M1164" s="217"/>
      <c r="N1164" s="217"/>
      <c r="O1164" s="217"/>
      <c r="P1164" s="217"/>
    </row>
    <row r="1165" spans="1:16" s="219" customFormat="1" ht="45" hidden="1" x14ac:dyDescent="0.25">
      <c r="A1165" s="214"/>
      <c r="B1165" s="237">
        <v>1</v>
      </c>
      <c r="C1165" s="237">
        <v>3</v>
      </c>
      <c r="D1165" s="238" t="s">
        <v>2022</v>
      </c>
      <c r="E1165" s="238" t="s">
        <v>1836</v>
      </c>
      <c r="F1165" s="238" t="s">
        <v>2022</v>
      </c>
      <c r="G1165" s="238" t="s">
        <v>313</v>
      </c>
      <c r="H1165" s="239" t="s">
        <v>2979</v>
      </c>
      <c r="I1165" s="217"/>
      <c r="J1165" s="217"/>
      <c r="K1165" s="217"/>
      <c r="L1165" s="217"/>
      <c r="M1165" s="217"/>
      <c r="N1165" s="217"/>
      <c r="O1165" s="217"/>
      <c r="P1165" s="217"/>
    </row>
    <row r="1166" spans="1:16" s="219" customFormat="1" ht="45" hidden="1" x14ac:dyDescent="0.25">
      <c r="A1166" s="214"/>
      <c r="B1166" s="237">
        <v>1</v>
      </c>
      <c r="C1166" s="237">
        <v>3</v>
      </c>
      <c r="D1166" s="238" t="s">
        <v>2022</v>
      </c>
      <c r="E1166" s="238" t="s">
        <v>1836</v>
      </c>
      <c r="F1166" s="238" t="s">
        <v>2022</v>
      </c>
      <c r="G1166" s="238" t="s">
        <v>559</v>
      </c>
      <c r="H1166" s="239" t="s">
        <v>2980</v>
      </c>
      <c r="I1166" s="217"/>
      <c r="J1166" s="217"/>
      <c r="K1166" s="217"/>
      <c r="L1166" s="217"/>
      <c r="M1166" s="217"/>
      <c r="N1166" s="217"/>
      <c r="O1166" s="217"/>
      <c r="P1166" s="217"/>
    </row>
    <row r="1167" spans="1:16" s="219" customFormat="1" ht="45" hidden="1" x14ac:dyDescent="0.25">
      <c r="A1167" s="214"/>
      <c r="B1167" s="237">
        <v>1</v>
      </c>
      <c r="C1167" s="237">
        <v>3</v>
      </c>
      <c r="D1167" s="238" t="s">
        <v>2022</v>
      </c>
      <c r="E1167" s="238" t="s">
        <v>1836</v>
      </c>
      <c r="F1167" s="238" t="s">
        <v>2022</v>
      </c>
      <c r="G1167" s="238" t="s">
        <v>561</v>
      </c>
      <c r="H1167" s="239" t="s">
        <v>2981</v>
      </c>
      <c r="I1167" s="217"/>
      <c r="J1167" s="217"/>
      <c r="K1167" s="217"/>
      <c r="L1167" s="217"/>
      <c r="M1167" s="217"/>
      <c r="N1167" s="217"/>
      <c r="O1167" s="217"/>
      <c r="P1167" s="217"/>
    </row>
    <row r="1168" spans="1:16" s="219" customFormat="1" ht="45" hidden="1" x14ac:dyDescent="0.25">
      <c r="A1168" s="214"/>
      <c r="B1168" s="237">
        <v>1</v>
      </c>
      <c r="C1168" s="237">
        <v>3</v>
      </c>
      <c r="D1168" s="238" t="s">
        <v>2022</v>
      </c>
      <c r="E1168" s="238" t="s">
        <v>1836</v>
      </c>
      <c r="F1168" s="238" t="s">
        <v>2022</v>
      </c>
      <c r="G1168" s="238" t="s">
        <v>563</v>
      </c>
      <c r="H1168" s="239" t="s">
        <v>2982</v>
      </c>
      <c r="I1168" s="217"/>
      <c r="J1168" s="217"/>
      <c r="K1168" s="217"/>
      <c r="L1168" s="217"/>
      <c r="M1168" s="217"/>
      <c r="N1168" s="217"/>
      <c r="O1168" s="217"/>
      <c r="P1168" s="217"/>
    </row>
    <row r="1169" spans="1:16" s="219" customFormat="1" ht="45" hidden="1" x14ac:dyDescent="0.25">
      <c r="A1169" s="214"/>
      <c r="B1169" s="237">
        <v>1</v>
      </c>
      <c r="C1169" s="237">
        <v>3</v>
      </c>
      <c r="D1169" s="238" t="s">
        <v>2022</v>
      </c>
      <c r="E1169" s="238" t="s">
        <v>1836</v>
      </c>
      <c r="F1169" s="238" t="s">
        <v>2022</v>
      </c>
      <c r="G1169" s="238" t="s">
        <v>227</v>
      </c>
      <c r="H1169" s="239" t="s">
        <v>2983</v>
      </c>
      <c r="I1169" s="217"/>
      <c r="J1169" s="217"/>
      <c r="K1169" s="217"/>
      <c r="L1169" s="217"/>
      <c r="M1169" s="217"/>
      <c r="N1169" s="217"/>
      <c r="O1169" s="217"/>
      <c r="P1169" s="217"/>
    </row>
    <row r="1170" spans="1:16" s="219" customFormat="1" ht="45" hidden="1" x14ac:dyDescent="0.25">
      <c r="A1170" s="214"/>
      <c r="B1170" s="237">
        <v>1</v>
      </c>
      <c r="C1170" s="237">
        <v>3</v>
      </c>
      <c r="D1170" s="238" t="s">
        <v>2022</v>
      </c>
      <c r="E1170" s="238" t="s">
        <v>1836</v>
      </c>
      <c r="F1170" s="238" t="s">
        <v>2022</v>
      </c>
      <c r="G1170" s="238" t="s">
        <v>230</v>
      </c>
      <c r="H1170" s="239" t="s">
        <v>2984</v>
      </c>
      <c r="I1170" s="217"/>
      <c r="J1170" s="217"/>
      <c r="K1170" s="217"/>
      <c r="L1170" s="217"/>
      <c r="M1170" s="217"/>
      <c r="N1170" s="217"/>
      <c r="O1170" s="217"/>
      <c r="P1170" s="217"/>
    </row>
    <row r="1171" spans="1:16" s="219" customFormat="1" ht="45" hidden="1" x14ac:dyDescent="0.25">
      <c r="A1171" s="214"/>
      <c r="B1171" s="237">
        <v>1</v>
      </c>
      <c r="C1171" s="237">
        <v>3</v>
      </c>
      <c r="D1171" s="238" t="s">
        <v>2022</v>
      </c>
      <c r="E1171" s="238" t="s">
        <v>1836</v>
      </c>
      <c r="F1171" s="238" t="s">
        <v>2022</v>
      </c>
      <c r="G1171" s="238" t="s">
        <v>232</v>
      </c>
      <c r="H1171" s="239" t="s">
        <v>2985</v>
      </c>
      <c r="I1171" s="217"/>
      <c r="J1171" s="217"/>
      <c r="K1171" s="217"/>
      <c r="L1171" s="217"/>
      <c r="M1171" s="217"/>
      <c r="N1171" s="217"/>
      <c r="O1171" s="217"/>
      <c r="P1171" s="217"/>
    </row>
    <row r="1172" spans="1:16" s="219" customFormat="1" ht="45" hidden="1" x14ac:dyDescent="0.25">
      <c r="A1172" s="214"/>
      <c r="B1172" s="237">
        <v>1</v>
      </c>
      <c r="C1172" s="237">
        <v>3</v>
      </c>
      <c r="D1172" s="238" t="s">
        <v>2022</v>
      </c>
      <c r="E1172" s="238" t="s">
        <v>1836</v>
      </c>
      <c r="F1172" s="238" t="s">
        <v>2022</v>
      </c>
      <c r="G1172" s="238" t="s">
        <v>234</v>
      </c>
      <c r="H1172" s="239" t="s">
        <v>2986</v>
      </c>
      <c r="I1172" s="217"/>
      <c r="J1172" s="217"/>
      <c r="K1172" s="217"/>
      <c r="L1172" s="217"/>
      <c r="M1172" s="217"/>
      <c r="N1172" s="217"/>
      <c r="O1172" s="217"/>
      <c r="P1172" s="217"/>
    </row>
    <row r="1173" spans="1:16" s="219" customFormat="1" ht="45" hidden="1" x14ac:dyDescent="0.25">
      <c r="A1173" s="214"/>
      <c r="B1173" s="237">
        <v>1</v>
      </c>
      <c r="C1173" s="237">
        <v>3</v>
      </c>
      <c r="D1173" s="238" t="s">
        <v>2022</v>
      </c>
      <c r="E1173" s="238" t="s">
        <v>1836</v>
      </c>
      <c r="F1173" s="238" t="s">
        <v>2022</v>
      </c>
      <c r="G1173" s="238" t="s">
        <v>236</v>
      </c>
      <c r="H1173" s="239" t="s">
        <v>2987</v>
      </c>
      <c r="I1173" s="217"/>
      <c r="J1173" s="217"/>
      <c r="K1173" s="217"/>
      <c r="L1173" s="217"/>
      <c r="M1173" s="217"/>
      <c r="N1173" s="217"/>
      <c r="O1173" s="217"/>
      <c r="P1173" s="217"/>
    </row>
    <row r="1174" spans="1:16" s="219" customFormat="1" ht="45" hidden="1" x14ac:dyDescent="0.25">
      <c r="A1174" s="214"/>
      <c r="B1174" s="237">
        <v>1</v>
      </c>
      <c r="C1174" s="237">
        <v>3</v>
      </c>
      <c r="D1174" s="238" t="s">
        <v>2022</v>
      </c>
      <c r="E1174" s="238" t="s">
        <v>1836</v>
      </c>
      <c r="F1174" s="238" t="s">
        <v>2022</v>
      </c>
      <c r="G1174" s="238" t="s">
        <v>238</v>
      </c>
      <c r="H1174" s="239" t="s">
        <v>2988</v>
      </c>
      <c r="I1174" s="217"/>
      <c r="J1174" s="217"/>
      <c r="K1174" s="217"/>
      <c r="L1174" s="217"/>
      <c r="M1174" s="217"/>
      <c r="N1174" s="217"/>
      <c r="O1174" s="217"/>
      <c r="P1174" s="217"/>
    </row>
    <row r="1175" spans="1:16" s="219" customFormat="1" ht="45" hidden="1" x14ac:dyDescent="0.25">
      <c r="A1175" s="214"/>
      <c r="B1175" s="237">
        <v>1</v>
      </c>
      <c r="C1175" s="237">
        <v>3</v>
      </c>
      <c r="D1175" s="238" t="s">
        <v>2022</v>
      </c>
      <c r="E1175" s="238" t="s">
        <v>1836</v>
      </c>
      <c r="F1175" s="238" t="s">
        <v>2022</v>
      </c>
      <c r="G1175" s="238" t="s">
        <v>240</v>
      </c>
      <c r="H1175" s="239" t="s">
        <v>2989</v>
      </c>
      <c r="I1175" s="217"/>
      <c r="J1175" s="217"/>
      <c r="K1175" s="217"/>
      <c r="L1175" s="217"/>
      <c r="M1175" s="217"/>
      <c r="N1175" s="217"/>
      <c r="O1175" s="217"/>
      <c r="P1175" s="217"/>
    </row>
    <row r="1176" spans="1:16" s="219" customFormat="1" ht="45" hidden="1" x14ac:dyDescent="0.25">
      <c r="A1176" s="214"/>
      <c r="B1176" s="237">
        <v>1</v>
      </c>
      <c r="C1176" s="237">
        <v>3</v>
      </c>
      <c r="D1176" s="238" t="s">
        <v>2022</v>
      </c>
      <c r="E1176" s="238" t="s">
        <v>1836</v>
      </c>
      <c r="F1176" s="238" t="s">
        <v>2022</v>
      </c>
      <c r="G1176" s="238" t="s">
        <v>242</v>
      </c>
      <c r="H1176" s="239" t="s">
        <v>2990</v>
      </c>
      <c r="I1176" s="217"/>
      <c r="J1176" s="217"/>
      <c r="K1176" s="217"/>
      <c r="L1176" s="217"/>
      <c r="M1176" s="217"/>
      <c r="N1176" s="217"/>
      <c r="O1176" s="217"/>
      <c r="P1176" s="217"/>
    </row>
    <row r="1177" spans="1:16" s="219" customFormat="1" ht="45" hidden="1" x14ac:dyDescent="0.25">
      <c r="A1177" s="214"/>
      <c r="B1177" s="237">
        <v>1</v>
      </c>
      <c r="C1177" s="237">
        <v>3</v>
      </c>
      <c r="D1177" s="238" t="s">
        <v>2022</v>
      </c>
      <c r="E1177" s="238" t="s">
        <v>1836</v>
      </c>
      <c r="F1177" s="238" t="s">
        <v>2022</v>
      </c>
      <c r="G1177" s="238" t="s">
        <v>244</v>
      </c>
      <c r="H1177" s="239" t="s">
        <v>2991</v>
      </c>
      <c r="I1177" s="217"/>
      <c r="J1177" s="217"/>
      <c r="K1177" s="217"/>
      <c r="L1177" s="217"/>
      <c r="M1177" s="217"/>
      <c r="N1177" s="217"/>
      <c r="O1177" s="217"/>
      <c r="P1177" s="217"/>
    </row>
    <row r="1178" spans="1:16" s="219" customFormat="1" ht="45" hidden="1" x14ac:dyDescent="0.25">
      <c r="A1178" s="214"/>
      <c r="B1178" s="237">
        <v>1</v>
      </c>
      <c r="C1178" s="237">
        <v>3</v>
      </c>
      <c r="D1178" s="238" t="s">
        <v>2022</v>
      </c>
      <c r="E1178" s="238" t="s">
        <v>1836</v>
      </c>
      <c r="F1178" s="238" t="s">
        <v>2022</v>
      </c>
      <c r="G1178" s="238" t="s">
        <v>246</v>
      </c>
      <c r="H1178" s="239" t="s">
        <v>2992</v>
      </c>
      <c r="I1178" s="217"/>
      <c r="J1178" s="217"/>
      <c r="K1178" s="217"/>
      <c r="L1178" s="217"/>
      <c r="M1178" s="217"/>
      <c r="N1178" s="217"/>
      <c r="O1178" s="217"/>
      <c r="P1178" s="217"/>
    </row>
    <row r="1179" spans="1:16" s="219" customFormat="1" ht="30" hidden="1" x14ac:dyDescent="0.25">
      <c r="A1179" s="214"/>
      <c r="B1179" s="237">
        <v>1</v>
      </c>
      <c r="C1179" s="237">
        <v>3</v>
      </c>
      <c r="D1179" s="238" t="s">
        <v>2022</v>
      </c>
      <c r="E1179" s="238" t="s">
        <v>1836</v>
      </c>
      <c r="F1179" s="238" t="s">
        <v>2022</v>
      </c>
      <c r="G1179" s="238" t="s">
        <v>407</v>
      </c>
      <c r="H1179" s="239" t="s">
        <v>2993</v>
      </c>
      <c r="I1179" s="217"/>
      <c r="J1179" s="217"/>
      <c r="K1179" s="217"/>
      <c r="L1179" s="217"/>
      <c r="M1179" s="217"/>
      <c r="N1179" s="217"/>
      <c r="O1179" s="217"/>
      <c r="P1179" s="217"/>
    </row>
    <row r="1180" spans="1:16" s="219" customFormat="1" ht="45" hidden="1" x14ac:dyDescent="0.25">
      <c r="A1180" s="214"/>
      <c r="B1180" s="237">
        <v>1</v>
      </c>
      <c r="C1180" s="237">
        <v>3</v>
      </c>
      <c r="D1180" s="238" t="s">
        <v>2022</v>
      </c>
      <c r="E1180" s="238" t="s">
        <v>1836</v>
      </c>
      <c r="F1180" s="238" t="s">
        <v>2022</v>
      </c>
      <c r="G1180" s="238" t="s">
        <v>408</v>
      </c>
      <c r="H1180" s="239" t="s">
        <v>2994</v>
      </c>
      <c r="I1180" s="217"/>
      <c r="J1180" s="217"/>
      <c r="K1180" s="217"/>
      <c r="L1180" s="217"/>
      <c r="M1180" s="217"/>
      <c r="N1180" s="217"/>
      <c r="O1180" s="217"/>
      <c r="P1180" s="217"/>
    </row>
    <row r="1181" spans="1:16" s="219" customFormat="1" ht="30" hidden="1" x14ac:dyDescent="0.25">
      <c r="A1181" s="214"/>
      <c r="B1181" s="237">
        <v>1</v>
      </c>
      <c r="C1181" s="237">
        <v>3</v>
      </c>
      <c r="D1181" s="238" t="s">
        <v>2022</v>
      </c>
      <c r="E1181" s="238" t="s">
        <v>1836</v>
      </c>
      <c r="F1181" s="238" t="s">
        <v>2022</v>
      </c>
      <c r="G1181" s="238" t="s">
        <v>409</v>
      </c>
      <c r="H1181" s="239" t="s">
        <v>2995</v>
      </c>
      <c r="I1181" s="217"/>
      <c r="J1181" s="217"/>
      <c r="K1181" s="217"/>
      <c r="L1181" s="217"/>
      <c r="M1181" s="217"/>
      <c r="N1181" s="217"/>
      <c r="O1181" s="217"/>
      <c r="P1181" s="217"/>
    </row>
    <row r="1182" spans="1:16" s="219" customFormat="1" ht="30" hidden="1" x14ac:dyDescent="0.25">
      <c r="A1182" s="214"/>
      <c r="B1182" s="237">
        <v>1</v>
      </c>
      <c r="C1182" s="237">
        <v>3</v>
      </c>
      <c r="D1182" s="238" t="s">
        <v>2022</v>
      </c>
      <c r="E1182" s="238" t="s">
        <v>1836</v>
      </c>
      <c r="F1182" s="238" t="s">
        <v>2022</v>
      </c>
      <c r="G1182" s="238" t="s">
        <v>788</v>
      </c>
      <c r="H1182" s="239" t="s">
        <v>2996</v>
      </c>
      <c r="I1182" s="217"/>
      <c r="J1182" s="217"/>
      <c r="K1182" s="217"/>
      <c r="L1182" s="217"/>
      <c r="M1182" s="217"/>
      <c r="N1182" s="217"/>
      <c r="O1182" s="217"/>
      <c r="P1182" s="217"/>
    </row>
    <row r="1183" spans="1:16" s="219" customFormat="1" ht="45" hidden="1" x14ac:dyDescent="0.25">
      <c r="A1183" s="214"/>
      <c r="B1183" s="237">
        <v>1</v>
      </c>
      <c r="C1183" s="237">
        <v>3</v>
      </c>
      <c r="D1183" s="238" t="s">
        <v>2022</v>
      </c>
      <c r="E1183" s="238" t="s">
        <v>1836</v>
      </c>
      <c r="F1183" s="238" t="s">
        <v>2022</v>
      </c>
      <c r="G1183" s="238" t="s">
        <v>1017</v>
      </c>
      <c r="H1183" s="239" t="s">
        <v>2997</v>
      </c>
      <c r="I1183" s="217"/>
      <c r="J1183" s="217"/>
      <c r="K1183" s="217"/>
      <c r="L1183" s="217"/>
      <c r="M1183" s="217"/>
      <c r="N1183" s="217"/>
      <c r="O1183" s="217"/>
      <c r="P1183" s="217"/>
    </row>
    <row r="1184" spans="1:16" s="219" customFormat="1" ht="45" hidden="1" x14ac:dyDescent="0.25">
      <c r="A1184" s="214"/>
      <c r="B1184" s="237">
        <v>1</v>
      </c>
      <c r="C1184" s="237">
        <v>3</v>
      </c>
      <c r="D1184" s="238" t="s">
        <v>2022</v>
      </c>
      <c r="E1184" s="238" t="s">
        <v>1836</v>
      </c>
      <c r="F1184" s="238" t="s">
        <v>2022</v>
      </c>
      <c r="G1184" s="238" t="s">
        <v>411</v>
      </c>
      <c r="H1184" s="239" t="s">
        <v>2998</v>
      </c>
      <c r="I1184" s="217"/>
      <c r="J1184" s="217"/>
      <c r="K1184" s="217"/>
      <c r="L1184" s="217"/>
      <c r="M1184" s="217"/>
      <c r="N1184" s="217"/>
      <c r="O1184" s="217"/>
      <c r="P1184" s="217"/>
    </row>
    <row r="1185" spans="1:16" s="219" customFormat="1" ht="45" hidden="1" x14ac:dyDescent="0.25">
      <c r="A1185" s="214"/>
      <c r="B1185" s="237">
        <v>1</v>
      </c>
      <c r="C1185" s="237">
        <v>3</v>
      </c>
      <c r="D1185" s="238" t="s">
        <v>2022</v>
      </c>
      <c r="E1185" s="238" t="s">
        <v>1836</v>
      </c>
      <c r="F1185" s="238" t="s">
        <v>2022</v>
      </c>
      <c r="G1185" s="238" t="s">
        <v>247</v>
      </c>
      <c r="H1185" s="239" t="s">
        <v>2999</v>
      </c>
      <c r="I1185" s="217"/>
      <c r="J1185" s="217"/>
      <c r="K1185" s="217"/>
      <c r="L1185" s="217"/>
      <c r="M1185" s="217"/>
      <c r="N1185" s="217"/>
      <c r="O1185" s="217"/>
      <c r="P1185" s="217"/>
    </row>
    <row r="1186" spans="1:16" s="219" customFormat="1" ht="45" hidden="1" x14ac:dyDescent="0.25">
      <c r="A1186" s="214"/>
      <c r="B1186" s="237">
        <v>1</v>
      </c>
      <c r="C1186" s="237">
        <v>3</v>
      </c>
      <c r="D1186" s="238" t="s">
        <v>2022</v>
      </c>
      <c r="E1186" s="238" t="s">
        <v>1836</v>
      </c>
      <c r="F1186" s="238" t="s">
        <v>2022</v>
      </c>
      <c r="G1186" s="238" t="s">
        <v>1019</v>
      </c>
      <c r="H1186" s="239" t="s">
        <v>3000</v>
      </c>
      <c r="I1186" s="217"/>
      <c r="J1186" s="217"/>
      <c r="K1186" s="217"/>
      <c r="L1186" s="217"/>
      <c r="M1186" s="217"/>
      <c r="N1186" s="217"/>
      <c r="O1186" s="217"/>
      <c r="P1186" s="217"/>
    </row>
    <row r="1187" spans="1:16" s="219" customFormat="1" ht="45" hidden="1" x14ac:dyDescent="0.25">
      <c r="A1187" s="214"/>
      <c r="B1187" s="237">
        <v>1</v>
      </c>
      <c r="C1187" s="237">
        <v>3</v>
      </c>
      <c r="D1187" s="238" t="s">
        <v>2022</v>
      </c>
      <c r="E1187" s="238" t="s">
        <v>1836</v>
      </c>
      <c r="F1187" s="238" t="s">
        <v>2022</v>
      </c>
      <c r="G1187" s="238" t="s">
        <v>1022</v>
      </c>
      <c r="H1187" s="239" t="s">
        <v>3001</v>
      </c>
      <c r="I1187" s="217"/>
      <c r="J1187" s="217"/>
      <c r="K1187" s="217"/>
      <c r="L1187" s="217"/>
      <c r="M1187" s="217"/>
      <c r="N1187" s="217"/>
      <c r="O1187" s="217"/>
      <c r="P1187" s="217"/>
    </row>
    <row r="1188" spans="1:16" s="219" customFormat="1" ht="45" hidden="1" x14ac:dyDescent="0.25">
      <c r="A1188" s="214"/>
      <c r="B1188" s="237">
        <v>1</v>
      </c>
      <c r="C1188" s="237">
        <v>3</v>
      </c>
      <c r="D1188" s="238" t="s">
        <v>2022</v>
      </c>
      <c r="E1188" s="238" t="s">
        <v>1836</v>
      </c>
      <c r="F1188" s="238" t="s">
        <v>2022</v>
      </c>
      <c r="G1188" s="238" t="s">
        <v>1024</v>
      </c>
      <c r="H1188" s="239" t="s">
        <v>3002</v>
      </c>
      <c r="I1188" s="217"/>
      <c r="J1188" s="217"/>
      <c r="K1188" s="217"/>
      <c r="L1188" s="217"/>
      <c r="M1188" s="217"/>
      <c r="N1188" s="217"/>
      <c r="O1188" s="217"/>
      <c r="P1188" s="217"/>
    </row>
    <row r="1189" spans="1:16" s="219" customFormat="1" ht="45" hidden="1" x14ac:dyDescent="0.25">
      <c r="A1189" s="214"/>
      <c r="B1189" s="237">
        <v>1</v>
      </c>
      <c r="C1189" s="237">
        <v>3</v>
      </c>
      <c r="D1189" s="238" t="s">
        <v>2022</v>
      </c>
      <c r="E1189" s="238" t="s">
        <v>1836</v>
      </c>
      <c r="F1189" s="238" t="s">
        <v>2022</v>
      </c>
      <c r="G1189" s="238" t="s">
        <v>1026</v>
      </c>
      <c r="H1189" s="239" t="s">
        <v>3003</v>
      </c>
      <c r="I1189" s="217"/>
      <c r="J1189" s="217"/>
      <c r="K1189" s="217"/>
      <c r="L1189" s="217"/>
      <c r="M1189" s="217"/>
      <c r="N1189" s="217"/>
      <c r="O1189" s="217"/>
      <c r="P1189" s="217"/>
    </row>
    <row r="1190" spans="1:16" s="219" customFormat="1" ht="45" hidden="1" x14ac:dyDescent="0.25">
      <c r="A1190" s="214"/>
      <c r="B1190" s="237">
        <v>1</v>
      </c>
      <c r="C1190" s="237">
        <v>3</v>
      </c>
      <c r="D1190" s="238" t="s">
        <v>2022</v>
      </c>
      <c r="E1190" s="238" t="s">
        <v>1836</v>
      </c>
      <c r="F1190" s="238" t="s">
        <v>2022</v>
      </c>
      <c r="G1190" s="238" t="s">
        <v>416</v>
      </c>
      <c r="H1190" s="239" t="s">
        <v>3004</v>
      </c>
      <c r="I1190" s="217"/>
      <c r="J1190" s="217"/>
      <c r="K1190" s="217"/>
      <c r="L1190" s="217"/>
      <c r="M1190" s="217"/>
      <c r="N1190" s="217"/>
      <c r="O1190" s="217"/>
      <c r="P1190" s="217"/>
    </row>
    <row r="1191" spans="1:16" s="219" customFormat="1" ht="45" hidden="1" x14ac:dyDescent="0.25">
      <c r="A1191" s="214"/>
      <c r="B1191" s="237">
        <v>1</v>
      </c>
      <c r="C1191" s="237">
        <v>3</v>
      </c>
      <c r="D1191" s="238" t="s">
        <v>2022</v>
      </c>
      <c r="E1191" s="238" t="s">
        <v>1836</v>
      </c>
      <c r="F1191" s="238" t="s">
        <v>2022</v>
      </c>
      <c r="G1191" s="238" t="s">
        <v>417</v>
      </c>
      <c r="H1191" s="239" t="s">
        <v>3005</v>
      </c>
      <c r="I1191" s="217"/>
      <c r="J1191" s="217"/>
      <c r="K1191" s="217"/>
      <c r="L1191" s="217"/>
      <c r="M1191" s="217"/>
      <c r="N1191" s="217"/>
      <c r="O1191" s="217"/>
      <c r="P1191" s="217"/>
    </row>
    <row r="1192" spans="1:16" s="219" customFormat="1" ht="45" hidden="1" x14ac:dyDescent="0.25">
      <c r="A1192" s="214"/>
      <c r="B1192" s="237">
        <v>1</v>
      </c>
      <c r="C1192" s="237">
        <v>3</v>
      </c>
      <c r="D1192" s="238" t="s">
        <v>2022</v>
      </c>
      <c r="E1192" s="238" t="s">
        <v>1836</v>
      </c>
      <c r="F1192" s="238" t="s">
        <v>2022</v>
      </c>
      <c r="G1192" s="238" t="s">
        <v>1028</v>
      </c>
      <c r="H1192" s="239" t="s">
        <v>3006</v>
      </c>
      <c r="I1192" s="217"/>
      <c r="J1192" s="217"/>
      <c r="K1192" s="217"/>
      <c r="L1192" s="217"/>
      <c r="M1192" s="217"/>
      <c r="N1192" s="217"/>
      <c r="O1192" s="217"/>
      <c r="P1192" s="217"/>
    </row>
    <row r="1193" spans="1:16" s="219" customFormat="1" ht="45" hidden="1" x14ac:dyDescent="0.25">
      <c r="A1193" s="214"/>
      <c r="B1193" s="237">
        <v>1</v>
      </c>
      <c r="C1193" s="237">
        <v>3</v>
      </c>
      <c r="D1193" s="238" t="s">
        <v>2022</v>
      </c>
      <c r="E1193" s="238" t="s">
        <v>1836</v>
      </c>
      <c r="F1193" s="238" t="s">
        <v>2022</v>
      </c>
      <c r="G1193" s="238" t="s">
        <v>1029</v>
      </c>
      <c r="H1193" s="239" t="s">
        <v>3007</v>
      </c>
      <c r="I1193" s="217"/>
      <c r="J1193" s="217"/>
      <c r="K1193" s="217"/>
      <c r="L1193" s="217"/>
      <c r="M1193" s="217"/>
      <c r="N1193" s="217"/>
      <c r="O1193" s="217"/>
      <c r="P1193" s="217"/>
    </row>
    <row r="1194" spans="1:16" s="219" customFormat="1" ht="45" hidden="1" x14ac:dyDescent="0.25">
      <c r="A1194" s="214"/>
      <c r="B1194" s="237">
        <v>1</v>
      </c>
      <c r="C1194" s="237">
        <v>3</v>
      </c>
      <c r="D1194" s="238" t="s">
        <v>2022</v>
      </c>
      <c r="E1194" s="238" t="s">
        <v>1836</v>
      </c>
      <c r="F1194" s="238" t="s">
        <v>2022</v>
      </c>
      <c r="G1194" s="238" t="s">
        <v>1030</v>
      </c>
      <c r="H1194" s="239" t="s">
        <v>3008</v>
      </c>
      <c r="I1194" s="217"/>
      <c r="J1194" s="217"/>
      <c r="K1194" s="217"/>
      <c r="L1194" s="217"/>
      <c r="M1194" s="217"/>
      <c r="N1194" s="217"/>
      <c r="O1194" s="217"/>
      <c r="P1194" s="217"/>
    </row>
    <row r="1195" spans="1:16" s="219" customFormat="1" ht="45" hidden="1" x14ac:dyDescent="0.25">
      <c r="A1195" s="214"/>
      <c r="B1195" s="237">
        <v>1</v>
      </c>
      <c r="C1195" s="237">
        <v>3</v>
      </c>
      <c r="D1195" s="238" t="s">
        <v>2022</v>
      </c>
      <c r="E1195" s="238" t="s">
        <v>1836</v>
      </c>
      <c r="F1195" s="238" t="s">
        <v>2022</v>
      </c>
      <c r="G1195" s="238" t="s">
        <v>1032</v>
      </c>
      <c r="H1195" s="239" t="s">
        <v>3009</v>
      </c>
      <c r="I1195" s="217"/>
      <c r="J1195" s="217"/>
      <c r="K1195" s="217"/>
      <c r="L1195" s="217"/>
      <c r="M1195" s="217"/>
      <c r="N1195" s="217"/>
      <c r="O1195" s="217"/>
      <c r="P1195" s="217"/>
    </row>
    <row r="1196" spans="1:16" s="219" customFormat="1" ht="45" hidden="1" x14ac:dyDescent="0.25">
      <c r="A1196" s="214"/>
      <c r="B1196" s="237">
        <v>1</v>
      </c>
      <c r="C1196" s="237">
        <v>3</v>
      </c>
      <c r="D1196" s="238" t="s">
        <v>2022</v>
      </c>
      <c r="E1196" s="238" t="s">
        <v>1836</v>
      </c>
      <c r="F1196" s="238" t="s">
        <v>2022</v>
      </c>
      <c r="G1196" s="238" t="s">
        <v>1212</v>
      </c>
      <c r="H1196" s="239" t="s">
        <v>3010</v>
      </c>
      <c r="I1196" s="217"/>
      <c r="J1196" s="217"/>
      <c r="K1196" s="217"/>
      <c r="L1196" s="217"/>
      <c r="M1196" s="217"/>
      <c r="N1196" s="217"/>
      <c r="O1196" s="217"/>
      <c r="P1196" s="217"/>
    </row>
    <row r="1197" spans="1:16" s="219" customFormat="1" ht="45" hidden="1" x14ac:dyDescent="0.25">
      <c r="A1197" s="214"/>
      <c r="B1197" s="237">
        <v>1</v>
      </c>
      <c r="C1197" s="237">
        <v>3</v>
      </c>
      <c r="D1197" s="238" t="s">
        <v>2022</v>
      </c>
      <c r="E1197" s="238" t="s">
        <v>1836</v>
      </c>
      <c r="F1197" s="238" t="s">
        <v>2022</v>
      </c>
      <c r="G1197" s="238" t="s">
        <v>791</v>
      </c>
      <c r="H1197" s="239" t="s">
        <v>3011</v>
      </c>
      <c r="I1197" s="217"/>
      <c r="J1197" s="217"/>
      <c r="K1197" s="217"/>
      <c r="L1197" s="217"/>
      <c r="M1197" s="217"/>
      <c r="N1197" s="217"/>
      <c r="O1197" s="217"/>
      <c r="P1197" s="217"/>
    </row>
    <row r="1198" spans="1:16" s="219" customFormat="1" ht="45" hidden="1" x14ac:dyDescent="0.25">
      <c r="A1198" s="214"/>
      <c r="B1198" s="237">
        <v>1</v>
      </c>
      <c r="C1198" s="237">
        <v>3</v>
      </c>
      <c r="D1198" s="238" t="s">
        <v>2022</v>
      </c>
      <c r="E1198" s="238" t="s">
        <v>1836</v>
      </c>
      <c r="F1198" s="238" t="s">
        <v>2022</v>
      </c>
      <c r="G1198" s="238" t="s">
        <v>420</v>
      </c>
      <c r="H1198" s="239" t="s">
        <v>3012</v>
      </c>
      <c r="I1198" s="217"/>
      <c r="J1198" s="217"/>
      <c r="K1198" s="217"/>
      <c r="L1198" s="217"/>
      <c r="M1198" s="217"/>
      <c r="N1198" s="217"/>
      <c r="O1198" s="217"/>
      <c r="P1198" s="217"/>
    </row>
    <row r="1199" spans="1:16" s="219" customFormat="1" ht="60" hidden="1" x14ac:dyDescent="0.25">
      <c r="A1199" s="214"/>
      <c r="B1199" s="237">
        <v>1</v>
      </c>
      <c r="C1199" s="237">
        <v>3</v>
      </c>
      <c r="D1199" s="238" t="s">
        <v>2022</v>
      </c>
      <c r="E1199" s="238" t="s">
        <v>1836</v>
      </c>
      <c r="F1199" s="238" t="s">
        <v>2022</v>
      </c>
      <c r="G1199" s="238" t="s">
        <v>1224</v>
      </c>
      <c r="H1199" s="239" t="s">
        <v>3013</v>
      </c>
      <c r="I1199" s="217"/>
      <c r="J1199" s="217"/>
      <c r="K1199" s="217"/>
      <c r="L1199" s="217"/>
      <c r="M1199" s="217"/>
      <c r="N1199" s="217"/>
      <c r="O1199" s="217"/>
      <c r="P1199" s="217"/>
    </row>
    <row r="1200" spans="1:16" s="219" customFormat="1" ht="45" hidden="1" x14ac:dyDescent="0.25">
      <c r="A1200" s="214"/>
      <c r="B1200" s="237">
        <v>1</v>
      </c>
      <c r="C1200" s="237">
        <v>3</v>
      </c>
      <c r="D1200" s="238" t="s">
        <v>2022</v>
      </c>
      <c r="E1200" s="238" t="s">
        <v>1836</v>
      </c>
      <c r="F1200" s="238" t="s">
        <v>2022</v>
      </c>
      <c r="G1200" s="238" t="s">
        <v>1226</v>
      </c>
      <c r="H1200" s="239" t="s">
        <v>3014</v>
      </c>
      <c r="I1200" s="217"/>
      <c r="J1200" s="217"/>
      <c r="K1200" s="217"/>
      <c r="L1200" s="217"/>
      <c r="M1200" s="217"/>
      <c r="N1200" s="217"/>
      <c r="O1200" s="217"/>
      <c r="P1200" s="217"/>
    </row>
    <row r="1201" spans="1:16" s="219" customFormat="1" ht="45" hidden="1" x14ac:dyDescent="0.25">
      <c r="A1201" s="214"/>
      <c r="B1201" s="237">
        <v>1</v>
      </c>
      <c r="C1201" s="237">
        <v>3</v>
      </c>
      <c r="D1201" s="238" t="s">
        <v>2022</v>
      </c>
      <c r="E1201" s="238" t="s">
        <v>1836</v>
      </c>
      <c r="F1201" s="238" t="s">
        <v>2022</v>
      </c>
      <c r="G1201" s="238" t="s">
        <v>2198</v>
      </c>
      <c r="H1201" s="239" t="s">
        <v>3015</v>
      </c>
      <c r="I1201" s="217"/>
      <c r="J1201" s="217"/>
      <c r="K1201" s="217"/>
      <c r="L1201" s="217"/>
      <c r="M1201" s="217"/>
      <c r="N1201" s="217"/>
      <c r="O1201" s="217"/>
      <c r="P1201" s="217"/>
    </row>
    <row r="1202" spans="1:16" s="219" customFormat="1" ht="45" hidden="1" x14ac:dyDescent="0.25">
      <c r="A1202" s="214"/>
      <c r="B1202" s="237">
        <v>1</v>
      </c>
      <c r="C1202" s="237">
        <v>3</v>
      </c>
      <c r="D1202" s="238" t="s">
        <v>2022</v>
      </c>
      <c r="E1202" s="238" t="s">
        <v>1836</v>
      </c>
      <c r="F1202" s="238" t="s">
        <v>2022</v>
      </c>
      <c r="G1202" s="238" t="s">
        <v>422</v>
      </c>
      <c r="H1202" s="239" t="s">
        <v>3016</v>
      </c>
      <c r="I1202" s="217"/>
      <c r="J1202" s="217"/>
      <c r="K1202" s="217"/>
      <c r="L1202" s="217"/>
      <c r="M1202" s="217"/>
      <c r="N1202" s="217"/>
      <c r="O1202" s="217"/>
      <c r="P1202" s="217"/>
    </row>
    <row r="1203" spans="1:16" s="219" customFormat="1" ht="60" hidden="1" x14ac:dyDescent="0.25">
      <c r="A1203" s="214"/>
      <c r="B1203" s="237">
        <v>1</v>
      </c>
      <c r="C1203" s="237">
        <v>3</v>
      </c>
      <c r="D1203" s="238" t="s">
        <v>2022</v>
      </c>
      <c r="E1203" s="238" t="s">
        <v>1836</v>
      </c>
      <c r="F1203" s="238" t="s">
        <v>2022</v>
      </c>
      <c r="G1203" s="238" t="s">
        <v>423</v>
      </c>
      <c r="H1203" s="239" t="s">
        <v>3017</v>
      </c>
      <c r="I1203" s="217"/>
      <c r="J1203" s="217"/>
      <c r="K1203" s="217"/>
      <c r="L1203" s="217"/>
      <c r="M1203" s="217"/>
      <c r="N1203" s="217"/>
      <c r="O1203" s="217"/>
      <c r="P1203" s="217"/>
    </row>
    <row r="1204" spans="1:16" s="219" customFormat="1" ht="60" hidden="1" x14ac:dyDescent="0.25">
      <c r="A1204" s="214"/>
      <c r="B1204" s="237">
        <v>1</v>
      </c>
      <c r="C1204" s="237">
        <v>3</v>
      </c>
      <c r="D1204" s="238" t="s">
        <v>2022</v>
      </c>
      <c r="E1204" s="238" t="s">
        <v>1836</v>
      </c>
      <c r="F1204" s="238" t="s">
        <v>2022</v>
      </c>
      <c r="G1204" s="238" t="s">
        <v>575</v>
      </c>
      <c r="H1204" s="239" t="s">
        <v>3018</v>
      </c>
      <c r="I1204" s="217"/>
      <c r="J1204" s="217"/>
      <c r="K1204" s="217"/>
      <c r="L1204" s="217"/>
      <c r="M1204" s="217"/>
      <c r="N1204" s="217"/>
      <c r="O1204" s="217"/>
      <c r="P1204" s="217"/>
    </row>
    <row r="1205" spans="1:16" s="219" customFormat="1" ht="60" hidden="1" x14ac:dyDescent="0.25">
      <c r="A1205" s="214"/>
      <c r="B1205" s="237">
        <v>1</v>
      </c>
      <c r="C1205" s="237">
        <v>3</v>
      </c>
      <c r="D1205" s="238" t="s">
        <v>2022</v>
      </c>
      <c r="E1205" s="238" t="s">
        <v>1836</v>
      </c>
      <c r="F1205" s="238" t="s">
        <v>2022</v>
      </c>
      <c r="G1205" s="238" t="s">
        <v>576</v>
      </c>
      <c r="H1205" s="239" t="s">
        <v>3019</v>
      </c>
      <c r="I1205" s="217"/>
      <c r="J1205" s="217"/>
      <c r="K1205" s="217"/>
      <c r="L1205" s="217"/>
      <c r="M1205" s="217"/>
      <c r="N1205" s="217"/>
      <c r="O1205" s="217"/>
      <c r="P1205" s="217"/>
    </row>
    <row r="1206" spans="1:16" s="219" customFormat="1" ht="45" hidden="1" x14ac:dyDescent="0.25">
      <c r="A1206" s="214"/>
      <c r="B1206" s="237">
        <v>1</v>
      </c>
      <c r="C1206" s="237">
        <v>3</v>
      </c>
      <c r="D1206" s="238" t="s">
        <v>2022</v>
      </c>
      <c r="E1206" s="238" t="s">
        <v>1836</v>
      </c>
      <c r="F1206" s="238" t="s">
        <v>2022</v>
      </c>
      <c r="G1206" s="238" t="s">
        <v>577</v>
      </c>
      <c r="H1206" s="239" t="s">
        <v>3020</v>
      </c>
      <c r="I1206" s="217"/>
      <c r="J1206" s="217"/>
      <c r="K1206" s="217"/>
      <c r="L1206" s="217"/>
      <c r="M1206" s="217"/>
      <c r="N1206" s="217"/>
      <c r="O1206" s="217"/>
      <c r="P1206" s="217"/>
    </row>
    <row r="1207" spans="1:16" s="219" customFormat="1" ht="30" hidden="1" x14ac:dyDescent="0.25">
      <c r="A1207" s="214"/>
      <c r="B1207" s="237">
        <v>1</v>
      </c>
      <c r="C1207" s="237">
        <v>3</v>
      </c>
      <c r="D1207" s="238" t="s">
        <v>2022</v>
      </c>
      <c r="E1207" s="238" t="s">
        <v>1836</v>
      </c>
      <c r="F1207" s="238" t="s">
        <v>2022</v>
      </c>
      <c r="G1207" s="238" t="s">
        <v>2205</v>
      </c>
      <c r="H1207" s="239" t="s">
        <v>3021</v>
      </c>
      <c r="I1207" s="217"/>
      <c r="J1207" s="217"/>
      <c r="K1207" s="217"/>
      <c r="L1207" s="217"/>
      <c r="M1207" s="217"/>
      <c r="N1207" s="217"/>
      <c r="O1207" s="217"/>
      <c r="P1207" s="217"/>
    </row>
    <row r="1208" spans="1:16" s="219" customFormat="1" ht="45" hidden="1" x14ac:dyDescent="0.25">
      <c r="A1208" s="214"/>
      <c r="B1208" s="237">
        <v>1</v>
      </c>
      <c r="C1208" s="237">
        <v>3</v>
      </c>
      <c r="D1208" s="238" t="s">
        <v>2022</v>
      </c>
      <c r="E1208" s="238" t="s">
        <v>1836</v>
      </c>
      <c r="F1208" s="238" t="s">
        <v>2022</v>
      </c>
      <c r="G1208" s="238" t="s">
        <v>3022</v>
      </c>
      <c r="H1208" s="239" t="s">
        <v>3023</v>
      </c>
      <c r="I1208" s="217"/>
      <c r="J1208" s="217"/>
      <c r="K1208" s="217"/>
      <c r="L1208" s="217"/>
      <c r="M1208" s="217"/>
      <c r="N1208" s="217"/>
      <c r="O1208" s="217"/>
      <c r="P1208" s="217"/>
    </row>
    <row r="1209" spans="1:16" s="219" customFormat="1" ht="60" hidden="1" x14ac:dyDescent="0.25">
      <c r="A1209" s="214"/>
      <c r="B1209" s="237">
        <v>1</v>
      </c>
      <c r="C1209" s="237">
        <v>3</v>
      </c>
      <c r="D1209" s="238" t="s">
        <v>2022</v>
      </c>
      <c r="E1209" s="238" t="s">
        <v>1836</v>
      </c>
      <c r="F1209" s="238" t="s">
        <v>2022</v>
      </c>
      <c r="G1209" s="238" t="s">
        <v>427</v>
      </c>
      <c r="H1209" s="239" t="s">
        <v>3024</v>
      </c>
      <c r="I1209" s="217"/>
      <c r="J1209" s="217"/>
      <c r="K1209" s="217"/>
      <c r="L1209" s="217"/>
      <c r="M1209" s="217"/>
      <c r="N1209" s="217"/>
      <c r="O1209" s="217"/>
      <c r="P1209" s="217"/>
    </row>
    <row r="1210" spans="1:16" s="219" customFormat="1" ht="45" hidden="1" x14ac:dyDescent="0.25">
      <c r="A1210" s="214"/>
      <c r="B1210" s="237">
        <v>1</v>
      </c>
      <c r="C1210" s="237">
        <v>3</v>
      </c>
      <c r="D1210" s="238" t="s">
        <v>2022</v>
      </c>
      <c r="E1210" s="238" t="s">
        <v>1836</v>
      </c>
      <c r="F1210" s="238" t="s">
        <v>2022</v>
      </c>
      <c r="G1210" s="238" t="s">
        <v>428</v>
      </c>
      <c r="H1210" s="239" t="s">
        <v>3025</v>
      </c>
      <c r="I1210" s="217"/>
      <c r="J1210" s="217"/>
      <c r="K1210" s="217"/>
      <c r="L1210" s="217"/>
      <c r="M1210" s="217"/>
      <c r="N1210" s="217"/>
      <c r="O1210" s="217"/>
      <c r="P1210" s="217"/>
    </row>
    <row r="1211" spans="1:16" s="219" customFormat="1" ht="45" hidden="1" x14ac:dyDescent="0.25">
      <c r="A1211" s="214"/>
      <c r="B1211" s="237">
        <v>1</v>
      </c>
      <c r="C1211" s="237">
        <v>3</v>
      </c>
      <c r="D1211" s="238" t="s">
        <v>2022</v>
      </c>
      <c r="E1211" s="238" t="s">
        <v>1836</v>
      </c>
      <c r="F1211" s="238" t="s">
        <v>2022</v>
      </c>
      <c r="G1211" s="238" t="s">
        <v>429</v>
      </c>
      <c r="H1211" s="239" t="s">
        <v>3026</v>
      </c>
      <c r="I1211" s="217"/>
      <c r="J1211" s="217"/>
      <c r="K1211" s="217"/>
      <c r="L1211" s="217"/>
      <c r="M1211" s="217"/>
      <c r="N1211" s="217"/>
      <c r="O1211" s="217"/>
      <c r="P1211" s="217"/>
    </row>
    <row r="1212" spans="1:16" s="219" customFormat="1" ht="30" hidden="1" x14ac:dyDescent="0.25">
      <c r="A1212" s="214"/>
      <c r="B1212" s="237">
        <v>1</v>
      </c>
      <c r="C1212" s="237">
        <v>3</v>
      </c>
      <c r="D1212" s="238" t="s">
        <v>2022</v>
      </c>
      <c r="E1212" s="238" t="s">
        <v>1836</v>
      </c>
      <c r="F1212" s="238" t="s">
        <v>2022</v>
      </c>
      <c r="G1212" s="238" t="s">
        <v>431</v>
      </c>
      <c r="H1212" s="239" t="s">
        <v>3027</v>
      </c>
      <c r="I1212" s="217"/>
      <c r="J1212" s="217"/>
      <c r="K1212" s="217"/>
      <c r="L1212" s="217"/>
      <c r="M1212" s="217"/>
      <c r="N1212" s="217"/>
      <c r="O1212" s="217"/>
      <c r="P1212" s="217"/>
    </row>
    <row r="1213" spans="1:16" s="219" customFormat="1" ht="45" hidden="1" x14ac:dyDescent="0.25">
      <c r="A1213" s="214"/>
      <c r="B1213" s="237">
        <v>1</v>
      </c>
      <c r="C1213" s="237">
        <v>3</v>
      </c>
      <c r="D1213" s="238" t="s">
        <v>2022</v>
      </c>
      <c r="E1213" s="238" t="s">
        <v>1836</v>
      </c>
      <c r="F1213" s="238" t="s">
        <v>2022</v>
      </c>
      <c r="G1213" s="238" t="s">
        <v>432</v>
      </c>
      <c r="H1213" s="239" t="s">
        <v>3028</v>
      </c>
      <c r="I1213" s="217"/>
      <c r="J1213" s="217"/>
      <c r="K1213" s="217"/>
      <c r="L1213" s="217"/>
      <c r="M1213" s="217"/>
      <c r="N1213" s="217"/>
      <c r="O1213" s="217"/>
      <c r="P1213" s="217"/>
    </row>
    <row r="1214" spans="1:16" s="219" customFormat="1" ht="60" hidden="1" x14ac:dyDescent="0.25">
      <c r="A1214" s="214"/>
      <c r="B1214" s="237">
        <v>1</v>
      </c>
      <c r="C1214" s="237">
        <v>3</v>
      </c>
      <c r="D1214" s="238" t="s">
        <v>2022</v>
      </c>
      <c r="E1214" s="238" t="s">
        <v>1836</v>
      </c>
      <c r="F1214" s="238" t="s">
        <v>2022</v>
      </c>
      <c r="G1214" s="238" t="s">
        <v>435</v>
      </c>
      <c r="H1214" s="239" t="s">
        <v>3029</v>
      </c>
      <c r="I1214" s="217"/>
      <c r="J1214" s="217"/>
      <c r="K1214" s="217"/>
      <c r="L1214" s="217"/>
      <c r="M1214" s="217"/>
      <c r="N1214" s="217"/>
      <c r="O1214" s="217"/>
      <c r="P1214" s="217"/>
    </row>
    <row r="1215" spans="1:16" s="219" customFormat="1" ht="60" hidden="1" x14ac:dyDescent="0.25">
      <c r="A1215" s="214"/>
      <c r="B1215" s="237">
        <v>1</v>
      </c>
      <c r="C1215" s="237">
        <v>3</v>
      </c>
      <c r="D1215" s="238" t="s">
        <v>2022</v>
      </c>
      <c r="E1215" s="238" t="s">
        <v>1836</v>
      </c>
      <c r="F1215" s="238" t="s">
        <v>2022</v>
      </c>
      <c r="G1215" s="238" t="s">
        <v>436</v>
      </c>
      <c r="H1215" s="239" t="s">
        <v>3030</v>
      </c>
      <c r="I1215" s="217"/>
      <c r="J1215" s="217"/>
      <c r="K1215" s="217"/>
      <c r="L1215" s="217"/>
      <c r="M1215" s="217"/>
      <c r="N1215" s="217"/>
      <c r="O1215" s="217"/>
      <c r="P1215" s="217"/>
    </row>
    <row r="1216" spans="1:16" s="213" customFormat="1" ht="30" hidden="1" x14ac:dyDescent="0.25">
      <c r="A1216" s="208" t="s">
        <v>263</v>
      </c>
      <c r="B1216" s="234">
        <v>1</v>
      </c>
      <c r="C1216" s="234">
        <v>3</v>
      </c>
      <c r="D1216" s="235" t="s">
        <v>2022</v>
      </c>
      <c r="E1216" s="235" t="s">
        <v>1836</v>
      </c>
      <c r="F1216" s="235" t="s">
        <v>2100</v>
      </c>
      <c r="G1216" s="234"/>
      <c r="H1216" s="236" t="s">
        <v>3031</v>
      </c>
      <c r="I1216" s="211">
        <f>SUM(I1217:I1250)</f>
        <v>0</v>
      </c>
      <c r="J1216" s="211">
        <f t="shared" ref="J1216:P1216" si="161">SUM(J1217:J1250)</f>
        <v>0</v>
      </c>
      <c r="K1216" s="211">
        <f t="shared" si="161"/>
        <v>0</v>
      </c>
      <c r="L1216" s="211">
        <f t="shared" si="161"/>
        <v>0</v>
      </c>
      <c r="M1216" s="211">
        <f t="shared" si="161"/>
        <v>0</v>
      </c>
      <c r="N1216" s="211">
        <f t="shared" si="161"/>
        <v>0</v>
      </c>
      <c r="O1216" s="211">
        <f t="shared" si="161"/>
        <v>0</v>
      </c>
      <c r="P1216" s="211">
        <f t="shared" si="161"/>
        <v>0</v>
      </c>
    </row>
    <row r="1217" spans="1:16" s="219" customFormat="1" ht="30" hidden="1" x14ac:dyDescent="0.25">
      <c r="A1217" s="214"/>
      <c r="B1217" s="237">
        <v>1</v>
      </c>
      <c r="C1217" s="237">
        <v>3</v>
      </c>
      <c r="D1217" s="238" t="s">
        <v>2022</v>
      </c>
      <c r="E1217" s="238" t="s">
        <v>1836</v>
      </c>
      <c r="F1217" s="238" t="s">
        <v>2100</v>
      </c>
      <c r="G1217" s="238" t="s">
        <v>58</v>
      </c>
      <c r="H1217" s="239" t="s">
        <v>3032</v>
      </c>
      <c r="I1217" s="217"/>
      <c r="J1217" s="217"/>
      <c r="K1217" s="217"/>
      <c r="L1217" s="217"/>
      <c r="M1217" s="217"/>
      <c r="N1217" s="217"/>
      <c r="O1217" s="217"/>
      <c r="P1217" s="217"/>
    </row>
    <row r="1218" spans="1:16" s="219" customFormat="1" ht="30" hidden="1" x14ac:dyDescent="0.25">
      <c r="A1218" s="214"/>
      <c r="B1218" s="237">
        <v>1</v>
      </c>
      <c r="C1218" s="237">
        <v>3</v>
      </c>
      <c r="D1218" s="238" t="s">
        <v>2022</v>
      </c>
      <c r="E1218" s="238" t="s">
        <v>1836</v>
      </c>
      <c r="F1218" s="238" t="s">
        <v>2100</v>
      </c>
      <c r="G1218" s="238" t="s">
        <v>75</v>
      </c>
      <c r="H1218" s="239" t="s">
        <v>3033</v>
      </c>
      <c r="I1218" s="217"/>
      <c r="J1218" s="217"/>
      <c r="K1218" s="217"/>
      <c r="L1218" s="217"/>
      <c r="M1218" s="217"/>
      <c r="N1218" s="217"/>
      <c r="O1218" s="217"/>
      <c r="P1218" s="217"/>
    </row>
    <row r="1219" spans="1:16" s="219" customFormat="1" ht="45" hidden="1" x14ac:dyDescent="0.25">
      <c r="A1219" s="214"/>
      <c r="B1219" s="237">
        <v>1</v>
      </c>
      <c r="C1219" s="237">
        <v>3</v>
      </c>
      <c r="D1219" s="238" t="s">
        <v>2022</v>
      </c>
      <c r="E1219" s="238" t="s">
        <v>1836</v>
      </c>
      <c r="F1219" s="238" t="s">
        <v>2100</v>
      </c>
      <c r="G1219" s="238" t="s">
        <v>79</v>
      </c>
      <c r="H1219" s="239" t="s">
        <v>3034</v>
      </c>
      <c r="I1219" s="217"/>
      <c r="J1219" s="217"/>
      <c r="K1219" s="217"/>
      <c r="L1219" s="217"/>
      <c r="M1219" s="217"/>
      <c r="N1219" s="217"/>
      <c r="O1219" s="217"/>
      <c r="P1219" s="217"/>
    </row>
    <row r="1220" spans="1:16" s="219" customFormat="1" ht="30" hidden="1" x14ac:dyDescent="0.25">
      <c r="A1220" s="214"/>
      <c r="B1220" s="237">
        <v>1</v>
      </c>
      <c r="C1220" s="237">
        <v>3</v>
      </c>
      <c r="D1220" s="238" t="s">
        <v>2022</v>
      </c>
      <c r="E1220" s="238" t="s">
        <v>1836</v>
      </c>
      <c r="F1220" s="238" t="s">
        <v>2100</v>
      </c>
      <c r="G1220" s="238" t="s">
        <v>84</v>
      </c>
      <c r="H1220" s="239" t="s">
        <v>3035</v>
      </c>
      <c r="I1220" s="217"/>
      <c r="J1220" s="217"/>
      <c r="K1220" s="217"/>
      <c r="L1220" s="217"/>
      <c r="M1220" s="217"/>
      <c r="N1220" s="217"/>
      <c r="O1220" s="217"/>
      <c r="P1220" s="217"/>
    </row>
    <row r="1221" spans="1:16" s="219" customFormat="1" ht="45" hidden="1" x14ac:dyDescent="0.25">
      <c r="A1221" s="214"/>
      <c r="B1221" s="237">
        <v>1</v>
      </c>
      <c r="C1221" s="237">
        <v>3</v>
      </c>
      <c r="D1221" s="238" t="s">
        <v>2022</v>
      </c>
      <c r="E1221" s="238" t="s">
        <v>1836</v>
      </c>
      <c r="F1221" s="238" t="s">
        <v>2100</v>
      </c>
      <c r="G1221" s="238" t="s">
        <v>88</v>
      </c>
      <c r="H1221" s="239" t="s">
        <v>3036</v>
      </c>
      <c r="I1221" s="217"/>
      <c r="J1221" s="217"/>
      <c r="K1221" s="217"/>
      <c r="L1221" s="217"/>
      <c r="M1221" s="217"/>
      <c r="N1221" s="217"/>
      <c r="O1221" s="217"/>
      <c r="P1221" s="217"/>
    </row>
    <row r="1222" spans="1:16" s="219" customFormat="1" ht="30" hidden="1" x14ac:dyDescent="0.25">
      <c r="A1222" s="214"/>
      <c r="B1222" s="237">
        <v>1</v>
      </c>
      <c r="C1222" s="237">
        <v>3</v>
      </c>
      <c r="D1222" s="238" t="s">
        <v>2022</v>
      </c>
      <c r="E1222" s="238" t="s">
        <v>1836</v>
      </c>
      <c r="F1222" s="238" t="s">
        <v>2100</v>
      </c>
      <c r="G1222" s="238" t="s">
        <v>92</v>
      </c>
      <c r="H1222" s="239" t="s">
        <v>3037</v>
      </c>
      <c r="I1222" s="217"/>
      <c r="J1222" s="217"/>
      <c r="K1222" s="217"/>
      <c r="L1222" s="217"/>
      <c r="M1222" s="217"/>
      <c r="N1222" s="217"/>
      <c r="O1222" s="217"/>
      <c r="P1222" s="217"/>
    </row>
    <row r="1223" spans="1:16" s="219" customFormat="1" ht="30" hidden="1" x14ac:dyDescent="0.25">
      <c r="A1223" s="214"/>
      <c r="B1223" s="237">
        <v>1</v>
      </c>
      <c r="C1223" s="237">
        <v>3</v>
      </c>
      <c r="D1223" s="238" t="s">
        <v>2022</v>
      </c>
      <c r="E1223" s="238" t="s">
        <v>1836</v>
      </c>
      <c r="F1223" s="238" t="s">
        <v>2100</v>
      </c>
      <c r="G1223" s="238" t="s">
        <v>96</v>
      </c>
      <c r="H1223" s="239" t="s">
        <v>3038</v>
      </c>
      <c r="I1223" s="217"/>
      <c r="J1223" s="217"/>
      <c r="K1223" s="217"/>
      <c r="L1223" s="217"/>
      <c r="M1223" s="217"/>
      <c r="N1223" s="217"/>
      <c r="O1223" s="217"/>
      <c r="P1223" s="217"/>
    </row>
    <row r="1224" spans="1:16" s="219" customFormat="1" ht="45" hidden="1" x14ac:dyDescent="0.25">
      <c r="A1224" s="214"/>
      <c r="B1224" s="237">
        <v>1</v>
      </c>
      <c r="C1224" s="237">
        <v>3</v>
      </c>
      <c r="D1224" s="238" t="s">
        <v>2022</v>
      </c>
      <c r="E1224" s="238" t="s">
        <v>1836</v>
      </c>
      <c r="F1224" s="238" t="s">
        <v>2100</v>
      </c>
      <c r="G1224" s="238" t="s">
        <v>100</v>
      </c>
      <c r="H1224" s="239" t="s">
        <v>3039</v>
      </c>
      <c r="I1224" s="217"/>
      <c r="J1224" s="217"/>
      <c r="K1224" s="217"/>
      <c r="L1224" s="217"/>
      <c r="M1224" s="217"/>
      <c r="N1224" s="217"/>
      <c r="O1224" s="217"/>
      <c r="P1224" s="217"/>
    </row>
    <row r="1225" spans="1:16" s="219" customFormat="1" ht="45" hidden="1" x14ac:dyDescent="0.25">
      <c r="A1225" s="214"/>
      <c r="B1225" s="237">
        <v>1</v>
      </c>
      <c r="C1225" s="237">
        <v>3</v>
      </c>
      <c r="D1225" s="238" t="s">
        <v>2022</v>
      </c>
      <c r="E1225" s="238" t="s">
        <v>1836</v>
      </c>
      <c r="F1225" s="238" t="s">
        <v>2100</v>
      </c>
      <c r="G1225" s="238" t="s">
        <v>105</v>
      </c>
      <c r="H1225" s="239" t="s">
        <v>3040</v>
      </c>
      <c r="I1225" s="217"/>
      <c r="J1225" s="217"/>
      <c r="K1225" s="217"/>
      <c r="L1225" s="217"/>
      <c r="M1225" s="217"/>
      <c r="N1225" s="217"/>
      <c r="O1225" s="217"/>
      <c r="P1225" s="217"/>
    </row>
    <row r="1226" spans="1:16" s="219" customFormat="1" ht="30" hidden="1" x14ac:dyDescent="0.25">
      <c r="A1226" s="214"/>
      <c r="B1226" s="237">
        <v>1</v>
      </c>
      <c r="C1226" s="237">
        <v>3</v>
      </c>
      <c r="D1226" s="238" t="s">
        <v>2022</v>
      </c>
      <c r="E1226" s="238" t="s">
        <v>1836</v>
      </c>
      <c r="F1226" s="238" t="s">
        <v>2100</v>
      </c>
      <c r="G1226" s="238" t="s">
        <v>108</v>
      </c>
      <c r="H1226" s="239" t="s">
        <v>3041</v>
      </c>
      <c r="I1226" s="217"/>
      <c r="J1226" s="217"/>
      <c r="K1226" s="217"/>
      <c r="L1226" s="217"/>
      <c r="M1226" s="217"/>
      <c r="N1226" s="217"/>
      <c r="O1226" s="217"/>
      <c r="P1226" s="217"/>
    </row>
    <row r="1227" spans="1:16" s="219" customFormat="1" ht="45" hidden="1" x14ac:dyDescent="0.25">
      <c r="A1227" s="214"/>
      <c r="B1227" s="237">
        <v>1</v>
      </c>
      <c r="C1227" s="237">
        <v>3</v>
      </c>
      <c r="D1227" s="238" t="s">
        <v>2022</v>
      </c>
      <c r="E1227" s="238" t="s">
        <v>1836</v>
      </c>
      <c r="F1227" s="238" t="s">
        <v>2100</v>
      </c>
      <c r="G1227" s="238" t="s">
        <v>135</v>
      </c>
      <c r="H1227" s="239" t="s">
        <v>3042</v>
      </c>
      <c r="I1227" s="217"/>
      <c r="J1227" s="217"/>
      <c r="K1227" s="217"/>
      <c r="L1227" s="217"/>
      <c r="M1227" s="217"/>
      <c r="N1227" s="217"/>
      <c r="O1227" s="217"/>
      <c r="P1227" s="217"/>
    </row>
    <row r="1228" spans="1:16" s="219" customFormat="1" ht="45" hidden="1" x14ac:dyDescent="0.25">
      <c r="A1228" s="214"/>
      <c r="B1228" s="237">
        <v>1</v>
      </c>
      <c r="C1228" s="237">
        <v>3</v>
      </c>
      <c r="D1228" s="238" t="s">
        <v>2022</v>
      </c>
      <c r="E1228" s="238" t="s">
        <v>1836</v>
      </c>
      <c r="F1228" s="238" t="s">
        <v>2100</v>
      </c>
      <c r="G1228" s="238" t="s">
        <v>138</v>
      </c>
      <c r="H1228" s="239" t="s">
        <v>3043</v>
      </c>
      <c r="I1228" s="217"/>
      <c r="J1228" s="217"/>
      <c r="K1228" s="217"/>
      <c r="L1228" s="217"/>
      <c r="M1228" s="217"/>
      <c r="N1228" s="217"/>
      <c r="O1228" s="217"/>
      <c r="P1228" s="217"/>
    </row>
    <row r="1229" spans="1:16" s="219" customFormat="1" ht="45" hidden="1" x14ac:dyDescent="0.25">
      <c r="A1229" s="214"/>
      <c r="B1229" s="237">
        <v>1</v>
      </c>
      <c r="C1229" s="237">
        <v>3</v>
      </c>
      <c r="D1229" s="238" t="s">
        <v>2022</v>
      </c>
      <c r="E1229" s="238" t="s">
        <v>1836</v>
      </c>
      <c r="F1229" s="238" t="s">
        <v>2100</v>
      </c>
      <c r="G1229" s="238" t="s">
        <v>140</v>
      </c>
      <c r="H1229" s="239" t="s">
        <v>3044</v>
      </c>
      <c r="I1229" s="217"/>
      <c r="J1229" s="217"/>
      <c r="K1229" s="217"/>
      <c r="L1229" s="217"/>
      <c r="M1229" s="217"/>
      <c r="N1229" s="217"/>
      <c r="O1229" s="217"/>
      <c r="P1229" s="217"/>
    </row>
    <row r="1230" spans="1:16" s="219" customFormat="1" ht="30" hidden="1" x14ac:dyDescent="0.25">
      <c r="A1230" s="214"/>
      <c r="B1230" s="237">
        <v>1</v>
      </c>
      <c r="C1230" s="237">
        <v>3</v>
      </c>
      <c r="D1230" s="238" t="s">
        <v>2022</v>
      </c>
      <c r="E1230" s="238" t="s">
        <v>1836</v>
      </c>
      <c r="F1230" s="238" t="s">
        <v>2100</v>
      </c>
      <c r="G1230" s="238" t="s">
        <v>143</v>
      </c>
      <c r="H1230" s="239" t="s">
        <v>3045</v>
      </c>
      <c r="I1230" s="217"/>
      <c r="J1230" s="217"/>
      <c r="K1230" s="217"/>
      <c r="L1230" s="217"/>
      <c r="M1230" s="217"/>
      <c r="N1230" s="217"/>
      <c r="O1230" s="217"/>
      <c r="P1230" s="217"/>
    </row>
    <row r="1231" spans="1:16" s="219" customFormat="1" ht="45" hidden="1" x14ac:dyDescent="0.25">
      <c r="A1231" s="214"/>
      <c r="B1231" s="237">
        <v>1</v>
      </c>
      <c r="C1231" s="237">
        <v>3</v>
      </c>
      <c r="D1231" s="238" t="s">
        <v>2022</v>
      </c>
      <c r="E1231" s="238" t="s">
        <v>1836</v>
      </c>
      <c r="F1231" s="238" t="s">
        <v>2100</v>
      </c>
      <c r="G1231" s="238" t="s">
        <v>146</v>
      </c>
      <c r="H1231" s="239" t="s">
        <v>3046</v>
      </c>
      <c r="I1231" s="217"/>
      <c r="J1231" s="217"/>
      <c r="K1231" s="217"/>
      <c r="L1231" s="217"/>
      <c r="M1231" s="217"/>
      <c r="N1231" s="217"/>
      <c r="O1231" s="217"/>
      <c r="P1231" s="217"/>
    </row>
    <row r="1232" spans="1:16" s="219" customFormat="1" ht="45" hidden="1" x14ac:dyDescent="0.25">
      <c r="A1232" s="214"/>
      <c r="B1232" s="237">
        <v>1</v>
      </c>
      <c r="C1232" s="237">
        <v>3</v>
      </c>
      <c r="D1232" s="238" t="s">
        <v>2022</v>
      </c>
      <c r="E1232" s="238" t="s">
        <v>1836</v>
      </c>
      <c r="F1232" s="238" t="s">
        <v>2100</v>
      </c>
      <c r="G1232" s="238" t="s">
        <v>150</v>
      </c>
      <c r="H1232" s="239" t="s">
        <v>3047</v>
      </c>
      <c r="I1232" s="217"/>
      <c r="J1232" s="217"/>
      <c r="K1232" s="217"/>
      <c r="L1232" s="217"/>
      <c r="M1232" s="217"/>
      <c r="N1232" s="217"/>
      <c r="O1232" s="217"/>
      <c r="P1232" s="217"/>
    </row>
    <row r="1233" spans="1:16" s="219" customFormat="1" ht="45" hidden="1" x14ac:dyDescent="0.25">
      <c r="A1233" s="214"/>
      <c r="B1233" s="237">
        <v>1</v>
      </c>
      <c r="C1233" s="237">
        <v>3</v>
      </c>
      <c r="D1233" s="238" t="s">
        <v>2022</v>
      </c>
      <c r="E1233" s="238" t="s">
        <v>1836</v>
      </c>
      <c r="F1233" s="238" t="s">
        <v>2100</v>
      </c>
      <c r="G1233" s="238" t="s">
        <v>153</v>
      </c>
      <c r="H1233" s="239" t="s">
        <v>3048</v>
      </c>
      <c r="I1233" s="217"/>
      <c r="J1233" s="217"/>
      <c r="K1233" s="217"/>
      <c r="L1233" s="217"/>
      <c r="M1233" s="217"/>
      <c r="N1233" s="217"/>
      <c r="O1233" s="217"/>
      <c r="P1233" s="217"/>
    </row>
    <row r="1234" spans="1:16" s="219" customFormat="1" ht="45" hidden="1" x14ac:dyDescent="0.25">
      <c r="A1234" s="214"/>
      <c r="B1234" s="237">
        <v>1</v>
      </c>
      <c r="C1234" s="237">
        <v>3</v>
      </c>
      <c r="D1234" s="238" t="s">
        <v>2022</v>
      </c>
      <c r="E1234" s="238" t="s">
        <v>1836</v>
      </c>
      <c r="F1234" s="238" t="s">
        <v>2100</v>
      </c>
      <c r="G1234" s="238" t="s">
        <v>156</v>
      </c>
      <c r="H1234" s="239" t="s">
        <v>3049</v>
      </c>
      <c r="I1234" s="217"/>
      <c r="J1234" s="217"/>
      <c r="K1234" s="217"/>
      <c r="L1234" s="217"/>
      <c r="M1234" s="217"/>
      <c r="N1234" s="217"/>
      <c r="O1234" s="217"/>
      <c r="P1234" s="217"/>
    </row>
    <row r="1235" spans="1:16" s="219" customFormat="1" ht="30" hidden="1" x14ac:dyDescent="0.25">
      <c r="A1235" s="214"/>
      <c r="B1235" s="237">
        <v>1</v>
      </c>
      <c r="C1235" s="237">
        <v>3</v>
      </c>
      <c r="D1235" s="238" t="s">
        <v>2022</v>
      </c>
      <c r="E1235" s="238" t="s">
        <v>1836</v>
      </c>
      <c r="F1235" s="238" t="s">
        <v>2100</v>
      </c>
      <c r="G1235" s="238" t="s">
        <v>159</v>
      </c>
      <c r="H1235" s="239" t="s">
        <v>3050</v>
      </c>
      <c r="I1235" s="217"/>
      <c r="J1235" s="217"/>
      <c r="K1235" s="217"/>
      <c r="L1235" s="217"/>
      <c r="M1235" s="217"/>
      <c r="N1235" s="217"/>
      <c r="O1235" s="217"/>
      <c r="P1235" s="217"/>
    </row>
    <row r="1236" spans="1:16" s="219" customFormat="1" ht="45" hidden="1" x14ac:dyDescent="0.25">
      <c r="A1236" s="214"/>
      <c r="B1236" s="237">
        <v>1</v>
      </c>
      <c r="C1236" s="237">
        <v>3</v>
      </c>
      <c r="D1236" s="238" t="s">
        <v>2022</v>
      </c>
      <c r="E1236" s="238" t="s">
        <v>1836</v>
      </c>
      <c r="F1236" s="238" t="s">
        <v>2100</v>
      </c>
      <c r="G1236" s="238" t="s">
        <v>162</v>
      </c>
      <c r="H1236" s="239" t="s">
        <v>3051</v>
      </c>
      <c r="I1236" s="217"/>
      <c r="J1236" s="217"/>
      <c r="K1236" s="217"/>
      <c r="L1236" s="217"/>
      <c r="M1236" s="217"/>
      <c r="N1236" s="217"/>
      <c r="O1236" s="217"/>
      <c r="P1236" s="217"/>
    </row>
    <row r="1237" spans="1:16" s="219" customFormat="1" ht="45" hidden="1" x14ac:dyDescent="0.25">
      <c r="A1237" s="214"/>
      <c r="B1237" s="237">
        <v>1</v>
      </c>
      <c r="C1237" s="237">
        <v>3</v>
      </c>
      <c r="D1237" s="238" t="s">
        <v>2022</v>
      </c>
      <c r="E1237" s="238" t="s">
        <v>1836</v>
      </c>
      <c r="F1237" s="238" t="s">
        <v>2100</v>
      </c>
      <c r="G1237" s="238" t="s">
        <v>312</v>
      </c>
      <c r="H1237" s="239" t="s">
        <v>3052</v>
      </c>
      <c r="I1237" s="217"/>
      <c r="J1237" s="217"/>
      <c r="K1237" s="217"/>
      <c r="L1237" s="217"/>
      <c r="M1237" s="217"/>
      <c r="N1237" s="217"/>
      <c r="O1237" s="217"/>
      <c r="P1237" s="217"/>
    </row>
    <row r="1238" spans="1:16" s="219" customFormat="1" ht="30" hidden="1" x14ac:dyDescent="0.25">
      <c r="A1238" s="214"/>
      <c r="B1238" s="237">
        <v>1</v>
      </c>
      <c r="C1238" s="237">
        <v>3</v>
      </c>
      <c r="D1238" s="238" t="s">
        <v>2022</v>
      </c>
      <c r="E1238" s="238" t="s">
        <v>1836</v>
      </c>
      <c r="F1238" s="238" t="s">
        <v>2100</v>
      </c>
      <c r="G1238" s="238" t="s">
        <v>313</v>
      </c>
      <c r="H1238" s="239" t="s">
        <v>3053</v>
      </c>
      <c r="I1238" s="217"/>
      <c r="J1238" s="217"/>
      <c r="K1238" s="217"/>
      <c r="L1238" s="217"/>
      <c r="M1238" s="217"/>
      <c r="N1238" s="217"/>
      <c r="O1238" s="217"/>
      <c r="P1238" s="217"/>
    </row>
    <row r="1239" spans="1:16" s="219" customFormat="1" ht="45" hidden="1" x14ac:dyDescent="0.25">
      <c r="A1239" s="214"/>
      <c r="B1239" s="237">
        <v>1</v>
      </c>
      <c r="C1239" s="237">
        <v>3</v>
      </c>
      <c r="D1239" s="238" t="s">
        <v>2022</v>
      </c>
      <c r="E1239" s="238" t="s">
        <v>1836</v>
      </c>
      <c r="F1239" s="238" t="s">
        <v>2100</v>
      </c>
      <c r="G1239" s="238" t="s">
        <v>559</v>
      </c>
      <c r="H1239" s="239" t="s">
        <v>3054</v>
      </c>
      <c r="I1239" s="217"/>
      <c r="J1239" s="217"/>
      <c r="K1239" s="217"/>
      <c r="L1239" s="217"/>
      <c r="M1239" s="217"/>
      <c r="N1239" s="217"/>
      <c r="O1239" s="217"/>
      <c r="P1239" s="217"/>
    </row>
    <row r="1240" spans="1:16" s="219" customFormat="1" ht="30" hidden="1" x14ac:dyDescent="0.25">
      <c r="A1240" s="214"/>
      <c r="B1240" s="237">
        <v>1</v>
      </c>
      <c r="C1240" s="237">
        <v>3</v>
      </c>
      <c r="D1240" s="238" t="s">
        <v>2022</v>
      </c>
      <c r="E1240" s="238" t="s">
        <v>1836</v>
      </c>
      <c r="F1240" s="238" t="s">
        <v>2100</v>
      </c>
      <c r="G1240" s="238" t="s">
        <v>561</v>
      </c>
      <c r="H1240" s="239" t="s">
        <v>3055</v>
      </c>
      <c r="I1240" s="217"/>
      <c r="J1240" s="217"/>
      <c r="K1240" s="217"/>
      <c r="L1240" s="217"/>
      <c r="M1240" s="217"/>
      <c r="N1240" s="217"/>
      <c r="O1240" s="217"/>
      <c r="P1240" s="217"/>
    </row>
    <row r="1241" spans="1:16" s="219" customFormat="1" ht="30" hidden="1" x14ac:dyDescent="0.25">
      <c r="A1241" s="214"/>
      <c r="B1241" s="237">
        <v>1</v>
      </c>
      <c r="C1241" s="237">
        <v>3</v>
      </c>
      <c r="D1241" s="238" t="s">
        <v>2022</v>
      </c>
      <c r="E1241" s="238" t="s">
        <v>1836</v>
      </c>
      <c r="F1241" s="238" t="s">
        <v>2100</v>
      </c>
      <c r="G1241" s="238" t="s">
        <v>563</v>
      </c>
      <c r="H1241" s="239" t="s">
        <v>3056</v>
      </c>
      <c r="I1241" s="217"/>
      <c r="J1241" s="217"/>
      <c r="K1241" s="217"/>
      <c r="L1241" s="217"/>
      <c r="M1241" s="217"/>
      <c r="N1241" s="217"/>
      <c r="O1241" s="217"/>
      <c r="P1241" s="217"/>
    </row>
    <row r="1242" spans="1:16" s="219" customFormat="1" ht="45" hidden="1" x14ac:dyDescent="0.25">
      <c r="A1242" s="214"/>
      <c r="B1242" s="237">
        <v>1</v>
      </c>
      <c r="C1242" s="237">
        <v>3</v>
      </c>
      <c r="D1242" s="238" t="s">
        <v>2022</v>
      </c>
      <c r="E1242" s="238" t="s">
        <v>1836</v>
      </c>
      <c r="F1242" s="238" t="s">
        <v>2100</v>
      </c>
      <c r="G1242" s="238" t="s">
        <v>227</v>
      </c>
      <c r="H1242" s="239" t="s">
        <v>3057</v>
      </c>
      <c r="I1242" s="217"/>
      <c r="J1242" s="217"/>
      <c r="K1242" s="217"/>
      <c r="L1242" s="217"/>
      <c r="M1242" s="217"/>
      <c r="N1242" s="217"/>
      <c r="O1242" s="217"/>
      <c r="P1242" s="217"/>
    </row>
    <row r="1243" spans="1:16" s="219" customFormat="1" ht="45" hidden="1" x14ac:dyDescent="0.25">
      <c r="A1243" s="214"/>
      <c r="B1243" s="237">
        <v>1</v>
      </c>
      <c r="C1243" s="237">
        <v>3</v>
      </c>
      <c r="D1243" s="238" t="s">
        <v>2022</v>
      </c>
      <c r="E1243" s="238" t="s">
        <v>1836</v>
      </c>
      <c r="F1243" s="238" t="s">
        <v>2100</v>
      </c>
      <c r="G1243" s="238" t="s">
        <v>230</v>
      </c>
      <c r="H1243" s="239" t="s">
        <v>3058</v>
      </c>
      <c r="I1243" s="217"/>
      <c r="J1243" s="217"/>
      <c r="K1243" s="217"/>
      <c r="L1243" s="217"/>
      <c r="M1243" s="217"/>
      <c r="N1243" s="217"/>
      <c r="O1243" s="217"/>
      <c r="P1243" s="217"/>
    </row>
    <row r="1244" spans="1:16" s="219" customFormat="1" ht="30" hidden="1" x14ac:dyDescent="0.25">
      <c r="A1244" s="214"/>
      <c r="B1244" s="237">
        <v>1</v>
      </c>
      <c r="C1244" s="237">
        <v>3</v>
      </c>
      <c r="D1244" s="238" t="s">
        <v>2022</v>
      </c>
      <c r="E1244" s="238" t="s">
        <v>1836</v>
      </c>
      <c r="F1244" s="238" t="s">
        <v>2100</v>
      </c>
      <c r="G1244" s="238" t="s">
        <v>232</v>
      </c>
      <c r="H1244" s="239" t="s">
        <v>3059</v>
      </c>
      <c r="I1244" s="217"/>
      <c r="J1244" s="217"/>
      <c r="K1244" s="217"/>
      <c r="L1244" s="217"/>
      <c r="M1244" s="217"/>
      <c r="N1244" s="217"/>
      <c r="O1244" s="217"/>
      <c r="P1244" s="217"/>
    </row>
    <row r="1245" spans="1:16" s="219" customFormat="1" ht="30" hidden="1" x14ac:dyDescent="0.25">
      <c r="A1245" s="214"/>
      <c r="B1245" s="237">
        <v>1</v>
      </c>
      <c r="C1245" s="237">
        <v>3</v>
      </c>
      <c r="D1245" s="238" t="s">
        <v>2022</v>
      </c>
      <c r="E1245" s="238" t="s">
        <v>1836</v>
      </c>
      <c r="F1245" s="238" t="s">
        <v>2100</v>
      </c>
      <c r="G1245" s="238" t="s">
        <v>234</v>
      </c>
      <c r="H1245" s="239" t="s">
        <v>3060</v>
      </c>
      <c r="I1245" s="217"/>
      <c r="J1245" s="217"/>
      <c r="K1245" s="217"/>
      <c r="L1245" s="217"/>
      <c r="M1245" s="217"/>
      <c r="N1245" s="217"/>
      <c r="O1245" s="217"/>
      <c r="P1245" s="217"/>
    </row>
    <row r="1246" spans="1:16" s="219" customFormat="1" ht="45" hidden="1" x14ac:dyDescent="0.25">
      <c r="A1246" s="214"/>
      <c r="B1246" s="237">
        <v>1</v>
      </c>
      <c r="C1246" s="237">
        <v>3</v>
      </c>
      <c r="D1246" s="238" t="s">
        <v>2022</v>
      </c>
      <c r="E1246" s="238" t="s">
        <v>1836</v>
      </c>
      <c r="F1246" s="238" t="s">
        <v>2100</v>
      </c>
      <c r="G1246" s="238" t="s">
        <v>236</v>
      </c>
      <c r="H1246" s="239" t="s">
        <v>3061</v>
      </c>
      <c r="I1246" s="217"/>
      <c r="J1246" s="217"/>
      <c r="K1246" s="217"/>
      <c r="L1246" s="217"/>
      <c r="M1246" s="217"/>
      <c r="N1246" s="217"/>
      <c r="O1246" s="217"/>
      <c r="P1246" s="217"/>
    </row>
    <row r="1247" spans="1:16" s="219" customFormat="1" ht="45" hidden="1" x14ac:dyDescent="0.25">
      <c r="A1247" s="214"/>
      <c r="B1247" s="237">
        <v>1</v>
      </c>
      <c r="C1247" s="237">
        <v>3</v>
      </c>
      <c r="D1247" s="238" t="s">
        <v>2022</v>
      </c>
      <c r="E1247" s="238" t="s">
        <v>1836</v>
      </c>
      <c r="F1247" s="238" t="s">
        <v>2100</v>
      </c>
      <c r="G1247" s="238" t="s">
        <v>238</v>
      </c>
      <c r="H1247" s="239" t="s">
        <v>3062</v>
      </c>
      <c r="I1247" s="217"/>
      <c r="J1247" s="217"/>
      <c r="K1247" s="217"/>
      <c r="L1247" s="217"/>
      <c r="M1247" s="217"/>
      <c r="N1247" s="217"/>
      <c r="O1247" s="217"/>
      <c r="P1247" s="217"/>
    </row>
    <row r="1248" spans="1:16" s="219" customFormat="1" ht="45" hidden="1" x14ac:dyDescent="0.25">
      <c r="A1248" s="214"/>
      <c r="B1248" s="237">
        <v>1</v>
      </c>
      <c r="C1248" s="237">
        <v>3</v>
      </c>
      <c r="D1248" s="238" t="s">
        <v>2022</v>
      </c>
      <c r="E1248" s="238" t="s">
        <v>1836</v>
      </c>
      <c r="F1248" s="238" t="s">
        <v>2100</v>
      </c>
      <c r="G1248" s="238" t="s">
        <v>240</v>
      </c>
      <c r="H1248" s="239" t="s">
        <v>3063</v>
      </c>
      <c r="I1248" s="217"/>
      <c r="J1248" s="217"/>
      <c r="K1248" s="217"/>
      <c r="L1248" s="217"/>
      <c r="M1248" s="217"/>
      <c r="N1248" s="217"/>
      <c r="O1248" s="217"/>
      <c r="P1248" s="217"/>
    </row>
    <row r="1249" spans="1:16" s="219" customFormat="1" ht="45" hidden="1" x14ac:dyDescent="0.25">
      <c r="A1249" s="214"/>
      <c r="B1249" s="237">
        <v>1</v>
      </c>
      <c r="C1249" s="237">
        <v>3</v>
      </c>
      <c r="D1249" s="238" t="s">
        <v>2022</v>
      </c>
      <c r="E1249" s="238" t="s">
        <v>1836</v>
      </c>
      <c r="F1249" s="238" t="s">
        <v>2100</v>
      </c>
      <c r="G1249" s="238" t="s">
        <v>242</v>
      </c>
      <c r="H1249" s="239" t="s">
        <v>3064</v>
      </c>
      <c r="I1249" s="217"/>
      <c r="J1249" s="217"/>
      <c r="K1249" s="217"/>
      <c r="L1249" s="217"/>
      <c r="M1249" s="217"/>
      <c r="N1249" s="217"/>
      <c r="O1249" s="217"/>
      <c r="P1249" s="217"/>
    </row>
    <row r="1250" spans="1:16" s="219" customFormat="1" ht="45" hidden="1" x14ac:dyDescent="0.25">
      <c r="A1250" s="214"/>
      <c r="B1250" s="237">
        <v>1</v>
      </c>
      <c r="C1250" s="237">
        <v>3</v>
      </c>
      <c r="D1250" s="238" t="s">
        <v>2022</v>
      </c>
      <c r="E1250" s="238" t="s">
        <v>1836</v>
      </c>
      <c r="F1250" s="238" t="s">
        <v>2100</v>
      </c>
      <c r="G1250" s="238" t="s">
        <v>244</v>
      </c>
      <c r="H1250" s="239" t="s">
        <v>3065</v>
      </c>
      <c r="I1250" s="217"/>
      <c r="J1250" s="217"/>
      <c r="K1250" s="217"/>
      <c r="L1250" s="217"/>
      <c r="M1250" s="217"/>
      <c r="N1250" s="217"/>
      <c r="O1250" s="217"/>
      <c r="P1250" s="217"/>
    </row>
    <row r="1251" spans="1:16" s="213" customFormat="1" ht="30" hidden="1" x14ac:dyDescent="0.25">
      <c r="A1251" s="208" t="s">
        <v>263</v>
      </c>
      <c r="B1251" s="234">
        <v>1</v>
      </c>
      <c r="C1251" s="234">
        <v>3</v>
      </c>
      <c r="D1251" s="235" t="s">
        <v>2022</v>
      </c>
      <c r="E1251" s="235" t="s">
        <v>1836</v>
      </c>
      <c r="F1251" s="235" t="s">
        <v>2139</v>
      </c>
      <c r="G1251" s="234"/>
      <c r="H1251" s="236" t="s">
        <v>3066</v>
      </c>
      <c r="I1251" s="211">
        <f>SUM(I1252:I1390)</f>
        <v>0</v>
      </c>
      <c r="J1251" s="211">
        <f t="shared" ref="J1251:P1251" si="162">SUM(J1252:J1390)</f>
        <v>0</v>
      </c>
      <c r="K1251" s="211">
        <f t="shared" si="162"/>
        <v>0</v>
      </c>
      <c r="L1251" s="211">
        <f t="shared" si="162"/>
        <v>0</v>
      </c>
      <c r="M1251" s="211">
        <f t="shared" si="162"/>
        <v>0</v>
      </c>
      <c r="N1251" s="211">
        <f t="shared" si="162"/>
        <v>0</v>
      </c>
      <c r="O1251" s="211">
        <f t="shared" si="162"/>
        <v>0</v>
      </c>
      <c r="P1251" s="211">
        <f t="shared" si="162"/>
        <v>0</v>
      </c>
    </row>
    <row r="1252" spans="1:16" s="219" customFormat="1" ht="45" hidden="1" x14ac:dyDescent="0.25">
      <c r="A1252" s="214"/>
      <c r="B1252" s="237">
        <v>1</v>
      </c>
      <c r="C1252" s="237">
        <v>3</v>
      </c>
      <c r="D1252" s="238" t="s">
        <v>2022</v>
      </c>
      <c r="E1252" s="238" t="s">
        <v>1836</v>
      </c>
      <c r="F1252" s="238" t="s">
        <v>2139</v>
      </c>
      <c r="G1252" s="238" t="s">
        <v>58</v>
      </c>
      <c r="H1252" s="239" t="s">
        <v>3067</v>
      </c>
      <c r="I1252" s="217"/>
      <c r="J1252" s="217"/>
      <c r="K1252" s="217"/>
      <c r="L1252" s="217"/>
      <c r="M1252" s="217"/>
      <c r="N1252" s="217"/>
      <c r="O1252" s="217"/>
      <c r="P1252" s="217"/>
    </row>
    <row r="1253" spans="1:16" s="219" customFormat="1" ht="45" hidden="1" x14ac:dyDescent="0.25">
      <c r="A1253" s="214"/>
      <c r="B1253" s="237">
        <v>1</v>
      </c>
      <c r="C1253" s="237">
        <v>3</v>
      </c>
      <c r="D1253" s="238" t="s">
        <v>2022</v>
      </c>
      <c r="E1253" s="238" t="s">
        <v>1836</v>
      </c>
      <c r="F1253" s="238" t="s">
        <v>2139</v>
      </c>
      <c r="G1253" s="238" t="s">
        <v>75</v>
      </c>
      <c r="H1253" s="239" t="s">
        <v>3068</v>
      </c>
      <c r="I1253" s="217"/>
      <c r="J1253" s="217"/>
      <c r="K1253" s="217"/>
      <c r="L1253" s="217"/>
      <c r="M1253" s="217"/>
      <c r="N1253" s="217"/>
      <c r="O1253" s="217"/>
      <c r="P1253" s="217"/>
    </row>
    <row r="1254" spans="1:16" s="219" customFormat="1" ht="45" hidden="1" x14ac:dyDescent="0.25">
      <c r="A1254" s="214"/>
      <c r="B1254" s="237">
        <v>1</v>
      </c>
      <c r="C1254" s="237">
        <v>3</v>
      </c>
      <c r="D1254" s="238" t="s">
        <v>2022</v>
      </c>
      <c r="E1254" s="238" t="s">
        <v>1836</v>
      </c>
      <c r="F1254" s="238" t="s">
        <v>2139</v>
      </c>
      <c r="G1254" s="238" t="s">
        <v>79</v>
      </c>
      <c r="H1254" s="239" t="s">
        <v>3069</v>
      </c>
      <c r="I1254" s="217"/>
      <c r="J1254" s="217"/>
      <c r="K1254" s="217"/>
      <c r="L1254" s="217"/>
      <c r="M1254" s="217"/>
      <c r="N1254" s="217"/>
      <c r="O1254" s="217"/>
      <c r="P1254" s="217"/>
    </row>
    <row r="1255" spans="1:16" s="219" customFormat="1" ht="45" hidden="1" x14ac:dyDescent="0.25">
      <c r="A1255" s="214"/>
      <c r="B1255" s="237">
        <v>1</v>
      </c>
      <c r="C1255" s="237">
        <v>3</v>
      </c>
      <c r="D1255" s="238" t="s">
        <v>2022</v>
      </c>
      <c r="E1255" s="238" t="s">
        <v>1836</v>
      </c>
      <c r="F1255" s="238" t="s">
        <v>2139</v>
      </c>
      <c r="G1255" s="238" t="s">
        <v>84</v>
      </c>
      <c r="H1255" s="239" t="s">
        <v>3070</v>
      </c>
      <c r="I1255" s="217"/>
      <c r="J1255" s="217"/>
      <c r="K1255" s="217"/>
      <c r="L1255" s="217"/>
      <c r="M1255" s="217"/>
      <c r="N1255" s="217"/>
      <c r="O1255" s="217"/>
      <c r="P1255" s="217"/>
    </row>
    <row r="1256" spans="1:16" s="219" customFormat="1" ht="45" hidden="1" x14ac:dyDescent="0.25">
      <c r="A1256" s="214"/>
      <c r="B1256" s="237">
        <v>1</v>
      </c>
      <c r="C1256" s="237">
        <v>3</v>
      </c>
      <c r="D1256" s="238" t="s">
        <v>2022</v>
      </c>
      <c r="E1256" s="238" t="s">
        <v>1836</v>
      </c>
      <c r="F1256" s="238" t="s">
        <v>2139</v>
      </c>
      <c r="G1256" s="238" t="s">
        <v>88</v>
      </c>
      <c r="H1256" s="239" t="s">
        <v>3071</v>
      </c>
      <c r="I1256" s="217"/>
      <c r="J1256" s="217"/>
      <c r="K1256" s="217"/>
      <c r="L1256" s="217"/>
      <c r="M1256" s="217"/>
      <c r="N1256" s="217"/>
      <c r="O1256" s="217"/>
      <c r="P1256" s="217"/>
    </row>
    <row r="1257" spans="1:16" s="219" customFormat="1" ht="45" hidden="1" x14ac:dyDescent="0.25">
      <c r="A1257" s="214"/>
      <c r="B1257" s="237">
        <v>1</v>
      </c>
      <c r="C1257" s="237">
        <v>3</v>
      </c>
      <c r="D1257" s="238" t="s">
        <v>2022</v>
      </c>
      <c r="E1257" s="238" t="s">
        <v>1836</v>
      </c>
      <c r="F1257" s="238" t="s">
        <v>2139</v>
      </c>
      <c r="G1257" s="238" t="s">
        <v>92</v>
      </c>
      <c r="H1257" s="239" t="s">
        <v>3072</v>
      </c>
      <c r="I1257" s="217"/>
      <c r="J1257" s="217"/>
      <c r="K1257" s="217"/>
      <c r="L1257" s="217"/>
      <c r="M1257" s="217"/>
      <c r="N1257" s="217"/>
      <c r="O1257" s="217"/>
      <c r="P1257" s="217"/>
    </row>
    <row r="1258" spans="1:16" s="219" customFormat="1" ht="45" hidden="1" x14ac:dyDescent="0.25">
      <c r="A1258" s="214"/>
      <c r="B1258" s="237">
        <v>1</v>
      </c>
      <c r="C1258" s="237">
        <v>3</v>
      </c>
      <c r="D1258" s="238" t="s">
        <v>2022</v>
      </c>
      <c r="E1258" s="238" t="s">
        <v>1836</v>
      </c>
      <c r="F1258" s="238" t="s">
        <v>2139</v>
      </c>
      <c r="G1258" s="238" t="s">
        <v>96</v>
      </c>
      <c r="H1258" s="239" t="s">
        <v>3073</v>
      </c>
      <c r="I1258" s="217"/>
      <c r="J1258" s="217"/>
      <c r="K1258" s="217"/>
      <c r="L1258" s="217"/>
      <c r="M1258" s="217"/>
      <c r="N1258" s="217"/>
      <c r="O1258" s="217"/>
      <c r="P1258" s="217"/>
    </row>
    <row r="1259" spans="1:16" s="219" customFormat="1" ht="45" hidden="1" x14ac:dyDescent="0.25">
      <c r="A1259" s="214"/>
      <c r="B1259" s="237">
        <v>1</v>
      </c>
      <c r="C1259" s="237">
        <v>3</v>
      </c>
      <c r="D1259" s="238" t="s">
        <v>2022</v>
      </c>
      <c r="E1259" s="238" t="s">
        <v>1836</v>
      </c>
      <c r="F1259" s="238" t="s">
        <v>2139</v>
      </c>
      <c r="G1259" s="238" t="s">
        <v>100</v>
      </c>
      <c r="H1259" s="239" t="s">
        <v>3074</v>
      </c>
      <c r="I1259" s="217"/>
      <c r="J1259" s="217"/>
      <c r="K1259" s="217"/>
      <c r="L1259" s="217"/>
      <c r="M1259" s="217"/>
      <c r="N1259" s="217"/>
      <c r="O1259" s="217"/>
      <c r="P1259" s="217"/>
    </row>
    <row r="1260" spans="1:16" s="219" customFormat="1" ht="45" hidden="1" x14ac:dyDescent="0.25">
      <c r="A1260" s="214"/>
      <c r="B1260" s="237">
        <v>1</v>
      </c>
      <c r="C1260" s="237">
        <v>3</v>
      </c>
      <c r="D1260" s="238" t="s">
        <v>2022</v>
      </c>
      <c r="E1260" s="238" t="s">
        <v>1836</v>
      </c>
      <c r="F1260" s="238" t="s">
        <v>2139</v>
      </c>
      <c r="G1260" s="238" t="s">
        <v>105</v>
      </c>
      <c r="H1260" s="239" t="s">
        <v>3075</v>
      </c>
      <c r="I1260" s="217"/>
      <c r="J1260" s="217"/>
      <c r="K1260" s="217"/>
      <c r="L1260" s="217"/>
      <c r="M1260" s="217"/>
      <c r="N1260" s="217"/>
      <c r="O1260" s="217"/>
      <c r="P1260" s="217"/>
    </row>
    <row r="1261" spans="1:16" s="219" customFormat="1" ht="45" hidden="1" x14ac:dyDescent="0.25">
      <c r="A1261" s="214"/>
      <c r="B1261" s="237">
        <v>1</v>
      </c>
      <c r="C1261" s="237">
        <v>3</v>
      </c>
      <c r="D1261" s="238" t="s">
        <v>2022</v>
      </c>
      <c r="E1261" s="238" t="s">
        <v>1836</v>
      </c>
      <c r="F1261" s="238" t="s">
        <v>2139</v>
      </c>
      <c r="G1261" s="238" t="s">
        <v>108</v>
      </c>
      <c r="H1261" s="239" t="s">
        <v>3076</v>
      </c>
      <c r="I1261" s="217"/>
      <c r="J1261" s="217"/>
      <c r="K1261" s="217"/>
      <c r="L1261" s="217"/>
      <c r="M1261" s="217"/>
      <c r="N1261" s="217"/>
      <c r="O1261" s="217"/>
      <c r="P1261" s="217"/>
    </row>
    <row r="1262" spans="1:16" s="219" customFormat="1" ht="45" hidden="1" x14ac:dyDescent="0.25">
      <c r="A1262" s="214"/>
      <c r="B1262" s="237">
        <v>1</v>
      </c>
      <c r="C1262" s="237">
        <v>3</v>
      </c>
      <c r="D1262" s="238" t="s">
        <v>2022</v>
      </c>
      <c r="E1262" s="238" t="s">
        <v>1836</v>
      </c>
      <c r="F1262" s="238" t="s">
        <v>2139</v>
      </c>
      <c r="G1262" s="238" t="s">
        <v>135</v>
      </c>
      <c r="H1262" s="239" t="s">
        <v>3077</v>
      </c>
      <c r="I1262" s="217"/>
      <c r="J1262" s="217"/>
      <c r="K1262" s="217"/>
      <c r="L1262" s="217"/>
      <c r="M1262" s="217"/>
      <c r="N1262" s="217"/>
      <c r="O1262" s="217"/>
      <c r="P1262" s="217"/>
    </row>
    <row r="1263" spans="1:16" s="219" customFormat="1" ht="45" hidden="1" x14ac:dyDescent="0.25">
      <c r="A1263" s="214"/>
      <c r="B1263" s="237">
        <v>1</v>
      </c>
      <c r="C1263" s="237">
        <v>3</v>
      </c>
      <c r="D1263" s="238" t="s">
        <v>2022</v>
      </c>
      <c r="E1263" s="238" t="s">
        <v>1836</v>
      </c>
      <c r="F1263" s="238" t="s">
        <v>2139</v>
      </c>
      <c r="G1263" s="238" t="s">
        <v>138</v>
      </c>
      <c r="H1263" s="239" t="s">
        <v>3078</v>
      </c>
      <c r="I1263" s="217"/>
      <c r="J1263" s="217"/>
      <c r="K1263" s="217"/>
      <c r="L1263" s="217"/>
      <c r="M1263" s="217"/>
      <c r="N1263" s="217"/>
      <c r="O1263" s="217"/>
      <c r="P1263" s="217"/>
    </row>
    <row r="1264" spans="1:16" s="219" customFormat="1" ht="45" hidden="1" x14ac:dyDescent="0.25">
      <c r="A1264" s="214"/>
      <c r="B1264" s="237">
        <v>1</v>
      </c>
      <c r="C1264" s="237">
        <v>3</v>
      </c>
      <c r="D1264" s="238" t="s">
        <v>2022</v>
      </c>
      <c r="E1264" s="238" t="s">
        <v>1836</v>
      </c>
      <c r="F1264" s="238" t="s">
        <v>2139</v>
      </c>
      <c r="G1264" s="238" t="s">
        <v>140</v>
      </c>
      <c r="H1264" s="239" t="s">
        <v>3079</v>
      </c>
      <c r="I1264" s="217"/>
      <c r="J1264" s="217"/>
      <c r="K1264" s="217"/>
      <c r="L1264" s="217"/>
      <c r="M1264" s="217"/>
      <c r="N1264" s="217"/>
      <c r="O1264" s="217"/>
      <c r="P1264" s="217"/>
    </row>
    <row r="1265" spans="1:16" s="219" customFormat="1" ht="45" hidden="1" x14ac:dyDescent="0.25">
      <c r="A1265" s="214"/>
      <c r="B1265" s="237">
        <v>1</v>
      </c>
      <c r="C1265" s="237">
        <v>3</v>
      </c>
      <c r="D1265" s="238" t="s">
        <v>2022</v>
      </c>
      <c r="E1265" s="238" t="s">
        <v>1836</v>
      </c>
      <c r="F1265" s="238" t="s">
        <v>2139</v>
      </c>
      <c r="G1265" s="238" t="s">
        <v>143</v>
      </c>
      <c r="H1265" s="239" t="s">
        <v>3080</v>
      </c>
      <c r="I1265" s="217"/>
      <c r="J1265" s="217"/>
      <c r="K1265" s="217"/>
      <c r="L1265" s="217"/>
      <c r="M1265" s="217"/>
      <c r="N1265" s="217"/>
      <c r="O1265" s="217"/>
      <c r="P1265" s="217"/>
    </row>
    <row r="1266" spans="1:16" s="219" customFormat="1" ht="45" hidden="1" x14ac:dyDescent="0.25">
      <c r="A1266" s="214"/>
      <c r="B1266" s="237">
        <v>1</v>
      </c>
      <c r="C1266" s="237">
        <v>3</v>
      </c>
      <c r="D1266" s="238" t="s">
        <v>2022</v>
      </c>
      <c r="E1266" s="238" t="s">
        <v>1836</v>
      </c>
      <c r="F1266" s="238" t="s">
        <v>2139</v>
      </c>
      <c r="G1266" s="238" t="s">
        <v>146</v>
      </c>
      <c r="H1266" s="239" t="s">
        <v>3081</v>
      </c>
      <c r="I1266" s="217"/>
      <c r="J1266" s="217"/>
      <c r="K1266" s="217"/>
      <c r="L1266" s="217"/>
      <c r="M1266" s="217"/>
      <c r="N1266" s="217"/>
      <c r="O1266" s="217"/>
      <c r="P1266" s="217"/>
    </row>
    <row r="1267" spans="1:16" s="219" customFormat="1" ht="45" hidden="1" x14ac:dyDescent="0.25">
      <c r="A1267" s="214"/>
      <c r="B1267" s="237">
        <v>1</v>
      </c>
      <c r="C1267" s="237">
        <v>3</v>
      </c>
      <c r="D1267" s="238" t="s">
        <v>2022</v>
      </c>
      <c r="E1267" s="238" t="s">
        <v>1836</v>
      </c>
      <c r="F1267" s="238" t="s">
        <v>2139</v>
      </c>
      <c r="G1267" s="238" t="s">
        <v>150</v>
      </c>
      <c r="H1267" s="239" t="s">
        <v>3082</v>
      </c>
      <c r="I1267" s="217"/>
      <c r="J1267" s="217"/>
      <c r="K1267" s="217"/>
      <c r="L1267" s="217"/>
      <c r="M1267" s="217"/>
      <c r="N1267" s="217"/>
      <c r="O1267" s="217"/>
      <c r="P1267" s="217"/>
    </row>
    <row r="1268" spans="1:16" s="219" customFormat="1" ht="45" hidden="1" x14ac:dyDescent="0.25">
      <c r="A1268" s="214"/>
      <c r="B1268" s="237">
        <v>1</v>
      </c>
      <c r="C1268" s="237">
        <v>3</v>
      </c>
      <c r="D1268" s="238" t="s">
        <v>2022</v>
      </c>
      <c r="E1268" s="238" t="s">
        <v>1836</v>
      </c>
      <c r="F1268" s="238" t="s">
        <v>2139</v>
      </c>
      <c r="G1268" s="238" t="s">
        <v>153</v>
      </c>
      <c r="H1268" s="239" t="s">
        <v>3083</v>
      </c>
      <c r="I1268" s="217"/>
      <c r="J1268" s="217"/>
      <c r="K1268" s="217"/>
      <c r="L1268" s="217"/>
      <c r="M1268" s="217"/>
      <c r="N1268" s="217"/>
      <c r="O1268" s="217"/>
      <c r="P1268" s="217"/>
    </row>
    <row r="1269" spans="1:16" s="219" customFormat="1" ht="45" hidden="1" x14ac:dyDescent="0.25">
      <c r="A1269" s="214"/>
      <c r="B1269" s="237">
        <v>1</v>
      </c>
      <c r="C1269" s="237">
        <v>3</v>
      </c>
      <c r="D1269" s="238" t="s">
        <v>2022</v>
      </c>
      <c r="E1269" s="238" t="s">
        <v>1836</v>
      </c>
      <c r="F1269" s="238" t="s">
        <v>2139</v>
      </c>
      <c r="G1269" s="238" t="s">
        <v>156</v>
      </c>
      <c r="H1269" s="239" t="s">
        <v>3084</v>
      </c>
      <c r="I1269" s="217"/>
      <c r="J1269" s="217"/>
      <c r="K1269" s="217"/>
      <c r="L1269" s="217"/>
      <c r="M1269" s="217"/>
      <c r="N1269" s="217"/>
      <c r="O1269" s="217"/>
      <c r="P1269" s="217"/>
    </row>
    <row r="1270" spans="1:16" s="219" customFormat="1" ht="45" hidden="1" x14ac:dyDescent="0.25">
      <c r="A1270" s="214"/>
      <c r="B1270" s="237">
        <v>1</v>
      </c>
      <c r="C1270" s="237">
        <v>3</v>
      </c>
      <c r="D1270" s="238" t="s">
        <v>2022</v>
      </c>
      <c r="E1270" s="238" t="s">
        <v>1836</v>
      </c>
      <c r="F1270" s="238" t="s">
        <v>2139</v>
      </c>
      <c r="G1270" s="238" t="s">
        <v>159</v>
      </c>
      <c r="H1270" s="239" t="s">
        <v>3085</v>
      </c>
      <c r="I1270" s="217"/>
      <c r="J1270" s="217"/>
      <c r="K1270" s="217"/>
      <c r="L1270" s="217"/>
      <c r="M1270" s="217"/>
      <c r="N1270" s="217"/>
      <c r="O1270" s="217"/>
      <c r="P1270" s="217"/>
    </row>
    <row r="1271" spans="1:16" s="219" customFormat="1" ht="45" hidden="1" x14ac:dyDescent="0.25">
      <c r="A1271" s="214"/>
      <c r="B1271" s="237">
        <v>1</v>
      </c>
      <c r="C1271" s="237">
        <v>3</v>
      </c>
      <c r="D1271" s="238" t="s">
        <v>2022</v>
      </c>
      <c r="E1271" s="238" t="s">
        <v>1836</v>
      </c>
      <c r="F1271" s="238" t="s">
        <v>2139</v>
      </c>
      <c r="G1271" s="238" t="s">
        <v>162</v>
      </c>
      <c r="H1271" s="239" t="s">
        <v>3086</v>
      </c>
      <c r="I1271" s="217"/>
      <c r="J1271" s="217"/>
      <c r="K1271" s="217"/>
      <c r="L1271" s="217"/>
      <c r="M1271" s="217"/>
      <c r="N1271" s="217"/>
      <c r="O1271" s="217"/>
      <c r="P1271" s="217"/>
    </row>
    <row r="1272" spans="1:16" s="219" customFormat="1" ht="45" hidden="1" x14ac:dyDescent="0.25">
      <c r="A1272" s="214"/>
      <c r="B1272" s="237">
        <v>1</v>
      </c>
      <c r="C1272" s="237">
        <v>3</v>
      </c>
      <c r="D1272" s="238" t="s">
        <v>2022</v>
      </c>
      <c r="E1272" s="238" t="s">
        <v>1836</v>
      </c>
      <c r="F1272" s="238" t="s">
        <v>2139</v>
      </c>
      <c r="G1272" s="238" t="s">
        <v>312</v>
      </c>
      <c r="H1272" s="239" t="s">
        <v>3087</v>
      </c>
      <c r="I1272" s="217"/>
      <c r="J1272" s="217"/>
      <c r="K1272" s="217"/>
      <c r="L1272" s="217"/>
      <c r="M1272" s="217"/>
      <c r="N1272" s="217"/>
      <c r="O1272" s="217"/>
      <c r="P1272" s="217"/>
    </row>
    <row r="1273" spans="1:16" s="219" customFormat="1" ht="45" hidden="1" x14ac:dyDescent="0.25">
      <c r="A1273" s="214"/>
      <c r="B1273" s="237">
        <v>1</v>
      </c>
      <c r="C1273" s="237">
        <v>3</v>
      </c>
      <c r="D1273" s="238" t="s">
        <v>2022</v>
      </c>
      <c r="E1273" s="238" t="s">
        <v>1836</v>
      </c>
      <c r="F1273" s="238" t="s">
        <v>2139</v>
      </c>
      <c r="G1273" s="238" t="s">
        <v>313</v>
      </c>
      <c r="H1273" s="239" t="s">
        <v>3088</v>
      </c>
      <c r="I1273" s="217"/>
      <c r="J1273" s="217"/>
      <c r="K1273" s="217"/>
      <c r="L1273" s="217"/>
      <c r="M1273" s="217"/>
      <c r="N1273" s="217"/>
      <c r="O1273" s="217"/>
      <c r="P1273" s="217"/>
    </row>
    <row r="1274" spans="1:16" s="219" customFormat="1" ht="45" hidden="1" x14ac:dyDescent="0.25">
      <c r="A1274" s="214"/>
      <c r="B1274" s="237">
        <v>1</v>
      </c>
      <c r="C1274" s="237">
        <v>3</v>
      </c>
      <c r="D1274" s="238" t="s">
        <v>2022</v>
      </c>
      <c r="E1274" s="238" t="s">
        <v>1836</v>
      </c>
      <c r="F1274" s="238" t="s">
        <v>2139</v>
      </c>
      <c r="G1274" s="238" t="s">
        <v>559</v>
      </c>
      <c r="H1274" s="239" t="s">
        <v>3089</v>
      </c>
      <c r="I1274" s="217"/>
      <c r="J1274" s="217"/>
      <c r="K1274" s="217"/>
      <c r="L1274" s="217"/>
      <c r="M1274" s="217"/>
      <c r="N1274" s="217"/>
      <c r="O1274" s="217"/>
      <c r="P1274" s="217"/>
    </row>
    <row r="1275" spans="1:16" s="219" customFormat="1" ht="45" hidden="1" x14ac:dyDescent="0.25">
      <c r="A1275" s="214"/>
      <c r="B1275" s="237">
        <v>1</v>
      </c>
      <c r="C1275" s="237">
        <v>3</v>
      </c>
      <c r="D1275" s="238" t="s">
        <v>2022</v>
      </c>
      <c r="E1275" s="238" t="s">
        <v>1836</v>
      </c>
      <c r="F1275" s="238" t="s">
        <v>2139</v>
      </c>
      <c r="G1275" s="238" t="s">
        <v>561</v>
      </c>
      <c r="H1275" s="239" t="s">
        <v>3090</v>
      </c>
      <c r="I1275" s="217"/>
      <c r="J1275" s="217"/>
      <c r="K1275" s="217"/>
      <c r="L1275" s="217"/>
      <c r="M1275" s="217"/>
      <c r="N1275" s="217"/>
      <c r="O1275" s="217"/>
      <c r="P1275" s="217"/>
    </row>
    <row r="1276" spans="1:16" s="219" customFormat="1" ht="45" hidden="1" x14ac:dyDescent="0.25">
      <c r="A1276" s="214"/>
      <c r="B1276" s="237">
        <v>1</v>
      </c>
      <c r="C1276" s="237">
        <v>3</v>
      </c>
      <c r="D1276" s="238" t="s">
        <v>2022</v>
      </c>
      <c r="E1276" s="238" t="s">
        <v>1836</v>
      </c>
      <c r="F1276" s="238" t="s">
        <v>2139</v>
      </c>
      <c r="G1276" s="238" t="s">
        <v>563</v>
      </c>
      <c r="H1276" s="239" t="s">
        <v>3091</v>
      </c>
      <c r="I1276" s="217"/>
      <c r="J1276" s="217"/>
      <c r="K1276" s="217"/>
      <c r="L1276" s="217"/>
      <c r="M1276" s="217"/>
      <c r="N1276" s="217"/>
      <c r="O1276" s="217"/>
      <c r="P1276" s="217"/>
    </row>
    <row r="1277" spans="1:16" s="219" customFormat="1" ht="45" hidden="1" x14ac:dyDescent="0.25">
      <c r="A1277" s="214"/>
      <c r="B1277" s="237">
        <v>1</v>
      </c>
      <c r="C1277" s="237">
        <v>3</v>
      </c>
      <c r="D1277" s="238" t="s">
        <v>2022</v>
      </c>
      <c r="E1277" s="238" t="s">
        <v>1836</v>
      </c>
      <c r="F1277" s="238" t="s">
        <v>2139</v>
      </c>
      <c r="G1277" s="238" t="s">
        <v>227</v>
      </c>
      <c r="H1277" s="239" t="s">
        <v>3092</v>
      </c>
      <c r="I1277" s="217"/>
      <c r="J1277" s="217"/>
      <c r="K1277" s="217"/>
      <c r="L1277" s="217"/>
      <c r="M1277" s="217"/>
      <c r="N1277" s="217"/>
      <c r="O1277" s="217"/>
      <c r="P1277" s="217"/>
    </row>
    <row r="1278" spans="1:16" s="219" customFormat="1" ht="45" hidden="1" x14ac:dyDescent="0.25">
      <c r="A1278" s="214"/>
      <c r="B1278" s="237">
        <v>1</v>
      </c>
      <c r="C1278" s="237">
        <v>3</v>
      </c>
      <c r="D1278" s="238" t="s">
        <v>2022</v>
      </c>
      <c r="E1278" s="238" t="s">
        <v>1836</v>
      </c>
      <c r="F1278" s="238" t="s">
        <v>2139</v>
      </c>
      <c r="G1278" s="238" t="s">
        <v>230</v>
      </c>
      <c r="H1278" s="239" t="s">
        <v>3093</v>
      </c>
      <c r="I1278" s="217"/>
      <c r="J1278" s="217"/>
      <c r="K1278" s="217"/>
      <c r="L1278" s="217"/>
      <c r="M1278" s="217"/>
      <c r="N1278" s="217"/>
      <c r="O1278" s="217"/>
      <c r="P1278" s="217"/>
    </row>
    <row r="1279" spans="1:16" s="219" customFormat="1" ht="45" hidden="1" x14ac:dyDescent="0.25">
      <c r="A1279" s="214"/>
      <c r="B1279" s="237">
        <v>1</v>
      </c>
      <c r="C1279" s="237">
        <v>3</v>
      </c>
      <c r="D1279" s="238" t="s">
        <v>2022</v>
      </c>
      <c r="E1279" s="238" t="s">
        <v>1836</v>
      </c>
      <c r="F1279" s="238" t="s">
        <v>2139</v>
      </c>
      <c r="G1279" s="238" t="s">
        <v>232</v>
      </c>
      <c r="H1279" s="239" t="s">
        <v>3094</v>
      </c>
      <c r="I1279" s="217"/>
      <c r="J1279" s="217"/>
      <c r="K1279" s="217"/>
      <c r="L1279" s="217"/>
      <c r="M1279" s="217"/>
      <c r="N1279" s="217"/>
      <c r="O1279" s="217"/>
      <c r="P1279" s="217"/>
    </row>
    <row r="1280" spans="1:16" s="219" customFormat="1" ht="45" hidden="1" x14ac:dyDescent="0.25">
      <c r="A1280" s="214"/>
      <c r="B1280" s="237">
        <v>1</v>
      </c>
      <c r="C1280" s="237">
        <v>3</v>
      </c>
      <c r="D1280" s="238" t="s">
        <v>2022</v>
      </c>
      <c r="E1280" s="238" t="s">
        <v>1836</v>
      </c>
      <c r="F1280" s="238" t="s">
        <v>2139</v>
      </c>
      <c r="G1280" s="238" t="s">
        <v>234</v>
      </c>
      <c r="H1280" s="239" t="s">
        <v>3095</v>
      </c>
      <c r="I1280" s="217"/>
      <c r="J1280" s="217"/>
      <c r="K1280" s="217"/>
      <c r="L1280" s="217"/>
      <c r="M1280" s="217"/>
      <c r="N1280" s="217"/>
      <c r="O1280" s="217"/>
      <c r="P1280" s="217"/>
    </row>
    <row r="1281" spans="1:16" s="219" customFormat="1" ht="45" hidden="1" x14ac:dyDescent="0.25">
      <c r="A1281" s="214"/>
      <c r="B1281" s="237">
        <v>1</v>
      </c>
      <c r="C1281" s="237">
        <v>3</v>
      </c>
      <c r="D1281" s="238" t="s">
        <v>2022</v>
      </c>
      <c r="E1281" s="238" t="s">
        <v>1836</v>
      </c>
      <c r="F1281" s="238" t="s">
        <v>2139</v>
      </c>
      <c r="G1281" s="238" t="s">
        <v>236</v>
      </c>
      <c r="H1281" s="239" t="s">
        <v>3096</v>
      </c>
      <c r="I1281" s="217"/>
      <c r="J1281" s="217"/>
      <c r="K1281" s="217"/>
      <c r="L1281" s="217"/>
      <c r="M1281" s="217"/>
      <c r="N1281" s="217"/>
      <c r="O1281" s="217"/>
      <c r="P1281" s="217"/>
    </row>
    <row r="1282" spans="1:16" s="219" customFormat="1" ht="45" hidden="1" x14ac:dyDescent="0.25">
      <c r="A1282" s="214"/>
      <c r="B1282" s="237">
        <v>1</v>
      </c>
      <c r="C1282" s="237">
        <v>3</v>
      </c>
      <c r="D1282" s="238" t="s">
        <v>2022</v>
      </c>
      <c r="E1282" s="238" t="s">
        <v>1836</v>
      </c>
      <c r="F1282" s="238" t="s">
        <v>2139</v>
      </c>
      <c r="G1282" s="238" t="s">
        <v>238</v>
      </c>
      <c r="H1282" s="239" t="s">
        <v>3097</v>
      </c>
      <c r="I1282" s="217"/>
      <c r="J1282" s="217"/>
      <c r="K1282" s="217"/>
      <c r="L1282" s="217"/>
      <c r="M1282" s="217"/>
      <c r="N1282" s="217"/>
      <c r="O1282" s="217"/>
      <c r="P1282" s="217"/>
    </row>
    <row r="1283" spans="1:16" s="219" customFormat="1" ht="45" hidden="1" x14ac:dyDescent="0.25">
      <c r="A1283" s="214"/>
      <c r="B1283" s="237">
        <v>1</v>
      </c>
      <c r="C1283" s="237">
        <v>3</v>
      </c>
      <c r="D1283" s="238" t="s">
        <v>2022</v>
      </c>
      <c r="E1283" s="238" t="s">
        <v>1836</v>
      </c>
      <c r="F1283" s="238" t="s">
        <v>2139</v>
      </c>
      <c r="G1283" s="238" t="s">
        <v>240</v>
      </c>
      <c r="H1283" s="239" t="s">
        <v>3098</v>
      </c>
      <c r="I1283" s="217"/>
      <c r="J1283" s="217"/>
      <c r="K1283" s="217"/>
      <c r="L1283" s="217"/>
      <c r="M1283" s="217"/>
      <c r="N1283" s="217"/>
      <c r="O1283" s="217"/>
      <c r="P1283" s="217"/>
    </row>
    <row r="1284" spans="1:16" s="219" customFormat="1" ht="45" hidden="1" x14ac:dyDescent="0.25">
      <c r="A1284" s="214"/>
      <c r="B1284" s="237">
        <v>1</v>
      </c>
      <c r="C1284" s="237">
        <v>3</v>
      </c>
      <c r="D1284" s="238" t="s">
        <v>2022</v>
      </c>
      <c r="E1284" s="238" t="s">
        <v>1836</v>
      </c>
      <c r="F1284" s="238" t="s">
        <v>2139</v>
      </c>
      <c r="G1284" s="238" t="s">
        <v>242</v>
      </c>
      <c r="H1284" s="239" t="s">
        <v>3099</v>
      </c>
      <c r="I1284" s="217"/>
      <c r="J1284" s="217"/>
      <c r="K1284" s="217"/>
      <c r="L1284" s="217"/>
      <c r="M1284" s="217"/>
      <c r="N1284" s="217"/>
      <c r="O1284" s="217"/>
      <c r="P1284" s="217"/>
    </row>
    <row r="1285" spans="1:16" s="219" customFormat="1" ht="45" hidden="1" x14ac:dyDescent="0.25">
      <c r="A1285" s="214"/>
      <c r="B1285" s="237">
        <v>1</v>
      </c>
      <c r="C1285" s="237">
        <v>3</v>
      </c>
      <c r="D1285" s="238" t="s">
        <v>2022</v>
      </c>
      <c r="E1285" s="238" t="s">
        <v>1836</v>
      </c>
      <c r="F1285" s="238" t="s">
        <v>2139</v>
      </c>
      <c r="G1285" s="238" t="s">
        <v>244</v>
      </c>
      <c r="H1285" s="239" t="s">
        <v>3100</v>
      </c>
      <c r="I1285" s="217"/>
      <c r="J1285" s="217"/>
      <c r="K1285" s="217"/>
      <c r="L1285" s="217"/>
      <c r="M1285" s="217"/>
      <c r="N1285" s="217"/>
      <c r="O1285" s="217"/>
      <c r="P1285" s="217"/>
    </row>
    <row r="1286" spans="1:16" s="219" customFormat="1" ht="45" hidden="1" x14ac:dyDescent="0.25">
      <c r="A1286" s="214"/>
      <c r="B1286" s="237">
        <v>1</v>
      </c>
      <c r="C1286" s="237">
        <v>3</v>
      </c>
      <c r="D1286" s="238" t="s">
        <v>2022</v>
      </c>
      <c r="E1286" s="238" t="s">
        <v>1836</v>
      </c>
      <c r="F1286" s="238" t="s">
        <v>2139</v>
      </c>
      <c r="G1286" s="238" t="s">
        <v>246</v>
      </c>
      <c r="H1286" s="239" t="s">
        <v>3101</v>
      </c>
      <c r="I1286" s="217"/>
      <c r="J1286" s="217"/>
      <c r="K1286" s="217"/>
      <c r="L1286" s="217"/>
      <c r="M1286" s="217"/>
      <c r="N1286" s="217"/>
      <c r="O1286" s="217"/>
      <c r="P1286" s="217"/>
    </row>
    <row r="1287" spans="1:16" s="219" customFormat="1" ht="45" hidden="1" x14ac:dyDescent="0.25">
      <c r="A1287" s="214"/>
      <c r="B1287" s="237">
        <v>1</v>
      </c>
      <c r="C1287" s="237">
        <v>3</v>
      </c>
      <c r="D1287" s="238" t="s">
        <v>2022</v>
      </c>
      <c r="E1287" s="238" t="s">
        <v>1836</v>
      </c>
      <c r="F1287" s="238" t="s">
        <v>2139</v>
      </c>
      <c r="G1287" s="238" t="s">
        <v>407</v>
      </c>
      <c r="H1287" s="239" t="s">
        <v>3102</v>
      </c>
      <c r="I1287" s="217"/>
      <c r="J1287" s="217"/>
      <c r="K1287" s="217"/>
      <c r="L1287" s="217"/>
      <c r="M1287" s="217"/>
      <c r="N1287" s="217"/>
      <c r="O1287" s="217"/>
      <c r="P1287" s="217"/>
    </row>
    <row r="1288" spans="1:16" s="219" customFormat="1" ht="60" hidden="1" x14ac:dyDescent="0.25">
      <c r="A1288" s="214"/>
      <c r="B1288" s="237">
        <v>1</v>
      </c>
      <c r="C1288" s="237">
        <v>3</v>
      </c>
      <c r="D1288" s="238" t="s">
        <v>2022</v>
      </c>
      <c r="E1288" s="238" t="s">
        <v>1836</v>
      </c>
      <c r="F1288" s="238" t="s">
        <v>2139</v>
      </c>
      <c r="G1288" s="238" t="s">
        <v>408</v>
      </c>
      <c r="H1288" s="239" t="s">
        <v>3103</v>
      </c>
      <c r="I1288" s="217"/>
      <c r="J1288" s="217"/>
      <c r="K1288" s="217"/>
      <c r="L1288" s="217"/>
      <c r="M1288" s="217"/>
      <c r="N1288" s="217"/>
      <c r="O1288" s="217"/>
      <c r="P1288" s="217"/>
    </row>
    <row r="1289" spans="1:16" s="219" customFormat="1" ht="45" hidden="1" x14ac:dyDescent="0.25">
      <c r="A1289" s="214"/>
      <c r="B1289" s="237">
        <v>1</v>
      </c>
      <c r="C1289" s="237">
        <v>3</v>
      </c>
      <c r="D1289" s="238" t="s">
        <v>2022</v>
      </c>
      <c r="E1289" s="238" t="s">
        <v>1836</v>
      </c>
      <c r="F1289" s="238" t="s">
        <v>2139</v>
      </c>
      <c r="G1289" s="238" t="s">
        <v>409</v>
      </c>
      <c r="H1289" s="239" t="s">
        <v>3104</v>
      </c>
      <c r="I1289" s="217"/>
      <c r="J1289" s="217"/>
      <c r="K1289" s="217"/>
      <c r="L1289" s="217"/>
      <c r="M1289" s="217"/>
      <c r="N1289" s="217"/>
      <c r="O1289" s="217"/>
      <c r="P1289" s="217"/>
    </row>
    <row r="1290" spans="1:16" s="219" customFormat="1" ht="45" hidden="1" x14ac:dyDescent="0.25">
      <c r="A1290" s="214"/>
      <c r="B1290" s="237">
        <v>1</v>
      </c>
      <c r="C1290" s="237">
        <v>3</v>
      </c>
      <c r="D1290" s="238" t="s">
        <v>2022</v>
      </c>
      <c r="E1290" s="238" t="s">
        <v>1836</v>
      </c>
      <c r="F1290" s="238" t="s">
        <v>2139</v>
      </c>
      <c r="G1290" s="238" t="s">
        <v>788</v>
      </c>
      <c r="H1290" s="239" t="s">
        <v>3105</v>
      </c>
      <c r="I1290" s="217"/>
      <c r="J1290" s="217"/>
      <c r="K1290" s="217"/>
      <c r="L1290" s="217"/>
      <c r="M1290" s="217"/>
      <c r="N1290" s="217"/>
      <c r="O1290" s="217"/>
      <c r="P1290" s="217"/>
    </row>
    <row r="1291" spans="1:16" s="219" customFormat="1" ht="45" hidden="1" x14ac:dyDescent="0.25">
      <c r="A1291" s="214"/>
      <c r="B1291" s="237">
        <v>1</v>
      </c>
      <c r="C1291" s="237">
        <v>3</v>
      </c>
      <c r="D1291" s="238" t="s">
        <v>2022</v>
      </c>
      <c r="E1291" s="238" t="s">
        <v>1836</v>
      </c>
      <c r="F1291" s="238" t="s">
        <v>2139</v>
      </c>
      <c r="G1291" s="238" t="s">
        <v>1017</v>
      </c>
      <c r="H1291" s="239" t="s">
        <v>3106</v>
      </c>
      <c r="I1291" s="217"/>
      <c r="J1291" s="217"/>
      <c r="K1291" s="217"/>
      <c r="L1291" s="217"/>
      <c r="M1291" s="217"/>
      <c r="N1291" s="217"/>
      <c r="O1291" s="217"/>
      <c r="P1291" s="217"/>
    </row>
    <row r="1292" spans="1:16" s="219" customFormat="1" ht="45" hidden="1" x14ac:dyDescent="0.25">
      <c r="A1292" s="214"/>
      <c r="B1292" s="237">
        <v>1</v>
      </c>
      <c r="C1292" s="237">
        <v>3</v>
      </c>
      <c r="D1292" s="238" t="s">
        <v>2022</v>
      </c>
      <c r="E1292" s="238" t="s">
        <v>1836</v>
      </c>
      <c r="F1292" s="238" t="s">
        <v>2139</v>
      </c>
      <c r="G1292" s="238" t="s">
        <v>411</v>
      </c>
      <c r="H1292" s="239" t="s">
        <v>3107</v>
      </c>
      <c r="I1292" s="217"/>
      <c r="J1292" s="217"/>
      <c r="K1292" s="217"/>
      <c r="L1292" s="217"/>
      <c r="M1292" s="217"/>
      <c r="N1292" s="217"/>
      <c r="O1292" s="217"/>
      <c r="P1292" s="217"/>
    </row>
    <row r="1293" spans="1:16" s="219" customFormat="1" ht="45" hidden="1" x14ac:dyDescent="0.25">
      <c r="A1293" s="214"/>
      <c r="B1293" s="237">
        <v>1</v>
      </c>
      <c r="C1293" s="237">
        <v>3</v>
      </c>
      <c r="D1293" s="238" t="s">
        <v>2022</v>
      </c>
      <c r="E1293" s="238" t="s">
        <v>1836</v>
      </c>
      <c r="F1293" s="238" t="s">
        <v>2139</v>
      </c>
      <c r="G1293" s="238" t="s">
        <v>247</v>
      </c>
      <c r="H1293" s="239" t="s">
        <v>3108</v>
      </c>
      <c r="I1293" s="217"/>
      <c r="J1293" s="217"/>
      <c r="K1293" s="217"/>
      <c r="L1293" s="217"/>
      <c r="M1293" s="217"/>
      <c r="N1293" s="217"/>
      <c r="O1293" s="217"/>
      <c r="P1293" s="217"/>
    </row>
    <row r="1294" spans="1:16" s="219" customFormat="1" ht="45" hidden="1" x14ac:dyDescent="0.25">
      <c r="A1294" s="214"/>
      <c r="B1294" s="237">
        <v>1</v>
      </c>
      <c r="C1294" s="237">
        <v>3</v>
      </c>
      <c r="D1294" s="238" t="s">
        <v>2022</v>
      </c>
      <c r="E1294" s="238" t="s">
        <v>1836</v>
      </c>
      <c r="F1294" s="238" t="s">
        <v>2139</v>
      </c>
      <c r="G1294" s="238" t="s">
        <v>1019</v>
      </c>
      <c r="H1294" s="239" t="s">
        <v>3109</v>
      </c>
      <c r="I1294" s="217"/>
      <c r="J1294" s="217"/>
      <c r="K1294" s="217"/>
      <c r="L1294" s="217"/>
      <c r="M1294" s="217"/>
      <c r="N1294" s="217"/>
      <c r="O1294" s="217"/>
      <c r="P1294" s="217"/>
    </row>
    <row r="1295" spans="1:16" s="219" customFormat="1" ht="45" hidden="1" x14ac:dyDescent="0.25">
      <c r="A1295" s="214"/>
      <c r="B1295" s="237">
        <v>1</v>
      </c>
      <c r="C1295" s="237">
        <v>3</v>
      </c>
      <c r="D1295" s="238" t="s">
        <v>2022</v>
      </c>
      <c r="E1295" s="238" t="s">
        <v>1836</v>
      </c>
      <c r="F1295" s="238" t="s">
        <v>2139</v>
      </c>
      <c r="G1295" s="238" t="s">
        <v>1022</v>
      </c>
      <c r="H1295" s="239" t="s">
        <v>3110</v>
      </c>
      <c r="I1295" s="217"/>
      <c r="J1295" s="217"/>
      <c r="K1295" s="217"/>
      <c r="L1295" s="217"/>
      <c r="M1295" s="217"/>
      <c r="N1295" s="217"/>
      <c r="O1295" s="217"/>
      <c r="P1295" s="217"/>
    </row>
    <row r="1296" spans="1:16" s="219" customFormat="1" ht="45" hidden="1" x14ac:dyDescent="0.25">
      <c r="A1296" s="214"/>
      <c r="B1296" s="237">
        <v>1</v>
      </c>
      <c r="C1296" s="237">
        <v>3</v>
      </c>
      <c r="D1296" s="238" t="s">
        <v>2022</v>
      </c>
      <c r="E1296" s="238" t="s">
        <v>1836</v>
      </c>
      <c r="F1296" s="238" t="s">
        <v>2139</v>
      </c>
      <c r="G1296" s="238" t="s">
        <v>1024</v>
      </c>
      <c r="H1296" s="239" t="s">
        <v>3111</v>
      </c>
      <c r="I1296" s="217"/>
      <c r="J1296" s="217"/>
      <c r="K1296" s="217"/>
      <c r="L1296" s="217"/>
      <c r="M1296" s="217"/>
      <c r="N1296" s="217"/>
      <c r="O1296" s="217"/>
      <c r="P1296" s="217"/>
    </row>
    <row r="1297" spans="1:16" s="219" customFormat="1" ht="45" hidden="1" x14ac:dyDescent="0.25">
      <c r="A1297" s="214"/>
      <c r="B1297" s="237">
        <v>1</v>
      </c>
      <c r="C1297" s="237">
        <v>3</v>
      </c>
      <c r="D1297" s="238" t="s">
        <v>2022</v>
      </c>
      <c r="E1297" s="238" t="s">
        <v>1836</v>
      </c>
      <c r="F1297" s="238" t="s">
        <v>2139</v>
      </c>
      <c r="G1297" s="238" t="s">
        <v>1026</v>
      </c>
      <c r="H1297" s="239" t="s">
        <v>3112</v>
      </c>
      <c r="I1297" s="217"/>
      <c r="J1297" s="217"/>
      <c r="K1297" s="217"/>
      <c r="L1297" s="217"/>
      <c r="M1297" s="217"/>
      <c r="N1297" s="217"/>
      <c r="O1297" s="217"/>
      <c r="P1297" s="217"/>
    </row>
    <row r="1298" spans="1:16" s="219" customFormat="1" ht="45" hidden="1" x14ac:dyDescent="0.25">
      <c r="A1298" s="214"/>
      <c r="B1298" s="237">
        <v>1</v>
      </c>
      <c r="C1298" s="237">
        <v>3</v>
      </c>
      <c r="D1298" s="238" t="s">
        <v>2022</v>
      </c>
      <c r="E1298" s="238" t="s">
        <v>1836</v>
      </c>
      <c r="F1298" s="238" t="s">
        <v>2139</v>
      </c>
      <c r="G1298" s="238" t="s">
        <v>416</v>
      </c>
      <c r="H1298" s="239" t="s">
        <v>3113</v>
      </c>
      <c r="I1298" s="217"/>
      <c r="J1298" s="217"/>
      <c r="K1298" s="217"/>
      <c r="L1298" s="217"/>
      <c r="M1298" s="217"/>
      <c r="N1298" s="217"/>
      <c r="O1298" s="217"/>
      <c r="P1298" s="217"/>
    </row>
    <row r="1299" spans="1:16" s="219" customFormat="1" ht="45" hidden="1" x14ac:dyDescent="0.25">
      <c r="A1299" s="214"/>
      <c r="B1299" s="237">
        <v>1</v>
      </c>
      <c r="C1299" s="237">
        <v>3</v>
      </c>
      <c r="D1299" s="238" t="s">
        <v>2022</v>
      </c>
      <c r="E1299" s="238" t="s">
        <v>1836</v>
      </c>
      <c r="F1299" s="238" t="s">
        <v>2139</v>
      </c>
      <c r="G1299" s="238" t="s">
        <v>417</v>
      </c>
      <c r="H1299" s="239" t="s">
        <v>3114</v>
      </c>
      <c r="I1299" s="217"/>
      <c r="J1299" s="217"/>
      <c r="K1299" s="217"/>
      <c r="L1299" s="217"/>
      <c r="M1299" s="217"/>
      <c r="N1299" s="217"/>
      <c r="O1299" s="217"/>
      <c r="P1299" s="217"/>
    </row>
    <row r="1300" spans="1:16" s="219" customFormat="1" ht="45" hidden="1" x14ac:dyDescent="0.25">
      <c r="A1300" s="214"/>
      <c r="B1300" s="237">
        <v>1</v>
      </c>
      <c r="C1300" s="237">
        <v>3</v>
      </c>
      <c r="D1300" s="238" t="s">
        <v>2022</v>
      </c>
      <c r="E1300" s="238" t="s">
        <v>1836</v>
      </c>
      <c r="F1300" s="238" t="s">
        <v>2139</v>
      </c>
      <c r="G1300" s="238" t="s">
        <v>1028</v>
      </c>
      <c r="H1300" s="239" t="s">
        <v>3115</v>
      </c>
      <c r="I1300" s="217"/>
      <c r="J1300" s="217"/>
      <c r="K1300" s="217"/>
      <c r="L1300" s="217"/>
      <c r="M1300" s="217"/>
      <c r="N1300" s="217"/>
      <c r="O1300" s="217"/>
      <c r="P1300" s="217"/>
    </row>
    <row r="1301" spans="1:16" s="219" customFormat="1" ht="45" hidden="1" x14ac:dyDescent="0.25">
      <c r="A1301" s="214"/>
      <c r="B1301" s="237">
        <v>1</v>
      </c>
      <c r="C1301" s="237">
        <v>3</v>
      </c>
      <c r="D1301" s="238" t="s">
        <v>2022</v>
      </c>
      <c r="E1301" s="238" t="s">
        <v>1836</v>
      </c>
      <c r="F1301" s="238" t="s">
        <v>2139</v>
      </c>
      <c r="G1301" s="238" t="s">
        <v>1029</v>
      </c>
      <c r="H1301" s="239" t="s">
        <v>3116</v>
      </c>
      <c r="I1301" s="217"/>
      <c r="J1301" s="217"/>
      <c r="K1301" s="217"/>
      <c r="L1301" s="217"/>
      <c r="M1301" s="217"/>
      <c r="N1301" s="217"/>
      <c r="O1301" s="217"/>
      <c r="P1301" s="217"/>
    </row>
    <row r="1302" spans="1:16" s="219" customFormat="1" ht="45" hidden="1" x14ac:dyDescent="0.25">
      <c r="A1302" s="214"/>
      <c r="B1302" s="237">
        <v>1</v>
      </c>
      <c r="C1302" s="237">
        <v>3</v>
      </c>
      <c r="D1302" s="238" t="s">
        <v>2022</v>
      </c>
      <c r="E1302" s="238" t="s">
        <v>1836</v>
      </c>
      <c r="F1302" s="238" t="s">
        <v>2139</v>
      </c>
      <c r="G1302" s="238" t="s">
        <v>1030</v>
      </c>
      <c r="H1302" s="239" t="s">
        <v>3117</v>
      </c>
      <c r="I1302" s="217"/>
      <c r="J1302" s="217"/>
      <c r="K1302" s="217"/>
      <c r="L1302" s="217"/>
      <c r="M1302" s="217"/>
      <c r="N1302" s="217"/>
      <c r="O1302" s="217"/>
      <c r="P1302" s="217"/>
    </row>
    <row r="1303" spans="1:16" s="219" customFormat="1" ht="45" hidden="1" x14ac:dyDescent="0.25">
      <c r="A1303" s="214"/>
      <c r="B1303" s="237">
        <v>1</v>
      </c>
      <c r="C1303" s="237">
        <v>3</v>
      </c>
      <c r="D1303" s="238" t="s">
        <v>2022</v>
      </c>
      <c r="E1303" s="238" t="s">
        <v>1836</v>
      </c>
      <c r="F1303" s="238" t="s">
        <v>2139</v>
      </c>
      <c r="G1303" s="238" t="s">
        <v>1032</v>
      </c>
      <c r="H1303" s="239" t="s">
        <v>3118</v>
      </c>
      <c r="I1303" s="217"/>
      <c r="J1303" s="217"/>
      <c r="K1303" s="217"/>
      <c r="L1303" s="217"/>
      <c r="M1303" s="217"/>
      <c r="N1303" s="217"/>
      <c r="O1303" s="217"/>
      <c r="P1303" s="217"/>
    </row>
    <row r="1304" spans="1:16" s="219" customFormat="1" ht="45" hidden="1" x14ac:dyDescent="0.25">
      <c r="A1304" s="214"/>
      <c r="B1304" s="237">
        <v>1</v>
      </c>
      <c r="C1304" s="237">
        <v>3</v>
      </c>
      <c r="D1304" s="238" t="s">
        <v>2022</v>
      </c>
      <c r="E1304" s="238" t="s">
        <v>1836</v>
      </c>
      <c r="F1304" s="238" t="s">
        <v>2139</v>
      </c>
      <c r="G1304" s="238" t="s">
        <v>1212</v>
      </c>
      <c r="H1304" s="239" t="s">
        <v>3119</v>
      </c>
      <c r="I1304" s="217"/>
      <c r="J1304" s="217"/>
      <c r="K1304" s="217"/>
      <c r="L1304" s="217"/>
      <c r="M1304" s="217"/>
      <c r="N1304" s="217"/>
      <c r="O1304" s="217"/>
      <c r="P1304" s="217"/>
    </row>
    <row r="1305" spans="1:16" s="219" customFormat="1" ht="45" hidden="1" x14ac:dyDescent="0.25">
      <c r="A1305" s="214"/>
      <c r="B1305" s="237">
        <v>1</v>
      </c>
      <c r="C1305" s="237">
        <v>3</v>
      </c>
      <c r="D1305" s="238" t="s">
        <v>2022</v>
      </c>
      <c r="E1305" s="238" t="s">
        <v>1836</v>
      </c>
      <c r="F1305" s="238" t="s">
        <v>2139</v>
      </c>
      <c r="G1305" s="238" t="s">
        <v>791</v>
      </c>
      <c r="H1305" s="239" t="s">
        <v>3120</v>
      </c>
      <c r="I1305" s="217"/>
      <c r="J1305" s="217"/>
      <c r="K1305" s="217"/>
      <c r="L1305" s="217"/>
      <c r="M1305" s="217"/>
      <c r="N1305" s="217"/>
      <c r="O1305" s="217"/>
      <c r="P1305" s="217"/>
    </row>
    <row r="1306" spans="1:16" s="219" customFormat="1" ht="45" hidden="1" x14ac:dyDescent="0.25">
      <c r="A1306" s="214"/>
      <c r="B1306" s="237">
        <v>1</v>
      </c>
      <c r="C1306" s="237">
        <v>3</v>
      </c>
      <c r="D1306" s="238" t="s">
        <v>2022</v>
      </c>
      <c r="E1306" s="238" t="s">
        <v>1836</v>
      </c>
      <c r="F1306" s="238" t="s">
        <v>2139</v>
      </c>
      <c r="G1306" s="238" t="s">
        <v>420</v>
      </c>
      <c r="H1306" s="239" t="s">
        <v>3121</v>
      </c>
      <c r="I1306" s="217"/>
      <c r="J1306" s="217"/>
      <c r="K1306" s="217"/>
      <c r="L1306" s="217"/>
      <c r="M1306" s="217"/>
      <c r="N1306" s="217"/>
      <c r="O1306" s="217"/>
      <c r="P1306" s="217"/>
    </row>
    <row r="1307" spans="1:16" s="219" customFormat="1" ht="45" hidden="1" x14ac:dyDescent="0.25">
      <c r="A1307" s="214"/>
      <c r="B1307" s="237">
        <v>1</v>
      </c>
      <c r="C1307" s="237">
        <v>3</v>
      </c>
      <c r="D1307" s="238" t="s">
        <v>2022</v>
      </c>
      <c r="E1307" s="238" t="s">
        <v>1836</v>
      </c>
      <c r="F1307" s="238" t="s">
        <v>2139</v>
      </c>
      <c r="G1307" s="238" t="s">
        <v>1224</v>
      </c>
      <c r="H1307" s="239" t="s">
        <v>3122</v>
      </c>
      <c r="I1307" s="217"/>
      <c r="J1307" s="217"/>
      <c r="K1307" s="217"/>
      <c r="L1307" s="217"/>
      <c r="M1307" s="217"/>
      <c r="N1307" s="217"/>
      <c r="O1307" s="217"/>
      <c r="P1307" s="217"/>
    </row>
    <row r="1308" spans="1:16" s="219" customFormat="1" ht="60" hidden="1" x14ac:dyDescent="0.25">
      <c r="A1308" s="214"/>
      <c r="B1308" s="237">
        <v>1</v>
      </c>
      <c r="C1308" s="237">
        <v>3</v>
      </c>
      <c r="D1308" s="238" t="s">
        <v>2022</v>
      </c>
      <c r="E1308" s="238" t="s">
        <v>1836</v>
      </c>
      <c r="F1308" s="238" t="s">
        <v>2139</v>
      </c>
      <c r="G1308" s="238" t="s">
        <v>1226</v>
      </c>
      <c r="H1308" s="239" t="s">
        <v>3123</v>
      </c>
      <c r="I1308" s="217"/>
      <c r="J1308" s="217"/>
      <c r="K1308" s="217"/>
      <c r="L1308" s="217"/>
      <c r="M1308" s="217"/>
      <c r="N1308" s="217"/>
      <c r="O1308" s="217"/>
      <c r="P1308" s="217"/>
    </row>
    <row r="1309" spans="1:16" s="219" customFormat="1" ht="45" hidden="1" x14ac:dyDescent="0.25">
      <c r="A1309" s="214"/>
      <c r="B1309" s="237">
        <v>1</v>
      </c>
      <c r="C1309" s="237">
        <v>3</v>
      </c>
      <c r="D1309" s="238" t="s">
        <v>2022</v>
      </c>
      <c r="E1309" s="238" t="s">
        <v>1836</v>
      </c>
      <c r="F1309" s="238" t="s">
        <v>2139</v>
      </c>
      <c r="G1309" s="238" t="s">
        <v>2198</v>
      </c>
      <c r="H1309" s="239" t="s">
        <v>3124</v>
      </c>
      <c r="I1309" s="217"/>
      <c r="J1309" s="217"/>
      <c r="K1309" s="217"/>
      <c r="L1309" s="217"/>
      <c r="M1309" s="217"/>
      <c r="N1309" s="217"/>
      <c r="O1309" s="217"/>
      <c r="P1309" s="217"/>
    </row>
    <row r="1310" spans="1:16" s="219" customFormat="1" ht="45" hidden="1" x14ac:dyDescent="0.25">
      <c r="A1310" s="214"/>
      <c r="B1310" s="237">
        <v>1</v>
      </c>
      <c r="C1310" s="237">
        <v>3</v>
      </c>
      <c r="D1310" s="238" t="s">
        <v>2022</v>
      </c>
      <c r="E1310" s="238" t="s">
        <v>1836</v>
      </c>
      <c r="F1310" s="238" t="s">
        <v>2139</v>
      </c>
      <c r="G1310" s="238" t="s">
        <v>422</v>
      </c>
      <c r="H1310" s="239" t="s">
        <v>3125</v>
      </c>
      <c r="I1310" s="217"/>
      <c r="J1310" s="217"/>
      <c r="K1310" s="217"/>
      <c r="L1310" s="217"/>
      <c r="M1310" s="217"/>
      <c r="N1310" s="217"/>
      <c r="O1310" s="217"/>
      <c r="P1310" s="217"/>
    </row>
    <row r="1311" spans="1:16" s="219" customFormat="1" ht="45" hidden="1" x14ac:dyDescent="0.25">
      <c r="A1311" s="214"/>
      <c r="B1311" s="237">
        <v>1</v>
      </c>
      <c r="C1311" s="237">
        <v>3</v>
      </c>
      <c r="D1311" s="238" t="s">
        <v>2022</v>
      </c>
      <c r="E1311" s="238" t="s">
        <v>1836</v>
      </c>
      <c r="F1311" s="238" t="s">
        <v>2139</v>
      </c>
      <c r="G1311" s="238" t="s">
        <v>423</v>
      </c>
      <c r="H1311" s="239" t="s">
        <v>3126</v>
      </c>
      <c r="I1311" s="217"/>
      <c r="J1311" s="217"/>
      <c r="K1311" s="217"/>
      <c r="L1311" s="217"/>
      <c r="M1311" s="217"/>
      <c r="N1311" s="217"/>
      <c r="O1311" s="217"/>
      <c r="P1311" s="217"/>
    </row>
    <row r="1312" spans="1:16" s="219" customFormat="1" ht="45" hidden="1" x14ac:dyDescent="0.25">
      <c r="A1312" s="214"/>
      <c r="B1312" s="237">
        <v>1</v>
      </c>
      <c r="C1312" s="237">
        <v>3</v>
      </c>
      <c r="D1312" s="238" t="s">
        <v>2022</v>
      </c>
      <c r="E1312" s="238" t="s">
        <v>1836</v>
      </c>
      <c r="F1312" s="238" t="s">
        <v>2139</v>
      </c>
      <c r="G1312" s="238" t="s">
        <v>575</v>
      </c>
      <c r="H1312" s="239" t="s">
        <v>3127</v>
      </c>
      <c r="I1312" s="217"/>
      <c r="J1312" s="217"/>
      <c r="K1312" s="217"/>
      <c r="L1312" s="217"/>
      <c r="M1312" s="217"/>
      <c r="N1312" s="217"/>
      <c r="O1312" s="217"/>
      <c r="P1312" s="217"/>
    </row>
    <row r="1313" spans="1:16" s="219" customFormat="1" ht="45" hidden="1" x14ac:dyDescent="0.25">
      <c r="A1313" s="214"/>
      <c r="B1313" s="237">
        <v>1</v>
      </c>
      <c r="C1313" s="237">
        <v>3</v>
      </c>
      <c r="D1313" s="238" t="s">
        <v>2022</v>
      </c>
      <c r="E1313" s="238" t="s">
        <v>1836</v>
      </c>
      <c r="F1313" s="238" t="s">
        <v>2139</v>
      </c>
      <c r="G1313" s="238" t="s">
        <v>576</v>
      </c>
      <c r="H1313" s="239" t="s">
        <v>3128</v>
      </c>
      <c r="I1313" s="217"/>
      <c r="J1313" s="217"/>
      <c r="K1313" s="217"/>
      <c r="L1313" s="217"/>
      <c r="M1313" s="217"/>
      <c r="N1313" s="217"/>
      <c r="O1313" s="217"/>
      <c r="P1313" s="217"/>
    </row>
    <row r="1314" spans="1:16" s="219" customFormat="1" ht="45" hidden="1" x14ac:dyDescent="0.25">
      <c r="A1314" s="214"/>
      <c r="B1314" s="237">
        <v>1</v>
      </c>
      <c r="C1314" s="237">
        <v>3</v>
      </c>
      <c r="D1314" s="238" t="s">
        <v>2022</v>
      </c>
      <c r="E1314" s="238" t="s">
        <v>1836</v>
      </c>
      <c r="F1314" s="238" t="s">
        <v>2139</v>
      </c>
      <c r="G1314" s="238" t="s">
        <v>577</v>
      </c>
      <c r="H1314" s="239" t="s">
        <v>3129</v>
      </c>
      <c r="I1314" s="217"/>
      <c r="J1314" s="217"/>
      <c r="K1314" s="217"/>
      <c r="L1314" s="217"/>
      <c r="M1314" s="217"/>
      <c r="N1314" s="217"/>
      <c r="O1314" s="217"/>
      <c r="P1314" s="217"/>
    </row>
    <row r="1315" spans="1:16" s="219" customFormat="1" ht="45" hidden="1" x14ac:dyDescent="0.25">
      <c r="A1315" s="214"/>
      <c r="B1315" s="237">
        <v>1</v>
      </c>
      <c r="C1315" s="237">
        <v>3</v>
      </c>
      <c r="D1315" s="238" t="s">
        <v>2022</v>
      </c>
      <c r="E1315" s="238" t="s">
        <v>1836</v>
      </c>
      <c r="F1315" s="238" t="s">
        <v>2139</v>
      </c>
      <c r="G1315" s="238" t="s">
        <v>2205</v>
      </c>
      <c r="H1315" s="239" t="s">
        <v>3130</v>
      </c>
      <c r="I1315" s="217"/>
      <c r="J1315" s="217"/>
      <c r="K1315" s="217"/>
      <c r="L1315" s="217"/>
      <c r="M1315" s="217"/>
      <c r="N1315" s="217"/>
      <c r="O1315" s="217"/>
      <c r="P1315" s="217"/>
    </row>
    <row r="1316" spans="1:16" s="219" customFormat="1" ht="45" hidden="1" x14ac:dyDescent="0.25">
      <c r="A1316" s="214"/>
      <c r="B1316" s="237">
        <v>1</v>
      </c>
      <c r="C1316" s="237">
        <v>3</v>
      </c>
      <c r="D1316" s="238" t="s">
        <v>2022</v>
      </c>
      <c r="E1316" s="238" t="s">
        <v>1836</v>
      </c>
      <c r="F1316" s="238" t="s">
        <v>2139</v>
      </c>
      <c r="G1316" s="238" t="s">
        <v>3022</v>
      </c>
      <c r="H1316" s="239" t="s">
        <v>3131</v>
      </c>
      <c r="I1316" s="217"/>
      <c r="J1316" s="217"/>
      <c r="K1316" s="217"/>
      <c r="L1316" s="217"/>
      <c r="M1316" s="217"/>
      <c r="N1316" s="217"/>
      <c r="O1316" s="217"/>
      <c r="P1316" s="217"/>
    </row>
    <row r="1317" spans="1:16" s="219" customFormat="1" ht="45" hidden="1" x14ac:dyDescent="0.25">
      <c r="A1317" s="214"/>
      <c r="B1317" s="237">
        <v>1</v>
      </c>
      <c r="C1317" s="237">
        <v>3</v>
      </c>
      <c r="D1317" s="238" t="s">
        <v>2022</v>
      </c>
      <c r="E1317" s="238" t="s">
        <v>1836</v>
      </c>
      <c r="F1317" s="238" t="s">
        <v>2139</v>
      </c>
      <c r="G1317" s="238" t="s">
        <v>427</v>
      </c>
      <c r="H1317" s="239" t="s">
        <v>3132</v>
      </c>
      <c r="I1317" s="217"/>
      <c r="J1317" s="217"/>
      <c r="K1317" s="217"/>
      <c r="L1317" s="217"/>
      <c r="M1317" s="217"/>
      <c r="N1317" s="217"/>
      <c r="O1317" s="217"/>
      <c r="P1317" s="217"/>
    </row>
    <row r="1318" spans="1:16" s="219" customFormat="1" ht="45" hidden="1" x14ac:dyDescent="0.25">
      <c r="A1318" s="214"/>
      <c r="B1318" s="237">
        <v>1</v>
      </c>
      <c r="C1318" s="237">
        <v>3</v>
      </c>
      <c r="D1318" s="238" t="s">
        <v>2022</v>
      </c>
      <c r="E1318" s="238" t="s">
        <v>1836</v>
      </c>
      <c r="F1318" s="238" t="s">
        <v>2139</v>
      </c>
      <c r="G1318" s="238" t="s">
        <v>428</v>
      </c>
      <c r="H1318" s="239" t="s">
        <v>3133</v>
      </c>
      <c r="I1318" s="217"/>
      <c r="J1318" s="217"/>
      <c r="K1318" s="217"/>
      <c r="L1318" s="217"/>
      <c r="M1318" s="217"/>
      <c r="N1318" s="217"/>
      <c r="O1318" s="217"/>
      <c r="P1318" s="217"/>
    </row>
    <row r="1319" spans="1:16" s="219" customFormat="1" ht="45" hidden="1" x14ac:dyDescent="0.25">
      <c r="A1319" s="214"/>
      <c r="B1319" s="237">
        <v>1</v>
      </c>
      <c r="C1319" s="237">
        <v>3</v>
      </c>
      <c r="D1319" s="238" t="s">
        <v>2022</v>
      </c>
      <c r="E1319" s="238" t="s">
        <v>1836</v>
      </c>
      <c r="F1319" s="238" t="s">
        <v>2139</v>
      </c>
      <c r="G1319" s="238" t="s">
        <v>429</v>
      </c>
      <c r="H1319" s="239" t="s">
        <v>3134</v>
      </c>
      <c r="I1319" s="217"/>
      <c r="J1319" s="217"/>
      <c r="K1319" s="217"/>
      <c r="L1319" s="217"/>
      <c r="M1319" s="217"/>
      <c r="N1319" s="217"/>
      <c r="O1319" s="217"/>
      <c r="P1319" s="217"/>
    </row>
    <row r="1320" spans="1:16" s="219" customFormat="1" ht="45" hidden="1" x14ac:dyDescent="0.25">
      <c r="A1320" s="214"/>
      <c r="B1320" s="237">
        <v>1</v>
      </c>
      <c r="C1320" s="237">
        <v>3</v>
      </c>
      <c r="D1320" s="238" t="s">
        <v>2022</v>
      </c>
      <c r="E1320" s="238" t="s">
        <v>1836</v>
      </c>
      <c r="F1320" s="238" t="s">
        <v>2139</v>
      </c>
      <c r="G1320" s="238" t="s">
        <v>431</v>
      </c>
      <c r="H1320" s="239" t="s">
        <v>3135</v>
      </c>
      <c r="I1320" s="217"/>
      <c r="J1320" s="217"/>
      <c r="K1320" s="217"/>
      <c r="L1320" s="217"/>
      <c r="M1320" s="217"/>
      <c r="N1320" s="217"/>
      <c r="O1320" s="217"/>
      <c r="P1320" s="217"/>
    </row>
    <row r="1321" spans="1:16" s="219" customFormat="1" ht="45" hidden="1" x14ac:dyDescent="0.25">
      <c r="A1321" s="214"/>
      <c r="B1321" s="237">
        <v>1</v>
      </c>
      <c r="C1321" s="237">
        <v>3</v>
      </c>
      <c r="D1321" s="238" t="s">
        <v>2022</v>
      </c>
      <c r="E1321" s="238" t="s">
        <v>1836</v>
      </c>
      <c r="F1321" s="238" t="s">
        <v>2139</v>
      </c>
      <c r="G1321" s="238" t="s">
        <v>432</v>
      </c>
      <c r="H1321" s="239" t="s">
        <v>3136</v>
      </c>
      <c r="I1321" s="217"/>
      <c r="J1321" s="217"/>
      <c r="K1321" s="217"/>
      <c r="L1321" s="217"/>
      <c r="M1321" s="217"/>
      <c r="N1321" s="217"/>
      <c r="O1321" s="217"/>
      <c r="P1321" s="217"/>
    </row>
    <row r="1322" spans="1:16" s="219" customFormat="1" ht="60" hidden="1" x14ac:dyDescent="0.25">
      <c r="A1322" s="214"/>
      <c r="B1322" s="237">
        <v>1</v>
      </c>
      <c r="C1322" s="237">
        <v>3</v>
      </c>
      <c r="D1322" s="238" t="s">
        <v>2022</v>
      </c>
      <c r="E1322" s="238" t="s">
        <v>1836</v>
      </c>
      <c r="F1322" s="238" t="s">
        <v>2139</v>
      </c>
      <c r="G1322" s="238" t="s">
        <v>435</v>
      </c>
      <c r="H1322" s="239" t="s">
        <v>3137</v>
      </c>
      <c r="I1322" s="217"/>
      <c r="J1322" s="217"/>
      <c r="K1322" s="217"/>
      <c r="L1322" s="217"/>
      <c r="M1322" s="217"/>
      <c r="N1322" s="217"/>
      <c r="O1322" s="217"/>
      <c r="P1322" s="217"/>
    </row>
    <row r="1323" spans="1:16" s="219" customFormat="1" ht="60" hidden="1" x14ac:dyDescent="0.25">
      <c r="A1323" s="214"/>
      <c r="B1323" s="237">
        <v>1</v>
      </c>
      <c r="C1323" s="237">
        <v>3</v>
      </c>
      <c r="D1323" s="238" t="s">
        <v>2022</v>
      </c>
      <c r="E1323" s="238" t="s">
        <v>1836</v>
      </c>
      <c r="F1323" s="238" t="s">
        <v>2139</v>
      </c>
      <c r="G1323" s="238" t="s">
        <v>436</v>
      </c>
      <c r="H1323" s="239" t="s">
        <v>3138</v>
      </c>
      <c r="I1323" s="217"/>
      <c r="J1323" s="217"/>
      <c r="K1323" s="217"/>
      <c r="L1323" s="217"/>
      <c r="M1323" s="217"/>
      <c r="N1323" s="217"/>
      <c r="O1323" s="217"/>
      <c r="P1323" s="217"/>
    </row>
    <row r="1324" spans="1:16" s="219" customFormat="1" ht="60" hidden="1" x14ac:dyDescent="0.25">
      <c r="A1324" s="214"/>
      <c r="B1324" s="237">
        <v>1</v>
      </c>
      <c r="C1324" s="237">
        <v>3</v>
      </c>
      <c r="D1324" s="238" t="s">
        <v>2022</v>
      </c>
      <c r="E1324" s="238" t="s">
        <v>1836</v>
      </c>
      <c r="F1324" s="238" t="s">
        <v>2139</v>
      </c>
      <c r="G1324" s="238" t="s">
        <v>437</v>
      </c>
      <c r="H1324" s="239" t="s">
        <v>3139</v>
      </c>
      <c r="I1324" s="217"/>
      <c r="J1324" s="217"/>
      <c r="K1324" s="217"/>
      <c r="L1324" s="217"/>
      <c r="M1324" s="217"/>
      <c r="N1324" s="217"/>
      <c r="O1324" s="217"/>
      <c r="P1324" s="217"/>
    </row>
    <row r="1325" spans="1:16" s="219" customFormat="1" ht="60" hidden="1" x14ac:dyDescent="0.25">
      <c r="A1325" s="214"/>
      <c r="B1325" s="237">
        <v>1</v>
      </c>
      <c r="C1325" s="237">
        <v>3</v>
      </c>
      <c r="D1325" s="238" t="s">
        <v>2022</v>
      </c>
      <c r="E1325" s="238" t="s">
        <v>1836</v>
      </c>
      <c r="F1325" s="238" t="s">
        <v>2139</v>
      </c>
      <c r="G1325" s="238" t="s">
        <v>438</v>
      </c>
      <c r="H1325" s="239" t="s">
        <v>3140</v>
      </c>
      <c r="I1325" s="217"/>
      <c r="J1325" s="217"/>
      <c r="K1325" s="217"/>
      <c r="L1325" s="217"/>
      <c r="M1325" s="217"/>
      <c r="N1325" s="217"/>
      <c r="O1325" s="217"/>
      <c r="P1325" s="217"/>
    </row>
    <row r="1326" spans="1:16" s="219" customFormat="1" ht="60" hidden="1" x14ac:dyDescent="0.25">
      <c r="A1326" s="214"/>
      <c r="B1326" s="237">
        <v>1</v>
      </c>
      <c r="C1326" s="237">
        <v>3</v>
      </c>
      <c r="D1326" s="238" t="s">
        <v>2022</v>
      </c>
      <c r="E1326" s="238" t="s">
        <v>1836</v>
      </c>
      <c r="F1326" s="238" t="s">
        <v>2139</v>
      </c>
      <c r="G1326" s="238" t="s">
        <v>440</v>
      </c>
      <c r="H1326" s="239" t="s">
        <v>3141</v>
      </c>
      <c r="I1326" s="217"/>
      <c r="J1326" s="217"/>
      <c r="K1326" s="217"/>
      <c r="L1326" s="217"/>
      <c r="M1326" s="217"/>
      <c r="N1326" s="217"/>
      <c r="O1326" s="217"/>
      <c r="P1326" s="217"/>
    </row>
    <row r="1327" spans="1:16" s="219" customFormat="1" ht="60" hidden="1" x14ac:dyDescent="0.25">
      <c r="A1327" s="214"/>
      <c r="B1327" s="237">
        <v>1</v>
      </c>
      <c r="C1327" s="237">
        <v>3</v>
      </c>
      <c r="D1327" s="238" t="s">
        <v>2022</v>
      </c>
      <c r="E1327" s="238" t="s">
        <v>1836</v>
      </c>
      <c r="F1327" s="238" t="s">
        <v>2139</v>
      </c>
      <c r="G1327" s="238" t="s">
        <v>441</v>
      </c>
      <c r="H1327" s="239" t="s">
        <v>3142</v>
      </c>
      <c r="I1327" s="217"/>
      <c r="J1327" s="217"/>
      <c r="K1327" s="217"/>
      <c r="L1327" s="217"/>
      <c r="M1327" s="217"/>
      <c r="N1327" s="217"/>
      <c r="O1327" s="217"/>
      <c r="P1327" s="217"/>
    </row>
    <row r="1328" spans="1:16" s="219" customFormat="1" ht="45" hidden="1" x14ac:dyDescent="0.25">
      <c r="A1328" s="214"/>
      <c r="B1328" s="237">
        <v>1</v>
      </c>
      <c r="C1328" s="237">
        <v>3</v>
      </c>
      <c r="D1328" s="238" t="s">
        <v>2022</v>
      </c>
      <c r="E1328" s="238" t="s">
        <v>1836</v>
      </c>
      <c r="F1328" s="238" t="s">
        <v>2139</v>
      </c>
      <c r="G1328" s="238" t="s">
        <v>442</v>
      </c>
      <c r="H1328" s="239" t="s">
        <v>3143</v>
      </c>
      <c r="I1328" s="217"/>
      <c r="J1328" s="217"/>
      <c r="K1328" s="217"/>
      <c r="L1328" s="217"/>
      <c r="M1328" s="217"/>
      <c r="N1328" s="217"/>
      <c r="O1328" s="217"/>
      <c r="P1328" s="217"/>
    </row>
    <row r="1329" spans="1:16" s="219" customFormat="1" ht="45" hidden="1" x14ac:dyDescent="0.25">
      <c r="A1329" s="214"/>
      <c r="B1329" s="237">
        <v>1</v>
      </c>
      <c r="C1329" s="237">
        <v>3</v>
      </c>
      <c r="D1329" s="238" t="s">
        <v>2022</v>
      </c>
      <c r="E1329" s="238" t="s">
        <v>1836</v>
      </c>
      <c r="F1329" s="238" t="s">
        <v>2139</v>
      </c>
      <c r="G1329" s="238" t="s">
        <v>443</v>
      </c>
      <c r="H1329" s="239" t="s">
        <v>3144</v>
      </c>
      <c r="I1329" s="217"/>
      <c r="J1329" s="217"/>
      <c r="K1329" s="217"/>
      <c r="L1329" s="217"/>
      <c r="M1329" s="217"/>
      <c r="N1329" s="217"/>
      <c r="O1329" s="217"/>
      <c r="P1329" s="217"/>
    </row>
    <row r="1330" spans="1:16" s="219" customFormat="1" ht="60" hidden="1" x14ac:dyDescent="0.25">
      <c r="A1330" s="214"/>
      <c r="B1330" s="237">
        <v>1</v>
      </c>
      <c r="C1330" s="237">
        <v>3</v>
      </c>
      <c r="D1330" s="238" t="s">
        <v>2022</v>
      </c>
      <c r="E1330" s="238" t="s">
        <v>1836</v>
      </c>
      <c r="F1330" s="238" t="s">
        <v>2139</v>
      </c>
      <c r="G1330" s="238" t="s">
        <v>3145</v>
      </c>
      <c r="H1330" s="239" t="s">
        <v>3146</v>
      </c>
      <c r="I1330" s="217"/>
      <c r="J1330" s="217"/>
      <c r="K1330" s="217"/>
      <c r="L1330" s="217"/>
      <c r="M1330" s="217"/>
      <c r="N1330" s="217"/>
      <c r="O1330" s="217"/>
      <c r="P1330" s="217"/>
    </row>
    <row r="1331" spans="1:16" s="219" customFormat="1" ht="60" hidden="1" x14ac:dyDescent="0.25">
      <c r="A1331" s="214"/>
      <c r="B1331" s="237">
        <v>1</v>
      </c>
      <c r="C1331" s="237">
        <v>3</v>
      </c>
      <c r="D1331" s="238" t="s">
        <v>2022</v>
      </c>
      <c r="E1331" s="238" t="s">
        <v>1836</v>
      </c>
      <c r="F1331" s="238" t="s">
        <v>2139</v>
      </c>
      <c r="G1331" s="238" t="s">
        <v>3147</v>
      </c>
      <c r="H1331" s="239" t="s">
        <v>3148</v>
      </c>
      <c r="I1331" s="217"/>
      <c r="J1331" s="217"/>
      <c r="K1331" s="217"/>
      <c r="L1331" s="217"/>
      <c r="M1331" s="217"/>
      <c r="N1331" s="217"/>
      <c r="O1331" s="217"/>
      <c r="P1331" s="217"/>
    </row>
    <row r="1332" spans="1:16" s="219" customFormat="1" ht="60" hidden="1" x14ac:dyDescent="0.25">
      <c r="A1332" s="214"/>
      <c r="B1332" s="237">
        <v>1</v>
      </c>
      <c r="C1332" s="237">
        <v>3</v>
      </c>
      <c r="D1332" s="238" t="s">
        <v>2022</v>
      </c>
      <c r="E1332" s="238" t="s">
        <v>1836</v>
      </c>
      <c r="F1332" s="238" t="s">
        <v>2139</v>
      </c>
      <c r="G1332" s="238" t="s">
        <v>3149</v>
      </c>
      <c r="H1332" s="239" t="s">
        <v>3150</v>
      </c>
      <c r="I1332" s="217"/>
      <c r="J1332" s="217"/>
      <c r="K1332" s="217"/>
      <c r="L1332" s="217"/>
      <c r="M1332" s="217"/>
      <c r="N1332" s="217"/>
      <c r="O1332" s="217"/>
      <c r="P1332" s="217"/>
    </row>
    <row r="1333" spans="1:16" s="219" customFormat="1" ht="45" hidden="1" x14ac:dyDescent="0.25">
      <c r="A1333" s="214"/>
      <c r="B1333" s="237">
        <v>1</v>
      </c>
      <c r="C1333" s="237">
        <v>3</v>
      </c>
      <c r="D1333" s="238" t="s">
        <v>2022</v>
      </c>
      <c r="E1333" s="238" t="s">
        <v>1836</v>
      </c>
      <c r="F1333" s="238" t="s">
        <v>2139</v>
      </c>
      <c r="G1333" s="238" t="s">
        <v>3151</v>
      </c>
      <c r="H1333" s="239" t="s">
        <v>3152</v>
      </c>
      <c r="I1333" s="217"/>
      <c r="J1333" s="217"/>
      <c r="K1333" s="217"/>
      <c r="L1333" s="217"/>
      <c r="M1333" s="217"/>
      <c r="N1333" s="217"/>
      <c r="O1333" s="217"/>
      <c r="P1333" s="217"/>
    </row>
    <row r="1334" spans="1:16" s="219" customFormat="1" ht="60" hidden="1" x14ac:dyDescent="0.25">
      <c r="A1334" s="214"/>
      <c r="B1334" s="237">
        <v>1</v>
      </c>
      <c r="C1334" s="237">
        <v>3</v>
      </c>
      <c r="D1334" s="238" t="s">
        <v>2022</v>
      </c>
      <c r="E1334" s="238" t="s">
        <v>1836</v>
      </c>
      <c r="F1334" s="238" t="s">
        <v>2139</v>
      </c>
      <c r="G1334" s="238" t="s">
        <v>3153</v>
      </c>
      <c r="H1334" s="239" t="s">
        <v>3154</v>
      </c>
      <c r="I1334" s="217"/>
      <c r="J1334" s="217"/>
      <c r="K1334" s="217"/>
      <c r="L1334" s="217"/>
      <c r="M1334" s="217"/>
      <c r="N1334" s="217"/>
      <c r="O1334" s="217"/>
      <c r="P1334" s="217"/>
    </row>
    <row r="1335" spans="1:16" s="219" customFormat="1" ht="45" hidden="1" x14ac:dyDescent="0.25">
      <c r="A1335" s="214"/>
      <c r="B1335" s="237">
        <v>1</v>
      </c>
      <c r="C1335" s="237">
        <v>3</v>
      </c>
      <c r="D1335" s="238" t="s">
        <v>2022</v>
      </c>
      <c r="E1335" s="238" t="s">
        <v>1836</v>
      </c>
      <c r="F1335" s="238" t="s">
        <v>2139</v>
      </c>
      <c r="G1335" s="238" t="s">
        <v>3155</v>
      </c>
      <c r="H1335" s="239" t="s">
        <v>3156</v>
      </c>
      <c r="I1335" s="217"/>
      <c r="J1335" s="217"/>
      <c r="K1335" s="217"/>
      <c r="L1335" s="217"/>
      <c r="M1335" s="217"/>
      <c r="N1335" s="217"/>
      <c r="O1335" s="217"/>
      <c r="P1335" s="217"/>
    </row>
    <row r="1336" spans="1:16" s="219" customFormat="1" ht="45" hidden="1" x14ac:dyDescent="0.25">
      <c r="A1336" s="214"/>
      <c r="B1336" s="237">
        <v>1</v>
      </c>
      <c r="C1336" s="237">
        <v>3</v>
      </c>
      <c r="D1336" s="238" t="s">
        <v>2022</v>
      </c>
      <c r="E1336" s="238" t="s">
        <v>1836</v>
      </c>
      <c r="F1336" s="238" t="s">
        <v>2139</v>
      </c>
      <c r="G1336" s="238" t="s">
        <v>899</v>
      </c>
      <c r="H1336" s="239" t="s">
        <v>3157</v>
      </c>
      <c r="I1336" s="217"/>
      <c r="J1336" s="217"/>
      <c r="K1336" s="217"/>
      <c r="L1336" s="217"/>
      <c r="M1336" s="217"/>
      <c r="N1336" s="217"/>
      <c r="O1336" s="217"/>
      <c r="P1336" s="217"/>
    </row>
    <row r="1337" spans="1:16" s="219" customFormat="1" ht="45" hidden="1" x14ac:dyDescent="0.25">
      <c r="A1337" s="214"/>
      <c r="B1337" s="237">
        <v>1</v>
      </c>
      <c r="C1337" s="237">
        <v>3</v>
      </c>
      <c r="D1337" s="238" t="s">
        <v>2022</v>
      </c>
      <c r="E1337" s="238" t="s">
        <v>1836</v>
      </c>
      <c r="F1337" s="238" t="s">
        <v>2139</v>
      </c>
      <c r="G1337" s="238" t="s">
        <v>900</v>
      </c>
      <c r="H1337" s="239" t="s">
        <v>3158</v>
      </c>
      <c r="I1337" s="217"/>
      <c r="J1337" s="217"/>
      <c r="K1337" s="217"/>
      <c r="L1337" s="217"/>
      <c r="M1337" s="217"/>
      <c r="N1337" s="217"/>
      <c r="O1337" s="217"/>
      <c r="P1337" s="217"/>
    </row>
    <row r="1338" spans="1:16" s="219" customFormat="1" ht="60" hidden="1" x14ac:dyDescent="0.25">
      <c r="A1338" s="214"/>
      <c r="B1338" s="237">
        <v>1</v>
      </c>
      <c r="C1338" s="237">
        <v>3</v>
      </c>
      <c r="D1338" s="238" t="s">
        <v>2022</v>
      </c>
      <c r="E1338" s="238" t="s">
        <v>1836</v>
      </c>
      <c r="F1338" s="238" t="s">
        <v>2139</v>
      </c>
      <c r="G1338" s="238" t="s">
        <v>835</v>
      </c>
      <c r="H1338" s="239" t="s">
        <v>3159</v>
      </c>
      <c r="I1338" s="217"/>
      <c r="J1338" s="217"/>
      <c r="K1338" s="217"/>
      <c r="L1338" s="217"/>
      <c r="M1338" s="217"/>
      <c r="N1338" s="217"/>
      <c r="O1338" s="217"/>
      <c r="P1338" s="217"/>
    </row>
    <row r="1339" spans="1:16" s="219" customFormat="1" ht="60" hidden="1" x14ac:dyDescent="0.25">
      <c r="A1339" s="214"/>
      <c r="B1339" s="237">
        <v>1</v>
      </c>
      <c r="C1339" s="237">
        <v>3</v>
      </c>
      <c r="D1339" s="238" t="s">
        <v>2022</v>
      </c>
      <c r="E1339" s="238" t="s">
        <v>1836</v>
      </c>
      <c r="F1339" s="238" t="s">
        <v>2139</v>
      </c>
      <c r="G1339" s="238" t="s">
        <v>901</v>
      </c>
      <c r="H1339" s="239" t="s">
        <v>3160</v>
      </c>
      <c r="I1339" s="217"/>
      <c r="J1339" s="217"/>
      <c r="K1339" s="217"/>
      <c r="L1339" s="217"/>
      <c r="M1339" s="217"/>
      <c r="N1339" s="217"/>
      <c r="O1339" s="217"/>
      <c r="P1339" s="217"/>
    </row>
    <row r="1340" spans="1:16" s="219" customFormat="1" ht="60" hidden="1" x14ac:dyDescent="0.25">
      <c r="A1340" s="214"/>
      <c r="B1340" s="237">
        <v>1</v>
      </c>
      <c r="C1340" s="237">
        <v>3</v>
      </c>
      <c r="D1340" s="238" t="s">
        <v>2022</v>
      </c>
      <c r="E1340" s="238" t="s">
        <v>1836</v>
      </c>
      <c r="F1340" s="238" t="s">
        <v>2139</v>
      </c>
      <c r="G1340" s="238" t="s">
        <v>446</v>
      </c>
      <c r="H1340" s="239" t="s">
        <v>3161</v>
      </c>
      <c r="I1340" s="217"/>
      <c r="J1340" s="217"/>
      <c r="K1340" s="217"/>
      <c r="L1340" s="217"/>
      <c r="M1340" s="217"/>
      <c r="N1340" s="217"/>
      <c r="O1340" s="217"/>
      <c r="P1340" s="217"/>
    </row>
    <row r="1341" spans="1:16" s="219" customFormat="1" ht="45" hidden="1" x14ac:dyDescent="0.25">
      <c r="A1341" s="214"/>
      <c r="B1341" s="237">
        <v>1</v>
      </c>
      <c r="C1341" s="237">
        <v>3</v>
      </c>
      <c r="D1341" s="238" t="s">
        <v>2022</v>
      </c>
      <c r="E1341" s="238" t="s">
        <v>1836</v>
      </c>
      <c r="F1341" s="238" t="s">
        <v>2139</v>
      </c>
      <c r="G1341" s="238" t="s">
        <v>448</v>
      </c>
      <c r="H1341" s="239" t="s">
        <v>3162</v>
      </c>
      <c r="I1341" s="217"/>
      <c r="J1341" s="217"/>
      <c r="K1341" s="217"/>
      <c r="L1341" s="217"/>
      <c r="M1341" s="217"/>
      <c r="N1341" s="217"/>
      <c r="O1341" s="217"/>
      <c r="P1341" s="217"/>
    </row>
    <row r="1342" spans="1:16" s="219" customFormat="1" ht="60" hidden="1" x14ac:dyDescent="0.25">
      <c r="A1342" s="214"/>
      <c r="B1342" s="237">
        <v>1</v>
      </c>
      <c r="C1342" s="237">
        <v>3</v>
      </c>
      <c r="D1342" s="238" t="s">
        <v>2022</v>
      </c>
      <c r="E1342" s="238" t="s">
        <v>1836</v>
      </c>
      <c r="F1342" s="238" t="s">
        <v>2139</v>
      </c>
      <c r="G1342" s="238" t="s">
        <v>452</v>
      </c>
      <c r="H1342" s="239" t="s">
        <v>3163</v>
      </c>
      <c r="I1342" s="217"/>
      <c r="J1342" s="217"/>
      <c r="K1342" s="217"/>
      <c r="L1342" s="217"/>
      <c r="M1342" s="217"/>
      <c r="N1342" s="217"/>
      <c r="O1342" s="217"/>
      <c r="P1342" s="217"/>
    </row>
    <row r="1343" spans="1:16" s="219" customFormat="1" ht="60" hidden="1" x14ac:dyDescent="0.25">
      <c r="A1343" s="214"/>
      <c r="B1343" s="237">
        <v>1</v>
      </c>
      <c r="C1343" s="237">
        <v>3</v>
      </c>
      <c r="D1343" s="238" t="s">
        <v>2022</v>
      </c>
      <c r="E1343" s="238" t="s">
        <v>1836</v>
      </c>
      <c r="F1343" s="238" t="s">
        <v>2139</v>
      </c>
      <c r="G1343" s="238" t="s">
        <v>904</v>
      </c>
      <c r="H1343" s="239" t="s">
        <v>3164</v>
      </c>
      <c r="I1343" s="217"/>
      <c r="J1343" s="217"/>
      <c r="K1343" s="217"/>
      <c r="L1343" s="217"/>
      <c r="M1343" s="217"/>
      <c r="N1343" s="217"/>
      <c r="O1343" s="217"/>
      <c r="P1343" s="217"/>
    </row>
    <row r="1344" spans="1:16" s="219" customFormat="1" ht="45" hidden="1" x14ac:dyDescent="0.25">
      <c r="A1344" s="214"/>
      <c r="B1344" s="237">
        <v>1</v>
      </c>
      <c r="C1344" s="237">
        <v>3</v>
      </c>
      <c r="D1344" s="238" t="s">
        <v>2022</v>
      </c>
      <c r="E1344" s="238" t="s">
        <v>1836</v>
      </c>
      <c r="F1344" s="238" t="s">
        <v>2139</v>
      </c>
      <c r="G1344" s="238" t="s">
        <v>905</v>
      </c>
      <c r="H1344" s="239" t="s">
        <v>3165</v>
      </c>
      <c r="I1344" s="217"/>
      <c r="J1344" s="217"/>
      <c r="K1344" s="217"/>
      <c r="L1344" s="217"/>
      <c r="M1344" s="217"/>
      <c r="N1344" s="217"/>
      <c r="O1344" s="217"/>
      <c r="P1344" s="217"/>
    </row>
    <row r="1345" spans="1:16" s="219" customFormat="1" ht="45" hidden="1" x14ac:dyDescent="0.25">
      <c r="A1345" s="214"/>
      <c r="B1345" s="237">
        <v>1</v>
      </c>
      <c r="C1345" s="237">
        <v>3</v>
      </c>
      <c r="D1345" s="238" t="s">
        <v>2022</v>
      </c>
      <c r="E1345" s="238" t="s">
        <v>1836</v>
      </c>
      <c r="F1345" s="238" t="s">
        <v>2139</v>
      </c>
      <c r="G1345" s="238" t="s">
        <v>906</v>
      </c>
      <c r="H1345" s="239" t="s">
        <v>3166</v>
      </c>
      <c r="I1345" s="217"/>
      <c r="J1345" s="217"/>
      <c r="K1345" s="217"/>
      <c r="L1345" s="217"/>
      <c r="M1345" s="217"/>
      <c r="N1345" s="217"/>
      <c r="O1345" s="217"/>
      <c r="P1345" s="217"/>
    </row>
    <row r="1346" spans="1:16" s="219" customFormat="1" ht="60" hidden="1" x14ac:dyDescent="0.25">
      <c r="A1346" s="214"/>
      <c r="B1346" s="237">
        <v>1</v>
      </c>
      <c r="C1346" s="237">
        <v>3</v>
      </c>
      <c r="D1346" s="238" t="s">
        <v>2022</v>
      </c>
      <c r="E1346" s="238" t="s">
        <v>1836</v>
      </c>
      <c r="F1346" s="238" t="s">
        <v>2139</v>
      </c>
      <c r="G1346" s="238" t="s">
        <v>908</v>
      </c>
      <c r="H1346" s="239" t="s">
        <v>3167</v>
      </c>
      <c r="I1346" s="217"/>
      <c r="J1346" s="217"/>
      <c r="K1346" s="217"/>
      <c r="L1346" s="217"/>
      <c r="M1346" s="217"/>
      <c r="N1346" s="217"/>
      <c r="O1346" s="217"/>
      <c r="P1346" s="217"/>
    </row>
    <row r="1347" spans="1:16" s="219" customFormat="1" ht="60" hidden="1" x14ac:dyDescent="0.25">
      <c r="A1347" s="214"/>
      <c r="B1347" s="237">
        <v>1</v>
      </c>
      <c r="C1347" s="237">
        <v>3</v>
      </c>
      <c r="D1347" s="238" t="s">
        <v>2022</v>
      </c>
      <c r="E1347" s="238" t="s">
        <v>1836</v>
      </c>
      <c r="F1347" s="238" t="s">
        <v>2139</v>
      </c>
      <c r="G1347" s="238" t="s">
        <v>3168</v>
      </c>
      <c r="H1347" s="239" t="s">
        <v>3169</v>
      </c>
      <c r="I1347" s="217"/>
      <c r="J1347" s="217"/>
      <c r="K1347" s="217"/>
      <c r="L1347" s="217"/>
      <c r="M1347" s="217"/>
      <c r="N1347" s="217"/>
      <c r="O1347" s="217"/>
      <c r="P1347" s="217"/>
    </row>
    <row r="1348" spans="1:16" s="219" customFormat="1" ht="45" hidden="1" x14ac:dyDescent="0.25">
      <c r="A1348" s="214"/>
      <c r="B1348" s="237">
        <v>1</v>
      </c>
      <c r="C1348" s="237">
        <v>3</v>
      </c>
      <c r="D1348" s="238" t="s">
        <v>2022</v>
      </c>
      <c r="E1348" s="238" t="s">
        <v>1836</v>
      </c>
      <c r="F1348" s="238" t="s">
        <v>2139</v>
      </c>
      <c r="G1348" s="238" t="s">
        <v>3170</v>
      </c>
      <c r="H1348" s="239" t="s">
        <v>3171</v>
      </c>
      <c r="I1348" s="217"/>
      <c r="J1348" s="217"/>
      <c r="K1348" s="217"/>
      <c r="L1348" s="217"/>
      <c r="M1348" s="217"/>
      <c r="N1348" s="217"/>
      <c r="O1348" s="217"/>
      <c r="P1348" s="217"/>
    </row>
    <row r="1349" spans="1:16" s="219" customFormat="1" ht="45" hidden="1" x14ac:dyDescent="0.25">
      <c r="A1349" s="214"/>
      <c r="B1349" s="237">
        <v>1</v>
      </c>
      <c r="C1349" s="237">
        <v>3</v>
      </c>
      <c r="D1349" s="238" t="s">
        <v>2022</v>
      </c>
      <c r="E1349" s="238" t="s">
        <v>1836</v>
      </c>
      <c r="F1349" s="238" t="s">
        <v>2139</v>
      </c>
      <c r="G1349" s="238" t="s">
        <v>3172</v>
      </c>
      <c r="H1349" s="239" t="s">
        <v>3173</v>
      </c>
      <c r="I1349" s="217"/>
      <c r="J1349" s="217"/>
      <c r="K1349" s="217"/>
      <c r="L1349" s="217"/>
      <c r="M1349" s="217"/>
      <c r="N1349" s="217"/>
      <c r="O1349" s="217"/>
      <c r="P1349" s="217"/>
    </row>
    <row r="1350" spans="1:16" s="219" customFormat="1" ht="45" hidden="1" x14ac:dyDescent="0.25">
      <c r="A1350" s="214"/>
      <c r="B1350" s="237">
        <v>1</v>
      </c>
      <c r="C1350" s="237">
        <v>3</v>
      </c>
      <c r="D1350" s="238" t="s">
        <v>2022</v>
      </c>
      <c r="E1350" s="238" t="s">
        <v>1836</v>
      </c>
      <c r="F1350" s="238" t="s">
        <v>2139</v>
      </c>
      <c r="G1350" s="238" t="s">
        <v>3174</v>
      </c>
      <c r="H1350" s="239" t="s">
        <v>3175</v>
      </c>
      <c r="I1350" s="217"/>
      <c r="J1350" s="217"/>
      <c r="K1350" s="217"/>
      <c r="L1350" s="217"/>
      <c r="M1350" s="217"/>
      <c r="N1350" s="217"/>
      <c r="O1350" s="217"/>
      <c r="P1350" s="217"/>
    </row>
    <row r="1351" spans="1:16" s="219" customFormat="1" ht="45" hidden="1" x14ac:dyDescent="0.25">
      <c r="A1351" s="214"/>
      <c r="B1351" s="237">
        <v>1</v>
      </c>
      <c r="C1351" s="237">
        <v>3</v>
      </c>
      <c r="D1351" s="238" t="s">
        <v>2022</v>
      </c>
      <c r="E1351" s="238" t="s">
        <v>1836</v>
      </c>
      <c r="F1351" s="238" t="s">
        <v>2139</v>
      </c>
      <c r="G1351" s="238" t="s">
        <v>3176</v>
      </c>
      <c r="H1351" s="239" t="s">
        <v>3177</v>
      </c>
      <c r="I1351" s="217"/>
      <c r="J1351" s="217"/>
      <c r="K1351" s="217"/>
      <c r="L1351" s="217"/>
      <c r="M1351" s="217"/>
      <c r="N1351" s="217"/>
      <c r="O1351" s="217"/>
      <c r="P1351" s="217"/>
    </row>
    <row r="1352" spans="1:16" s="219" customFormat="1" ht="45" hidden="1" x14ac:dyDescent="0.25">
      <c r="A1352" s="214"/>
      <c r="B1352" s="237">
        <v>1</v>
      </c>
      <c r="C1352" s="237">
        <v>3</v>
      </c>
      <c r="D1352" s="238" t="s">
        <v>2022</v>
      </c>
      <c r="E1352" s="238" t="s">
        <v>1836</v>
      </c>
      <c r="F1352" s="238" t="s">
        <v>2139</v>
      </c>
      <c r="G1352" s="238" t="s">
        <v>3178</v>
      </c>
      <c r="H1352" s="239" t="s">
        <v>3179</v>
      </c>
      <c r="I1352" s="217"/>
      <c r="J1352" s="217"/>
      <c r="K1352" s="217"/>
      <c r="L1352" s="217"/>
      <c r="M1352" s="217"/>
      <c r="N1352" s="217"/>
      <c r="O1352" s="217"/>
      <c r="P1352" s="217"/>
    </row>
    <row r="1353" spans="1:16" s="219" customFormat="1" ht="60" hidden="1" x14ac:dyDescent="0.25">
      <c r="A1353" s="214"/>
      <c r="B1353" s="237">
        <v>1</v>
      </c>
      <c r="C1353" s="237">
        <v>3</v>
      </c>
      <c r="D1353" s="238" t="s">
        <v>2022</v>
      </c>
      <c r="E1353" s="238" t="s">
        <v>1836</v>
      </c>
      <c r="F1353" s="238" t="s">
        <v>2139</v>
      </c>
      <c r="G1353" s="238" t="s">
        <v>3180</v>
      </c>
      <c r="H1353" s="239" t="s">
        <v>3181</v>
      </c>
      <c r="I1353" s="217"/>
      <c r="J1353" s="217"/>
      <c r="K1353" s="217"/>
      <c r="L1353" s="217"/>
      <c r="M1353" s="217"/>
      <c r="N1353" s="217"/>
      <c r="O1353" s="217"/>
      <c r="P1353" s="217"/>
    </row>
    <row r="1354" spans="1:16" s="219" customFormat="1" ht="75" hidden="1" x14ac:dyDescent="0.25">
      <c r="A1354" s="214"/>
      <c r="B1354" s="237">
        <v>1</v>
      </c>
      <c r="C1354" s="237">
        <v>3</v>
      </c>
      <c r="D1354" s="238" t="s">
        <v>2022</v>
      </c>
      <c r="E1354" s="238" t="s">
        <v>1836</v>
      </c>
      <c r="F1354" s="238" t="s">
        <v>2139</v>
      </c>
      <c r="G1354" s="238" t="s">
        <v>3182</v>
      </c>
      <c r="H1354" s="239" t="s">
        <v>3183</v>
      </c>
      <c r="I1354" s="217"/>
      <c r="J1354" s="217"/>
      <c r="K1354" s="217"/>
      <c r="L1354" s="217"/>
      <c r="M1354" s="217"/>
      <c r="N1354" s="217"/>
      <c r="O1354" s="217"/>
      <c r="P1354" s="217"/>
    </row>
    <row r="1355" spans="1:16" s="219" customFormat="1" ht="75" hidden="1" x14ac:dyDescent="0.25">
      <c r="A1355" s="214"/>
      <c r="B1355" s="237">
        <v>1</v>
      </c>
      <c r="C1355" s="237">
        <v>3</v>
      </c>
      <c r="D1355" s="238" t="s">
        <v>2022</v>
      </c>
      <c r="E1355" s="238" t="s">
        <v>1836</v>
      </c>
      <c r="F1355" s="238" t="s">
        <v>2139</v>
      </c>
      <c r="G1355" s="238" t="s">
        <v>758</v>
      </c>
      <c r="H1355" s="239" t="s">
        <v>3184</v>
      </c>
      <c r="I1355" s="217"/>
      <c r="J1355" s="217"/>
      <c r="K1355" s="217"/>
      <c r="L1355" s="217"/>
      <c r="M1355" s="217"/>
      <c r="N1355" s="217"/>
      <c r="O1355" s="217"/>
      <c r="P1355" s="217"/>
    </row>
    <row r="1356" spans="1:16" s="219" customFormat="1" ht="75" hidden="1" x14ac:dyDescent="0.25">
      <c r="A1356" s="214"/>
      <c r="B1356" s="237">
        <v>1</v>
      </c>
      <c r="C1356" s="237">
        <v>3</v>
      </c>
      <c r="D1356" s="238" t="s">
        <v>2022</v>
      </c>
      <c r="E1356" s="238" t="s">
        <v>1836</v>
      </c>
      <c r="F1356" s="238" t="s">
        <v>2139</v>
      </c>
      <c r="G1356" s="238" t="s">
        <v>760</v>
      </c>
      <c r="H1356" s="239" t="s">
        <v>3185</v>
      </c>
      <c r="I1356" s="217"/>
      <c r="J1356" s="217"/>
      <c r="K1356" s="217"/>
      <c r="L1356" s="217"/>
      <c r="M1356" s="217"/>
      <c r="N1356" s="217"/>
      <c r="O1356" s="217"/>
      <c r="P1356" s="217"/>
    </row>
    <row r="1357" spans="1:16" s="219" customFormat="1" ht="90" hidden="1" x14ac:dyDescent="0.25">
      <c r="A1357" s="214"/>
      <c r="B1357" s="237">
        <v>1</v>
      </c>
      <c r="C1357" s="237">
        <v>3</v>
      </c>
      <c r="D1357" s="238" t="s">
        <v>2022</v>
      </c>
      <c r="E1357" s="238" t="s">
        <v>1836</v>
      </c>
      <c r="F1357" s="238" t="s">
        <v>2139</v>
      </c>
      <c r="G1357" s="238" t="s">
        <v>761</v>
      </c>
      <c r="H1357" s="239" t="s">
        <v>3186</v>
      </c>
      <c r="I1357" s="217"/>
      <c r="J1357" s="217"/>
      <c r="K1357" s="217"/>
      <c r="L1357" s="217"/>
      <c r="M1357" s="217"/>
      <c r="N1357" s="217"/>
      <c r="O1357" s="217"/>
      <c r="P1357" s="217"/>
    </row>
    <row r="1358" spans="1:16" s="219" customFormat="1" ht="45" hidden="1" x14ac:dyDescent="0.25">
      <c r="A1358" s="214"/>
      <c r="B1358" s="237">
        <v>1</v>
      </c>
      <c r="C1358" s="237">
        <v>3</v>
      </c>
      <c r="D1358" s="238" t="s">
        <v>2022</v>
      </c>
      <c r="E1358" s="238" t="s">
        <v>1836</v>
      </c>
      <c r="F1358" s="238" t="s">
        <v>2139</v>
      </c>
      <c r="G1358" s="238" t="s">
        <v>3187</v>
      </c>
      <c r="H1358" s="239" t="s">
        <v>3188</v>
      </c>
      <c r="I1358" s="217"/>
      <c r="J1358" s="217"/>
      <c r="K1358" s="217"/>
      <c r="L1358" s="217"/>
      <c r="M1358" s="217"/>
      <c r="N1358" s="217"/>
      <c r="O1358" s="217"/>
      <c r="P1358" s="217"/>
    </row>
    <row r="1359" spans="1:16" s="219" customFormat="1" ht="45" hidden="1" x14ac:dyDescent="0.25">
      <c r="A1359" s="214"/>
      <c r="B1359" s="237">
        <v>1</v>
      </c>
      <c r="C1359" s="237">
        <v>3</v>
      </c>
      <c r="D1359" s="238" t="s">
        <v>2022</v>
      </c>
      <c r="E1359" s="238" t="s">
        <v>1836</v>
      </c>
      <c r="F1359" s="238" t="s">
        <v>2139</v>
      </c>
      <c r="G1359" s="238" t="s">
        <v>3189</v>
      </c>
      <c r="H1359" s="239" t="s">
        <v>3190</v>
      </c>
      <c r="I1359" s="217"/>
      <c r="J1359" s="217"/>
      <c r="K1359" s="217"/>
      <c r="L1359" s="217"/>
      <c r="M1359" s="217"/>
      <c r="N1359" s="217"/>
      <c r="O1359" s="217"/>
      <c r="P1359" s="217"/>
    </row>
    <row r="1360" spans="1:16" s="219" customFormat="1" ht="45" hidden="1" x14ac:dyDescent="0.25">
      <c r="A1360" s="214"/>
      <c r="B1360" s="237">
        <v>1</v>
      </c>
      <c r="C1360" s="237">
        <v>3</v>
      </c>
      <c r="D1360" s="238" t="s">
        <v>2022</v>
      </c>
      <c r="E1360" s="238" t="s">
        <v>1836</v>
      </c>
      <c r="F1360" s="238" t="s">
        <v>2139</v>
      </c>
      <c r="G1360" s="238" t="s">
        <v>763</v>
      </c>
      <c r="H1360" s="239" t="s">
        <v>3191</v>
      </c>
      <c r="I1360" s="217"/>
      <c r="J1360" s="217"/>
      <c r="K1360" s="217"/>
      <c r="L1360" s="217"/>
      <c r="M1360" s="217"/>
      <c r="N1360" s="217"/>
      <c r="O1360" s="217"/>
      <c r="P1360" s="217"/>
    </row>
    <row r="1361" spans="1:16" s="219" customFormat="1" ht="45" hidden="1" x14ac:dyDescent="0.25">
      <c r="A1361" s="214"/>
      <c r="B1361" s="237">
        <v>1</v>
      </c>
      <c r="C1361" s="237">
        <v>3</v>
      </c>
      <c r="D1361" s="238" t="s">
        <v>2022</v>
      </c>
      <c r="E1361" s="238" t="s">
        <v>1836</v>
      </c>
      <c r="F1361" s="238" t="s">
        <v>2139</v>
      </c>
      <c r="G1361" s="238" t="s">
        <v>3192</v>
      </c>
      <c r="H1361" s="239" t="s">
        <v>3193</v>
      </c>
      <c r="I1361" s="217"/>
      <c r="J1361" s="217"/>
      <c r="K1361" s="217"/>
      <c r="L1361" s="217"/>
      <c r="M1361" s="217"/>
      <c r="N1361" s="217"/>
      <c r="O1361" s="217"/>
      <c r="P1361" s="217"/>
    </row>
    <row r="1362" spans="1:16" s="219" customFormat="1" ht="45" hidden="1" x14ac:dyDescent="0.25">
      <c r="A1362" s="214"/>
      <c r="B1362" s="237">
        <v>1</v>
      </c>
      <c r="C1362" s="237">
        <v>3</v>
      </c>
      <c r="D1362" s="238" t="s">
        <v>2022</v>
      </c>
      <c r="E1362" s="238" t="s">
        <v>1836</v>
      </c>
      <c r="F1362" s="238" t="s">
        <v>2139</v>
      </c>
      <c r="G1362" s="238" t="s">
        <v>3194</v>
      </c>
      <c r="H1362" s="239" t="s">
        <v>3195</v>
      </c>
      <c r="I1362" s="217"/>
      <c r="J1362" s="217"/>
      <c r="K1362" s="217"/>
      <c r="L1362" s="217"/>
      <c r="M1362" s="217"/>
      <c r="N1362" s="217"/>
      <c r="O1362" s="217"/>
      <c r="P1362" s="217"/>
    </row>
    <row r="1363" spans="1:16" s="219" customFormat="1" ht="60" hidden="1" x14ac:dyDescent="0.25">
      <c r="A1363" s="214"/>
      <c r="B1363" s="237">
        <v>1</v>
      </c>
      <c r="C1363" s="237">
        <v>3</v>
      </c>
      <c r="D1363" s="238" t="s">
        <v>2022</v>
      </c>
      <c r="E1363" s="238" t="s">
        <v>1836</v>
      </c>
      <c r="F1363" s="238" t="s">
        <v>2139</v>
      </c>
      <c r="G1363" s="238" t="s">
        <v>3196</v>
      </c>
      <c r="H1363" s="239" t="s">
        <v>3197</v>
      </c>
      <c r="I1363" s="217"/>
      <c r="J1363" s="217"/>
      <c r="K1363" s="217"/>
      <c r="L1363" s="217"/>
      <c r="M1363" s="217"/>
      <c r="N1363" s="217"/>
      <c r="O1363" s="217"/>
      <c r="P1363" s="217"/>
    </row>
    <row r="1364" spans="1:16" s="219" customFormat="1" ht="45" hidden="1" x14ac:dyDescent="0.25">
      <c r="A1364" s="214"/>
      <c r="B1364" s="237">
        <v>1</v>
      </c>
      <c r="C1364" s="237">
        <v>3</v>
      </c>
      <c r="D1364" s="238" t="s">
        <v>2022</v>
      </c>
      <c r="E1364" s="238" t="s">
        <v>1836</v>
      </c>
      <c r="F1364" s="238" t="s">
        <v>2139</v>
      </c>
      <c r="G1364" s="238" t="s">
        <v>3198</v>
      </c>
      <c r="H1364" s="239" t="s">
        <v>3199</v>
      </c>
      <c r="I1364" s="217"/>
      <c r="J1364" s="217"/>
      <c r="K1364" s="217"/>
      <c r="L1364" s="217"/>
      <c r="M1364" s="217"/>
      <c r="N1364" s="217"/>
      <c r="O1364" s="217"/>
      <c r="P1364" s="217"/>
    </row>
    <row r="1365" spans="1:16" s="219" customFormat="1" ht="60" hidden="1" x14ac:dyDescent="0.25">
      <c r="A1365" s="214"/>
      <c r="B1365" s="237">
        <v>1</v>
      </c>
      <c r="C1365" s="237">
        <v>3</v>
      </c>
      <c r="D1365" s="238" t="s">
        <v>2022</v>
      </c>
      <c r="E1365" s="238" t="s">
        <v>1836</v>
      </c>
      <c r="F1365" s="238" t="s">
        <v>2139</v>
      </c>
      <c r="G1365" s="238" t="s">
        <v>3200</v>
      </c>
      <c r="H1365" s="239" t="s">
        <v>3201</v>
      </c>
      <c r="I1365" s="217"/>
      <c r="J1365" s="217"/>
      <c r="K1365" s="217"/>
      <c r="L1365" s="217"/>
      <c r="M1365" s="217"/>
      <c r="N1365" s="217"/>
      <c r="O1365" s="217"/>
      <c r="P1365" s="217"/>
    </row>
    <row r="1366" spans="1:16" s="219" customFormat="1" ht="60" hidden="1" x14ac:dyDescent="0.25">
      <c r="A1366" s="214"/>
      <c r="B1366" s="237">
        <v>1</v>
      </c>
      <c r="C1366" s="237">
        <v>3</v>
      </c>
      <c r="D1366" s="238" t="s">
        <v>2022</v>
      </c>
      <c r="E1366" s="238" t="s">
        <v>1836</v>
      </c>
      <c r="F1366" s="238" t="s">
        <v>2139</v>
      </c>
      <c r="G1366" s="238" t="s">
        <v>3202</v>
      </c>
      <c r="H1366" s="239" t="s">
        <v>3203</v>
      </c>
      <c r="I1366" s="217"/>
      <c r="J1366" s="217"/>
      <c r="K1366" s="217"/>
      <c r="L1366" s="217"/>
      <c r="M1366" s="217"/>
      <c r="N1366" s="217"/>
      <c r="O1366" s="217"/>
      <c r="P1366" s="217"/>
    </row>
    <row r="1367" spans="1:16" s="219" customFormat="1" ht="45" hidden="1" x14ac:dyDescent="0.25">
      <c r="A1367" s="214"/>
      <c r="B1367" s="237">
        <v>1</v>
      </c>
      <c r="C1367" s="237">
        <v>3</v>
      </c>
      <c r="D1367" s="238" t="s">
        <v>2022</v>
      </c>
      <c r="E1367" s="238" t="s">
        <v>1836</v>
      </c>
      <c r="F1367" s="238" t="s">
        <v>2139</v>
      </c>
      <c r="G1367" s="238" t="s">
        <v>3204</v>
      </c>
      <c r="H1367" s="239" t="s">
        <v>3205</v>
      </c>
      <c r="I1367" s="217"/>
      <c r="J1367" s="217"/>
      <c r="K1367" s="217"/>
      <c r="L1367" s="217"/>
      <c r="M1367" s="217"/>
      <c r="N1367" s="217"/>
      <c r="O1367" s="217"/>
      <c r="P1367" s="217"/>
    </row>
    <row r="1368" spans="1:16" s="219" customFormat="1" ht="45" hidden="1" x14ac:dyDescent="0.25">
      <c r="A1368" s="214"/>
      <c r="B1368" s="237">
        <v>1</v>
      </c>
      <c r="C1368" s="237">
        <v>3</v>
      </c>
      <c r="D1368" s="238" t="s">
        <v>2022</v>
      </c>
      <c r="E1368" s="238" t="s">
        <v>1836</v>
      </c>
      <c r="F1368" s="238" t="s">
        <v>2139</v>
      </c>
      <c r="G1368" s="238" t="s">
        <v>3206</v>
      </c>
      <c r="H1368" s="239" t="s">
        <v>3207</v>
      </c>
      <c r="I1368" s="217"/>
      <c r="J1368" s="217"/>
      <c r="K1368" s="217"/>
      <c r="L1368" s="217"/>
      <c r="M1368" s="217"/>
      <c r="N1368" s="217"/>
      <c r="O1368" s="217"/>
      <c r="P1368" s="217"/>
    </row>
    <row r="1369" spans="1:16" s="219" customFormat="1" ht="45" hidden="1" x14ac:dyDescent="0.25">
      <c r="A1369" s="214"/>
      <c r="B1369" s="237">
        <v>1</v>
      </c>
      <c r="C1369" s="237">
        <v>3</v>
      </c>
      <c r="D1369" s="238" t="s">
        <v>2022</v>
      </c>
      <c r="E1369" s="238" t="s">
        <v>1836</v>
      </c>
      <c r="F1369" s="238" t="s">
        <v>2139</v>
      </c>
      <c r="G1369" s="238" t="s">
        <v>3208</v>
      </c>
      <c r="H1369" s="239" t="s">
        <v>3209</v>
      </c>
      <c r="I1369" s="217"/>
      <c r="J1369" s="217"/>
      <c r="K1369" s="217"/>
      <c r="L1369" s="217"/>
      <c r="M1369" s="217"/>
      <c r="N1369" s="217"/>
      <c r="O1369" s="217"/>
      <c r="P1369" s="217"/>
    </row>
    <row r="1370" spans="1:16" s="219" customFormat="1" ht="60" hidden="1" x14ac:dyDescent="0.25">
      <c r="A1370" s="214"/>
      <c r="B1370" s="237">
        <v>1</v>
      </c>
      <c r="C1370" s="237">
        <v>3</v>
      </c>
      <c r="D1370" s="238" t="s">
        <v>2022</v>
      </c>
      <c r="E1370" s="238" t="s">
        <v>1836</v>
      </c>
      <c r="F1370" s="238" t="s">
        <v>2139</v>
      </c>
      <c r="G1370" s="238" t="s">
        <v>3210</v>
      </c>
      <c r="H1370" s="239" t="s">
        <v>3211</v>
      </c>
      <c r="I1370" s="217"/>
      <c r="J1370" s="217"/>
      <c r="K1370" s="217"/>
      <c r="L1370" s="217"/>
      <c r="M1370" s="217"/>
      <c r="N1370" s="217"/>
      <c r="O1370" s="217"/>
      <c r="P1370" s="217"/>
    </row>
    <row r="1371" spans="1:16" s="219" customFormat="1" ht="60" hidden="1" x14ac:dyDescent="0.25">
      <c r="A1371" s="214"/>
      <c r="B1371" s="237">
        <v>1</v>
      </c>
      <c r="C1371" s="237">
        <v>3</v>
      </c>
      <c r="D1371" s="238" t="s">
        <v>2022</v>
      </c>
      <c r="E1371" s="238" t="s">
        <v>1836</v>
      </c>
      <c r="F1371" s="238" t="s">
        <v>2139</v>
      </c>
      <c r="G1371" s="238" t="s">
        <v>3212</v>
      </c>
      <c r="H1371" s="239" t="s">
        <v>3213</v>
      </c>
      <c r="I1371" s="217"/>
      <c r="J1371" s="217"/>
      <c r="K1371" s="217"/>
      <c r="L1371" s="217"/>
      <c r="M1371" s="217"/>
      <c r="N1371" s="217"/>
      <c r="O1371" s="217"/>
      <c r="P1371" s="217"/>
    </row>
    <row r="1372" spans="1:16" s="219" customFormat="1" ht="60" hidden="1" x14ac:dyDescent="0.25">
      <c r="A1372" s="214"/>
      <c r="B1372" s="237">
        <v>1</v>
      </c>
      <c r="C1372" s="237">
        <v>3</v>
      </c>
      <c r="D1372" s="238" t="s">
        <v>2022</v>
      </c>
      <c r="E1372" s="238" t="s">
        <v>1836</v>
      </c>
      <c r="F1372" s="238" t="s">
        <v>2139</v>
      </c>
      <c r="G1372" s="238" t="s">
        <v>3214</v>
      </c>
      <c r="H1372" s="239" t="s">
        <v>3215</v>
      </c>
      <c r="I1372" s="217"/>
      <c r="J1372" s="217"/>
      <c r="K1372" s="217"/>
      <c r="L1372" s="217"/>
      <c r="M1372" s="217"/>
      <c r="N1372" s="217"/>
      <c r="O1372" s="217"/>
      <c r="P1372" s="217"/>
    </row>
    <row r="1373" spans="1:16" s="219" customFormat="1" ht="60" hidden="1" x14ac:dyDescent="0.25">
      <c r="A1373" s="214"/>
      <c r="B1373" s="237">
        <v>1</v>
      </c>
      <c r="C1373" s="237">
        <v>3</v>
      </c>
      <c r="D1373" s="238" t="s">
        <v>2022</v>
      </c>
      <c r="E1373" s="238" t="s">
        <v>1836</v>
      </c>
      <c r="F1373" s="238" t="s">
        <v>2139</v>
      </c>
      <c r="G1373" s="238" t="s">
        <v>3216</v>
      </c>
      <c r="H1373" s="239" t="s">
        <v>3217</v>
      </c>
      <c r="I1373" s="217"/>
      <c r="J1373" s="217"/>
      <c r="K1373" s="217"/>
      <c r="L1373" s="217"/>
      <c r="M1373" s="217"/>
      <c r="N1373" s="217"/>
      <c r="O1373" s="217"/>
      <c r="P1373" s="217"/>
    </row>
    <row r="1374" spans="1:16" s="219" customFormat="1" ht="60" hidden="1" x14ac:dyDescent="0.25">
      <c r="A1374" s="214"/>
      <c r="B1374" s="237">
        <v>1</v>
      </c>
      <c r="C1374" s="237">
        <v>3</v>
      </c>
      <c r="D1374" s="238" t="s">
        <v>2022</v>
      </c>
      <c r="E1374" s="238" t="s">
        <v>1836</v>
      </c>
      <c r="F1374" s="238" t="s">
        <v>2139</v>
      </c>
      <c r="G1374" s="238" t="s">
        <v>501</v>
      </c>
      <c r="H1374" s="239" t="s">
        <v>3218</v>
      </c>
      <c r="I1374" s="217"/>
      <c r="J1374" s="217"/>
      <c r="K1374" s="217"/>
      <c r="L1374" s="217"/>
      <c r="M1374" s="217"/>
      <c r="N1374" s="217"/>
      <c r="O1374" s="217"/>
      <c r="P1374" s="217"/>
    </row>
    <row r="1375" spans="1:16" s="219" customFormat="1" ht="60" hidden="1" x14ac:dyDescent="0.25">
      <c r="A1375" s="214"/>
      <c r="B1375" s="237">
        <v>1</v>
      </c>
      <c r="C1375" s="237">
        <v>3</v>
      </c>
      <c r="D1375" s="238" t="s">
        <v>2022</v>
      </c>
      <c r="E1375" s="238" t="s">
        <v>1836</v>
      </c>
      <c r="F1375" s="238" t="s">
        <v>2139</v>
      </c>
      <c r="G1375" s="238" t="s">
        <v>3219</v>
      </c>
      <c r="H1375" s="239" t="s">
        <v>3220</v>
      </c>
      <c r="I1375" s="217"/>
      <c r="J1375" s="217"/>
      <c r="K1375" s="217"/>
      <c r="L1375" s="217"/>
      <c r="M1375" s="217"/>
      <c r="N1375" s="217"/>
      <c r="O1375" s="217"/>
      <c r="P1375" s="217"/>
    </row>
    <row r="1376" spans="1:16" s="219" customFormat="1" ht="60" hidden="1" x14ac:dyDescent="0.25">
      <c r="A1376" s="214"/>
      <c r="B1376" s="237">
        <v>1</v>
      </c>
      <c r="C1376" s="237">
        <v>3</v>
      </c>
      <c r="D1376" s="238" t="s">
        <v>2022</v>
      </c>
      <c r="E1376" s="238" t="s">
        <v>1836</v>
      </c>
      <c r="F1376" s="238" t="s">
        <v>2139</v>
      </c>
      <c r="G1376" s="238" t="s">
        <v>3221</v>
      </c>
      <c r="H1376" s="239" t="s">
        <v>3222</v>
      </c>
      <c r="I1376" s="217"/>
      <c r="J1376" s="217"/>
      <c r="K1376" s="217"/>
      <c r="L1376" s="217"/>
      <c r="M1376" s="217"/>
      <c r="N1376" s="217"/>
      <c r="O1376" s="217"/>
      <c r="P1376" s="217"/>
    </row>
    <row r="1377" spans="1:16" s="219" customFormat="1" ht="45" hidden="1" x14ac:dyDescent="0.25">
      <c r="A1377" s="214"/>
      <c r="B1377" s="237">
        <v>1</v>
      </c>
      <c r="C1377" s="237">
        <v>3</v>
      </c>
      <c r="D1377" s="238" t="s">
        <v>2022</v>
      </c>
      <c r="E1377" s="238" t="s">
        <v>1836</v>
      </c>
      <c r="F1377" s="238" t="s">
        <v>2139</v>
      </c>
      <c r="G1377" s="238" t="s">
        <v>3223</v>
      </c>
      <c r="H1377" s="239" t="s">
        <v>3224</v>
      </c>
      <c r="I1377" s="217"/>
      <c r="J1377" s="217"/>
      <c r="K1377" s="217"/>
      <c r="L1377" s="217"/>
      <c r="M1377" s="217"/>
      <c r="N1377" s="217"/>
      <c r="O1377" s="217"/>
      <c r="P1377" s="217"/>
    </row>
    <row r="1378" spans="1:16" s="219" customFormat="1" ht="60" hidden="1" x14ac:dyDescent="0.25">
      <c r="A1378" s="214"/>
      <c r="B1378" s="237">
        <v>1</v>
      </c>
      <c r="C1378" s="237">
        <v>3</v>
      </c>
      <c r="D1378" s="238" t="s">
        <v>2022</v>
      </c>
      <c r="E1378" s="238" t="s">
        <v>1836</v>
      </c>
      <c r="F1378" s="238" t="s">
        <v>2139</v>
      </c>
      <c r="G1378" s="238" t="s">
        <v>3225</v>
      </c>
      <c r="H1378" s="239" t="s">
        <v>3226</v>
      </c>
      <c r="I1378" s="217"/>
      <c r="J1378" s="217"/>
      <c r="K1378" s="217"/>
      <c r="L1378" s="217"/>
      <c r="M1378" s="217"/>
      <c r="N1378" s="217"/>
      <c r="O1378" s="217"/>
      <c r="P1378" s="217"/>
    </row>
    <row r="1379" spans="1:16" s="219" customFormat="1" ht="60" hidden="1" x14ac:dyDescent="0.25">
      <c r="A1379" s="214"/>
      <c r="B1379" s="237">
        <v>1</v>
      </c>
      <c r="C1379" s="237">
        <v>3</v>
      </c>
      <c r="D1379" s="238" t="s">
        <v>2022</v>
      </c>
      <c r="E1379" s="238" t="s">
        <v>1836</v>
      </c>
      <c r="F1379" s="238" t="s">
        <v>2139</v>
      </c>
      <c r="G1379" s="238" t="s">
        <v>3227</v>
      </c>
      <c r="H1379" s="239" t="s">
        <v>3228</v>
      </c>
      <c r="I1379" s="217"/>
      <c r="J1379" s="217"/>
      <c r="K1379" s="217"/>
      <c r="L1379" s="217"/>
      <c r="M1379" s="217"/>
      <c r="N1379" s="217"/>
      <c r="O1379" s="217"/>
      <c r="P1379" s="217"/>
    </row>
    <row r="1380" spans="1:16" s="219" customFormat="1" ht="60" hidden="1" x14ac:dyDescent="0.25">
      <c r="A1380" s="214"/>
      <c r="B1380" s="237">
        <v>1</v>
      </c>
      <c r="C1380" s="237">
        <v>3</v>
      </c>
      <c r="D1380" s="238" t="s">
        <v>2022</v>
      </c>
      <c r="E1380" s="238" t="s">
        <v>1836</v>
      </c>
      <c r="F1380" s="238" t="s">
        <v>2139</v>
      </c>
      <c r="G1380" s="238" t="s">
        <v>3229</v>
      </c>
      <c r="H1380" s="239" t="s">
        <v>3230</v>
      </c>
      <c r="I1380" s="217"/>
      <c r="J1380" s="217"/>
      <c r="K1380" s="217"/>
      <c r="L1380" s="217"/>
      <c r="M1380" s="217"/>
      <c r="N1380" s="217"/>
      <c r="O1380" s="217"/>
      <c r="P1380" s="217"/>
    </row>
    <row r="1381" spans="1:16" s="219" customFormat="1" ht="60" hidden="1" x14ac:dyDescent="0.25">
      <c r="A1381" s="214"/>
      <c r="B1381" s="237">
        <v>1</v>
      </c>
      <c r="C1381" s="237">
        <v>3</v>
      </c>
      <c r="D1381" s="238" t="s">
        <v>2022</v>
      </c>
      <c r="E1381" s="238" t="s">
        <v>1836</v>
      </c>
      <c r="F1381" s="238" t="s">
        <v>2139</v>
      </c>
      <c r="G1381" s="238" t="s">
        <v>506</v>
      </c>
      <c r="H1381" s="239" t="s">
        <v>3231</v>
      </c>
      <c r="I1381" s="217"/>
      <c r="J1381" s="217"/>
      <c r="K1381" s="217"/>
      <c r="L1381" s="217"/>
      <c r="M1381" s="217"/>
      <c r="N1381" s="217"/>
      <c r="O1381" s="217"/>
      <c r="P1381" s="217"/>
    </row>
    <row r="1382" spans="1:16" s="219" customFormat="1" ht="60" hidden="1" x14ac:dyDescent="0.25">
      <c r="A1382" s="214"/>
      <c r="B1382" s="237">
        <v>1</v>
      </c>
      <c r="C1382" s="237">
        <v>3</v>
      </c>
      <c r="D1382" s="238" t="s">
        <v>2022</v>
      </c>
      <c r="E1382" s="238" t="s">
        <v>1836</v>
      </c>
      <c r="F1382" s="238" t="s">
        <v>2139</v>
      </c>
      <c r="G1382" s="238" t="s">
        <v>507</v>
      </c>
      <c r="H1382" s="239" t="s">
        <v>3232</v>
      </c>
      <c r="I1382" s="217"/>
      <c r="J1382" s="217"/>
      <c r="K1382" s="217"/>
      <c r="L1382" s="217"/>
      <c r="M1382" s="217"/>
      <c r="N1382" s="217"/>
      <c r="O1382" s="217"/>
      <c r="P1382" s="217"/>
    </row>
    <row r="1383" spans="1:16" s="219" customFormat="1" ht="60" hidden="1" x14ac:dyDescent="0.25">
      <c r="A1383" s="214"/>
      <c r="B1383" s="237">
        <v>1</v>
      </c>
      <c r="C1383" s="237">
        <v>3</v>
      </c>
      <c r="D1383" s="238" t="s">
        <v>2022</v>
      </c>
      <c r="E1383" s="238" t="s">
        <v>1836</v>
      </c>
      <c r="F1383" s="238" t="s">
        <v>2139</v>
      </c>
      <c r="G1383" s="238" t="s">
        <v>508</v>
      </c>
      <c r="H1383" s="239" t="s">
        <v>3233</v>
      </c>
      <c r="I1383" s="217"/>
      <c r="J1383" s="217"/>
      <c r="K1383" s="217"/>
      <c r="L1383" s="217"/>
      <c r="M1383" s="217"/>
      <c r="N1383" s="217"/>
      <c r="O1383" s="217"/>
      <c r="P1383" s="217"/>
    </row>
    <row r="1384" spans="1:16" s="219" customFormat="1" ht="60" hidden="1" x14ac:dyDescent="0.25">
      <c r="A1384" s="214"/>
      <c r="B1384" s="237">
        <v>1</v>
      </c>
      <c r="C1384" s="237">
        <v>3</v>
      </c>
      <c r="D1384" s="238" t="s">
        <v>2022</v>
      </c>
      <c r="E1384" s="238" t="s">
        <v>1836</v>
      </c>
      <c r="F1384" s="238" t="s">
        <v>2139</v>
      </c>
      <c r="G1384" s="238" t="s">
        <v>3234</v>
      </c>
      <c r="H1384" s="239" t="s">
        <v>3235</v>
      </c>
      <c r="I1384" s="217"/>
      <c r="J1384" s="217"/>
      <c r="K1384" s="217"/>
      <c r="L1384" s="217"/>
      <c r="M1384" s="217"/>
      <c r="N1384" s="217"/>
      <c r="O1384" s="217"/>
      <c r="P1384" s="217"/>
    </row>
    <row r="1385" spans="1:16" s="219" customFormat="1" ht="75" hidden="1" x14ac:dyDescent="0.25">
      <c r="A1385" s="214"/>
      <c r="B1385" s="237">
        <v>1</v>
      </c>
      <c r="C1385" s="237">
        <v>3</v>
      </c>
      <c r="D1385" s="238" t="s">
        <v>2022</v>
      </c>
      <c r="E1385" s="238" t="s">
        <v>1836</v>
      </c>
      <c r="F1385" s="238" t="s">
        <v>2139</v>
      </c>
      <c r="G1385" s="238" t="s">
        <v>3236</v>
      </c>
      <c r="H1385" s="239" t="s">
        <v>3237</v>
      </c>
      <c r="I1385" s="217"/>
      <c r="J1385" s="217"/>
      <c r="K1385" s="217"/>
      <c r="L1385" s="217"/>
      <c r="M1385" s="217"/>
      <c r="N1385" s="217"/>
      <c r="O1385" s="217"/>
      <c r="P1385" s="217"/>
    </row>
    <row r="1386" spans="1:16" s="219" customFormat="1" ht="60" hidden="1" x14ac:dyDescent="0.25">
      <c r="A1386" s="214"/>
      <c r="B1386" s="237">
        <v>1</v>
      </c>
      <c r="C1386" s="237">
        <v>3</v>
      </c>
      <c r="D1386" s="238" t="s">
        <v>2022</v>
      </c>
      <c r="E1386" s="238" t="s">
        <v>1836</v>
      </c>
      <c r="F1386" s="238" t="s">
        <v>2139</v>
      </c>
      <c r="G1386" s="238" t="s">
        <v>3238</v>
      </c>
      <c r="H1386" s="239" t="s">
        <v>3239</v>
      </c>
      <c r="I1386" s="217"/>
      <c r="J1386" s="217"/>
      <c r="K1386" s="217"/>
      <c r="L1386" s="217"/>
      <c r="M1386" s="217"/>
      <c r="N1386" s="217"/>
      <c r="O1386" s="217"/>
      <c r="P1386" s="217"/>
    </row>
    <row r="1387" spans="1:16" s="219" customFormat="1" ht="75" hidden="1" x14ac:dyDescent="0.25">
      <c r="A1387" s="214"/>
      <c r="B1387" s="237">
        <v>1</v>
      </c>
      <c r="C1387" s="237">
        <v>3</v>
      </c>
      <c r="D1387" s="238" t="s">
        <v>2022</v>
      </c>
      <c r="E1387" s="238" t="s">
        <v>1836</v>
      </c>
      <c r="F1387" s="238" t="s">
        <v>2139</v>
      </c>
      <c r="G1387" s="238" t="s">
        <v>3240</v>
      </c>
      <c r="H1387" s="239" t="s">
        <v>3241</v>
      </c>
      <c r="I1387" s="217"/>
      <c r="J1387" s="217"/>
      <c r="K1387" s="217"/>
      <c r="L1387" s="217"/>
      <c r="M1387" s="217"/>
      <c r="N1387" s="217"/>
      <c r="O1387" s="217"/>
      <c r="P1387" s="217"/>
    </row>
    <row r="1388" spans="1:16" s="219" customFormat="1" ht="60" hidden="1" x14ac:dyDescent="0.25">
      <c r="A1388" s="214"/>
      <c r="B1388" s="237">
        <v>1</v>
      </c>
      <c r="C1388" s="237">
        <v>3</v>
      </c>
      <c r="D1388" s="238" t="s">
        <v>2022</v>
      </c>
      <c r="E1388" s="238" t="s">
        <v>1836</v>
      </c>
      <c r="F1388" s="238" t="s">
        <v>2139</v>
      </c>
      <c r="G1388" s="238" t="s">
        <v>510</v>
      </c>
      <c r="H1388" s="239" t="s">
        <v>3242</v>
      </c>
      <c r="I1388" s="217"/>
      <c r="J1388" s="217"/>
      <c r="K1388" s="217"/>
      <c r="L1388" s="217"/>
      <c r="M1388" s="217"/>
      <c r="N1388" s="217"/>
      <c r="O1388" s="217"/>
      <c r="P1388" s="217"/>
    </row>
    <row r="1389" spans="1:16" s="219" customFormat="1" ht="60" hidden="1" x14ac:dyDescent="0.25">
      <c r="A1389" s="214"/>
      <c r="B1389" s="237">
        <v>1</v>
      </c>
      <c r="C1389" s="237">
        <v>3</v>
      </c>
      <c r="D1389" s="238" t="s">
        <v>2022</v>
      </c>
      <c r="E1389" s="238" t="s">
        <v>1836</v>
      </c>
      <c r="F1389" s="238" t="s">
        <v>2139</v>
      </c>
      <c r="G1389" s="238" t="s">
        <v>513</v>
      </c>
      <c r="H1389" s="239" t="s">
        <v>3243</v>
      </c>
      <c r="I1389" s="217"/>
      <c r="J1389" s="217"/>
      <c r="K1389" s="217"/>
      <c r="L1389" s="217"/>
      <c r="M1389" s="217"/>
      <c r="N1389" s="217"/>
      <c r="O1389" s="217"/>
      <c r="P1389" s="217"/>
    </row>
    <row r="1390" spans="1:16" s="219" customFormat="1" ht="75" hidden="1" x14ac:dyDescent="0.25">
      <c r="A1390" s="214"/>
      <c r="B1390" s="237">
        <v>1</v>
      </c>
      <c r="C1390" s="237">
        <v>3</v>
      </c>
      <c r="D1390" s="238" t="s">
        <v>2022</v>
      </c>
      <c r="E1390" s="238" t="s">
        <v>1836</v>
      </c>
      <c r="F1390" s="238" t="s">
        <v>2139</v>
      </c>
      <c r="G1390" s="238" t="s">
        <v>514</v>
      </c>
      <c r="H1390" s="239" t="s">
        <v>3244</v>
      </c>
      <c r="I1390" s="217"/>
      <c r="J1390" s="217"/>
      <c r="K1390" s="217"/>
      <c r="L1390" s="217"/>
      <c r="M1390" s="217"/>
      <c r="N1390" s="217"/>
      <c r="O1390" s="217"/>
      <c r="P1390" s="217"/>
    </row>
    <row r="1391" spans="1:16" s="213" customFormat="1" ht="30" hidden="1" x14ac:dyDescent="0.25">
      <c r="A1391" s="208" t="s">
        <v>263</v>
      </c>
      <c r="B1391" s="234">
        <v>1</v>
      </c>
      <c r="C1391" s="234">
        <v>3</v>
      </c>
      <c r="D1391" s="235" t="s">
        <v>2022</v>
      </c>
      <c r="E1391" s="235" t="s">
        <v>1836</v>
      </c>
      <c r="F1391" s="235" t="s">
        <v>2313</v>
      </c>
      <c r="G1391" s="234"/>
      <c r="H1391" s="236" t="s">
        <v>3245</v>
      </c>
      <c r="I1391" s="211">
        <f>SUM(I1392:I1399)</f>
        <v>0</v>
      </c>
      <c r="J1391" s="211">
        <f t="shared" ref="J1391:P1391" si="163">SUM(J1392:J1399)</f>
        <v>0</v>
      </c>
      <c r="K1391" s="211">
        <f t="shared" si="163"/>
        <v>0</v>
      </c>
      <c r="L1391" s="211">
        <f t="shared" si="163"/>
        <v>0</v>
      </c>
      <c r="M1391" s="211">
        <f t="shared" si="163"/>
        <v>0</v>
      </c>
      <c r="N1391" s="211">
        <f t="shared" si="163"/>
        <v>0</v>
      </c>
      <c r="O1391" s="211">
        <f t="shared" si="163"/>
        <v>0</v>
      </c>
      <c r="P1391" s="211">
        <f t="shared" si="163"/>
        <v>0</v>
      </c>
    </row>
    <row r="1392" spans="1:16" s="219" customFormat="1" ht="30" hidden="1" x14ac:dyDescent="0.25">
      <c r="A1392" s="214"/>
      <c r="B1392" s="237">
        <v>1</v>
      </c>
      <c r="C1392" s="237">
        <v>3</v>
      </c>
      <c r="D1392" s="238" t="s">
        <v>2022</v>
      </c>
      <c r="E1392" s="238" t="s">
        <v>1836</v>
      </c>
      <c r="F1392" s="238" t="s">
        <v>2313</v>
      </c>
      <c r="G1392" s="238" t="s">
        <v>58</v>
      </c>
      <c r="H1392" s="239" t="s">
        <v>3246</v>
      </c>
      <c r="I1392" s="217"/>
      <c r="J1392" s="217"/>
      <c r="K1392" s="217"/>
      <c r="L1392" s="217"/>
      <c r="M1392" s="217"/>
      <c r="N1392" s="217"/>
      <c r="O1392" s="217"/>
      <c r="P1392" s="217"/>
    </row>
    <row r="1393" spans="1:16" s="219" customFormat="1" ht="30" hidden="1" x14ac:dyDescent="0.25">
      <c r="A1393" s="214"/>
      <c r="B1393" s="237">
        <v>1</v>
      </c>
      <c r="C1393" s="237">
        <v>3</v>
      </c>
      <c r="D1393" s="238" t="s">
        <v>2022</v>
      </c>
      <c r="E1393" s="238" t="s">
        <v>1836</v>
      </c>
      <c r="F1393" s="238" t="s">
        <v>2313</v>
      </c>
      <c r="G1393" s="238" t="s">
        <v>75</v>
      </c>
      <c r="H1393" s="239" t="s">
        <v>3247</v>
      </c>
      <c r="I1393" s="217"/>
      <c r="J1393" s="217"/>
      <c r="K1393" s="217"/>
      <c r="L1393" s="217"/>
      <c r="M1393" s="217"/>
      <c r="N1393" s="217"/>
      <c r="O1393" s="217"/>
      <c r="P1393" s="217"/>
    </row>
    <row r="1394" spans="1:16" s="219" customFormat="1" ht="45" hidden="1" x14ac:dyDescent="0.25">
      <c r="A1394" s="214"/>
      <c r="B1394" s="237">
        <v>1</v>
      </c>
      <c r="C1394" s="237">
        <v>3</v>
      </c>
      <c r="D1394" s="238" t="s">
        <v>2022</v>
      </c>
      <c r="E1394" s="238" t="s">
        <v>1836</v>
      </c>
      <c r="F1394" s="238" t="s">
        <v>2313</v>
      </c>
      <c r="G1394" s="238" t="s">
        <v>79</v>
      </c>
      <c r="H1394" s="239" t="s">
        <v>3248</v>
      </c>
      <c r="I1394" s="217"/>
      <c r="J1394" s="217"/>
      <c r="K1394" s="217"/>
      <c r="L1394" s="217"/>
      <c r="M1394" s="217"/>
      <c r="N1394" s="217"/>
      <c r="O1394" s="217"/>
      <c r="P1394" s="217"/>
    </row>
    <row r="1395" spans="1:16" s="219" customFormat="1" ht="45" hidden="1" x14ac:dyDescent="0.25">
      <c r="A1395" s="214"/>
      <c r="B1395" s="237">
        <v>1</v>
      </c>
      <c r="C1395" s="237">
        <v>3</v>
      </c>
      <c r="D1395" s="238" t="s">
        <v>2022</v>
      </c>
      <c r="E1395" s="238" t="s">
        <v>1836</v>
      </c>
      <c r="F1395" s="238" t="s">
        <v>2313</v>
      </c>
      <c r="G1395" s="238" t="s">
        <v>84</v>
      </c>
      <c r="H1395" s="239" t="s">
        <v>3249</v>
      </c>
      <c r="I1395" s="217"/>
      <c r="J1395" s="217"/>
      <c r="K1395" s="217"/>
      <c r="L1395" s="217"/>
      <c r="M1395" s="217"/>
      <c r="N1395" s="217"/>
      <c r="O1395" s="217"/>
      <c r="P1395" s="217"/>
    </row>
    <row r="1396" spans="1:16" s="219" customFormat="1" ht="45" hidden="1" x14ac:dyDescent="0.25">
      <c r="A1396" s="214"/>
      <c r="B1396" s="237">
        <v>1</v>
      </c>
      <c r="C1396" s="237">
        <v>3</v>
      </c>
      <c r="D1396" s="238" t="s">
        <v>2022</v>
      </c>
      <c r="E1396" s="238" t="s">
        <v>1836</v>
      </c>
      <c r="F1396" s="238" t="s">
        <v>2313</v>
      </c>
      <c r="G1396" s="238" t="s">
        <v>88</v>
      </c>
      <c r="H1396" s="239" t="s">
        <v>3250</v>
      </c>
      <c r="I1396" s="217"/>
      <c r="J1396" s="217"/>
      <c r="K1396" s="217"/>
      <c r="L1396" s="217"/>
      <c r="M1396" s="217"/>
      <c r="N1396" s="217"/>
      <c r="O1396" s="217"/>
      <c r="P1396" s="217"/>
    </row>
    <row r="1397" spans="1:16" s="219" customFormat="1" ht="45" hidden="1" x14ac:dyDescent="0.25">
      <c r="A1397" s="214"/>
      <c r="B1397" s="237">
        <v>1</v>
      </c>
      <c r="C1397" s="237">
        <v>3</v>
      </c>
      <c r="D1397" s="238" t="s">
        <v>2022</v>
      </c>
      <c r="E1397" s="238" t="s">
        <v>1836</v>
      </c>
      <c r="F1397" s="238" t="s">
        <v>2313</v>
      </c>
      <c r="G1397" s="238" t="s">
        <v>92</v>
      </c>
      <c r="H1397" s="239" t="s">
        <v>3251</v>
      </c>
      <c r="I1397" s="217"/>
      <c r="J1397" s="217"/>
      <c r="K1397" s="217"/>
      <c r="L1397" s="217"/>
      <c r="M1397" s="217"/>
      <c r="N1397" s="217"/>
      <c r="O1397" s="217"/>
      <c r="P1397" s="217"/>
    </row>
    <row r="1398" spans="1:16" s="219" customFormat="1" ht="45" hidden="1" x14ac:dyDescent="0.25">
      <c r="A1398" s="214"/>
      <c r="B1398" s="237">
        <v>1</v>
      </c>
      <c r="C1398" s="237">
        <v>3</v>
      </c>
      <c r="D1398" s="238" t="s">
        <v>2022</v>
      </c>
      <c r="E1398" s="238" t="s">
        <v>1836</v>
      </c>
      <c r="F1398" s="238" t="s">
        <v>2313</v>
      </c>
      <c r="G1398" s="238" t="s">
        <v>96</v>
      </c>
      <c r="H1398" s="239" t="s">
        <v>3252</v>
      </c>
      <c r="I1398" s="217"/>
      <c r="J1398" s="217"/>
      <c r="K1398" s="217"/>
      <c r="L1398" s="217"/>
      <c r="M1398" s="217"/>
      <c r="N1398" s="217"/>
      <c r="O1398" s="217"/>
      <c r="P1398" s="217"/>
    </row>
    <row r="1399" spans="1:16" s="219" customFormat="1" ht="45" hidden="1" x14ac:dyDescent="0.25">
      <c r="A1399" s="214"/>
      <c r="B1399" s="237">
        <v>1</v>
      </c>
      <c r="C1399" s="237">
        <v>3</v>
      </c>
      <c r="D1399" s="238" t="s">
        <v>2022</v>
      </c>
      <c r="E1399" s="238" t="s">
        <v>1836</v>
      </c>
      <c r="F1399" s="238" t="s">
        <v>2313</v>
      </c>
      <c r="G1399" s="238" t="s">
        <v>100</v>
      </c>
      <c r="H1399" s="239" t="s">
        <v>3253</v>
      </c>
      <c r="I1399" s="217"/>
      <c r="J1399" s="217"/>
      <c r="K1399" s="217"/>
      <c r="L1399" s="217"/>
      <c r="M1399" s="217"/>
      <c r="N1399" s="217"/>
      <c r="O1399" s="217"/>
      <c r="P1399" s="217"/>
    </row>
    <row r="1400" spans="1:16" s="213" customFormat="1" ht="30" hidden="1" x14ac:dyDescent="0.25">
      <c r="A1400" s="208" t="s">
        <v>263</v>
      </c>
      <c r="B1400" s="234">
        <v>1</v>
      </c>
      <c r="C1400" s="234">
        <v>3</v>
      </c>
      <c r="D1400" s="235" t="s">
        <v>2022</v>
      </c>
      <c r="E1400" s="235" t="s">
        <v>1836</v>
      </c>
      <c r="F1400" s="235" t="s">
        <v>2326</v>
      </c>
      <c r="G1400" s="234"/>
      <c r="H1400" s="236" t="s">
        <v>3254</v>
      </c>
      <c r="I1400" s="211">
        <f>SUM(I1401:I1407)</f>
        <v>0</v>
      </c>
      <c r="J1400" s="211">
        <f t="shared" ref="J1400:P1400" si="164">SUM(J1401:J1407)</f>
        <v>0</v>
      </c>
      <c r="K1400" s="211">
        <f t="shared" si="164"/>
        <v>0</v>
      </c>
      <c r="L1400" s="211">
        <f t="shared" si="164"/>
        <v>0</v>
      </c>
      <c r="M1400" s="211">
        <f t="shared" si="164"/>
        <v>0</v>
      </c>
      <c r="N1400" s="211">
        <f t="shared" si="164"/>
        <v>0</v>
      </c>
      <c r="O1400" s="211">
        <f t="shared" si="164"/>
        <v>0</v>
      </c>
      <c r="P1400" s="211">
        <f t="shared" si="164"/>
        <v>0</v>
      </c>
    </row>
    <row r="1401" spans="1:16" s="219" customFormat="1" ht="45" hidden="1" x14ac:dyDescent="0.25">
      <c r="A1401" s="214"/>
      <c r="B1401" s="237">
        <v>1</v>
      </c>
      <c r="C1401" s="237">
        <v>3</v>
      </c>
      <c r="D1401" s="238" t="s">
        <v>2022</v>
      </c>
      <c r="E1401" s="238" t="s">
        <v>1836</v>
      </c>
      <c r="F1401" s="238" t="s">
        <v>2326</v>
      </c>
      <c r="G1401" s="238" t="s">
        <v>58</v>
      </c>
      <c r="H1401" s="239" t="s">
        <v>3255</v>
      </c>
      <c r="I1401" s="217"/>
      <c r="J1401" s="217"/>
      <c r="K1401" s="217"/>
      <c r="L1401" s="217"/>
      <c r="M1401" s="217"/>
      <c r="N1401" s="217"/>
      <c r="O1401" s="217"/>
      <c r="P1401" s="217"/>
    </row>
    <row r="1402" spans="1:16" s="219" customFormat="1" ht="30" hidden="1" x14ac:dyDescent="0.25">
      <c r="A1402" s="214"/>
      <c r="B1402" s="237">
        <v>1</v>
      </c>
      <c r="C1402" s="237">
        <v>3</v>
      </c>
      <c r="D1402" s="238" t="s">
        <v>2022</v>
      </c>
      <c r="E1402" s="238" t="s">
        <v>1836</v>
      </c>
      <c r="F1402" s="238" t="s">
        <v>2326</v>
      </c>
      <c r="G1402" s="238" t="s">
        <v>75</v>
      </c>
      <c r="H1402" s="239" t="s">
        <v>3256</v>
      </c>
      <c r="I1402" s="217"/>
      <c r="J1402" s="217"/>
      <c r="K1402" s="217"/>
      <c r="L1402" s="217"/>
      <c r="M1402" s="217"/>
      <c r="N1402" s="217"/>
      <c r="O1402" s="217"/>
      <c r="P1402" s="217"/>
    </row>
    <row r="1403" spans="1:16" s="219" customFormat="1" ht="45" hidden="1" x14ac:dyDescent="0.25">
      <c r="A1403" s="214"/>
      <c r="B1403" s="237">
        <v>1</v>
      </c>
      <c r="C1403" s="237">
        <v>3</v>
      </c>
      <c r="D1403" s="238" t="s">
        <v>2022</v>
      </c>
      <c r="E1403" s="238" t="s">
        <v>1836</v>
      </c>
      <c r="F1403" s="238" t="s">
        <v>2326</v>
      </c>
      <c r="G1403" s="238" t="s">
        <v>79</v>
      </c>
      <c r="H1403" s="239" t="s">
        <v>3257</v>
      </c>
      <c r="I1403" s="217"/>
      <c r="J1403" s="217"/>
      <c r="K1403" s="217"/>
      <c r="L1403" s="217"/>
      <c r="M1403" s="217"/>
      <c r="N1403" s="217"/>
      <c r="O1403" s="217"/>
      <c r="P1403" s="217"/>
    </row>
    <row r="1404" spans="1:16" s="219" customFormat="1" ht="30" hidden="1" x14ac:dyDescent="0.25">
      <c r="A1404" s="214"/>
      <c r="B1404" s="237">
        <v>1</v>
      </c>
      <c r="C1404" s="237">
        <v>3</v>
      </c>
      <c r="D1404" s="238" t="s">
        <v>2022</v>
      </c>
      <c r="E1404" s="238" t="s">
        <v>1836</v>
      </c>
      <c r="F1404" s="238" t="s">
        <v>2326</v>
      </c>
      <c r="G1404" s="238" t="s">
        <v>84</v>
      </c>
      <c r="H1404" s="239" t="s">
        <v>3258</v>
      </c>
      <c r="I1404" s="217"/>
      <c r="J1404" s="217"/>
      <c r="K1404" s="217"/>
      <c r="L1404" s="217"/>
      <c r="M1404" s="217"/>
      <c r="N1404" s="217"/>
      <c r="O1404" s="217"/>
      <c r="P1404" s="217"/>
    </row>
    <row r="1405" spans="1:16" s="219" customFormat="1" ht="45" hidden="1" x14ac:dyDescent="0.25">
      <c r="A1405" s="214"/>
      <c r="B1405" s="237">
        <v>1</v>
      </c>
      <c r="C1405" s="237">
        <v>3</v>
      </c>
      <c r="D1405" s="238" t="s">
        <v>2022</v>
      </c>
      <c r="E1405" s="238" t="s">
        <v>1836</v>
      </c>
      <c r="F1405" s="238" t="s">
        <v>2326</v>
      </c>
      <c r="G1405" s="238" t="s">
        <v>88</v>
      </c>
      <c r="H1405" s="239" t="s">
        <v>3259</v>
      </c>
      <c r="I1405" s="217"/>
      <c r="J1405" s="217"/>
      <c r="K1405" s="217"/>
      <c r="L1405" s="217"/>
      <c r="M1405" s="217"/>
      <c r="N1405" s="217"/>
      <c r="O1405" s="217"/>
      <c r="P1405" s="217"/>
    </row>
    <row r="1406" spans="1:16" s="219" customFormat="1" ht="30" hidden="1" x14ac:dyDescent="0.25">
      <c r="A1406" s="214"/>
      <c r="B1406" s="237">
        <v>1</v>
      </c>
      <c r="C1406" s="237">
        <v>3</v>
      </c>
      <c r="D1406" s="238" t="s">
        <v>2022</v>
      </c>
      <c r="E1406" s="238" t="s">
        <v>1836</v>
      </c>
      <c r="F1406" s="238" t="s">
        <v>2326</v>
      </c>
      <c r="G1406" s="238" t="s">
        <v>92</v>
      </c>
      <c r="H1406" s="239" t="s">
        <v>3260</v>
      </c>
      <c r="I1406" s="217"/>
      <c r="J1406" s="217"/>
      <c r="K1406" s="217"/>
      <c r="L1406" s="217"/>
      <c r="M1406" s="217"/>
      <c r="N1406" s="217"/>
      <c r="O1406" s="217"/>
      <c r="P1406" s="217"/>
    </row>
    <row r="1407" spans="1:16" s="219" customFormat="1" ht="45" hidden="1" x14ac:dyDescent="0.25">
      <c r="A1407" s="214"/>
      <c r="B1407" s="237">
        <v>1</v>
      </c>
      <c r="C1407" s="237">
        <v>3</v>
      </c>
      <c r="D1407" s="238" t="s">
        <v>2022</v>
      </c>
      <c r="E1407" s="238" t="s">
        <v>1836</v>
      </c>
      <c r="F1407" s="238" t="s">
        <v>2326</v>
      </c>
      <c r="G1407" s="238" t="s">
        <v>96</v>
      </c>
      <c r="H1407" s="239" t="s">
        <v>3261</v>
      </c>
      <c r="I1407" s="217"/>
      <c r="J1407" s="217"/>
      <c r="K1407" s="217"/>
      <c r="L1407" s="217"/>
      <c r="M1407" s="217"/>
      <c r="N1407" s="217"/>
      <c r="O1407" s="217"/>
      <c r="P1407" s="217"/>
    </row>
    <row r="1408" spans="1:16" s="213" customFormat="1" ht="30" hidden="1" x14ac:dyDescent="0.25">
      <c r="A1408" s="208" t="s">
        <v>263</v>
      </c>
      <c r="B1408" s="234">
        <v>1</v>
      </c>
      <c r="C1408" s="234">
        <v>3</v>
      </c>
      <c r="D1408" s="235" t="s">
        <v>2022</v>
      </c>
      <c r="E1408" s="235" t="s">
        <v>1836</v>
      </c>
      <c r="F1408" s="235" t="s">
        <v>2338</v>
      </c>
      <c r="G1408" s="234"/>
      <c r="H1408" s="236" t="s">
        <v>3262</v>
      </c>
      <c r="I1408" s="211">
        <f>SUM(I1409:I1416)</f>
        <v>0</v>
      </c>
      <c r="J1408" s="211">
        <f t="shared" ref="J1408:P1408" si="165">SUM(J1409:J1416)</f>
        <v>0</v>
      </c>
      <c r="K1408" s="211">
        <f t="shared" si="165"/>
        <v>0</v>
      </c>
      <c r="L1408" s="211">
        <f t="shared" si="165"/>
        <v>0</v>
      </c>
      <c r="M1408" s="211">
        <f t="shared" si="165"/>
        <v>0</v>
      </c>
      <c r="N1408" s="211">
        <f t="shared" si="165"/>
        <v>0</v>
      </c>
      <c r="O1408" s="211">
        <f t="shared" si="165"/>
        <v>0</v>
      </c>
      <c r="P1408" s="211">
        <f t="shared" si="165"/>
        <v>0</v>
      </c>
    </row>
    <row r="1409" spans="1:16" s="219" customFormat="1" ht="30" hidden="1" x14ac:dyDescent="0.25">
      <c r="A1409" s="214"/>
      <c r="B1409" s="237">
        <v>1</v>
      </c>
      <c r="C1409" s="237">
        <v>3</v>
      </c>
      <c r="D1409" s="238" t="s">
        <v>2022</v>
      </c>
      <c r="E1409" s="238" t="s">
        <v>1836</v>
      </c>
      <c r="F1409" s="238" t="s">
        <v>2338</v>
      </c>
      <c r="G1409" s="238" t="s">
        <v>58</v>
      </c>
      <c r="H1409" s="239" t="s">
        <v>3263</v>
      </c>
      <c r="I1409" s="217"/>
      <c r="J1409" s="217"/>
      <c r="K1409" s="217"/>
      <c r="L1409" s="217"/>
      <c r="M1409" s="217"/>
      <c r="N1409" s="217"/>
      <c r="O1409" s="217"/>
      <c r="P1409" s="217"/>
    </row>
    <row r="1410" spans="1:16" s="219" customFormat="1" ht="30" hidden="1" x14ac:dyDescent="0.25">
      <c r="A1410" s="214"/>
      <c r="B1410" s="237">
        <v>1</v>
      </c>
      <c r="C1410" s="237">
        <v>3</v>
      </c>
      <c r="D1410" s="238" t="s">
        <v>2022</v>
      </c>
      <c r="E1410" s="238" t="s">
        <v>1836</v>
      </c>
      <c r="F1410" s="238" t="s">
        <v>2338</v>
      </c>
      <c r="G1410" s="238" t="s">
        <v>75</v>
      </c>
      <c r="H1410" s="239" t="s">
        <v>3264</v>
      </c>
      <c r="I1410" s="217"/>
      <c r="J1410" s="217"/>
      <c r="K1410" s="217"/>
      <c r="L1410" s="217"/>
      <c r="M1410" s="217"/>
      <c r="N1410" s="217"/>
      <c r="O1410" s="217"/>
      <c r="P1410" s="217"/>
    </row>
    <row r="1411" spans="1:16" s="219" customFormat="1" ht="45" hidden="1" x14ac:dyDescent="0.25">
      <c r="A1411" s="214"/>
      <c r="B1411" s="237">
        <v>1</v>
      </c>
      <c r="C1411" s="237">
        <v>3</v>
      </c>
      <c r="D1411" s="238" t="s">
        <v>2022</v>
      </c>
      <c r="E1411" s="238" t="s">
        <v>1836</v>
      </c>
      <c r="F1411" s="238" t="s">
        <v>2338</v>
      </c>
      <c r="G1411" s="238" t="s">
        <v>79</v>
      </c>
      <c r="H1411" s="239" t="s">
        <v>3265</v>
      </c>
      <c r="I1411" s="217"/>
      <c r="J1411" s="217"/>
      <c r="K1411" s="217"/>
      <c r="L1411" s="217"/>
      <c r="M1411" s="217"/>
      <c r="N1411" s="217"/>
      <c r="O1411" s="217"/>
      <c r="P1411" s="217"/>
    </row>
    <row r="1412" spans="1:16" s="219" customFormat="1" ht="30" hidden="1" x14ac:dyDescent="0.25">
      <c r="A1412" s="214"/>
      <c r="B1412" s="237">
        <v>1</v>
      </c>
      <c r="C1412" s="237">
        <v>3</v>
      </c>
      <c r="D1412" s="238" t="s">
        <v>2022</v>
      </c>
      <c r="E1412" s="238" t="s">
        <v>1836</v>
      </c>
      <c r="F1412" s="238" t="s">
        <v>2338</v>
      </c>
      <c r="G1412" s="238" t="s">
        <v>84</v>
      </c>
      <c r="H1412" s="239" t="s">
        <v>3266</v>
      </c>
      <c r="I1412" s="217"/>
      <c r="J1412" s="217"/>
      <c r="K1412" s="217"/>
      <c r="L1412" s="217"/>
      <c r="M1412" s="217"/>
      <c r="N1412" s="217"/>
      <c r="O1412" s="217"/>
      <c r="P1412" s="217"/>
    </row>
    <row r="1413" spans="1:16" s="219" customFormat="1" ht="30" hidden="1" x14ac:dyDescent="0.25">
      <c r="A1413" s="214"/>
      <c r="B1413" s="237">
        <v>1</v>
      </c>
      <c r="C1413" s="237">
        <v>3</v>
      </c>
      <c r="D1413" s="238" t="s">
        <v>2022</v>
      </c>
      <c r="E1413" s="238" t="s">
        <v>1836</v>
      </c>
      <c r="F1413" s="238" t="s">
        <v>2338</v>
      </c>
      <c r="G1413" s="238" t="s">
        <v>88</v>
      </c>
      <c r="H1413" s="239" t="s">
        <v>3267</v>
      </c>
      <c r="I1413" s="217"/>
      <c r="J1413" s="217"/>
      <c r="K1413" s="217"/>
      <c r="L1413" s="217"/>
      <c r="M1413" s="217"/>
      <c r="N1413" s="217"/>
      <c r="O1413" s="217"/>
      <c r="P1413" s="217"/>
    </row>
    <row r="1414" spans="1:16" s="219" customFormat="1" ht="30" hidden="1" x14ac:dyDescent="0.25">
      <c r="A1414" s="214"/>
      <c r="B1414" s="237">
        <v>1</v>
      </c>
      <c r="C1414" s="237">
        <v>3</v>
      </c>
      <c r="D1414" s="238" t="s">
        <v>2022</v>
      </c>
      <c r="E1414" s="238" t="s">
        <v>1836</v>
      </c>
      <c r="F1414" s="238" t="s">
        <v>2338</v>
      </c>
      <c r="G1414" s="238" t="s">
        <v>92</v>
      </c>
      <c r="H1414" s="239" t="s">
        <v>3268</v>
      </c>
      <c r="I1414" s="217"/>
      <c r="J1414" s="217"/>
      <c r="K1414" s="217"/>
      <c r="L1414" s="217"/>
      <c r="M1414" s="217"/>
      <c r="N1414" s="217"/>
      <c r="O1414" s="217"/>
      <c r="P1414" s="217"/>
    </row>
    <row r="1415" spans="1:16" s="219" customFormat="1" ht="45" hidden="1" x14ac:dyDescent="0.25">
      <c r="A1415" s="214"/>
      <c r="B1415" s="237">
        <v>1</v>
      </c>
      <c r="C1415" s="237">
        <v>3</v>
      </c>
      <c r="D1415" s="238" t="s">
        <v>2022</v>
      </c>
      <c r="E1415" s="238" t="s">
        <v>1836</v>
      </c>
      <c r="F1415" s="238" t="s">
        <v>2338</v>
      </c>
      <c r="G1415" s="238" t="s">
        <v>96</v>
      </c>
      <c r="H1415" s="239" t="s">
        <v>3269</v>
      </c>
      <c r="I1415" s="217"/>
      <c r="J1415" s="217"/>
      <c r="K1415" s="217"/>
      <c r="L1415" s="217"/>
      <c r="M1415" s="217"/>
      <c r="N1415" s="217"/>
      <c r="O1415" s="217"/>
      <c r="P1415" s="217"/>
    </row>
    <row r="1416" spans="1:16" s="219" customFormat="1" ht="45" hidden="1" x14ac:dyDescent="0.25">
      <c r="A1416" s="214"/>
      <c r="B1416" s="237">
        <v>1</v>
      </c>
      <c r="C1416" s="237">
        <v>3</v>
      </c>
      <c r="D1416" s="238" t="s">
        <v>2022</v>
      </c>
      <c r="E1416" s="238" t="s">
        <v>1836</v>
      </c>
      <c r="F1416" s="238" t="s">
        <v>2338</v>
      </c>
      <c r="G1416" s="238" t="s">
        <v>100</v>
      </c>
      <c r="H1416" s="239" t="s">
        <v>3270</v>
      </c>
      <c r="I1416" s="217"/>
      <c r="J1416" s="217"/>
      <c r="K1416" s="217"/>
      <c r="L1416" s="217"/>
      <c r="M1416" s="217"/>
      <c r="N1416" s="217"/>
      <c r="O1416" s="217"/>
      <c r="P1416" s="217"/>
    </row>
    <row r="1417" spans="1:16" s="213" customFormat="1" ht="45" hidden="1" x14ac:dyDescent="0.25">
      <c r="A1417" s="208" t="s">
        <v>263</v>
      </c>
      <c r="B1417" s="234">
        <v>1</v>
      </c>
      <c r="C1417" s="234">
        <v>3</v>
      </c>
      <c r="D1417" s="235" t="s">
        <v>2022</v>
      </c>
      <c r="E1417" s="235" t="s">
        <v>1836</v>
      </c>
      <c r="F1417" s="235" t="s">
        <v>2351</v>
      </c>
      <c r="G1417" s="234"/>
      <c r="H1417" s="236" t="s">
        <v>3271</v>
      </c>
      <c r="I1417" s="211">
        <f>SUM(I1418:I1427)</f>
        <v>0</v>
      </c>
      <c r="J1417" s="211">
        <f t="shared" ref="J1417:P1417" si="166">SUM(J1418:J1427)</f>
        <v>0</v>
      </c>
      <c r="K1417" s="211">
        <f t="shared" si="166"/>
        <v>0</v>
      </c>
      <c r="L1417" s="211">
        <f t="shared" si="166"/>
        <v>0</v>
      </c>
      <c r="M1417" s="211">
        <f t="shared" si="166"/>
        <v>0</v>
      </c>
      <c r="N1417" s="211">
        <f t="shared" si="166"/>
        <v>0</v>
      </c>
      <c r="O1417" s="211">
        <f t="shared" si="166"/>
        <v>0</v>
      </c>
      <c r="P1417" s="211">
        <f t="shared" si="166"/>
        <v>0</v>
      </c>
    </row>
    <row r="1418" spans="1:16" s="219" customFormat="1" ht="30" hidden="1" x14ac:dyDescent="0.25">
      <c r="A1418" s="214"/>
      <c r="B1418" s="237">
        <v>1</v>
      </c>
      <c r="C1418" s="237">
        <v>3</v>
      </c>
      <c r="D1418" s="238" t="s">
        <v>2022</v>
      </c>
      <c r="E1418" s="238" t="s">
        <v>1836</v>
      </c>
      <c r="F1418" s="238" t="s">
        <v>2351</v>
      </c>
      <c r="G1418" s="238" t="s">
        <v>58</v>
      </c>
      <c r="H1418" s="239" t="s">
        <v>3272</v>
      </c>
      <c r="I1418" s="217"/>
      <c r="J1418" s="217"/>
      <c r="K1418" s="217"/>
      <c r="L1418" s="217"/>
      <c r="M1418" s="217"/>
      <c r="N1418" s="217"/>
      <c r="O1418" s="217"/>
      <c r="P1418" s="217"/>
    </row>
    <row r="1419" spans="1:16" s="219" customFormat="1" ht="30" hidden="1" x14ac:dyDescent="0.25">
      <c r="A1419" s="214"/>
      <c r="B1419" s="237">
        <v>1</v>
      </c>
      <c r="C1419" s="237">
        <v>3</v>
      </c>
      <c r="D1419" s="238" t="s">
        <v>2022</v>
      </c>
      <c r="E1419" s="238" t="s">
        <v>1836</v>
      </c>
      <c r="F1419" s="238" t="s">
        <v>2351</v>
      </c>
      <c r="G1419" s="238" t="s">
        <v>75</v>
      </c>
      <c r="H1419" s="239" t="s">
        <v>3273</v>
      </c>
      <c r="I1419" s="217"/>
      <c r="J1419" s="217"/>
      <c r="K1419" s="217"/>
      <c r="L1419" s="217"/>
      <c r="M1419" s="217"/>
      <c r="N1419" s="217"/>
      <c r="O1419" s="217"/>
      <c r="P1419" s="217"/>
    </row>
    <row r="1420" spans="1:16" s="219" customFormat="1" ht="30" hidden="1" x14ac:dyDescent="0.25">
      <c r="A1420" s="214"/>
      <c r="B1420" s="237">
        <v>1</v>
      </c>
      <c r="C1420" s="237">
        <v>3</v>
      </c>
      <c r="D1420" s="238" t="s">
        <v>2022</v>
      </c>
      <c r="E1420" s="238" t="s">
        <v>1836</v>
      </c>
      <c r="F1420" s="238" t="s">
        <v>2351</v>
      </c>
      <c r="G1420" s="238" t="s">
        <v>79</v>
      </c>
      <c r="H1420" s="239" t="s">
        <v>3274</v>
      </c>
      <c r="I1420" s="217"/>
      <c r="J1420" s="217"/>
      <c r="K1420" s="217"/>
      <c r="L1420" s="217"/>
      <c r="M1420" s="217"/>
      <c r="N1420" s="217"/>
      <c r="O1420" s="217"/>
      <c r="P1420" s="217"/>
    </row>
    <row r="1421" spans="1:16" s="219" customFormat="1" ht="30" hidden="1" x14ac:dyDescent="0.25">
      <c r="A1421" s="214"/>
      <c r="B1421" s="237">
        <v>1</v>
      </c>
      <c r="C1421" s="237">
        <v>3</v>
      </c>
      <c r="D1421" s="238" t="s">
        <v>2022</v>
      </c>
      <c r="E1421" s="238" t="s">
        <v>1836</v>
      </c>
      <c r="F1421" s="238" t="s">
        <v>2351</v>
      </c>
      <c r="G1421" s="238" t="s">
        <v>84</v>
      </c>
      <c r="H1421" s="239" t="s">
        <v>3275</v>
      </c>
      <c r="I1421" s="217"/>
      <c r="J1421" s="217"/>
      <c r="K1421" s="217"/>
      <c r="L1421" s="217"/>
      <c r="M1421" s="217"/>
      <c r="N1421" s="217"/>
      <c r="O1421" s="217"/>
      <c r="P1421" s="217"/>
    </row>
    <row r="1422" spans="1:16" s="219" customFormat="1" ht="30" hidden="1" x14ac:dyDescent="0.25">
      <c r="A1422" s="214"/>
      <c r="B1422" s="237">
        <v>1</v>
      </c>
      <c r="C1422" s="237">
        <v>3</v>
      </c>
      <c r="D1422" s="238" t="s">
        <v>2022</v>
      </c>
      <c r="E1422" s="238" t="s">
        <v>1836</v>
      </c>
      <c r="F1422" s="238" t="s">
        <v>2351</v>
      </c>
      <c r="G1422" s="238" t="s">
        <v>88</v>
      </c>
      <c r="H1422" s="239" t="s">
        <v>3276</v>
      </c>
      <c r="I1422" s="217"/>
      <c r="J1422" s="217"/>
      <c r="K1422" s="217"/>
      <c r="L1422" s="217"/>
      <c r="M1422" s="217"/>
      <c r="N1422" s="217"/>
      <c r="O1422" s="217"/>
      <c r="P1422" s="217"/>
    </row>
    <row r="1423" spans="1:16" s="219" customFormat="1" ht="45" hidden="1" x14ac:dyDescent="0.25">
      <c r="A1423" s="214"/>
      <c r="B1423" s="237">
        <v>1</v>
      </c>
      <c r="C1423" s="237">
        <v>3</v>
      </c>
      <c r="D1423" s="238" t="s">
        <v>2022</v>
      </c>
      <c r="E1423" s="238" t="s">
        <v>1836</v>
      </c>
      <c r="F1423" s="238" t="s">
        <v>2351</v>
      </c>
      <c r="G1423" s="238" t="s">
        <v>92</v>
      </c>
      <c r="H1423" s="239" t="s">
        <v>3277</v>
      </c>
      <c r="I1423" s="217"/>
      <c r="J1423" s="217"/>
      <c r="K1423" s="217"/>
      <c r="L1423" s="217"/>
      <c r="M1423" s="217"/>
      <c r="N1423" s="217"/>
      <c r="O1423" s="217"/>
      <c r="P1423" s="217"/>
    </row>
    <row r="1424" spans="1:16" s="219" customFormat="1" ht="45" hidden="1" x14ac:dyDescent="0.25">
      <c r="A1424" s="214"/>
      <c r="B1424" s="237">
        <v>1</v>
      </c>
      <c r="C1424" s="237">
        <v>3</v>
      </c>
      <c r="D1424" s="238" t="s">
        <v>2022</v>
      </c>
      <c r="E1424" s="238" t="s">
        <v>1836</v>
      </c>
      <c r="F1424" s="238" t="s">
        <v>2351</v>
      </c>
      <c r="G1424" s="238" t="s">
        <v>96</v>
      </c>
      <c r="H1424" s="239" t="s">
        <v>3278</v>
      </c>
      <c r="I1424" s="217"/>
      <c r="J1424" s="217"/>
      <c r="K1424" s="217"/>
      <c r="L1424" s="217"/>
      <c r="M1424" s="217"/>
      <c r="N1424" s="217"/>
      <c r="O1424" s="217"/>
      <c r="P1424" s="217"/>
    </row>
    <row r="1425" spans="1:16" s="219" customFormat="1" ht="45" hidden="1" x14ac:dyDescent="0.25">
      <c r="A1425" s="214"/>
      <c r="B1425" s="237">
        <v>1</v>
      </c>
      <c r="C1425" s="237">
        <v>3</v>
      </c>
      <c r="D1425" s="238" t="s">
        <v>2022</v>
      </c>
      <c r="E1425" s="238" t="s">
        <v>1836</v>
      </c>
      <c r="F1425" s="238" t="s">
        <v>2351</v>
      </c>
      <c r="G1425" s="238" t="s">
        <v>100</v>
      </c>
      <c r="H1425" s="239" t="s">
        <v>3279</v>
      </c>
      <c r="I1425" s="217"/>
      <c r="J1425" s="217"/>
      <c r="K1425" s="217"/>
      <c r="L1425" s="217"/>
      <c r="M1425" s="217"/>
      <c r="N1425" s="217"/>
      <c r="O1425" s="217"/>
      <c r="P1425" s="217"/>
    </row>
    <row r="1426" spans="1:16" s="219" customFormat="1" ht="45" hidden="1" x14ac:dyDescent="0.25">
      <c r="A1426" s="214"/>
      <c r="B1426" s="237">
        <v>1</v>
      </c>
      <c r="C1426" s="237">
        <v>3</v>
      </c>
      <c r="D1426" s="238" t="s">
        <v>2022</v>
      </c>
      <c r="E1426" s="238" t="s">
        <v>1836</v>
      </c>
      <c r="F1426" s="238" t="s">
        <v>2351</v>
      </c>
      <c r="G1426" s="238" t="s">
        <v>105</v>
      </c>
      <c r="H1426" s="239" t="s">
        <v>3280</v>
      </c>
      <c r="I1426" s="217"/>
      <c r="J1426" s="217"/>
      <c r="K1426" s="217"/>
      <c r="L1426" s="217"/>
      <c r="M1426" s="217"/>
      <c r="N1426" s="217"/>
      <c r="O1426" s="217"/>
      <c r="P1426" s="217"/>
    </row>
    <row r="1427" spans="1:16" s="219" customFormat="1" ht="45" hidden="1" x14ac:dyDescent="0.25">
      <c r="A1427" s="214"/>
      <c r="B1427" s="237">
        <v>1</v>
      </c>
      <c r="C1427" s="237">
        <v>3</v>
      </c>
      <c r="D1427" s="238" t="s">
        <v>2022</v>
      </c>
      <c r="E1427" s="238" t="s">
        <v>1836</v>
      </c>
      <c r="F1427" s="238" t="s">
        <v>2351</v>
      </c>
      <c r="G1427" s="238" t="s">
        <v>108</v>
      </c>
      <c r="H1427" s="239" t="s">
        <v>3281</v>
      </c>
      <c r="I1427" s="217"/>
      <c r="J1427" s="217"/>
      <c r="K1427" s="217"/>
      <c r="L1427" s="217"/>
      <c r="M1427" s="217"/>
      <c r="N1427" s="217"/>
      <c r="O1427" s="217"/>
      <c r="P1427" s="217"/>
    </row>
    <row r="1428" spans="1:16" s="213" customFormat="1" ht="30" hidden="1" x14ac:dyDescent="0.25">
      <c r="A1428" s="208" t="s">
        <v>263</v>
      </c>
      <c r="B1428" s="234">
        <v>1</v>
      </c>
      <c r="C1428" s="234">
        <v>3</v>
      </c>
      <c r="D1428" s="235" t="s">
        <v>2022</v>
      </c>
      <c r="E1428" s="235" t="s">
        <v>1836</v>
      </c>
      <c r="F1428" s="235" t="s">
        <v>2367</v>
      </c>
      <c r="G1428" s="234"/>
      <c r="H1428" s="236" t="s">
        <v>3282</v>
      </c>
      <c r="I1428" s="211">
        <f>SUM(I1429:I1434)</f>
        <v>0</v>
      </c>
      <c r="J1428" s="211">
        <f t="shared" ref="J1428:P1428" si="167">SUM(J1429:J1434)</f>
        <v>0</v>
      </c>
      <c r="K1428" s="211">
        <f t="shared" si="167"/>
        <v>0</v>
      </c>
      <c r="L1428" s="211">
        <f t="shared" si="167"/>
        <v>0</v>
      </c>
      <c r="M1428" s="211">
        <f t="shared" si="167"/>
        <v>0</v>
      </c>
      <c r="N1428" s="211">
        <f t="shared" si="167"/>
        <v>0</v>
      </c>
      <c r="O1428" s="211">
        <f t="shared" si="167"/>
        <v>0</v>
      </c>
      <c r="P1428" s="211">
        <f t="shared" si="167"/>
        <v>0</v>
      </c>
    </row>
    <row r="1429" spans="1:16" s="219" customFormat="1" ht="30" hidden="1" x14ac:dyDescent="0.25">
      <c r="A1429" s="214"/>
      <c r="B1429" s="237">
        <v>1</v>
      </c>
      <c r="C1429" s="237">
        <v>3</v>
      </c>
      <c r="D1429" s="238" t="s">
        <v>2022</v>
      </c>
      <c r="E1429" s="238" t="s">
        <v>1836</v>
      </c>
      <c r="F1429" s="238" t="s">
        <v>2367</v>
      </c>
      <c r="G1429" s="238" t="s">
        <v>58</v>
      </c>
      <c r="H1429" s="239" t="s">
        <v>3283</v>
      </c>
      <c r="I1429" s="217"/>
      <c r="J1429" s="217"/>
      <c r="K1429" s="217"/>
      <c r="L1429" s="217"/>
      <c r="M1429" s="217"/>
      <c r="N1429" s="217"/>
      <c r="O1429" s="217"/>
      <c r="P1429" s="217"/>
    </row>
    <row r="1430" spans="1:16" s="219" customFormat="1" ht="30" hidden="1" x14ac:dyDescent="0.25">
      <c r="A1430" s="214"/>
      <c r="B1430" s="237">
        <v>1</v>
      </c>
      <c r="C1430" s="237">
        <v>3</v>
      </c>
      <c r="D1430" s="238" t="s">
        <v>2022</v>
      </c>
      <c r="E1430" s="238" t="s">
        <v>1836</v>
      </c>
      <c r="F1430" s="238" t="s">
        <v>2367</v>
      </c>
      <c r="G1430" s="238" t="s">
        <v>75</v>
      </c>
      <c r="H1430" s="239" t="s">
        <v>3284</v>
      </c>
      <c r="I1430" s="217"/>
      <c r="J1430" s="217"/>
      <c r="K1430" s="217"/>
      <c r="L1430" s="217"/>
      <c r="M1430" s="217"/>
      <c r="N1430" s="217"/>
      <c r="O1430" s="217"/>
      <c r="P1430" s="217"/>
    </row>
    <row r="1431" spans="1:16" s="219" customFormat="1" ht="45" hidden="1" x14ac:dyDescent="0.25">
      <c r="A1431" s="214"/>
      <c r="B1431" s="237">
        <v>1</v>
      </c>
      <c r="C1431" s="237">
        <v>3</v>
      </c>
      <c r="D1431" s="238" t="s">
        <v>2022</v>
      </c>
      <c r="E1431" s="238" t="s">
        <v>1836</v>
      </c>
      <c r="F1431" s="238" t="s">
        <v>2367</v>
      </c>
      <c r="G1431" s="238" t="s">
        <v>79</v>
      </c>
      <c r="H1431" s="239" t="s">
        <v>3285</v>
      </c>
      <c r="I1431" s="217"/>
      <c r="J1431" s="217"/>
      <c r="K1431" s="217"/>
      <c r="L1431" s="217"/>
      <c r="M1431" s="217"/>
      <c r="N1431" s="217"/>
      <c r="O1431" s="217"/>
      <c r="P1431" s="217"/>
    </row>
    <row r="1432" spans="1:16" s="219" customFormat="1" ht="30" hidden="1" x14ac:dyDescent="0.25">
      <c r="A1432" s="214"/>
      <c r="B1432" s="237">
        <v>1</v>
      </c>
      <c r="C1432" s="237">
        <v>3</v>
      </c>
      <c r="D1432" s="238" t="s">
        <v>2022</v>
      </c>
      <c r="E1432" s="238" t="s">
        <v>1836</v>
      </c>
      <c r="F1432" s="238" t="s">
        <v>2367</v>
      </c>
      <c r="G1432" s="238" t="s">
        <v>84</v>
      </c>
      <c r="H1432" s="239" t="s">
        <v>3286</v>
      </c>
      <c r="I1432" s="217"/>
      <c r="J1432" s="217"/>
      <c r="K1432" s="217"/>
      <c r="L1432" s="217"/>
      <c r="M1432" s="217"/>
      <c r="N1432" s="217"/>
      <c r="O1432" s="217"/>
      <c r="P1432" s="217"/>
    </row>
    <row r="1433" spans="1:16" s="219" customFormat="1" ht="30" hidden="1" x14ac:dyDescent="0.25">
      <c r="A1433" s="214"/>
      <c r="B1433" s="237">
        <v>1</v>
      </c>
      <c r="C1433" s="237">
        <v>3</v>
      </c>
      <c r="D1433" s="238" t="s">
        <v>2022</v>
      </c>
      <c r="E1433" s="238" t="s">
        <v>1836</v>
      </c>
      <c r="F1433" s="238" t="s">
        <v>2367</v>
      </c>
      <c r="G1433" s="238" t="s">
        <v>88</v>
      </c>
      <c r="H1433" s="239" t="s">
        <v>3287</v>
      </c>
      <c r="I1433" s="217"/>
      <c r="J1433" s="217"/>
      <c r="K1433" s="217"/>
      <c r="L1433" s="217"/>
      <c r="M1433" s="217"/>
      <c r="N1433" s="217"/>
      <c r="O1433" s="217"/>
      <c r="P1433" s="217"/>
    </row>
    <row r="1434" spans="1:16" s="219" customFormat="1" ht="45" hidden="1" x14ac:dyDescent="0.25">
      <c r="A1434" s="214"/>
      <c r="B1434" s="237">
        <v>1</v>
      </c>
      <c r="C1434" s="237">
        <v>3</v>
      </c>
      <c r="D1434" s="238" t="s">
        <v>2022</v>
      </c>
      <c r="E1434" s="238" t="s">
        <v>1836</v>
      </c>
      <c r="F1434" s="238" t="s">
        <v>2367</v>
      </c>
      <c r="G1434" s="238" t="s">
        <v>92</v>
      </c>
      <c r="H1434" s="239" t="s">
        <v>3288</v>
      </c>
      <c r="I1434" s="217"/>
      <c r="J1434" s="217"/>
      <c r="K1434" s="217"/>
      <c r="L1434" s="217"/>
      <c r="M1434" s="217"/>
      <c r="N1434" s="217"/>
      <c r="O1434" s="217"/>
      <c r="P1434" s="217"/>
    </row>
    <row r="1435" spans="1:16" s="213" customFormat="1" ht="30" hidden="1" x14ac:dyDescent="0.25">
      <c r="A1435" s="208" t="s">
        <v>263</v>
      </c>
      <c r="B1435" s="234">
        <v>1</v>
      </c>
      <c r="C1435" s="234">
        <v>3</v>
      </c>
      <c r="D1435" s="235" t="s">
        <v>2022</v>
      </c>
      <c r="E1435" s="235" t="s">
        <v>1836</v>
      </c>
      <c r="F1435" s="235" t="s">
        <v>2376</v>
      </c>
      <c r="G1435" s="234"/>
      <c r="H1435" s="236" t="s">
        <v>3289</v>
      </c>
      <c r="I1435" s="211">
        <f>SUM(I1436:I1455)</f>
        <v>0</v>
      </c>
      <c r="J1435" s="211">
        <f t="shared" ref="J1435:P1435" si="168">SUM(J1436:J1455)</f>
        <v>0</v>
      </c>
      <c r="K1435" s="211">
        <f t="shared" si="168"/>
        <v>0</v>
      </c>
      <c r="L1435" s="211">
        <f t="shared" si="168"/>
        <v>0</v>
      </c>
      <c r="M1435" s="211">
        <f t="shared" si="168"/>
        <v>0</v>
      </c>
      <c r="N1435" s="211">
        <f t="shared" si="168"/>
        <v>0</v>
      </c>
      <c r="O1435" s="211">
        <f t="shared" si="168"/>
        <v>0</v>
      </c>
      <c r="P1435" s="211">
        <f t="shared" si="168"/>
        <v>0</v>
      </c>
    </row>
    <row r="1436" spans="1:16" s="219" customFormat="1" ht="30" hidden="1" x14ac:dyDescent="0.25">
      <c r="A1436" s="214"/>
      <c r="B1436" s="237">
        <v>1</v>
      </c>
      <c r="C1436" s="237">
        <v>3</v>
      </c>
      <c r="D1436" s="238" t="s">
        <v>2022</v>
      </c>
      <c r="E1436" s="238" t="s">
        <v>1836</v>
      </c>
      <c r="F1436" s="238" t="s">
        <v>2376</v>
      </c>
      <c r="G1436" s="238" t="s">
        <v>58</v>
      </c>
      <c r="H1436" s="239" t="s">
        <v>3290</v>
      </c>
      <c r="I1436" s="217"/>
      <c r="J1436" s="217"/>
      <c r="K1436" s="217"/>
      <c r="L1436" s="217"/>
      <c r="M1436" s="217"/>
      <c r="N1436" s="217"/>
      <c r="O1436" s="217"/>
      <c r="P1436" s="217"/>
    </row>
    <row r="1437" spans="1:16" s="219" customFormat="1" ht="30" hidden="1" x14ac:dyDescent="0.25">
      <c r="A1437" s="214"/>
      <c r="B1437" s="237">
        <v>1</v>
      </c>
      <c r="C1437" s="237">
        <v>3</v>
      </c>
      <c r="D1437" s="238" t="s">
        <v>2022</v>
      </c>
      <c r="E1437" s="238" t="s">
        <v>1836</v>
      </c>
      <c r="F1437" s="238" t="s">
        <v>2376</v>
      </c>
      <c r="G1437" s="238" t="s">
        <v>75</v>
      </c>
      <c r="H1437" s="239" t="s">
        <v>3291</v>
      </c>
      <c r="I1437" s="217"/>
      <c r="J1437" s="217"/>
      <c r="K1437" s="217"/>
      <c r="L1437" s="217"/>
      <c r="M1437" s="217"/>
      <c r="N1437" s="217"/>
      <c r="O1437" s="217"/>
      <c r="P1437" s="217"/>
    </row>
    <row r="1438" spans="1:16" s="219" customFormat="1" ht="30" hidden="1" x14ac:dyDescent="0.25">
      <c r="A1438" s="214"/>
      <c r="B1438" s="237">
        <v>1</v>
      </c>
      <c r="C1438" s="237">
        <v>3</v>
      </c>
      <c r="D1438" s="238" t="s">
        <v>2022</v>
      </c>
      <c r="E1438" s="238" t="s">
        <v>1836</v>
      </c>
      <c r="F1438" s="238" t="s">
        <v>2376</v>
      </c>
      <c r="G1438" s="238" t="s">
        <v>79</v>
      </c>
      <c r="H1438" s="239" t="s">
        <v>3292</v>
      </c>
      <c r="I1438" s="217"/>
      <c r="J1438" s="217"/>
      <c r="K1438" s="217"/>
      <c r="L1438" s="217"/>
      <c r="M1438" s="217"/>
      <c r="N1438" s="217"/>
      <c r="O1438" s="217"/>
      <c r="P1438" s="217"/>
    </row>
    <row r="1439" spans="1:16" s="219" customFormat="1" ht="30" hidden="1" x14ac:dyDescent="0.25">
      <c r="A1439" s="214"/>
      <c r="B1439" s="237">
        <v>1</v>
      </c>
      <c r="C1439" s="237">
        <v>3</v>
      </c>
      <c r="D1439" s="238" t="s">
        <v>2022</v>
      </c>
      <c r="E1439" s="238" t="s">
        <v>1836</v>
      </c>
      <c r="F1439" s="238" t="s">
        <v>2376</v>
      </c>
      <c r="G1439" s="238" t="s">
        <v>84</v>
      </c>
      <c r="H1439" s="239" t="s">
        <v>3293</v>
      </c>
      <c r="I1439" s="217"/>
      <c r="J1439" s="217"/>
      <c r="K1439" s="217"/>
      <c r="L1439" s="217"/>
      <c r="M1439" s="217"/>
      <c r="N1439" s="217"/>
      <c r="O1439" s="217"/>
      <c r="P1439" s="217"/>
    </row>
    <row r="1440" spans="1:16" s="219" customFormat="1" ht="30" hidden="1" x14ac:dyDescent="0.25">
      <c r="A1440" s="214"/>
      <c r="B1440" s="237">
        <v>1</v>
      </c>
      <c r="C1440" s="237">
        <v>3</v>
      </c>
      <c r="D1440" s="238" t="s">
        <v>2022</v>
      </c>
      <c r="E1440" s="238" t="s">
        <v>1836</v>
      </c>
      <c r="F1440" s="238" t="s">
        <v>2376</v>
      </c>
      <c r="G1440" s="238" t="s">
        <v>88</v>
      </c>
      <c r="H1440" s="239" t="s">
        <v>3294</v>
      </c>
      <c r="I1440" s="217"/>
      <c r="J1440" s="217"/>
      <c r="K1440" s="217"/>
      <c r="L1440" s="217"/>
      <c r="M1440" s="217"/>
      <c r="N1440" s="217"/>
      <c r="O1440" s="217"/>
      <c r="P1440" s="217"/>
    </row>
    <row r="1441" spans="1:16" s="219" customFormat="1" ht="30" hidden="1" x14ac:dyDescent="0.25">
      <c r="A1441" s="214"/>
      <c r="B1441" s="237">
        <v>1</v>
      </c>
      <c r="C1441" s="237">
        <v>3</v>
      </c>
      <c r="D1441" s="238" t="s">
        <v>2022</v>
      </c>
      <c r="E1441" s="238" t="s">
        <v>1836</v>
      </c>
      <c r="F1441" s="238" t="s">
        <v>2376</v>
      </c>
      <c r="G1441" s="238" t="s">
        <v>92</v>
      </c>
      <c r="H1441" s="239" t="s">
        <v>3295</v>
      </c>
      <c r="I1441" s="217"/>
      <c r="J1441" s="217"/>
      <c r="K1441" s="217"/>
      <c r="L1441" s="217"/>
      <c r="M1441" s="217"/>
      <c r="N1441" s="217"/>
      <c r="O1441" s="217"/>
      <c r="P1441" s="217"/>
    </row>
    <row r="1442" spans="1:16" s="219" customFormat="1" ht="30" hidden="1" x14ac:dyDescent="0.25">
      <c r="A1442" s="214"/>
      <c r="B1442" s="237">
        <v>1</v>
      </c>
      <c r="C1442" s="237">
        <v>3</v>
      </c>
      <c r="D1442" s="238" t="s">
        <v>2022</v>
      </c>
      <c r="E1442" s="238" t="s">
        <v>1836</v>
      </c>
      <c r="F1442" s="238" t="s">
        <v>2376</v>
      </c>
      <c r="G1442" s="238" t="s">
        <v>96</v>
      </c>
      <c r="H1442" s="239" t="s">
        <v>3296</v>
      </c>
      <c r="I1442" s="217"/>
      <c r="J1442" s="217"/>
      <c r="K1442" s="217"/>
      <c r="L1442" s="217"/>
      <c r="M1442" s="217"/>
      <c r="N1442" s="217"/>
      <c r="O1442" s="217"/>
      <c r="P1442" s="217"/>
    </row>
    <row r="1443" spans="1:16" s="219" customFormat="1" ht="30" hidden="1" x14ac:dyDescent="0.25">
      <c r="A1443" s="214"/>
      <c r="B1443" s="237">
        <v>1</v>
      </c>
      <c r="C1443" s="237">
        <v>3</v>
      </c>
      <c r="D1443" s="238" t="s">
        <v>2022</v>
      </c>
      <c r="E1443" s="238" t="s">
        <v>1836</v>
      </c>
      <c r="F1443" s="238" t="s">
        <v>2376</v>
      </c>
      <c r="G1443" s="238" t="s">
        <v>100</v>
      </c>
      <c r="H1443" s="239" t="s">
        <v>3297</v>
      </c>
      <c r="I1443" s="217"/>
      <c r="J1443" s="217"/>
      <c r="K1443" s="217"/>
      <c r="L1443" s="217"/>
      <c r="M1443" s="217"/>
      <c r="N1443" s="217"/>
      <c r="O1443" s="217"/>
      <c r="P1443" s="217"/>
    </row>
    <row r="1444" spans="1:16" s="219" customFormat="1" ht="30" hidden="1" x14ac:dyDescent="0.25">
      <c r="A1444" s="214"/>
      <c r="B1444" s="237">
        <v>1</v>
      </c>
      <c r="C1444" s="237">
        <v>3</v>
      </c>
      <c r="D1444" s="238" t="s">
        <v>2022</v>
      </c>
      <c r="E1444" s="238" t="s">
        <v>1836</v>
      </c>
      <c r="F1444" s="238" t="s">
        <v>2376</v>
      </c>
      <c r="G1444" s="238" t="s">
        <v>105</v>
      </c>
      <c r="H1444" s="239" t="s">
        <v>3298</v>
      </c>
      <c r="I1444" s="217"/>
      <c r="J1444" s="217"/>
      <c r="K1444" s="217"/>
      <c r="L1444" s="217"/>
      <c r="M1444" s="217"/>
      <c r="N1444" s="217"/>
      <c r="O1444" s="217"/>
      <c r="P1444" s="217"/>
    </row>
    <row r="1445" spans="1:16" s="219" customFormat="1" ht="30" hidden="1" x14ac:dyDescent="0.25">
      <c r="A1445" s="214"/>
      <c r="B1445" s="237">
        <v>1</v>
      </c>
      <c r="C1445" s="237">
        <v>3</v>
      </c>
      <c r="D1445" s="238" t="s">
        <v>2022</v>
      </c>
      <c r="E1445" s="238" t="s">
        <v>1836</v>
      </c>
      <c r="F1445" s="238" t="s">
        <v>2376</v>
      </c>
      <c r="G1445" s="238" t="s">
        <v>108</v>
      </c>
      <c r="H1445" s="239" t="s">
        <v>3299</v>
      </c>
      <c r="I1445" s="217"/>
      <c r="J1445" s="217"/>
      <c r="K1445" s="217"/>
      <c r="L1445" s="217"/>
      <c r="M1445" s="217"/>
      <c r="N1445" s="217"/>
      <c r="O1445" s="217"/>
      <c r="P1445" s="217"/>
    </row>
    <row r="1446" spans="1:16" s="219" customFormat="1" ht="30" hidden="1" x14ac:dyDescent="0.25">
      <c r="A1446" s="214"/>
      <c r="B1446" s="237">
        <v>1</v>
      </c>
      <c r="C1446" s="237">
        <v>3</v>
      </c>
      <c r="D1446" s="238" t="s">
        <v>2022</v>
      </c>
      <c r="E1446" s="238" t="s">
        <v>1836</v>
      </c>
      <c r="F1446" s="238" t="s">
        <v>2376</v>
      </c>
      <c r="G1446" s="238" t="s">
        <v>135</v>
      </c>
      <c r="H1446" s="239" t="s">
        <v>3300</v>
      </c>
      <c r="I1446" s="217"/>
      <c r="J1446" s="217"/>
      <c r="K1446" s="217"/>
      <c r="L1446" s="217"/>
      <c r="M1446" s="217"/>
      <c r="N1446" s="217"/>
      <c r="O1446" s="217"/>
      <c r="P1446" s="217"/>
    </row>
    <row r="1447" spans="1:16" s="219" customFormat="1" ht="30" hidden="1" x14ac:dyDescent="0.25">
      <c r="A1447" s="214"/>
      <c r="B1447" s="237">
        <v>1</v>
      </c>
      <c r="C1447" s="237">
        <v>3</v>
      </c>
      <c r="D1447" s="238" t="s">
        <v>2022</v>
      </c>
      <c r="E1447" s="238" t="s">
        <v>1836</v>
      </c>
      <c r="F1447" s="238" t="s">
        <v>2376</v>
      </c>
      <c r="G1447" s="238" t="s">
        <v>138</v>
      </c>
      <c r="H1447" s="239" t="s">
        <v>3301</v>
      </c>
      <c r="I1447" s="217"/>
      <c r="J1447" s="217"/>
      <c r="K1447" s="217"/>
      <c r="L1447" s="217"/>
      <c r="M1447" s="217"/>
      <c r="N1447" s="217"/>
      <c r="O1447" s="217"/>
      <c r="P1447" s="217"/>
    </row>
    <row r="1448" spans="1:16" s="219" customFormat="1" ht="30" hidden="1" x14ac:dyDescent="0.25">
      <c r="A1448" s="214"/>
      <c r="B1448" s="237">
        <v>1</v>
      </c>
      <c r="C1448" s="237">
        <v>3</v>
      </c>
      <c r="D1448" s="238" t="s">
        <v>2022</v>
      </c>
      <c r="E1448" s="238" t="s">
        <v>1836</v>
      </c>
      <c r="F1448" s="238" t="s">
        <v>2376</v>
      </c>
      <c r="G1448" s="238" t="s">
        <v>140</v>
      </c>
      <c r="H1448" s="239" t="s">
        <v>3302</v>
      </c>
      <c r="I1448" s="217"/>
      <c r="J1448" s="217"/>
      <c r="K1448" s="217"/>
      <c r="L1448" s="217"/>
      <c r="M1448" s="217"/>
      <c r="N1448" s="217"/>
      <c r="O1448" s="217"/>
      <c r="P1448" s="217"/>
    </row>
    <row r="1449" spans="1:16" s="219" customFormat="1" ht="45" hidden="1" x14ac:dyDescent="0.25">
      <c r="A1449" s="214"/>
      <c r="B1449" s="237">
        <v>1</v>
      </c>
      <c r="C1449" s="237">
        <v>3</v>
      </c>
      <c r="D1449" s="238" t="s">
        <v>2022</v>
      </c>
      <c r="E1449" s="238" t="s">
        <v>1836</v>
      </c>
      <c r="F1449" s="238" t="s">
        <v>2376</v>
      </c>
      <c r="G1449" s="238" t="s">
        <v>143</v>
      </c>
      <c r="H1449" s="239" t="s">
        <v>3303</v>
      </c>
      <c r="I1449" s="217"/>
      <c r="J1449" s="217"/>
      <c r="K1449" s="217"/>
      <c r="L1449" s="217"/>
      <c r="M1449" s="217"/>
      <c r="N1449" s="217"/>
      <c r="O1449" s="217"/>
      <c r="P1449" s="217"/>
    </row>
    <row r="1450" spans="1:16" s="219" customFormat="1" ht="60" hidden="1" x14ac:dyDescent="0.25">
      <c r="A1450" s="214"/>
      <c r="B1450" s="237">
        <v>1</v>
      </c>
      <c r="C1450" s="237">
        <v>3</v>
      </c>
      <c r="D1450" s="238" t="s">
        <v>2022</v>
      </c>
      <c r="E1450" s="238" t="s">
        <v>1836</v>
      </c>
      <c r="F1450" s="238" t="s">
        <v>2376</v>
      </c>
      <c r="G1450" s="238" t="s">
        <v>146</v>
      </c>
      <c r="H1450" s="239" t="s">
        <v>3304</v>
      </c>
      <c r="I1450" s="217"/>
      <c r="J1450" s="217"/>
      <c r="K1450" s="217"/>
      <c r="L1450" s="217"/>
      <c r="M1450" s="217"/>
      <c r="N1450" s="217"/>
      <c r="O1450" s="217"/>
      <c r="P1450" s="217"/>
    </row>
    <row r="1451" spans="1:16" s="219" customFormat="1" ht="45" hidden="1" x14ac:dyDescent="0.25">
      <c r="A1451" s="214"/>
      <c r="B1451" s="237">
        <v>1</v>
      </c>
      <c r="C1451" s="237">
        <v>3</v>
      </c>
      <c r="D1451" s="238" t="s">
        <v>2022</v>
      </c>
      <c r="E1451" s="238" t="s">
        <v>1836</v>
      </c>
      <c r="F1451" s="238" t="s">
        <v>2376</v>
      </c>
      <c r="G1451" s="238" t="s">
        <v>150</v>
      </c>
      <c r="H1451" s="239" t="s">
        <v>3305</v>
      </c>
      <c r="I1451" s="217"/>
      <c r="J1451" s="217"/>
      <c r="K1451" s="217"/>
      <c r="L1451" s="217"/>
      <c r="M1451" s="217"/>
      <c r="N1451" s="217"/>
      <c r="O1451" s="217"/>
      <c r="P1451" s="217"/>
    </row>
    <row r="1452" spans="1:16" s="219" customFormat="1" ht="60" hidden="1" x14ac:dyDescent="0.25">
      <c r="A1452" s="214"/>
      <c r="B1452" s="237">
        <v>1</v>
      </c>
      <c r="C1452" s="237">
        <v>3</v>
      </c>
      <c r="D1452" s="238" t="s">
        <v>2022</v>
      </c>
      <c r="E1452" s="238" t="s">
        <v>1836</v>
      </c>
      <c r="F1452" s="238" t="s">
        <v>2376</v>
      </c>
      <c r="G1452" s="238" t="s">
        <v>153</v>
      </c>
      <c r="H1452" s="239" t="s">
        <v>3306</v>
      </c>
      <c r="I1452" s="217"/>
      <c r="J1452" s="217"/>
      <c r="K1452" s="217"/>
      <c r="L1452" s="217"/>
      <c r="M1452" s="217"/>
      <c r="N1452" s="217"/>
      <c r="O1452" s="217"/>
      <c r="P1452" s="217"/>
    </row>
    <row r="1453" spans="1:16" s="219" customFormat="1" ht="45" hidden="1" x14ac:dyDescent="0.25">
      <c r="A1453" s="214"/>
      <c r="B1453" s="237">
        <v>1</v>
      </c>
      <c r="C1453" s="237">
        <v>3</v>
      </c>
      <c r="D1453" s="238" t="s">
        <v>2022</v>
      </c>
      <c r="E1453" s="238" t="s">
        <v>1836</v>
      </c>
      <c r="F1453" s="238" t="s">
        <v>2376</v>
      </c>
      <c r="G1453" s="238" t="s">
        <v>156</v>
      </c>
      <c r="H1453" s="239" t="s">
        <v>3307</v>
      </c>
      <c r="I1453" s="217"/>
      <c r="J1453" s="217"/>
      <c r="K1453" s="217"/>
      <c r="L1453" s="217"/>
      <c r="M1453" s="217"/>
      <c r="N1453" s="217"/>
      <c r="O1453" s="217"/>
      <c r="P1453" s="217"/>
    </row>
    <row r="1454" spans="1:16" s="219" customFormat="1" ht="45" hidden="1" x14ac:dyDescent="0.25">
      <c r="A1454" s="214"/>
      <c r="B1454" s="237">
        <v>1</v>
      </c>
      <c r="C1454" s="237">
        <v>3</v>
      </c>
      <c r="D1454" s="238" t="s">
        <v>2022</v>
      </c>
      <c r="E1454" s="238" t="s">
        <v>1836</v>
      </c>
      <c r="F1454" s="238" t="s">
        <v>2376</v>
      </c>
      <c r="G1454" s="238" t="s">
        <v>159</v>
      </c>
      <c r="H1454" s="239" t="s">
        <v>3308</v>
      </c>
      <c r="I1454" s="217"/>
      <c r="J1454" s="217"/>
      <c r="K1454" s="217"/>
      <c r="L1454" s="217"/>
      <c r="M1454" s="217"/>
      <c r="N1454" s="217"/>
      <c r="O1454" s="217"/>
      <c r="P1454" s="217"/>
    </row>
    <row r="1455" spans="1:16" s="219" customFormat="1" ht="45" hidden="1" x14ac:dyDescent="0.25">
      <c r="A1455" s="214"/>
      <c r="B1455" s="237">
        <v>1</v>
      </c>
      <c r="C1455" s="237">
        <v>3</v>
      </c>
      <c r="D1455" s="238" t="s">
        <v>2022</v>
      </c>
      <c r="E1455" s="238" t="s">
        <v>1836</v>
      </c>
      <c r="F1455" s="238" t="s">
        <v>2376</v>
      </c>
      <c r="G1455" s="238" t="s">
        <v>162</v>
      </c>
      <c r="H1455" s="239" t="s">
        <v>3309</v>
      </c>
      <c r="I1455" s="217"/>
      <c r="J1455" s="217"/>
      <c r="K1455" s="217"/>
      <c r="L1455" s="217"/>
      <c r="M1455" s="217"/>
      <c r="N1455" s="217"/>
      <c r="O1455" s="217"/>
      <c r="P1455" s="217"/>
    </row>
    <row r="1456" spans="1:16" s="213" customFormat="1" ht="30" hidden="1" x14ac:dyDescent="0.25">
      <c r="A1456" s="208" t="s">
        <v>263</v>
      </c>
      <c r="B1456" s="234">
        <v>1</v>
      </c>
      <c r="C1456" s="234">
        <v>3</v>
      </c>
      <c r="D1456" s="235" t="s">
        <v>2022</v>
      </c>
      <c r="E1456" s="235" t="s">
        <v>1836</v>
      </c>
      <c r="F1456" s="235" t="s">
        <v>2403</v>
      </c>
      <c r="G1456" s="234"/>
      <c r="H1456" s="236" t="s">
        <v>3310</v>
      </c>
      <c r="I1456" s="211">
        <f>SUM(I1457:I1459)</f>
        <v>0</v>
      </c>
      <c r="J1456" s="211">
        <f t="shared" ref="J1456:P1456" si="169">SUM(J1457:J1459)</f>
        <v>0</v>
      </c>
      <c r="K1456" s="211">
        <f t="shared" si="169"/>
        <v>0</v>
      </c>
      <c r="L1456" s="211">
        <f t="shared" si="169"/>
        <v>0</v>
      </c>
      <c r="M1456" s="211">
        <f t="shared" si="169"/>
        <v>0</v>
      </c>
      <c r="N1456" s="211">
        <f t="shared" si="169"/>
        <v>0</v>
      </c>
      <c r="O1456" s="211">
        <f t="shared" si="169"/>
        <v>0</v>
      </c>
      <c r="P1456" s="211">
        <f t="shared" si="169"/>
        <v>0</v>
      </c>
    </row>
    <row r="1457" spans="1:16" s="219" customFormat="1" ht="45" hidden="1" x14ac:dyDescent="0.25">
      <c r="A1457" s="214"/>
      <c r="B1457" s="237">
        <v>1</v>
      </c>
      <c r="C1457" s="237">
        <v>3</v>
      </c>
      <c r="D1457" s="238" t="s">
        <v>2022</v>
      </c>
      <c r="E1457" s="238" t="s">
        <v>1836</v>
      </c>
      <c r="F1457" s="238" t="s">
        <v>2403</v>
      </c>
      <c r="G1457" s="238" t="s">
        <v>58</v>
      </c>
      <c r="H1457" s="239" t="s">
        <v>3311</v>
      </c>
      <c r="I1457" s="217"/>
      <c r="J1457" s="217"/>
      <c r="K1457" s="217"/>
      <c r="L1457" s="217"/>
      <c r="M1457" s="217"/>
      <c r="N1457" s="217"/>
      <c r="O1457" s="217"/>
      <c r="P1457" s="217"/>
    </row>
    <row r="1458" spans="1:16" s="219" customFormat="1" ht="45" hidden="1" x14ac:dyDescent="0.25">
      <c r="A1458" s="214"/>
      <c r="B1458" s="237">
        <v>1</v>
      </c>
      <c r="C1458" s="237">
        <v>3</v>
      </c>
      <c r="D1458" s="238" t="s">
        <v>2022</v>
      </c>
      <c r="E1458" s="238" t="s">
        <v>1836</v>
      </c>
      <c r="F1458" s="238" t="s">
        <v>2403</v>
      </c>
      <c r="G1458" s="238" t="s">
        <v>75</v>
      </c>
      <c r="H1458" s="239" t="s">
        <v>3312</v>
      </c>
      <c r="I1458" s="217"/>
      <c r="J1458" s="217"/>
      <c r="K1458" s="217"/>
      <c r="L1458" s="217"/>
      <c r="M1458" s="217"/>
      <c r="N1458" s="217"/>
      <c r="O1458" s="217"/>
      <c r="P1458" s="217"/>
    </row>
    <row r="1459" spans="1:16" s="219" customFormat="1" ht="60" hidden="1" x14ac:dyDescent="0.25">
      <c r="A1459" s="214"/>
      <c r="B1459" s="237">
        <v>1</v>
      </c>
      <c r="C1459" s="237">
        <v>3</v>
      </c>
      <c r="D1459" s="238" t="s">
        <v>2022</v>
      </c>
      <c r="E1459" s="238" t="s">
        <v>1836</v>
      </c>
      <c r="F1459" s="238" t="s">
        <v>2403</v>
      </c>
      <c r="G1459" s="238" t="s">
        <v>79</v>
      </c>
      <c r="H1459" s="239" t="s">
        <v>3313</v>
      </c>
      <c r="I1459" s="217"/>
      <c r="J1459" s="217"/>
      <c r="K1459" s="217"/>
      <c r="L1459" s="217"/>
      <c r="M1459" s="217"/>
      <c r="N1459" s="217"/>
      <c r="O1459" s="217"/>
      <c r="P1459" s="217"/>
    </row>
    <row r="1460" spans="1:16" s="213" customFormat="1" ht="30" hidden="1" x14ac:dyDescent="0.25">
      <c r="A1460" s="208" t="s">
        <v>263</v>
      </c>
      <c r="B1460" s="234">
        <v>1</v>
      </c>
      <c r="C1460" s="234">
        <v>3</v>
      </c>
      <c r="D1460" s="235" t="s">
        <v>2022</v>
      </c>
      <c r="E1460" s="235" t="s">
        <v>1836</v>
      </c>
      <c r="F1460" s="235" t="s">
        <v>2410</v>
      </c>
      <c r="G1460" s="234"/>
      <c r="H1460" s="236" t="s">
        <v>3314</v>
      </c>
      <c r="I1460" s="211">
        <f>SUM(I1461:I1486)</f>
        <v>0</v>
      </c>
      <c r="J1460" s="211">
        <f t="shared" ref="J1460:P1460" si="170">SUM(J1461:J1486)</f>
        <v>0</v>
      </c>
      <c r="K1460" s="211">
        <f t="shared" si="170"/>
        <v>0</v>
      </c>
      <c r="L1460" s="211">
        <f t="shared" si="170"/>
        <v>0</v>
      </c>
      <c r="M1460" s="211">
        <f t="shared" si="170"/>
        <v>0</v>
      </c>
      <c r="N1460" s="211">
        <f t="shared" si="170"/>
        <v>0</v>
      </c>
      <c r="O1460" s="211">
        <f t="shared" si="170"/>
        <v>0</v>
      </c>
      <c r="P1460" s="211">
        <f t="shared" si="170"/>
        <v>0</v>
      </c>
    </row>
    <row r="1461" spans="1:16" s="219" customFormat="1" ht="45" hidden="1" x14ac:dyDescent="0.25">
      <c r="A1461" s="214"/>
      <c r="B1461" s="237">
        <v>1</v>
      </c>
      <c r="C1461" s="237">
        <v>3</v>
      </c>
      <c r="D1461" s="238" t="s">
        <v>2022</v>
      </c>
      <c r="E1461" s="238" t="s">
        <v>1836</v>
      </c>
      <c r="F1461" s="238" t="s">
        <v>2410</v>
      </c>
      <c r="G1461" s="238" t="s">
        <v>58</v>
      </c>
      <c r="H1461" s="239" t="s">
        <v>3315</v>
      </c>
      <c r="I1461" s="217"/>
      <c r="J1461" s="217"/>
      <c r="K1461" s="217"/>
      <c r="L1461" s="217"/>
      <c r="M1461" s="217"/>
      <c r="N1461" s="217"/>
      <c r="O1461" s="217"/>
      <c r="P1461" s="217"/>
    </row>
    <row r="1462" spans="1:16" s="219" customFormat="1" ht="45" hidden="1" x14ac:dyDescent="0.25">
      <c r="A1462" s="214"/>
      <c r="B1462" s="237">
        <v>1</v>
      </c>
      <c r="C1462" s="237">
        <v>3</v>
      </c>
      <c r="D1462" s="238" t="s">
        <v>2022</v>
      </c>
      <c r="E1462" s="238" t="s">
        <v>1836</v>
      </c>
      <c r="F1462" s="238" t="s">
        <v>2410</v>
      </c>
      <c r="G1462" s="238" t="s">
        <v>75</v>
      </c>
      <c r="H1462" s="239" t="s">
        <v>3316</v>
      </c>
      <c r="I1462" s="217"/>
      <c r="J1462" s="217"/>
      <c r="K1462" s="217"/>
      <c r="L1462" s="217"/>
      <c r="M1462" s="217"/>
      <c r="N1462" s="217"/>
      <c r="O1462" s="217"/>
      <c r="P1462" s="217"/>
    </row>
    <row r="1463" spans="1:16" s="219" customFormat="1" ht="45" hidden="1" x14ac:dyDescent="0.25">
      <c r="A1463" s="214"/>
      <c r="B1463" s="237">
        <v>1</v>
      </c>
      <c r="C1463" s="237">
        <v>3</v>
      </c>
      <c r="D1463" s="238" t="s">
        <v>2022</v>
      </c>
      <c r="E1463" s="238" t="s">
        <v>1836</v>
      </c>
      <c r="F1463" s="238" t="s">
        <v>2410</v>
      </c>
      <c r="G1463" s="238" t="s">
        <v>79</v>
      </c>
      <c r="H1463" s="239" t="s">
        <v>3317</v>
      </c>
      <c r="I1463" s="217"/>
      <c r="J1463" s="217"/>
      <c r="K1463" s="217"/>
      <c r="L1463" s="217"/>
      <c r="M1463" s="217"/>
      <c r="N1463" s="217"/>
      <c r="O1463" s="217"/>
      <c r="P1463" s="217"/>
    </row>
    <row r="1464" spans="1:16" s="219" customFormat="1" ht="45" hidden="1" x14ac:dyDescent="0.25">
      <c r="A1464" s="214"/>
      <c r="B1464" s="237">
        <v>1</v>
      </c>
      <c r="C1464" s="237">
        <v>3</v>
      </c>
      <c r="D1464" s="238" t="s">
        <v>2022</v>
      </c>
      <c r="E1464" s="238" t="s">
        <v>1836</v>
      </c>
      <c r="F1464" s="238" t="s">
        <v>2410</v>
      </c>
      <c r="G1464" s="238" t="s">
        <v>84</v>
      </c>
      <c r="H1464" s="239" t="s">
        <v>3318</v>
      </c>
      <c r="I1464" s="217"/>
      <c r="J1464" s="217"/>
      <c r="K1464" s="217"/>
      <c r="L1464" s="217"/>
      <c r="M1464" s="217"/>
      <c r="N1464" s="217"/>
      <c r="O1464" s="217"/>
      <c r="P1464" s="217"/>
    </row>
    <row r="1465" spans="1:16" s="219" customFormat="1" ht="45" hidden="1" x14ac:dyDescent="0.25">
      <c r="A1465" s="214"/>
      <c r="B1465" s="237">
        <v>1</v>
      </c>
      <c r="C1465" s="237">
        <v>3</v>
      </c>
      <c r="D1465" s="238" t="s">
        <v>2022</v>
      </c>
      <c r="E1465" s="238" t="s">
        <v>1836</v>
      </c>
      <c r="F1465" s="238" t="s">
        <v>2410</v>
      </c>
      <c r="G1465" s="238" t="s">
        <v>88</v>
      </c>
      <c r="H1465" s="239" t="s">
        <v>3319</v>
      </c>
      <c r="I1465" s="217"/>
      <c r="J1465" s="217"/>
      <c r="K1465" s="217"/>
      <c r="L1465" s="217"/>
      <c r="M1465" s="217"/>
      <c r="N1465" s="217"/>
      <c r="O1465" s="217"/>
      <c r="P1465" s="217"/>
    </row>
    <row r="1466" spans="1:16" s="219" customFormat="1" ht="45" hidden="1" x14ac:dyDescent="0.25">
      <c r="A1466" s="214"/>
      <c r="B1466" s="237">
        <v>1</v>
      </c>
      <c r="C1466" s="237">
        <v>3</v>
      </c>
      <c r="D1466" s="238" t="s">
        <v>2022</v>
      </c>
      <c r="E1466" s="238" t="s">
        <v>1836</v>
      </c>
      <c r="F1466" s="238" t="s">
        <v>2410</v>
      </c>
      <c r="G1466" s="238" t="s">
        <v>92</v>
      </c>
      <c r="H1466" s="239" t="s">
        <v>3320</v>
      </c>
      <c r="I1466" s="217"/>
      <c r="J1466" s="217"/>
      <c r="K1466" s="217"/>
      <c r="L1466" s="217"/>
      <c r="M1466" s="217"/>
      <c r="N1466" s="217"/>
      <c r="O1466" s="217"/>
      <c r="P1466" s="217"/>
    </row>
    <row r="1467" spans="1:16" s="219" customFormat="1" ht="45" hidden="1" x14ac:dyDescent="0.25">
      <c r="A1467" s="214"/>
      <c r="B1467" s="237">
        <v>1</v>
      </c>
      <c r="C1467" s="237">
        <v>3</v>
      </c>
      <c r="D1467" s="238" t="s">
        <v>2022</v>
      </c>
      <c r="E1467" s="238" t="s">
        <v>1836</v>
      </c>
      <c r="F1467" s="238" t="s">
        <v>2410</v>
      </c>
      <c r="G1467" s="238" t="s">
        <v>96</v>
      </c>
      <c r="H1467" s="239" t="s">
        <v>3321</v>
      </c>
      <c r="I1467" s="217"/>
      <c r="J1467" s="217"/>
      <c r="K1467" s="217"/>
      <c r="L1467" s="217"/>
      <c r="M1467" s="217"/>
      <c r="N1467" s="217"/>
      <c r="O1467" s="217"/>
      <c r="P1467" s="217"/>
    </row>
    <row r="1468" spans="1:16" s="219" customFormat="1" ht="45" hidden="1" x14ac:dyDescent="0.25">
      <c r="A1468" s="214"/>
      <c r="B1468" s="237">
        <v>1</v>
      </c>
      <c r="C1468" s="237">
        <v>3</v>
      </c>
      <c r="D1468" s="238" t="s">
        <v>2022</v>
      </c>
      <c r="E1468" s="238" t="s">
        <v>1836</v>
      </c>
      <c r="F1468" s="238" t="s">
        <v>2410</v>
      </c>
      <c r="G1468" s="238" t="s">
        <v>100</v>
      </c>
      <c r="H1468" s="239" t="s">
        <v>3322</v>
      </c>
      <c r="I1468" s="217"/>
      <c r="J1468" s="217"/>
      <c r="K1468" s="217"/>
      <c r="L1468" s="217"/>
      <c r="M1468" s="217"/>
      <c r="N1468" s="217"/>
      <c r="O1468" s="217"/>
      <c r="P1468" s="217"/>
    </row>
    <row r="1469" spans="1:16" s="219" customFormat="1" ht="45" hidden="1" x14ac:dyDescent="0.25">
      <c r="A1469" s="214"/>
      <c r="B1469" s="237">
        <v>1</v>
      </c>
      <c r="C1469" s="237">
        <v>3</v>
      </c>
      <c r="D1469" s="238" t="s">
        <v>2022</v>
      </c>
      <c r="E1469" s="238" t="s">
        <v>1836</v>
      </c>
      <c r="F1469" s="238" t="s">
        <v>2410</v>
      </c>
      <c r="G1469" s="238" t="s">
        <v>105</v>
      </c>
      <c r="H1469" s="239" t="s">
        <v>3323</v>
      </c>
      <c r="I1469" s="217"/>
      <c r="J1469" s="217"/>
      <c r="K1469" s="217"/>
      <c r="L1469" s="217"/>
      <c r="M1469" s="217"/>
      <c r="N1469" s="217"/>
      <c r="O1469" s="217"/>
      <c r="P1469" s="217"/>
    </row>
    <row r="1470" spans="1:16" s="219" customFormat="1" ht="45" hidden="1" x14ac:dyDescent="0.25">
      <c r="A1470" s="214"/>
      <c r="B1470" s="237">
        <v>1</v>
      </c>
      <c r="C1470" s="237">
        <v>3</v>
      </c>
      <c r="D1470" s="238" t="s">
        <v>2022</v>
      </c>
      <c r="E1470" s="238" t="s">
        <v>1836</v>
      </c>
      <c r="F1470" s="238" t="s">
        <v>2410</v>
      </c>
      <c r="G1470" s="238" t="s">
        <v>108</v>
      </c>
      <c r="H1470" s="239" t="s">
        <v>3324</v>
      </c>
      <c r="I1470" s="217"/>
      <c r="J1470" s="217"/>
      <c r="K1470" s="217"/>
      <c r="L1470" s="217"/>
      <c r="M1470" s="217"/>
      <c r="N1470" s="217"/>
      <c r="O1470" s="217"/>
      <c r="P1470" s="217"/>
    </row>
    <row r="1471" spans="1:16" s="219" customFormat="1" ht="45" hidden="1" x14ac:dyDescent="0.25">
      <c r="A1471" s="214"/>
      <c r="B1471" s="237">
        <v>1</v>
      </c>
      <c r="C1471" s="237">
        <v>3</v>
      </c>
      <c r="D1471" s="238" t="s">
        <v>2022</v>
      </c>
      <c r="E1471" s="238" t="s">
        <v>1836</v>
      </c>
      <c r="F1471" s="238" t="s">
        <v>2410</v>
      </c>
      <c r="G1471" s="238" t="s">
        <v>135</v>
      </c>
      <c r="H1471" s="239" t="s">
        <v>3325</v>
      </c>
      <c r="I1471" s="217"/>
      <c r="J1471" s="217"/>
      <c r="K1471" s="217"/>
      <c r="L1471" s="217"/>
      <c r="M1471" s="217"/>
      <c r="N1471" s="217"/>
      <c r="O1471" s="217"/>
      <c r="P1471" s="217"/>
    </row>
    <row r="1472" spans="1:16" s="219" customFormat="1" ht="60" hidden="1" x14ac:dyDescent="0.25">
      <c r="A1472" s="214"/>
      <c r="B1472" s="237">
        <v>1</v>
      </c>
      <c r="C1472" s="237">
        <v>3</v>
      </c>
      <c r="D1472" s="238" t="s">
        <v>2022</v>
      </c>
      <c r="E1472" s="238" t="s">
        <v>1836</v>
      </c>
      <c r="F1472" s="238" t="s">
        <v>2410</v>
      </c>
      <c r="G1472" s="238" t="s">
        <v>138</v>
      </c>
      <c r="H1472" s="239" t="s">
        <v>3326</v>
      </c>
      <c r="I1472" s="217"/>
      <c r="J1472" s="217"/>
      <c r="K1472" s="217"/>
      <c r="L1472" s="217"/>
      <c r="M1472" s="217"/>
      <c r="N1472" s="217"/>
      <c r="O1472" s="217"/>
      <c r="P1472" s="217"/>
    </row>
    <row r="1473" spans="1:16" s="219" customFormat="1" ht="45" hidden="1" x14ac:dyDescent="0.25">
      <c r="A1473" s="214"/>
      <c r="B1473" s="237">
        <v>1</v>
      </c>
      <c r="C1473" s="237">
        <v>3</v>
      </c>
      <c r="D1473" s="238" t="s">
        <v>2022</v>
      </c>
      <c r="E1473" s="238" t="s">
        <v>1836</v>
      </c>
      <c r="F1473" s="238" t="s">
        <v>2410</v>
      </c>
      <c r="G1473" s="238" t="s">
        <v>140</v>
      </c>
      <c r="H1473" s="239" t="s">
        <v>3327</v>
      </c>
      <c r="I1473" s="217"/>
      <c r="J1473" s="217"/>
      <c r="K1473" s="217"/>
      <c r="L1473" s="217"/>
      <c r="M1473" s="217"/>
      <c r="N1473" s="217"/>
      <c r="O1473" s="217"/>
      <c r="P1473" s="217"/>
    </row>
    <row r="1474" spans="1:16" s="219" customFormat="1" ht="45" hidden="1" x14ac:dyDescent="0.25">
      <c r="A1474" s="214"/>
      <c r="B1474" s="237">
        <v>1</v>
      </c>
      <c r="C1474" s="237">
        <v>3</v>
      </c>
      <c r="D1474" s="238" t="s">
        <v>2022</v>
      </c>
      <c r="E1474" s="238" t="s">
        <v>1836</v>
      </c>
      <c r="F1474" s="238" t="s">
        <v>2410</v>
      </c>
      <c r="G1474" s="238" t="s">
        <v>143</v>
      </c>
      <c r="H1474" s="239" t="s">
        <v>3328</v>
      </c>
      <c r="I1474" s="217"/>
      <c r="J1474" s="217"/>
      <c r="K1474" s="217"/>
      <c r="L1474" s="217"/>
      <c r="M1474" s="217"/>
      <c r="N1474" s="217"/>
      <c r="O1474" s="217"/>
      <c r="P1474" s="217"/>
    </row>
    <row r="1475" spans="1:16" s="219" customFormat="1" ht="45" hidden="1" x14ac:dyDescent="0.25">
      <c r="A1475" s="214"/>
      <c r="B1475" s="237">
        <v>1</v>
      </c>
      <c r="C1475" s="237">
        <v>3</v>
      </c>
      <c r="D1475" s="238" t="s">
        <v>2022</v>
      </c>
      <c r="E1475" s="238" t="s">
        <v>1836</v>
      </c>
      <c r="F1475" s="238" t="s">
        <v>2410</v>
      </c>
      <c r="G1475" s="238" t="s">
        <v>146</v>
      </c>
      <c r="H1475" s="239" t="s">
        <v>3329</v>
      </c>
      <c r="I1475" s="217"/>
      <c r="J1475" s="217"/>
      <c r="K1475" s="217"/>
      <c r="L1475" s="217"/>
      <c r="M1475" s="217"/>
      <c r="N1475" s="217"/>
      <c r="O1475" s="217"/>
      <c r="P1475" s="217"/>
    </row>
    <row r="1476" spans="1:16" s="219" customFormat="1" ht="45" hidden="1" x14ac:dyDescent="0.25">
      <c r="A1476" s="214"/>
      <c r="B1476" s="237">
        <v>1</v>
      </c>
      <c r="C1476" s="237">
        <v>3</v>
      </c>
      <c r="D1476" s="238" t="s">
        <v>2022</v>
      </c>
      <c r="E1476" s="238" t="s">
        <v>1836</v>
      </c>
      <c r="F1476" s="238" t="s">
        <v>2410</v>
      </c>
      <c r="G1476" s="238" t="s">
        <v>150</v>
      </c>
      <c r="H1476" s="239" t="s">
        <v>3330</v>
      </c>
      <c r="I1476" s="217"/>
      <c r="J1476" s="217"/>
      <c r="K1476" s="217"/>
      <c r="L1476" s="217"/>
      <c r="M1476" s="217"/>
      <c r="N1476" s="217"/>
      <c r="O1476" s="217"/>
      <c r="P1476" s="217"/>
    </row>
    <row r="1477" spans="1:16" s="219" customFormat="1" ht="45" hidden="1" x14ac:dyDescent="0.25">
      <c r="A1477" s="214"/>
      <c r="B1477" s="237">
        <v>1</v>
      </c>
      <c r="C1477" s="237">
        <v>3</v>
      </c>
      <c r="D1477" s="238" t="s">
        <v>2022</v>
      </c>
      <c r="E1477" s="238" t="s">
        <v>1836</v>
      </c>
      <c r="F1477" s="238" t="s">
        <v>2410</v>
      </c>
      <c r="G1477" s="238" t="s">
        <v>153</v>
      </c>
      <c r="H1477" s="239" t="s">
        <v>3331</v>
      </c>
      <c r="I1477" s="217"/>
      <c r="J1477" s="217"/>
      <c r="K1477" s="217"/>
      <c r="L1477" s="217"/>
      <c r="M1477" s="217"/>
      <c r="N1477" s="217"/>
      <c r="O1477" s="217"/>
      <c r="P1477" s="217"/>
    </row>
    <row r="1478" spans="1:16" s="219" customFormat="1" ht="45" hidden="1" x14ac:dyDescent="0.25">
      <c r="A1478" s="214"/>
      <c r="B1478" s="237">
        <v>1</v>
      </c>
      <c r="C1478" s="237">
        <v>3</v>
      </c>
      <c r="D1478" s="238" t="s">
        <v>2022</v>
      </c>
      <c r="E1478" s="238" t="s">
        <v>1836</v>
      </c>
      <c r="F1478" s="238" t="s">
        <v>2410</v>
      </c>
      <c r="G1478" s="238" t="s">
        <v>156</v>
      </c>
      <c r="H1478" s="239" t="s">
        <v>3332</v>
      </c>
      <c r="I1478" s="217"/>
      <c r="J1478" s="217"/>
      <c r="K1478" s="217"/>
      <c r="L1478" s="217"/>
      <c r="M1478" s="217"/>
      <c r="N1478" s="217"/>
      <c r="O1478" s="217"/>
      <c r="P1478" s="217"/>
    </row>
    <row r="1479" spans="1:16" s="219" customFormat="1" ht="45" hidden="1" x14ac:dyDescent="0.25">
      <c r="A1479" s="214"/>
      <c r="B1479" s="237">
        <v>1</v>
      </c>
      <c r="C1479" s="237">
        <v>3</v>
      </c>
      <c r="D1479" s="238" t="s">
        <v>2022</v>
      </c>
      <c r="E1479" s="238" t="s">
        <v>1836</v>
      </c>
      <c r="F1479" s="238" t="s">
        <v>2410</v>
      </c>
      <c r="G1479" s="238" t="s">
        <v>159</v>
      </c>
      <c r="H1479" s="239" t="s">
        <v>3333</v>
      </c>
      <c r="I1479" s="217"/>
      <c r="J1479" s="217"/>
      <c r="K1479" s="217"/>
      <c r="L1479" s="217"/>
      <c r="M1479" s="217"/>
      <c r="N1479" s="217"/>
      <c r="O1479" s="217"/>
      <c r="P1479" s="217"/>
    </row>
    <row r="1480" spans="1:16" s="219" customFormat="1" ht="45" hidden="1" x14ac:dyDescent="0.25">
      <c r="A1480" s="214"/>
      <c r="B1480" s="237">
        <v>1</v>
      </c>
      <c r="C1480" s="237">
        <v>3</v>
      </c>
      <c r="D1480" s="238" t="s">
        <v>2022</v>
      </c>
      <c r="E1480" s="238" t="s">
        <v>1836</v>
      </c>
      <c r="F1480" s="238" t="s">
        <v>2410</v>
      </c>
      <c r="G1480" s="238" t="s">
        <v>162</v>
      </c>
      <c r="H1480" s="239" t="s">
        <v>3334</v>
      </c>
      <c r="I1480" s="217"/>
      <c r="J1480" s="217"/>
      <c r="K1480" s="217"/>
      <c r="L1480" s="217"/>
      <c r="M1480" s="217"/>
      <c r="N1480" s="217"/>
      <c r="O1480" s="217"/>
      <c r="P1480" s="217"/>
    </row>
    <row r="1481" spans="1:16" s="219" customFormat="1" ht="60" hidden="1" x14ac:dyDescent="0.25">
      <c r="A1481" s="214"/>
      <c r="B1481" s="237">
        <v>1</v>
      </c>
      <c r="C1481" s="237">
        <v>3</v>
      </c>
      <c r="D1481" s="238" t="s">
        <v>2022</v>
      </c>
      <c r="E1481" s="238" t="s">
        <v>1836</v>
      </c>
      <c r="F1481" s="238" t="s">
        <v>2410</v>
      </c>
      <c r="G1481" s="238" t="s">
        <v>312</v>
      </c>
      <c r="H1481" s="239" t="s">
        <v>3335</v>
      </c>
      <c r="I1481" s="217"/>
      <c r="J1481" s="217"/>
      <c r="K1481" s="217"/>
      <c r="L1481" s="217"/>
      <c r="M1481" s="217"/>
      <c r="N1481" s="217"/>
      <c r="O1481" s="217"/>
      <c r="P1481" s="217"/>
    </row>
    <row r="1482" spans="1:16" s="219" customFormat="1" ht="45" hidden="1" x14ac:dyDescent="0.25">
      <c r="A1482" s="214"/>
      <c r="B1482" s="237">
        <v>1</v>
      </c>
      <c r="C1482" s="237">
        <v>3</v>
      </c>
      <c r="D1482" s="238" t="s">
        <v>2022</v>
      </c>
      <c r="E1482" s="238" t="s">
        <v>1836</v>
      </c>
      <c r="F1482" s="238" t="s">
        <v>2410</v>
      </c>
      <c r="G1482" s="238" t="s">
        <v>313</v>
      </c>
      <c r="H1482" s="239" t="s">
        <v>3336</v>
      </c>
      <c r="I1482" s="217"/>
      <c r="J1482" s="217"/>
      <c r="K1482" s="217"/>
      <c r="L1482" s="217"/>
      <c r="M1482" s="217"/>
      <c r="N1482" s="217"/>
      <c r="O1482" s="217"/>
      <c r="P1482" s="217"/>
    </row>
    <row r="1483" spans="1:16" s="219" customFormat="1" ht="45" hidden="1" x14ac:dyDescent="0.25">
      <c r="A1483" s="214"/>
      <c r="B1483" s="237">
        <v>1</v>
      </c>
      <c r="C1483" s="237">
        <v>3</v>
      </c>
      <c r="D1483" s="238" t="s">
        <v>2022</v>
      </c>
      <c r="E1483" s="238" t="s">
        <v>1836</v>
      </c>
      <c r="F1483" s="238" t="s">
        <v>2410</v>
      </c>
      <c r="G1483" s="238" t="s">
        <v>559</v>
      </c>
      <c r="H1483" s="239" t="s">
        <v>3337</v>
      </c>
      <c r="I1483" s="217"/>
      <c r="J1483" s="217"/>
      <c r="K1483" s="217"/>
      <c r="L1483" s="217"/>
      <c r="M1483" s="217"/>
      <c r="N1483" s="217"/>
      <c r="O1483" s="217"/>
      <c r="P1483" s="217"/>
    </row>
    <row r="1484" spans="1:16" s="219" customFormat="1" ht="45" hidden="1" x14ac:dyDescent="0.25">
      <c r="A1484" s="214"/>
      <c r="B1484" s="237">
        <v>1</v>
      </c>
      <c r="C1484" s="237">
        <v>3</v>
      </c>
      <c r="D1484" s="238" t="s">
        <v>2022</v>
      </c>
      <c r="E1484" s="238" t="s">
        <v>1836</v>
      </c>
      <c r="F1484" s="238" t="s">
        <v>2410</v>
      </c>
      <c r="G1484" s="238" t="s">
        <v>561</v>
      </c>
      <c r="H1484" s="239" t="s">
        <v>3338</v>
      </c>
      <c r="I1484" s="217"/>
      <c r="J1484" s="217"/>
      <c r="K1484" s="217"/>
      <c r="L1484" s="217"/>
      <c r="M1484" s="217"/>
      <c r="N1484" s="217"/>
      <c r="O1484" s="217"/>
      <c r="P1484" s="217"/>
    </row>
    <row r="1485" spans="1:16" s="219" customFormat="1" ht="45" hidden="1" x14ac:dyDescent="0.25">
      <c r="A1485" s="214"/>
      <c r="B1485" s="237">
        <v>1</v>
      </c>
      <c r="C1485" s="237">
        <v>3</v>
      </c>
      <c r="D1485" s="238" t="s">
        <v>2022</v>
      </c>
      <c r="E1485" s="238" t="s">
        <v>1836</v>
      </c>
      <c r="F1485" s="238" t="s">
        <v>2410</v>
      </c>
      <c r="G1485" s="238" t="s">
        <v>563</v>
      </c>
      <c r="H1485" s="239" t="s">
        <v>3339</v>
      </c>
      <c r="I1485" s="217"/>
      <c r="J1485" s="217"/>
      <c r="K1485" s="217"/>
      <c r="L1485" s="217"/>
      <c r="M1485" s="217"/>
      <c r="N1485" s="217"/>
      <c r="O1485" s="217"/>
      <c r="P1485" s="217"/>
    </row>
    <row r="1486" spans="1:16" s="219" customFormat="1" ht="45" hidden="1" x14ac:dyDescent="0.25">
      <c r="A1486" s="214"/>
      <c r="B1486" s="237">
        <v>1</v>
      </c>
      <c r="C1486" s="237">
        <v>3</v>
      </c>
      <c r="D1486" s="238" t="s">
        <v>2022</v>
      </c>
      <c r="E1486" s="238" t="s">
        <v>1836</v>
      </c>
      <c r="F1486" s="238" t="s">
        <v>2410</v>
      </c>
      <c r="G1486" s="238" t="s">
        <v>227</v>
      </c>
      <c r="H1486" s="239" t="s">
        <v>3340</v>
      </c>
      <c r="I1486" s="217"/>
      <c r="J1486" s="217"/>
      <c r="K1486" s="217"/>
      <c r="L1486" s="217"/>
      <c r="M1486" s="217"/>
      <c r="N1486" s="217"/>
      <c r="O1486" s="217"/>
      <c r="P1486" s="217"/>
    </row>
    <row r="1487" spans="1:16" s="213" customFormat="1" ht="30" hidden="1" x14ac:dyDescent="0.25">
      <c r="A1487" s="208" t="s">
        <v>263</v>
      </c>
      <c r="B1487" s="234">
        <v>1</v>
      </c>
      <c r="C1487" s="234">
        <v>3</v>
      </c>
      <c r="D1487" s="235" t="s">
        <v>2022</v>
      </c>
      <c r="E1487" s="235" t="s">
        <v>1836</v>
      </c>
      <c r="F1487" s="235" t="s">
        <v>2440</v>
      </c>
      <c r="G1487" s="234"/>
      <c r="H1487" s="236" t="s">
        <v>3341</v>
      </c>
      <c r="I1487" s="211">
        <f>SUM(I1488:I1499)</f>
        <v>0</v>
      </c>
      <c r="J1487" s="211">
        <f t="shared" ref="J1487:P1487" si="171">SUM(J1488:J1499)</f>
        <v>0</v>
      </c>
      <c r="K1487" s="211">
        <f t="shared" si="171"/>
        <v>0</v>
      </c>
      <c r="L1487" s="211">
        <f t="shared" si="171"/>
        <v>0</v>
      </c>
      <c r="M1487" s="211">
        <f t="shared" si="171"/>
        <v>0</v>
      </c>
      <c r="N1487" s="211">
        <f t="shared" si="171"/>
        <v>0</v>
      </c>
      <c r="O1487" s="211">
        <f t="shared" si="171"/>
        <v>0</v>
      </c>
      <c r="P1487" s="211">
        <f t="shared" si="171"/>
        <v>0</v>
      </c>
    </row>
    <row r="1488" spans="1:16" s="219" customFormat="1" ht="45" hidden="1" x14ac:dyDescent="0.25">
      <c r="A1488" s="214"/>
      <c r="B1488" s="237">
        <v>1</v>
      </c>
      <c r="C1488" s="237">
        <v>3</v>
      </c>
      <c r="D1488" s="238" t="s">
        <v>2022</v>
      </c>
      <c r="E1488" s="238" t="s">
        <v>1836</v>
      </c>
      <c r="F1488" s="238" t="s">
        <v>2440</v>
      </c>
      <c r="G1488" s="238" t="s">
        <v>58</v>
      </c>
      <c r="H1488" s="239" t="s">
        <v>3342</v>
      </c>
      <c r="I1488" s="217"/>
      <c r="J1488" s="217"/>
      <c r="K1488" s="217"/>
      <c r="L1488" s="217"/>
      <c r="M1488" s="217"/>
      <c r="N1488" s="217"/>
      <c r="O1488" s="217"/>
      <c r="P1488" s="217"/>
    </row>
    <row r="1489" spans="1:16" s="219" customFormat="1" ht="45" hidden="1" x14ac:dyDescent="0.25">
      <c r="A1489" s="214"/>
      <c r="B1489" s="237">
        <v>1</v>
      </c>
      <c r="C1489" s="237">
        <v>3</v>
      </c>
      <c r="D1489" s="238" t="s">
        <v>2022</v>
      </c>
      <c r="E1489" s="238" t="s">
        <v>1836</v>
      </c>
      <c r="F1489" s="238" t="s">
        <v>2440</v>
      </c>
      <c r="G1489" s="238" t="s">
        <v>75</v>
      </c>
      <c r="H1489" s="239" t="s">
        <v>3343</v>
      </c>
      <c r="I1489" s="217"/>
      <c r="J1489" s="217"/>
      <c r="K1489" s="217"/>
      <c r="L1489" s="217"/>
      <c r="M1489" s="217"/>
      <c r="N1489" s="217"/>
      <c r="O1489" s="217"/>
      <c r="P1489" s="217"/>
    </row>
    <row r="1490" spans="1:16" s="219" customFormat="1" ht="45" hidden="1" x14ac:dyDescent="0.25">
      <c r="A1490" s="214"/>
      <c r="B1490" s="237">
        <v>1</v>
      </c>
      <c r="C1490" s="237">
        <v>3</v>
      </c>
      <c r="D1490" s="238" t="s">
        <v>2022</v>
      </c>
      <c r="E1490" s="238" t="s">
        <v>1836</v>
      </c>
      <c r="F1490" s="238" t="s">
        <v>2440</v>
      </c>
      <c r="G1490" s="238" t="s">
        <v>79</v>
      </c>
      <c r="H1490" s="239" t="s">
        <v>3344</v>
      </c>
      <c r="I1490" s="217"/>
      <c r="J1490" s="217"/>
      <c r="K1490" s="217"/>
      <c r="L1490" s="217"/>
      <c r="M1490" s="217"/>
      <c r="N1490" s="217"/>
      <c r="O1490" s="217"/>
      <c r="P1490" s="217"/>
    </row>
    <row r="1491" spans="1:16" s="219" customFormat="1" ht="45" hidden="1" x14ac:dyDescent="0.25">
      <c r="A1491" s="214"/>
      <c r="B1491" s="237">
        <v>1</v>
      </c>
      <c r="C1491" s="237">
        <v>3</v>
      </c>
      <c r="D1491" s="238" t="s">
        <v>2022</v>
      </c>
      <c r="E1491" s="238" t="s">
        <v>1836</v>
      </c>
      <c r="F1491" s="238" t="s">
        <v>2440</v>
      </c>
      <c r="G1491" s="238" t="s">
        <v>84</v>
      </c>
      <c r="H1491" s="239" t="s">
        <v>3345</v>
      </c>
      <c r="I1491" s="217"/>
      <c r="J1491" s="217"/>
      <c r="K1491" s="217"/>
      <c r="L1491" s="217"/>
      <c r="M1491" s="217"/>
      <c r="N1491" s="217"/>
      <c r="O1491" s="217"/>
      <c r="P1491" s="217"/>
    </row>
    <row r="1492" spans="1:16" s="219" customFormat="1" ht="45" hidden="1" x14ac:dyDescent="0.25">
      <c r="A1492" s="214"/>
      <c r="B1492" s="237">
        <v>1</v>
      </c>
      <c r="C1492" s="237">
        <v>3</v>
      </c>
      <c r="D1492" s="238" t="s">
        <v>2022</v>
      </c>
      <c r="E1492" s="238" t="s">
        <v>1836</v>
      </c>
      <c r="F1492" s="238" t="s">
        <v>2440</v>
      </c>
      <c r="G1492" s="238" t="s">
        <v>88</v>
      </c>
      <c r="H1492" s="239" t="s">
        <v>3346</v>
      </c>
      <c r="I1492" s="217"/>
      <c r="J1492" s="217"/>
      <c r="K1492" s="217"/>
      <c r="L1492" s="217"/>
      <c r="M1492" s="217"/>
      <c r="N1492" s="217"/>
      <c r="O1492" s="217"/>
      <c r="P1492" s="217"/>
    </row>
    <row r="1493" spans="1:16" s="219" customFormat="1" ht="45" hidden="1" x14ac:dyDescent="0.25">
      <c r="A1493" s="214"/>
      <c r="B1493" s="237">
        <v>1</v>
      </c>
      <c r="C1493" s="237">
        <v>3</v>
      </c>
      <c r="D1493" s="238" t="s">
        <v>2022</v>
      </c>
      <c r="E1493" s="238" t="s">
        <v>1836</v>
      </c>
      <c r="F1493" s="238" t="s">
        <v>2440</v>
      </c>
      <c r="G1493" s="238" t="s">
        <v>92</v>
      </c>
      <c r="H1493" s="239" t="s">
        <v>3347</v>
      </c>
      <c r="I1493" s="217"/>
      <c r="J1493" s="217"/>
      <c r="K1493" s="217"/>
      <c r="L1493" s="217"/>
      <c r="M1493" s="217"/>
      <c r="N1493" s="217"/>
      <c r="O1493" s="217"/>
      <c r="P1493" s="217"/>
    </row>
    <row r="1494" spans="1:16" s="219" customFormat="1" ht="45" hidden="1" x14ac:dyDescent="0.25">
      <c r="A1494" s="214"/>
      <c r="B1494" s="237">
        <v>1</v>
      </c>
      <c r="C1494" s="237">
        <v>3</v>
      </c>
      <c r="D1494" s="238" t="s">
        <v>2022</v>
      </c>
      <c r="E1494" s="238" t="s">
        <v>1836</v>
      </c>
      <c r="F1494" s="238" t="s">
        <v>2440</v>
      </c>
      <c r="G1494" s="238" t="s">
        <v>96</v>
      </c>
      <c r="H1494" s="239" t="s">
        <v>3348</v>
      </c>
      <c r="I1494" s="217"/>
      <c r="J1494" s="217"/>
      <c r="K1494" s="217"/>
      <c r="L1494" s="217"/>
      <c r="M1494" s="217"/>
      <c r="N1494" s="217"/>
      <c r="O1494" s="217"/>
      <c r="P1494" s="217"/>
    </row>
    <row r="1495" spans="1:16" s="219" customFormat="1" ht="30" hidden="1" x14ac:dyDescent="0.25">
      <c r="A1495" s="214"/>
      <c r="B1495" s="237">
        <v>1</v>
      </c>
      <c r="C1495" s="237">
        <v>3</v>
      </c>
      <c r="D1495" s="238" t="s">
        <v>2022</v>
      </c>
      <c r="E1495" s="238" t="s">
        <v>1836</v>
      </c>
      <c r="F1495" s="238" t="s">
        <v>2440</v>
      </c>
      <c r="G1495" s="238" t="s">
        <v>100</v>
      </c>
      <c r="H1495" s="239" t="s">
        <v>3349</v>
      </c>
      <c r="I1495" s="217"/>
      <c r="J1495" s="217"/>
      <c r="K1495" s="217"/>
      <c r="L1495" s="217"/>
      <c r="M1495" s="217"/>
      <c r="N1495" s="217"/>
      <c r="O1495" s="217"/>
      <c r="P1495" s="217"/>
    </row>
    <row r="1496" spans="1:16" s="219" customFormat="1" ht="30" hidden="1" x14ac:dyDescent="0.25">
      <c r="A1496" s="214"/>
      <c r="B1496" s="237">
        <v>1</v>
      </c>
      <c r="C1496" s="237">
        <v>3</v>
      </c>
      <c r="D1496" s="238" t="s">
        <v>2022</v>
      </c>
      <c r="E1496" s="238" t="s">
        <v>1836</v>
      </c>
      <c r="F1496" s="238" t="s">
        <v>2440</v>
      </c>
      <c r="G1496" s="238" t="s">
        <v>105</v>
      </c>
      <c r="H1496" s="239" t="s">
        <v>3350</v>
      </c>
      <c r="I1496" s="217"/>
      <c r="J1496" s="217"/>
      <c r="K1496" s="217"/>
      <c r="L1496" s="217"/>
      <c r="M1496" s="217"/>
      <c r="N1496" s="217"/>
      <c r="O1496" s="217"/>
      <c r="P1496" s="217"/>
    </row>
    <row r="1497" spans="1:16" s="219" customFormat="1" ht="45" hidden="1" x14ac:dyDescent="0.25">
      <c r="A1497" s="214"/>
      <c r="B1497" s="237">
        <v>1</v>
      </c>
      <c r="C1497" s="237">
        <v>3</v>
      </c>
      <c r="D1497" s="238" t="s">
        <v>2022</v>
      </c>
      <c r="E1497" s="238" t="s">
        <v>1836</v>
      </c>
      <c r="F1497" s="238" t="s">
        <v>2440</v>
      </c>
      <c r="G1497" s="238" t="s">
        <v>108</v>
      </c>
      <c r="H1497" s="239" t="s">
        <v>3351</v>
      </c>
      <c r="I1497" s="217"/>
      <c r="J1497" s="217"/>
      <c r="K1497" s="217"/>
      <c r="L1497" s="217"/>
      <c r="M1497" s="217"/>
      <c r="N1497" s="217"/>
      <c r="O1497" s="217"/>
      <c r="P1497" s="217"/>
    </row>
    <row r="1498" spans="1:16" s="219" customFormat="1" ht="45" hidden="1" x14ac:dyDescent="0.25">
      <c r="A1498" s="214"/>
      <c r="B1498" s="237">
        <v>1</v>
      </c>
      <c r="C1498" s="237">
        <v>3</v>
      </c>
      <c r="D1498" s="238" t="s">
        <v>2022</v>
      </c>
      <c r="E1498" s="238" t="s">
        <v>1836</v>
      </c>
      <c r="F1498" s="238" t="s">
        <v>2440</v>
      </c>
      <c r="G1498" s="238" t="s">
        <v>135</v>
      </c>
      <c r="H1498" s="239" t="s">
        <v>3352</v>
      </c>
      <c r="I1498" s="217"/>
      <c r="J1498" s="217"/>
      <c r="K1498" s="217"/>
      <c r="L1498" s="217"/>
      <c r="M1498" s="217"/>
      <c r="N1498" s="217"/>
      <c r="O1498" s="217"/>
      <c r="P1498" s="217"/>
    </row>
    <row r="1499" spans="1:16" s="219" customFormat="1" ht="45" hidden="1" x14ac:dyDescent="0.25">
      <c r="A1499" s="214"/>
      <c r="B1499" s="237">
        <v>1</v>
      </c>
      <c r="C1499" s="237">
        <v>3</v>
      </c>
      <c r="D1499" s="238" t="s">
        <v>2022</v>
      </c>
      <c r="E1499" s="238" t="s">
        <v>1836</v>
      </c>
      <c r="F1499" s="238" t="s">
        <v>2440</v>
      </c>
      <c r="G1499" s="238" t="s">
        <v>138</v>
      </c>
      <c r="H1499" s="239" t="s">
        <v>3353</v>
      </c>
      <c r="I1499" s="217"/>
      <c r="J1499" s="217"/>
      <c r="K1499" s="217"/>
      <c r="L1499" s="217"/>
      <c r="M1499" s="217"/>
      <c r="N1499" s="217"/>
      <c r="O1499" s="217"/>
      <c r="P1499" s="217"/>
    </row>
    <row r="1500" spans="1:16" s="213" customFormat="1" ht="30" hidden="1" x14ac:dyDescent="0.25">
      <c r="A1500" s="208" t="s">
        <v>263</v>
      </c>
      <c r="B1500" s="234">
        <v>1</v>
      </c>
      <c r="C1500" s="234">
        <v>3</v>
      </c>
      <c r="D1500" s="235" t="s">
        <v>2022</v>
      </c>
      <c r="E1500" s="235" t="s">
        <v>1836</v>
      </c>
      <c r="F1500" s="235" t="s">
        <v>2458</v>
      </c>
      <c r="G1500" s="234"/>
      <c r="H1500" s="236" t="s">
        <v>3354</v>
      </c>
      <c r="I1500" s="211">
        <f>SUM(I1501:I1506)</f>
        <v>0</v>
      </c>
      <c r="J1500" s="211">
        <f t="shared" ref="J1500:P1500" si="172">SUM(J1501:J1506)</f>
        <v>0</v>
      </c>
      <c r="K1500" s="211">
        <f t="shared" si="172"/>
        <v>0</v>
      </c>
      <c r="L1500" s="211">
        <f t="shared" si="172"/>
        <v>0</v>
      </c>
      <c r="M1500" s="211">
        <f t="shared" si="172"/>
        <v>0</v>
      </c>
      <c r="N1500" s="211">
        <f t="shared" si="172"/>
        <v>0</v>
      </c>
      <c r="O1500" s="211">
        <f t="shared" si="172"/>
        <v>0</v>
      </c>
      <c r="P1500" s="211">
        <f t="shared" si="172"/>
        <v>0</v>
      </c>
    </row>
    <row r="1501" spans="1:16" s="219" customFormat="1" ht="45" hidden="1" x14ac:dyDescent="0.25">
      <c r="A1501" s="214"/>
      <c r="B1501" s="237">
        <v>1</v>
      </c>
      <c r="C1501" s="237">
        <v>3</v>
      </c>
      <c r="D1501" s="238" t="s">
        <v>2022</v>
      </c>
      <c r="E1501" s="238" t="s">
        <v>1836</v>
      </c>
      <c r="F1501" s="238" t="s">
        <v>2458</v>
      </c>
      <c r="G1501" s="238" t="s">
        <v>58</v>
      </c>
      <c r="H1501" s="239" t="s">
        <v>3355</v>
      </c>
      <c r="I1501" s="217"/>
      <c r="J1501" s="217"/>
      <c r="K1501" s="217"/>
      <c r="L1501" s="217"/>
      <c r="M1501" s="217"/>
      <c r="N1501" s="217"/>
      <c r="O1501" s="217"/>
      <c r="P1501" s="217"/>
    </row>
    <row r="1502" spans="1:16" s="219" customFormat="1" ht="45" hidden="1" x14ac:dyDescent="0.25">
      <c r="A1502" s="214"/>
      <c r="B1502" s="237">
        <v>1</v>
      </c>
      <c r="C1502" s="237">
        <v>3</v>
      </c>
      <c r="D1502" s="238" t="s">
        <v>2022</v>
      </c>
      <c r="E1502" s="238" t="s">
        <v>1836</v>
      </c>
      <c r="F1502" s="238" t="s">
        <v>2458</v>
      </c>
      <c r="G1502" s="238" t="s">
        <v>75</v>
      </c>
      <c r="H1502" s="239" t="s">
        <v>3356</v>
      </c>
      <c r="I1502" s="217"/>
      <c r="J1502" s="217"/>
      <c r="K1502" s="217"/>
      <c r="L1502" s="217"/>
      <c r="M1502" s="217"/>
      <c r="N1502" s="217"/>
      <c r="O1502" s="217"/>
      <c r="P1502" s="217"/>
    </row>
    <row r="1503" spans="1:16" s="219" customFormat="1" ht="30" hidden="1" x14ac:dyDescent="0.25">
      <c r="A1503" s="214"/>
      <c r="B1503" s="237">
        <v>1</v>
      </c>
      <c r="C1503" s="237">
        <v>3</v>
      </c>
      <c r="D1503" s="238" t="s">
        <v>2022</v>
      </c>
      <c r="E1503" s="238" t="s">
        <v>1836</v>
      </c>
      <c r="F1503" s="238" t="s">
        <v>2458</v>
      </c>
      <c r="G1503" s="238" t="s">
        <v>79</v>
      </c>
      <c r="H1503" s="239" t="s">
        <v>3357</v>
      </c>
      <c r="I1503" s="217"/>
      <c r="J1503" s="217"/>
      <c r="K1503" s="217"/>
      <c r="L1503" s="217"/>
      <c r="M1503" s="217"/>
      <c r="N1503" s="217"/>
      <c r="O1503" s="217"/>
      <c r="P1503" s="217"/>
    </row>
    <row r="1504" spans="1:16" s="219" customFormat="1" ht="45" hidden="1" x14ac:dyDescent="0.25">
      <c r="A1504" s="214"/>
      <c r="B1504" s="237">
        <v>1</v>
      </c>
      <c r="C1504" s="237">
        <v>3</v>
      </c>
      <c r="D1504" s="238" t="s">
        <v>2022</v>
      </c>
      <c r="E1504" s="238" t="s">
        <v>1836</v>
      </c>
      <c r="F1504" s="238" t="s">
        <v>2458</v>
      </c>
      <c r="G1504" s="238" t="s">
        <v>84</v>
      </c>
      <c r="H1504" s="239" t="s">
        <v>3358</v>
      </c>
      <c r="I1504" s="217"/>
      <c r="J1504" s="217"/>
      <c r="K1504" s="217"/>
      <c r="L1504" s="217"/>
      <c r="M1504" s="217"/>
      <c r="N1504" s="217"/>
      <c r="O1504" s="217"/>
      <c r="P1504" s="217"/>
    </row>
    <row r="1505" spans="1:16" s="219" customFormat="1" ht="45" hidden="1" x14ac:dyDescent="0.25">
      <c r="A1505" s="214"/>
      <c r="B1505" s="237">
        <v>1</v>
      </c>
      <c r="C1505" s="237">
        <v>3</v>
      </c>
      <c r="D1505" s="238" t="s">
        <v>2022</v>
      </c>
      <c r="E1505" s="238" t="s">
        <v>1836</v>
      </c>
      <c r="F1505" s="238" t="s">
        <v>2458</v>
      </c>
      <c r="G1505" s="238" t="s">
        <v>88</v>
      </c>
      <c r="H1505" s="239" t="s">
        <v>3359</v>
      </c>
      <c r="I1505" s="217"/>
      <c r="J1505" s="217"/>
      <c r="K1505" s="217"/>
      <c r="L1505" s="217"/>
      <c r="M1505" s="217"/>
      <c r="N1505" s="217"/>
      <c r="O1505" s="217"/>
      <c r="P1505" s="217"/>
    </row>
    <row r="1506" spans="1:16" s="219" customFormat="1" ht="45" hidden="1" x14ac:dyDescent="0.25">
      <c r="A1506" s="214"/>
      <c r="B1506" s="237">
        <v>1</v>
      </c>
      <c r="C1506" s="237">
        <v>3</v>
      </c>
      <c r="D1506" s="238" t="s">
        <v>2022</v>
      </c>
      <c r="E1506" s="238" t="s">
        <v>1836</v>
      </c>
      <c r="F1506" s="238" t="s">
        <v>2458</v>
      </c>
      <c r="G1506" s="238" t="s">
        <v>92</v>
      </c>
      <c r="H1506" s="239" t="s">
        <v>3360</v>
      </c>
      <c r="I1506" s="217"/>
      <c r="J1506" s="217"/>
      <c r="K1506" s="217"/>
      <c r="L1506" s="217"/>
      <c r="M1506" s="217"/>
      <c r="N1506" s="217"/>
      <c r="O1506" s="217"/>
      <c r="P1506" s="217"/>
    </row>
    <row r="1507" spans="1:16" s="213" customFormat="1" ht="30" hidden="1" x14ac:dyDescent="0.25">
      <c r="A1507" s="208" t="s">
        <v>1938</v>
      </c>
      <c r="B1507" s="234">
        <v>1</v>
      </c>
      <c r="C1507" s="234">
        <v>3</v>
      </c>
      <c r="D1507" s="235" t="s">
        <v>2022</v>
      </c>
      <c r="E1507" s="235" t="s">
        <v>1847</v>
      </c>
      <c r="F1507" s="234"/>
      <c r="G1507" s="234"/>
      <c r="H1507" s="236" t="s">
        <v>3361</v>
      </c>
      <c r="I1507" s="211">
        <f>SUM(I1508+I1559+I1564+I1570)</f>
        <v>0</v>
      </c>
      <c r="J1507" s="211">
        <f t="shared" ref="J1507:P1507" si="173">SUM(J1508+J1559+J1564+J1570)</f>
        <v>0</v>
      </c>
      <c r="K1507" s="211">
        <f t="shared" si="173"/>
        <v>0</v>
      </c>
      <c r="L1507" s="211">
        <f t="shared" si="173"/>
        <v>0</v>
      </c>
      <c r="M1507" s="211">
        <f t="shared" si="173"/>
        <v>0</v>
      </c>
      <c r="N1507" s="211">
        <f t="shared" si="173"/>
        <v>0</v>
      </c>
      <c r="O1507" s="211">
        <f t="shared" si="173"/>
        <v>0</v>
      </c>
      <c r="P1507" s="211">
        <f t="shared" si="173"/>
        <v>0</v>
      </c>
    </row>
    <row r="1508" spans="1:16" s="213" customFormat="1" ht="30" hidden="1" x14ac:dyDescent="0.25">
      <c r="A1508" s="208" t="s">
        <v>263</v>
      </c>
      <c r="B1508" s="234">
        <v>1</v>
      </c>
      <c r="C1508" s="234">
        <v>3</v>
      </c>
      <c r="D1508" s="235" t="s">
        <v>2022</v>
      </c>
      <c r="E1508" s="235" t="s">
        <v>1847</v>
      </c>
      <c r="F1508" s="235" t="s">
        <v>1825</v>
      </c>
      <c r="G1508" s="234"/>
      <c r="H1508" s="236" t="s">
        <v>3362</v>
      </c>
      <c r="I1508" s="211">
        <f>SUM(I1509:I1558)</f>
        <v>0</v>
      </c>
      <c r="J1508" s="211">
        <f t="shared" ref="J1508:P1508" si="174">SUM(J1509:J1558)</f>
        <v>0</v>
      </c>
      <c r="K1508" s="211">
        <f t="shared" si="174"/>
        <v>0</v>
      </c>
      <c r="L1508" s="211">
        <f t="shared" si="174"/>
        <v>0</v>
      </c>
      <c r="M1508" s="211">
        <f t="shared" si="174"/>
        <v>0</v>
      </c>
      <c r="N1508" s="211">
        <f t="shared" si="174"/>
        <v>0</v>
      </c>
      <c r="O1508" s="211">
        <f t="shared" si="174"/>
        <v>0</v>
      </c>
      <c r="P1508" s="211">
        <f t="shared" si="174"/>
        <v>0</v>
      </c>
    </row>
    <row r="1509" spans="1:16" s="219" customFormat="1" ht="45" hidden="1" x14ac:dyDescent="0.25">
      <c r="A1509" s="214"/>
      <c r="B1509" s="237">
        <v>1</v>
      </c>
      <c r="C1509" s="237">
        <v>3</v>
      </c>
      <c r="D1509" s="238" t="s">
        <v>2022</v>
      </c>
      <c r="E1509" s="238" t="s">
        <v>1847</v>
      </c>
      <c r="F1509" s="238" t="s">
        <v>1825</v>
      </c>
      <c r="G1509" s="238" t="s">
        <v>58</v>
      </c>
      <c r="H1509" s="239" t="s">
        <v>3363</v>
      </c>
      <c r="I1509" s="217"/>
      <c r="J1509" s="217"/>
      <c r="K1509" s="217"/>
      <c r="L1509" s="217"/>
      <c r="M1509" s="217"/>
      <c r="N1509" s="217"/>
      <c r="O1509" s="217"/>
      <c r="P1509" s="217"/>
    </row>
    <row r="1510" spans="1:16" s="219" customFormat="1" ht="45" hidden="1" x14ac:dyDescent="0.25">
      <c r="A1510" s="214"/>
      <c r="B1510" s="237">
        <v>1</v>
      </c>
      <c r="C1510" s="237">
        <v>3</v>
      </c>
      <c r="D1510" s="238" t="s">
        <v>2022</v>
      </c>
      <c r="E1510" s="238" t="s">
        <v>1847</v>
      </c>
      <c r="F1510" s="238" t="s">
        <v>1825</v>
      </c>
      <c r="G1510" s="238" t="s">
        <v>75</v>
      </c>
      <c r="H1510" s="239" t="s">
        <v>3364</v>
      </c>
      <c r="I1510" s="217"/>
      <c r="J1510" s="217"/>
      <c r="K1510" s="217"/>
      <c r="L1510" s="217"/>
      <c r="M1510" s="217"/>
      <c r="N1510" s="217"/>
      <c r="O1510" s="217"/>
      <c r="P1510" s="217"/>
    </row>
    <row r="1511" spans="1:16" s="219" customFormat="1" ht="60" hidden="1" x14ac:dyDescent="0.25">
      <c r="A1511" s="214"/>
      <c r="B1511" s="237">
        <v>1</v>
      </c>
      <c r="C1511" s="237">
        <v>3</v>
      </c>
      <c r="D1511" s="238" t="s">
        <v>2022</v>
      </c>
      <c r="E1511" s="238" t="s">
        <v>1847</v>
      </c>
      <c r="F1511" s="238" t="s">
        <v>1825</v>
      </c>
      <c r="G1511" s="238" t="s">
        <v>79</v>
      </c>
      <c r="H1511" s="239" t="s">
        <v>3365</v>
      </c>
      <c r="I1511" s="217"/>
      <c r="J1511" s="217"/>
      <c r="K1511" s="217"/>
      <c r="L1511" s="217"/>
      <c r="M1511" s="217"/>
      <c r="N1511" s="217"/>
      <c r="O1511" s="217"/>
      <c r="P1511" s="217"/>
    </row>
    <row r="1512" spans="1:16" s="219" customFormat="1" ht="45" hidden="1" x14ac:dyDescent="0.25">
      <c r="A1512" s="214"/>
      <c r="B1512" s="237">
        <v>1</v>
      </c>
      <c r="C1512" s="237">
        <v>3</v>
      </c>
      <c r="D1512" s="238" t="s">
        <v>2022</v>
      </c>
      <c r="E1512" s="238" t="s">
        <v>1847</v>
      </c>
      <c r="F1512" s="238" t="s">
        <v>1825</v>
      </c>
      <c r="G1512" s="238" t="s">
        <v>84</v>
      </c>
      <c r="H1512" s="239" t="s">
        <v>3366</v>
      </c>
      <c r="I1512" s="217"/>
      <c r="J1512" s="217"/>
      <c r="K1512" s="217"/>
      <c r="L1512" s="217"/>
      <c r="M1512" s="217"/>
      <c r="N1512" s="217"/>
      <c r="O1512" s="217"/>
      <c r="P1512" s="217"/>
    </row>
    <row r="1513" spans="1:16" s="219" customFormat="1" ht="45" hidden="1" x14ac:dyDescent="0.25">
      <c r="A1513" s="214"/>
      <c r="B1513" s="237">
        <v>1</v>
      </c>
      <c r="C1513" s="237">
        <v>3</v>
      </c>
      <c r="D1513" s="238" t="s">
        <v>2022</v>
      </c>
      <c r="E1513" s="238" t="s">
        <v>1847</v>
      </c>
      <c r="F1513" s="238" t="s">
        <v>1825</v>
      </c>
      <c r="G1513" s="238" t="s">
        <v>88</v>
      </c>
      <c r="H1513" s="239" t="s">
        <v>3367</v>
      </c>
      <c r="I1513" s="217"/>
      <c r="J1513" s="217"/>
      <c r="K1513" s="217"/>
      <c r="L1513" s="217"/>
      <c r="M1513" s="217"/>
      <c r="N1513" s="217"/>
      <c r="O1513" s="217"/>
      <c r="P1513" s="217"/>
    </row>
    <row r="1514" spans="1:16" s="219" customFormat="1" ht="45" hidden="1" x14ac:dyDescent="0.25">
      <c r="A1514" s="214"/>
      <c r="B1514" s="237">
        <v>1</v>
      </c>
      <c r="C1514" s="237">
        <v>3</v>
      </c>
      <c r="D1514" s="238" t="s">
        <v>2022</v>
      </c>
      <c r="E1514" s="238" t="s">
        <v>1847</v>
      </c>
      <c r="F1514" s="238" t="s">
        <v>1825</v>
      </c>
      <c r="G1514" s="238" t="s">
        <v>92</v>
      </c>
      <c r="H1514" s="239" t="s">
        <v>3368</v>
      </c>
      <c r="I1514" s="217"/>
      <c r="J1514" s="217"/>
      <c r="K1514" s="217"/>
      <c r="L1514" s="217"/>
      <c r="M1514" s="217"/>
      <c r="N1514" s="217"/>
      <c r="O1514" s="217"/>
      <c r="P1514" s="217"/>
    </row>
    <row r="1515" spans="1:16" s="219" customFormat="1" ht="60" hidden="1" x14ac:dyDescent="0.25">
      <c r="A1515" s="214"/>
      <c r="B1515" s="237">
        <v>1</v>
      </c>
      <c r="C1515" s="237">
        <v>3</v>
      </c>
      <c r="D1515" s="238" t="s">
        <v>2022</v>
      </c>
      <c r="E1515" s="238" t="s">
        <v>1847</v>
      </c>
      <c r="F1515" s="238" t="s">
        <v>1825</v>
      </c>
      <c r="G1515" s="238" t="s">
        <v>96</v>
      </c>
      <c r="H1515" s="239" t="s">
        <v>3369</v>
      </c>
      <c r="I1515" s="217"/>
      <c r="J1515" s="217"/>
      <c r="K1515" s="217"/>
      <c r="L1515" s="217"/>
      <c r="M1515" s="217"/>
      <c r="N1515" s="217"/>
      <c r="O1515" s="217"/>
      <c r="P1515" s="217"/>
    </row>
    <row r="1516" spans="1:16" s="219" customFormat="1" ht="45" hidden="1" x14ac:dyDescent="0.25">
      <c r="A1516" s="214"/>
      <c r="B1516" s="237">
        <v>1</v>
      </c>
      <c r="C1516" s="237">
        <v>3</v>
      </c>
      <c r="D1516" s="238" t="s">
        <v>2022</v>
      </c>
      <c r="E1516" s="238" t="s">
        <v>1847</v>
      </c>
      <c r="F1516" s="238" t="s">
        <v>1825</v>
      </c>
      <c r="G1516" s="238" t="s">
        <v>100</v>
      </c>
      <c r="H1516" s="239" t="s">
        <v>3370</v>
      </c>
      <c r="I1516" s="217"/>
      <c r="J1516" s="217"/>
      <c r="K1516" s="217"/>
      <c r="L1516" s="217"/>
      <c r="M1516" s="217"/>
      <c r="N1516" s="217"/>
      <c r="O1516" s="217"/>
      <c r="P1516" s="217"/>
    </row>
    <row r="1517" spans="1:16" s="219" customFormat="1" ht="45" hidden="1" x14ac:dyDescent="0.25">
      <c r="A1517" s="214"/>
      <c r="B1517" s="237">
        <v>1</v>
      </c>
      <c r="C1517" s="237">
        <v>3</v>
      </c>
      <c r="D1517" s="238" t="s">
        <v>2022</v>
      </c>
      <c r="E1517" s="238" t="s">
        <v>1847</v>
      </c>
      <c r="F1517" s="238" t="s">
        <v>1825</v>
      </c>
      <c r="G1517" s="238" t="s">
        <v>105</v>
      </c>
      <c r="H1517" s="239" t="s">
        <v>3371</v>
      </c>
      <c r="I1517" s="217"/>
      <c r="J1517" s="217"/>
      <c r="K1517" s="217"/>
      <c r="L1517" s="217"/>
      <c r="M1517" s="217"/>
      <c r="N1517" s="217"/>
      <c r="O1517" s="217"/>
      <c r="P1517" s="217"/>
    </row>
    <row r="1518" spans="1:16" s="219" customFormat="1" ht="60" hidden="1" x14ac:dyDescent="0.25">
      <c r="A1518" s="214"/>
      <c r="B1518" s="237">
        <v>1</v>
      </c>
      <c r="C1518" s="237">
        <v>3</v>
      </c>
      <c r="D1518" s="238" t="s">
        <v>2022</v>
      </c>
      <c r="E1518" s="238" t="s">
        <v>1847</v>
      </c>
      <c r="F1518" s="238" t="s">
        <v>1825</v>
      </c>
      <c r="G1518" s="238" t="s">
        <v>108</v>
      </c>
      <c r="H1518" s="239" t="s">
        <v>3372</v>
      </c>
      <c r="I1518" s="217"/>
      <c r="J1518" s="217"/>
      <c r="K1518" s="217"/>
      <c r="L1518" s="217"/>
      <c r="M1518" s="217"/>
      <c r="N1518" s="217"/>
      <c r="O1518" s="217"/>
      <c r="P1518" s="217"/>
    </row>
    <row r="1519" spans="1:16" s="219" customFormat="1" ht="45" hidden="1" x14ac:dyDescent="0.25">
      <c r="A1519" s="214"/>
      <c r="B1519" s="237">
        <v>1</v>
      </c>
      <c r="C1519" s="237">
        <v>3</v>
      </c>
      <c r="D1519" s="238" t="s">
        <v>2022</v>
      </c>
      <c r="E1519" s="238" t="s">
        <v>1847</v>
      </c>
      <c r="F1519" s="238" t="s">
        <v>1825</v>
      </c>
      <c r="G1519" s="238" t="s">
        <v>135</v>
      </c>
      <c r="H1519" s="239" t="s">
        <v>3373</v>
      </c>
      <c r="I1519" s="217"/>
      <c r="J1519" s="217"/>
      <c r="K1519" s="217"/>
      <c r="L1519" s="217"/>
      <c r="M1519" s="217"/>
      <c r="N1519" s="217"/>
      <c r="O1519" s="217"/>
      <c r="P1519" s="217"/>
    </row>
    <row r="1520" spans="1:16" s="219" customFormat="1" ht="60" hidden="1" x14ac:dyDescent="0.25">
      <c r="A1520" s="214"/>
      <c r="B1520" s="237">
        <v>1</v>
      </c>
      <c r="C1520" s="237">
        <v>3</v>
      </c>
      <c r="D1520" s="238" t="s">
        <v>2022</v>
      </c>
      <c r="E1520" s="238" t="s">
        <v>1847</v>
      </c>
      <c r="F1520" s="238" t="s">
        <v>1825</v>
      </c>
      <c r="G1520" s="238" t="s">
        <v>138</v>
      </c>
      <c r="H1520" s="239" t="s">
        <v>3374</v>
      </c>
      <c r="I1520" s="217"/>
      <c r="J1520" s="217"/>
      <c r="K1520" s="217"/>
      <c r="L1520" s="217"/>
      <c r="M1520" s="217"/>
      <c r="N1520" s="217"/>
      <c r="O1520" s="217"/>
      <c r="P1520" s="217"/>
    </row>
    <row r="1521" spans="1:16" s="219" customFormat="1" ht="45" hidden="1" x14ac:dyDescent="0.25">
      <c r="A1521" s="214"/>
      <c r="B1521" s="237">
        <v>1</v>
      </c>
      <c r="C1521" s="237">
        <v>3</v>
      </c>
      <c r="D1521" s="238" t="s">
        <v>2022</v>
      </c>
      <c r="E1521" s="238" t="s">
        <v>1847</v>
      </c>
      <c r="F1521" s="238" t="s">
        <v>1825</v>
      </c>
      <c r="G1521" s="238" t="s">
        <v>140</v>
      </c>
      <c r="H1521" s="239" t="s">
        <v>3375</v>
      </c>
      <c r="I1521" s="217"/>
      <c r="J1521" s="217"/>
      <c r="K1521" s="217"/>
      <c r="L1521" s="217"/>
      <c r="M1521" s="217"/>
      <c r="N1521" s="217"/>
      <c r="O1521" s="217"/>
      <c r="P1521" s="217"/>
    </row>
    <row r="1522" spans="1:16" s="219" customFormat="1" ht="45" hidden="1" x14ac:dyDescent="0.25">
      <c r="A1522" s="214"/>
      <c r="B1522" s="237">
        <v>1</v>
      </c>
      <c r="C1522" s="237">
        <v>3</v>
      </c>
      <c r="D1522" s="238" t="s">
        <v>2022</v>
      </c>
      <c r="E1522" s="238" t="s">
        <v>1847</v>
      </c>
      <c r="F1522" s="238" t="s">
        <v>1825</v>
      </c>
      <c r="G1522" s="238" t="s">
        <v>143</v>
      </c>
      <c r="H1522" s="239" t="s">
        <v>3376</v>
      </c>
      <c r="I1522" s="217"/>
      <c r="J1522" s="217"/>
      <c r="K1522" s="217"/>
      <c r="L1522" s="217"/>
      <c r="M1522" s="217"/>
      <c r="N1522" s="217"/>
      <c r="O1522" s="217"/>
      <c r="P1522" s="217"/>
    </row>
    <row r="1523" spans="1:16" s="219" customFormat="1" ht="45" hidden="1" x14ac:dyDescent="0.25">
      <c r="A1523" s="214"/>
      <c r="B1523" s="237">
        <v>1</v>
      </c>
      <c r="C1523" s="237">
        <v>3</v>
      </c>
      <c r="D1523" s="238" t="s">
        <v>2022</v>
      </c>
      <c r="E1523" s="238" t="s">
        <v>1847</v>
      </c>
      <c r="F1523" s="238" t="s">
        <v>1825</v>
      </c>
      <c r="G1523" s="238" t="s">
        <v>146</v>
      </c>
      <c r="H1523" s="239" t="s">
        <v>3377</v>
      </c>
      <c r="I1523" s="217"/>
      <c r="J1523" s="217"/>
      <c r="K1523" s="217"/>
      <c r="L1523" s="217"/>
      <c r="M1523" s="217"/>
      <c r="N1523" s="217"/>
      <c r="O1523" s="217"/>
      <c r="P1523" s="217"/>
    </row>
    <row r="1524" spans="1:16" s="219" customFormat="1" ht="45" hidden="1" x14ac:dyDescent="0.25">
      <c r="A1524" s="214"/>
      <c r="B1524" s="237">
        <v>1</v>
      </c>
      <c r="C1524" s="237">
        <v>3</v>
      </c>
      <c r="D1524" s="238" t="s">
        <v>2022</v>
      </c>
      <c r="E1524" s="238" t="s">
        <v>1847</v>
      </c>
      <c r="F1524" s="238" t="s">
        <v>1825</v>
      </c>
      <c r="G1524" s="238" t="s">
        <v>150</v>
      </c>
      <c r="H1524" s="239" t="s">
        <v>3378</v>
      </c>
      <c r="I1524" s="217"/>
      <c r="J1524" s="217"/>
      <c r="K1524" s="217"/>
      <c r="L1524" s="217"/>
      <c r="M1524" s="217"/>
      <c r="N1524" s="217"/>
      <c r="O1524" s="217"/>
      <c r="P1524" s="217"/>
    </row>
    <row r="1525" spans="1:16" s="219" customFormat="1" ht="45" hidden="1" x14ac:dyDescent="0.25">
      <c r="A1525" s="214"/>
      <c r="B1525" s="237">
        <v>1</v>
      </c>
      <c r="C1525" s="237">
        <v>3</v>
      </c>
      <c r="D1525" s="238" t="s">
        <v>2022</v>
      </c>
      <c r="E1525" s="238" t="s">
        <v>1847</v>
      </c>
      <c r="F1525" s="238" t="s">
        <v>1825</v>
      </c>
      <c r="G1525" s="238" t="s">
        <v>153</v>
      </c>
      <c r="H1525" s="239" t="s">
        <v>3379</v>
      </c>
      <c r="I1525" s="217"/>
      <c r="J1525" s="217"/>
      <c r="K1525" s="217"/>
      <c r="L1525" s="217"/>
      <c r="M1525" s="217"/>
      <c r="N1525" s="217"/>
      <c r="O1525" s="217"/>
      <c r="P1525" s="217"/>
    </row>
    <row r="1526" spans="1:16" s="219" customFormat="1" ht="60" hidden="1" x14ac:dyDescent="0.25">
      <c r="A1526" s="214"/>
      <c r="B1526" s="237">
        <v>1</v>
      </c>
      <c r="C1526" s="237">
        <v>3</v>
      </c>
      <c r="D1526" s="238" t="s">
        <v>2022</v>
      </c>
      <c r="E1526" s="238" t="s">
        <v>1847</v>
      </c>
      <c r="F1526" s="238" t="s">
        <v>1825</v>
      </c>
      <c r="G1526" s="238" t="s">
        <v>156</v>
      </c>
      <c r="H1526" s="239" t="s">
        <v>3380</v>
      </c>
      <c r="I1526" s="217"/>
      <c r="J1526" s="217"/>
      <c r="K1526" s="217"/>
      <c r="L1526" s="217"/>
      <c r="M1526" s="217"/>
      <c r="N1526" s="217"/>
      <c r="O1526" s="217"/>
      <c r="P1526" s="217"/>
    </row>
    <row r="1527" spans="1:16" s="219" customFormat="1" ht="45" hidden="1" x14ac:dyDescent="0.25">
      <c r="A1527" s="214"/>
      <c r="B1527" s="237">
        <v>1</v>
      </c>
      <c r="C1527" s="237">
        <v>3</v>
      </c>
      <c r="D1527" s="238" t="s">
        <v>2022</v>
      </c>
      <c r="E1527" s="238" t="s">
        <v>1847</v>
      </c>
      <c r="F1527" s="238" t="s">
        <v>1825</v>
      </c>
      <c r="G1527" s="238" t="s">
        <v>159</v>
      </c>
      <c r="H1527" s="239" t="s">
        <v>3381</v>
      </c>
      <c r="I1527" s="217"/>
      <c r="J1527" s="217"/>
      <c r="K1527" s="217"/>
      <c r="L1527" s="217"/>
      <c r="M1527" s="217"/>
      <c r="N1527" s="217"/>
      <c r="O1527" s="217"/>
      <c r="P1527" s="217"/>
    </row>
    <row r="1528" spans="1:16" s="219" customFormat="1" ht="60" hidden="1" x14ac:dyDescent="0.25">
      <c r="A1528" s="214"/>
      <c r="B1528" s="237">
        <v>1</v>
      </c>
      <c r="C1528" s="237">
        <v>3</v>
      </c>
      <c r="D1528" s="238" t="s">
        <v>2022</v>
      </c>
      <c r="E1528" s="238" t="s">
        <v>1847</v>
      </c>
      <c r="F1528" s="238" t="s">
        <v>1825</v>
      </c>
      <c r="G1528" s="238" t="s">
        <v>162</v>
      </c>
      <c r="H1528" s="239" t="s">
        <v>3382</v>
      </c>
      <c r="I1528" s="217"/>
      <c r="J1528" s="217"/>
      <c r="K1528" s="217"/>
      <c r="L1528" s="217"/>
      <c r="M1528" s="217"/>
      <c r="N1528" s="217"/>
      <c r="O1528" s="217"/>
      <c r="P1528" s="217"/>
    </row>
    <row r="1529" spans="1:16" s="219" customFormat="1" ht="45" hidden="1" x14ac:dyDescent="0.25">
      <c r="A1529" s="214"/>
      <c r="B1529" s="237">
        <v>1</v>
      </c>
      <c r="C1529" s="237">
        <v>3</v>
      </c>
      <c r="D1529" s="238" t="s">
        <v>2022</v>
      </c>
      <c r="E1529" s="238" t="s">
        <v>1847</v>
      </c>
      <c r="F1529" s="238" t="s">
        <v>1825</v>
      </c>
      <c r="G1529" s="238" t="s">
        <v>312</v>
      </c>
      <c r="H1529" s="239" t="s">
        <v>3383</v>
      </c>
      <c r="I1529" s="217"/>
      <c r="J1529" s="217"/>
      <c r="K1529" s="217"/>
      <c r="L1529" s="217"/>
      <c r="M1529" s="217"/>
      <c r="N1529" s="217"/>
      <c r="O1529" s="217"/>
      <c r="P1529" s="217"/>
    </row>
    <row r="1530" spans="1:16" s="219" customFormat="1" ht="45" hidden="1" x14ac:dyDescent="0.25">
      <c r="A1530" s="214"/>
      <c r="B1530" s="237">
        <v>1</v>
      </c>
      <c r="C1530" s="237">
        <v>3</v>
      </c>
      <c r="D1530" s="238" t="s">
        <v>2022</v>
      </c>
      <c r="E1530" s="238" t="s">
        <v>1847</v>
      </c>
      <c r="F1530" s="238" t="s">
        <v>1825</v>
      </c>
      <c r="G1530" s="238" t="s">
        <v>313</v>
      </c>
      <c r="H1530" s="239" t="s">
        <v>3384</v>
      </c>
      <c r="I1530" s="217"/>
      <c r="J1530" s="217"/>
      <c r="K1530" s="217"/>
      <c r="L1530" s="217"/>
      <c r="M1530" s="217"/>
      <c r="N1530" s="217"/>
      <c r="O1530" s="217"/>
      <c r="P1530" s="217"/>
    </row>
    <row r="1531" spans="1:16" s="219" customFormat="1" ht="60" hidden="1" x14ac:dyDescent="0.25">
      <c r="A1531" s="214"/>
      <c r="B1531" s="237">
        <v>1</v>
      </c>
      <c r="C1531" s="237">
        <v>3</v>
      </c>
      <c r="D1531" s="238" t="s">
        <v>2022</v>
      </c>
      <c r="E1531" s="238" t="s">
        <v>1847</v>
      </c>
      <c r="F1531" s="238" t="s">
        <v>1825</v>
      </c>
      <c r="G1531" s="238" t="s">
        <v>559</v>
      </c>
      <c r="H1531" s="239" t="s">
        <v>3385</v>
      </c>
      <c r="I1531" s="217"/>
      <c r="J1531" s="217"/>
      <c r="K1531" s="217"/>
      <c r="L1531" s="217"/>
      <c r="M1531" s="217"/>
      <c r="N1531" s="217"/>
      <c r="O1531" s="217"/>
      <c r="P1531" s="217"/>
    </row>
    <row r="1532" spans="1:16" s="219" customFormat="1" ht="45" hidden="1" x14ac:dyDescent="0.25">
      <c r="A1532" s="214"/>
      <c r="B1532" s="237">
        <v>1</v>
      </c>
      <c r="C1532" s="237">
        <v>3</v>
      </c>
      <c r="D1532" s="238" t="s">
        <v>2022</v>
      </c>
      <c r="E1532" s="238" t="s">
        <v>1847</v>
      </c>
      <c r="F1532" s="238" t="s">
        <v>1825</v>
      </c>
      <c r="G1532" s="238" t="s">
        <v>561</v>
      </c>
      <c r="H1532" s="239" t="s">
        <v>3386</v>
      </c>
      <c r="I1532" s="217"/>
      <c r="J1532" s="217"/>
      <c r="K1532" s="217"/>
      <c r="L1532" s="217"/>
      <c r="M1532" s="217"/>
      <c r="N1532" s="217"/>
      <c r="O1532" s="217"/>
      <c r="P1532" s="217"/>
    </row>
    <row r="1533" spans="1:16" s="219" customFormat="1" ht="45" hidden="1" x14ac:dyDescent="0.25">
      <c r="A1533" s="214"/>
      <c r="B1533" s="237">
        <v>1</v>
      </c>
      <c r="C1533" s="237">
        <v>3</v>
      </c>
      <c r="D1533" s="238" t="s">
        <v>2022</v>
      </c>
      <c r="E1533" s="238" t="s">
        <v>1847</v>
      </c>
      <c r="F1533" s="238" t="s">
        <v>1825</v>
      </c>
      <c r="G1533" s="238" t="s">
        <v>563</v>
      </c>
      <c r="H1533" s="239" t="s">
        <v>3387</v>
      </c>
      <c r="I1533" s="217"/>
      <c r="J1533" s="217"/>
      <c r="K1533" s="217"/>
      <c r="L1533" s="217"/>
      <c r="M1533" s="217"/>
      <c r="N1533" s="217"/>
      <c r="O1533" s="217"/>
      <c r="P1533" s="217"/>
    </row>
    <row r="1534" spans="1:16" s="219" customFormat="1" ht="45" hidden="1" x14ac:dyDescent="0.25">
      <c r="A1534" s="214"/>
      <c r="B1534" s="237">
        <v>1</v>
      </c>
      <c r="C1534" s="237">
        <v>3</v>
      </c>
      <c r="D1534" s="238" t="s">
        <v>2022</v>
      </c>
      <c r="E1534" s="238" t="s">
        <v>1847</v>
      </c>
      <c r="F1534" s="238" t="s">
        <v>1825</v>
      </c>
      <c r="G1534" s="238" t="s">
        <v>227</v>
      </c>
      <c r="H1534" s="239" t="s">
        <v>3388</v>
      </c>
      <c r="I1534" s="217"/>
      <c r="J1534" s="217"/>
      <c r="K1534" s="217"/>
      <c r="L1534" s="217"/>
      <c r="M1534" s="217"/>
      <c r="N1534" s="217"/>
      <c r="O1534" s="217"/>
      <c r="P1534" s="217"/>
    </row>
    <row r="1535" spans="1:16" s="219" customFormat="1" ht="60" hidden="1" x14ac:dyDescent="0.25">
      <c r="A1535" s="214"/>
      <c r="B1535" s="237">
        <v>1</v>
      </c>
      <c r="C1535" s="237">
        <v>3</v>
      </c>
      <c r="D1535" s="238" t="s">
        <v>2022</v>
      </c>
      <c r="E1535" s="238" t="s">
        <v>1847</v>
      </c>
      <c r="F1535" s="238" t="s">
        <v>1825</v>
      </c>
      <c r="G1535" s="238" t="s">
        <v>230</v>
      </c>
      <c r="H1535" s="239" t="s">
        <v>3389</v>
      </c>
      <c r="I1535" s="217"/>
      <c r="J1535" s="217"/>
      <c r="K1535" s="217"/>
      <c r="L1535" s="217"/>
      <c r="M1535" s="217"/>
      <c r="N1535" s="217"/>
      <c r="O1535" s="217"/>
      <c r="P1535" s="217"/>
    </row>
    <row r="1536" spans="1:16" s="219" customFormat="1" ht="45" hidden="1" x14ac:dyDescent="0.25">
      <c r="A1536" s="214"/>
      <c r="B1536" s="237">
        <v>1</v>
      </c>
      <c r="C1536" s="237">
        <v>3</v>
      </c>
      <c r="D1536" s="238" t="s">
        <v>2022</v>
      </c>
      <c r="E1536" s="238" t="s">
        <v>1847</v>
      </c>
      <c r="F1536" s="238" t="s">
        <v>1825</v>
      </c>
      <c r="G1536" s="238" t="s">
        <v>232</v>
      </c>
      <c r="H1536" s="239" t="s">
        <v>3390</v>
      </c>
      <c r="I1536" s="217"/>
      <c r="J1536" s="217"/>
      <c r="K1536" s="217"/>
      <c r="L1536" s="217"/>
      <c r="M1536" s="217"/>
      <c r="N1536" s="217"/>
      <c r="O1536" s="217"/>
      <c r="P1536" s="217"/>
    </row>
    <row r="1537" spans="1:16" s="219" customFormat="1" ht="45" hidden="1" x14ac:dyDescent="0.25">
      <c r="A1537" s="214"/>
      <c r="B1537" s="237">
        <v>1</v>
      </c>
      <c r="C1537" s="237">
        <v>3</v>
      </c>
      <c r="D1537" s="238" t="s">
        <v>2022</v>
      </c>
      <c r="E1537" s="238" t="s">
        <v>1847</v>
      </c>
      <c r="F1537" s="238" t="s">
        <v>1825</v>
      </c>
      <c r="G1537" s="238" t="s">
        <v>234</v>
      </c>
      <c r="H1537" s="239" t="s">
        <v>3391</v>
      </c>
      <c r="I1537" s="217"/>
      <c r="J1537" s="217"/>
      <c r="K1537" s="217"/>
      <c r="L1537" s="217"/>
      <c r="M1537" s="217"/>
      <c r="N1537" s="217"/>
      <c r="O1537" s="217"/>
      <c r="P1537" s="217"/>
    </row>
    <row r="1538" spans="1:16" s="219" customFormat="1" ht="60" hidden="1" x14ac:dyDescent="0.25">
      <c r="A1538" s="214"/>
      <c r="B1538" s="237">
        <v>1</v>
      </c>
      <c r="C1538" s="237">
        <v>3</v>
      </c>
      <c r="D1538" s="238" t="s">
        <v>2022</v>
      </c>
      <c r="E1538" s="238" t="s">
        <v>1847</v>
      </c>
      <c r="F1538" s="238" t="s">
        <v>1825</v>
      </c>
      <c r="G1538" s="238" t="s">
        <v>236</v>
      </c>
      <c r="H1538" s="239" t="s">
        <v>3392</v>
      </c>
      <c r="I1538" s="217"/>
      <c r="J1538" s="217"/>
      <c r="K1538" s="217"/>
      <c r="L1538" s="217"/>
      <c r="M1538" s="217"/>
      <c r="N1538" s="217"/>
      <c r="O1538" s="217"/>
      <c r="P1538" s="217"/>
    </row>
    <row r="1539" spans="1:16" s="219" customFormat="1" ht="45" hidden="1" x14ac:dyDescent="0.25">
      <c r="A1539" s="214"/>
      <c r="B1539" s="237">
        <v>1</v>
      </c>
      <c r="C1539" s="237">
        <v>3</v>
      </c>
      <c r="D1539" s="238" t="s">
        <v>2022</v>
      </c>
      <c r="E1539" s="238" t="s">
        <v>1847</v>
      </c>
      <c r="F1539" s="238" t="s">
        <v>1825</v>
      </c>
      <c r="G1539" s="238" t="s">
        <v>238</v>
      </c>
      <c r="H1539" s="239" t="s">
        <v>3393</v>
      </c>
      <c r="I1539" s="217"/>
      <c r="J1539" s="217"/>
      <c r="K1539" s="217"/>
      <c r="L1539" s="217"/>
      <c r="M1539" s="217"/>
      <c r="N1539" s="217"/>
      <c r="O1539" s="217"/>
      <c r="P1539" s="217"/>
    </row>
    <row r="1540" spans="1:16" s="219" customFormat="1" ht="45" hidden="1" x14ac:dyDescent="0.25">
      <c r="A1540" s="214"/>
      <c r="B1540" s="237">
        <v>1</v>
      </c>
      <c r="C1540" s="237">
        <v>3</v>
      </c>
      <c r="D1540" s="238" t="s">
        <v>2022</v>
      </c>
      <c r="E1540" s="238" t="s">
        <v>1847</v>
      </c>
      <c r="F1540" s="238" t="s">
        <v>1825</v>
      </c>
      <c r="G1540" s="238" t="s">
        <v>240</v>
      </c>
      <c r="H1540" s="239" t="s">
        <v>3394</v>
      </c>
      <c r="I1540" s="217"/>
      <c r="J1540" s="217"/>
      <c r="K1540" s="217"/>
      <c r="L1540" s="217"/>
      <c r="M1540" s="217"/>
      <c r="N1540" s="217"/>
      <c r="O1540" s="217"/>
      <c r="P1540" s="217"/>
    </row>
    <row r="1541" spans="1:16" s="219" customFormat="1" ht="45" hidden="1" x14ac:dyDescent="0.25">
      <c r="A1541" s="214"/>
      <c r="B1541" s="237">
        <v>1</v>
      </c>
      <c r="C1541" s="237">
        <v>3</v>
      </c>
      <c r="D1541" s="238" t="s">
        <v>2022</v>
      </c>
      <c r="E1541" s="238" t="s">
        <v>1847</v>
      </c>
      <c r="F1541" s="238" t="s">
        <v>1825</v>
      </c>
      <c r="G1541" s="238" t="s">
        <v>242</v>
      </c>
      <c r="H1541" s="239" t="s">
        <v>3395</v>
      </c>
      <c r="I1541" s="217"/>
      <c r="J1541" s="217"/>
      <c r="K1541" s="217"/>
      <c r="L1541" s="217"/>
      <c r="M1541" s="217"/>
      <c r="N1541" s="217"/>
      <c r="O1541" s="217"/>
      <c r="P1541" s="217"/>
    </row>
    <row r="1542" spans="1:16" s="219" customFormat="1" ht="45" hidden="1" x14ac:dyDescent="0.25">
      <c r="A1542" s="214"/>
      <c r="B1542" s="237">
        <v>1</v>
      </c>
      <c r="C1542" s="237">
        <v>3</v>
      </c>
      <c r="D1542" s="238" t="s">
        <v>2022</v>
      </c>
      <c r="E1542" s="238" t="s">
        <v>1847</v>
      </c>
      <c r="F1542" s="238" t="s">
        <v>1825</v>
      </c>
      <c r="G1542" s="238" t="s">
        <v>244</v>
      </c>
      <c r="H1542" s="239" t="s">
        <v>3396</v>
      </c>
      <c r="I1542" s="217"/>
      <c r="J1542" s="217"/>
      <c r="K1542" s="217"/>
      <c r="L1542" s="217"/>
      <c r="M1542" s="217"/>
      <c r="N1542" s="217"/>
      <c r="O1542" s="217"/>
      <c r="P1542" s="217"/>
    </row>
    <row r="1543" spans="1:16" s="219" customFormat="1" ht="45" hidden="1" x14ac:dyDescent="0.25">
      <c r="A1543" s="214"/>
      <c r="B1543" s="237">
        <v>1</v>
      </c>
      <c r="C1543" s="237">
        <v>3</v>
      </c>
      <c r="D1543" s="238" t="s">
        <v>2022</v>
      </c>
      <c r="E1543" s="238" t="s">
        <v>1847</v>
      </c>
      <c r="F1543" s="238" t="s">
        <v>1825</v>
      </c>
      <c r="G1543" s="238" t="s">
        <v>246</v>
      </c>
      <c r="H1543" s="239" t="s">
        <v>3397</v>
      </c>
      <c r="I1543" s="217"/>
      <c r="J1543" s="217"/>
      <c r="K1543" s="217"/>
      <c r="L1543" s="217"/>
      <c r="M1543" s="217"/>
      <c r="N1543" s="217"/>
      <c r="O1543" s="217"/>
      <c r="P1543" s="217"/>
    </row>
    <row r="1544" spans="1:16" s="219" customFormat="1" ht="45" hidden="1" x14ac:dyDescent="0.25">
      <c r="A1544" s="214"/>
      <c r="B1544" s="237">
        <v>1</v>
      </c>
      <c r="C1544" s="237">
        <v>3</v>
      </c>
      <c r="D1544" s="238" t="s">
        <v>2022</v>
      </c>
      <c r="E1544" s="238" t="s">
        <v>1847</v>
      </c>
      <c r="F1544" s="238" t="s">
        <v>1825</v>
      </c>
      <c r="G1544" s="238" t="s">
        <v>407</v>
      </c>
      <c r="H1544" s="239" t="s">
        <v>3398</v>
      </c>
      <c r="I1544" s="217"/>
      <c r="J1544" s="217"/>
      <c r="K1544" s="217"/>
      <c r="L1544" s="217"/>
      <c r="M1544" s="217"/>
      <c r="N1544" s="217"/>
      <c r="O1544" s="217"/>
      <c r="P1544" s="217"/>
    </row>
    <row r="1545" spans="1:16" s="219" customFormat="1" ht="60" hidden="1" x14ac:dyDescent="0.25">
      <c r="A1545" s="214"/>
      <c r="B1545" s="237">
        <v>1</v>
      </c>
      <c r="C1545" s="237">
        <v>3</v>
      </c>
      <c r="D1545" s="238" t="s">
        <v>2022</v>
      </c>
      <c r="E1545" s="238" t="s">
        <v>1847</v>
      </c>
      <c r="F1545" s="238" t="s">
        <v>1825</v>
      </c>
      <c r="G1545" s="238" t="s">
        <v>408</v>
      </c>
      <c r="H1545" s="239" t="s">
        <v>3392</v>
      </c>
      <c r="I1545" s="217"/>
      <c r="J1545" s="217"/>
      <c r="K1545" s="217"/>
      <c r="L1545" s="217"/>
      <c r="M1545" s="217"/>
      <c r="N1545" s="217"/>
      <c r="O1545" s="217"/>
      <c r="P1545" s="217"/>
    </row>
    <row r="1546" spans="1:16" s="219" customFormat="1" ht="45" hidden="1" x14ac:dyDescent="0.25">
      <c r="A1546" s="214"/>
      <c r="B1546" s="237">
        <v>1</v>
      </c>
      <c r="C1546" s="237">
        <v>3</v>
      </c>
      <c r="D1546" s="238" t="s">
        <v>2022</v>
      </c>
      <c r="E1546" s="238" t="s">
        <v>1847</v>
      </c>
      <c r="F1546" s="238" t="s">
        <v>1825</v>
      </c>
      <c r="G1546" s="238" t="s">
        <v>409</v>
      </c>
      <c r="H1546" s="239" t="s">
        <v>3399</v>
      </c>
      <c r="I1546" s="217"/>
      <c r="J1546" s="217"/>
      <c r="K1546" s="217"/>
      <c r="L1546" s="217"/>
      <c r="M1546" s="217"/>
      <c r="N1546" s="217"/>
      <c r="O1546" s="217"/>
      <c r="P1546" s="217"/>
    </row>
    <row r="1547" spans="1:16" s="219" customFormat="1" ht="45" hidden="1" x14ac:dyDescent="0.25">
      <c r="A1547" s="214"/>
      <c r="B1547" s="237">
        <v>1</v>
      </c>
      <c r="C1547" s="237">
        <v>3</v>
      </c>
      <c r="D1547" s="238" t="s">
        <v>2022</v>
      </c>
      <c r="E1547" s="238" t="s">
        <v>1847</v>
      </c>
      <c r="F1547" s="238" t="s">
        <v>1825</v>
      </c>
      <c r="G1547" s="238" t="s">
        <v>788</v>
      </c>
      <c r="H1547" s="239" t="s">
        <v>3400</v>
      </c>
      <c r="I1547" s="217"/>
      <c r="J1547" s="217"/>
      <c r="K1547" s="217"/>
      <c r="L1547" s="217"/>
      <c r="M1547" s="217"/>
      <c r="N1547" s="217"/>
      <c r="O1547" s="217"/>
      <c r="P1547" s="217"/>
    </row>
    <row r="1548" spans="1:16" s="219" customFormat="1" ht="45" hidden="1" x14ac:dyDescent="0.25">
      <c r="A1548" s="214"/>
      <c r="B1548" s="237">
        <v>1</v>
      </c>
      <c r="C1548" s="237">
        <v>3</v>
      </c>
      <c r="D1548" s="238" t="s">
        <v>2022</v>
      </c>
      <c r="E1548" s="238" t="s">
        <v>1847</v>
      </c>
      <c r="F1548" s="238" t="s">
        <v>1825</v>
      </c>
      <c r="G1548" s="238" t="s">
        <v>1017</v>
      </c>
      <c r="H1548" s="239" t="s">
        <v>3401</v>
      </c>
      <c r="I1548" s="217"/>
      <c r="J1548" s="217"/>
      <c r="K1548" s="217"/>
      <c r="L1548" s="217"/>
      <c r="M1548" s="217"/>
      <c r="N1548" s="217"/>
      <c r="O1548" s="217"/>
      <c r="P1548" s="217"/>
    </row>
    <row r="1549" spans="1:16" s="219" customFormat="1" ht="60" hidden="1" x14ac:dyDescent="0.25">
      <c r="A1549" s="214"/>
      <c r="B1549" s="237">
        <v>1</v>
      </c>
      <c r="C1549" s="237">
        <v>3</v>
      </c>
      <c r="D1549" s="238" t="s">
        <v>2022</v>
      </c>
      <c r="E1549" s="238" t="s">
        <v>1847</v>
      </c>
      <c r="F1549" s="238" t="s">
        <v>1825</v>
      </c>
      <c r="G1549" s="238" t="s">
        <v>411</v>
      </c>
      <c r="H1549" s="239" t="s">
        <v>3402</v>
      </c>
      <c r="I1549" s="217"/>
      <c r="J1549" s="217"/>
      <c r="K1549" s="217"/>
      <c r="L1549" s="217"/>
      <c r="M1549" s="217"/>
      <c r="N1549" s="217"/>
      <c r="O1549" s="217"/>
      <c r="P1549" s="217"/>
    </row>
    <row r="1550" spans="1:16" s="219" customFormat="1" ht="45" hidden="1" x14ac:dyDescent="0.25">
      <c r="A1550" s="214"/>
      <c r="B1550" s="237">
        <v>1</v>
      </c>
      <c r="C1550" s="237">
        <v>3</v>
      </c>
      <c r="D1550" s="238" t="s">
        <v>2022</v>
      </c>
      <c r="E1550" s="238" t="s">
        <v>1847</v>
      </c>
      <c r="F1550" s="238" t="s">
        <v>1825</v>
      </c>
      <c r="G1550" s="238" t="s">
        <v>247</v>
      </c>
      <c r="H1550" s="239" t="s">
        <v>3403</v>
      </c>
      <c r="I1550" s="217"/>
      <c r="J1550" s="217"/>
      <c r="K1550" s="217"/>
      <c r="L1550" s="217"/>
      <c r="M1550" s="217"/>
      <c r="N1550" s="217"/>
      <c r="O1550" s="217"/>
      <c r="P1550" s="217"/>
    </row>
    <row r="1551" spans="1:16" s="219" customFormat="1" ht="45" hidden="1" x14ac:dyDescent="0.25">
      <c r="A1551" s="214"/>
      <c r="B1551" s="237">
        <v>1</v>
      </c>
      <c r="C1551" s="237">
        <v>3</v>
      </c>
      <c r="D1551" s="238" t="s">
        <v>2022</v>
      </c>
      <c r="E1551" s="238" t="s">
        <v>1847</v>
      </c>
      <c r="F1551" s="238" t="s">
        <v>1825</v>
      </c>
      <c r="G1551" s="238" t="s">
        <v>1019</v>
      </c>
      <c r="H1551" s="239" t="s">
        <v>3404</v>
      </c>
      <c r="I1551" s="217"/>
      <c r="J1551" s="217"/>
      <c r="K1551" s="217"/>
      <c r="L1551" s="217"/>
      <c r="M1551" s="217"/>
      <c r="N1551" s="217"/>
      <c r="O1551" s="217"/>
      <c r="P1551" s="217"/>
    </row>
    <row r="1552" spans="1:16" s="219" customFormat="1" ht="45" hidden="1" x14ac:dyDescent="0.25">
      <c r="A1552" s="214"/>
      <c r="B1552" s="237">
        <v>1</v>
      </c>
      <c r="C1552" s="237">
        <v>3</v>
      </c>
      <c r="D1552" s="238" t="s">
        <v>2022</v>
      </c>
      <c r="E1552" s="238" t="s">
        <v>1847</v>
      </c>
      <c r="F1552" s="238" t="s">
        <v>1825</v>
      </c>
      <c r="G1552" s="238" t="s">
        <v>1022</v>
      </c>
      <c r="H1552" s="239" t="s">
        <v>3405</v>
      </c>
      <c r="I1552" s="217"/>
      <c r="J1552" s="217"/>
      <c r="K1552" s="217"/>
      <c r="L1552" s="217"/>
      <c r="M1552" s="217"/>
      <c r="N1552" s="217"/>
      <c r="O1552" s="217"/>
      <c r="P1552" s="217"/>
    </row>
    <row r="1553" spans="1:16" s="219" customFormat="1" ht="45" hidden="1" x14ac:dyDescent="0.25">
      <c r="A1553" s="214"/>
      <c r="B1553" s="237">
        <v>1</v>
      </c>
      <c r="C1553" s="237">
        <v>3</v>
      </c>
      <c r="D1553" s="238" t="s">
        <v>2022</v>
      </c>
      <c r="E1553" s="238" t="s">
        <v>1847</v>
      </c>
      <c r="F1553" s="238" t="s">
        <v>1825</v>
      </c>
      <c r="G1553" s="238" t="s">
        <v>1024</v>
      </c>
      <c r="H1553" s="239" t="s">
        <v>3406</v>
      </c>
      <c r="I1553" s="217"/>
      <c r="J1553" s="217"/>
      <c r="K1553" s="217"/>
      <c r="L1553" s="217"/>
      <c r="M1553" s="217"/>
      <c r="N1553" s="217"/>
      <c r="O1553" s="217"/>
      <c r="P1553" s="217"/>
    </row>
    <row r="1554" spans="1:16" s="219" customFormat="1" ht="60" hidden="1" x14ac:dyDescent="0.25">
      <c r="A1554" s="214"/>
      <c r="B1554" s="237">
        <v>1</v>
      </c>
      <c r="C1554" s="237">
        <v>3</v>
      </c>
      <c r="D1554" s="238" t="s">
        <v>2022</v>
      </c>
      <c r="E1554" s="238" t="s">
        <v>1847</v>
      </c>
      <c r="F1554" s="238" t="s">
        <v>1825</v>
      </c>
      <c r="G1554" s="238" t="s">
        <v>1026</v>
      </c>
      <c r="H1554" s="239" t="s">
        <v>3407</v>
      </c>
      <c r="I1554" s="217"/>
      <c r="J1554" s="217"/>
      <c r="K1554" s="217"/>
      <c r="L1554" s="217"/>
      <c r="M1554" s="217"/>
      <c r="N1554" s="217"/>
      <c r="O1554" s="217"/>
      <c r="P1554" s="217"/>
    </row>
    <row r="1555" spans="1:16" s="219" customFormat="1" ht="45" hidden="1" x14ac:dyDescent="0.25">
      <c r="A1555" s="214"/>
      <c r="B1555" s="237">
        <v>1</v>
      </c>
      <c r="C1555" s="237">
        <v>3</v>
      </c>
      <c r="D1555" s="238" t="s">
        <v>2022</v>
      </c>
      <c r="E1555" s="238" t="s">
        <v>1847</v>
      </c>
      <c r="F1555" s="238" t="s">
        <v>1825</v>
      </c>
      <c r="G1555" s="238" t="s">
        <v>416</v>
      </c>
      <c r="H1555" s="239" t="s">
        <v>3408</v>
      </c>
      <c r="I1555" s="217"/>
      <c r="J1555" s="217"/>
      <c r="K1555" s="217"/>
      <c r="L1555" s="217"/>
      <c r="M1555" s="217"/>
      <c r="N1555" s="217"/>
      <c r="O1555" s="217"/>
      <c r="P1555" s="217"/>
    </row>
    <row r="1556" spans="1:16" s="219" customFormat="1" ht="45" hidden="1" x14ac:dyDescent="0.25">
      <c r="A1556" s="214"/>
      <c r="B1556" s="237">
        <v>1</v>
      </c>
      <c r="C1556" s="237">
        <v>3</v>
      </c>
      <c r="D1556" s="238" t="s">
        <v>2022</v>
      </c>
      <c r="E1556" s="238" t="s">
        <v>1847</v>
      </c>
      <c r="F1556" s="238" t="s">
        <v>1825</v>
      </c>
      <c r="G1556" s="238" t="s">
        <v>417</v>
      </c>
      <c r="H1556" s="239" t="s">
        <v>3409</v>
      </c>
      <c r="I1556" s="217"/>
      <c r="J1556" s="217"/>
      <c r="K1556" s="217"/>
      <c r="L1556" s="217"/>
      <c r="M1556" s="217"/>
      <c r="N1556" s="217"/>
      <c r="O1556" s="217"/>
      <c r="P1556" s="217"/>
    </row>
    <row r="1557" spans="1:16" s="219" customFormat="1" ht="45" hidden="1" x14ac:dyDescent="0.25">
      <c r="A1557" s="214"/>
      <c r="B1557" s="237">
        <v>1</v>
      </c>
      <c r="C1557" s="237">
        <v>3</v>
      </c>
      <c r="D1557" s="238" t="s">
        <v>2022</v>
      </c>
      <c r="E1557" s="238" t="s">
        <v>1847</v>
      </c>
      <c r="F1557" s="238" t="s">
        <v>1825</v>
      </c>
      <c r="G1557" s="238" t="s">
        <v>1028</v>
      </c>
      <c r="H1557" s="239" t="s">
        <v>3410</v>
      </c>
      <c r="I1557" s="217"/>
      <c r="J1557" s="217"/>
      <c r="K1557" s="217"/>
      <c r="L1557" s="217"/>
      <c r="M1557" s="217"/>
      <c r="N1557" s="217"/>
      <c r="O1557" s="217"/>
      <c r="P1557" s="217"/>
    </row>
    <row r="1558" spans="1:16" s="219" customFormat="1" ht="60" hidden="1" x14ac:dyDescent="0.25">
      <c r="A1558" s="214"/>
      <c r="B1558" s="237">
        <v>1</v>
      </c>
      <c r="C1558" s="237">
        <v>3</v>
      </c>
      <c r="D1558" s="238" t="s">
        <v>2022</v>
      </c>
      <c r="E1558" s="238" t="s">
        <v>1847</v>
      </c>
      <c r="F1558" s="238" t="s">
        <v>1825</v>
      </c>
      <c r="G1558" s="238" t="s">
        <v>1029</v>
      </c>
      <c r="H1558" s="239" t="s">
        <v>3411</v>
      </c>
      <c r="I1558" s="217"/>
      <c r="J1558" s="217"/>
      <c r="K1558" s="217"/>
      <c r="L1558" s="217"/>
      <c r="M1558" s="217"/>
      <c r="N1558" s="217"/>
      <c r="O1558" s="217"/>
      <c r="P1558" s="217"/>
    </row>
    <row r="1559" spans="1:16" s="213" customFormat="1" ht="30" hidden="1" x14ac:dyDescent="0.25">
      <c r="A1559" s="208" t="s">
        <v>263</v>
      </c>
      <c r="B1559" s="234">
        <v>1</v>
      </c>
      <c r="C1559" s="234">
        <v>3</v>
      </c>
      <c r="D1559" s="235" t="s">
        <v>2022</v>
      </c>
      <c r="E1559" s="235" t="s">
        <v>1847</v>
      </c>
      <c r="F1559" s="235" t="s">
        <v>1836</v>
      </c>
      <c r="G1559" s="234"/>
      <c r="H1559" s="236" t="s">
        <v>3412</v>
      </c>
      <c r="I1559" s="211">
        <f>SUM(I1560:I1563)</f>
        <v>0</v>
      </c>
      <c r="J1559" s="211">
        <f t="shared" ref="J1559:P1559" si="175">SUM(J1560:J1563)</f>
        <v>0</v>
      </c>
      <c r="K1559" s="211">
        <f t="shared" si="175"/>
        <v>0</v>
      </c>
      <c r="L1559" s="211">
        <f t="shared" si="175"/>
        <v>0</v>
      </c>
      <c r="M1559" s="211">
        <f t="shared" si="175"/>
        <v>0</v>
      </c>
      <c r="N1559" s="211">
        <f t="shared" si="175"/>
        <v>0</v>
      </c>
      <c r="O1559" s="211">
        <f t="shared" si="175"/>
        <v>0</v>
      </c>
      <c r="P1559" s="211">
        <f t="shared" si="175"/>
        <v>0</v>
      </c>
    </row>
    <row r="1560" spans="1:16" s="219" customFormat="1" ht="45" hidden="1" x14ac:dyDescent="0.25">
      <c r="A1560" s="214"/>
      <c r="B1560" s="237">
        <v>1</v>
      </c>
      <c r="C1560" s="237">
        <v>3</v>
      </c>
      <c r="D1560" s="238" t="s">
        <v>2022</v>
      </c>
      <c r="E1560" s="238" t="s">
        <v>1847</v>
      </c>
      <c r="F1560" s="238" t="s">
        <v>1836</v>
      </c>
      <c r="G1560" s="238" t="s">
        <v>58</v>
      </c>
      <c r="H1560" s="239" t="s">
        <v>3413</v>
      </c>
      <c r="I1560" s="217"/>
      <c r="J1560" s="217"/>
      <c r="K1560" s="217"/>
      <c r="L1560" s="217"/>
      <c r="M1560" s="217"/>
      <c r="N1560" s="217"/>
      <c r="O1560" s="217"/>
      <c r="P1560" s="217"/>
    </row>
    <row r="1561" spans="1:16" s="219" customFormat="1" ht="45" hidden="1" x14ac:dyDescent="0.25">
      <c r="A1561" s="214"/>
      <c r="B1561" s="237">
        <v>1</v>
      </c>
      <c r="C1561" s="237">
        <v>3</v>
      </c>
      <c r="D1561" s="238" t="s">
        <v>2022</v>
      </c>
      <c r="E1561" s="238" t="s">
        <v>1847</v>
      </c>
      <c r="F1561" s="238" t="s">
        <v>1836</v>
      </c>
      <c r="G1561" s="238" t="s">
        <v>75</v>
      </c>
      <c r="H1561" s="239" t="s">
        <v>3414</v>
      </c>
      <c r="I1561" s="217"/>
      <c r="J1561" s="217"/>
      <c r="K1561" s="217"/>
      <c r="L1561" s="217"/>
      <c r="M1561" s="217"/>
      <c r="N1561" s="217"/>
      <c r="O1561" s="217"/>
      <c r="P1561" s="217"/>
    </row>
    <row r="1562" spans="1:16" s="219" customFormat="1" ht="45" hidden="1" x14ac:dyDescent="0.25">
      <c r="A1562" s="214"/>
      <c r="B1562" s="237">
        <v>1</v>
      </c>
      <c r="C1562" s="237">
        <v>3</v>
      </c>
      <c r="D1562" s="238" t="s">
        <v>2022</v>
      </c>
      <c r="E1562" s="238" t="s">
        <v>1847</v>
      </c>
      <c r="F1562" s="238" t="s">
        <v>1836</v>
      </c>
      <c r="G1562" s="238" t="s">
        <v>79</v>
      </c>
      <c r="H1562" s="239" t="s">
        <v>3415</v>
      </c>
      <c r="I1562" s="217"/>
      <c r="J1562" s="217"/>
      <c r="K1562" s="217"/>
      <c r="L1562" s="217"/>
      <c r="M1562" s="217"/>
      <c r="N1562" s="217"/>
      <c r="O1562" s="217"/>
      <c r="P1562" s="217"/>
    </row>
    <row r="1563" spans="1:16" s="219" customFormat="1" ht="60" hidden="1" x14ac:dyDescent="0.25">
      <c r="A1563" s="214"/>
      <c r="B1563" s="237">
        <v>1</v>
      </c>
      <c r="C1563" s="237">
        <v>3</v>
      </c>
      <c r="D1563" s="238" t="s">
        <v>2022</v>
      </c>
      <c r="E1563" s="238" t="s">
        <v>1847</v>
      </c>
      <c r="F1563" s="238" t="s">
        <v>1836</v>
      </c>
      <c r="G1563" s="238" t="s">
        <v>84</v>
      </c>
      <c r="H1563" s="239" t="s">
        <v>3416</v>
      </c>
      <c r="I1563" s="217"/>
      <c r="J1563" s="217"/>
      <c r="K1563" s="217"/>
      <c r="L1563" s="217"/>
      <c r="M1563" s="217"/>
      <c r="N1563" s="217"/>
      <c r="O1563" s="217"/>
      <c r="P1563" s="217"/>
    </row>
    <row r="1564" spans="1:16" s="213" customFormat="1" ht="30" hidden="1" x14ac:dyDescent="0.25">
      <c r="A1564" s="208"/>
      <c r="B1564" s="234">
        <v>1</v>
      </c>
      <c r="C1564" s="234">
        <v>3</v>
      </c>
      <c r="D1564" s="235" t="s">
        <v>2022</v>
      </c>
      <c r="E1564" s="235" t="s">
        <v>1847</v>
      </c>
      <c r="F1564" s="235" t="s">
        <v>1847</v>
      </c>
      <c r="G1564" s="234"/>
      <c r="H1564" s="236" t="s">
        <v>3417</v>
      </c>
      <c r="I1564" s="211">
        <f>SUM(I1565:I1569)</f>
        <v>0</v>
      </c>
      <c r="J1564" s="211">
        <f t="shared" ref="J1564:P1564" si="176">SUM(J1565:J1569)</f>
        <v>0</v>
      </c>
      <c r="K1564" s="211">
        <f t="shared" si="176"/>
        <v>0</v>
      </c>
      <c r="L1564" s="211">
        <f t="shared" si="176"/>
        <v>0</v>
      </c>
      <c r="M1564" s="211">
        <f t="shared" si="176"/>
        <v>0</v>
      </c>
      <c r="N1564" s="211">
        <f t="shared" si="176"/>
        <v>0</v>
      </c>
      <c r="O1564" s="211">
        <f t="shared" si="176"/>
        <v>0</v>
      </c>
      <c r="P1564" s="211">
        <f t="shared" si="176"/>
        <v>0</v>
      </c>
    </row>
    <row r="1565" spans="1:16" s="219" customFormat="1" ht="60" hidden="1" x14ac:dyDescent="0.25">
      <c r="A1565" s="214"/>
      <c r="B1565" s="237">
        <v>1</v>
      </c>
      <c r="C1565" s="237">
        <v>3</v>
      </c>
      <c r="D1565" s="238" t="s">
        <v>2022</v>
      </c>
      <c r="E1565" s="238" t="s">
        <v>1847</v>
      </c>
      <c r="F1565" s="238" t="s">
        <v>1847</v>
      </c>
      <c r="G1565" s="238" t="s">
        <v>58</v>
      </c>
      <c r="H1565" s="239" t="s">
        <v>3418</v>
      </c>
      <c r="I1565" s="217"/>
      <c r="J1565" s="217"/>
      <c r="K1565" s="217"/>
      <c r="L1565" s="217"/>
      <c r="M1565" s="217"/>
      <c r="N1565" s="217"/>
      <c r="O1565" s="217"/>
      <c r="P1565" s="217"/>
    </row>
    <row r="1566" spans="1:16" s="219" customFormat="1" ht="60" hidden="1" x14ac:dyDescent="0.25">
      <c r="A1566" s="214"/>
      <c r="B1566" s="237">
        <v>1</v>
      </c>
      <c r="C1566" s="237">
        <v>3</v>
      </c>
      <c r="D1566" s="238" t="s">
        <v>2022</v>
      </c>
      <c r="E1566" s="238" t="s">
        <v>1847</v>
      </c>
      <c r="F1566" s="238" t="s">
        <v>1847</v>
      </c>
      <c r="G1566" s="238" t="s">
        <v>75</v>
      </c>
      <c r="H1566" s="239" t="s">
        <v>3419</v>
      </c>
      <c r="I1566" s="217"/>
      <c r="J1566" s="217"/>
      <c r="K1566" s="217"/>
      <c r="L1566" s="217"/>
      <c r="M1566" s="217"/>
      <c r="N1566" s="217"/>
      <c r="O1566" s="217"/>
      <c r="P1566" s="217"/>
    </row>
    <row r="1567" spans="1:16" s="219" customFormat="1" ht="45" hidden="1" x14ac:dyDescent="0.25">
      <c r="A1567" s="214"/>
      <c r="B1567" s="237">
        <v>1</v>
      </c>
      <c r="C1567" s="237">
        <v>3</v>
      </c>
      <c r="D1567" s="238" t="s">
        <v>2022</v>
      </c>
      <c r="E1567" s="238" t="s">
        <v>1847</v>
      </c>
      <c r="F1567" s="238" t="s">
        <v>1847</v>
      </c>
      <c r="G1567" s="238" t="s">
        <v>79</v>
      </c>
      <c r="H1567" s="239" t="s">
        <v>3420</v>
      </c>
      <c r="I1567" s="217"/>
      <c r="J1567" s="217"/>
      <c r="K1567" s="217"/>
      <c r="L1567" s="217"/>
      <c r="M1567" s="217"/>
      <c r="N1567" s="217"/>
      <c r="O1567" s="217"/>
      <c r="P1567" s="217"/>
    </row>
    <row r="1568" spans="1:16" s="219" customFormat="1" ht="45" hidden="1" x14ac:dyDescent="0.25">
      <c r="A1568" s="214"/>
      <c r="B1568" s="237">
        <v>1</v>
      </c>
      <c r="C1568" s="237">
        <v>3</v>
      </c>
      <c r="D1568" s="238" t="s">
        <v>2022</v>
      </c>
      <c r="E1568" s="238" t="s">
        <v>1847</v>
      </c>
      <c r="F1568" s="238" t="s">
        <v>1847</v>
      </c>
      <c r="G1568" s="238" t="s">
        <v>84</v>
      </c>
      <c r="H1568" s="239" t="s">
        <v>3421</v>
      </c>
      <c r="I1568" s="217"/>
      <c r="J1568" s="217"/>
      <c r="K1568" s="217"/>
      <c r="L1568" s="217"/>
      <c r="M1568" s="217"/>
      <c r="N1568" s="217"/>
      <c r="O1568" s="217"/>
      <c r="P1568" s="217"/>
    </row>
    <row r="1569" spans="1:16" s="219" customFormat="1" ht="60" hidden="1" x14ac:dyDescent="0.25">
      <c r="A1569" s="214"/>
      <c r="B1569" s="237">
        <v>1</v>
      </c>
      <c r="C1569" s="237">
        <v>3</v>
      </c>
      <c r="D1569" s="238" t="s">
        <v>2022</v>
      </c>
      <c r="E1569" s="238" t="s">
        <v>1847</v>
      </c>
      <c r="F1569" s="238" t="s">
        <v>1847</v>
      </c>
      <c r="G1569" s="238" t="s">
        <v>88</v>
      </c>
      <c r="H1569" s="239" t="s">
        <v>3422</v>
      </c>
      <c r="I1569" s="217"/>
      <c r="J1569" s="217"/>
      <c r="K1569" s="217"/>
      <c r="L1569" s="217"/>
      <c r="M1569" s="217"/>
      <c r="N1569" s="217"/>
      <c r="O1569" s="217"/>
      <c r="P1569" s="217"/>
    </row>
    <row r="1570" spans="1:16" s="213" customFormat="1" ht="30" hidden="1" x14ac:dyDescent="0.25">
      <c r="A1570" s="208"/>
      <c r="B1570" s="234">
        <v>1</v>
      </c>
      <c r="C1570" s="234">
        <v>3</v>
      </c>
      <c r="D1570" s="235" t="s">
        <v>2022</v>
      </c>
      <c r="E1570" s="235" t="s">
        <v>1847</v>
      </c>
      <c r="F1570" s="235" t="s">
        <v>1928</v>
      </c>
      <c r="G1570" s="234"/>
      <c r="H1570" s="236" t="s">
        <v>3423</v>
      </c>
      <c r="I1570" s="211">
        <f>SUM(I1571:I1575)</f>
        <v>0</v>
      </c>
      <c r="J1570" s="211">
        <f t="shared" ref="J1570:P1570" si="177">SUM(J1571:J1575)</f>
        <v>0</v>
      </c>
      <c r="K1570" s="211">
        <f t="shared" si="177"/>
        <v>0</v>
      </c>
      <c r="L1570" s="211">
        <f t="shared" si="177"/>
        <v>0</v>
      </c>
      <c r="M1570" s="211">
        <f t="shared" si="177"/>
        <v>0</v>
      </c>
      <c r="N1570" s="211">
        <f t="shared" si="177"/>
        <v>0</v>
      </c>
      <c r="O1570" s="211">
        <f t="shared" si="177"/>
        <v>0</v>
      </c>
      <c r="P1570" s="211">
        <f t="shared" si="177"/>
        <v>0</v>
      </c>
    </row>
    <row r="1571" spans="1:16" s="219" customFormat="1" ht="45" hidden="1" x14ac:dyDescent="0.25">
      <c r="A1571" s="214"/>
      <c r="B1571" s="237">
        <v>1</v>
      </c>
      <c r="C1571" s="237">
        <v>3</v>
      </c>
      <c r="D1571" s="238" t="s">
        <v>2022</v>
      </c>
      <c r="E1571" s="238" t="s">
        <v>1847</v>
      </c>
      <c r="F1571" s="238" t="s">
        <v>1928</v>
      </c>
      <c r="G1571" s="238" t="s">
        <v>58</v>
      </c>
      <c r="H1571" s="239" t="s">
        <v>3424</v>
      </c>
      <c r="I1571" s="217"/>
      <c r="J1571" s="217"/>
      <c r="K1571" s="217"/>
      <c r="L1571" s="217"/>
      <c r="M1571" s="217"/>
      <c r="N1571" s="217"/>
      <c r="O1571" s="217"/>
      <c r="P1571" s="217"/>
    </row>
    <row r="1572" spans="1:16" s="219" customFormat="1" ht="45" hidden="1" x14ac:dyDescent="0.25">
      <c r="A1572" s="214"/>
      <c r="B1572" s="237">
        <v>1</v>
      </c>
      <c r="C1572" s="237">
        <v>3</v>
      </c>
      <c r="D1572" s="238" t="s">
        <v>2022</v>
      </c>
      <c r="E1572" s="238" t="s">
        <v>1847</v>
      </c>
      <c r="F1572" s="238" t="s">
        <v>1928</v>
      </c>
      <c r="G1572" s="238" t="s">
        <v>75</v>
      </c>
      <c r="H1572" s="239" t="s">
        <v>3425</v>
      </c>
      <c r="I1572" s="217"/>
      <c r="J1572" s="217"/>
      <c r="K1572" s="217"/>
      <c r="L1572" s="217"/>
      <c r="M1572" s="217"/>
      <c r="N1572" s="217"/>
      <c r="O1572" s="217"/>
      <c r="P1572" s="217"/>
    </row>
    <row r="1573" spans="1:16" s="219" customFormat="1" ht="45" hidden="1" x14ac:dyDescent="0.25">
      <c r="A1573" s="214"/>
      <c r="B1573" s="237">
        <v>1</v>
      </c>
      <c r="C1573" s="237">
        <v>3</v>
      </c>
      <c r="D1573" s="238" t="s">
        <v>2022</v>
      </c>
      <c r="E1573" s="238" t="s">
        <v>1847</v>
      </c>
      <c r="F1573" s="238" t="s">
        <v>1928</v>
      </c>
      <c r="G1573" s="238" t="s">
        <v>79</v>
      </c>
      <c r="H1573" s="239" t="s">
        <v>3426</v>
      </c>
      <c r="I1573" s="217"/>
      <c r="J1573" s="217"/>
      <c r="K1573" s="217"/>
      <c r="L1573" s="217"/>
      <c r="M1573" s="217"/>
      <c r="N1573" s="217"/>
      <c r="O1573" s="217"/>
      <c r="P1573" s="217"/>
    </row>
    <row r="1574" spans="1:16" s="219" customFormat="1" ht="30" hidden="1" x14ac:dyDescent="0.25">
      <c r="A1574" s="214"/>
      <c r="B1574" s="237">
        <v>1</v>
      </c>
      <c r="C1574" s="237">
        <v>3</v>
      </c>
      <c r="D1574" s="238" t="s">
        <v>2022</v>
      </c>
      <c r="E1574" s="238" t="s">
        <v>1847</v>
      </c>
      <c r="F1574" s="238" t="s">
        <v>1928</v>
      </c>
      <c r="G1574" s="238" t="s">
        <v>84</v>
      </c>
      <c r="H1574" s="239" t="s">
        <v>3427</v>
      </c>
      <c r="I1574" s="217"/>
      <c r="J1574" s="217"/>
      <c r="K1574" s="217"/>
      <c r="L1574" s="217"/>
      <c r="M1574" s="217"/>
      <c r="N1574" s="217"/>
      <c r="O1574" s="217"/>
      <c r="P1574" s="217"/>
    </row>
    <row r="1575" spans="1:16" s="219" customFormat="1" ht="45" hidden="1" x14ac:dyDescent="0.25">
      <c r="A1575" s="214"/>
      <c r="B1575" s="237">
        <v>1</v>
      </c>
      <c r="C1575" s="237">
        <v>3</v>
      </c>
      <c r="D1575" s="238" t="s">
        <v>2022</v>
      </c>
      <c r="E1575" s="238" t="s">
        <v>1847</v>
      </c>
      <c r="F1575" s="238" t="s">
        <v>1928</v>
      </c>
      <c r="G1575" s="238" t="s">
        <v>88</v>
      </c>
      <c r="H1575" s="239" t="s">
        <v>3428</v>
      </c>
      <c r="I1575" s="217"/>
      <c r="J1575" s="217"/>
      <c r="K1575" s="217"/>
      <c r="L1575" s="217"/>
      <c r="M1575" s="217"/>
      <c r="N1575" s="217"/>
      <c r="O1575" s="217"/>
      <c r="P1575" s="217"/>
    </row>
    <row r="1576" spans="1:16" s="213" customFormat="1" ht="30" hidden="1" x14ac:dyDescent="0.25">
      <c r="A1576" s="208" t="s">
        <v>1984</v>
      </c>
      <c r="B1576" s="234">
        <v>1</v>
      </c>
      <c r="C1576" s="234">
        <v>3</v>
      </c>
      <c r="D1576" s="235" t="s">
        <v>2022</v>
      </c>
      <c r="E1576" s="235" t="s">
        <v>1928</v>
      </c>
      <c r="F1576" s="234"/>
      <c r="G1576" s="234"/>
      <c r="H1576" s="236" t="s">
        <v>3429</v>
      </c>
      <c r="I1576" s="211">
        <f>SUM(I1577+I1601+I1653+I1698)</f>
        <v>0</v>
      </c>
      <c r="J1576" s="211">
        <f t="shared" ref="J1576:P1576" si="178">SUM(J1577+J1601+J1653+J1698)</f>
        <v>0</v>
      </c>
      <c r="K1576" s="211">
        <f t="shared" si="178"/>
        <v>0</v>
      </c>
      <c r="L1576" s="211">
        <f t="shared" si="178"/>
        <v>0</v>
      </c>
      <c r="M1576" s="211">
        <f t="shared" si="178"/>
        <v>0</v>
      </c>
      <c r="N1576" s="211">
        <f t="shared" si="178"/>
        <v>0</v>
      </c>
      <c r="O1576" s="211">
        <f t="shared" si="178"/>
        <v>0</v>
      </c>
      <c r="P1576" s="211">
        <f t="shared" si="178"/>
        <v>0</v>
      </c>
    </row>
    <row r="1577" spans="1:16" s="213" customFormat="1" ht="30" hidden="1" x14ac:dyDescent="0.25">
      <c r="A1577" s="208" t="s">
        <v>263</v>
      </c>
      <c r="B1577" s="234">
        <v>1</v>
      </c>
      <c r="C1577" s="234">
        <v>3</v>
      </c>
      <c r="D1577" s="235" t="s">
        <v>2022</v>
      </c>
      <c r="E1577" s="235" t="s">
        <v>1928</v>
      </c>
      <c r="F1577" s="235" t="s">
        <v>1825</v>
      </c>
      <c r="G1577" s="234"/>
      <c r="H1577" s="236" t="s">
        <v>3430</v>
      </c>
      <c r="I1577" s="211">
        <f>SUM(I1578:I1600)</f>
        <v>0</v>
      </c>
      <c r="J1577" s="211">
        <f t="shared" ref="J1577:P1577" si="179">SUM(J1578:J1600)</f>
        <v>0</v>
      </c>
      <c r="K1577" s="211">
        <f t="shared" si="179"/>
        <v>0</v>
      </c>
      <c r="L1577" s="211">
        <f t="shared" si="179"/>
        <v>0</v>
      </c>
      <c r="M1577" s="211">
        <f t="shared" si="179"/>
        <v>0</v>
      </c>
      <c r="N1577" s="211">
        <f t="shared" si="179"/>
        <v>0</v>
      </c>
      <c r="O1577" s="211">
        <f t="shared" si="179"/>
        <v>0</v>
      </c>
      <c r="P1577" s="211">
        <f t="shared" si="179"/>
        <v>0</v>
      </c>
    </row>
    <row r="1578" spans="1:16" s="219" customFormat="1" ht="30" hidden="1" x14ac:dyDescent="0.25">
      <c r="A1578" s="214"/>
      <c r="B1578" s="237">
        <v>1</v>
      </c>
      <c r="C1578" s="237">
        <v>3</v>
      </c>
      <c r="D1578" s="238" t="s">
        <v>2022</v>
      </c>
      <c r="E1578" s="238" t="s">
        <v>1928</v>
      </c>
      <c r="F1578" s="238" t="s">
        <v>1825</v>
      </c>
      <c r="G1578" s="238" t="s">
        <v>58</v>
      </c>
      <c r="H1578" s="239" t="s">
        <v>3431</v>
      </c>
      <c r="I1578" s="217"/>
      <c r="J1578" s="217"/>
      <c r="K1578" s="217"/>
      <c r="L1578" s="217"/>
      <c r="M1578" s="217"/>
      <c r="N1578" s="217"/>
      <c r="O1578" s="217"/>
      <c r="P1578" s="217"/>
    </row>
    <row r="1579" spans="1:16" s="219" customFormat="1" ht="30" hidden="1" x14ac:dyDescent="0.25">
      <c r="A1579" s="214"/>
      <c r="B1579" s="237">
        <v>1</v>
      </c>
      <c r="C1579" s="237">
        <v>3</v>
      </c>
      <c r="D1579" s="238" t="s">
        <v>2022</v>
      </c>
      <c r="E1579" s="238" t="s">
        <v>1928</v>
      </c>
      <c r="F1579" s="238" t="s">
        <v>1825</v>
      </c>
      <c r="G1579" s="238" t="s">
        <v>75</v>
      </c>
      <c r="H1579" s="239" t="s">
        <v>3432</v>
      </c>
      <c r="I1579" s="217"/>
      <c r="J1579" s="217"/>
      <c r="K1579" s="217"/>
      <c r="L1579" s="217"/>
      <c r="M1579" s="217"/>
      <c r="N1579" s="217"/>
      <c r="O1579" s="217"/>
      <c r="P1579" s="217"/>
    </row>
    <row r="1580" spans="1:16" s="219" customFormat="1" ht="30" hidden="1" x14ac:dyDescent="0.25">
      <c r="A1580" s="214"/>
      <c r="B1580" s="237">
        <v>1</v>
      </c>
      <c r="C1580" s="237">
        <v>3</v>
      </c>
      <c r="D1580" s="238" t="s">
        <v>2022</v>
      </c>
      <c r="E1580" s="238" t="s">
        <v>1928</v>
      </c>
      <c r="F1580" s="238" t="s">
        <v>1825</v>
      </c>
      <c r="G1580" s="238" t="s">
        <v>79</v>
      </c>
      <c r="H1580" s="239" t="s">
        <v>3433</v>
      </c>
      <c r="I1580" s="217"/>
      <c r="J1580" s="217"/>
      <c r="K1580" s="217"/>
      <c r="L1580" s="217"/>
      <c r="M1580" s="217"/>
      <c r="N1580" s="217"/>
      <c r="O1580" s="217"/>
      <c r="P1580" s="217"/>
    </row>
    <row r="1581" spans="1:16" s="219" customFormat="1" ht="30" hidden="1" x14ac:dyDescent="0.25">
      <c r="A1581" s="214"/>
      <c r="B1581" s="237">
        <v>1</v>
      </c>
      <c r="C1581" s="237">
        <v>3</v>
      </c>
      <c r="D1581" s="238" t="s">
        <v>2022</v>
      </c>
      <c r="E1581" s="238" t="s">
        <v>1928</v>
      </c>
      <c r="F1581" s="238" t="s">
        <v>1825</v>
      </c>
      <c r="G1581" s="238" t="s">
        <v>84</v>
      </c>
      <c r="H1581" s="239" t="s">
        <v>3434</v>
      </c>
      <c r="I1581" s="217"/>
      <c r="J1581" s="217"/>
      <c r="K1581" s="217"/>
      <c r="L1581" s="217"/>
      <c r="M1581" s="217"/>
      <c r="N1581" s="217"/>
      <c r="O1581" s="217"/>
      <c r="P1581" s="217"/>
    </row>
    <row r="1582" spans="1:16" s="219" customFormat="1" ht="30" hidden="1" x14ac:dyDescent="0.25">
      <c r="A1582" s="214"/>
      <c r="B1582" s="237">
        <v>1</v>
      </c>
      <c r="C1582" s="237">
        <v>3</v>
      </c>
      <c r="D1582" s="238" t="s">
        <v>2022</v>
      </c>
      <c r="E1582" s="238" t="s">
        <v>1928</v>
      </c>
      <c r="F1582" s="238" t="s">
        <v>1825</v>
      </c>
      <c r="G1582" s="238" t="s">
        <v>88</v>
      </c>
      <c r="H1582" s="239" t="s">
        <v>3435</v>
      </c>
      <c r="I1582" s="217"/>
      <c r="J1582" s="217"/>
      <c r="K1582" s="217"/>
      <c r="L1582" s="217"/>
      <c r="M1582" s="217"/>
      <c r="N1582" s="217"/>
      <c r="O1582" s="217"/>
      <c r="P1582" s="217"/>
    </row>
    <row r="1583" spans="1:16" s="219" customFormat="1" ht="30" hidden="1" x14ac:dyDescent="0.25">
      <c r="A1583" s="214"/>
      <c r="B1583" s="237">
        <v>1</v>
      </c>
      <c r="C1583" s="237">
        <v>3</v>
      </c>
      <c r="D1583" s="238" t="s">
        <v>2022</v>
      </c>
      <c r="E1583" s="238" t="s">
        <v>1928</v>
      </c>
      <c r="F1583" s="238" t="s">
        <v>1825</v>
      </c>
      <c r="G1583" s="238" t="s">
        <v>92</v>
      </c>
      <c r="H1583" s="239" t="s">
        <v>3436</v>
      </c>
      <c r="I1583" s="217"/>
      <c r="J1583" s="217"/>
      <c r="K1583" s="217"/>
      <c r="L1583" s="217"/>
      <c r="M1583" s="217"/>
      <c r="N1583" s="217"/>
      <c r="O1583" s="217"/>
      <c r="P1583" s="217"/>
    </row>
    <row r="1584" spans="1:16" s="219" customFormat="1" ht="30" hidden="1" x14ac:dyDescent="0.25">
      <c r="A1584" s="214"/>
      <c r="B1584" s="237">
        <v>1</v>
      </c>
      <c r="C1584" s="237">
        <v>3</v>
      </c>
      <c r="D1584" s="238" t="s">
        <v>2022</v>
      </c>
      <c r="E1584" s="238" t="s">
        <v>1928</v>
      </c>
      <c r="F1584" s="238" t="s">
        <v>1825</v>
      </c>
      <c r="G1584" s="238" t="s">
        <v>96</v>
      </c>
      <c r="H1584" s="239" t="s">
        <v>3437</v>
      </c>
      <c r="I1584" s="217"/>
      <c r="J1584" s="217"/>
      <c r="K1584" s="217"/>
      <c r="L1584" s="217"/>
      <c r="M1584" s="217"/>
      <c r="N1584" s="217"/>
      <c r="O1584" s="217"/>
      <c r="P1584" s="217"/>
    </row>
    <row r="1585" spans="1:16" s="219" customFormat="1" ht="30" hidden="1" x14ac:dyDescent="0.25">
      <c r="A1585" s="214"/>
      <c r="B1585" s="237">
        <v>1</v>
      </c>
      <c r="C1585" s="237">
        <v>3</v>
      </c>
      <c r="D1585" s="238" t="s">
        <v>2022</v>
      </c>
      <c r="E1585" s="238" t="s">
        <v>1928</v>
      </c>
      <c r="F1585" s="238" t="s">
        <v>1825</v>
      </c>
      <c r="G1585" s="238" t="s">
        <v>100</v>
      </c>
      <c r="H1585" s="239" t="s">
        <v>3438</v>
      </c>
      <c r="I1585" s="217"/>
      <c r="J1585" s="217"/>
      <c r="K1585" s="217"/>
      <c r="L1585" s="217"/>
      <c r="M1585" s="217"/>
      <c r="N1585" s="217"/>
      <c r="O1585" s="217"/>
      <c r="P1585" s="217"/>
    </row>
    <row r="1586" spans="1:16" s="219" customFormat="1" ht="30" hidden="1" x14ac:dyDescent="0.25">
      <c r="A1586" s="214"/>
      <c r="B1586" s="237">
        <v>1</v>
      </c>
      <c r="C1586" s="237">
        <v>3</v>
      </c>
      <c r="D1586" s="238" t="s">
        <v>2022</v>
      </c>
      <c r="E1586" s="238" t="s">
        <v>1928</v>
      </c>
      <c r="F1586" s="238" t="s">
        <v>1825</v>
      </c>
      <c r="G1586" s="238" t="s">
        <v>105</v>
      </c>
      <c r="H1586" s="239" t="s">
        <v>3439</v>
      </c>
      <c r="I1586" s="217"/>
      <c r="J1586" s="217"/>
      <c r="K1586" s="217"/>
      <c r="L1586" s="217"/>
      <c r="M1586" s="217"/>
      <c r="N1586" s="217"/>
      <c r="O1586" s="217"/>
      <c r="P1586" s="217"/>
    </row>
    <row r="1587" spans="1:16" s="219" customFormat="1" ht="30" hidden="1" x14ac:dyDescent="0.25">
      <c r="A1587" s="214"/>
      <c r="B1587" s="237">
        <v>1</v>
      </c>
      <c r="C1587" s="237">
        <v>3</v>
      </c>
      <c r="D1587" s="238" t="s">
        <v>2022</v>
      </c>
      <c r="E1587" s="238" t="s">
        <v>1928</v>
      </c>
      <c r="F1587" s="238" t="s">
        <v>1825</v>
      </c>
      <c r="G1587" s="238" t="s">
        <v>108</v>
      </c>
      <c r="H1587" s="239" t="s">
        <v>3440</v>
      </c>
      <c r="I1587" s="217"/>
      <c r="J1587" s="217"/>
      <c r="K1587" s="217"/>
      <c r="L1587" s="217"/>
      <c r="M1587" s="217"/>
      <c r="N1587" s="217"/>
      <c r="O1587" s="217"/>
      <c r="P1587" s="217"/>
    </row>
    <row r="1588" spans="1:16" s="219" customFormat="1" ht="45" hidden="1" x14ac:dyDescent="0.25">
      <c r="A1588" s="214"/>
      <c r="B1588" s="237">
        <v>1</v>
      </c>
      <c r="C1588" s="237">
        <v>3</v>
      </c>
      <c r="D1588" s="238" t="s">
        <v>2022</v>
      </c>
      <c r="E1588" s="238" t="s">
        <v>1928</v>
      </c>
      <c r="F1588" s="238" t="s">
        <v>1825</v>
      </c>
      <c r="G1588" s="238" t="s">
        <v>135</v>
      </c>
      <c r="H1588" s="239" t="s">
        <v>3441</v>
      </c>
      <c r="I1588" s="217"/>
      <c r="J1588" s="217"/>
      <c r="K1588" s="217"/>
      <c r="L1588" s="217"/>
      <c r="M1588" s="217"/>
      <c r="N1588" s="217"/>
      <c r="O1588" s="217"/>
      <c r="P1588" s="217"/>
    </row>
    <row r="1589" spans="1:16" s="219" customFormat="1" ht="45" hidden="1" x14ac:dyDescent="0.25">
      <c r="A1589" s="214"/>
      <c r="B1589" s="237">
        <v>1</v>
      </c>
      <c r="C1589" s="237">
        <v>3</v>
      </c>
      <c r="D1589" s="238" t="s">
        <v>2022</v>
      </c>
      <c r="E1589" s="238" t="s">
        <v>1928</v>
      </c>
      <c r="F1589" s="238" t="s">
        <v>1825</v>
      </c>
      <c r="G1589" s="238" t="s">
        <v>138</v>
      </c>
      <c r="H1589" s="239" t="s">
        <v>3442</v>
      </c>
      <c r="I1589" s="217"/>
      <c r="J1589" s="217"/>
      <c r="K1589" s="217"/>
      <c r="L1589" s="217"/>
      <c r="M1589" s="217"/>
      <c r="N1589" s="217"/>
      <c r="O1589" s="217"/>
      <c r="P1589" s="217"/>
    </row>
    <row r="1590" spans="1:16" s="219" customFormat="1" ht="45" hidden="1" x14ac:dyDescent="0.25">
      <c r="A1590" s="214"/>
      <c r="B1590" s="237">
        <v>1</v>
      </c>
      <c r="C1590" s="237">
        <v>3</v>
      </c>
      <c r="D1590" s="238" t="s">
        <v>2022</v>
      </c>
      <c r="E1590" s="238" t="s">
        <v>1928</v>
      </c>
      <c r="F1590" s="238" t="s">
        <v>1825</v>
      </c>
      <c r="G1590" s="238" t="s">
        <v>140</v>
      </c>
      <c r="H1590" s="239" t="s">
        <v>3443</v>
      </c>
      <c r="I1590" s="217"/>
      <c r="J1590" s="217"/>
      <c r="K1590" s="217"/>
      <c r="L1590" s="217"/>
      <c r="M1590" s="217"/>
      <c r="N1590" s="217"/>
      <c r="O1590" s="217"/>
      <c r="P1590" s="217"/>
    </row>
    <row r="1591" spans="1:16" s="219" customFormat="1" ht="30" hidden="1" x14ac:dyDescent="0.25">
      <c r="A1591" s="214"/>
      <c r="B1591" s="237">
        <v>1</v>
      </c>
      <c r="C1591" s="237">
        <v>3</v>
      </c>
      <c r="D1591" s="238" t="s">
        <v>2022</v>
      </c>
      <c r="E1591" s="238" t="s">
        <v>1928</v>
      </c>
      <c r="F1591" s="238" t="s">
        <v>1825</v>
      </c>
      <c r="G1591" s="238" t="s">
        <v>143</v>
      </c>
      <c r="H1591" s="239" t="s">
        <v>3444</v>
      </c>
      <c r="I1591" s="217"/>
      <c r="J1591" s="217"/>
      <c r="K1591" s="217"/>
      <c r="L1591" s="217"/>
      <c r="M1591" s="217"/>
      <c r="N1591" s="217"/>
      <c r="O1591" s="217"/>
      <c r="P1591" s="217"/>
    </row>
    <row r="1592" spans="1:16" s="219" customFormat="1" ht="30" hidden="1" x14ac:dyDescent="0.25">
      <c r="A1592" s="214"/>
      <c r="B1592" s="237">
        <v>1</v>
      </c>
      <c r="C1592" s="237">
        <v>3</v>
      </c>
      <c r="D1592" s="238" t="s">
        <v>2022</v>
      </c>
      <c r="E1592" s="238" t="s">
        <v>1928</v>
      </c>
      <c r="F1592" s="238" t="s">
        <v>1825</v>
      </c>
      <c r="G1592" s="238" t="s">
        <v>146</v>
      </c>
      <c r="H1592" s="239" t="s">
        <v>3445</v>
      </c>
      <c r="I1592" s="217"/>
      <c r="J1592" s="217"/>
      <c r="K1592" s="217"/>
      <c r="L1592" s="217"/>
      <c r="M1592" s="217"/>
      <c r="N1592" s="217"/>
      <c r="O1592" s="217"/>
      <c r="P1592" s="217"/>
    </row>
    <row r="1593" spans="1:16" s="219" customFormat="1" ht="30" hidden="1" x14ac:dyDescent="0.25">
      <c r="A1593" s="214"/>
      <c r="B1593" s="237">
        <v>1</v>
      </c>
      <c r="C1593" s="237">
        <v>3</v>
      </c>
      <c r="D1593" s="238" t="s">
        <v>2022</v>
      </c>
      <c r="E1593" s="238" t="s">
        <v>1928</v>
      </c>
      <c r="F1593" s="238" t="s">
        <v>1825</v>
      </c>
      <c r="G1593" s="238" t="s">
        <v>150</v>
      </c>
      <c r="H1593" s="239" t="s">
        <v>3446</v>
      </c>
      <c r="I1593" s="217"/>
      <c r="J1593" s="217"/>
      <c r="K1593" s="217"/>
      <c r="L1593" s="217"/>
      <c r="M1593" s="217"/>
      <c r="N1593" s="217"/>
      <c r="O1593" s="217"/>
      <c r="P1593" s="217"/>
    </row>
    <row r="1594" spans="1:16" s="219" customFormat="1" ht="45" hidden="1" x14ac:dyDescent="0.25">
      <c r="A1594" s="214"/>
      <c r="B1594" s="237">
        <v>1</v>
      </c>
      <c r="C1594" s="237">
        <v>3</v>
      </c>
      <c r="D1594" s="238" t="s">
        <v>2022</v>
      </c>
      <c r="E1594" s="238" t="s">
        <v>1928</v>
      </c>
      <c r="F1594" s="238" t="s">
        <v>1825</v>
      </c>
      <c r="G1594" s="238" t="s">
        <v>153</v>
      </c>
      <c r="H1594" s="239" t="s">
        <v>3447</v>
      </c>
      <c r="I1594" s="217"/>
      <c r="J1594" s="217"/>
      <c r="K1594" s="217"/>
      <c r="L1594" s="217"/>
      <c r="M1594" s="217"/>
      <c r="N1594" s="217"/>
      <c r="O1594" s="217"/>
      <c r="P1594" s="217"/>
    </row>
    <row r="1595" spans="1:16" s="219" customFormat="1" ht="45" hidden="1" x14ac:dyDescent="0.25">
      <c r="A1595" s="214"/>
      <c r="B1595" s="237">
        <v>1</v>
      </c>
      <c r="C1595" s="237">
        <v>3</v>
      </c>
      <c r="D1595" s="238" t="s">
        <v>2022</v>
      </c>
      <c r="E1595" s="238" t="s">
        <v>1928</v>
      </c>
      <c r="F1595" s="238" t="s">
        <v>1825</v>
      </c>
      <c r="G1595" s="238" t="s">
        <v>156</v>
      </c>
      <c r="H1595" s="239" t="s">
        <v>3448</v>
      </c>
      <c r="I1595" s="217"/>
      <c r="J1595" s="217"/>
      <c r="K1595" s="217"/>
      <c r="L1595" s="217"/>
      <c r="M1595" s="217"/>
      <c r="N1595" s="217"/>
      <c r="O1595" s="217"/>
      <c r="P1595" s="217"/>
    </row>
    <row r="1596" spans="1:16" s="219" customFormat="1" ht="45" hidden="1" x14ac:dyDescent="0.25">
      <c r="A1596" s="214"/>
      <c r="B1596" s="237">
        <v>1</v>
      </c>
      <c r="C1596" s="237">
        <v>3</v>
      </c>
      <c r="D1596" s="238" t="s">
        <v>2022</v>
      </c>
      <c r="E1596" s="238" t="s">
        <v>1928</v>
      </c>
      <c r="F1596" s="238" t="s">
        <v>1825</v>
      </c>
      <c r="G1596" s="238" t="s">
        <v>159</v>
      </c>
      <c r="H1596" s="239" t="s">
        <v>3449</v>
      </c>
      <c r="I1596" s="217"/>
      <c r="J1596" s="217"/>
      <c r="K1596" s="217"/>
      <c r="L1596" s="217"/>
      <c r="M1596" s="217"/>
      <c r="N1596" s="217"/>
      <c r="O1596" s="217"/>
      <c r="P1596" s="217"/>
    </row>
    <row r="1597" spans="1:16" s="219" customFormat="1" ht="30" hidden="1" x14ac:dyDescent="0.25">
      <c r="A1597" s="214"/>
      <c r="B1597" s="237">
        <v>1</v>
      </c>
      <c r="C1597" s="237">
        <v>3</v>
      </c>
      <c r="D1597" s="238" t="s">
        <v>2022</v>
      </c>
      <c r="E1597" s="238" t="s">
        <v>1928</v>
      </c>
      <c r="F1597" s="238" t="s">
        <v>1825</v>
      </c>
      <c r="G1597" s="238" t="s">
        <v>162</v>
      </c>
      <c r="H1597" s="239" t="s">
        <v>3450</v>
      </c>
      <c r="I1597" s="217"/>
      <c r="J1597" s="217"/>
      <c r="K1597" s="217"/>
      <c r="L1597" s="217"/>
      <c r="M1597" s="217"/>
      <c r="N1597" s="217"/>
      <c r="O1597" s="217"/>
      <c r="P1597" s="217"/>
    </row>
    <row r="1598" spans="1:16" s="219" customFormat="1" ht="45" hidden="1" x14ac:dyDescent="0.25">
      <c r="A1598" s="214"/>
      <c r="B1598" s="237">
        <v>1</v>
      </c>
      <c r="C1598" s="237">
        <v>3</v>
      </c>
      <c r="D1598" s="238" t="s">
        <v>2022</v>
      </c>
      <c r="E1598" s="238" t="s">
        <v>1928</v>
      </c>
      <c r="F1598" s="238" t="s">
        <v>1825</v>
      </c>
      <c r="G1598" s="238" t="s">
        <v>312</v>
      </c>
      <c r="H1598" s="239" t="s">
        <v>3451</v>
      </c>
      <c r="I1598" s="217"/>
      <c r="J1598" s="217"/>
      <c r="K1598" s="217"/>
      <c r="L1598" s="217"/>
      <c r="M1598" s="217"/>
      <c r="N1598" s="217"/>
      <c r="O1598" s="217"/>
      <c r="P1598" s="217"/>
    </row>
    <row r="1599" spans="1:16" s="219" customFormat="1" ht="30" hidden="1" x14ac:dyDescent="0.25">
      <c r="A1599" s="214"/>
      <c r="B1599" s="237">
        <v>1</v>
      </c>
      <c r="C1599" s="237">
        <v>3</v>
      </c>
      <c r="D1599" s="238" t="s">
        <v>2022</v>
      </c>
      <c r="E1599" s="238" t="s">
        <v>1928</v>
      </c>
      <c r="F1599" s="238" t="s">
        <v>1825</v>
      </c>
      <c r="G1599" s="238" t="s">
        <v>313</v>
      </c>
      <c r="H1599" s="239" t="s">
        <v>3452</v>
      </c>
      <c r="I1599" s="217"/>
      <c r="J1599" s="217"/>
      <c r="K1599" s="217"/>
      <c r="L1599" s="217"/>
      <c r="M1599" s="217"/>
      <c r="N1599" s="217"/>
      <c r="O1599" s="217"/>
      <c r="P1599" s="217"/>
    </row>
    <row r="1600" spans="1:16" s="219" customFormat="1" ht="30" hidden="1" x14ac:dyDescent="0.25">
      <c r="A1600" s="214"/>
      <c r="B1600" s="237">
        <v>1</v>
      </c>
      <c r="C1600" s="237">
        <v>3</v>
      </c>
      <c r="D1600" s="238" t="s">
        <v>2022</v>
      </c>
      <c r="E1600" s="238" t="s">
        <v>1928</v>
      </c>
      <c r="F1600" s="238" t="s">
        <v>1825</v>
      </c>
      <c r="G1600" s="238" t="s">
        <v>559</v>
      </c>
      <c r="H1600" s="239" t="s">
        <v>3453</v>
      </c>
      <c r="I1600" s="217"/>
      <c r="J1600" s="217"/>
      <c r="K1600" s="217"/>
      <c r="L1600" s="217"/>
      <c r="M1600" s="217"/>
      <c r="N1600" s="217"/>
      <c r="O1600" s="217"/>
      <c r="P1600" s="217"/>
    </row>
    <row r="1601" spans="1:16" s="213" customFormat="1" ht="30" hidden="1" x14ac:dyDescent="0.25">
      <c r="A1601" s="208" t="s">
        <v>263</v>
      </c>
      <c r="B1601" s="234">
        <v>1</v>
      </c>
      <c r="C1601" s="234">
        <v>3</v>
      </c>
      <c r="D1601" s="235" t="s">
        <v>2022</v>
      </c>
      <c r="E1601" s="235" t="s">
        <v>1928</v>
      </c>
      <c r="F1601" s="235" t="s">
        <v>1836</v>
      </c>
      <c r="G1601" s="234"/>
      <c r="H1601" s="236" t="s">
        <v>3454</v>
      </c>
      <c r="I1601" s="211">
        <f>SUM(I1602:I1652)</f>
        <v>0</v>
      </c>
      <c r="J1601" s="211">
        <f t="shared" ref="J1601:P1601" si="180">SUM(J1602:J1652)</f>
        <v>0</v>
      </c>
      <c r="K1601" s="211">
        <f t="shared" si="180"/>
        <v>0</v>
      </c>
      <c r="L1601" s="211">
        <f t="shared" si="180"/>
        <v>0</v>
      </c>
      <c r="M1601" s="211">
        <f t="shared" si="180"/>
        <v>0</v>
      </c>
      <c r="N1601" s="211">
        <f t="shared" si="180"/>
        <v>0</v>
      </c>
      <c r="O1601" s="211">
        <f t="shared" si="180"/>
        <v>0</v>
      </c>
      <c r="P1601" s="211">
        <f t="shared" si="180"/>
        <v>0</v>
      </c>
    </row>
    <row r="1602" spans="1:16" s="219" customFormat="1" ht="45" hidden="1" x14ac:dyDescent="0.25">
      <c r="A1602" s="214"/>
      <c r="B1602" s="237">
        <v>1</v>
      </c>
      <c r="C1602" s="237">
        <v>3</v>
      </c>
      <c r="D1602" s="238" t="s">
        <v>2022</v>
      </c>
      <c r="E1602" s="238" t="s">
        <v>1928</v>
      </c>
      <c r="F1602" s="238" t="s">
        <v>1836</v>
      </c>
      <c r="G1602" s="238" t="s">
        <v>58</v>
      </c>
      <c r="H1602" s="239" t="s">
        <v>3455</v>
      </c>
      <c r="I1602" s="217"/>
      <c r="J1602" s="217"/>
      <c r="K1602" s="217"/>
      <c r="L1602" s="217"/>
      <c r="M1602" s="217"/>
      <c r="N1602" s="217"/>
      <c r="O1602" s="217"/>
      <c r="P1602" s="217"/>
    </row>
    <row r="1603" spans="1:16" s="219" customFormat="1" ht="45" hidden="1" x14ac:dyDescent="0.25">
      <c r="A1603" s="214"/>
      <c r="B1603" s="237">
        <v>1</v>
      </c>
      <c r="C1603" s="237">
        <v>3</v>
      </c>
      <c r="D1603" s="238" t="s">
        <v>2022</v>
      </c>
      <c r="E1603" s="238" t="s">
        <v>1928</v>
      </c>
      <c r="F1603" s="238" t="s">
        <v>1836</v>
      </c>
      <c r="G1603" s="238" t="s">
        <v>75</v>
      </c>
      <c r="H1603" s="239" t="s">
        <v>3456</v>
      </c>
      <c r="I1603" s="217"/>
      <c r="J1603" s="217"/>
      <c r="K1603" s="217"/>
      <c r="L1603" s="217"/>
      <c r="M1603" s="217"/>
      <c r="N1603" s="217"/>
      <c r="O1603" s="217"/>
      <c r="P1603" s="217"/>
    </row>
    <row r="1604" spans="1:16" s="219" customFormat="1" ht="45" hidden="1" x14ac:dyDescent="0.25">
      <c r="A1604" s="214"/>
      <c r="B1604" s="237">
        <v>1</v>
      </c>
      <c r="C1604" s="237">
        <v>3</v>
      </c>
      <c r="D1604" s="238" t="s">
        <v>2022</v>
      </c>
      <c r="E1604" s="238" t="s">
        <v>1928</v>
      </c>
      <c r="F1604" s="238" t="s">
        <v>1836</v>
      </c>
      <c r="G1604" s="238" t="s">
        <v>79</v>
      </c>
      <c r="H1604" s="239" t="s">
        <v>3457</v>
      </c>
      <c r="I1604" s="217"/>
      <c r="J1604" s="217"/>
      <c r="K1604" s="217"/>
      <c r="L1604" s="217"/>
      <c r="M1604" s="217"/>
      <c r="N1604" s="217"/>
      <c r="O1604" s="217"/>
      <c r="P1604" s="217"/>
    </row>
    <row r="1605" spans="1:16" s="219" customFormat="1" ht="45" hidden="1" x14ac:dyDescent="0.25">
      <c r="A1605" s="214"/>
      <c r="B1605" s="237">
        <v>1</v>
      </c>
      <c r="C1605" s="237">
        <v>3</v>
      </c>
      <c r="D1605" s="238" t="s">
        <v>2022</v>
      </c>
      <c r="E1605" s="238" t="s">
        <v>1928</v>
      </c>
      <c r="F1605" s="238" t="s">
        <v>1836</v>
      </c>
      <c r="G1605" s="238" t="s">
        <v>84</v>
      </c>
      <c r="H1605" s="239" t="s">
        <v>3458</v>
      </c>
      <c r="I1605" s="217"/>
      <c r="J1605" s="217"/>
      <c r="K1605" s="217"/>
      <c r="L1605" s="217"/>
      <c r="M1605" s="217"/>
      <c r="N1605" s="217"/>
      <c r="O1605" s="217"/>
      <c r="P1605" s="217"/>
    </row>
    <row r="1606" spans="1:16" s="219" customFormat="1" ht="45" hidden="1" x14ac:dyDescent="0.25">
      <c r="A1606" s="214"/>
      <c r="B1606" s="237">
        <v>1</v>
      </c>
      <c r="C1606" s="237">
        <v>3</v>
      </c>
      <c r="D1606" s="238" t="s">
        <v>2022</v>
      </c>
      <c r="E1606" s="238" t="s">
        <v>1928</v>
      </c>
      <c r="F1606" s="238" t="s">
        <v>1836</v>
      </c>
      <c r="G1606" s="238" t="s">
        <v>88</v>
      </c>
      <c r="H1606" s="239" t="s">
        <v>3459</v>
      </c>
      <c r="I1606" s="217"/>
      <c r="J1606" s="217"/>
      <c r="K1606" s="217"/>
      <c r="L1606" s="217"/>
      <c r="M1606" s="217"/>
      <c r="N1606" s="217"/>
      <c r="O1606" s="217"/>
      <c r="P1606" s="217"/>
    </row>
    <row r="1607" spans="1:16" s="219" customFormat="1" ht="45" hidden="1" x14ac:dyDescent="0.25">
      <c r="A1607" s="214"/>
      <c r="B1607" s="237">
        <v>1</v>
      </c>
      <c r="C1607" s="237">
        <v>3</v>
      </c>
      <c r="D1607" s="238" t="s">
        <v>2022</v>
      </c>
      <c r="E1607" s="238" t="s">
        <v>1928</v>
      </c>
      <c r="F1607" s="238" t="s">
        <v>1836</v>
      </c>
      <c r="G1607" s="238" t="s">
        <v>92</v>
      </c>
      <c r="H1607" s="239" t="s">
        <v>3460</v>
      </c>
      <c r="I1607" s="217"/>
      <c r="J1607" s="217"/>
      <c r="K1607" s="217"/>
      <c r="L1607" s="217"/>
      <c r="M1607" s="217"/>
      <c r="N1607" s="217"/>
      <c r="O1607" s="217"/>
      <c r="P1607" s="217"/>
    </row>
    <row r="1608" spans="1:16" s="219" customFormat="1" ht="45" hidden="1" x14ac:dyDescent="0.25">
      <c r="A1608" s="214"/>
      <c r="B1608" s="237">
        <v>1</v>
      </c>
      <c r="C1608" s="237">
        <v>3</v>
      </c>
      <c r="D1608" s="238" t="s">
        <v>2022</v>
      </c>
      <c r="E1608" s="238" t="s">
        <v>1928</v>
      </c>
      <c r="F1608" s="238" t="s">
        <v>1836</v>
      </c>
      <c r="G1608" s="238" t="s">
        <v>96</v>
      </c>
      <c r="H1608" s="239" t="s">
        <v>3461</v>
      </c>
      <c r="I1608" s="217"/>
      <c r="J1608" s="217"/>
      <c r="K1608" s="217"/>
      <c r="L1608" s="217"/>
      <c r="M1608" s="217"/>
      <c r="N1608" s="217"/>
      <c r="O1608" s="217"/>
      <c r="P1608" s="217"/>
    </row>
    <row r="1609" spans="1:16" s="219" customFormat="1" ht="45" hidden="1" x14ac:dyDescent="0.25">
      <c r="A1609" s="214"/>
      <c r="B1609" s="237">
        <v>1</v>
      </c>
      <c r="C1609" s="237">
        <v>3</v>
      </c>
      <c r="D1609" s="238" t="s">
        <v>2022</v>
      </c>
      <c r="E1609" s="238" t="s">
        <v>1928</v>
      </c>
      <c r="F1609" s="238" t="s">
        <v>1836</v>
      </c>
      <c r="G1609" s="238" t="s">
        <v>100</v>
      </c>
      <c r="H1609" s="239" t="s">
        <v>3462</v>
      </c>
      <c r="I1609" s="217"/>
      <c r="J1609" s="217"/>
      <c r="K1609" s="217"/>
      <c r="L1609" s="217"/>
      <c r="M1609" s="217"/>
      <c r="N1609" s="217"/>
      <c r="O1609" s="217"/>
      <c r="P1609" s="217"/>
    </row>
    <row r="1610" spans="1:16" s="219" customFormat="1" ht="45" hidden="1" x14ac:dyDescent="0.25">
      <c r="A1610" s="214"/>
      <c r="B1610" s="237">
        <v>1</v>
      </c>
      <c r="C1610" s="237">
        <v>3</v>
      </c>
      <c r="D1610" s="238" t="s">
        <v>2022</v>
      </c>
      <c r="E1610" s="238" t="s">
        <v>1928</v>
      </c>
      <c r="F1610" s="238" t="s">
        <v>1836</v>
      </c>
      <c r="G1610" s="238" t="s">
        <v>105</v>
      </c>
      <c r="H1610" s="239" t="s">
        <v>3463</v>
      </c>
      <c r="I1610" s="217"/>
      <c r="J1610" s="217"/>
      <c r="K1610" s="217"/>
      <c r="L1610" s="217"/>
      <c r="M1610" s="217"/>
      <c r="N1610" s="217"/>
      <c r="O1610" s="217"/>
      <c r="P1610" s="217"/>
    </row>
    <row r="1611" spans="1:16" s="219" customFormat="1" ht="45" hidden="1" x14ac:dyDescent="0.25">
      <c r="A1611" s="214"/>
      <c r="B1611" s="237">
        <v>1</v>
      </c>
      <c r="C1611" s="237">
        <v>3</v>
      </c>
      <c r="D1611" s="238" t="s">
        <v>2022</v>
      </c>
      <c r="E1611" s="238" t="s">
        <v>1928</v>
      </c>
      <c r="F1611" s="238" t="s">
        <v>1836</v>
      </c>
      <c r="G1611" s="238" t="s">
        <v>108</v>
      </c>
      <c r="H1611" s="239" t="s">
        <v>3464</v>
      </c>
      <c r="I1611" s="217"/>
      <c r="J1611" s="217"/>
      <c r="K1611" s="217"/>
      <c r="L1611" s="217"/>
      <c r="M1611" s="217"/>
      <c r="N1611" s="217"/>
      <c r="O1611" s="217"/>
      <c r="P1611" s="217"/>
    </row>
    <row r="1612" spans="1:16" s="219" customFormat="1" ht="45" hidden="1" x14ac:dyDescent="0.25">
      <c r="A1612" s="214"/>
      <c r="B1612" s="237">
        <v>1</v>
      </c>
      <c r="C1612" s="237">
        <v>3</v>
      </c>
      <c r="D1612" s="238" t="s">
        <v>2022</v>
      </c>
      <c r="E1612" s="238" t="s">
        <v>1928</v>
      </c>
      <c r="F1612" s="238" t="s">
        <v>1836</v>
      </c>
      <c r="G1612" s="238" t="s">
        <v>135</v>
      </c>
      <c r="H1612" s="239" t="s">
        <v>3465</v>
      </c>
      <c r="I1612" s="217"/>
      <c r="J1612" s="217"/>
      <c r="K1612" s="217"/>
      <c r="L1612" s="217"/>
      <c r="M1612" s="217"/>
      <c r="N1612" s="217"/>
      <c r="O1612" s="217"/>
      <c r="P1612" s="217"/>
    </row>
    <row r="1613" spans="1:16" s="219" customFormat="1" ht="45" hidden="1" x14ac:dyDescent="0.25">
      <c r="A1613" s="214"/>
      <c r="B1613" s="237">
        <v>1</v>
      </c>
      <c r="C1613" s="237">
        <v>3</v>
      </c>
      <c r="D1613" s="238" t="s">
        <v>2022</v>
      </c>
      <c r="E1613" s="238" t="s">
        <v>1928</v>
      </c>
      <c r="F1613" s="238" t="s">
        <v>1836</v>
      </c>
      <c r="G1613" s="238" t="s">
        <v>138</v>
      </c>
      <c r="H1613" s="239" t="s">
        <v>3466</v>
      </c>
      <c r="I1613" s="217"/>
      <c r="J1613" s="217"/>
      <c r="K1613" s="217"/>
      <c r="L1613" s="217"/>
      <c r="M1613" s="217"/>
      <c r="N1613" s="217"/>
      <c r="O1613" s="217"/>
      <c r="P1613" s="217"/>
    </row>
    <row r="1614" spans="1:16" s="219" customFormat="1" ht="45" hidden="1" x14ac:dyDescent="0.25">
      <c r="A1614" s="214"/>
      <c r="B1614" s="237">
        <v>1</v>
      </c>
      <c r="C1614" s="237">
        <v>3</v>
      </c>
      <c r="D1614" s="238" t="s">
        <v>2022</v>
      </c>
      <c r="E1614" s="238" t="s">
        <v>1928</v>
      </c>
      <c r="F1614" s="238" t="s">
        <v>1836</v>
      </c>
      <c r="G1614" s="238" t="s">
        <v>140</v>
      </c>
      <c r="H1614" s="239" t="s">
        <v>3467</v>
      </c>
      <c r="I1614" s="217"/>
      <c r="J1614" s="217"/>
      <c r="K1614" s="217"/>
      <c r="L1614" s="217"/>
      <c r="M1614" s="217"/>
      <c r="N1614" s="217"/>
      <c r="O1614" s="217"/>
      <c r="P1614" s="217"/>
    </row>
    <row r="1615" spans="1:16" s="219" customFormat="1" ht="45" hidden="1" x14ac:dyDescent="0.25">
      <c r="A1615" s="214"/>
      <c r="B1615" s="237">
        <v>1</v>
      </c>
      <c r="C1615" s="237">
        <v>3</v>
      </c>
      <c r="D1615" s="238" t="s">
        <v>2022</v>
      </c>
      <c r="E1615" s="238" t="s">
        <v>1928</v>
      </c>
      <c r="F1615" s="238" t="s">
        <v>1836</v>
      </c>
      <c r="G1615" s="238" t="s">
        <v>143</v>
      </c>
      <c r="H1615" s="239" t="s">
        <v>3468</v>
      </c>
      <c r="I1615" s="217"/>
      <c r="J1615" s="217"/>
      <c r="K1615" s="217"/>
      <c r="L1615" s="217"/>
      <c r="M1615" s="217"/>
      <c r="N1615" s="217"/>
      <c r="O1615" s="217"/>
      <c r="P1615" s="217"/>
    </row>
    <row r="1616" spans="1:16" s="219" customFormat="1" ht="45" hidden="1" x14ac:dyDescent="0.25">
      <c r="A1616" s="214"/>
      <c r="B1616" s="237">
        <v>1</v>
      </c>
      <c r="C1616" s="237">
        <v>3</v>
      </c>
      <c r="D1616" s="238" t="s">
        <v>2022</v>
      </c>
      <c r="E1616" s="238" t="s">
        <v>1928</v>
      </c>
      <c r="F1616" s="238" t="s">
        <v>1836</v>
      </c>
      <c r="G1616" s="238" t="s">
        <v>146</v>
      </c>
      <c r="H1616" s="239" t="s">
        <v>3469</v>
      </c>
      <c r="I1616" s="217"/>
      <c r="J1616" s="217"/>
      <c r="K1616" s="217"/>
      <c r="L1616" s="217"/>
      <c r="M1616" s="217"/>
      <c r="N1616" s="217"/>
      <c r="O1616" s="217"/>
      <c r="P1616" s="217"/>
    </row>
    <row r="1617" spans="1:16" s="219" customFormat="1" ht="60" hidden="1" x14ac:dyDescent="0.25">
      <c r="A1617" s="214"/>
      <c r="B1617" s="237">
        <v>1</v>
      </c>
      <c r="C1617" s="237">
        <v>3</v>
      </c>
      <c r="D1617" s="238" t="s">
        <v>2022</v>
      </c>
      <c r="E1617" s="238" t="s">
        <v>1928</v>
      </c>
      <c r="F1617" s="238" t="s">
        <v>1836</v>
      </c>
      <c r="G1617" s="238" t="s">
        <v>150</v>
      </c>
      <c r="H1617" s="239" t="s">
        <v>3470</v>
      </c>
      <c r="I1617" s="217"/>
      <c r="J1617" s="217"/>
      <c r="K1617" s="217"/>
      <c r="L1617" s="217"/>
      <c r="M1617" s="217"/>
      <c r="N1617" s="217"/>
      <c r="O1617" s="217"/>
      <c r="P1617" s="217"/>
    </row>
    <row r="1618" spans="1:16" s="219" customFormat="1" ht="60" hidden="1" x14ac:dyDescent="0.25">
      <c r="A1618" s="214"/>
      <c r="B1618" s="237">
        <v>1</v>
      </c>
      <c r="C1618" s="237">
        <v>3</v>
      </c>
      <c r="D1618" s="238" t="s">
        <v>2022</v>
      </c>
      <c r="E1618" s="238" t="s">
        <v>1928</v>
      </c>
      <c r="F1618" s="238" t="s">
        <v>1836</v>
      </c>
      <c r="G1618" s="238" t="s">
        <v>153</v>
      </c>
      <c r="H1618" s="239" t="s">
        <v>3471</v>
      </c>
      <c r="I1618" s="217"/>
      <c r="J1618" s="217"/>
      <c r="K1618" s="217"/>
      <c r="L1618" s="217"/>
      <c r="M1618" s="217"/>
      <c r="N1618" s="217"/>
      <c r="O1618" s="217"/>
      <c r="P1618" s="217"/>
    </row>
    <row r="1619" spans="1:16" s="219" customFormat="1" ht="60" hidden="1" x14ac:dyDescent="0.25">
      <c r="A1619" s="214"/>
      <c r="B1619" s="237">
        <v>1</v>
      </c>
      <c r="C1619" s="237">
        <v>3</v>
      </c>
      <c r="D1619" s="238" t="s">
        <v>2022</v>
      </c>
      <c r="E1619" s="238" t="s">
        <v>1928</v>
      </c>
      <c r="F1619" s="238" t="s">
        <v>1836</v>
      </c>
      <c r="G1619" s="238" t="s">
        <v>156</v>
      </c>
      <c r="H1619" s="239" t="s">
        <v>3472</v>
      </c>
      <c r="I1619" s="217"/>
      <c r="J1619" s="217"/>
      <c r="K1619" s="217"/>
      <c r="L1619" s="217"/>
      <c r="M1619" s="217"/>
      <c r="N1619" s="217"/>
      <c r="O1619" s="217"/>
      <c r="P1619" s="217"/>
    </row>
    <row r="1620" spans="1:16" s="219" customFormat="1" ht="60" hidden="1" x14ac:dyDescent="0.25">
      <c r="A1620" s="214"/>
      <c r="B1620" s="237">
        <v>1</v>
      </c>
      <c r="C1620" s="237">
        <v>3</v>
      </c>
      <c r="D1620" s="238" t="s">
        <v>2022</v>
      </c>
      <c r="E1620" s="238" t="s">
        <v>1928</v>
      </c>
      <c r="F1620" s="238" t="s">
        <v>1836</v>
      </c>
      <c r="G1620" s="238" t="s">
        <v>159</v>
      </c>
      <c r="H1620" s="239" t="s">
        <v>3473</v>
      </c>
      <c r="I1620" s="217"/>
      <c r="J1620" s="217"/>
      <c r="K1620" s="217"/>
      <c r="L1620" s="217"/>
      <c r="M1620" s="217"/>
      <c r="N1620" s="217"/>
      <c r="O1620" s="217"/>
      <c r="P1620" s="217"/>
    </row>
    <row r="1621" spans="1:16" s="219" customFormat="1" ht="60" hidden="1" x14ac:dyDescent="0.25">
      <c r="A1621" s="214"/>
      <c r="B1621" s="237">
        <v>1</v>
      </c>
      <c r="C1621" s="237">
        <v>3</v>
      </c>
      <c r="D1621" s="238" t="s">
        <v>2022</v>
      </c>
      <c r="E1621" s="238" t="s">
        <v>1928</v>
      </c>
      <c r="F1621" s="238" t="s">
        <v>1836</v>
      </c>
      <c r="G1621" s="238" t="s">
        <v>162</v>
      </c>
      <c r="H1621" s="239" t="s">
        <v>3474</v>
      </c>
      <c r="I1621" s="217"/>
      <c r="J1621" s="217"/>
      <c r="K1621" s="217"/>
      <c r="L1621" s="217"/>
      <c r="M1621" s="217"/>
      <c r="N1621" s="217"/>
      <c r="O1621" s="217"/>
      <c r="P1621" s="217"/>
    </row>
    <row r="1622" spans="1:16" s="219" customFormat="1" ht="60" hidden="1" x14ac:dyDescent="0.25">
      <c r="A1622" s="214"/>
      <c r="B1622" s="237">
        <v>1</v>
      </c>
      <c r="C1622" s="237">
        <v>3</v>
      </c>
      <c r="D1622" s="238" t="s">
        <v>2022</v>
      </c>
      <c r="E1622" s="238" t="s">
        <v>1928</v>
      </c>
      <c r="F1622" s="238" t="s">
        <v>1836</v>
      </c>
      <c r="G1622" s="238" t="s">
        <v>312</v>
      </c>
      <c r="H1622" s="239" t="s">
        <v>3475</v>
      </c>
      <c r="I1622" s="217"/>
      <c r="J1622" s="217"/>
      <c r="K1622" s="217"/>
      <c r="L1622" s="217"/>
      <c r="M1622" s="217"/>
      <c r="N1622" s="217"/>
      <c r="O1622" s="217"/>
      <c r="P1622" s="217"/>
    </row>
    <row r="1623" spans="1:16" s="219" customFormat="1" ht="60" hidden="1" x14ac:dyDescent="0.25">
      <c r="A1623" s="214"/>
      <c r="B1623" s="237">
        <v>1</v>
      </c>
      <c r="C1623" s="237">
        <v>3</v>
      </c>
      <c r="D1623" s="238" t="s">
        <v>2022</v>
      </c>
      <c r="E1623" s="238" t="s">
        <v>1928</v>
      </c>
      <c r="F1623" s="238" t="s">
        <v>1836</v>
      </c>
      <c r="G1623" s="238" t="s">
        <v>313</v>
      </c>
      <c r="H1623" s="239" t="s">
        <v>3476</v>
      </c>
      <c r="I1623" s="217"/>
      <c r="J1623" s="217"/>
      <c r="K1623" s="217"/>
      <c r="L1623" s="217"/>
      <c r="M1623" s="217"/>
      <c r="N1623" s="217"/>
      <c r="O1623" s="217"/>
      <c r="P1623" s="217"/>
    </row>
    <row r="1624" spans="1:16" s="219" customFormat="1" ht="60" hidden="1" x14ac:dyDescent="0.25">
      <c r="A1624" s="214"/>
      <c r="B1624" s="237">
        <v>1</v>
      </c>
      <c r="C1624" s="237">
        <v>3</v>
      </c>
      <c r="D1624" s="238" t="s">
        <v>2022</v>
      </c>
      <c r="E1624" s="238" t="s">
        <v>1928</v>
      </c>
      <c r="F1624" s="238" t="s">
        <v>1836</v>
      </c>
      <c r="G1624" s="238" t="s">
        <v>559</v>
      </c>
      <c r="H1624" s="239" t="s">
        <v>3477</v>
      </c>
      <c r="I1624" s="217"/>
      <c r="J1624" s="217"/>
      <c r="K1624" s="217"/>
      <c r="L1624" s="217"/>
      <c r="M1624" s="217"/>
      <c r="N1624" s="217"/>
      <c r="O1624" s="217"/>
      <c r="P1624" s="217"/>
    </row>
    <row r="1625" spans="1:16" s="219" customFormat="1" ht="60" hidden="1" x14ac:dyDescent="0.25">
      <c r="A1625" s="214"/>
      <c r="B1625" s="237">
        <v>1</v>
      </c>
      <c r="C1625" s="237">
        <v>3</v>
      </c>
      <c r="D1625" s="238" t="s">
        <v>2022</v>
      </c>
      <c r="E1625" s="238" t="s">
        <v>1928</v>
      </c>
      <c r="F1625" s="238" t="s">
        <v>1836</v>
      </c>
      <c r="G1625" s="238" t="s">
        <v>561</v>
      </c>
      <c r="H1625" s="239" t="s">
        <v>3478</v>
      </c>
      <c r="I1625" s="217"/>
      <c r="J1625" s="217"/>
      <c r="K1625" s="217"/>
      <c r="L1625" s="217"/>
      <c r="M1625" s="217"/>
      <c r="N1625" s="217"/>
      <c r="O1625" s="217"/>
      <c r="P1625" s="217"/>
    </row>
    <row r="1626" spans="1:16" s="219" customFormat="1" ht="75" hidden="1" x14ac:dyDescent="0.25">
      <c r="A1626" s="214"/>
      <c r="B1626" s="237">
        <v>1</v>
      </c>
      <c r="C1626" s="237">
        <v>3</v>
      </c>
      <c r="D1626" s="238" t="s">
        <v>2022</v>
      </c>
      <c r="E1626" s="238" t="s">
        <v>1928</v>
      </c>
      <c r="F1626" s="238" t="s">
        <v>1836</v>
      </c>
      <c r="G1626" s="238" t="s">
        <v>563</v>
      </c>
      <c r="H1626" s="239" t="s">
        <v>3479</v>
      </c>
      <c r="I1626" s="217"/>
      <c r="J1626" s="217"/>
      <c r="K1626" s="217"/>
      <c r="L1626" s="217"/>
      <c r="M1626" s="217"/>
      <c r="N1626" s="217"/>
      <c r="O1626" s="217"/>
      <c r="P1626" s="217"/>
    </row>
    <row r="1627" spans="1:16" s="219" customFormat="1" ht="75" hidden="1" x14ac:dyDescent="0.25">
      <c r="A1627" s="214"/>
      <c r="B1627" s="237">
        <v>1</v>
      </c>
      <c r="C1627" s="237">
        <v>3</v>
      </c>
      <c r="D1627" s="238" t="s">
        <v>2022</v>
      </c>
      <c r="E1627" s="238" t="s">
        <v>1928</v>
      </c>
      <c r="F1627" s="238" t="s">
        <v>1836</v>
      </c>
      <c r="G1627" s="238" t="s">
        <v>227</v>
      </c>
      <c r="H1627" s="239" t="s">
        <v>3480</v>
      </c>
      <c r="I1627" s="217"/>
      <c r="J1627" s="217"/>
      <c r="K1627" s="217"/>
      <c r="L1627" s="217"/>
      <c r="M1627" s="217"/>
      <c r="N1627" s="217"/>
      <c r="O1627" s="217"/>
      <c r="P1627" s="217"/>
    </row>
    <row r="1628" spans="1:16" s="219" customFormat="1" ht="75" hidden="1" x14ac:dyDescent="0.25">
      <c r="A1628" s="214"/>
      <c r="B1628" s="237">
        <v>1</v>
      </c>
      <c r="C1628" s="237">
        <v>3</v>
      </c>
      <c r="D1628" s="238" t="s">
        <v>2022</v>
      </c>
      <c r="E1628" s="238" t="s">
        <v>1928</v>
      </c>
      <c r="F1628" s="238" t="s">
        <v>1836</v>
      </c>
      <c r="G1628" s="238" t="s">
        <v>230</v>
      </c>
      <c r="H1628" s="239" t="s">
        <v>3481</v>
      </c>
      <c r="I1628" s="217"/>
      <c r="J1628" s="217"/>
      <c r="K1628" s="217"/>
      <c r="L1628" s="217"/>
      <c r="M1628" s="217"/>
      <c r="N1628" s="217"/>
      <c r="O1628" s="217"/>
      <c r="P1628" s="217"/>
    </row>
    <row r="1629" spans="1:16" s="219" customFormat="1" ht="75" hidden="1" x14ac:dyDescent="0.25">
      <c r="A1629" s="214"/>
      <c r="B1629" s="237">
        <v>1</v>
      </c>
      <c r="C1629" s="237">
        <v>3</v>
      </c>
      <c r="D1629" s="238" t="s">
        <v>2022</v>
      </c>
      <c r="E1629" s="238" t="s">
        <v>1928</v>
      </c>
      <c r="F1629" s="238" t="s">
        <v>1836</v>
      </c>
      <c r="G1629" s="238" t="s">
        <v>232</v>
      </c>
      <c r="H1629" s="239" t="s">
        <v>3482</v>
      </c>
      <c r="I1629" s="217"/>
      <c r="J1629" s="217"/>
      <c r="K1629" s="217"/>
      <c r="L1629" s="217"/>
      <c r="M1629" s="217"/>
      <c r="N1629" s="217"/>
      <c r="O1629" s="217"/>
      <c r="P1629" s="217"/>
    </row>
    <row r="1630" spans="1:16" s="219" customFormat="1" ht="75" hidden="1" x14ac:dyDescent="0.25">
      <c r="A1630" s="214"/>
      <c r="B1630" s="237">
        <v>1</v>
      </c>
      <c r="C1630" s="237">
        <v>3</v>
      </c>
      <c r="D1630" s="238" t="s">
        <v>2022</v>
      </c>
      <c r="E1630" s="238" t="s">
        <v>1928</v>
      </c>
      <c r="F1630" s="238" t="s">
        <v>1836</v>
      </c>
      <c r="G1630" s="238" t="s">
        <v>234</v>
      </c>
      <c r="H1630" s="239" t="s">
        <v>3483</v>
      </c>
      <c r="I1630" s="217"/>
      <c r="J1630" s="217"/>
      <c r="K1630" s="217"/>
      <c r="L1630" s="217"/>
      <c r="M1630" s="217"/>
      <c r="N1630" s="217"/>
      <c r="O1630" s="217"/>
      <c r="P1630" s="217"/>
    </row>
    <row r="1631" spans="1:16" s="219" customFormat="1" ht="75" hidden="1" x14ac:dyDescent="0.25">
      <c r="A1631" s="214"/>
      <c r="B1631" s="237">
        <v>1</v>
      </c>
      <c r="C1631" s="237">
        <v>3</v>
      </c>
      <c r="D1631" s="238" t="s">
        <v>2022</v>
      </c>
      <c r="E1631" s="238" t="s">
        <v>1928</v>
      </c>
      <c r="F1631" s="238" t="s">
        <v>1836</v>
      </c>
      <c r="G1631" s="238" t="s">
        <v>236</v>
      </c>
      <c r="H1631" s="239" t="s">
        <v>3484</v>
      </c>
      <c r="I1631" s="217"/>
      <c r="J1631" s="217"/>
      <c r="K1631" s="217"/>
      <c r="L1631" s="217"/>
      <c r="M1631" s="217"/>
      <c r="N1631" s="217"/>
      <c r="O1631" s="217"/>
      <c r="P1631" s="217"/>
    </row>
    <row r="1632" spans="1:16" s="219" customFormat="1" ht="90" hidden="1" x14ac:dyDescent="0.25">
      <c r="A1632" s="214"/>
      <c r="B1632" s="237">
        <v>1</v>
      </c>
      <c r="C1632" s="237">
        <v>3</v>
      </c>
      <c r="D1632" s="238" t="s">
        <v>2022</v>
      </c>
      <c r="E1632" s="238" t="s">
        <v>1928</v>
      </c>
      <c r="F1632" s="238" t="s">
        <v>1836</v>
      </c>
      <c r="G1632" s="238" t="s">
        <v>238</v>
      </c>
      <c r="H1632" s="239" t="s">
        <v>3485</v>
      </c>
      <c r="I1632" s="217"/>
      <c r="J1632" s="217"/>
      <c r="K1632" s="217"/>
      <c r="L1632" s="217"/>
      <c r="M1632" s="217"/>
      <c r="N1632" s="217"/>
      <c r="O1632" s="217"/>
      <c r="P1632" s="217"/>
    </row>
    <row r="1633" spans="1:16" s="219" customFormat="1" ht="60" hidden="1" x14ac:dyDescent="0.25">
      <c r="A1633" s="214"/>
      <c r="B1633" s="237">
        <v>1</v>
      </c>
      <c r="C1633" s="237">
        <v>3</v>
      </c>
      <c r="D1633" s="238" t="s">
        <v>2022</v>
      </c>
      <c r="E1633" s="238" t="s">
        <v>1928</v>
      </c>
      <c r="F1633" s="238" t="s">
        <v>1836</v>
      </c>
      <c r="G1633" s="238" t="s">
        <v>240</v>
      </c>
      <c r="H1633" s="239" t="s">
        <v>3486</v>
      </c>
      <c r="I1633" s="217"/>
      <c r="J1633" s="217"/>
      <c r="K1633" s="217"/>
      <c r="L1633" s="217"/>
      <c r="M1633" s="217"/>
      <c r="N1633" s="217"/>
      <c r="O1633" s="217"/>
      <c r="P1633" s="217"/>
    </row>
    <row r="1634" spans="1:16" s="219" customFormat="1" ht="75" hidden="1" x14ac:dyDescent="0.25">
      <c r="A1634" s="214"/>
      <c r="B1634" s="237">
        <v>1</v>
      </c>
      <c r="C1634" s="237">
        <v>3</v>
      </c>
      <c r="D1634" s="238" t="s">
        <v>2022</v>
      </c>
      <c r="E1634" s="238" t="s">
        <v>1928</v>
      </c>
      <c r="F1634" s="238" t="s">
        <v>1836</v>
      </c>
      <c r="G1634" s="238" t="s">
        <v>242</v>
      </c>
      <c r="H1634" s="239" t="s">
        <v>3487</v>
      </c>
      <c r="I1634" s="217"/>
      <c r="J1634" s="217"/>
      <c r="K1634" s="217"/>
      <c r="L1634" s="217"/>
      <c r="M1634" s="217"/>
      <c r="N1634" s="217"/>
      <c r="O1634" s="217"/>
      <c r="P1634" s="217"/>
    </row>
    <row r="1635" spans="1:16" s="219" customFormat="1" ht="60" hidden="1" x14ac:dyDescent="0.25">
      <c r="A1635" s="214"/>
      <c r="B1635" s="237">
        <v>1</v>
      </c>
      <c r="C1635" s="237">
        <v>3</v>
      </c>
      <c r="D1635" s="238" t="s">
        <v>2022</v>
      </c>
      <c r="E1635" s="238" t="s">
        <v>1928</v>
      </c>
      <c r="F1635" s="238" t="s">
        <v>1836</v>
      </c>
      <c r="G1635" s="238" t="s">
        <v>244</v>
      </c>
      <c r="H1635" s="239" t="s">
        <v>3488</v>
      </c>
      <c r="I1635" s="217"/>
      <c r="J1635" s="217"/>
      <c r="K1635" s="217"/>
      <c r="L1635" s="217"/>
      <c r="M1635" s="217"/>
      <c r="N1635" s="217"/>
      <c r="O1635" s="217"/>
      <c r="P1635" s="217"/>
    </row>
    <row r="1636" spans="1:16" s="219" customFormat="1" ht="60" hidden="1" x14ac:dyDescent="0.25">
      <c r="A1636" s="214"/>
      <c r="B1636" s="237">
        <v>1</v>
      </c>
      <c r="C1636" s="237">
        <v>3</v>
      </c>
      <c r="D1636" s="238" t="s">
        <v>2022</v>
      </c>
      <c r="E1636" s="238" t="s">
        <v>1928</v>
      </c>
      <c r="F1636" s="238" t="s">
        <v>1836</v>
      </c>
      <c r="G1636" s="238" t="s">
        <v>246</v>
      </c>
      <c r="H1636" s="239" t="s">
        <v>3489</v>
      </c>
      <c r="I1636" s="217"/>
      <c r="J1636" s="217"/>
      <c r="K1636" s="217"/>
      <c r="L1636" s="217"/>
      <c r="M1636" s="217"/>
      <c r="N1636" s="217"/>
      <c r="O1636" s="217"/>
      <c r="P1636" s="217"/>
    </row>
    <row r="1637" spans="1:16" s="219" customFormat="1" ht="60" hidden="1" x14ac:dyDescent="0.25">
      <c r="A1637" s="214"/>
      <c r="B1637" s="237">
        <v>1</v>
      </c>
      <c r="C1637" s="237">
        <v>3</v>
      </c>
      <c r="D1637" s="238" t="s">
        <v>2022</v>
      </c>
      <c r="E1637" s="238" t="s">
        <v>1928</v>
      </c>
      <c r="F1637" s="238" t="s">
        <v>1836</v>
      </c>
      <c r="G1637" s="238" t="s">
        <v>407</v>
      </c>
      <c r="H1637" s="239" t="s">
        <v>3490</v>
      </c>
      <c r="I1637" s="217"/>
      <c r="J1637" s="217"/>
      <c r="K1637" s="217"/>
      <c r="L1637" s="217"/>
      <c r="M1637" s="217"/>
      <c r="N1637" s="217"/>
      <c r="O1637" s="217"/>
      <c r="P1637" s="217"/>
    </row>
    <row r="1638" spans="1:16" s="219" customFormat="1" ht="60" hidden="1" x14ac:dyDescent="0.25">
      <c r="A1638" s="214"/>
      <c r="B1638" s="237">
        <v>1</v>
      </c>
      <c r="C1638" s="237">
        <v>3</v>
      </c>
      <c r="D1638" s="238" t="s">
        <v>2022</v>
      </c>
      <c r="E1638" s="238" t="s">
        <v>1928</v>
      </c>
      <c r="F1638" s="238" t="s">
        <v>1836</v>
      </c>
      <c r="G1638" s="238" t="s">
        <v>408</v>
      </c>
      <c r="H1638" s="239" t="s">
        <v>3491</v>
      </c>
      <c r="I1638" s="217"/>
      <c r="J1638" s="217"/>
      <c r="K1638" s="217"/>
      <c r="L1638" s="217"/>
      <c r="M1638" s="217"/>
      <c r="N1638" s="217"/>
      <c r="O1638" s="217"/>
      <c r="P1638" s="217"/>
    </row>
    <row r="1639" spans="1:16" s="219" customFormat="1" ht="60" hidden="1" x14ac:dyDescent="0.25">
      <c r="A1639" s="214"/>
      <c r="B1639" s="237">
        <v>1</v>
      </c>
      <c r="C1639" s="237">
        <v>3</v>
      </c>
      <c r="D1639" s="238" t="s">
        <v>2022</v>
      </c>
      <c r="E1639" s="238" t="s">
        <v>1928</v>
      </c>
      <c r="F1639" s="238" t="s">
        <v>1836</v>
      </c>
      <c r="G1639" s="238" t="s">
        <v>409</v>
      </c>
      <c r="H1639" s="239" t="s">
        <v>3492</v>
      </c>
      <c r="I1639" s="217"/>
      <c r="J1639" s="217"/>
      <c r="K1639" s="217"/>
      <c r="L1639" s="217"/>
      <c r="M1639" s="217"/>
      <c r="N1639" s="217"/>
      <c r="O1639" s="217"/>
      <c r="P1639" s="217"/>
    </row>
    <row r="1640" spans="1:16" s="219" customFormat="1" ht="75" hidden="1" x14ac:dyDescent="0.25">
      <c r="A1640" s="214"/>
      <c r="B1640" s="237">
        <v>1</v>
      </c>
      <c r="C1640" s="237">
        <v>3</v>
      </c>
      <c r="D1640" s="238" t="s">
        <v>2022</v>
      </c>
      <c r="E1640" s="238" t="s">
        <v>1928</v>
      </c>
      <c r="F1640" s="238" t="s">
        <v>1836</v>
      </c>
      <c r="G1640" s="238" t="s">
        <v>788</v>
      </c>
      <c r="H1640" s="239" t="s">
        <v>3493</v>
      </c>
      <c r="I1640" s="217"/>
      <c r="J1640" s="217"/>
      <c r="K1640" s="217"/>
      <c r="L1640" s="217"/>
      <c r="M1640" s="217"/>
      <c r="N1640" s="217"/>
      <c r="O1640" s="217"/>
      <c r="P1640" s="217"/>
    </row>
    <row r="1641" spans="1:16" s="219" customFormat="1" ht="60" hidden="1" x14ac:dyDescent="0.25">
      <c r="A1641" s="214"/>
      <c r="B1641" s="237">
        <v>1</v>
      </c>
      <c r="C1641" s="237">
        <v>3</v>
      </c>
      <c r="D1641" s="238" t="s">
        <v>2022</v>
      </c>
      <c r="E1641" s="238" t="s">
        <v>1928</v>
      </c>
      <c r="F1641" s="238" t="s">
        <v>1836</v>
      </c>
      <c r="G1641" s="238" t="s">
        <v>1017</v>
      </c>
      <c r="H1641" s="239" t="s">
        <v>3494</v>
      </c>
      <c r="I1641" s="217"/>
      <c r="J1641" s="217"/>
      <c r="K1641" s="217"/>
      <c r="L1641" s="217"/>
      <c r="M1641" s="217"/>
      <c r="N1641" s="217"/>
      <c r="O1641" s="217"/>
      <c r="P1641" s="217"/>
    </row>
    <row r="1642" spans="1:16" s="219" customFormat="1" ht="60" hidden="1" x14ac:dyDescent="0.25">
      <c r="A1642" s="214"/>
      <c r="B1642" s="237">
        <v>1</v>
      </c>
      <c r="C1642" s="237">
        <v>3</v>
      </c>
      <c r="D1642" s="238" t="s">
        <v>2022</v>
      </c>
      <c r="E1642" s="238" t="s">
        <v>1928</v>
      </c>
      <c r="F1642" s="238" t="s">
        <v>1836</v>
      </c>
      <c r="G1642" s="238" t="s">
        <v>411</v>
      </c>
      <c r="H1642" s="239" t="s">
        <v>3495</v>
      </c>
      <c r="I1642" s="217"/>
      <c r="J1642" s="217"/>
      <c r="K1642" s="217"/>
      <c r="L1642" s="217"/>
      <c r="M1642" s="217"/>
      <c r="N1642" s="217"/>
      <c r="O1642" s="217"/>
      <c r="P1642" s="217"/>
    </row>
    <row r="1643" spans="1:16" s="219" customFormat="1" ht="60" hidden="1" x14ac:dyDescent="0.25">
      <c r="A1643" s="214"/>
      <c r="B1643" s="237">
        <v>1</v>
      </c>
      <c r="C1643" s="237">
        <v>3</v>
      </c>
      <c r="D1643" s="238" t="s">
        <v>2022</v>
      </c>
      <c r="E1643" s="238" t="s">
        <v>1928</v>
      </c>
      <c r="F1643" s="238" t="s">
        <v>1836</v>
      </c>
      <c r="G1643" s="238" t="s">
        <v>247</v>
      </c>
      <c r="H1643" s="239" t="s">
        <v>3496</v>
      </c>
      <c r="I1643" s="217"/>
      <c r="J1643" s="217"/>
      <c r="K1643" s="217"/>
      <c r="L1643" s="217"/>
      <c r="M1643" s="217"/>
      <c r="N1643" s="217"/>
      <c r="O1643" s="217"/>
      <c r="P1643" s="217"/>
    </row>
    <row r="1644" spans="1:16" s="219" customFormat="1" ht="60" hidden="1" x14ac:dyDescent="0.25">
      <c r="A1644" s="214"/>
      <c r="B1644" s="237">
        <v>1</v>
      </c>
      <c r="C1644" s="237">
        <v>3</v>
      </c>
      <c r="D1644" s="238" t="s">
        <v>2022</v>
      </c>
      <c r="E1644" s="238" t="s">
        <v>1928</v>
      </c>
      <c r="F1644" s="238" t="s">
        <v>1836</v>
      </c>
      <c r="G1644" s="238" t="s">
        <v>1019</v>
      </c>
      <c r="H1644" s="239" t="s">
        <v>3497</v>
      </c>
      <c r="I1644" s="217"/>
      <c r="J1644" s="217"/>
      <c r="K1644" s="217"/>
      <c r="L1644" s="217"/>
      <c r="M1644" s="217"/>
      <c r="N1644" s="217"/>
      <c r="O1644" s="217"/>
      <c r="P1644" s="217"/>
    </row>
    <row r="1645" spans="1:16" s="219" customFormat="1" ht="60" hidden="1" x14ac:dyDescent="0.25">
      <c r="A1645" s="214"/>
      <c r="B1645" s="237">
        <v>1</v>
      </c>
      <c r="C1645" s="237">
        <v>3</v>
      </c>
      <c r="D1645" s="238" t="s">
        <v>2022</v>
      </c>
      <c r="E1645" s="238" t="s">
        <v>1928</v>
      </c>
      <c r="F1645" s="238" t="s">
        <v>1836</v>
      </c>
      <c r="G1645" s="238" t="s">
        <v>1022</v>
      </c>
      <c r="H1645" s="239" t="s">
        <v>3498</v>
      </c>
      <c r="I1645" s="217"/>
      <c r="J1645" s="217"/>
      <c r="K1645" s="217"/>
      <c r="L1645" s="217"/>
      <c r="M1645" s="217"/>
      <c r="N1645" s="217"/>
      <c r="O1645" s="217"/>
      <c r="P1645" s="217"/>
    </row>
    <row r="1646" spans="1:16" s="219" customFormat="1" ht="60" hidden="1" x14ac:dyDescent="0.25">
      <c r="A1646" s="214"/>
      <c r="B1646" s="237">
        <v>1</v>
      </c>
      <c r="C1646" s="237">
        <v>3</v>
      </c>
      <c r="D1646" s="238" t="s">
        <v>2022</v>
      </c>
      <c r="E1646" s="238" t="s">
        <v>1928</v>
      </c>
      <c r="F1646" s="238" t="s">
        <v>1836</v>
      </c>
      <c r="G1646" s="238" t="s">
        <v>1024</v>
      </c>
      <c r="H1646" s="239" t="s">
        <v>3499</v>
      </c>
      <c r="I1646" s="217"/>
      <c r="J1646" s="217"/>
      <c r="K1646" s="217"/>
      <c r="L1646" s="217"/>
      <c r="M1646" s="217"/>
      <c r="N1646" s="217"/>
      <c r="O1646" s="217"/>
      <c r="P1646" s="217"/>
    </row>
    <row r="1647" spans="1:16" s="219" customFormat="1" ht="45" hidden="1" x14ac:dyDescent="0.25">
      <c r="A1647" s="214"/>
      <c r="B1647" s="237">
        <v>1</v>
      </c>
      <c r="C1647" s="237">
        <v>3</v>
      </c>
      <c r="D1647" s="238" t="s">
        <v>2022</v>
      </c>
      <c r="E1647" s="238" t="s">
        <v>1928</v>
      </c>
      <c r="F1647" s="238" t="s">
        <v>1836</v>
      </c>
      <c r="G1647" s="238" t="s">
        <v>1026</v>
      </c>
      <c r="H1647" s="239" t="s">
        <v>3500</v>
      </c>
      <c r="I1647" s="217"/>
      <c r="J1647" s="217"/>
      <c r="K1647" s="217"/>
      <c r="L1647" s="217"/>
      <c r="M1647" s="217"/>
      <c r="N1647" s="217"/>
      <c r="O1647" s="217"/>
      <c r="P1647" s="217"/>
    </row>
    <row r="1648" spans="1:16" s="219" customFormat="1" ht="45" hidden="1" x14ac:dyDescent="0.25">
      <c r="A1648" s="214"/>
      <c r="B1648" s="237">
        <v>1</v>
      </c>
      <c r="C1648" s="237">
        <v>3</v>
      </c>
      <c r="D1648" s="238" t="s">
        <v>2022</v>
      </c>
      <c r="E1648" s="238" t="s">
        <v>1928</v>
      </c>
      <c r="F1648" s="238" t="s">
        <v>1836</v>
      </c>
      <c r="G1648" s="238" t="s">
        <v>416</v>
      </c>
      <c r="H1648" s="239" t="s">
        <v>3501</v>
      </c>
      <c r="I1648" s="217"/>
      <c r="J1648" s="217"/>
      <c r="K1648" s="217"/>
      <c r="L1648" s="217"/>
      <c r="M1648" s="217"/>
      <c r="N1648" s="217"/>
      <c r="O1648" s="217"/>
      <c r="P1648" s="217"/>
    </row>
    <row r="1649" spans="1:16" s="219" customFormat="1" ht="45" hidden="1" x14ac:dyDescent="0.25">
      <c r="A1649" s="214"/>
      <c r="B1649" s="237">
        <v>1</v>
      </c>
      <c r="C1649" s="237">
        <v>3</v>
      </c>
      <c r="D1649" s="238" t="s">
        <v>2022</v>
      </c>
      <c r="E1649" s="238" t="s">
        <v>1928</v>
      </c>
      <c r="F1649" s="238" t="s">
        <v>1836</v>
      </c>
      <c r="G1649" s="238" t="s">
        <v>417</v>
      </c>
      <c r="H1649" s="239" t="s">
        <v>3502</v>
      </c>
      <c r="I1649" s="217"/>
      <c r="J1649" s="217"/>
      <c r="K1649" s="217"/>
      <c r="L1649" s="217"/>
      <c r="M1649" s="217"/>
      <c r="N1649" s="217"/>
      <c r="O1649" s="217"/>
      <c r="P1649" s="217"/>
    </row>
    <row r="1650" spans="1:16" s="219" customFormat="1" ht="45" hidden="1" x14ac:dyDescent="0.25">
      <c r="A1650" s="214"/>
      <c r="B1650" s="237">
        <v>1</v>
      </c>
      <c r="C1650" s="237">
        <v>3</v>
      </c>
      <c r="D1650" s="238" t="s">
        <v>2022</v>
      </c>
      <c r="E1650" s="238" t="s">
        <v>1928</v>
      </c>
      <c r="F1650" s="238" t="s">
        <v>1836</v>
      </c>
      <c r="G1650" s="238" t="s">
        <v>1028</v>
      </c>
      <c r="H1650" s="239" t="s">
        <v>3503</v>
      </c>
      <c r="I1650" s="217"/>
      <c r="J1650" s="217"/>
      <c r="K1650" s="217"/>
      <c r="L1650" s="217"/>
      <c r="M1650" s="217"/>
      <c r="N1650" s="217"/>
      <c r="O1650" s="217"/>
      <c r="P1650" s="217"/>
    </row>
    <row r="1651" spans="1:16" s="219" customFormat="1" ht="45" hidden="1" x14ac:dyDescent="0.25">
      <c r="A1651" s="214"/>
      <c r="B1651" s="237">
        <v>1</v>
      </c>
      <c r="C1651" s="237">
        <v>3</v>
      </c>
      <c r="D1651" s="238" t="s">
        <v>2022</v>
      </c>
      <c r="E1651" s="238" t="s">
        <v>1928</v>
      </c>
      <c r="F1651" s="238" t="s">
        <v>1836</v>
      </c>
      <c r="G1651" s="238" t="s">
        <v>1029</v>
      </c>
      <c r="H1651" s="239" t="s">
        <v>3504</v>
      </c>
      <c r="I1651" s="217"/>
      <c r="J1651" s="217"/>
      <c r="K1651" s="217"/>
      <c r="L1651" s="217"/>
      <c r="M1651" s="217"/>
      <c r="N1651" s="217"/>
      <c r="O1651" s="217"/>
      <c r="P1651" s="217"/>
    </row>
    <row r="1652" spans="1:16" s="219" customFormat="1" ht="45" hidden="1" x14ac:dyDescent="0.25">
      <c r="A1652" s="214"/>
      <c r="B1652" s="237">
        <v>1</v>
      </c>
      <c r="C1652" s="237">
        <v>3</v>
      </c>
      <c r="D1652" s="238" t="s">
        <v>2022</v>
      </c>
      <c r="E1652" s="238" t="s">
        <v>1928</v>
      </c>
      <c r="F1652" s="238" t="s">
        <v>1836</v>
      </c>
      <c r="G1652" s="238" t="s">
        <v>1030</v>
      </c>
      <c r="H1652" s="239" t="s">
        <v>3505</v>
      </c>
      <c r="I1652" s="217"/>
      <c r="J1652" s="217"/>
      <c r="K1652" s="217"/>
      <c r="L1652" s="217"/>
      <c r="M1652" s="217"/>
      <c r="N1652" s="217"/>
      <c r="O1652" s="217"/>
      <c r="P1652" s="217"/>
    </row>
    <row r="1653" spans="1:16" s="213" customFormat="1" ht="30" hidden="1" x14ac:dyDescent="0.25">
      <c r="A1653" s="208" t="s">
        <v>263</v>
      </c>
      <c r="B1653" s="234">
        <v>1</v>
      </c>
      <c r="C1653" s="234">
        <v>3</v>
      </c>
      <c r="D1653" s="235" t="s">
        <v>2022</v>
      </c>
      <c r="E1653" s="235" t="s">
        <v>1928</v>
      </c>
      <c r="F1653" s="235" t="s">
        <v>1847</v>
      </c>
      <c r="G1653" s="234"/>
      <c r="H1653" s="236" t="s">
        <v>3506</v>
      </c>
      <c r="I1653" s="211">
        <f>SUM(I1654:I1697)</f>
        <v>0</v>
      </c>
      <c r="J1653" s="211">
        <f t="shared" ref="J1653:P1653" si="181">SUM(J1654:J1697)</f>
        <v>0</v>
      </c>
      <c r="K1653" s="211">
        <f t="shared" si="181"/>
        <v>0</v>
      </c>
      <c r="L1653" s="211">
        <f t="shared" si="181"/>
        <v>0</v>
      </c>
      <c r="M1653" s="211">
        <f t="shared" si="181"/>
        <v>0</v>
      </c>
      <c r="N1653" s="211">
        <f t="shared" si="181"/>
        <v>0</v>
      </c>
      <c r="O1653" s="211">
        <f t="shared" si="181"/>
        <v>0</v>
      </c>
      <c r="P1653" s="211">
        <f t="shared" si="181"/>
        <v>0</v>
      </c>
    </row>
    <row r="1654" spans="1:16" s="219" customFormat="1" ht="45" hidden="1" x14ac:dyDescent="0.25">
      <c r="A1654" s="214"/>
      <c r="B1654" s="237">
        <v>1</v>
      </c>
      <c r="C1654" s="237">
        <v>3</v>
      </c>
      <c r="D1654" s="238" t="s">
        <v>2022</v>
      </c>
      <c r="E1654" s="238" t="s">
        <v>1928</v>
      </c>
      <c r="F1654" s="238" t="s">
        <v>1847</v>
      </c>
      <c r="G1654" s="238" t="s">
        <v>58</v>
      </c>
      <c r="H1654" s="239" t="s">
        <v>3507</v>
      </c>
      <c r="I1654" s="217"/>
      <c r="J1654" s="217"/>
      <c r="K1654" s="217"/>
      <c r="L1654" s="217"/>
      <c r="M1654" s="217"/>
      <c r="N1654" s="217"/>
      <c r="O1654" s="217"/>
      <c r="P1654" s="217"/>
    </row>
    <row r="1655" spans="1:16" s="219" customFormat="1" ht="45" hidden="1" x14ac:dyDescent="0.25">
      <c r="A1655" s="214"/>
      <c r="B1655" s="237">
        <v>1</v>
      </c>
      <c r="C1655" s="237">
        <v>3</v>
      </c>
      <c r="D1655" s="238" t="s">
        <v>2022</v>
      </c>
      <c r="E1655" s="238" t="s">
        <v>1928</v>
      </c>
      <c r="F1655" s="238" t="s">
        <v>1847</v>
      </c>
      <c r="G1655" s="238" t="s">
        <v>75</v>
      </c>
      <c r="H1655" s="239" t="s">
        <v>3508</v>
      </c>
      <c r="I1655" s="217"/>
      <c r="J1655" s="217"/>
      <c r="K1655" s="217"/>
      <c r="L1655" s="217"/>
      <c r="M1655" s="217"/>
      <c r="N1655" s="217"/>
      <c r="O1655" s="217"/>
      <c r="P1655" s="217"/>
    </row>
    <row r="1656" spans="1:16" s="219" customFormat="1" ht="45" hidden="1" x14ac:dyDescent="0.25">
      <c r="A1656" s="214"/>
      <c r="B1656" s="237">
        <v>1</v>
      </c>
      <c r="C1656" s="237">
        <v>3</v>
      </c>
      <c r="D1656" s="238" t="s">
        <v>2022</v>
      </c>
      <c r="E1656" s="238" t="s">
        <v>1928</v>
      </c>
      <c r="F1656" s="238" t="s">
        <v>1847</v>
      </c>
      <c r="G1656" s="238" t="s">
        <v>79</v>
      </c>
      <c r="H1656" s="239" t="s">
        <v>3509</v>
      </c>
      <c r="I1656" s="217"/>
      <c r="J1656" s="217"/>
      <c r="K1656" s="217"/>
      <c r="L1656" s="217"/>
      <c r="M1656" s="217"/>
      <c r="N1656" s="217"/>
      <c r="O1656" s="217"/>
      <c r="P1656" s="217"/>
    </row>
    <row r="1657" spans="1:16" s="219" customFormat="1" ht="45" hidden="1" x14ac:dyDescent="0.25">
      <c r="A1657" s="214"/>
      <c r="B1657" s="237">
        <v>1</v>
      </c>
      <c r="C1657" s="237">
        <v>3</v>
      </c>
      <c r="D1657" s="238" t="s">
        <v>2022</v>
      </c>
      <c r="E1657" s="238" t="s">
        <v>1928</v>
      </c>
      <c r="F1657" s="238" t="s">
        <v>1847</v>
      </c>
      <c r="G1657" s="238" t="s">
        <v>84</v>
      </c>
      <c r="H1657" s="239" t="s">
        <v>3510</v>
      </c>
      <c r="I1657" s="217"/>
      <c r="J1657" s="217"/>
      <c r="K1657" s="217"/>
      <c r="L1657" s="217"/>
      <c r="M1657" s="217"/>
      <c r="N1657" s="217"/>
      <c r="O1657" s="217"/>
      <c r="P1657" s="217"/>
    </row>
    <row r="1658" spans="1:16" s="219" customFormat="1" ht="45" hidden="1" x14ac:dyDescent="0.25">
      <c r="A1658" s="214"/>
      <c r="B1658" s="237">
        <v>1</v>
      </c>
      <c r="C1658" s="237">
        <v>3</v>
      </c>
      <c r="D1658" s="238" t="s">
        <v>2022</v>
      </c>
      <c r="E1658" s="238" t="s">
        <v>1928</v>
      </c>
      <c r="F1658" s="238" t="s">
        <v>1847</v>
      </c>
      <c r="G1658" s="238" t="s">
        <v>88</v>
      </c>
      <c r="H1658" s="239" t="s">
        <v>3511</v>
      </c>
      <c r="I1658" s="217"/>
      <c r="J1658" s="217"/>
      <c r="K1658" s="217"/>
      <c r="L1658" s="217"/>
      <c r="M1658" s="217"/>
      <c r="N1658" s="217"/>
      <c r="O1658" s="217"/>
      <c r="P1658" s="217"/>
    </row>
    <row r="1659" spans="1:16" s="219" customFormat="1" ht="45" hidden="1" x14ac:dyDescent="0.25">
      <c r="A1659" s="214"/>
      <c r="B1659" s="237">
        <v>1</v>
      </c>
      <c r="C1659" s="237">
        <v>3</v>
      </c>
      <c r="D1659" s="238" t="s">
        <v>2022</v>
      </c>
      <c r="E1659" s="238" t="s">
        <v>1928</v>
      </c>
      <c r="F1659" s="238" t="s">
        <v>1847</v>
      </c>
      <c r="G1659" s="238" t="s">
        <v>92</v>
      </c>
      <c r="H1659" s="239" t="s">
        <v>3512</v>
      </c>
      <c r="I1659" s="217"/>
      <c r="J1659" s="217"/>
      <c r="K1659" s="217"/>
      <c r="L1659" s="217"/>
      <c r="M1659" s="217"/>
      <c r="N1659" s="217"/>
      <c r="O1659" s="217"/>
      <c r="P1659" s="217"/>
    </row>
    <row r="1660" spans="1:16" s="219" customFormat="1" ht="45" hidden="1" x14ac:dyDescent="0.25">
      <c r="A1660" s="214"/>
      <c r="B1660" s="237">
        <v>1</v>
      </c>
      <c r="C1660" s="237">
        <v>3</v>
      </c>
      <c r="D1660" s="238" t="s">
        <v>2022</v>
      </c>
      <c r="E1660" s="238" t="s">
        <v>1928</v>
      </c>
      <c r="F1660" s="238" t="s">
        <v>1847</v>
      </c>
      <c r="G1660" s="238" t="s">
        <v>96</v>
      </c>
      <c r="H1660" s="239" t="s">
        <v>3513</v>
      </c>
      <c r="I1660" s="217"/>
      <c r="J1660" s="217"/>
      <c r="K1660" s="217"/>
      <c r="L1660" s="217"/>
      <c r="M1660" s="217"/>
      <c r="N1660" s="217"/>
      <c r="O1660" s="217"/>
      <c r="P1660" s="217"/>
    </row>
    <row r="1661" spans="1:16" s="219" customFormat="1" ht="45" hidden="1" x14ac:dyDescent="0.25">
      <c r="A1661" s="214"/>
      <c r="B1661" s="237">
        <v>1</v>
      </c>
      <c r="C1661" s="237">
        <v>3</v>
      </c>
      <c r="D1661" s="238" t="s">
        <v>2022</v>
      </c>
      <c r="E1661" s="238" t="s">
        <v>1928</v>
      </c>
      <c r="F1661" s="238" t="s">
        <v>1847</v>
      </c>
      <c r="G1661" s="238" t="s">
        <v>100</v>
      </c>
      <c r="H1661" s="239" t="s">
        <v>3514</v>
      </c>
      <c r="I1661" s="217"/>
      <c r="J1661" s="217"/>
      <c r="K1661" s="217"/>
      <c r="L1661" s="217"/>
      <c r="M1661" s="217"/>
      <c r="N1661" s="217"/>
      <c r="O1661" s="217"/>
      <c r="P1661" s="217"/>
    </row>
    <row r="1662" spans="1:16" s="219" customFormat="1" ht="45" hidden="1" x14ac:dyDescent="0.25">
      <c r="A1662" s="214"/>
      <c r="B1662" s="237">
        <v>1</v>
      </c>
      <c r="C1662" s="237">
        <v>3</v>
      </c>
      <c r="D1662" s="238" t="s">
        <v>2022</v>
      </c>
      <c r="E1662" s="238" t="s">
        <v>1928</v>
      </c>
      <c r="F1662" s="238" t="s">
        <v>1847</v>
      </c>
      <c r="G1662" s="238" t="s">
        <v>105</v>
      </c>
      <c r="H1662" s="239" t="s">
        <v>3515</v>
      </c>
      <c r="I1662" s="217"/>
      <c r="J1662" s="217"/>
      <c r="K1662" s="217"/>
      <c r="L1662" s="217"/>
      <c r="M1662" s="217"/>
      <c r="N1662" s="217"/>
      <c r="O1662" s="217"/>
      <c r="P1662" s="217"/>
    </row>
    <row r="1663" spans="1:16" s="219" customFormat="1" ht="45" hidden="1" x14ac:dyDescent="0.25">
      <c r="A1663" s="214"/>
      <c r="B1663" s="237">
        <v>1</v>
      </c>
      <c r="C1663" s="237">
        <v>3</v>
      </c>
      <c r="D1663" s="238" t="s">
        <v>2022</v>
      </c>
      <c r="E1663" s="238" t="s">
        <v>1928</v>
      </c>
      <c r="F1663" s="238" t="s">
        <v>1847</v>
      </c>
      <c r="G1663" s="238" t="s">
        <v>108</v>
      </c>
      <c r="H1663" s="239" t="s">
        <v>3516</v>
      </c>
      <c r="I1663" s="217"/>
      <c r="J1663" s="217"/>
      <c r="K1663" s="217"/>
      <c r="L1663" s="217"/>
      <c r="M1663" s="217"/>
      <c r="N1663" s="217"/>
      <c r="O1663" s="217"/>
      <c r="P1663" s="217"/>
    </row>
    <row r="1664" spans="1:16" s="219" customFormat="1" ht="60" hidden="1" x14ac:dyDescent="0.25">
      <c r="A1664" s="214"/>
      <c r="B1664" s="237">
        <v>1</v>
      </c>
      <c r="C1664" s="237">
        <v>3</v>
      </c>
      <c r="D1664" s="238" t="s">
        <v>2022</v>
      </c>
      <c r="E1664" s="238" t="s">
        <v>1928</v>
      </c>
      <c r="F1664" s="238" t="s">
        <v>1847</v>
      </c>
      <c r="G1664" s="238" t="s">
        <v>135</v>
      </c>
      <c r="H1664" s="239" t="s">
        <v>3517</v>
      </c>
      <c r="I1664" s="217"/>
      <c r="J1664" s="217"/>
      <c r="K1664" s="217"/>
      <c r="L1664" s="217"/>
      <c r="M1664" s="217"/>
      <c r="N1664" s="217"/>
      <c r="O1664" s="217"/>
      <c r="P1664" s="217"/>
    </row>
    <row r="1665" spans="1:16" s="219" customFormat="1" ht="45" hidden="1" x14ac:dyDescent="0.25">
      <c r="A1665" s="214"/>
      <c r="B1665" s="237">
        <v>1</v>
      </c>
      <c r="C1665" s="237">
        <v>3</v>
      </c>
      <c r="D1665" s="238" t="s">
        <v>2022</v>
      </c>
      <c r="E1665" s="238" t="s">
        <v>1928</v>
      </c>
      <c r="F1665" s="238" t="s">
        <v>1847</v>
      </c>
      <c r="G1665" s="238" t="s">
        <v>138</v>
      </c>
      <c r="H1665" s="239" t="s">
        <v>3518</v>
      </c>
      <c r="I1665" s="217"/>
      <c r="J1665" s="217"/>
      <c r="K1665" s="217"/>
      <c r="L1665" s="217"/>
      <c r="M1665" s="217"/>
      <c r="N1665" s="217"/>
      <c r="O1665" s="217"/>
      <c r="P1665" s="217"/>
    </row>
    <row r="1666" spans="1:16" s="219" customFormat="1" ht="45" hidden="1" x14ac:dyDescent="0.25">
      <c r="A1666" s="214"/>
      <c r="B1666" s="237">
        <v>1</v>
      </c>
      <c r="C1666" s="237">
        <v>3</v>
      </c>
      <c r="D1666" s="238" t="s">
        <v>2022</v>
      </c>
      <c r="E1666" s="238" t="s">
        <v>1928</v>
      </c>
      <c r="F1666" s="238" t="s">
        <v>1847</v>
      </c>
      <c r="G1666" s="238" t="s">
        <v>140</v>
      </c>
      <c r="H1666" s="239" t="s">
        <v>3519</v>
      </c>
      <c r="I1666" s="217"/>
      <c r="J1666" s="217"/>
      <c r="K1666" s="217"/>
      <c r="L1666" s="217"/>
      <c r="M1666" s="217"/>
      <c r="N1666" s="217"/>
      <c r="O1666" s="217"/>
      <c r="P1666" s="217"/>
    </row>
    <row r="1667" spans="1:16" s="219" customFormat="1" ht="60" hidden="1" x14ac:dyDescent="0.25">
      <c r="A1667" s="214"/>
      <c r="B1667" s="237">
        <v>1</v>
      </c>
      <c r="C1667" s="237">
        <v>3</v>
      </c>
      <c r="D1667" s="238" t="s">
        <v>2022</v>
      </c>
      <c r="E1667" s="238" t="s">
        <v>1928</v>
      </c>
      <c r="F1667" s="238" t="s">
        <v>1847</v>
      </c>
      <c r="G1667" s="238" t="s">
        <v>143</v>
      </c>
      <c r="H1667" s="239" t="s">
        <v>3520</v>
      </c>
      <c r="I1667" s="217"/>
      <c r="J1667" s="217"/>
      <c r="K1667" s="217"/>
      <c r="L1667" s="217"/>
      <c r="M1667" s="217"/>
      <c r="N1667" s="217"/>
      <c r="O1667" s="217"/>
      <c r="P1667" s="217"/>
    </row>
    <row r="1668" spans="1:16" s="219" customFormat="1" ht="60" hidden="1" x14ac:dyDescent="0.25">
      <c r="A1668" s="214"/>
      <c r="B1668" s="237">
        <v>1</v>
      </c>
      <c r="C1668" s="237">
        <v>3</v>
      </c>
      <c r="D1668" s="238" t="s">
        <v>2022</v>
      </c>
      <c r="E1668" s="238" t="s">
        <v>1928</v>
      </c>
      <c r="F1668" s="238" t="s">
        <v>1847</v>
      </c>
      <c r="G1668" s="238" t="s">
        <v>146</v>
      </c>
      <c r="H1668" s="239" t="s">
        <v>3521</v>
      </c>
      <c r="I1668" s="217"/>
      <c r="J1668" s="217"/>
      <c r="K1668" s="217"/>
      <c r="L1668" s="217"/>
      <c r="M1668" s="217"/>
      <c r="N1668" s="217"/>
      <c r="O1668" s="217"/>
      <c r="P1668" s="217"/>
    </row>
    <row r="1669" spans="1:16" s="219" customFormat="1" ht="60" hidden="1" x14ac:dyDescent="0.25">
      <c r="A1669" s="214"/>
      <c r="B1669" s="237">
        <v>1</v>
      </c>
      <c r="C1669" s="237">
        <v>3</v>
      </c>
      <c r="D1669" s="238" t="s">
        <v>2022</v>
      </c>
      <c r="E1669" s="238" t="s">
        <v>1928</v>
      </c>
      <c r="F1669" s="238" t="s">
        <v>1847</v>
      </c>
      <c r="G1669" s="238" t="s">
        <v>150</v>
      </c>
      <c r="H1669" s="239" t="s">
        <v>3522</v>
      </c>
      <c r="I1669" s="217"/>
      <c r="J1669" s="217"/>
      <c r="K1669" s="217"/>
      <c r="L1669" s="217"/>
      <c r="M1669" s="217"/>
      <c r="N1669" s="217"/>
      <c r="O1669" s="217"/>
      <c r="P1669" s="217"/>
    </row>
    <row r="1670" spans="1:16" s="219" customFormat="1" ht="60" hidden="1" x14ac:dyDescent="0.25">
      <c r="A1670" s="214"/>
      <c r="B1670" s="237">
        <v>1</v>
      </c>
      <c r="C1670" s="237">
        <v>3</v>
      </c>
      <c r="D1670" s="238" t="s">
        <v>2022</v>
      </c>
      <c r="E1670" s="238" t="s">
        <v>1928</v>
      </c>
      <c r="F1670" s="238" t="s">
        <v>1847</v>
      </c>
      <c r="G1670" s="238" t="s">
        <v>153</v>
      </c>
      <c r="H1670" s="239" t="s">
        <v>3523</v>
      </c>
      <c r="I1670" s="217"/>
      <c r="J1670" s="217"/>
      <c r="K1670" s="217"/>
      <c r="L1670" s="217"/>
      <c r="M1670" s="217"/>
      <c r="N1670" s="217"/>
      <c r="O1670" s="217"/>
      <c r="P1670" s="217"/>
    </row>
    <row r="1671" spans="1:16" s="219" customFormat="1" ht="45" hidden="1" x14ac:dyDescent="0.25">
      <c r="A1671" s="214"/>
      <c r="B1671" s="237">
        <v>1</v>
      </c>
      <c r="C1671" s="237">
        <v>3</v>
      </c>
      <c r="D1671" s="238" t="s">
        <v>2022</v>
      </c>
      <c r="E1671" s="238" t="s">
        <v>1928</v>
      </c>
      <c r="F1671" s="238" t="s">
        <v>1847</v>
      </c>
      <c r="G1671" s="238" t="s">
        <v>156</v>
      </c>
      <c r="H1671" s="239" t="s">
        <v>3524</v>
      </c>
      <c r="I1671" s="217"/>
      <c r="J1671" s="217"/>
      <c r="K1671" s="217"/>
      <c r="L1671" s="217"/>
      <c r="M1671" s="217"/>
      <c r="N1671" s="217"/>
      <c r="O1671" s="217"/>
      <c r="P1671" s="217"/>
    </row>
    <row r="1672" spans="1:16" s="219" customFormat="1" ht="60" hidden="1" x14ac:dyDescent="0.25">
      <c r="A1672" s="214"/>
      <c r="B1672" s="237">
        <v>1</v>
      </c>
      <c r="C1672" s="237">
        <v>3</v>
      </c>
      <c r="D1672" s="238" t="s">
        <v>2022</v>
      </c>
      <c r="E1672" s="238" t="s">
        <v>1928</v>
      </c>
      <c r="F1672" s="238" t="s">
        <v>1847</v>
      </c>
      <c r="G1672" s="238" t="s">
        <v>159</v>
      </c>
      <c r="H1672" s="239" t="s">
        <v>3525</v>
      </c>
      <c r="I1672" s="217"/>
      <c r="J1672" s="217"/>
      <c r="K1672" s="217"/>
      <c r="L1672" s="217"/>
      <c r="M1672" s="217"/>
      <c r="N1672" s="217"/>
      <c r="O1672" s="217"/>
      <c r="P1672" s="217"/>
    </row>
    <row r="1673" spans="1:16" s="219" customFormat="1" ht="60" hidden="1" x14ac:dyDescent="0.25">
      <c r="A1673" s="214"/>
      <c r="B1673" s="237">
        <v>1</v>
      </c>
      <c r="C1673" s="237">
        <v>3</v>
      </c>
      <c r="D1673" s="238" t="s">
        <v>2022</v>
      </c>
      <c r="E1673" s="238" t="s">
        <v>1928</v>
      </c>
      <c r="F1673" s="238" t="s">
        <v>1847</v>
      </c>
      <c r="G1673" s="238" t="s">
        <v>162</v>
      </c>
      <c r="H1673" s="239" t="s">
        <v>3526</v>
      </c>
      <c r="I1673" s="217"/>
      <c r="J1673" s="217"/>
      <c r="K1673" s="217"/>
      <c r="L1673" s="217"/>
      <c r="M1673" s="217"/>
      <c r="N1673" s="217"/>
      <c r="O1673" s="217"/>
      <c r="P1673" s="217"/>
    </row>
    <row r="1674" spans="1:16" s="219" customFormat="1" ht="60" hidden="1" x14ac:dyDescent="0.25">
      <c r="A1674" s="214"/>
      <c r="B1674" s="237">
        <v>1</v>
      </c>
      <c r="C1674" s="237">
        <v>3</v>
      </c>
      <c r="D1674" s="238" t="s">
        <v>2022</v>
      </c>
      <c r="E1674" s="238" t="s">
        <v>1928</v>
      </c>
      <c r="F1674" s="238" t="s">
        <v>1847</v>
      </c>
      <c r="G1674" s="238" t="s">
        <v>312</v>
      </c>
      <c r="H1674" s="239" t="s">
        <v>3527</v>
      </c>
      <c r="I1674" s="217"/>
      <c r="J1674" s="217"/>
      <c r="K1674" s="217"/>
      <c r="L1674" s="217"/>
      <c r="M1674" s="217"/>
      <c r="N1674" s="217"/>
      <c r="O1674" s="217"/>
      <c r="P1674" s="217"/>
    </row>
    <row r="1675" spans="1:16" s="219" customFormat="1" ht="45" hidden="1" x14ac:dyDescent="0.25">
      <c r="A1675" s="214"/>
      <c r="B1675" s="237">
        <v>1</v>
      </c>
      <c r="C1675" s="237">
        <v>3</v>
      </c>
      <c r="D1675" s="238" t="s">
        <v>2022</v>
      </c>
      <c r="E1675" s="238" t="s">
        <v>1928</v>
      </c>
      <c r="F1675" s="238" t="s">
        <v>1847</v>
      </c>
      <c r="G1675" s="238" t="s">
        <v>313</v>
      </c>
      <c r="H1675" s="239" t="s">
        <v>3528</v>
      </c>
      <c r="I1675" s="217"/>
      <c r="J1675" s="217"/>
      <c r="K1675" s="217"/>
      <c r="L1675" s="217"/>
      <c r="M1675" s="217"/>
      <c r="N1675" s="217"/>
      <c r="O1675" s="217"/>
      <c r="P1675" s="217"/>
    </row>
    <row r="1676" spans="1:16" s="219" customFormat="1" ht="60" hidden="1" x14ac:dyDescent="0.25">
      <c r="A1676" s="214"/>
      <c r="B1676" s="237">
        <v>1</v>
      </c>
      <c r="C1676" s="237">
        <v>3</v>
      </c>
      <c r="D1676" s="238" t="s">
        <v>2022</v>
      </c>
      <c r="E1676" s="238" t="s">
        <v>1928</v>
      </c>
      <c r="F1676" s="238" t="s">
        <v>1847</v>
      </c>
      <c r="G1676" s="238" t="s">
        <v>559</v>
      </c>
      <c r="H1676" s="239" t="s">
        <v>3529</v>
      </c>
      <c r="I1676" s="217"/>
      <c r="J1676" s="217"/>
      <c r="K1676" s="217"/>
      <c r="L1676" s="217"/>
      <c r="M1676" s="217"/>
      <c r="N1676" s="217"/>
      <c r="O1676" s="217"/>
      <c r="P1676" s="217"/>
    </row>
    <row r="1677" spans="1:16" s="219" customFormat="1" ht="45" hidden="1" x14ac:dyDescent="0.25">
      <c r="A1677" s="214"/>
      <c r="B1677" s="237">
        <v>1</v>
      </c>
      <c r="C1677" s="237">
        <v>3</v>
      </c>
      <c r="D1677" s="238" t="s">
        <v>2022</v>
      </c>
      <c r="E1677" s="238" t="s">
        <v>1928</v>
      </c>
      <c r="F1677" s="238" t="s">
        <v>1847</v>
      </c>
      <c r="G1677" s="238" t="s">
        <v>561</v>
      </c>
      <c r="H1677" s="239" t="s">
        <v>3530</v>
      </c>
      <c r="I1677" s="217"/>
      <c r="J1677" s="217"/>
      <c r="K1677" s="217"/>
      <c r="L1677" s="217"/>
      <c r="M1677" s="217"/>
      <c r="N1677" s="217"/>
      <c r="O1677" s="217"/>
      <c r="P1677" s="217"/>
    </row>
    <row r="1678" spans="1:16" s="219" customFormat="1" ht="60" hidden="1" x14ac:dyDescent="0.25">
      <c r="A1678" s="214"/>
      <c r="B1678" s="237">
        <v>1</v>
      </c>
      <c r="C1678" s="237">
        <v>3</v>
      </c>
      <c r="D1678" s="238" t="s">
        <v>2022</v>
      </c>
      <c r="E1678" s="238" t="s">
        <v>1928</v>
      </c>
      <c r="F1678" s="238" t="s">
        <v>1847</v>
      </c>
      <c r="G1678" s="238" t="s">
        <v>563</v>
      </c>
      <c r="H1678" s="239" t="s">
        <v>3531</v>
      </c>
      <c r="I1678" s="217"/>
      <c r="J1678" s="217"/>
      <c r="K1678" s="217"/>
      <c r="L1678" s="217"/>
      <c r="M1678" s="217"/>
      <c r="N1678" s="217"/>
      <c r="O1678" s="217"/>
      <c r="P1678" s="217"/>
    </row>
    <row r="1679" spans="1:16" s="219" customFormat="1" ht="60" hidden="1" x14ac:dyDescent="0.25">
      <c r="A1679" s="214"/>
      <c r="B1679" s="237">
        <v>1</v>
      </c>
      <c r="C1679" s="237">
        <v>3</v>
      </c>
      <c r="D1679" s="238" t="s">
        <v>2022</v>
      </c>
      <c r="E1679" s="238" t="s">
        <v>1928</v>
      </c>
      <c r="F1679" s="238" t="s">
        <v>1847</v>
      </c>
      <c r="G1679" s="238" t="s">
        <v>227</v>
      </c>
      <c r="H1679" s="239" t="s">
        <v>3532</v>
      </c>
      <c r="I1679" s="217"/>
      <c r="J1679" s="217"/>
      <c r="K1679" s="217"/>
      <c r="L1679" s="217"/>
      <c r="M1679" s="217"/>
      <c r="N1679" s="217"/>
      <c r="O1679" s="217"/>
      <c r="P1679" s="217"/>
    </row>
    <row r="1680" spans="1:16" s="219" customFormat="1" ht="60" hidden="1" x14ac:dyDescent="0.25">
      <c r="A1680" s="214"/>
      <c r="B1680" s="237">
        <v>1</v>
      </c>
      <c r="C1680" s="237">
        <v>3</v>
      </c>
      <c r="D1680" s="238" t="s">
        <v>2022</v>
      </c>
      <c r="E1680" s="238" t="s">
        <v>1928</v>
      </c>
      <c r="F1680" s="238" t="s">
        <v>1847</v>
      </c>
      <c r="G1680" s="238" t="s">
        <v>230</v>
      </c>
      <c r="H1680" s="239" t="s">
        <v>3533</v>
      </c>
      <c r="I1680" s="217"/>
      <c r="J1680" s="217"/>
      <c r="K1680" s="217"/>
      <c r="L1680" s="217"/>
      <c r="M1680" s="217"/>
      <c r="N1680" s="217"/>
      <c r="O1680" s="217"/>
      <c r="P1680" s="217"/>
    </row>
    <row r="1681" spans="1:16" s="219" customFormat="1" ht="60" hidden="1" x14ac:dyDescent="0.25">
      <c r="A1681" s="214"/>
      <c r="B1681" s="237">
        <v>1</v>
      </c>
      <c r="C1681" s="237">
        <v>3</v>
      </c>
      <c r="D1681" s="238" t="s">
        <v>2022</v>
      </c>
      <c r="E1681" s="238" t="s">
        <v>1928</v>
      </c>
      <c r="F1681" s="238" t="s">
        <v>1847</v>
      </c>
      <c r="G1681" s="238" t="s">
        <v>232</v>
      </c>
      <c r="H1681" s="239" t="s">
        <v>3534</v>
      </c>
      <c r="I1681" s="217"/>
      <c r="J1681" s="217"/>
      <c r="K1681" s="217"/>
      <c r="L1681" s="217"/>
      <c r="M1681" s="217"/>
      <c r="N1681" s="217"/>
      <c r="O1681" s="217"/>
      <c r="P1681" s="217"/>
    </row>
    <row r="1682" spans="1:16" s="219" customFormat="1" ht="45" hidden="1" x14ac:dyDescent="0.25">
      <c r="A1682" s="214"/>
      <c r="B1682" s="237">
        <v>1</v>
      </c>
      <c r="C1682" s="237">
        <v>3</v>
      </c>
      <c r="D1682" s="238" t="s">
        <v>2022</v>
      </c>
      <c r="E1682" s="238" t="s">
        <v>1928</v>
      </c>
      <c r="F1682" s="238" t="s">
        <v>1847</v>
      </c>
      <c r="G1682" s="238" t="s">
        <v>234</v>
      </c>
      <c r="H1682" s="239" t="s">
        <v>3535</v>
      </c>
      <c r="I1682" s="217"/>
      <c r="J1682" s="217"/>
      <c r="K1682" s="217"/>
      <c r="L1682" s="217"/>
      <c r="M1682" s="217"/>
      <c r="N1682" s="217"/>
      <c r="O1682" s="217"/>
      <c r="P1682" s="217"/>
    </row>
    <row r="1683" spans="1:16" s="219" customFormat="1" ht="45" hidden="1" x14ac:dyDescent="0.25">
      <c r="A1683" s="214"/>
      <c r="B1683" s="237">
        <v>1</v>
      </c>
      <c r="C1683" s="237">
        <v>3</v>
      </c>
      <c r="D1683" s="238" t="s">
        <v>2022</v>
      </c>
      <c r="E1683" s="238" t="s">
        <v>1928</v>
      </c>
      <c r="F1683" s="238" t="s">
        <v>1847</v>
      </c>
      <c r="G1683" s="238" t="s">
        <v>236</v>
      </c>
      <c r="H1683" s="239" t="s">
        <v>3536</v>
      </c>
      <c r="I1683" s="217"/>
      <c r="J1683" s="217"/>
      <c r="K1683" s="217"/>
      <c r="L1683" s="217"/>
      <c r="M1683" s="217"/>
      <c r="N1683" s="217"/>
      <c r="O1683" s="217"/>
      <c r="P1683" s="217"/>
    </row>
    <row r="1684" spans="1:16" s="219" customFormat="1" ht="45" hidden="1" x14ac:dyDescent="0.25">
      <c r="A1684" s="214"/>
      <c r="B1684" s="237">
        <v>1</v>
      </c>
      <c r="C1684" s="237">
        <v>3</v>
      </c>
      <c r="D1684" s="238" t="s">
        <v>2022</v>
      </c>
      <c r="E1684" s="238" t="s">
        <v>1928</v>
      </c>
      <c r="F1684" s="238" t="s">
        <v>1847</v>
      </c>
      <c r="G1684" s="238" t="s">
        <v>238</v>
      </c>
      <c r="H1684" s="239" t="s">
        <v>3537</v>
      </c>
      <c r="I1684" s="217"/>
      <c r="J1684" s="217"/>
      <c r="K1684" s="217"/>
      <c r="L1684" s="217"/>
      <c r="M1684" s="217"/>
      <c r="N1684" s="217"/>
      <c r="O1684" s="217"/>
      <c r="P1684" s="217"/>
    </row>
    <row r="1685" spans="1:16" s="219" customFormat="1" ht="45" hidden="1" x14ac:dyDescent="0.25">
      <c r="A1685" s="214"/>
      <c r="B1685" s="237">
        <v>1</v>
      </c>
      <c r="C1685" s="237">
        <v>3</v>
      </c>
      <c r="D1685" s="238" t="s">
        <v>2022</v>
      </c>
      <c r="E1685" s="238" t="s">
        <v>1928</v>
      </c>
      <c r="F1685" s="238" t="s">
        <v>1847</v>
      </c>
      <c r="G1685" s="238" t="s">
        <v>240</v>
      </c>
      <c r="H1685" s="239" t="s">
        <v>3538</v>
      </c>
      <c r="I1685" s="217"/>
      <c r="J1685" s="217"/>
      <c r="K1685" s="217"/>
      <c r="L1685" s="217"/>
      <c r="M1685" s="217"/>
      <c r="N1685" s="217"/>
      <c r="O1685" s="217"/>
      <c r="P1685" s="217"/>
    </row>
    <row r="1686" spans="1:16" s="219" customFormat="1" ht="45" hidden="1" x14ac:dyDescent="0.25">
      <c r="A1686" s="214"/>
      <c r="B1686" s="237">
        <v>1</v>
      </c>
      <c r="C1686" s="237">
        <v>3</v>
      </c>
      <c r="D1686" s="238" t="s">
        <v>2022</v>
      </c>
      <c r="E1686" s="238" t="s">
        <v>1928</v>
      </c>
      <c r="F1686" s="238" t="s">
        <v>1847</v>
      </c>
      <c r="G1686" s="238" t="s">
        <v>242</v>
      </c>
      <c r="H1686" s="239" t="s">
        <v>3539</v>
      </c>
      <c r="I1686" s="217"/>
      <c r="J1686" s="217"/>
      <c r="K1686" s="217"/>
      <c r="L1686" s="217"/>
      <c r="M1686" s="217"/>
      <c r="N1686" s="217"/>
      <c r="O1686" s="217"/>
      <c r="P1686" s="217"/>
    </row>
    <row r="1687" spans="1:16" s="219" customFormat="1" ht="45" hidden="1" x14ac:dyDescent="0.25">
      <c r="A1687" s="214"/>
      <c r="B1687" s="237">
        <v>1</v>
      </c>
      <c r="C1687" s="237">
        <v>3</v>
      </c>
      <c r="D1687" s="238" t="s">
        <v>2022</v>
      </c>
      <c r="E1687" s="238" t="s">
        <v>1928</v>
      </c>
      <c r="F1687" s="238" t="s">
        <v>1847</v>
      </c>
      <c r="G1687" s="238" t="s">
        <v>244</v>
      </c>
      <c r="H1687" s="239" t="s">
        <v>3540</v>
      </c>
      <c r="I1687" s="217"/>
      <c r="J1687" s="217"/>
      <c r="K1687" s="217"/>
      <c r="L1687" s="217"/>
      <c r="M1687" s="217"/>
      <c r="N1687" s="217"/>
      <c r="O1687" s="217"/>
      <c r="P1687" s="217"/>
    </row>
    <row r="1688" spans="1:16" s="219" customFormat="1" ht="45" hidden="1" x14ac:dyDescent="0.25">
      <c r="A1688" s="214"/>
      <c r="B1688" s="237">
        <v>1</v>
      </c>
      <c r="C1688" s="237">
        <v>3</v>
      </c>
      <c r="D1688" s="238" t="s">
        <v>2022</v>
      </c>
      <c r="E1688" s="238" t="s">
        <v>1928</v>
      </c>
      <c r="F1688" s="238" t="s">
        <v>1847</v>
      </c>
      <c r="G1688" s="238" t="s">
        <v>246</v>
      </c>
      <c r="H1688" s="239" t="s">
        <v>3541</v>
      </c>
      <c r="I1688" s="217"/>
      <c r="J1688" s="217"/>
      <c r="K1688" s="217"/>
      <c r="L1688" s="217"/>
      <c r="M1688" s="217"/>
      <c r="N1688" s="217"/>
      <c r="O1688" s="217"/>
      <c r="P1688" s="217"/>
    </row>
    <row r="1689" spans="1:16" s="219" customFormat="1" ht="30" hidden="1" x14ac:dyDescent="0.25">
      <c r="A1689" s="214"/>
      <c r="B1689" s="237">
        <v>1</v>
      </c>
      <c r="C1689" s="237">
        <v>3</v>
      </c>
      <c r="D1689" s="238" t="s">
        <v>2022</v>
      </c>
      <c r="E1689" s="238" t="s">
        <v>1928</v>
      </c>
      <c r="F1689" s="238" t="s">
        <v>1847</v>
      </c>
      <c r="G1689" s="238" t="s">
        <v>407</v>
      </c>
      <c r="H1689" s="239" t="s">
        <v>3542</v>
      </c>
      <c r="I1689" s="217"/>
      <c r="J1689" s="217"/>
      <c r="K1689" s="217"/>
      <c r="L1689" s="217"/>
      <c r="M1689" s="217"/>
      <c r="N1689" s="217"/>
      <c r="O1689" s="217"/>
      <c r="P1689" s="217"/>
    </row>
    <row r="1690" spans="1:16" s="219" customFormat="1" ht="45" hidden="1" x14ac:dyDescent="0.25">
      <c r="A1690" s="214"/>
      <c r="B1690" s="237">
        <v>1</v>
      </c>
      <c r="C1690" s="237">
        <v>3</v>
      </c>
      <c r="D1690" s="238" t="s">
        <v>2022</v>
      </c>
      <c r="E1690" s="238" t="s">
        <v>1928</v>
      </c>
      <c r="F1690" s="238" t="s">
        <v>1847</v>
      </c>
      <c r="G1690" s="238" t="s">
        <v>408</v>
      </c>
      <c r="H1690" s="239" t="s">
        <v>3543</v>
      </c>
      <c r="I1690" s="217"/>
      <c r="J1690" s="217"/>
      <c r="K1690" s="217"/>
      <c r="L1690" s="217"/>
      <c r="M1690" s="217"/>
      <c r="N1690" s="217"/>
      <c r="O1690" s="217"/>
      <c r="P1690" s="217"/>
    </row>
    <row r="1691" spans="1:16" s="219" customFormat="1" ht="45" hidden="1" x14ac:dyDescent="0.25">
      <c r="A1691" s="214"/>
      <c r="B1691" s="237">
        <v>1</v>
      </c>
      <c r="C1691" s="237">
        <v>3</v>
      </c>
      <c r="D1691" s="238" t="s">
        <v>2022</v>
      </c>
      <c r="E1691" s="238" t="s">
        <v>1928</v>
      </c>
      <c r="F1691" s="238" t="s">
        <v>1847</v>
      </c>
      <c r="G1691" s="238" t="s">
        <v>409</v>
      </c>
      <c r="H1691" s="239" t="s">
        <v>3544</v>
      </c>
      <c r="I1691" s="217"/>
      <c r="J1691" s="217"/>
      <c r="K1691" s="217"/>
      <c r="L1691" s="217"/>
      <c r="M1691" s="217"/>
      <c r="N1691" s="217"/>
      <c r="O1691" s="217"/>
      <c r="P1691" s="217"/>
    </row>
    <row r="1692" spans="1:16" s="219" customFormat="1" ht="30" hidden="1" x14ac:dyDescent="0.25">
      <c r="A1692" s="214"/>
      <c r="B1692" s="237">
        <v>1</v>
      </c>
      <c r="C1692" s="237">
        <v>3</v>
      </c>
      <c r="D1692" s="238" t="s">
        <v>2022</v>
      </c>
      <c r="E1692" s="238" t="s">
        <v>1928</v>
      </c>
      <c r="F1692" s="238" t="s">
        <v>1847</v>
      </c>
      <c r="G1692" s="238" t="s">
        <v>788</v>
      </c>
      <c r="H1692" s="239" t="s">
        <v>3545</v>
      </c>
      <c r="I1692" s="217"/>
      <c r="J1692" s="217"/>
      <c r="K1692" s="217"/>
      <c r="L1692" s="217"/>
      <c r="M1692" s="217"/>
      <c r="N1692" s="217"/>
      <c r="O1692" s="217"/>
      <c r="P1692" s="217"/>
    </row>
    <row r="1693" spans="1:16" s="219" customFormat="1" ht="45" hidden="1" x14ac:dyDescent="0.25">
      <c r="A1693" s="214"/>
      <c r="B1693" s="237">
        <v>1</v>
      </c>
      <c r="C1693" s="237">
        <v>3</v>
      </c>
      <c r="D1693" s="238" t="s">
        <v>2022</v>
      </c>
      <c r="E1693" s="238" t="s">
        <v>1928</v>
      </c>
      <c r="F1693" s="238" t="s">
        <v>1847</v>
      </c>
      <c r="G1693" s="238" t="s">
        <v>1017</v>
      </c>
      <c r="H1693" s="239" t="s">
        <v>3546</v>
      </c>
      <c r="I1693" s="217"/>
      <c r="J1693" s="217"/>
      <c r="K1693" s="217"/>
      <c r="L1693" s="217"/>
      <c r="M1693" s="217"/>
      <c r="N1693" s="217"/>
      <c r="O1693" s="217"/>
      <c r="P1693" s="217"/>
    </row>
    <row r="1694" spans="1:16" s="219" customFormat="1" ht="45" hidden="1" x14ac:dyDescent="0.25">
      <c r="A1694" s="214"/>
      <c r="B1694" s="237">
        <v>1</v>
      </c>
      <c r="C1694" s="237">
        <v>3</v>
      </c>
      <c r="D1694" s="238" t="s">
        <v>2022</v>
      </c>
      <c r="E1694" s="238" t="s">
        <v>1928</v>
      </c>
      <c r="F1694" s="238" t="s">
        <v>1847</v>
      </c>
      <c r="G1694" s="238" t="s">
        <v>411</v>
      </c>
      <c r="H1694" s="239" t="s">
        <v>3547</v>
      </c>
      <c r="I1694" s="217"/>
      <c r="J1694" s="217"/>
      <c r="K1694" s="217"/>
      <c r="L1694" s="217"/>
      <c r="M1694" s="217"/>
      <c r="N1694" s="217"/>
      <c r="O1694" s="217"/>
      <c r="P1694" s="217"/>
    </row>
    <row r="1695" spans="1:16" s="219" customFormat="1" ht="45" hidden="1" x14ac:dyDescent="0.25">
      <c r="A1695" s="214"/>
      <c r="B1695" s="237">
        <v>1</v>
      </c>
      <c r="C1695" s="237">
        <v>3</v>
      </c>
      <c r="D1695" s="238" t="s">
        <v>2022</v>
      </c>
      <c r="E1695" s="238" t="s">
        <v>1928</v>
      </c>
      <c r="F1695" s="238" t="s">
        <v>1847</v>
      </c>
      <c r="G1695" s="238" t="s">
        <v>247</v>
      </c>
      <c r="H1695" s="239" t="s">
        <v>3548</v>
      </c>
      <c r="I1695" s="217"/>
      <c r="J1695" s="217"/>
      <c r="K1695" s="217"/>
      <c r="L1695" s="217"/>
      <c r="M1695" s="217"/>
      <c r="N1695" s="217"/>
      <c r="O1695" s="217"/>
      <c r="P1695" s="217"/>
    </row>
    <row r="1696" spans="1:16" s="219" customFormat="1" ht="45" hidden="1" x14ac:dyDescent="0.25">
      <c r="A1696" s="214"/>
      <c r="B1696" s="237">
        <v>1</v>
      </c>
      <c r="C1696" s="237">
        <v>3</v>
      </c>
      <c r="D1696" s="238" t="s">
        <v>2022</v>
      </c>
      <c r="E1696" s="238" t="s">
        <v>1928</v>
      </c>
      <c r="F1696" s="238" t="s">
        <v>1847</v>
      </c>
      <c r="G1696" s="238" t="s">
        <v>1019</v>
      </c>
      <c r="H1696" s="239" t="s">
        <v>3549</v>
      </c>
      <c r="I1696" s="217"/>
      <c r="J1696" s="217"/>
      <c r="K1696" s="217"/>
      <c r="L1696" s="217"/>
      <c r="M1696" s="217"/>
      <c r="N1696" s="217"/>
      <c r="O1696" s="217"/>
      <c r="P1696" s="217"/>
    </row>
    <row r="1697" spans="1:16" s="219" customFormat="1" ht="30" hidden="1" x14ac:dyDescent="0.25">
      <c r="A1697" s="214"/>
      <c r="B1697" s="237">
        <v>1</v>
      </c>
      <c r="C1697" s="237">
        <v>3</v>
      </c>
      <c r="D1697" s="238" t="s">
        <v>2022</v>
      </c>
      <c r="E1697" s="238" t="s">
        <v>1928</v>
      </c>
      <c r="F1697" s="238" t="s">
        <v>1847</v>
      </c>
      <c r="G1697" s="238" t="s">
        <v>1022</v>
      </c>
      <c r="H1697" s="239" t="s">
        <v>3550</v>
      </c>
      <c r="I1697" s="217"/>
      <c r="J1697" s="217"/>
      <c r="K1697" s="217"/>
      <c r="L1697" s="217"/>
      <c r="M1697" s="217"/>
      <c r="N1697" s="217"/>
      <c r="O1697" s="217"/>
      <c r="P1697" s="217"/>
    </row>
    <row r="1698" spans="1:16" s="213" customFormat="1" ht="30" hidden="1" x14ac:dyDescent="0.25">
      <c r="A1698" s="208" t="s">
        <v>263</v>
      </c>
      <c r="B1698" s="234">
        <v>1</v>
      </c>
      <c r="C1698" s="234">
        <v>3</v>
      </c>
      <c r="D1698" s="235" t="s">
        <v>2022</v>
      </c>
      <c r="E1698" s="235" t="s">
        <v>1928</v>
      </c>
      <c r="F1698" s="235" t="s">
        <v>1928</v>
      </c>
      <c r="G1698" s="234"/>
      <c r="H1698" s="236" t="s">
        <v>3551</v>
      </c>
      <c r="I1698" s="211">
        <f>SUM(I1699:I1716)</f>
        <v>0</v>
      </c>
      <c r="J1698" s="211">
        <f t="shared" ref="J1698:P1698" si="182">SUM(J1699:J1716)</f>
        <v>0</v>
      </c>
      <c r="K1698" s="211">
        <f t="shared" si="182"/>
        <v>0</v>
      </c>
      <c r="L1698" s="211">
        <f t="shared" si="182"/>
        <v>0</v>
      </c>
      <c r="M1698" s="211">
        <f t="shared" si="182"/>
        <v>0</v>
      </c>
      <c r="N1698" s="211">
        <f t="shared" si="182"/>
        <v>0</v>
      </c>
      <c r="O1698" s="211">
        <f t="shared" si="182"/>
        <v>0</v>
      </c>
      <c r="P1698" s="211">
        <f t="shared" si="182"/>
        <v>0</v>
      </c>
    </row>
    <row r="1699" spans="1:16" s="219" customFormat="1" ht="45" hidden="1" x14ac:dyDescent="0.25">
      <c r="A1699" s="214"/>
      <c r="B1699" s="237">
        <v>1</v>
      </c>
      <c r="C1699" s="237">
        <v>3</v>
      </c>
      <c r="D1699" s="238" t="s">
        <v>2022</v>
      </c>
      <c r="E1699" s="238" t="s">
        <v>1928</v>
      </c>
      <c r="F1699" s="238" t="s">
        <v>1928</v>
      </c>
      <c r="G1699" s="238" t="s">
        <v>58</v>
      </c>
      <c r="H1699" s="239" t="s">
        <v>3552</v>
      </c>
      <c r="I1699" s="217"/>
      <c r="J1699" s="217"/>
      <c r="K1699" s="217"/>
      <c r="L1699" s="217"/>
      <c r="M1699" s="217"/>
      <c r="N1699" s="217"/>
      <c r="O1699" s="217"/>
      <c r="P1699" s="217"/>
    </row>
    <row r="1700" spans="1:16" s="219" customFormat="1" ht="45" hidden="1" x14ac:dyDescent="0.25">
      <c r="A1700" s="214"/>
      <c r="B1700" s="237">
        <v>1</v>
      </c>
      <c r="C1700" s="237">
        <v>3</v>
      </c>
      <c r="D1700" s="238" t="s">
        <v>2022</v>
      </c>
      <c r="E1700" s="238" t="s">
        <v>1928</v>
      </c>
      <c r="F1700" s="238" t="s">
        <v>1928</v>
      </c>
      <c r="G1700" s="238" t="s">
        <v>75</v>
      </c>
      <c r="H1700" s="239" t="s">
        <v>3553</v>
      </c>
      <c r="I1700" s="217"/>
      <c r="J1700" s="217"/>
      <c r="K1700" s="217"/>
      <c r="L1700" s="217"/>
      <c r="M1700" s="217"/>
      <c r="N1700" s="217"/>
      <c r="O1700" s="217"/>
      <c r="P1700" s="217"/>
    </row>
    <row r="1701" spans="1:16" s="219" customFormat="1" ht="45" hidden="1" x14ac:dyDescent="0.25">
      <c r="A1701" s="214"/>
      <c r="B1701" s="237">
        <v>1</v>
      </c>
      <c r="C1701" s="237">
        <v>3</v>
      </c>
      <c r="D1701" s="238" t="s">
        <v>2022</v>
      </c>
      <c r="E1701" s="238" t="s">
        <v>1928</v>
      </c>
      <c r="F1701" s="238" t="s">
        <v>1928</v>
      </c>
      <c r="G1701" s="238" t="s">
        <v>79</v>
      </c>
      <c r="H1701" s="239" t="s">
        <v>3554</v>
      </c>
      <c r="I1701" s="217"/>
      <c r="J1701" s="217"/>
      <c r="K1701" s="217"/>
      <c r="L1701" s="217"/>
      <c r="M1701" s="217"/>
      <c r="N1701" s="217"/>
      <c r="O1701" s="217"/>
      <c r="P1701" s="217"/>
    </row>
    <row r="1702" spans="1:16" s="219" customFormat="1" ht="45" hidden="1" x14ac:dyDescent="0.25">
      <c r="A1702" s="214"/>
      <c r="B1702" s="237">
        <v>1</v>
      </c>
      <c r="C1702" s="237">
        <v>3</v>
      </c>
      <c r="D1702" s="238" t="s">
        <v>2022</v>
      </c>
      <c r="E1702" s="238" t="s">
        <v>1928</v>
      </c>
      <c r="F1702" s="238" t="s">
        <v>1928</v>
      </c>
      <c r="G1702" s="238" t="s">
        <v>84</v>
      </c>
      <c r="H1702" s="239" t="s">
        <v>3555</v>
      </c>
      <c r="I1702" s="217"/>
      <c r="J1702" s="217"/>
      <c r="K1702" s="217"/>
      <c r="L1702" s="217"/>
      <c r="M1702" s="217"/>
      <c r="N1702" s="217"/>
      <c r="O1702" s="217"/>
      <c r="P1702" s="217"/>
    </row>
    <row r="1703" spans="1:16" s="219" customFormat="1" ht="45" hidden="1" x14ac:dyDescent="0.25">
      <c r="A1703" s="214"/>
      <c r="B1703" s="237">
        <v>1</v>
      </c>
      <c r="C1703" s="237">
        <v>3</v>
      </c>
      <c r="D1703" s="238" t="s">
        <v>2022</v>
      </c>
      <c r="E1703" s="238" t="s">
        <v>1928</v>
      </c>
      <c r="F1703" s="238" t="s">
        <v>1928</v>
      </c>
      <c r="G1703" s="238" t="s">
        <v>88</v>
      </c>
      <c r="H1703" s="239" t="s">
        <v>3556</v>
      </c>
      <c r="I1703" s="217"/>
      <c r="J1703" s="217"/>
      <c r="K1703" s="217"/>
      <c r="L1703" s="217"/>
      <c r="M1703" s="217"/>
      <c r="N1703" s="217"/>
      <c r="O1703" s="217"/>
      <c r="P1703" s="217"/>
    </row>
    <row r="1704" spans="1:16" s="219" customFormat="1" ht="30" hidden="1" x14ac:dyDescent="0.25">
      <c r="A1704" s="214"/>
      <c r="B1704" s="237">
        <v>1</v>
      </c>
      <c r="C1704" s="237">
        <v>3</v>
      </c>
      <c r="D1704" s="238" t="s">
        <v>2022</v>
      </c>
      <c r="E1704" s="238" t="s">
        <v>1928</v>
      </c>
      <c r="F1704" s="238" t="s">
        <v>1928</v>
      </c>
      <c r="G1704" s="238" t="s">
        <v>92</v>
      </c>
      <c r="H1704" s="239" t="s">
        <v>3557</v>
      </c>
      <c r="I1704" s="217"/>
      <c r="J1704" s="217"/>
      <c r="K1704" s="217"/>
      <c r="L1704" s="217"/>
      <c r="M1704" s="217"/>
      <c r="N1704" s="217"/>
      <c r="O1704" s="217"/>
      <c r="P1704" s="217"/>
    </row>
    <row r="1705" spans="1:16" s="219" customFormat="1" ht="30" hidden="1" x14ac:dyDescent="0.25">
      <c r="A1705" s="214"/>
      <c r="B1705" s="237">
        <v>1</v>
      </c>
      <c r="C1705" s="237">
        <v>3</v>
      </c>
      <c r="D1705" s="238" t="s">
        <v>2022</v>
      </c>
      <c r="E1705" s="238" t="s">
        <v>1928</v>
      </c>
      <c r="F1705" s="238" t="s">
        <v>1928</v>
      </c>
      <c r="G1705" s="238" t="s">
        <v>96</v>
      </c>
      <c r="H1705" s="239" t="s">
        <v>3558</v>
      </c>
      <c r="I1705" s="217"/>
      <c r="J1705" s="217"/>
      <c r="K1705" s="217"/>
      <c r="L1705" s="217"/>
      <c r="M1705" s="217"/>
      <c r="N1705" s="217"/>
      <c r="O1705" s="217"/>
      <c r="P1705" s="217"/>
    </row>
    <row r="1706" spans="1:16" s="219" customFormat="1" ht="45" hidden="1" x14ac:dyDescent="0.25">
      <c r="A1706" s="214"/>
      <c r="B1706" s="237">
        <v>1</v>
      </c>
      <c r="C1706" s="237">
        <v>3</v>
      </c>
      <c r="D1706" s="238" t="s">
        <v>2022</v>
      </c>
      <c r="E1706" s="238" t="s">
        <v>1928</v>
      </c>
      <c r="F1706" s="238" t="s">
        <v>1928</v>
      </c>
      <c r="G1706" s="238" t="s">
        <v>100</v>
      </c>
      <c r="H1706" s="239" t="s">
        <v>3559</v>
      </c>
      <c r="I1706" s="217"/>
      <c r="J1706" s="217"/>
      <c r="K1706" s="217"/>
      <c r="L1706" s="217"/>
      <c r="M1706" s="217"/>
      <c r="N1706" s="217"/>
      <c r="O1706" s="217"/>
      <c r="P1706" s="217"/>
    </row>
    <row r="1707" spans="1:16" s="219" customFormat="1" ht="45" hidden="1" x14ac:dyDescent="0.25">
      <c r="A1707" s="214"/>
      <c r="B1707" s="237">
        <v>1</v>
      </c>
      <c r="C1707" s="237">
        <v>3</v>
      </c>
      <c r="D1707" s="238" t="s">
        <v>2022</v>
      </c>
      <c r="E1707" s="238" t="s">
        <v>1928</v>
      </c>
      <c r="F1707" s="238" t="s">
        <v>1928</v>
      </c>
      <c r="G1707" s="238" t="s">
        <v>105</v>
      </c>
      <c r="H1707" s="239" t="s">
        <v>3560</v>
      </c>
      <c r="I1707" s="217"/>
      <c r="J1707" s="217"/>
      <c r="K1707" s="217"/>
      <c r="L1707" s="217"/>
      <c r="M1707" s="217"/>
      <c r="N1707" s="217"/>
      <c r="O1707" s="217"/>
      <c r="P1707" s="217"/>
    </row>
    <row r="1708" spans="1:16" s="219" customFormat="1" ht="45" hidden="1" x14ac:dyDescent="0.25">
      <c r="A1708" s="214"/>
      <c r="B1708" s="237">
        <v>1</v>
      </c>
      <c r="C1708" s="237">
        <v>3</v>
      </c>
      <c r="D1708" s="238" t="s">
        <v>2022</v>
      </c>
      <c r="E1708" s="238" t="s">
        <v>1928</v>
      </c>
      <c r="F1708" s="238" t="s">
        <v>1928</v>
      </c>
      <c r="G1708" s="238" t="s">
        <v>108</v>
      </c>
      <c r="H1708" s="239" t="s">
        <v>3561</v>
      </c>
      <c r="I1708" s="217"/>
      <c r="J1708" s="217"/>
      <c r="K1708" s="217"/>
      <c r="L1708" s="217"/>
      <c r="M1708" s="217"/>
      <c r="N1708" s="217"/>
      <c r="O1708" s="217"/>
      <c r="P1708" s="217"/>
    </row>
    <row r="1709" spans="1:16" s="219" customFormat="1" ht="45" hidden="1" x14ac:dyDescent="0.25">
      <c r="A1709" s="214"/>
      <c r="B1709" s="237">
        <v>1</v>
      </c>
      <c r="C1709" s="237">
        <v>3</v>
      </c>
      <c r="D1709" s="238" t="s">
        <v>2022</v>
      </c>
      <c r="E1709" s="238" t="s">
        <v>1928</v>
      </c>
      <c r="F1709" s="238" t="s">
        <v>1928</v>
      </c>
      <c r="G1709" s="238" t="s">
        <v>135</v>
      </c>
      <c r="H1709" s="239" t="s">
        <v>3562</v>
      </c>
      <c r="I1709" s="217"/>
      <c r="J1709" s="217"/>
      <c r="K1709" s="217"/>
      <c r="L1709" s="217"/>
      <c r="M1709" s="217"/>
      <c r="N1709" s="217"/>
      <c r="O1709" s="217"/>
      <c r="P1709" s="217"/>
    </row>
    <row r="1710" spans="1:16" s="219" customFormat="1" ht="45" hidden="1" x14ac:dyDescent="0.25">
      <c r="A1710" s="214"/>
      <c r="B1710" s="237">
        <v>1</v>
      </c>
      <c r="C1710" s="237">
        <v>3</v>
      </c>
      <c r="D1710" s="238" t="s">
        <v>2022</v>
      </c>
      <c r="E1710" s="238" t="s">
        <v>1928</v>
      </c>
      <c r="F1710" s="238" t="s">
        <v>1928</v>
      </c>
      <c r="G1710" s="238" t="s">
        <v>138</v>
      </c>
      <c r="H1710" s="239" t="s">
        <v>3563</v>
      </c>
      <c r="I1710" s="217"/>
      <c r="J1710" s="217"/>
      <c r="K1710" s="217"/>
      <c r="L1710" s="217"/>
      <c r="M1710" s="217"/>
      <c r="N1710" s="217"/>
      <c r="O1710" s="217"/>
      <c r="P1710" s="217"/>
    </row>
    <row r="1711" spans="1:16" s="219" customFormat="1" ht="45" hidden="1" x14ac:dyDescent="0.25">
      <c r="A1711" s="214"/>
      <c r="B1711" s="237">
        <v>1</v>
      </c>
      <c r="C1711" s="237">
        <v>3</v>
      </c>
      <c r="D1711" s="238" t="s">
        <v>2022</v>
      </c>
      <c r="E1711" s="238" t="s">
        <v>1928</v>
      </c>
      <c r="F1711" s="238" t="s">
        <v>1928</v>
      </c>
      <c r="G1711" s="238" t="s">
        <v>140</v>
      </c>
      <c r="H1711" s="239" t="s">
        <v>3564</v>
      </c>
      <c r="I1711" s="217"/>
      <c r="J1711" s="217"/>
      <c r="K1711" s="217"/>
      <c r="L1711" s="217"/>
      <c r="M1711" s="217"/>
      <c r="N1711" s="217"/>
      <c r="O1711" s="217"/>
      <c r="P1711" s="217"/>
    </row>
    <row r="1712" spans="1:16" s="219" customFormat="1" ht="45" hidden="1" x14ac:dyDescent="0.25">
      <c r="A1712" s="214"/>
      <c r="B1712" s="237">
        <v>1</v>
      </c>
      <c r="C1712" s="237">
        <v>3</v>
      </c>
      <c r="D1712" s="238" t="s">
        <v>2022</v>
      </c>
      <c r="E1712" s="238" t="s">
        <v>1928</v>
      </c>
      <c r="F1712" s="238" t="s">
        <v>1928</v>
      </c>
      <c r="G1712" s="238" t="s">
        <v>143</v>
      </c>
      <c r="H1712" s="239" t="s">
        <v>3565</v>
      </c>
      <c r="I1712" s="217"/>
      <c r="J1712" s="217"/>
      <c r="K1712" s="217"/>
      <c r="L1712" s="217"/>
      <c r="M1712" s="217"/>
      <c r="N1712" s="217"/>
      <c r="O1712" s="217"/>
      <c r="P1712" s="217"/>
    </row>
    <row r="1713" spans="1:16" s="219" customFormat="1" ht="45" hidden="1" x14ac:dyDescent="0.25">
      <c r="A1713" s="214"/>
      <c r="B1713" s="237">
        <v>1</v>
      </c>
      <c r="C1713" s="237">
        <v>3</v>
      </c>
      <c r="D1713" s="238" t="s">
        <v>2022</v>
      </c>
      <c r="E1713" s="238" t="s">
        <v>1928</v>
      </c>
      <c r="F1713" s="238" t="s">
        <v>1928</v>
      </c>
      <c r="G1713" s="238" t="s">
        <v>146</v>
      </c>
      <c r="H1713" s="239" t="s">
        <v>3566</v>
      </c>
      <c r="I1713" s="217"/>
      <c r="J1713" s="217"/>
      <c r="K1713" s="217"/>
      <c r="L1713" s="217"/>
      <c r="M1713" s="217"/>
      <c r="N1713" s="217"/>
      <c r="O1713" s="217"/>
      <c r="P1713" s="217"/>
    </row>
    <row r="1714" spans="1:16" s="219" customFormat="1" ht="30" hidden="1" x14ac:dyDescent="0.25">
      <c r="A1714" s="214"/>
      <c r="B1714" s="237">
        <v>1</v>
      </c>
      <c r="C1714" s="237">
        <v>3</v>
      </c>
      <c r="D1714" s="238" t="s">
        <v>2022</v>
      </c>
      <c r="E1714" s="238" t="s">
        <v>1928</v>
      </c>
      <c r="F1714" s="238" t="s">
        <v>1928</v>
      </c>
      <c r="G1714" s="238" t="s">
        <v>150</v>
      </c>
      <c r="H1714" s="239" t="s">
        <v>3567</v>
      </c>
      <c r="I1714" s="217"/>
      <c r="J1714" s="217"/>
      <c r="K1714" s="217"/>
      <c r="L1714" s="217"/>
      <c r="M1714" s="217"/>
      <c r="N1714" s="217"/>
      <c r="O1714" s="217"/>
      <c r="P1714" s="217"/>
    </row>
    <row r="1715" spans="1:16" s="219" customFormat="1" ht="30" hidden="1" x14ac:dyDescent="0.25">
      <c r="A1715" s="214"/>
      <c r="B1715" s="237">
        <v>1</v>
      </c>
      <c r="C1715" s="237">
        <v>3</v>
      </c>
      <c r="D1715" s="238" t="s">
        <v>2022</v>
      </c>
      <c r="E1715" s="238" t="s">
        <v>1928</v>
      </c>
      <c r="F1715" s="238" t="s">
        <v>1928</v>
      </c>
      <c r="G1715" s="238" t="s">
        <v>153</v>
      </c>
      <c r="H1715" s="239" t="s">
        <v>3568</v>
      </c>
      <c r="I1715" s="217"/>
      <c r="J1715" s="217"/>
      <c r="K1715" s="217"/>
      <c r="L1715" s="217"/>
      <c r="M1715" s="217"/>
      <c r="N1715" s="217"/>
      <c r="O1715" s="217"/>
      <c r="P1715" s="217"/>
    </row>
    <row r="1716" spans="1:16" s="219" customFormat="1" ht="30" hidden="1" x14ac:dyDescent="0.25">
      <c r="A1716" s="214"/>
      <c r="B1716" s="237">
        <v>1</v>
      </c>
      <c r="C1716" s="237">
        <v>3</v>
      </c>
      <c r="D1716" s="238" t="s">
        <v>2022</v>
      </c>
      <c r="E1716" s="238" t="s">
        <v>1928</v>
      </c>
      <c r="F1716" s="238" t="s">
        <v>1928</v>
      </c>
      <c r="G1716" s="238" t="s">
        <v>156</v>
      </c>
      <c r="H1716" s="239" t="s">
        <v>3569</v>
      </c>
      <c r="I1716" s="217"/>
      <c r="J1716" s="217"/>
      <c r="K1716" s="217"/>
      <c r="L1716" s="217"/>
      <c r="M1716" s="217"/>
      <c r="N1716" s="217"/>
      <c r="O1716" s="217"/>
      <c r="P1716" s="217"/>
    </row>
    <row r="1717" spans="1:16" s="213" customFormat="1" ht="30" hidden="1" x14ac:dyDescent="0.25">
      <c r="A1717" s="208" t="s">
        <v>1997</v>
      </c>
      <c r="B1717" s="234">
        <v>1</v>
      </c>
      <c r="C1717" s="234">
        <v>3</v>
      </c>
      <c r="D1717" s="235" t="s">
        <v>2022</v>
      </c>
      <c r="E1717" s="235" t="s">
        <v>1934</v>
      </c>
      <c r="F1717" s="234"/>
      <c r="G1717" s="234"/>
      <c r="H1717" s="236" t="s">
        <v>3570</v>
      </c>
      <c r="I1717" s="211">
        <f>SUM(I1718+I1746+I1757+I1767+I1778+I1780+I1788)</f>
        <v>0</v>
      </c>
      <c r="J1717" s="211">
        <f t="shared" ref="J1717:P1717" si="183">SUM(J1718+J1746+J1757+J1767+J1778+J1780+J1788)</f>
        <v>0</v>
      </c>
      <c r="K1717" s="211">
        <f t="shared" si="183"/>
        <v>0</v>
      </c>
      <c r="L1717" s="211">
        <f t="shared" si="183"/>
        <v>0</v>
      </c>
      <c r="M1717" s="211">
        <f t="shared" si="183"/>
        <v>0</v>
      </c>
      <c r="N1717" s="211">
        <f t="shared" si="183"/>
        <v>0</v>
      </c>
      <c r="O1717" s="211">
        <f t="shared" si="183"/>
        <v>0</v>
      </c>
      <c r="P1717" s="211">
        <f t="shared" si="183"/>
        <v>0</v>
      </c>
    </row>
    <row r="1718" spans="1:16" s="213" customFormat="1" ht="30" hidden="1" x14ac:dyDescent="0.25">
      <c r="A1718" s="208" t="s">
        <v>263</v>
      </c>
      <c r="B1718" s="234">
        <v>1</v>
      </c>
      <c r="C1718" s="234">
        <v>3</v>
      </c>
      <c r="D1718" s="235" t="s">
        <v>2022</v>
      </c>
      <c r="E1718" s="235" t="s">
        <v>1934</v>
      </c>
      <c r="F1718" s="235" t="s">
        <v>1825</v>
      </c>
      <c r="G1718" s="234"/>
      <c r="H1718" s="236" t="s">
        <v>3571</v>
      </c>
      <c r="I1718" s="211">
        <f>SUM(I1719:I1745)</f>
        <v>0</v>
      </c>
      <c r="J1718" s="211">
        <f t="shared" ref="J1718:P1718" si="184">SUM(J1719:J1745)</f>
        <v>0</v>
      </c>
      <c r="K1718" s="211">
        <f t="shared" si="184"/>
        <v>0</v>
      </c>
      <c r="L1718" s="211">
        <f t="shared" si="184"/>
        <v>0</v>
      </c>
      <c r="M1718" s="211">
        <f t="shared" si="184"/>
        <v>0</v>
      </c>
      <c r="N1718" s="211">
        <f t="shared" si="184"/>
        <v>0</v>
      </c>
      <c r="O1718" s="211">
        <f t="shared" si="184"/>
        <v>0</v>
      </c>
      <c r="P1718" s="211">
        <f t="shared" si="184"/>
        <v>0</v>
      </c>
    </row>
    <row r="1719" spans="1:16" s="219" customFormat="1" ht="30" hidden="1" x14ac:dyDescent="0.25">
      <c r="A1719" s="214"/>
      <c r="B1719" s="237">
        <v>1</v>
      </c>
      <c r="C1719" s="237">
        <v>3</v>
      </c>
      <c r="D1719" s="238" t="s">
        <v>2022</v>
      </c>
      <c r="E1719" s="238" t="s">
        <v>1934</v>
      </c>
      <c r="F1719" s="238" t="s">
        <v>1825</v>
      </c>
      <c r="G1719" s="238" t="s">
        <v>58</v>
      </c>
      <c r="H1719" s="239" t="s">
        <v>3572</v>
      </c>
      <c r="I1719" s="217"/>
      <c r="J1719" s="217"/>
      <c r="K1719" s="217"/>
      <c r="L1719" s="217"/>
      <c r="M1719" s="217"/>
      <c r="N1719" s="217"/>
      <c r="O1719" s="217"/>
      <c r="P1719" s="217"/>
    </row>
    <row r="1720" spans="1:16" s="219" customFormat="1" ht="30" hidden="1" x14ac:dyDescent="0.25">
      <c r="A1720" s="214"/>
      <c r="B1720" s="237">
        <v>1</v>
      </c>
      <c r="C1720" s="237">
        <v>3</v>
      </c>
      <c r="D1720" s="238" t="s">
        <v>2022</v>
      </c>
      <c r="E1720" s="238" t="s">
        <v>1934</v>
      </c>
      <c r="F1720" s="238" t="s">
        <v>1825</v>
      </c>
      <c r="G1720" s="238" t="s">
        <v>75</v>
      </c>
      <c r="H1720" s="239" t="s">
        <v>3573</v>
      </c>
      <c r="I1720" s="217"/>
      <c r="J1720" s="217"/>
      <c r="K1720" s="217"/>
      <c r="L1720" s="217"/>
      <c r="M1720" s="217"/>
      <c r="N1720" s="217"/>
      <c r="O1720" s="217"/>
      <c r="P1720" s="217"/>
    </row>
    <row r="1721" spans="1:16" s="219" customFormat="1" ht="30" hidden="1" x14ac:dyDescent="0.25">
      <c r="A1721" s="214"/>
      <c r="B1721" s="237">
        <v>1</v>
      </c>
      <c r="C1721" s="237">
        <v>3</v>
      </c>
      <c r="D1721" s="238" t="s">
        <v>2022</v>
      </c>
      <c r="E1721" s="238" t="s">
        <v>1934</v>
      </c>
      <c r="F1721" s="238" t="s">
        <v>1825</v>
      </c>
      <c r="G1721" s="238" t="s">
        <v>79</v>
      </c>
      <c r="H1721" s="239" t="s">
        <v>3574</v>
      </c>
      <c r="I1721" s="217"/>
      <c r="J1721" s="217"/>
      <c r="K1721" s="217"/>
      <c r="L1721" s="217"/>
      <c r="M1721" s="217"/>
      <c r="N1721" s="217"/>
      <c r="O1721" s="217"/>
      <c r="P1721" s="217"/>
    </row>
    <row r="1722" spans="1:16" s="219" customFormat="1" ht="45" hidden="1" x14ac:dyDescent="0.25">
      <c r="A1722" s="214"/>
      <c r="B1722" s="237">
        <v>1</v>
      </c>
      <c r="C1722" s="237">
        <v>3</v>
      </c>
      <c r="D1722" s="238" t="s">
        <v>2022</v>
      </c>
      <c r="E1722" s="238" t="s">
        <v>1934</v>
      </c>
      <c r="F1722" s="238" t="s">
        <v>1825</v>
      </c>
      <c r="G1722" s="238" t="s">
        <v>84</v>
      </c>
      <c r="H1722" s="239" t="s">
        <v>3575</v>
      </c>
      <c r="I1722" s="217"/>
      <c r="J1722" s="217"/>
      <c r="K1722" s="217"/>
      <c r="L1722" s="217"/>
      <c r="M1722" s="217"/>
      <c r="N1722" s="217"/>
      <c r="O1722" s="217"/>
      <c r="P1722" s="217"/>
    </row>
    <row r="1723" spans="1:16" s="219" customFormat="1" ht="45" hidden="1" x14ac:dyDescent="0.25">
      <c r="A1723" s="214"/>
      <c r="B1723" s="237">
        <v>1</v>
      </c>
      <c r="C1723" s="237">
        <v>3</v>
      </c>
      <c r="D1723" s="238" t="s">
        <v>2022</v>
      </c>
      <c r="E1723" s="238" t="s">
        <v>1934</v>
      </c>
      <c r="F1723" s="238" t="s">
        <v>1825</v>
      </c>
      <c r="G1723" s="238" t="s">
        <v>88</v>
      </c>
      <c r="H1723" s="239" t="s">
        <v>3576</v>
      </c>
      <c r="I1723" s="217"/>
      <c r="J1723" s="217"/>
      <c r="K1723" s="217"/>
      <c r="L1723" s="217"/>
      <c r="M1723" s="217"/>
      <c r="N1723" s="217"/>
      <c r="O1723" s="217"/>
      <c r="P1723" s="217"/>
    </row>
    <row r="1724" spans="1:16" s="219" customFormat="1" ht="45" hidden="1" x14ac:dyDescent="0.25">
      <c r="A1724" s="214"/>
      <c r="B1724" s="237">
        <v>1</v>
      </c>
      <c r="C1724" s="237">
        <v>3</v>
      </c>
      <c r="D1724" s="238" t="s">
        <v>2022</v>
      </c>
      <c r="E1724" s="238" t="s">
        <v>1934</v>
      </c>
      <c r="F1724" s="238" t="s">
        <v>1825</v>
      </c>
      <c r="G1724" s="238" t="s">
        <v>92</v>
      </c>
      <c r="H1724" s="239" t="s">
        <v>3577</v>
      </c>
      <c r="I1724" s="217"/>
      <c r="J1724" s="217"/>
      <c r="K1724" s="217"/>
      <c r="L1724" s="217"/>
      <c r="M1724" s="217"/>
      <c r="N1724" s="217"/>
      <c r="O1724" s="217"/>
      <c r="P1724" s="217"/>
    </row>
    <row r="1725" spans="1:16" s="219" customFormat="1" ht="45" hidden="1" x14ac:dyDescent="0.25">
      <c r="A1725" s="214"/>
      <c r="B1725" s="237">
        <v>1</v>
      </c>
      <c r="C1725" s="237">
        <v>3</v>
      </c>
      <c r="D1725" s="238" t="s">
        <v>2022</v>
      </c>
      <c r="E1725" s="238" t="s">
        <v>1934</v>
      </c>
      <c r="F1725" s="238" t="s">
        <v>1825</v>
      </c>
      <c r="G1725" s="238" t="s">
        <v>96</v>
      </c>
      <c r="H1725" s="239" t="s">
        <v>3578</v>
      </c>
      <c r="I1725" s="217"/>
      <c r="J1725" s="217"/>
      <c r="K1725" s="217"/>
      <c r="L1725" s="217"/>
      <c r="M1725" s="217"/>
      <c r="N1725" s="217"/>
      <c r="O1725" s="217"/>
      <c r="P1725" s="217"/>
    </row>
    <row r="1726" spans="1:16" s="219" customFormat="1" ht="45" hidden="1" x14ac:dyDescent="0.25">
      <c r="A1726" s="214"/>
      <c r="B1726" s="237">
        <v>1</v>
      </c>
      <c r="C1726" s="237">
        <v>3</v>
      </c>
      <c r="D1726" s="238" t="s">
        <v>2022</v>
      </c>
      <c r="E1726" s="238" t="s">
        <v>1934</v>
      </c>
      <c r="F1726" s="238" t="s">
        <v>1825</v>
      </c>
      <c r="G1726" s="238" t="s">
        <v>100</v>
      </c>
      <c r="H1726" s="239" t="s">
        <v>3579</v>
      </c>
      <c r="I1726" s="217"/>
      <c r="J1726" s="217"/>
      <c r="K1726" s="217"/>
      <c r="L1726" s="217"/>
      <c r="M1726" s="217"/>
      <c r="N1726" s="217"/>
      <c r="O1726" s="217"/>
      <c r="P1726" s="217"/>
    </row>
    <row r="1727" spans="1:16" s="219" customFormat="1" ht="45" hidden="1" x14ac:dyDescent="0.25">
      <c r="A1727" s="214"/>
      <c r="B1727" s="237">
        <v>1</v>
      </c>
      <c r="C1727" s="237">
        <v>3</v>
      </c>
      <c r="D1727" s="238" t="s">
        <v>2022</v>
      </c>
      <c r="E1727" s="238" t="s">
        <v>1934</v>
      </c>
      <c r="F1727" s="238" t="s">
        <v>1825</v>
      </c>
      <c r="G1727" s="238" t="s">
        <v>105</v>
      </c>
      <c r="H1727" s="239" t="s">
        <v>3580</v>
      </c>
      <c r="I1727" s="217"/>
      <c r="J1727" s="217"/>
      <c r="K1727" s="217"/>
      <c r="L1727" s="217"/>
      <c r="M1727" s="217"/>
      <c r="N1727" s="217"/>
      <c r="O1727" s="217"/>
      <c r="P1727" s="217"/>
    </row>
    <row r="1728" spans="1:16" s="219" customFormat="1" ht="30" hidden="1" x14ac:dyDescent="0.25">
      <c r="A1728" s="214"/>
      <c r="B1728" s="237">
        <v>1</v>
      </c>
      <c r="C1728" s="237">
        <v>3</v>
      </c>
      <c r="D1728" s="238" t="s">
        <v>2022</v>
      </c>
      <c r="E1728" s="238" t="s">
        <v>1934</v>
      </c>
      <c r="F1728" s="238" t="s">
        <v>1825</v>
      </c>
      <c r="G1728" s="238" t="s">
        <v>108</v>
      </c>
      <c r="H1728" s="239" t="s">
        <v>3581</v>
      </c>
      <c r="I1728" s="217"/>
      <c r="J1728" s="217"/>
      <c r="K1728" s="217"/>
      <c r="L1728" s="217"/>
      <c r="M1728" s="217"/>
      <c r="N1728" s="217"/>
      <c r="O1728" s="217"/>
      <c r="P1728" s="217"/>
    </row>
    <row r="1729" spans="1:16" s="219" customFormat="1" ht="30" hidden="1" x14ac:dyDescent="0.25">
      <c r="A1729" s="214"/>
      <c r="B1729" s="237">
        <v>1</v>
      </c>
      <c r="C1729" s="237">
        <v>3</v>
      </c>
      <c r="D1729" s="238" t="s">
        <v>2022</v>
      </c>
      <c r="E1729" s="238" t="s">
        <v>1934</v>
      </c>
      <c r="F1729" s="238" t="s">
        <v>1825</v>
      </c>
      <c r="G1729" s="238" t="s">
        <v>135</v>
      </c>
      <c r="H1729" s="239" t="s">
        <v>3582</v>
      </c>
      <c r="I1729" s="217"/>
      <c r="J1729" s="217"/>
      <c r="K1729" s="217"/>
      <c r="L1729" s="217"/>
      <c r="M1729" s="217"/>
      <c r="N1729" s="217"/>
      <c r="O1729" s="217"/>
      <c r="P1729" s="217"/>
    </row>
    <row r="1730" spans="1:16" s="219" customFormat="1" ht="45" hidden="1" x14ac:dyDescent="0.25">
      <c r="A1730" s="214"/>
      <c r="B1730" s="237">
        <v>1</v>
      </c>
      <c r="C1730" s="237">
        <v>3</v>
      </c>
      <c r="D1730" s="238" t="s">
        <v>2022</v>
      </c>
      <c r="E1730" s="238" t="s">
        <v>1934</v>
      </c>
      <c r="F1730" s="238" t="s">
        <v>1825</v>
      </c>
      <c r="G1730" s="238" t="s">
        <v>138</v>
      </c>
      <c r="H1730" s="239" t="s">
        <v>3583</v>
      </c>
      <c r="I1730" s="217"/>
      <c r="J1730" s="217"/>
      <c r="K1730" s="217"/>
      <c r="L1730" s="217"/>
      <c r="M1730" s="217"/>
      <c r="N1730" s="217"/>
      <c r="O1730" s="217"/>
      <c r="P1730" s="217"/>
    </row>
    <row r="1731" spans="1:16" s="219" customFormat="1" ht="45" hidden="1" x14ac:dyDescent="0.25">
      <c r="A1731" s="214"/>
      <c r="B1731" s="237">
        <v>1</v>
      </c>
      <c r="C1731" s="237">
        <v>3</v>
      </c>
      <c r="D1731" s="238" t="s">
        <v>2022</v>
      </c>
      <c r="E1731" s="238" t="s">
        <v>1934</v>
      </c>
      <c r="F1731" s="238" t="s">
        <v>1825</v>
      </c>
      <c r="G1731" s="238" t="s">
        <v>140</v>
      </c>
      <c r="H1731" s="239" t="s">
        <v>3584</v>
      </c>
      <c r="I1731" s="217"/>
      <c r="J1731" s="217"/>
      <c r="K1731" s="217"/>
      <c r="L1731" s="217"/>
      <c r="M1731" s="217"/>
      <c r="N1731" s="217"/>
      <c r="O1731" s="217"/>
      <c r="P1731" s="217"/>
    </row>
    <row r="1732" spans="1:16" s="219" customFormat="1" ht="45" hidden="1" x14ac:dyDescent="0.25">
      <c r="A1732" s="214"/>
      <c r="B1732" s="237">
        <v>1</v>
      </c>
      <c r="C1732" s="237">
        <v>3</v>
      </c>
      <c r="D1732" s="238" t="s">
        <v>2022</v>
      </c>
      <c r="E1732" s="238" t="s">
        <v>1934</v>
      </c>
      <c r="F1732" s="238" t="s">
        <v>1825</v>
      </c>
      <c r="G1732" s="238" t="s">
        <v>143</v>
      </c>
      <c r="H1732" s="239" t="s">
        <v>3585</v>
      </c>
      <c r="I1732" s="217"/>
      <c r="J1732" s="217"/>
      <c r="K1732" s="217"/>
      <c r="L1732" s="217"/>
      <c r="M1732" s="217"/>
      <c r="N1732" s="217"/>
      <c r="O1732" s="217"/>
      <c r="P1732" s="217"/>
    </row>
    <row r="1733" spans="1:16" s="219" customFormat="1" ht="60" hidden="1" x14ac:dyDescent="0.25">
      <c r="A1733" s="214"/>
      <c r="B1733" s="237">
        <v>1</v>
      </c>
      <c r="C1733" s="237">
        <v>3</v>
      </c>
      <c r="D1733" s="238" t="s">
        <v>2022</v>
      </c>
      <c r="E1733" s="238" t="s">
        <v>1934</v>
      </c>
      <c r="F1733" s="238" t="s">
        <v>1825</v>
      </c>
      <c r="G1733" s="238" t="s">
        <v>146</v>
      </c>
      <c r="H1733" s="239" t="s">
        <v>3586</v>
      </c>
      <c r="I1733" s="217"/>
      <c r="J1733" s="217"/>
      <c r="K1733" s="217"/>
      <c r="L1733" s="217"/>
      <c r="M1733" s="217"/>
      <c r="N1733" s="217"/>
      <c r="O1733" s="217"/>
      <c r="P1733" s="217"/>
    </row>
    <row r="1734" spans="1:16" s="219" customFormat="1" ht="45" hidden="1" x14ac:dyDescent="0.25">
      <c r="A1734" s="214"/>
      <c r="B1734" s="237">
        <v>1</v>
      </c>
      <c r="C1734" s="237">
        <v>3</v>
      </c>
      <c r="D1734" s="238" t="s">
        <v>2022</v>
      </c>
      <c r="E1734" s="238" t="s">
        <v>1934</v>
      </c>
      <c r="F1734" s="238" t="s">
        <v>1825</v>
      </c>
      <c r="G1734" s="238" t="s">
        <v>150</v>
      </c>
      <c r="H1734" s="239" t="s">
        <v>3587</v>
      </c>
      <c r="I1734" s="217"/>
      <c r="J1734" s="217"/>
      <c r="K1734" s="217"/>
      <c r="L1734" s="217"/>
      <c r="M1734" s="217"/>
      <c r="N1734" s="217"/>
      <c r="O1734" s="217"/>
      <c r="P1734" s="217"/>
    </row>
    <row r="1735" spans="1:16" s="219" customFormat="1" ht="45" hidden="1" x14ac:dyDescent="0.25">
      <c r="A1735" s="214"/>
      <c r="B1735" s="237">
        <v>1</v>
      </c>
      <c r="C1735" s="237">
        <v>3</v>
      </c>
      <c r="D1735" s="238" t="s">
        <v>2022</v>
      </c>
      <c r="E1735" s="238" t="s">
        <v>1934</v>
      </c>
      <c r="F1735" s="238" t="s">
        <v>1825</v>
      </c>
      <c r="G1735" s="238" t="s">
        <v>153</v>
      </c>
      <c r="H1735" s="239" t="s">
        <v>3588</v>
      </c>
      <c r="I1735" s="217"/>
      <c r="J1735" s="217"/>
      <c r="K1735" s="217"/>
      <c r="L1735" s="217"/>
      <c r="M1735" s="217"/>
      <c r="N1735" s="217"/>
      <c r="O1735" s="217"/>
      <c r="P1735" s="217"/>
    </row>
    <row r="1736" spans="1:16" s="219" customFormat="1" ht="45" hidden="1" x14ac:dyDescent="0.25">
      <c r="A1736" s="214"/>
      <c r="B1736" s="237">
        <v>1</v>
      </c>
      <c r="C1736" s="237">
        <v>3</v>
      </c>
      <c r="D1736" s="238" t="s">
        <v>2022</v>
      </c>
      <c r="E1736" s="238" t="s">
        <v>1934</v>
      </c>
      <c r="F1736" s="238" t="s">
        <v>1825</v>
      </c>
      <c r="G1736" s="238" t="s">
        <v>156</v>
      </c>
      <c r="H1736" s="239" t="s">
        <v>3589</v>
      </c>
      <c r="I1736" s="217"/>
      <c r="J1736" s="217"/>
      <c r="K1736" s="217"/>
      <c r="L1736" s="217"/>
      <c r="M1736" s="217"/>
      <c r="N1736" s="217"/>
      <c r="O1736" s="217"/>
      <c r="P1736" s="217"/>
    </row>
    <row r="1737" spans="1:16" s="219" customFormat="1" ht="60" hidden="1" x14ac:dyDescent="0.25">
      <c r="A1737" s="214"/>
      <c r="B1737" s="237">
        <v>1</v>
      </c>
      <c r="C1737" s="237">
        <v>3</v>
      </c>
      <c r="D1737" s="238" t="s">
        <v>2022</v>
      </c>
      <c r="E1737" s="238" t="s">
        <v>1934</v>
      </c>
      <c r="F1737" s="238" t="s">
        <v>1825</v>
      </c>
      <c r="G1737" s="238" t="s">
        <v>159</v>
      </c>
      <c r="H1737" s="239" t="s">
        <v>3590</v>
      </c>
      <c r="I1737" s="217"/>
      <c r="J1737" s="217"/>
      <c r="K1737" s="217"/>
      <c r="L1737" s="217"/>
      <c r="M1737" s="217"/>
      <c r="N1737" s="217"/>
      <c r="O1737" s="217"/>
      <c r="P1737" s="217"/>
    </row>
    <row r="1738" spans="1:16" s="219" customFormat="1" ht="30" hidden="1" x14ac:dyDescent="0.25">
      <c r="A1738" s="214"/>
      <c r="B1738" s="237">
        <v>1</v>
      </c>
      <c r="C1738" s="237">
        <v>3</v>
      </c>
      <c r="D1738" s="238" t="s">
        <v>2022</v>
      </c>
      <c r="E1738" s="238" t="s">
        <v>1934</v>
      </c>
      <c r="F1738" s="238" t="s">
        <v>1825</v>
      </c>
      <c r="G1738" s="238" t="s">
        <v>162</v>
      </c>
      <c r="H1738" s="239" t="s">
        <v>3591</v>
      </c>
      <c r="I1738" s="217"/>
      <c r="J1738" s="217"/>
      <c r="K1738" s="217"/>
      <c r="L1738" s="217"/>
      <c r="M1738" s="217"/>
      <c r="N1738" s="217"/>
      <c r="O1738" s="217"/>
      <c r="P1738" s="217"/>
    </row>
    <row r="1739" spans="1:16" s="219" customFormat="1" ht="30" hidden="1" x14ac:dyDescent="0.25">
      <c r="A1739" s="214"/>
      <c r="B1739" s="237">
        <v>1</v>
      </c>
      <c r="C1739" s="237">
        <v>3</v>
      </c>
      <c r="D1739" s="238" t="s">
        <v>2022</v>
      </c>
      <c r="E1739" s="238" t="s">
        <v>1934</v>
      </c>
      <c r="F1739" s="238" t="s">
        <v>1825</v>
      </c>
      <c r="G1739" s="238" t="s">
        <v>312</v>
      </c>
      <c r="H1739" s="239" t="s">
        <v>3592</v>
      </c>
      <c r="I1739" s="217"/>
      <c r="J1739" s="217"/>
      <c r="K1739" s="217"/>
      <c r="L1739" s="217"/>
      <c r="M1739" s="217"/>
      <c r="N1739" s="217"/>
      <c r="O1739" s="217"/>
      <c r="P1739" s="217"/>
    </row>
    <row r="1740" spans="1:16" s="219" customFormat="1" ht="45" hidden="1" x14ac:dyDescent="0.25">
      <c r="A1740" s="214"/>
      <c r="B1740" s="237">
        <v>1</v>
      </c>
      <c r="C1740" s="237">
        <v>3</v>
      </c>
      <c r="D1740" s="238" t="s">
        <v>2022</v>
      </c>
      <c r="E1740" s="238" t="s">
        <v>1934</v>
      </c>
      <c r="F1740" s="238" t="s">
        <v>1825</v>
      </c>
      <c r="G1740" s="238" t="s">
        <v>313</v>
      </c>
      <c r="H1740" s="239" t="s">
        <v>3593</v>
      </c>
      <c r="I1740" s="217"/>
      <c r="J1740" s="217"/>
      <c r="K1740" s="217"/>
      <c r="L1740" s="217"/>
      <c r="M1740" s="217"/>
      <c r="N1740" s="217"/>
      <c r="O1740" s="217"/>
      <c r="P1740" s="217"/>
    </row>
    <row r="1741" spans="1:16" s="219" customFormat="1" ht="45" hidden="1" x14ac:dyDescent="0.25">
      <c r="A1741" s="214"/>
      <c r="B1741" s="237">
        <v>1</v>
      </c>
      <c r="C1741" s="237">
        <v>3</v>
      </c>
      <c r="D1741" s="238" t="s">
        <v>2022</v>
      </c>
      <c r="E1741" s="238" t="s">
        <v>1934</v>
      </c>
      <c r="F1741" s="238" t="s">
        <v>1825</v>
      </c>
      <c r="G1741" s="238" t="s">
        <v>559</v>
      </c>
      <c r="H1741" s="239" t="s">
        <v>3594</v>
      </c>
      <c r="I1741" s="217"/>
      <c r="J1741" s="217"/>
      <c r="K1741" s="217"/>
      <c r="L1741" s="217"/>
      <c r="M1741" s="217"/>
      <c r="N1741" s="217"/>
      <c r="O1741" s="217"/>
      <c r="P1741" s="217"/>
    </row>
    <row r="1742" spans="1:16" s="219" customFormat="1" ht="60" hidden="1" x14ac:dyDescent="0.25">
      <c r="A1742" s="214"/>
      <c r="B1742" s="237">
        <v>1</v>
      </c>
      <c r="C1742" s="237">
        <v>3</v>
      </c>
      <c r="D1742" s="238" t="s">
        <v>2022</v>
      </c>
      <c r="E1742" s="238" t="s">
        <v>1934</v>
      </c>
      <c r="F1742" s="238" t="s">
        <v>1825</v>
      </c>
      <c r="G1742" s="238" t="s">
        <v>561</v>
      </c>
      <c r="H1742" s="239" t="s">
        <v>3595</v>
      </c>
      <c r="I1742" s="217"/>
      <c r="J1742" s="217"/>
      <c r="K1742" s="217"/>
      <c r="L1742" s="217"/>
      <c r="M1742" s="217"/>
      <c r="N1742" s="217"/>
      <c r="O1742" s="217"/>
      <c r="P1742" s="217"/>
    </row>
    <row r="1743" spans="1:16" s="219" customFormat="1" ht="60" hidden="1" x14ac:dyDescent="0.25">
      <c r="A1743" s="214"/>
      <c r="B1743" s="237">
        <v>1</v>
      </c>
      <c r="C1743" s="237">
        <v>3</v>
      </c>
      <c r="D1743" s="238" t="s">
        <v>2022</v>
      </c>
      <c r="E1743" s="238" t="s">
        <v>1934</v>
      </c>
      <c r="F1743" s="238" t="s">
        <v>1825</v>
      </c>
      <c r="G1743" s="238" t="s">
        <v>563</v>
      </c>
      <c r="H1743" s="239" t="s">
        <v>3596</v>
      </c>
      <c r="I1743" s="217"/>
      <c r="J1743" s="217"/>
      <c r="K1743" s="217"/>
      <c r="L1743" s="217"/>
      <c r="M1743" s="217"/>
      <c r="N1743" s="217"/>
      <c r="O1743" s="217"/>
      <c r="P1743" s="217"/>
    </row>
    <row r="1744" spans="1:16" s="219" customFormat="1" ht="30" hidden="1" x14ac:dyDescent="0.25">
      <c r="A1744" s="214"/>
      <c r="B1744" s="237">
        <v>1</v>
      </c>
      <c r="C1744" s="237">
        <v>3</v>
      </c>
      <c r="D1744" s="238" t="s">
        <v>2022</v>
      </c>
      <c r="E1744" s="238" t="s">
        <v>1934</v>
      </c>
      <c r="F1744" s="238" t="s">
        <v>1825</v>
      </c>
      <c r="G1744" s="238" t="s">
        <v>227</v>
      </c>
      <c r="H1744" s="239" t="s">
        <v>3597</v>
      </c>
      <c r="I1744" s="217"/>
      <c r="J1744" s="217"/>
      <c r="K1744" s="217"/>
      <c r="L1744" s="217"/>
      <c r="M1744" s="217"/>
      <c r="N1744" s="217"/>
      <c r="O1744" s="217"/>
      <c r="P1744" s="217"/>
    </row>
    <row r="1745" spans="1:16" s="219" customFormat="1" ht="30" hidden="1" x14ac:dyDescent="0.25">
      <c r="A1745" s="214"/>
      <c r="B1745" s="237">
        <v>1</v>
      </c>
      <c r="C1745" s="237">
        <v>3</v>
      </c>
      <c r="D1745" s="238" t="s">
        <v>2022</v>
      </c>
      <c r="E1745" s="238" t="s">
        <v>1934</v>
      </c>
      <c r="F1745" s="238" t="s">
        <v>1825</v>
      </c>
      <c r="G1745" s="238" t="s">
        <v>230</v>
      </c>
      <c r="H1745" s="239" t="s">
        <v>3598</v>
      </c>
      <c r="I1745" s="217"/>
      <c r="J1745" s="217"/>
      <c r="K1745" s="217"/>
      <c r="L1745" s="217"/>
      <c r="M1745" s="217"/>
      <c r="N1745" s="217"/>
      <c r="O1745" s="217"/>
      <c r="P1745" s="217"/>
    </row>
    <row r="1746" spans="1:16" s="213" customFormat="1" ht="45" hidden="1" x14ac:dyDescent="0.25">
      <c r="A1746" s="208" t="s">
        <v>263</v>
      </c>
      <c r="B1746" s="234">
        <v>1</v>
      </c>
      <c r="C1746" s="234">
        <v>3</v>
      </c>
      <c r="D1746" s="235" t="s">
        <v>2022</v>
      </c>
      <c r="E1746" s="235" t="s">
        <v>1934</v>
      </c>
      <c r="F1746" s="235" t="s">
        <v>1836</v>
      </c>
      <c r="G1746" s="234"/>
      <c r="H1746" s="236" t="s">
        <v>3599</v>
      </c>
      <c r="I1746" s="211">
        <f>SUM(I1747:I1756)</f>
        <v>0</v>
      </c>
      <c r="J1746" s="211">
        <f t="shared" ref="J1746:P1746" si="185">SUM(J1747:J1756)</f>
        <v>0</v>
      </c>
      <c r="K1746" s="211">
        <f t="shared" si="185"/>
        <v>0</v>
      </c>
      <c r="L1746" s="211">
        <f t="shared" si="185"/>
        <v>0</v>
      </c>
      <c r="M1746" s="211">
        <f t="shared" si="185"/>
        <v>0</v>
      </c>
      <c r="N1746" s="211">
        <f t="shared" si="185"/>
        <v>0</v>
      </c>
      <c r="O1746" s="211">
        <f t="shared" si="185"/>
        <v>0</v>
      </c>
      <c r="P1746" s="211">
        <f t="shared" si="185"/>
        <v>0</v>
      </c>
    </row>
    <row r="1747" spans="1:16" s="219" customFormat="1" ht="30" hidden="1" x14ac:dyDescent="0.25">
      <c r="A1747" s="214"/>
      <c r="B1747" s="237">
        <v>1</v>
      </c>
      <c r="C1747" s="237">
        <v>3</v>
      </c>
      <c r="D1747" s="238" t="s">
        <v>2022</v>
      </c>
      <c r="E1747" s="238" t="s">
        <v>1934</v>
      </c>
      <c r="F1747" s="238" t="s">
        <v>1836</v>
      </c>
      <c r="G1747" s="238" t="s">
        <v>58</v>
      </c>
      <c r="H1747" s="239" t="s">
        <v>3600</v>
      </c>
      <c r="I1747" s="217"/>
      <c r="J1747" s="217"/>
      <c r="K1747" s="217"/>
      <c r="L1747" s="217"/>
      <c r="M1747" s="217"/>
      <c r="N1747" s="217"/>
      <c r="O1747" s="217"/>
      <c r="P1747" s="217"/>
    </row>
    <row r="1748" spans="1:16" s="219" customFormat="1" ht="30" hidden="1" x14ac:dyDescent="0.25">
      <c r="A1748" s="214"/>
      <c r="B1748" s="237">
        <v>1</v>
      </c>
      <c r="C1748" s="237">
        <v>3</v>
      </c>
      <c r="D1748" s="238" t="s">
        <v>2022</v>
      </c>
      <c r="E1748" s="238" t="s">
        <v>1934</v>
      </c>
      <c r="F1748" s="238" t="s">
        <v>1836</v>
      </c>
      <c r="G1748" s="238" t="s">
        <v>75</v>
      </c>
      <c r="H1748" s="239" t="s">
        <v>3601</v>
      </c>
      <c r="I1748" s="217"/>
      <c r="J1748" s="217"/>
      <c r="K1748" s="217"/>
      <c r="L1748" s="217"/>
      <c r="M1748" s="217"/>
      <c r="N1748" s="217"/>
      <c r="O1748" s="217"/>
      <c r="P1748" s="217"/>
    </row>
    <row r="1749" spans="1:16" s="219" customFormat="1" ht="45" hidden="1" x14ac:dyDescent="0.25">
      <c r="A1749" s="214"/>
      <c r="B1749" s="237">
        <v>1</v>
      </c>
      <c r="C1749" s="237">
        <v>3</v>
      </c>
      <c r="D1749" s="238" t="s">
        <v>2022</v>
      </c>
      <c r="E1749" s="238" t="s">
        <v>1934</v>
      </c>
      <c r="F1749" s="238" t="s">
        <v>1836</v>
      </c>
      <c r="G1749" s="238" t="s">
        <v>79</v>
      </c>
      <c r="H1749" s="239" t="s">
        <v>3602</v>
      </c>
      <c r="I1749" s="217"/>
      <c r="J1749" s="217"/>
      <c r="K1749" s="217"/>
      <c r="L1749" s="217"/>
      <c r="M1749" s="217"/>
      <c r="N1749" s="217"/>
      <c r="O1749" s="217"/>
      <c r="P1749" s="217"/>
    </row>
    <row r="1750" spans="1:16" s="219" customFormat="1" ht="45" hidden="1" x14ac:dyDescent="0.25">
      <c r="A1750" s="214"/>
      <c r="B1750" s="237">
        <v>1</v>
      </c>
      <c r="C1750" s="237">
        <v>3</v>
      </c>
      <c r="D1750" s="238" t="s">
        <v>2022</v>
      </c>
      <c r="E1750" s="238" t="s">
        <v>1934</v>
      </c>
      <c r="F1750" s="238" t="s">
        <v>1836</v>
      </c>
      <c r="G1750" s="238" t="s">
        <v>84</v>
      </c>
      <c r="H1750" s="239" t="s">
        <v>3603</v>
      </c>
      <c r="I1750" s="217"/>
      <c r="J1750" s="217"/>
      <c r="K1750" s="217"/>
      <c r="L1750" s="217"/>
      <c r="M1750" s="217"/>
      <c r="N1750" s="217"/>
      <c r="O1750" s="217"/>
      <c r="P1750" s="217"/>
    </row>
    <row r="1751" spans="1:16" s="219" customFormat="1" ht="30" hidden="1" x14ac:dyDescent="0.25">
      <c r="A1751" s="214"/>
      <c r="B1751" s="237">
        <v>1</v>
      </c>
      <c r="C1751" s="237">
        <v>3</v>
      </c>
      <c r="D1751" s="238" t="s">
        <v>2022</v>
      </c>
      <c r="E1751" s="238" t="s">
        <v>1934</v>
      </c>
      <c r="F1751" s="238" t="s">
        <v>1836</v>
      </c>
      <c r="G1751" s="238" t="s">
        <v>88</v>
      </c>
      <c r="H1751" s="239" t="s">
        <v>3604</v>
      </c>
      <c r="I1751" s="217"/>
      <c r="J1751" s="217"/>
      <c r="K1751" s="217"/>
      <c r="L1751" s="217"/>
      <c r="M1751" s="217"/>
      <c r="N1751" s="217"/>
      <c r="O1751" s="217"/>
      <c r="P1751" s="217"/>
    </row>
    <row r="1752" spans="1:16" s="219" customFormat="1" ht="60" hidden="1" x14ac:dyDescent="0.25">
      <c r="A1752" s="214"/>
      <c r="B1752" s="237">
        <v>1</v>
      </c>
      <c r="C1752" s="237">
        <v>3</v>
      </c>
      <c r="D1752" s="238" t="s">
        <v>2022</v>
      </c>
      <c r="E1752" s="238" t="s">
        <v>1934</v>
      </c>
      <c r="F1752" s="238" t="s">
        <v>1836</v>
      </c>
      <c r="G1752" s="238" t="s">
        <v>92</v>
      </c>
      <c r="H1752" s="239" t="s">
        <v>3605</v>
      </c>
      <c r="I1752" s="217"/>
      <c r="J1752" s="217"/>
      <c r="K1752" s="217"/>
      <c r="L1752" s="217"/>
      <c r="M1752" s="217"/>
      <c r="N1752" s="217"/>
      <c r="O1752" s="217"/>
      <c r="P1752" s="217"/>
    </row>
    <row r="1753" spans="1:16" s="219" customFormat="1" ht="45" hidden="1" x14ac:dyDescent="0.25">
      <c r="A1753" s="214"/>
      <c r="B1753" s="237">
        <v>1</v>
      </c>
      <c r="C1753" s="237">
        <v>3</v>
      </c>
      <c r="D1753" s="238" t="s">
        <v>2022</v>
      </c>
      <c r="E1753" s="238" t="s">
        <v>1934</v>
      </c>
      <c r="F1753" s="238" t="s">
        <v>1836</v>
      </c>
      <c r="G1753" s="238" t="s">
        <v>96</v>
      </c>
      <c r="H1753" s="239" t="s">
        <v>3606</v>
      </c>
      <c r="I1753" s="217"/>
      <c r="J1753" s="217"/>
      <c r="K1753" s="217"/>
      <c r="L1753" s="217"/>
      <c r="M1753" s="217"/>
      <c r="N1753" s="217"/>
      <c r="O1753" s="217"/>
      <c r="P1753" s="217"/>
    </row>
    <row r="1754" spans="1:16" s="219" customFormat="1" ht="45" hidden="1" x14ac:dyDescent="0.25">
      <c r="A1754" s="214"/>
      <c r="B1754" s="237">
        <v>1</v>
      </c>
      <c r="C1754" s="237">
        <v>3</v>
      </c>
      <c r="D1754" s="238" t="s">
        <v>2022</v>
      </c>
      <c r="E1754" s="238" t="s">
        <v>1934</v>
      </c>
      <c r="F1754" s="238" t="s">
        <v>1836</v>
      </c>
      <c r="G1754" s="238" t="s">
        <v>100</v>
      </c>
      <c r="H1754" s="239" t="s">
        <v>3607</v>
      </c>
      <c r="I1754" s="217"/>
      <c r="J1754" s="217"/>
      <c r="K1754" s="217"/>
      <c r="L1754" s="217"/>
      <c r="M1754" s="217"/>
      <c r="N1754" s="217"/>
      <c r="O1754" s="217"/>
      <c r="P1754" s="217"/>
    </row>
    <row r="1755" spans="1:16" s="219" customFormat="1" ht="45" hidden="1" x14ac:dyDescent="0.25">
      <c r="A1755" s="214"/>
      <c r="B1755" s="237">
        <v>1</v>
      </c>
      <c r="C1755" s="237">
        <v>3</v>
      </c>
      <c r="D1755" s="238" t="s">
        <v>2022</v>
      </c>
      <c r="E1755" s="238" t="s">
        <v>1934</v>
      </c>
      <c r="F1755" s="238" t="s">
        <v>1836</v>
      </c>
      <c r="G1755" s="238" t="s">
        <v>105</v>
      </c>
      <c r="H1755" s="239" t="s">
        <v>3608</v>
      </c>
      <c r="I1755" s="217"/>
      <c r="J1755" s="217"/>
      <c r="K1755" s="217"/>
      <c r="L1755" s="217"/>
      <c r="M1755" s="217"/>
      <c r="N1755" s="217"/>
      <c r="O1755" s="217"/>
      <c r="P1755" s="217"/>
    </row>
    <row r="1756" spans="1:16" s="219" customFormat="1" ht="45" hidden="1" x14ac:dyDescent="0.25">
      <c r="A1756" s="214"/>
      <c r="B1756" s="237">
        <v>1</v>
      </c>
      <c r="C1756" s="237">
        <v>3</v>
      </c>
      <c r="D1756" s="238" t="s">
        <v>2022</v>
      </c>
      <c r="E1756" s="238" t="s">
        <v>1934</v>
      </c>
      <c r="F1756" s="238" t="s">
        <v>1836</v>
      </c>
      <c r="G1756" s="238" t="s">
        <v>108</v>
      </c>
      <c r="H1756" s="239" t="s">
        <v>3609</v>
      </c>
      <c r="I1756" s="217"/>
      <c r="J1756" s="217"/>
      <c r="K1756" s="217"/>
      <c r="L1756" s="217"/>
      <c r="M1756" s="217"/>
      <c r="N1756" s="217"/>
      <c r="O1756" s="217"/>
      <c r="P1756" s="217"/>
    </row>
    <row r="1757" spans="1:16" s="213" customFormat="1" ht="30" hidden="1" x14ac:dyDescent="0.25">
      <c r="A1757" s="208" t="s">
        <v>263</v>
      </c>
      <c r="B1757" s="234">
        <v>1</v>
      </c>
      <c r="C1757" s="234">
        <v>3</v>
      </c>
      <c r="D1757" s="235" t="s">
        <v>2022</v>
      </c>
      <c r="E1757" s="235" t="s">
        <v>1934</v>
      </c>
      <c r="F1757" s="235" t="s">
        <v>1847</v>
      </c>
      <c r="G1757" s="234"/>
      <c r="H1757" s="236" t="s">
        <v>3610</v>
      </c>
      <c r="I1757" s="211">
        <f>SUM(I1758:I1766)</f>
        <v>0</v>
      </c>
      <c r="J1757" s="211">
        <f t="shared" ref="J1757:P1757" si="186">SUM(J1758:J1766)</f>
        <v>0</v>
      </c>
      <c r="K1757" s="211">
        <f t="shared" si="186"/>
        <v>0</v>
      </c>
      <c r="L1757" s="211">
        <f t="shared" si="186"/>
        <v>0</v>
      </c>
      <c r="M1757" s="211">
        <f t="shared" si="186"/>
        <v>0</v>
      </c>
      <c r="N1757" s="211">
        <f t="shared" si="186"/>
        <v>0</v>
      </c>
      <c r="O1757" s="211">
        <f t="shared" si="186"/>
        <v>0</v>
      </c>
      <c r="P1757" s="211">
        <f t="shared" si="186"/>
        <v>0</v>
      </c>
    </row>
    <row r="1758" spans="1:16" s="219" customFormat="1" ht="30" hidden="1" x14ac:dyDescent="0.25">
      <c r="A1758" s="214"/>
      <c r="B1758" s="237">
        <v>1</v>
      </c>
      <c r="C1758" s="237">
        <v>3</v>
      </c>
      <c r="D1758" s="238" t="s">
        <v>2022</v>
      </c>
      <c r="E1758" s="238" t="s">
        <v>1934</v>
      </c>
      <c r="F1758" s="238" t="s">
        <v>1847</v>
      </c>
      <c r="G1758" s="238" t="s">
        <v>58</v>
      </c>
      <c r="H1758" s="239" t="s">
        <v>3611</v>
      </c>
      <c r="I1758" s="217"/>
      <c r="J1758" s="217"/>
      <c r="K1758" s="217"/>
      <c r="L1758" s="217"/>
      <c r="M1758" s="217"/>
      <c r="N1758" s="217"/>
      <c r="O1758" s="217"/>
      <c r="P1758" s="217"/>
    </row>
    <row r="1759" spans="1:16" s="219" customFormat="1" ht="30" hidden="1" x14ac:dyDescent="0.25">
      <c r="A1759" s="214"/>
      <c r="B1759" s="237">
        <v>1</v>
      </c>
      <c r="C1759" s="237">
        <v>3</v>
      </c>
      <c r="D1759" s="238" t="s">
        <v>2022</v>
      </c>
      <c r="E1759" s="238" t="s">
        <v>1934</v>
      </c>
      <c r="F1759" s="238" t="s">
        <v>1847</v>
      </c>
      <c r="G1759" s="238" t="s">
        <v>75</v>
      </c>
      <c r="H1759" s="239" t="s">
        <v>3612</v>
      </c>
      <c r="I1759" s="217"/>
      <c r="J1759" s="217"/>
      <c r="K1759" s="217"/>
      <c r="L1759" s="217"/>
      <c r="M1759" s="217"/>
      <c r="N1759" s="217"/>
      <c r="O1759" s="217"/>
      <c r="P1759" s="217"/>
    </row>
    <row r="1760" spans="1:16" s="219" customFormat="1" ht="30" hidden="1" x14ac:dyDescent="0.25">
      <c r="A1760" s="214"/>
      <c r="B1760" s="237">
        <v>1</v>
      </c>
      <c r="C1760" s="237">
        <v>3</v>
      </c>
      <c r="D1760" s="238" t="s">
        <v>2022</v>
      </c>
      <c r="E1760" s="238" t="s">
        <v>1934</v>
      </c>
      <c r="F1760" s="238" t="s">
        <v>1847</v>
      </c>
      <c r="G1760" s="238" t="s">
        <v>79</v>
      </c>
      <c r="H1760" s="239" t="s">
        <v>3613</v>
      </c>
      <c r="I1760" s="217"/>
      <c r="J1760" s="217"/>
      <c r="K1760" s="217"/>
      <c r="L1760" s="217"/>
      <c r="M1760" s="217"/>
      <c r="N1760" s="217"/>
      <c r="O1760" s="217"/>
      <c r="P1760" s="217"/>
    </row>
    <row r="1761" spans="1:16" s="219" customFormat="1" ht="30" hidden="1" x14ac:dyDescent="0.25">
      <c r="A1761" s="214"/>
      <c r="B1761" s="237">
        <v>1</v>
      </c>
      <c r="C1761" s="237">
        <v>3</v>
      </c>
      <c r="D1761" s="238" t="s">
        <v>2022</v>
      </c>
      <c r="E1761" s="238" t="s">
        <v>1934</v>
      </c>
      <c r="F1761" s="238" t="s">
        <v>1847</v>
      </c>
      <c r="G1761" s="238" t="s">
        <v>84</v>
      </c>
      <c r="H1761" s="239" t="s">
        <v>3614</v>
      </c>
      <c r="I1761" s="217"/>
      <c r="J1761" s="217"/>
      <c r="K1761" s="217"/>
      <c r="L1761" s="217"/>
      <c r="M1761" s="217"/>
      <c r="N1761" s="217"/>
      <c r="O1761" s="217"/>
      <c r="P1761" s="217"/>
    </row>
    <row r="1762" spans="1:16" s="219" customFormat="1" ht="30" hidden="1" x14ac:dyDescent="0.25">
      <c r="A1762" s="214"/>
      <c r="B1762" s="237">
        <v>1</v>
      </c>
      <c r="C1762" s="237">
        <v>3</v>
      </c>
      <c r="D1762" s="238" t="s">
        <v>2022</v>
      </c>
      <c r="E1762" s="238" t="s">
        <v>1934</v>
      </c>
      <c r="F1762" s="238" t="s">
        <v>1847</v>
      </c>
      <c r="G1762" s="238" t="s">
        <v>88</v>
      </c>
      <c r="H1762" s="239" t="s">
        <v>3615</v>
      </c>
      <c r="I1762" s="217"/>
      <c r="J1762" s="217"/>
      <c r="K1762" s="217"/>
      <c r="L1762" s="217"/>
      <c r="M1762" s="217"/>
      <c r="N1762" s="217"/>
      <c r="O1762" s="217"/>
      <c r="P1762" s="217"/>
    </row>
    <row r="1763" spans="1:16" s="219" customFormat="1" ht="30" hidden="1" x14ac:dyDescent="0.25">
      <c r="A1763" s="214"/>
      <c r="B1763" s="237">
        <v>1</v>
      </c>
      <c r="C1763" s="237">
        <v>3</v>
      </c>
      <c r="D1763" s="238" t="s">
        <v>2022</v>
      </c>
      <c r="E1763" s="238" t="s">
        <v>1934</v>
      </c>
      <c r="F1763" s="238" t="s">
        <v>1847</v>
      </c>
      <c r="G1763" s="238" t="s">
        <v>92</v>
      </c>
      <c r="H1763" s="239" t="s">
        <v>3616</v>
      </c>
      <c r="I1763" s="217"/>
      <c r="J1763" s="217"/>
      <c r="K1763" s="217"/>
      <c r="L1763" s="217"/>
      <c r="M1763" s="217"/>
      <c r="N1763" s="217"/>
      <c r="O1763" s="217"/>
      <c r="P1763" s="217"/>
    </row>
    <row r="1764" spans="1:16" s="219" customFormat="1" ht="30" hidden="1" x14ac:dyDescent="0.25">
      <c r="A1764" s="214"/>
      <c r="B1764" s="237">
        <v>1</v>
      </c>
      <c r="C1764" s="237">
        <v>3</v>
      </c>
      <c r="D1764" s="238" t="s">
        <v>2022</v>
      </c>
      <c r="E1764" s="238" t="s">
        <v>1934</v>
      </c>
      <c r="F1764" s="238" t="s">
        <v>1847</v>
      </c>
      <c r="G1764" s="238" t="s">
        <v>96</v>
      </c>
      <c r="H1764" s="239" t="s">
        <v>3617</v>
      </c>
      <c r="I1764" s="217"/>
      <c r="J1764" s="217"/>
      <c r="K1764" s="217"/>
      <c r="L1764" s="217"/>
      <c r="M1764" s="217"/>
      <c r="N1764" s="217"/>
      <c r="O1764" s="217"/>
      <c r="P1764" s="217"/>
    </row>
    <row r="1765" spans="1:16" s="219" customFormat="1" ht="30" hidden="1" x14ac:dyDescent="0.25">
      <c r="A1765" s="214"/>
      <c r="B1765" s="237">
        <v>1</v>
      </c>
      <c r="C1765" s="237">
        <v>3</v>
      </c>
      <c r="D1765" s="238" t="s">
        <v>2022</v>
      </c>
      <c r="E1765" s="238" t="s">
        <v>1934</v>
      </c>
      <c r="F1765" s="238" t="s">
        <v>1847</v>
      </c>
      <c r="G1765" s="238" t="s">
        <v>100</v>
      </c>
      <c r="H1765" s="239" t="s">
        <v>3618</v>
      </c>
      <c r="I1765" s="217"/>
      <c r="J1765" s="217"/>
      <c r="K1765" s="217"/>
      <c r="L1765" s="217"/>
      <c r="M1765" s="217"/>
      <c r="N1765" s="217"/>
      <c r="O1765" s="217"/>
      <c r="P1765" s="217"/>
    </row>
    <row r="1766" spans="1:16" s="219" customFormat="1" ht="30" hidden="1" x14ac:dyDescent="0.25">
      <c r="A1766" s="214"/>
      <c r="B1766" s="237">
        <v>1</v>
      </c>
      <c r="C1766" s="237">
        <v>3</v>
      </c>
      <c r="D1766" s="238" t="s">
        <v>2022</v>
      </c>
      <c r="E1766" s="238" t="s">
        <v>1934</v>
      </c>
      <c r="F1766" s="238" t="s">
        <v>1847</v>
      </c>
      <c r="G1766" s="238" t="s">
        <v>105</v>
      </c>
      <c r="H1766" s="239" t="s">
        <v>3619</v>
      </c>
      <c r="I1766" s="217"/>
      <c r="J1766" s="217"/>
      <c r="K1766" s="217"/>
      <c r="L1766" s="217"/>
      <c r="M1766" s="217"/>
      <c r="N1766" s="217"/>
      <c r="O1766" s="217"/>
      <c r="P1766" s="217"/>
    </row>
    <row r="1767" spans="1:16" s="213" customFormat="1" ht="30" hidden="1" x14ac:dyDescent="0.25">
      <c r="A1767" s="208" t="s">
        <v>263</v>
      </c>
      <c r="B1767" s="234">
        <v>1</v>
      </c>
      <c r="C1767" s="234">
        <v>3</v>
      </c>
      <c r="D1767" s="235" t="s">
        <v>2022</v>
      </c>
      <c r="E1767" s="235" t="s">
        <v>1934</v>
      </c>
      <c r="F1767" s="235" t="s">
        <v>1928</v>
      </c>
      <c r="G1767" s="234"/>
      <c r="H1767" s="236" t="s">
        <v>3620</v>
      </c>
      <c r="I1767" s="211">
        <f>SUM(I1768:I1777)</f>
        <v>0</v>
      </c>
      <c r="J1767" s="211">
        <f t="shared" ref="J1767:P1767" si="187">SUM(J1768:J1777)</f>
        <v>0</v>
      </c>
      <c r="K1767" s="211">
        <f t="shared" si="187"/>
        <v>0</v>
      </c>
      <c r="L1767" s="211">
        <f t="shared" si="187"/>
        <v>0</v>
      </c>
      <c r="M1767" s="211">
        <f t="shared" si="187"/>
        <v>0</v>
      </c>
      <c r="N1767" s="211">
        <f t="shared" si="187"/>
        <v>0</v>
      </c>
      <c r="O1767" s="211">
        <f t="shared" si="187"/>
        <v>0</v>
      </c>
      <c r="P1767" s="211">
        <f t="shared" si="187"/>
        <v>0</v>
      </c>
    </row>
    <row r="1768" spans="1:16" s="219" customFormat="1" ht="45" hidden="1" x14ac:dyDescent="0.25">
      <c r="A1768" s="214"/>
      <c r="B1768" s="237">
        <v>1</v>
      </c>
      <c r="C1768" s="237">
        <v>3</v>
      </c>
      <c r="D1768" s="238" t="s">
        <v>2022</v>
      </c>
      <c r="E1768" s="238" t="s">
        <v>1934</v>
      </c>
      <c r="F1768" s="238" t="s">
        <v>1928</v>
      </c>
      <c r="G1768" s="238" t="s">
        <v>58</v>
      </c>
      <c r="H1768" s="239" t="s">
        <v>3621</v>
      </c>
      <c r="I1768" s="217"/>
      <c r="J1768" s="217"/>
      <c r="K1768" s="217"/>
      <c r="L1768" s="217"/>
      <c r="M1768" s="217"/>
      <c r="N1768" s="217"/>
      <c r="O1768" s="217"/>
      <c r="P1768" s="217"/>
    </row>
    <row r="1769" spans="1:16" s="219" customFormat="1" ht="90" hidden="1" x14ac:dyDescent="0.25">
      <c r="A1769" s="214"/>
      <c r="B1769" s="237">
        <v>1</v>
      </c>
      <c r="C1769" s="237">
        <v>3</v>
      </c>
      <c r="D1769" s="238" t="s">
        <v>2022</v>
      </c>
      <c r="E1769" s="238" t="s">
        <v>1934</v>
      </c>
      <c r="F1769" s="238" t="s">
        <v>1928</v>
      </c>
      <c r="G1769" s="238" t="s">
        <v>75</v>
      </c>
      <c r="H1769" s="239" t="s">
        <v>3622</v>
      </c>
      <c r="I1769" s="217"/>
      <c r="J1769" s="217"/>
      <c r="K1769" s="217"/>
      <c r="L1769" s="217"/>
      <c r="M1769" s="217"/>
      <c r="N1769" s="217"/>
      <c r="O1769" s="217"/>
      <c r="P1769" s="217"/>
    </row>
    <row r="1770" spans="1:16" s="219" customFormat="1" ht="90" hidden="1" x14ac:dyDescent="0.25">
      <c r="A1770" s="214"/>
      <c r="B1770" s="237">
        <v>1</v>
      </c>
      <c r="C1770" s="237">
        <v>3</v>
      </c>
      <c r="D1770" s="238" t="s">
        <v>2022</v>
      </c>
      <c r="E1770" s="238" t="s">
        <v>1934</v>
      </c>
      <c r="F1770" s="238" t="s">
        <v>1928</v>
      </c>
      <c r="G1770" s="238" t="s">
        <v>79</v>
      </c>
      <c r="H1770" s="239" t="s">
        <v>3623</v>
      </c>
      <c r="I1770" s="217"/>
      <c r="J1770" s="217"/>
      <c r="K1770" s="217"/>
      <c r="L1770" s="217"/>
      <c r="M1770" s="217"/>
      <c r="N1770" s="217"/>
      <c r="O1770" s="217"/>
      <c r="P1770" s="217"/>
    </row>
    <row r="1771" spans="1:16" s="219" customFormat="1" ht="60" hidden="1" x14ac:dyDescent="0.25">
      <c r="A1771" s="214"/>
      <c r="B1771" s="237">
        <v>1</v>
      </c>
      <c r="C1771" s="237">
        <v>3</v>
      </c>
      <c r="D1771" s="238" t="s">
        <v>2022</v>
      </c>
      <c r="E1771" s="238" t="s">
        <v>1934</v>
      </c>
      <c r="F1771" s="238" t="s">
        <v>1928</v>
      </c>
      <c r="G1771" s="238" t="s">
        <v>84</v>
      </c>
      <c r="H1771" s="239" t="s">
        <v>3624</v>
      </c>
      <c r="I1771" s="217"/>
      <c r="J1771" s="217"/>
      <c r="K1771" s="217"/>
      <c r="L1771" s="217"/>
      <c r="M1771" s="217"/>
      <c r="N1771" s="217"/>
      <c r="O1771" s="217"/>
      <c r="P1771" s="217"/>
    </row>
    <row r="1772" spans="1:16" s="219" customFormat="1" ht="75" hidden="1" x14ac:dyDescent="0.25">
      <c r="A1772" s="214"/>
      <c r="B1772" s="237">
        <v>1</v>
      </c>
      <c r="C1772" s="237">
        <v>3</v>
      </c>
      <c r="D1772" s="238" t="s">
        <v>2022</v>
      </c>
      <c r="E1772" s="238" t="s">
        <v>1934</v>
      </c>
      <c r="F1772" s="238" t="s">
        <v>1928</v>
      </c>
      <c r="G1772" s="238" t="s">
        <v>88</v>
      </c>
      <c r="H1772" s="239" t="s">
        <v>3625</v>
      </c>
      <c r="I1772" s="217"/>
      <c r="J1772" s="217"/>
      <c r="K1772" s="217"/>
      <c r="L1772" s="217"/>
      <c r="M1772" s="217"/>
      <c r="N1772" s="217"/>
      <c r="O1772" s="217"/>
      <c r="P1772" s="217"/>
    </row>
    <row r="1773" spans="1:16" s="219" customFormat="1" ht="60" hidden="1" x14ac:dyDescent="0.25">
      <c r="A1773" s="214"/>
      <c r="B1773" s="237">
        <v>1</v>
      </c>
      <c r="C1773" s="237">
        <v>3</v>
      </c>
      <c r="D1773" s="238" t="s">
        <v>2022</v>
      </c>
      <c r="E1773" s="238" t="s">
        <v>1934</v>
      </c>
      <c r="F1773" s="238" t="s">
        <v>1928</v>
      </c>
      <c r="G1773" s="238" t="s">
        <v>92</v>
      </c>
      <c r="H1773" s="239" t="s">
        <v>3626</v>
      </c>
      <c r="I1773" s="217"/>
      <c r="J1773" s="217"/>
      <c r="K1773" s="217"/>
      <c r="L1773" s="217"/>
      <c r="M1773" s="217"/>
      <c r="N1773" s="217"/>
      <c r="O1773" s="217"/>
      <c r="P1773" s="217"/>
    </row>
    <row r="1774" spans="1:16" s="219" customFormat="1" ht="90" hidden="1" x14ac:dyDescent="0.25">
      <c r="A1774" s="214"/>
      <c r="B1774" s="237">
        <v>1</v>
      </c>
      <c r="C1774" s="237">
        <v>3</v>
      </c>
      <c r="D1774" s="238" t="s">
        <v>2022</v>
      </c>
      <c r="E1774" s="238" t="s">
        <v>1934</v>
      </c>
      <c r="F1774" s="238" t="s">
        <v>1928</v>
      </c>
      <c r="G1774" s="238" t="s">
        <v>96</v>
      </c>
      <c r="H1774" s="239" t="s">
        <v>3627</v>
      </c>
      <c r="I1774" s="217"/>
      <c r="J1774" s="217"/>
      <c r="K1774" s="217"/>
      <c r="L1774" s="217"/>
      <c r="M1774" s="217"/>
      <c r="N1774" s="217"/>
      <c r="O1774" s="217"/>
      <c r="P1774" s="217"/>
    </row>
    <row r="1775" spans="1:16" s="219" customFormat="1" ht="90" hidden="1" x14ac:dyDescent="0.25">
      <c r="A1775" s="214"/>
      <c r="B1775" s="237">
        <v>1</v>
      </c>
      <c r="C1775" s="237">
        <v>3</v>
      </c>
      <c r="D1775" s="238" t="s">
        <v>2022</v>
      </c>
      <c r="E1775" s="238" t="s">
        <v>1934</v>
      </c>
      <c r="F1775" s="238" t="s">
        <v>1928</v>
      </c>
      <c r="G1775" s="238" t="s">
        <v>100</v>
      </c>
      <c r="H1775" s="239" t="s">
        <v>3628</v>
      </c>
      <c r="I1775" s="217"/>
      <c r="J1775" s="217"/>
      <c r="K1775" s="217"/>
      <c r="L1775" s="217"/>
      <c r="M1775" s="217"/>
      <c r="N1775" s="217"/>
      <c r="O1775" s="217"/>
      <c r="P1775" s="217"/>
    </row>
    <row r="1776" spans="1:16" s="219" customFormat="1" ht="90" hidden="1" x14ac:dyDescent="0.25">
      <c r="A1776" s="214"/>
      <c r="B1776" s="237">
        <v>1</v>
      </c>
      <c r="C1776" s="237">
        <v>3</v>
      </c>
      <c r="D1776" s="238" t="s">
        <v>2022</v>
      </c>
      <c r="E1776" s="238" t="s">
        <v>1934</v>
      </c>
      <c r="F1776" s="238" t="s">
        <v>1928</v>
      </c>
      <c r="G1776" s="238" t="s">
        <v>105</v>
      </c>
      <c r="H1776" s="239" t="s">
        <v>3629</v>
      </c>
      <c r="I1776" s="217"/>
      <c r="J1776" s="217"/>
      <c r="K1776" s="217"/>
      <c r="L1776" s="217"/>
      <c r="M1776" s="217"/>
      <c r="N1776" s="217"/>
      <c r="O1776" s="217"/>
      <c r="P1776" s="217"/>
    </row>
    <row r="1777" spans="1:17" s="219" customFormat="1" ht="45" hidden="1" x14ac:dyDescent="0.25">
      <c r="A1777" s="214"/>
      <c r="B1777" s="237">
        <v>1</v>
      </c>
      <c r="C1777" s="237">
        <v>3</v>
      </c>
      <c r="D1777" s="238" t="s">
        <v>2022</v>
      </c>
      <c r="E1777" s="238" t="s">
        <v>1934</v>
      </c>
      <c r="F1777" s="238" t="s">
        <v>1928</v>
      </c>
      <c r="G1777" s="238" t="s">
        <v>108</v>
      </c>
      <c r="H1777" s="239" t="s">
        <v>3630</v>
      </c>
      <c r="I1777" s="217"/>
      <c r="J1777" s="217"/>
      <c r="K1777" s="217"/>
      <c r="L1777" s="217"/>
      <c r="M1777" s="217"/>
      <c r="N1777" s="217"/>
      <c r="O1777" s="217"/>
      <c r="P1777" s="217"/>
    </row>
    <row r="1778" spans="1:17" s="213" customFormat="1" ht="30" hidden="1" x14ac:dyDescent="0.25">
      <c r="A1778" s="208" t="s">
        <v>263</v>
      </c>
      <c r="B1778" s="234">
        <v>1</v>
      </c>
      <c r="C1778" s="234">
        <v>3</v>
      </c>
      <c r="D1778" s="235" t="s">
        <v>2022</v>
      </c>
      <c r="E1778" s="235" t="s">
        <v>1934</v>
      </c>
      <c r="F1778" s="235" t="s">
        <v>1934</v>
      </c>
      <c r="G1778" s="234"/>
      <c r="H1778" s="236" t="s">
        <v>3631</v>
      </c>
      <c r="I1778" s="211">
        <f>I1779</f>
        <v>0</v>
      </c>
      <c r="J1778" s="211">
        <f t="shared" ref="J1778:P1778" si="188">J1779</f>
        <v>0</v>
      </c>
      <c r="K1778" s="211">
        <f t="shared" si="188"/>
        <v>0</v>
      </c>
      <c r="L1778" s="211">
        <f t="shared" si="188"/>
        <v>0</v>
      </c>
      <c r="M1778" s="211">
        <f t="shared" si="188"/>
        <v>0</v>
      </c>
      <c r="N1778" s="211">
        <f t="shared" si="188"/>
        <v>0</v>
      </c>
      <c r="O1778" s="211">
        <f t="shared" si="188"/>
        <v>0</v>
      </c>
      <c r="P1778" s="211">
        <f t="shared" si="188"/>
        <v>0</v>
      </c>
    </row>
    <row r="1779" spans="1:17" s="219" customFormat="1" ht="30" hidden="1" x14ac:dyDescent="0.25">
      <c r="A1779" s="214"/>
      <c r="B1779" s="237">
        <v>1</v>
      </c>
      <c r="C1779" s="237">
        <v>3</v>
      </c>
      <c r="D1779" s="238" t="s">
        <v>2022</v>
      </c>
      <c r="E1779" s="238" t="s">
        <v>1934</v>
      </c>
      <c r="F1779" s="238" t="s">
        <v>1934</v>
      </c>
      <c r="G1779" s="238" t="s">
        <v>58</v>
      </c>
      <c r="H1779" s="239" t="s">
        <v>3632</v>
      </c>
      <c r="I1779" s="217"/>
      <c r="J1779" s="217"/>
      <c r="K1779" s="217"/>
      <c r="L1779" s="217"/>
      <c r="M1779" s="217"/>
      <c r="N1779" s="217"/>
      <c r="O1779" s="217"/>
      <c r="P1779" s="217"/>
    </row>
    <row r="1780" spans="1:17" s="213" customFormat="1" ht="30" hidden="1" x14ac:dyDescent="0.25">
      <c r="A1780" s="208" t="s">
        <v>263</v>
      </c>
      <c r="B1780" s="234">
        <v>1</v>
      </c>
      <c r="C1780" s="234">
        <v>3</v>
      </c>
      <c r="D1780" s="235" t="s">
        <v>2022</v>
      </c>
      <c r="E1780" s="235" t="s">
        <v>1934</v>
      </c>
      <c r="F1780" s="235" t="s">
        <v>2022</v>
      </c>
      <c r="G1780" s="234"/>
      <c r="H1780" s="236" t="s">
        <v>3633</v>
      </c>
      <c r="I1780" s="211">
        <f>SUM(I1781:I1787)</f>
        <v>0</v>
      </c>
      <c r="J1780" s="211">
        <f t="shared" ref="J1780:P1780" si="189">SUM(J1781:J1787)</f>
        <v>0</v>
      </c>
      <c r="K1780" s="211">
        <f t="shared" si="189"/>
        <v>0</v>
      </c>
      <c r="L1780" s="211">
        <f t="shared" si="189"/>
        <v>0</v>
      </c>
      <c r="M1780" s="211">
        <f t="shared" si="189"/>
        <v>0</v>
      </c>
      <c r="N1780" s="211">
        <f t="shared" si="189"/>
        <v>0</v>
      </c>
      <c r="O1780" s="211">
        <f t="shared" si="189"/>
        <v>0</v>
      </c>
      <c r="P1780" s="211">
        <f t="shared" si="189"/>
        <v>0</v>
      </c>
    </row>
    <row r="1781" spans="1:17" s="219" customFormat="1" ht="30" hidden="1" x14ac:dyDescent="0.25">
      <c r="A1781" s="214"/>
      <c r="B1781" s="237">
        <v>1</v>
      </c>
      <c r="C1781" s="237">
        <v>3</v>
      </c>
      <c r="D1781" s="238" t="s">
        <v>2022</v>
      </c>
      <c r="E1781" s="238" t="s">
        <v>1934</v>
      </c>
      <c r="F1781" s="238" t="s">
        <v>2022</v>
      </c>
      <c r="G1781" s="238" t="s">
        <v>58</v>
      </c>
      <c r="H1781" s="239" t="s">
        <v>3634</v>
      </c>
      <c r="I1781" s="217"/>
      <c r="J1781" s="217"/>
      <c r="K1781" s="217"/>
      <c r="L1781" s="217"/>
      <c r="M1781" s="217"/>
      <c r="N1781" s="217"/>
      <c r="O1781" s="217"/>
      <c r="P1781" s="217"/>
    </row>
    <row r="1782" spans="1:17" s="219" customFormat="1" ht="45" hidden="1" x14ac:dyDescent="0.25">
      <c r="A1782" s="214"/>
      <c r="B1782" s="237">
        <v>1</v>
      </c>
      <c r="C1782" s="237">
        <v>3</v>
      </c>
      <c r="D1782" s="238" t="s">
        <v>2022</v>
      </c>
      <c r="E1782" s="238" t="s">
        <v>1934</v>
      </c>
      <c r="F1782" s="238" t="s">
        <v>2022</v>
      </c>
      <c r="G1782" s="238" t="s">
        <v>75</v>
      </c>
      <c r="H1782" s="239" t="s">
        <v>3635</v>
      </c>
      <c r="I1782" s="217"/>
      <c r="J1782" s="217"/>
      <c r="K1782" s="217"/>
      <c r="L1782" s="217"/>
      <c r="M1782" s="217"/>
      <c r="N1782" s="217"/>
      <c r="O1782" s="217"/>
      <c r="P1782" s="217"/>
    </row>
    <row r="1783" spans="1:17" s="219" customFormat="1" ht="30" hidden="1" x14ac:dyDescent="0.25">
      <c r="A1783" s="214"/>
      <c r="B1783" s="237">
        <v>1</v>
      </c>
      <c r="C1783" s="237">
        <v>3</v>
      </c>
      <c r="D1783" s="238" t="s">
        <v>2022</v>
      </c>
      <c r="E1783" s="238" t="s">
        <v>1934</v>
      </c>
      <c r="F1783" s="238" t="s">
        <v>2022</v>
      </c>
      <c r="G1783" s="238" t="s">
        <v>79</v>
      </c>
      <c r="H1783" s="239" t="s">
        <v>3636</v>
      </c>
      <c r="I1783" s="217"/>
      <c r="J1783" s="217"/>
      <c r="K1783" s="217"/>
      <c r="L1783" s="217"/>
      <c r="M1783" s="217"/>
      <c r="N1783" s="217"/>
      <c r="O1783" s="217"/>
      <c r="P1783" s="217"/>
    </row>
    <row r="1784" spans="1:17" s="219" customFormat="1" ht="30" hidden="1" x14ac:dyDescent="0.25">
      <c r="A1784" s="214"/>
      <c r="B1784" s="237">
        <v>1</v>
      </c>
      <c r="C1784" s="237">
        <v>3</v>
      </c>
      <c r="D1784" s="238" t="s">
        <v>2022</v>
      </c>
      <c r="E1784" s="238" t="s">
        <v>1934</v>
      </c>
      <c r="F1784" s="238" t="s">
        <v>2022</v>
      </c>
      <c r="G1784" s="238" t="s">
        <v>84</v>
      </c>
      <c r="H1784" s="239" t="s">
        <v>3637</v>
      </c>
      <c r="I1784" s="217"/>
      <c r="J1784" s="217"/>
      <c r="K1784" s="217"/>
      <c r="L1784" s="217"/>
      <c r="M1784" s="217"/>
      <c r="N1784" s="217"/>
      <c r="O1784" s="217"/>
      <c r="P1784" s="217"/>
    </row>
    <row r="1785" spans="1:17" s="219" customFormat="1" ht="30" hidden="1" x14ac:dyDescent="0.25">
      <c r="A1785" s="214"/>
      <c r="B1785" s="237">
        <v>1</v>
      </c>
      <c r="C1785" s="237">
        <v>3</v>
      </c>
      <c r="D1785" s="238" t="s">
        <v>2022</v>
      </c>
      <c r="E1785" s="238" t="s">
        <v>1934</v>
      </c>
      <c r="F1785" s="238" t="s">
        <v>2022</v>
      </c>
      <c r="G1785" s="238" t="s">
        <v>88</v>
      </c>
      <c r="H1785" s="239" t="s">
        <v>3638</v>
      </c>
      <c r="I1785" s="217"/>
      <c r="J1785" s="217"/>
      <c r="K1785" s="217"/>
      <c r="L1785" s="217"/>
      <c r="M1785" s="217"/>
      <c r="N1785" s="217"/>
      <c r="O1785" s="217"/>
      <c r="P1785" s="217"/>
    </row>
    <row r="1786" spans="1:17" s="219" customFormat="1" ht="30" hidden="1" x14ac:dyDescent="0.25">
      <c r="A1786" s="214"/>
      <c r="B1786" s="237">
        <v>1</v>
      </c>
      <c r="C1786" s="237">
        <v>3</v>
      </c>
      <c r="D1786" s="238" t="s">
        <v>2022</v>
      </c>
      <c r="E1786" s="238" t="s">
        <v>1934</v>
      </c>
      <c r="F1786" s="238" t="s">
        <v>2022</v>
      </c>
      <c r="G1786" s="238" t="s">
        <v>92</v>
      </c>
      <c r="H1786" s="239" t="s">
        <v>3639</v>
      </c>
      <c r="I1786" s="217"/>
      <c r="J1786" s="217"/>
      <c r="K1786" s="217"/>
      <c r="L1786" s="217"/>
      <c r="M1786" s="217"/>
      <c r="N1786" s="217"/>
      <c r="O1786" s="217"/>
      <c r="P1786" s="217"/>
    </row>
    <row r="1787" spans="1:17" s="219" customFormat="1" ht="45" hidden="1" x14ac:dyDescent="0.25">
      <c r="A1787" s="214"/>
      <c r="B1787" s="237">
        <v>1</v>
      </c>
      <c r="C1787" s="237">
        <v>3</v>
      </c>
      <c r="D1787" s="238" t="s">
        <v>2022</v>
      </c>
      <c r="E1787" s="238" t="s">
        <v>1934</v>
      </c>
      <c r="F1787" s="238" t="s">
        <v>2022</v>
      </c>
      <c r="G1787" s="238" t="s">
        <v>96</v>
      </c>
      <c r="H1787" s="239" t="s">
        <v>3640</v>
      </c>
      <c r="I1787" s="217"/>
      <c r="J1787" s="217"/>
      <c r="K1787" s="217"/>
      <c r="L1787" s="217"/>
      <c r="M1787" s="217"/>
      <c r="N1787" s="217"/>
      <c r="O1787" s="217"/>
      <c r="P1787" s="217"/>
    </row>
    <row r="1788" spans="1:17" s="213" customFormat="1" ht="30" hidden="1" x14ac:dyDescent="0.25">
      <c r="A1788" s="208" t="s">
        <v>263</v>
      </c>
      <c r="B1788" s="234">
        <v>1</v>
      </c>
      <c r="C1788" s="234">
        <v>3</v>
      </c>
      <c r="D1788" s="235" t="s">
        <v>2022</v>
      </c>
      <c r="E1788" s="235" t="s">
        <v>1934</v>
      </c>
      <c r="F1788" s="235" t="s">
        <v>2100</v>
      </c>
      <c r="G1788" s="234"/>
      <c r="H1788" s="236" t="s">
        <v>3641</v>
      </c>
      <c r="I1788" s="211">
        <f>I1789</f>
        <v>0</v>
      </c>
      <c r="J1788" s="211">
        <f t="shared" ref="J1788:P1788" si="190">J1789</f>
        <v>0</v>
      </c>
      <c r="K1788" s="211">
        <f t="shared" si="190"/>
        <v>0</v>
      </c>
      <c r="L1788" s="211">
        <f t="shared" si="190"/>
        <v>0</v>
      </c>
      <c r="M1788" s="211">
        <f t="shared" si="190"/>
        <v>0</v>
      </c>
      <c r="N1788" s="211">
        <f t="shared" si="190"/>
        <v>0</v>
      </c>
      <c r="O1788" s="211">
        <f t="shared" si="190"/>
        <v>0</v>
      </c>
      <c r="P1788" s="211">
        <f t="shared" si="190"/>
        <v>0</v>
      </c>
    </row>
    <row r="1789" spans="1:17" s="219" customFormat="1" ht="30" hidden="1" x14ac:dyDescent="0.25">
      <c r="A1789" s="214"/>
      <c r="B1789" s="237">
        <v>1</v>
      </c>
      <c r="C1789" s="237">
        <v>3</v>
      </c>
      <c r="D1789" s="238" t="s">
        <v>2022</v>
      </c>
      <c r="E1789" s="238" t="s">
        <v>1934</v>
      </c>
      <c r="F1789" s="238" t="s">
        <v>2100</v>
      </c>
      <c r="G1789" s="238" t="s">
        <v>58</v>
      </c>
      <c r="H1789" s="239" t="s">
        <v>3641</v>
      </c>
      <c r="I1789" s="217"/>
      <c r="J1789" s="217"/>
      <c r="K1789" s="217"/>
      <c r="L1789" s="217"/>
      <c r="M1789" s="217"/>
      <c r="N1789" s="217"/>
      <c r="O1789" s="217"/>
      <c r="P1789" s="217"/>
    </row>
    <row r="1790" spans="1:17" s="227" customFormat="1" hidden="1" x14ac:dyDescent="0.25">
      <c r="A1790" s="221"/>
      <c r="B1790" s="222"/>
      <c r="C1790" s="224"/>
      <c r="D1790" s="224"/>
      <c r="E1790" s="224"/>
      <c r="F1790" s="224"/>
      <c r="G1790" s="224"/>
      <c r="H1790" s="240"/>
      <c r="I1790" s="241"/>
      <c r="J1790" s="241"/>
      <c r="K1790" s="241"/>
      <c r="L1790" s="241"/>
      <c r="M1790" s="241"/>
      <c r="N1790" s="241"/>
      <c r="O1790" s="241"/>
      <c r="P1790" s="241"/>
    </row>
    <row r="1791" spans="1:17" s="231" customFormat="1" x14ac:dyDescent="0.25">
      <c r="A1791" s="228">
        <v>7</v>
      </c>
      <c r="B1791" s="229">
        <v>7</v>
      </c>
      <c r="C1791" s="223" t="s">
        <v>2100</v>
      </c>
      <c r="D1791" s="223"/>
      <c r="E1791" s="223"/>
      <c r="F1791" s="223"/>
      <c r="G1791" s="223"/>
      <c r="H1791" s="225" t="s">
        <v>3642</v>
      </c>
      <c r="I1791" s="230">
        <f>SUM(I1792+I1803+I1810+I1822+I1827+I1835)</f>
        <v>25200000</v>
      </c>
      <c r="J1791" s="230">
        <f t="shared" ref="J1791:P1791" si="191">SUM(J1792+J1803+J1810+J1822+J1827+J1835)</f>
        <v>0</v>
      </c>
      <c r="K1791" s="230">
        <f t="shared" si="191"/>
        <v>0</v>
      </c>
      <c r="L1791" s="230">
        <f t="shared" si="191"/>
        <v>0</v>
      </c>
      <c r="M1791" s="230">
        <f t="shared" si="191"/>
        <v>0</v>
      </c>
      <c r="N1791" s="230">
        <f t="shared" si="191"/>
        <v>0</v>
      </c>
      <c r="O1791" s="230">
        <f t="shared" si="191"/>
        <v>0</v>
      </c>
      <c r="P1791" s="230">
        <f t="shared" si="191"/>
        <v>0</v>
      </c>
    </row>
    <row r="1792" spans="1:17" s="213" customFormat="1" hidden="1" x14ac:dyDescent="0.25">
      <c r="A1792" s="208" t="s">
        <v>1827</v>
      </c>
      <c r="B1792" s="209" t="s">
        <v>1822</v>
      </c>
      <c r="C1792" s="209" t="s">
        <v>3643</v>
      </c>
      <c r="D1792" s="209" t="s">
        <v>1825</v>
      </c>
      <c r="E1792" s="209"/>
      <c r="F1792" s="209"/>
      <c r="G1792" s="209"/>
      <c r="H1792" s="210" t="s">
        <v>3644</v>
      </c>
      <c r="I1792" s="211">
        <f>I1793+I1798</f>
        <v>0</v>
      </c>
      <c r="J1792" s="211">
        <f t="shared" ref="J1792:P1792" si="192">J1793+J1798</f>
        <v>0</v>
      </c>
      <c r="K1792" s="211">
        <f t="shared" si="192"/>
        <v>0</v>
      </c>
      <c r="L1792" s="211">
        <f t="shared" si="192"/>
        <v>0</v>
      </c>
      <c r="M1792" s="211">
        <f t="shared" si="192"/>
        <v>0</v>
      </c>
      <c r="N1792" s="211">
        <f t="shared" si="192"/>
        <v>0</v>
      </c>
      <c r="O1792" s="211">
        <f t="shared" si="192"/>
        <v>0</v>
      </c>
      <c r="P1792" s="211">
        <f t="shared" si="192"/>
        <v>0</v>
      </c>
      <c r="Q1792" s="212"/>
    </row>
    <row r="1793" spans="1:17" s="213" customFormat="1" hidden="1" x14ac:dyDescent="0.25">
      <c r="A1793" s="208"/>
      <c r="B1793" s="209" t="s">
        <v>1822</v>
      </c>
      <c r="C1793" s="209" t="s">
        <v>3643</v>
      </c>
      <c r="D1793" s="209" t="s">
        <v>1825</v>
      </c>
      <c r="E1793" s="209" t="s">
        <v>1825</v>
      </c>
      <c r="F1793" s="209"/>
      <c r="G1793" s="209"/>
      <c r="H1793" s="210" t="s">
        <v>3645</v>
      </c>
      <c r="I1793" s="211">
        <f>I1794</f>
        <v>0</v>
      </c>
      <c r="J1793" s="211">
        <f t="shared" ref="J1793:P1793" si="193">J1794</f>
        <v>0</v>
      </c>
      <c r="K1793" s="211">
        <f t="shared" si="193"/>
        <v>0</v>
      </c>
      <c r="L1793" s="211">
        <f t="shared" si="193"/>
        <v>0</v>
      </c>
      <c r="M1793" s="211">
        <f t="shared" si="193"/>
        <v>0</v>
      </c>
      <c r="N1793" s="211">
        <f t="shared" si="193"/>
        <v>0</v>
      </c>
      <c r="O1793" s="211">
        <f t="shared" si="193"/>
        <v>0</v>
      </c>
      <c r="P1793" s="211">
        <f t="shared" si="193"/>
        <v>0</v>
      </c>
      <c r="Q1793" s="212"/>
    </row>
    <row r="1794" spans="1:17" s="213" customFormat="1" ht="30" hidden="1" x14ac:dyDescent="0.25">
      <c r="A1794" s="208" t="s">
        <v>263</v>
      </c>
      <c r="B1794" s="209" t="s">
        <v>1822</v>
      </c>
      <c r="C1794" s="209" t="s">
        <v>3643</v>
      </c>
      <c r="D1794" s="209" t="s">
        <v>1825</v>
      </c>
      <c r="E1794" s="209" t="s">
        <v>1825</v>
      </c>
      <c r="F1794" s="209" t="s">
        <v>1825</v>
      </c>
      <c r="G1794" s="209"/>
      <c r="H1794" s="210" t="s">
        <v>3646</v>
      </c>
      <c r="I1794" s="211">
        <f>SUM(I1795:I1797)</f>
        <v>0</v>
      </c>
      <c r="J1794" s="211">
        <f t="shared" ref="J1794:P1794" si="194">SUM(J1795:J1797)</f>
        <v>0</v>
      </c>
      <c r="K1794" s="211">
        <f t="shared" si="194"/>
        <v>0</v>
      </c>
      <c r="L1794" s="211">
        <f t="shared" si="194"/>
        <v>0</v>
      </c>
      <c r="M1794" s="211">
        <f t="shared" si="194"/>
        <v>0</v>
      </c>
      <c r="N1794" s="211">
        <f t="shared" si="194"/>
        <v>0</v>
      </c>
      <c r="O1794" s="211">
        <f t="shared" si="194"/>
        <v>0</v>
      </c>
      <c r="P1794" s="211">
        <f t="shared" si="194"/>
        <v>0</v>
      </c>
      <c r="Q1794" s="212"/>
    </row>
    <row r="1795" spans="1:17" s="219" customFormat="1" ht="30" hidden="1" x14ac:dyDescent="0.25">
      <c r="A1795" s="214"/>
      <c r="B1795" s="215" t="s">
        <v>1822</v>
      </c>
      <c r="C1795" s="215" t="s">
        <v>3643</v>
      </c>
      <c r="D1795" s="215" t="s">
        <v>1825</v>
      </c>
      <c r="E1795" s="215" t="s">
        <v>1825</v>
      </c>
      <c r="F1795" s="215" t="s">
        <v>1825</v>
      </c>
      <c r="G1795" s="215" t="s">
        <v>58</v>
      </c>
      <c r="H1795" s="216" t="s">
        <v>3647</v>
      </c>
      <c r="I1795" s="217"/>
      <c r="J1795" s="217"/>
      <c r="K1795" s="217"/>
      <c r="L1795" s="217"/>
      <c r="M1795" s="217"/>
      <c r="N1795" s="217"/>
      <c r="O1795" s="217"/>
      <c r="P1795" s="217"/>
      <c r="Q1795" s="218"/>
    </row>
    <row r="1796" spans="1:17" s="219" customFormat="1" ht="30" hidden="1" x14ac:dyDescent="0.25">
      <c r="A1796" s="214"/>
      <c r="B1796" s="215" t="s">
        <v>1822</v>
      </c>
      <c r="C1796" s="215" t="s">
        <v>3643</v>
      </c>
      <c r="D1796" s="215" t="s">
        <v>1825</v>
      </c>
      <c r="E1796" s="215" t="s">
        <v>1825</v>
      </c>
      <c r="F1796" s="215" t="s">
        <v>1836</v>
      </c>
      <c r="G1796" s="215"/>
      <c r="H1796" s="216" t="s">
        <v>3648</v>
      </c>
      <c r="I1796" s="217"/>
      <c r="J1796" s="217"/>
      <c r="K1796" s="217"/>
      <c r="L1796" s="217"/>
      <c r="M1796" s="217"/>
      <c r="N1796" s="217"/>
      <c r="O1796" s="217"/>
      <c r="P1796" s="217"/>
      <c r="Q1796" s="218"/>
    </row>
    <row r="1797" spans="1:17" s="219" customFormat="1" ht="30" hidden="1" x14ac:dyDescent="0.25">
      <c r="A1797" s="214"/>
      <c r="B1797" s="215" t="s">
        <v>1822</v>
      </c>
      <c r="C1797" s="215" t="s">
        <v>3643</v>
      </c>
      <c r="D1797" s="215" t="s">
        <v>1825</v>
      </c>
      <c r="E1797" s="215" t="s">
        <v>1825</v>
      </c>
      <c r="F1797" s="215" t="s">
        <v>1836</v>
      </c>
      <c r="G1797" s="215" t="s">
        <v>58</v>
      </c>
      <c r="H1797" s="216" t="s">
        <v>3649</v>
      </c>
      <c r="I1797" s="217"/>
      <c r="J1797" s="217"/>
      <c r="K1797" s="217"/>
      <c r="L1797" s="217"/>
      <c r="M1797" s="217"/>
      <c r="N1797" s="217"/>
      <c r="O1797" s="217"/>
      <c r="P1797" s="217"/>
      <c r="Q1797" s="218"/>
    </row>
    <row r="1798" spans="1:17" s="213" customFormat="1" hidden="1" x14ac:dyDescent="0.25">
      <c r="A1798" s="208"/>
      <c r="B1798" s="209" t="s">
        <v>1822</v>
      </c>
      <c r="C1798" s="209" t="s">
        <v>3643</v>
      </c>
      <c r="D1798" s="209" t="s">
        <v>1825</v>
      </c>
      <c r="E1798" s="209" t="s">
        <v>1836</v>
      </c>
      <c r="F1798" s="209"/>
      <c r="G1798" s="209"/>
      <c r="H1798" s="210" t="s">
        <v>3650</v>
      </c>
      <c r="I1798" s="211">
        <f>I1799+I1801</f>
        <v>0</v>
      </c>
      <c r="J1798" s="211">
        <f t="shared" ref="J1798:P1798" si="195">J1799+J1801</f>
        <v>0</v>
      </c>
      <c r="K1798" s="211">
        <f t="shared" si="195"/>
        <v>0</v>
      </c>
      <c r="L1798" s="211">
        <f t="shared" si="195"/>
        <v>0</v>
      </c>
      <c r="M1798" s="211">
        <f t="shared" si="195"/>
        <v>0</v>
      </c>
      <c r="N1798" s="211">
        <f t="shared" si="195"/>
        <v>0</v>
      </c>
      <c r="O1798" s="211">
        <f t="shared" si="195"/>
        <v>0</v>
      </c>
      <c r="P1798" s="211">
        <f t="shared" si="195"/>
        <v>0</v>
      </c>
      <c r="Q1798" s="212"/>
    </row>
    <row r="1799" spans="1:17" s="213" customFormat="1" ht="30" hidden="1" x14ac:dyDescent="0.25">
      <c r="A1799" s="208" t="s">
        <v>263</v>
      </c>
      <c r="B1799" s="209" t="s">
        <v>1822</v>
      </c>
      <c r="C1799" s="209" t="s">
        <v>3643</v>
      </c>
      <c r="D1799" s="209" t="s">
        <v>1825</v>
      </c>
      <c r="E1799" s="209" t="s">
        <v>1836</v>
      </c>
      <c r="F1799" s="209" t="s">
        <v>1825</v>
      </c>
      <c r="G1799" s="209"/>
      <c r="H1799" s="210" t="s">
        <v>3651</v>
      </c>
      <c r="I1799" s="211">
        <f>I1800</f>
        <v>0</v>
      </c>
      <c r="J1799" s="211">
        <f t="shared" ref="J1799:P1799" si="196">J1800</f>
        <v>0</v>
      </c>
      <c r="K1799" s="211">
        <f t="shared" si="196"/>
        <v>0</v>
      </c>
      <c r="L1799" s="211">
        <f t="shared" si="196"/>
        <v>0</v>
      </c>
      <c r="M1799" s="211">
        <f t="shared" si="196"/>
        <v>0</v>
      </c>
      <c r="N1799" s="211">
        <f t="shared" si="196"/>
        <v>0</v>
      </c>
      <c r="O1799" s="211">
        <f t="shared" si="196"/>
        <v>0</v>
      </c>
      <c r="P1799" s="211">
        <f t="shared" si="196"/>
        <v>0</v>
      </c>
      <c r="Q1799" s="212"/>
    </row>
    <row r="1800" spans="1:17" s="219" customFormat="1" ht="30" hidden="1" x14ac:dyDescent="0.25">
      <c r="A1800" s="214"/>
      <c r="B1800" s="215" t="s">
        <v>1822</v>
      </c>
      <c r="C1800" s="215" t="s">
        <v>3643</v>
      </c>
      <c r="D1800" s="215" t="s">
        <v>1825</v>
      </c>
      <c r="E1800" s="215" t="s">
        <v>1836</v>
      </c>
      <c r="F1800" s="215" t="s">
        <v>1825</v>
      </c>
      <c r="G1800" s="215" t="s">
        <v>58</v>
      </c>
      <c r="H1800" s="216" t="s">
        <v>3652</v>
      </c>
      <c r="I1800" s="217"/>
      <c r="J1800" s="217"/>
      <c r="K1800" s="217"/>
      <c r="L1800" s="217"/>
      <c r="M1800" s="217"/>
      <c r="N1800" s="217"/>
      <c r="O1800" s="217"/>
      <c r="P1800" s="217"/>
      <c r="Q1800" s="218"/>
    </row>
    <row r="1801" spans="1:17" s="213" customFormat="1" ht="45" hidden="1" x14ac:dyDescent="0.25">
      <c r="A1801" s="208" t="s">
        <v>263</v>
      </c>
      <c r="B1801" s="209" t="s">
        <v>1822</v>
      </c>
      <c r="C1801" s="209" t="s">
        <v>3643</v>
      </c>
      <c r="D1801" s="209" t="s">
        <v>1825</v>
      </c>
      <c r="E1801" s="209" t="s">
        <v>1836</v>
      </c>
      <c r="F1801" s="209" t="s">
        <v>1836</v>
      </c>
      <c r="G1801" s="209"/>
      <c r="H1801" s="210" t="s">
        <v>3653</v>
      </c>
      <c r="I1801" s="211">
        <f>I1802</f>
        <v>0</v>
      </c>
      <c r="J1801" s="211">
        <f t="shared" ref="J1801:P1801" si="197">J1802</f>
        <v>0</v>
      </c>
      <c r="K1801" s="211">
        <f t="shared" si="197"/>
        <v>0</v>
      </c>
      <c r="L1801" s="211">
        <f t="shared" si="197"/>
        <v>0</v>
      </c>
      <c r="M1801" s="211">
        <f t="shared" si="197"/>
        <v>0</v>
      </c>
      <c r="N1801" s="211">
        <f t="shared" si="197"/>
        <v>0</v>
      </c>
      <c r="O1801" s="211">
        <f t="shared" si="197"/>
        <v>0</v>
      </c>
      <c r="P1801" s="211">
        <f t="shared" si="197"/>
        <v>0</v>
      </c>
      <c r="Q1801" s="212"/>
    </row>
    <row r="1802" spans="1:17" s="219" customFormat="1" ht="45" hidden="1" x14ac:dyDescent="0.25">
      <c r="A1802" s="214"/>
      <c r="B1802" s="215" t="s">
        <v>1822</v>
      </c>
      <c r="C1802" s="215" t="s">
        <v>3643</v>
      </c>
      <c r="D1802" s="215" t="s">
        <v>1825</v>
      </c>
      <c r="E1802" s="215" t="s">
        <v>1836</v>
      </c>
      <c r="F1802" s="215" t="s">
        <v>1836</v>
      </c>
      <c r="G1802" s="215" t="s">
        <v>58</v>
      </c>
      <c r="H1802" s="216" t="s">
        <v>3653</v>
      </c>
      <c r="I1802" s="217"/>
      <c r="J1802" s="217"/>
      <c r="K1802" s="217"/>
      <c r="L1802" s="217"/>
      <c r="M1802" s="217"/>
      <c r="N1802" s="217"/>
      <c r="O1802" s="217"/>
      <c r="P1802" s="217"/>
      <c r="Q1802" s="218"/>
    </row>
    <row r="1803" spans="1:17" s="213" customFormat="1" hidden="1" x14ac:dyDescent="0.25">
      <c r="A1803" s="208" t="s">
        <v>1905</v>
      </c>
      <c r="B1803" s="209" t="s">
        <v>1822</v>
      </c>
      <c r="C1803" s="209" t="s">
        <v>3643</v>
      </c>
      <c r="D1803" s="209" t="s">
        <v>1836</v>
      </c>
      <c r="E1803" s="209"/>
      <c r="F1803" s="209"/>
      <c r="G1803" s="209"/>
      <c r="H1803" s="210" t="s">
        <v>3654</v>
      </c>
      <c r="I1803" s="211">
        <f>I1804</f>
        <v>0</v>
      </c>
      <c r="J1803" s="211">
        <f t="shared" ref="J1803:P1804" si="198">J1804</f>
        <v>0</v>
      </c>
      <c r="K1803" s="211">
        <f t="shared" si="198"/>
        <v>0</v>
      </c>
      <c r="L1803" s="211">
        <f t="shared" si="198"/>
        <v>0</v>
      </c>
      <c r="M1803" s="211">
        <f t="shared" si="198"/>
        <v>0</v>
      </c>
      <c r="N1803" s="211">
        <f t="shared" si="198"/>
        <v>0</v>
      </c>
      <c r="O1803" s="211">
        <f t="shared" si="198"/>
        <v>0</v>
      </c>
      <c r="P1803" s="211">
        <f t="shared" si="198"/>
        <v>0</v>
      </c>
      <c r="Q1803" s="212"/>
    </row>
    <row r="1804" spans="1:17" s="213" customFormat="1" hidden="1" x14ac:dyDescent="0.25">
      <c r="A1804" s="208" t="s">
        <v>263</v>
      </c>
      <c r="B1804" s="209" t="s">
        <v>1822</v>
      </c>
      <c r="C1804" s="209" t="s">
        <v>3643</v>
      </c>
      <c r="D1804" s="209" t="s">
        <v>1836</v>
      </c>
      <c r="E1804" s="209" t="s">
        <v>1825</v>
      </c>
      <c r="F1804" s="209"/>
      <c r="G1804" s="209"/>
      <c r="H1804" s="210" t="s">
        <v>3654</v>
      </c>
      <c r="I1804" s="211">
        <f>I1805</f>
        <v>0</v>
      </c>
      <c r="J1804" s="211">
        <f t="shared" si="198"/>
        <v>0</v>
      </c>
      <c r="K1804" s="211">
        <f t="shared" si="198"/>
        <v>0</v>
      </c>
      <c r="L1804" s="211">
        <f t="shared" si="198"/>
        <v>0</v>
      </c>
      <c r="M1804" s="211">
        <f t="shared" si="198"/>
        <v>0</v>
      </c>
      <c r="N1804" s="211">
        <f t="shared" si="198"/>
        <v>0</v>
      </c>
      <c r="O1804" s="211">
        <f t="shared" si="198"/>
        <v>0</v>
      </c>
      <c r="P1804" s="211">
        <f t="shared" si="198"/>
        <v>0</v>
      </c>
      <c r="Q1804" s="212"/>
    </row>
    <row r="1805" spans="1:17" s="213" customFormat="1" hidden="1" x14ac:dyDescent="0.25">
      <c r="A1805" s="208" t="s">
        <v>263</v>
      </c>
      <c r="B1805" s="209" t="s">
        <v>1822</v>
      </c>
      <c r="C1805" s="209" t="s">
        <v>3643</v>
      </c>
      <c r="D1805" s="209" t="s">
        <v>1836</v>
      </c>
      <c r="E1805" s="209" t="s">
        <v>1825</v>
      </c>
      <c r="F1805" s="209" t="s">
        <v>1825</v>
      </c>
      <c r="G1805" s="209"/>
      <c r="H1805" s="210" t="s">
        <v>3654</v>
      </c>
      <c r="I1805" s="211">
        <f>SUM(I1806:I1809)</f>
        <v>0</v>
      </c>
      <c r="J1805" s="211">
        <f t="shared" ref="J1805:P1805" si="199">SUM(J1806:J1809)</f>
        <v>0</v>
      </c>
      <c r="K1805" s="211">
        <f t="shared" si="199"/>
        <v>0</v>
      </c>
      <c r="L1805" s="211">
        <f t="shared" si="199"/>
        <v>0</v>
      </c>
      <c r="M1805" s="211">
        <f t="shared" si="199"/>
        <v>0</v>
      </c>
      <c r="N1805" s="211">
        <f t="shared" si="199"/>
        <v>0</v>
      </c>
      <c r="O1805" s="211">
        <f t="shared" si="199"/>
        <v>0</v>
      </c>
      <c r="P1805" s="211">
        <f t="shared" si="199"/>
        <v>0</v>
      </c>
      <c r="Q1805" s="212"/>
    </row>
    <row r="1806" spans="1:17" s="219" customFormat="1" hidden="1" x14ac:dyDescent="0.25">
      <c r="A1806" s="214"/>
      <c r="B1806" s="215" t="s">
        <v>1822</v>
      </c>
      <c r="C1806" s="215" t="s">
        <v>3643</v>
      </c>
      <c r="D1806" s="215" t="s">
        <v>1836</v>
      </c>
      <c r="E1806" s="215" t="s">
        <v>1825</v>
      </c>
      <c r="F1806" s="215" t="s">
        <v>1825</v>
      </c>
      <c r="G1806" s="215" t="s">
        <v>58</v>
      </c>
      <c r="H1806" s="216" t="s">
        <v>3655</v>
      </c>
      <c r="I1806" s="217"/>
      <c r="J1806" s="217"/>
      <c r="K1806" s="217"/>
      <c r="L1806" s="217"/>
      <c r="M1806" s="217"/>
      <c r="N1806" s="217"/>
      <c r="O1806" s="217"/>
      <c r="P1806" s="217"/>
      <c r="Q1806" s="218"/>
    </row>
    <row r="1807" spans="1:17" s="219" customFormat="1" hidden="1" x14ac:dyDescent="0.25">
      <c r="A1807" s="214"/>
      <c r="B1807" s="215" t="s">
        <v>1822</v>
      </c>
      <c r="C1807" s="215" t="s">
        <v>3643</v>
      </c>
      <c r="D1807" s="215" t="s">
        <v>1836</v>
      </c>
      <c r="E1807" s="215" t="s">
        <v>1825</v>
      </c>
      <c r="F1807" s="215" t="s">
        <v>1825</v>
      </c>
      <c r="G1807" s="215" t="s">
        <v>75</v>
      </c>
      <c r="H1807" s="216" t="s">
        <v>3656</v>
      </c>
      <c r="I1807" s="217"/>
      <c r="J1807" s="217"/>
      <c r="K1807" s="217"/>
      <c r="L1807" s="217"/>
      <c r="M1807" s="217"/>
      <c r="N1807" s="217"/>
      <c r="O1807" s="217"/>
      <c r="P1807" s="217"/>
      <c r="Q1807" s="218"/>
    </row>
    <row r="1808" spans="1:17" s="219" customFormat="1" ht="30" hidden="1" x14ac:dyDescent="0.25">
      <c r="A1808" s="214"/>
      <c r="B1808" s="215" t="s">
        <v>1822</v>
      </c>
      <c r="C1808" s="215" t="s">
        <v>3643</v>
      </c>
      <c r="D1808" s="215" t="s">
        <v>1836</v>
      </c>
      <c r="E1808" s="215" t="s">
        <v>1825</v>
      </c>
      <c r="F1808" s="215" t="s">
        <v>1825</v>
      </c>
      <c r="G1808" s="215" t="s">
        <v>79</v>
      </c>
      <c r="H1808" s="216" t="s">
        <v>3657</v>
      </c>
      <c r="I1808" s="217"/>
      <c r="J1808" s="217"/>
      <c r="K1808" s="217"/>
      <c r="L1808" s="217"/>
      <c r="M1808" s="217"/>
      <c r="N1808" s="217"/>
      <c r="O1808" s="217"/>
      <c r="P1808" s="217"/>
      <c r="Q1808" s="218"/>
    </row>
    <row r="1809" spans="1:17" s="219" customFormat="1" hidden="1" x14ac:dyDescent="0.25">
      <c r="A1809" s="214"/>
      <c r="B1809" s="215" t="s">
        <v>1822</v>
      </c>
      <c r="C1809" s="215" t="s">
        <v>3643</v>
      </c>
      <c r="D1809" s="215" t="s">
        <v>1836</v>
      </c>
      <c r="E1809" s="215" t="s">
        <v>1825</v>
      </c>
      <c r="F1809" s="215" t="s">
        <v>1825</v>
      </c>
      <c r="G1809" s="215" t="s">
        <v>84</v>
      </c>
      <c r="H1809" s="216" t="s">
        <v>3658</v>
      </c>
      <c r="I1809" s="217"/>
      <c r="J1809" s="217"/>
      <c r="K1809" s="217"/>
      <c r="L1809" s="217"/>
      <c r="M1809" s="217"/>
      <c r="N1809" s="217"/>
      <c r="O1809" s="217"/>
      <c r="P1809" s="217"/>
      <c r="Q1809" s="218"/>
    </row>
    <row r="1810" spans="1:17" s="213" customFormat="1" hidden="1" x14ac:dyDescent="0.25">
      <c r="A1810" s="208" t="s">
        <v>1938</v>
      </c>
      <c r="B1810" s="209" t="s">
        <v>1822</v>
      </c>
      <c r="C1810" s="209" t="s">
        <v>3643</v>
      </c>
      <c r="D1810" s="209" t="s">
        <v>1847</v>
      </c>
      <c r="E1810" s="209"/>
      <c r="F1810" s="209"/>
      <c r="G1810" s="209"/>
      <c r="H1810" s="210" t="s">
        <v>3659</v>
      </c>
      <c r="I1810" s="211">
        <f>I1811</f>
        <v>0</v>
      </c>
      <c r="J1810" s="211">
        <f t="shared" ref="J1810:P1811" si="200">J1811</f>
        <v>0</v>
      </c>
      <c r="K1810" s="211">
        <f t="shared" si="200"/>
        <v>0</v>
      </c>
      <c r="L1810" s="211">
        <f t="shared" si="200"/>
        <v>0</v>
      </c>
      <c r="M1810" s="211">
        <f t="shared" si="200"/>
        <v>0</v>
      </c>
      <c r="N1810" s="211">
        <f t="shared" si="200"/>
        <v>0</v>
      </c>
      <c r="O1810" s="211">
        <f t="shared" si="200"/>
        <v>0</v>
      </c>
      <c r="P1810" s="211">
        <f t="shared" si="200"/>
        <v>0</v>
      </c>
      <c r="Q1810" s="212"/>
    </row>
    <row r="1811" spans="1:17" s="213" customFormat="1" hidden="1" x14ac:dyDescent="0.25">
      <c r="A1811" s="208" t="s">
        <v>263</v>
      </c>
      <c r="B1811" s="209" t="s">
        <v>1822</v>
      </c>
      <c r="C1811" s="209" t="s">
        <v>3643</v>
      </c>
      <c r="D1811" s="209" t="s">
        <v>1847</v>
      </c>
      <c r="E1811" s="209" t="s">
        <v>1825</v>
      </c>
      <c r="F1811" s="209"/>
      <c r="G1811" s="209"/>
      <c r="H1811" s="210" t="s">
        <v>3659</v>
      </c>
      <c r="I1811" s="211">
        <f>I1812</f>
        <v>0</v>
      </c>
      <c r="J1811" s="211">
        <f t="shared" si="200"/>
        <v>0</v>
      </c>
      <c r="K1811" s="211">
        <f t="shared" si="200"/>
        <v>0</v>
      </c>
      <c r="L1811" s="211">
        <f t="shared" si="200"/>
        <v>0</v>
      </c>
      <c r="M1811" s="211">
        <f t="shared" si="200"/>
        <v>0</v>
      </c>
      <c r="N1811" s="211">
        <f t="shared" si="200"/>
        <v>0</v>
      </c>
      <c r="O1811" s="211">
        <f t="shared" si="200"/>
        <v>0</v>
      </c>
      <c r="P1811" s="211">
        <f t="shared" si="200"/>
        <v>0</v>
      </c>
      <c r="Q1811" s="212"/>
    </row>
    <row r="1812" spans="1:17" s="213" customFormat="1" hidden="1" x14ac:dyDescent="0.25">
      <c r="A1812" s="208" t="s">
        <v>263</v>
      </c>
      <c r="B1812" s="209" t="s">
        <v>1822</v>
      </c>
      <c r="C1812" s="209" t="s">
        <v>3643</v>
      </c>
      <c r="D1812" s="209" t="s">
        <v>1847</v>
      </c>
      <c r="E1812" s="209" t="s">
        <v>1825</v>
      </c>
      <c r="F1812" s="209" t="s">
        <v>1825</v>
      </c>
      <c r="G1812" s="209"/>
      <c r="H1812" s="210" t="s">
        <v>3659</v>
      </c>
      <c r="I1812" s="211">
        <f>SUM(I1813:I1821)</f>
        <v>0</v>
      </c>
      <c r="J1812" s="211">
        <f t="shared" ref="J1812:P1812" si="201">SUM(J1813:J1821)</f>
        <v>0</v>
      </c>
      <c r="K1812" s="211">
        <f t="shared" si="201"/>
        <v>0</v>
      </c>
      <c r="L1812" s="211">
        <f t="shared" si="201"/>
        <v>0</v>
      </c>
      <c r="M1812" s="211">
        <f t="shared" si="201"/>
        <v>0</v>
      </c>
      <c r="N1812" s="211">
        <f t="shared" si="201"/>
        <v>0</v>
      </c>
      <c r="O1812" s="211">
        <f t="shared" si="201"/>
        <v>0</v>
      </c>
      <c r="P1812" s="211">
        <f t="shared" si="201"/>
        <v>0</v>
      </c>
      <c r="Q1812" s="212"/>
    </row>
    <row r="1813" spans="1:17" s="219" customFormat="1" hidden="1" x14ac:dyDescent="0.25">
      <c r="A1813" s="214"/>
      <c r="B1813" s="215" t="s">
        <v>1822</v>
      </c>
      <c r="C1813" s="215" t="s">
        <v>3643</v>
      </c>
      <c r="D1813" s="215" t="s">
        <v>1847</v>
      </c>
      <c r="E1813" s="215" t="s">
        <v>1825</v>
      </c>
      <c r="F1813" s="215" t="s">
        <v>1825</v>
      </c>
      <c r="G1813" s="215" t="s">
        <v>58</v>
      </c>
      <c r="H1813" s="216" t="s">
        <v>3660</v>
      </c>
      <c r="I1813" s="217"/>
      <c r="J1813" s="217"/>
      <c r="K1813" s="217"/>
      <c r="L1813" s="217"/>
      <c r="M1813" s="217"/>
      <c r="N1813" s="217"/>
      <c r="O1813" s="217"/>
      <c r="P1813" s="217"/>
      <c r="Q1813" s="218"/>
    </row>
    <row r="1814" spans="1:17" s="219" customFormat="1" hidden="1" x14ac:dyDescent="0.25">
      <c r="A1814" s="214"/>
      <c r="B1814" s="215" t="s">
        <v>1822</v>
      </c>
      <c r="C1814" s="215" t="s">
        <v>3643</v>
      </c>
      <c r="D1814" s="215" t="s">
        <v>1847</v>
      </c>
      <c r="E1814" s="215" t="s">
        <v>1825</v>
      </c>
      <c r="F1814" s="215" t="s">
        <v>1825</v>
      </c>
      <c r="G1814" s="215" t="s">
        <v>75</v>
      </c>
      <c r="H1814" s="216" t="s">
        <v>3661</v>
      </c>
      <c r="I1814" s="217"/>
      <c r="J1814" s="217"/>
      <c r="K1814" s="217"/>
      <c r="L1814" s="217"/>
      <c r="M1814" s="217"/>
      <c r="N1814" s="217"/>
      <c r="O1814" s="217"/>
      <c r="P1814" s="217"/>
      <c r="Q1814" s="218"/>
    </row>
    <row r="1815" spans="1:17" s="219" customFormat="1" hidden="1" x14ac:dyDescent="0.25">
      <c r="A1815" s="214"/>
      <c r="B1815" s="215" t="s">
        <v>1822</v>
      </c>
      <c r="C1815" s="215" t="s">
        <v>3643</v>
      </c>
      <c r="D1815" s="215" t="s">
        <v>1847</v>
      </c>
      <c r="E1815" s="215" t="s">
        <v>1825</v>
      </c>
      <c r="F1815" s="215" t="s">
        <v>1825</v>
      </c>
      <c r="G1815" s="215" t="s">
        <v>79</v>
      </c>
      <c r="H1815" s="216" t="s">
        <v>3662</v>
      </c>
      <c r="I1815" s="217"/>
      <c r="J1815" s="217"/>
      <c r="K1815" s="217"/>
      <c r="L1815" s="217"/>
      <c r="M1815" s="217"/>
      <c r="N1815" s="217"/>
      <c r="O1815" s="217"/>
      <c r="P1815" s="217"/>
      <c r="Q1815" s="218"/>
    </row>
    <row r="1816" spans="1:17" s="219" customFormat="1" hidden="1" x14ac:dyDescent="0.25">
      <c r="A1816" s="214"/>
      <c r="B1816" s="215" t="s">
        <v>1822</v>
      </c>
      <c r="C1816" s="215" t="s">
        <v>3643</v>
      </c>
      <c r="D1816" s="215" t="s">
        <v>1847</v>
      </c>
      <c r="E1816" s="215" t="s">
        <v>1825</v>
      </c>
      <c r="F1816" s="215" t="s">
        <v>1825</v>
      </c>
      <c r="G1816" s="215" t="s">
        <v>84</v>
      </c>
      <c r="H1816" s="216" t="s">
        <v>3663</v>
      </c>
      <c r="I1816" s="217"/>
      <c r="J1816" s="217"/>
      <c r="K1816" s="217"/>
      <c r="L1816" s="217"/>
      <c r="M1816" s="217"/>
      <c r="N1816" s="217"/>
      <c r="O1816" s="217"/>
      <c r="P1816" s="217"/>
      <c r="Q1816" s="218"/>
    </row>
    <row r="1817" spans="1:17" s="219" customFormat="1" hidden="1" x14ac:dyDescent="0.25">
      <c r="A1817" s="214"/>
      <c r="B1817" s="215" t="s">
        <v>1822</v>
      </c>
      <c r="C1817" s="215" t="s">
        <v>3643</v>
      </c>
      <c r="D1817" s="215" t="s">
        <v>1847</v>
      </c>
      <c r="E1817" s="215" t="s">
        <v>1825</v>
      </c>
      <c r="F1817" s="215" t="s">
        <v>1825</v>
      </c>
      <c r="G1817" s="215" t="s">
        <v>88</v>
      </c>
      <c r="H1817" s="216" t="s">
        <v>3664</v>
      </c>
      <c r="I1817" s="217"/>
      <c r="J1817" s="217"/>
      <c r="K1817" s="217"/>
      <c r="L1817" s="217"/>
      <c r="M1817" s="217"/>
      <c r="N1817" s="217"/>
      <c r="O1817" s="217"/>
      <c r="P1817" s="217"/>
      <c r="Q1817" s="218"/>
    </row>
    <row r="1818" spans="1:17" s="219" customFormat="1" hidden="1" x14ac:dyDescent="0.25">
      <c r="A1818" s="214"/>
      <c r="B1818" s="215" t="s">
        <v>1822</v>
      </c>
      <c r="C1818" s="215" t="s">
        <v>3643</v>
      </c>
      <c r="D1818" s="215" t="s">
        <v>1847</v>
      </c>
      <c r="E1818" s="215" t="s">
        <v>1825</v>
      </c>
      <c r="F1818" s="215" t="s">
        <v>1825</v>
      </c>
      <c r="G1818" s="215" t="s">
        <v>92</v>
      </c>
      <c r="H1818" s="216" t="s">
        <v>3665</v>
      </c>
      <c r="I1818" s="217"/>
      <c r="J1818" s="217"/>
      <c r="K1818" s="217"/>
      <c r="L1818" s="217"/>
      <c r="M1818" s="217"/>
      <c r="N1818" s="217"/>
      <c r="O1818" s="217"/>
      <c r="P1818" s="217"/>
      <c r="Q1818" s="218"/>
    </row>
    <row r="1819" spans="1:17" s="219" customFormat="1" ht="30" hidden="1" x14ac:dyDescent="0.25">
      <c r="A1819" s="214"/>
      <c r="B1819" s="215" t="s">
        <v>1822</v>
      </c>
      <c r="C1819" s="215" t="s">
        <v>3643</v>
      </c>
      <c r="D1819" s="215" t="s">
        <v>1847</v>
      </c>
      <c r="E1819" s="215" t="s">
        <v>1825</v>
      </c>
      <c r="F1819" s="215" t="s">
        <v>1825</v>
      </c>
      <c r="G1819" s="215" t="s">
        <v>96</v>
      </c>
      <c r="H1819" s="216" t="s">
        <v>3666</v>
      </c>
      <c r="I1819" s="217"/>
      <c r="J1819" s="217"/>
      <c r="K1819" s="217"/>
      <c r="L1819" s="217"/>
      <c r="M1819" s="217"/>
      <c r="N1819" s="217"/>
      <c r="O1819" s="217"/>
      <c r="P1819" s="217"/>
      <c r="Q1819" s="218"/>
    </row>
    <row r="1820" spans="1:17" s="219" customFormat="1" ht="30" hidden="1" x14ac:dyDescent="0.25">
      <c r="A1820" s="214"/>
      <c r="B1820" s="215" t="s">
        <v>1822</v>
      </c>
      <c r="C1820" s="215" t="s">
        <v>3643</v>
      </c>
      <c r="D1820" s="215" t="s">
        <v>1847</v>
      </c>
      <c r="E1820" s="215" t="s">
        <v>1825</v>
      </c>
      <c r="F1820" s="215" t="s">
        <v>1825</v>
      </c>
      <c r="G1820" s="215" t="s">
        <v>100</v>
      </c>
      <c r="H1820" s="216" t="s">
        <v>3667</v>
      </c>
      <c r="I1820" s="217"/>
      <c r="J1820" s="217"/>
      <c r="K1820" s="217"/>
      <c r="L1820" s="217"/>
      <c r="M1820" s="217"/>
      <c r="N1820" s="217"/>
      <c r="O1820" s="217"/>
      <c r="P1820" s="217"/>
      <c r="Q1820" s="218"/>
    </row>
    <row r="1821" spans="1:17" s="219" customFormat="1" hidden="1" x14ac:dyDescent="0.25">
      <c r="A1821" s="214"/>
      <c r="B1821" s="215" t="s">
        <v>1822</v>
      </c>
      <c r="C1821" s="215" t="s">
        <v>3643</v>
      </c>
      <c r="D1821" s="215" t="s">
        <v>1847</v>
      </c>
      <c r="E1821" s="215" t="s">
        <v>1825</v>
      </c>
      <c r="F1821" s="215" t="s">
        <v>1825</v>
      </c>
      <c r="G1821" s="215" t="s">
        <v>105</v>
      </c>
      <c r="H1821" s="216" t="s">
        <v>3668</v>
      </c>
      <c r="I1821" s="217"/>
      <c r="J1821" s="217"/>
      <c r="K1821" s="217"/>
      <c r="L1821" s="217"/>
      <c r="M1821" s="217"/>
      <c r="N1821" s="217"/>
      <c r="O1821" s="217"/>
      <c r="P1821" s="217"/>
      <c r="Q1821" s="218"/>
    </row>
    <row r="1822" spans="1:17" s="213" customFormat="1" x14ac:dyDescent="0.25">
      <c r="A1822" s="208" t="s">
        <v>1984</v>
      </c>
      <c r="B1822" s="209" t="s">
        <v>1822</v>
      </c>
      <c r="C1822" s="209" t="s">
        <v>3643</v>
      </c>
      <c r="D1822" s="209" t="s">
        <v>1928</v>
      </c>
      <c r="E1822" s="209"/>
      <c r="F1822" s="209"/>
      <c r="G1822" s="209"/>
      <c r="H1822" s="210" t="s">
        <v>3669</v>
      </c>
      <c r="I1822" s="211">
        <f>I1823</f>
        <v>25200000</v>
      </c>
      <c r="J1822" s="211">
        <f t="shared" ref="J1822:P1823" si="202">J1823</f>
        <v>0</v>
      </c>
      <c r="K1822" s="211">
        <f t="shared" si="202"/>
        <v>0</v>
      </c>
      <c r="L1822" s="211">
        <f t="shared" si="202"/>
        <v>0</v>
      </c>
      <c r="M1822" s="211">
        <f t="shared" si="202"/>
        <v>0</v>
      </c>
      <c r="N1822" s="211">
        <f t="shared" si="202"/>
        <v>0</v>
      </c>
      <c r="O1822" s="211">
        <f t="shared" si="202"/>
        <v>0</v>
      </c>
      <c r="P1822" s="211">
        <f t="shared" si="202"/>
        <v>0</v>
      </c>
      <c r="Q1822" s="212"/>
    </row>
    <row r="1823" spans="1:17" s="213" customFormat="1" x14ac:dyDescent="0.25">
      <c r="A1823" s="208" t="s">
        <v>263</v>
      </c>
      <c r="B1823" s="209" t="s">
        <v>1822</v>
      </c>
      <c r="C1823" s="209" t="s">
        <v>3643</v>
      </c>
      <c r="D1823" s="209" t="s">
        <v>1928</v>
      </c>
      <c r="E1823" s="209" t="s">
        <v>1825</v>
      </c>
      <c r="F1823" s="209"/>
      <c r="G1823" s="209"/>
      <c r="H1823" s="210" t="s">
        <v>3669</v>
      </c>
      <c r="I1823" s="211">
        <f>I1824</f>
        <v>25200000</v>
      </c>
      <c r="J1823" s="211">
        <f t="shared" si="202"/>
        <v>0</v>
      </c>
      <c r="K1823" s="211">
        <f t="shared" si="202"/>
        <v>0</v>
      </c>
      <c r="L1823" s="211">
        <f t="shared" si="202"/>
        <v>0</v>
      </c>
      <c r="M1823" s="211">
        <f t="shared" si="202"/>
        <v>0</v>
      </c>
      <c r="N1823" s="211">
        <f t="shared" si="202"/>
        <v>0</v>
      </c>
      <c r="O1823" s="211">
        <f t="shared" si="202"/>
        <v>0</v>
      </c>
      <c r="P1823" s="211">
        <f t="shared" si="202"/>
        <v>0</v>
      </c>
      <c r="Q1823" s="212"/>
    </row>
    <row r="1824" spans="1:17" s="213" customFormat="1" x14ac:dyDescent="0.25">
      <c r="A1824" s="208" t="s">
        <v>263</v>
      </c>
      <c r="B1824" s="209" t="s">
        <v>1822</v>
      </c>
      <c r="C1824" s="209" t="s">
        <v>3643</v>
      </c>
      <c r="D1824" s="209" t="s">
        <v>1928</v>
      </c>
      <c r="E1824" s="209" t="s">
        <v>1825</v>
      </c>
      <c r="F1824" s="209" t="s">
        <v>1825</v>
      </c>
      <c r="G1824" s="209"/>
      <c r="H1824" s="210" t="s">
        <v>3669</v>
      </c>
      <c r="I1824" s="211">
        <f>SUM(I1825:I1826)</f>
        <v>25200000</v>
      </c>
      <c r="J1824" s="211">
        <f t="shared" ref="J1824:P1824" si="203">SUM(J1825:J1826)</f>
        <v>0</v>
      </c>
      <c r="K1824" s="211">
        <f t="shared" si="203"/>
        <v>0</v>
      </c>
      <c r="L1824" s="211">
        <f t="shared" si="203"/>
        <v>0</v>
      </c>
      <c r="M1824" s="211">
        <f t="shared" si="203"/>
        <v>0</v>
      </c>
      <c r="N1824" s="211">
        <f t="shared" si="203"/>
        <v>0</v>
      </c>
      <c r="O1824" s="211">
        <f t="shared" si="203"/>
        <v>0</v>
      </c>
      <c r="P1824" s="211">
        <f t="shared" si="203"/>
        <v>0</v>
      </c>
      <c r="Q1824" s="212"/>
    </row>
    <row r="1825" spans="1:20" s="219" customFormat="1" x14ac:dyDescent="0.25">
      <c r="A1825" s="214"/>
      <c r="B1825" s="215" t="s">
        <v>1822</v>
      </c>
      <c r="C1825" s="215" t="s">
        <v>3643</v>
      </c>
      <c r="D1825" s="215" t="s">
        <v>1928</v>
      </c>
      <c r="E1825" s="215" t="s">
        <v>1825</v>
      </c>
      <c r="F1825" s="215" t="s">
        <v>1825</v>
      </c>
      <c r="G1825" s="215" t="s">
        <v>58</v>
      </c>
      <c r="H1825" s="216" t="s">
        <v>3670</v>
      </c>
      <c r="I1825" s="217">
        <v>25200000</v>
      </c>
      <c r="J1825" s="217"/>
      <c r="K1825" s="217"/>
      <c r="L1825" s="217"/>
      <c r="M1825" s="217"/>
      <c r="N1825" s="217"/>
      <c r="O1825" s="217"/>
      <c r="P1825" s="217"/>
      <c r="Q1825" s="218"/>
    </row>
    <row r="1826" spans="1:20" s="219" customFormat="1" ht="30" hidden="1" x14ac:dyDescent="0.25">
      <c r="A1826" s="214"/>
      <c r="B1826" s="215" t="s">
        <v>1822</v>
      </c>
      <c r="C1826" s="215" t="s">
        <v>3643</v>
      </c>
      <c r="D1826" s="215" t="s">
        <v>1928</v>
      </c>
      <c r="E1826" s="215" t="s">
        <v>1825</v>
      </c>
      <c r="F1826" s="215" t="s">
        <v>1825</v>
      </c>
      <c r="G1826" s="215" t="s">
        <v>75</v>
      </c>
      <c r="H1826" s="216" t="s">
        <v>3671</v>
      </c>
      <c r="I1826" s="217"/>
      <c r="J1826" s="217"/>
      <c r="K1826" s="217"/>
      <c r="L1826" s="217"/>
      <c r="M1826" s="217"/>
      <c r="N1826" s="217"/>
      <c r="O1826" s="217"/>
      <c r="P1826" s="217"/>
      <c r="Q1826" s="218"/>
    </row>
    <row r="1827" spans="1:20" s="213" customFormat="1" ht="30" hidden="1" x14ac:dyDescent="0.25">
      <c r="A1827" s="208" t="s">
        <v>1997</v>
      </c>
      <c r="B1827" s="209" t="s">
        <v>1822</v>
      </c>
      <c r="C1827" s="209" t="s">
        <v>3643</v>
      </c>
      <c r="D1827" s="209" t="s">
        <v>1934</v>
      </c>
      <c r="E1827" s="209"/>
      <c r="F1827" s="209"/>
      <c r="G1827" s="209"/>
      <c r="H1827" s="210" t="s">
        <v>3672</v>
      </c>
      <c r="I1827" s="211">
        <f>I1828</f>
        <v>0</v>
      </c>
      <c r="J1827" s="211">
        <f t="shared" ref="J1827:P1828" si="204">J1828</f>
        <v>0</v>
      </c>
      <c r="K1827" s="211">
        <f t="shared" si="204"/>
        <v>0</v>
      </c>
      <c r="L1827" s="211">
        <f t="shared" si="204"/>
        <v>0</v>
      </c>
      <c r="M1827" s="211">
        <f t="shared" si="204"/>
        <v>0</v>
      </c>
      <c r="N1827" s="211">
        <f t="shared" si="204"/>
        <v>0</v>
      </c>
      <c r="O1827" s="211">
        <f t="shared" si="204"/>
        <v>0</v>
      </c>
      <c r="P1827" s="211">
        <f t="shared" si="204"/>
        <v>0</v>
      </c>
      <c r="Q1827" s="212"/>
    </row>
    <row r="1828" spans="1:20" s="213" customFormat="1" ht="30" hidden="1" x14ac:dyDescent="0.25">
      <c r="A1828" s="208" t="s">
        <v>263</v>
      </c>
      <c r="B1828" s="209" t="s">
        <v>1822</v>
      </c>
      <c r="C1828" s="209" t="s">
        <v>3643</v>
      </c>
      <c r="D1828" s="209" t="s">
        <v>1934</v>
      </c>
      <c r="E1828" s="209" t="s">
        <v>1825</v>
      </c>
      <c r="F1828" s="209"/>
      <c r="G1828" s="209"/>
      <c r="H1828" s="210" t="s">
        <v>3672</v>
      </c>
      <c r="I1828" s="211">
        <f>I1829</f>
        <v>0</v>
      </c>
      <c r="J1828" s="211">
        <f t="shared" si="204"/>
        <v>0</v>
      </c>
      <c r="K1828" s="211">
        <f t="shared" si="204"/>
        <v>0</v>
      </c>
      <c r="L1828" s="211">
        <f t="shared" si="204"/>
        <v>0</v>
      </c>
      <c r="M1828" s="211">
        <f t="shared" si="204"/>
        <v>0</v>
      </c>
      <c r="N1828" s="211">
        <f t="shared" si="204"/>
        <v>0</v>
      </c>
      <c r="O1828" s="211">
        <f t="shared" si="204"/>
        <v>0</v>
      </c>
      <c r="P1828" s="211">
        <f t="shared" si="204"/>
        <v>0</v>
      </c>
      <c r="Q1828" s="212"/>
    </row>
    <row r="1829" spans="1:20" s="213" customFormat="1" ht="30" hidden="1" x14ac:dyDescent="0.25">
      <c r="A1829" s="208" t="s">
        <v>263</v>
      </c>
      <c r="B1829" s="209" t="s">
        <v>1822</v>
      </c>
      <c r="C1829" s="209" t="s">
        <v>3643</v>
      </c>
      <c r="D1829" s="209" t="s">
        <v>1934</v>
      </c>
      <c r="E1829" s="209" t="s">
        <v>1825</v>
      </c>
      <c r="F1829" s="209" t="s">
        <v>1825</v>
      </c>
      <c r="G1829" s="209"/>
      <c r="H1829" s="210" t="s">
        <v>3672</v>
      </c>
      <c r="I1829" s="211">
        <f>SUM(I1830:I1834)</f>
        <v>0</v>
      </c>
      <c r="J1829" s="211">
        <f t="shared" ref="J1829:P1829" si="205">SUM(J1830:J1834)</f>
        <v>0</v>
      </c>
      <c r="K1829" s="211">
        <f t="shared" si="205"/>
        <v>0</v>
      </c>
      <c r="L1829" s="211">
        <f t="shared" si="205"/>
        <v>0</v>
      </c>
      <c r="M1829" s="211">
        <f t="shared" si="205"/>
        <v>0</v>
      </c>
      <c r="N1829" s="211">
        <f t="shared" si="205"/>
        <v>0</v>
      </c>
      <c r="O1829" s="211">
        <f t="shared" si="205"/>
        <v>0</v>
      </c>
      <c r="P1829" s="211">
        <f t="shared" si="205"/>
        <v>0</v>
      </c>
      <c r="Q1829" s="212"/>
    </row>
    <row r="1830" spans="1:20" s="219" customFormat="1" ht="30" hidden="1" x14ac:dyDescent="0.25">
      <c r="A1830" s="214"/>
      <c r="B1830" s="215" t="s">
        <v>1822</v>
      </c>
      <c r="C1830" s="215" t="s">
        <v>3643</v>
      </c>
      <c r="D1830" s="215" t="s">
        <v>1934</v>
      </c>
      <c r="E1830" s="215" t="s">
        <v>1825</v>
      </c>
      <c r="F1830" s="215" t="s">
        <v>1825</v>
      </c>
      <c r="G1830" s="215" t="s">
        <v>58</v>
      </c>
      <c r="H1830" s="216" t="s">
        <v>3673</v>
      </c>
      <c r="I1830" s="217"/>
      <c r="J1830" s="217"/>
      <c r="K1830" s="217"/>
      <c r="L1830" s="217"/>
      <c r="M1830" s="217"/>
      <c r="N1830" s="217"/>
      <c r="O1830" s="217"/>
      <c r="P1830" s="217"/>
      <c r="Q1830" s="218"/>
    </row>
    <row r="1831" spans="1:20" s="219" customFormat="1" ht="30" hidden="1" x14ac:dyDescent="0.25">
      <c r="A1831" s="214"/>
      <c r="B1831" s="215" t="s">
        <v>1822</v>
      </c>
      <c r="C1831" s="215" t="s">
        <v>3643</v>
      </c>
      <c r="D1831" s="215" t="s">
        <v>1934</v>
      </c>
      <c r="E1831" s="215" t="s">
        <v>1825</v>
      </c>
      <c r="F1831" s="215" t="s">
        <v>1825</v>
      </c>
      <c r="G1831" s="215" t="s">
        <v>75</v>
      </c>
      <c r="H1831" s="216" t="s">
        <v>3674</v>
      </c>
      <c r="I1831" s="217"/>
      <c r="J1831" s="217"/>
      <c r="K1831" s="217"/>
      <c r="L1831" s="217"/>
      <c r="M1831" s="217"/>
      <c r="N1831" s="217"/>
      <c r="O1831" s="217"/>
      <c r="P1831" s="217"/>
      <c r="Q1831" s="218"/>
    </row>
    <row r="1832" spans="1:20" s="219" customFormat="1" ht="30" hidden="1" x14ac:dyDescent="0.25">
      <c r="A1832" s="214"/>
      <c r="B1832" s="215" t="s">
        <v>1822</v>
      </c>
      <c r="C1832" s="215" t="s">
        <v>3643</v>
      </c>
      <c r="D1832" s="215" t="s">
        <v>1934</v>
      </c>
      <c r="E1832" s="215" t="s">
        <v>1825</v>
      </c>
      <c r="F1832" s="215" t="s">
        <v>1825</v>
      </c>
      <c r="G1832" s="215" t="s">
        <v>79</v>
      </c>
      <c r="H1832" s="216" t="s">
        <v>3675</v>
      </c>
      <c r="I1832" s="217"/>
      <c r="J1832" s="217"/>
      <c r="K1832" s="217"/>
      <c r="L1832" s="217"/>
      <c r="M1832" s="217"/>
      <c r="N1832" s="217"/>
      <c r="O1832" s="217"/>
      <c r="P1832" s="217"/>
      <c r="Q1832" s="218"/>
    </row>
    <row r="1833" spans="1:20" s="219" customFormat="1" ht="30" hidden="1" x14ac:dyDescent="0.25">
      <c r="A1833" s="214"/>
      <c r="B1833" s="215" t="s">
        <v>1822</v>
      </c>
      <c r="C1833" s="215" t="s">
        <v>3643</v>
      </c>
      <c r="D1833" s="215" t="s">
        <v>1934</v>
      </c>
      <c r="E1833" s="215" t="s">
        <v>1825</v>
      </c>
      <c r="F1833" s="215" t="s">
        <v>1825</v>
      </c>
      <c r="G1833" s="215" t="s">
        <v>84</v>
      </c>
      <c r="H1833" s="216" t="s">
        <v>3676</v>
      </c>
      <c r="I1833" s="217"/>
      <c r="J1833" s="217"/>
      <c r="K1833" s="217"/>
      <c r="L1833" s="217"/>
      <c r="M1833" s="217"/>
      <c r="N1833" s="217"/>
      <c r="O1833" s="217"/>
      <c r="P1833" s="217"/>
      <c r="Q1833" s="218"/>
    </row>
    <row r="1834" spans="1:20" s="219" customFormat="1" ht="30" hidden="1" x14ac:dyDescent="0.25">
      <c r="A1834" s="214"/>
      <c r="B1834" s="215" t="s">
        <v>1822</v>
      </c>
      <c r="C1834" s="215" t="s">
        <v>3643</v>
      </c>
      <c r="D1834" s="215" t="s">
        <v>1934</v>
      </c>
      <c r="E1834" s="215" t="s">
        <v>1825</v>
      </c>
      <c r="F1834" s="215" t="s">
        <v>1825</v>
      </c>
      <c r="G1834" s="215" t="s">
        <v>88</v>
      </c>
      <c r="H1834" s="216" t="s">
        <v>3677</v>
      </c>
      <c r="I1834" s="217"/>
      <c r="J1834" s="217"/>
      <c r="K1834" s="217"/>
      <c r="L1834" s="217"/>
      <c r="M1834" s="217"/>
      <c r="N1834" s="217"/>
      <c r="O1834" s="217"/>
      <c r="P1834" s="217"/>
      <c r="Q1834" s="218"/>
    </row>
    <row r="1835" spans="1:20" s="213" customFormat="1" hidden="1" x14ac:dyDescent="0.25">
      <c r="A1835" s="208" t="s">
        <v>2021</v>
      </c>
      <c r="B1835" s="209" t="s">
        <v>1822</v>
      </c>
      <c r="C1835" s="209" t="s">
        <v>3643</v>
      </c>
      <c r="D1835" s="209" t="s">
        <v>2022</v>
      </c>
      <c r="E1835" s="209"/>
      <c r="F1835" s="209"/>
      <c r="G1835" s="209"/>
      <c r="H1835" s="210" t="s">
        <v>3678</v>
      </c>
      <c r="I1835" s="211">
        <f>I1836</f>
        <v>0</v>
      </c>
      <c r="J1835" s="211">
        <f t="shared" ref="J1835:P1836" si="206">J1836</f>
        <v>0</v>
      </c>
      <c r="K1835" s="211">
        <f t="shared" si="206"/>
        <v>0</v>
      </c>
      <c r="L1835" s="211">
        <f t="shared" si="206"/>
        <v>0</v>
      </c>
      <c r="M1835" s="211">
        <f t="shared" si="206"/>
        <v>0</v>
      </c>
      <c r="N1835" s="211">
        <f t="shared" si="206"/>
        <v>0</v>
      </c>
      <c r="O1835" s="211">
        <f t="shared" si="206"/>
        <v>0</v>
      </c>
      <c r="P1835" s="211">
        <f t="shared" si="206"/>
        <v>0</v>
      </c>
      <c r="Q1835" s="212"/>
    </row>
    <row r="1836" spans="1:20" s="213" customFormat="1" hidden="1" x14ac:dyDescent="0.25">
      <c r="A1836" s="208" t="s">
        <v>263</v>
      </c>
      <c r="B1836" s="209" t="s">
        <v>1822</v>
      </c>
      <c r="C1836" s="209" t="s">
        <v>3643</v>
      </c>
      <c r="D1836" s="209" t="s">
        <v>2022</v>
      </c>
      <c r="E1836" s="209" t="s">
        <v>1825</v>
      </c>
      <c r="F1836" s="209"/>
      <c r="G1836" s="209"/>
      <c r="H1836" s="210" t="s">
        <v>3678</v>
      </c>
      <c r="I1836" s="211">
        <f>I1837</f>
        <v>0</v>
      </c>
      <c r="J1836" s="211">
        <f t="shared" si="206"/>
        <v>0</v>
      </c>
      <c r="K1836" s="211">
        <f t="shared" si="206"/>
        <v>0</v>
      </c>
      <c r="L1836" s="211">
        <f t="shared" si="206"/>
        <v>0</v>
      </c>
      <c r="M1836" s="211">
        <f t="shared" si="206"/>
        <v>0</v>
      </c>
      <c r="N1836" s="211">
        <f t="shared" si="206"/>
        <v>0</v>
      </c>
      <c r="O1836" s="211">
        <f t="shared" si="206"/>
        <v>0</v>
      </c>
      <c r="P1836" s="211">
        <f t="shared" si="206"/>
        <v>0</v>
      </c>
      <c r="Q1836" s="212"/>
    </row>
    <row r="1837" spans="1:20" s="213" customFormat="1" ht="30" hidden="1" x14ac:dyDescent="0.25">
      <c r="A1837" s="208" t="s">
        <v>263</v>
      </c>
      <c r="B1837" s="209" t="s">
        <v>1822</v>
      </c>
      <c r="C1837" s="209" t="s">
        <v>3643</v>
      </c>
      <c r="D1837" s="209" t="s">
        <v>2022</v>
      </c>
      <c r="E1837" s="209" t="s">
        <v>1825</v>
      </c>
      <c r="F1837" s="209" t="s">
        <v>1825</v>
      </c>
      <c r="G1837" s="209"/>
      <c r="H1837" s="210" t="s">
        <v>3679</v>
      </c>
      <c r="I1837" s="211">
        <f>SUM(I1838:I1841)</f>
        <v>0</v>
      </c>
      <c r="J1837" s="211">
        <f t="shared" ref="J1837:P1837" si="207">SUM(J1838:J1841)</f>
        <v>0</v>
      </c>
      <c r="K1837" s="211">
        <f t="shared" si="207"/>
        <v>0</v>
      </c>
      <c r="L1837" s="211">
        <f t="shared" si="207"/>
        <v>0</v>
      </c>
      <c r="M1837" s="211">
        <f t="shared" si="207"/>
        <v>0</v>
      </c>
      <c r="N1837" s="211">
        <f t="shared" si="207"/>
        <v>0</v>
      </c>
      <c r="O1837" s="211">
        <f t="shared" si="207"/>
        <v>0</v>
      </c>
      <c r="P1837" s="211">
        <f t="shared" si="207"/>
        <v>0</v>
      </c>
      <c r="Q1837" s="212"/>
    </row>
    <row r="1838" spans="1:20" s="219" customFormat="1" ht="30" hidden="1" x14ac:dyDescent="0.25">
      <c r="A1838" s="214"/>
      <c r="B1838" s="215" t="s">
        <v>1822</v>
      </c>
      <c r="C1838" s="215" t="s">
        <v>3643</v>
      </c>
      <c r="D1838" s="215" t="s">
        <v>2022</v>
      </c>
      <c r="E1838" s="215" t="s">
        <v>1825</v>
      </c>
      <c r="F1838" s="215" t="s">
        <v>1825</v>
      </c>
      <c r="G1838" s="215" t="s">
        <v>58</v>
      </c>
      <c r="H1838" s="216" t="s">
        <v>3680</v>
      </c>
      <c r="I1838" s="217"/>
      <c r="J1838" s="242"/>
      <c r="K1838" s="242"/>
      <c r="L1838" s="243"/>
      <c r="M1838" s="244"/>
      <c r="N1838" s="244"/>
      <c r="O1838" s="244"/>
      <c r="P1838" s="244"/>
      <c r="Q1838" s="245"/>
      <c r="R1838" s="245"/>
      <c r="S1838" s="218"/>
      <c r="T1838" s="246"/>
    </row>
    <row r="1839" spans="1:20" s="219" customFormat="1" ht="45" hidden="1" x14ac:dyDescent="0.25">
      <c r="A1839" s="214"/>
      <c r="B1839" s="215" t="s">
        <v>1822</v>
      </c>
      <c r="C1839" s="215" t="s">
        <v>3643</v>
      </c>
      <c r="D1839" s="215" t="s">
        <v>2022</v>
      </c>
      <c r="E1839" s="215" t="s">
        <v>1825</v>
      </c>
      <c r="F1839" s="215" t="s">
        <v>1825</v>
      </c>
      <c r="G1839" s="215" t="s">
        <v>75</v>
      </c>
      <c r="H1839" s="216" t="s">
        <v>3681</v>
      </c>
      <c r="I1839" s="217"/>
      <c r="J1839" s="242"/>
      <c r="K1839" s="242"/>
      <c r="L1839" s="242"/>
      <c r="M1839" s="242"/>
      <c r="N1839" s="242"/>
      <c r="O1839" s="242"/>
      <c r="P1839" s="242"/>
      <c r="Q1839" s="218"/>
    </row>
    <row r="1840" spans="1:20" s="219" customFormat="1" ht="60" hidden="1" x14ac:dyDescent="0.25">
      <c r="A1840" s="214"/>
      <c r="B1840" s="215" t="s">
        <v>1822</v>
      </c>
      <c r="C1840" s="215" t="s">
        <v>3643</v>
      </c>
      <c r="D1840" s="215" t="s">
        <v>2022</v>
      </c>
      <c r="E1840" s="215" t="s">
        <v>1825</v>
      </c>
      <c r="F1840" s="215" t="s">
        <v>1825</v>
      </c>
      <c r="G1840" s="215" t="s">
        <v>79</v>
      </c>
      <c r="H1840" s="216" t="s">
        <v>3682</v>
      </c>
      <c r="I1840" s="217"/>
      <c r="J1840" s="242"/>
      <c r="K1840" s="242"/>
      <c r="L1840" s="247"/>
      <c r="M1840" s="248"/>
      <c r="N1840" s="242"/>
      <c r="O1840" s="242"/>
      <c r="P1840" s="242"/>
      <c r="Q1840" s="218"/>
    </row>
    <row r="1841" spans="1:38" s="219" customFormat="1" ht="45" hidden="1" x14ac:dyDescent="0.25">
      <c r="A1841" s="214"/>
      <c r="B1841" s="215" t="s">
        <v>1822</v>
      </c>
      <c r="C1841" s="215" t="s">
        <v>3643</v>
      </c>
      <c r="D1841" s="215" t="s">
        <v>2022</v>
      </c>
      <c r="E1841" s="215" t="s">
        <v>1825</v>
      </c>
      <c r="F1841" s="215" t="s">
        <v>1825</v>
      </c>
      <c r="G1841" s="215" t="s">
        <v>84</v>
      </c>
      <c r="H1841" s="216" t="s">
        <v>3683</v>
      </c>
      <c r="I1841" s="217"/>
      <c r="J1841" s="242"/>
      <c r="K1841" s="242"/>
      <c r="L1841" s="247"/>
      <c r="M1841" s="248"/>
      <c r="N1841" s="242"/>
      <c r="O1841" s="242"/>
      <c r="P1841" s="242"/>
      <c r="Q1841" s="218"/>
    </row>
    <row r="1842" spans="1:38" s="196" customFormat="1" ht="15" hidden="1" customHeight="1" x14ac:dyDescent="0.25">
      <c r="A1842" s="195"/>
      <c r="B1842" s="249"/>
      <c r="C1842" s="250"/>
      <c r="D1842" s="250"/>
      <c r="E1842" s="250"/>
      <c r="F1842" s="250"/>
      <c r="G1842" s="250"/>
      <c r="H1842" s="251"/>
      <c r="I1842" s="252"/>
      <c r="J1842" s="252"/>
      <c r="K1842" s="252"/>
      <c r="L1842" s="252"/>
      <c r="M1842" s="252"/>
      <c r="N1842" s="253"/>
      <c r="O1842" s="253"/>
      <c r="P1842" s="254"/>
    </row>
    <row r="1843" spans="1:38" s="202" customFormat="1" ht="12.75" hidden="1" customHeight="1" x14ac:dyDescent="0.25">
      <c r="A1843" s="199"/>
      <c r="B1843" s="255"/>
      <c r="C1843" s="256"/>
      <c r="D1843" s="256"/>
      <c r="E1843" s="256"/>
      <c r="F1843" s="256"/>
      <c r="G1843" s="257"/>
      <c r="H1843" s="258"/>
      <c r="I1843" s="259"/>
      <c r="J1843" s="230"/>
      <c r="K1843" s="230"/>
      <c r="L1843" s="230"/>
      <c r="M1843" s="230"/>
      <c r="N1843" s="260"/>
      <c r="O1843" s="260"/>
      <c r="P1843" s="230"/>
    </row>
    <row r="1844" spans="1:38" s="202" customFormat="1" x14ac:dyDescent="0.25">
      <c r="A1844" s="199"/>
      <c r="B1844" s="452" t="s">
        <v>3684</v>
      </c>
      <c r="C1844" s="452"/>
      <c r="D1844" s="452"/>
      <c r="E1844" s="452"/>
      <c r="F1844" s="452"/>
      <c r="G1844" s="452"/>
      <c r="H1844" s="452"/>
      <c r="I1844" s="261">
        <f>SUM(I1791+I11)</f>
        <v>37218900264.004616</v>
      </c>
      <c r="J1844" s="261">
        <f t="shared" ref="J1844:P1844" si="208">SUM(J1791+J11)</f>
        <v>1992112062.3672652</v>
      </c>
      <c r="K1844" s="261">
        <f t="shared" si="208"/>
        <v>539777083.8139931</v>
      </c>
      <c r="L1844" s="261">
        <f t="shared" si="208"/>
        <v>560276411.62551415</v>
      </c>
      <c r="M1844" s="261">
        <f t="shared" si="208"/>
        <v>1100053495.4395072</v>
      </c>
      <c r="N1844" s="261">
        <f>SUM(N1791+N11)</f>
        <v>20532999135.663712</v>
      </c>
      <c r="O1844" s="261">
        <f t="shared" si="208"/>
        <v>16660701128.380909</v>
      </c>
      <c r="P1844" s="261">
        <f t="shared" si="208"/>
        <v>0</v>
      </c>
    </row>
    <row r="1845" spans="1:38" s="196" customFormat="1" ht="15" customHeight="1" x14ac:dyDescent="0.25">
      <c r="A1845" s="195"/>
      <c r="B1845" s="262"/>
      <c r="C1845" s="262"/>
      <c r="D1845" s="262"/>
      <c r="E1845" s="262"/>
      <c r="F1845" s="262"/>
      <c r="G1845" s="262"/>
      <c r="H1845" s="262"/>
      <c r="I1845" s="203"/>
      <c r="J1845" s="263"/>
      <c r="K1845" s="264"/>
      <c r="L1845" s="264"/>
      <c r="M1845" s="264"/>
      <c r="N1845" s="453"/>
      <c r="O1845" s="453"/>
    </row>
    <row r="1846" spans="1:38" s="273" customFormat="1" ht="18" customHeight="1" x14ac:dyDescent="0.25">
      <c r="A1846" s="265"/>
      <c r="B1846" s="266"/>
      <c r="C1846" s="266"/>
      <c r="D1846" s="266"/>
      <c r="E1846" s="266"/>
      <c r="F1846" s="266"/>
      <c r="G1846" s="266"/>
      <c r="H1846" s="267" t="s">
        <v>3685</v>
      </c>
      <c r="I1846" s="306"/>
      <c r="J1846" s="268"/>
      <c r="K1846" s="269"/>
      <c r="L1846" s="269"/>
      <c r="M1846" s="266"/>
      <c r="N1846" s="450" t="s">
        <v>3696</v>
      </c>
      <c r="O1846" s="450"/>
      <c r="P1846" s="269"/>
      <c r="Q1846" s="269"/>
      <c r="R1846" s="269"/>
      <c r="S1846" s="270"/>
      <c r="T1846" s="270"/>
      <c r="U1846" s="270"/>
      <c r="V1846" s="269"/>
      <c r="W1846" s="271"/>
      <c r="X1846" s="266"/>
      <c r="Y1846" s="272"/>
      <c r="Z1846" s="266"/>
      <c r="AA1846" s="272"/>
      <c r="AB1846" s="272"/>
      <c r="AC1846" s="266"/>
      <c r="AD1846" s="450"/>
      <c r="AE1846" s="450"/>
      <c r="AF1846" s="266"/>
      <c r="AG1846" s="270"/>
      <c r="AH1846" s="270"/>
      <c r="AI1846" s="266"/>
    </row>
    <row r="1847" spans="1:38" s="273" customFormat="1" ht="16.5" customHeight="1" x14ac:dyDescent="0.25">
      <c r="A1847" s="265"/>
      <c r="B1847" s="266"/>
      <c r="C1847" s="266"/>
      <c r="D1847" s="266"/>
      <c r="E1847" s="266"/>
      <c r="F1847" s="266"/>
      <c r="G1847" s="269"/>
      <c r="H1847" s="274" t="s">
        <v>3686</v>
      </c>
      <c r="I1847" s="268"/>
      <c r="J1847" s="268"/>
      <c r="K1847" s="269"/>
      <c r="L1847" s="269"/>
      <c r="M1847" s="275"/>
      <c r="N1847" s="449" t="s">
        <v>3687</v>
      </c>
      <c r="O1847" s="449"/>
      <c r="P1847" s="269"/>
      <c r="Q1847" s="269"/>
      <c r="R1847" s="269"/>
      <c r="S1847" s="270"/>
      <c r="T1847" s="270"/>
      <c r="U1847" s="270"/>
      <c r="V1847" s="276"/>
      <c r="W1847" s="271"/>
      <c r="X1847" s="271"/>
      <c r="Y1847" s="271"/>
      <c r="Z1847" s="271"/>
      <c r="AA1847" s="271"/>
      <c r="AB1847" s="271"/>
      <c r="AC1847" s="266"/>
      <c r="AD1847" s="450"/>
      <c r="AE1847" s="450"/>
      <c r="AF1847" s="269"/>
      <c r="AG1847" s="277"/>
      <c r="AH1847" s="277"/>
      <c r="AI1847" s="266"/>
    </row>
    <row r="1848" spans="1:38" s="273" customFormat="1" ht="11.25" customHeight="1" x14ac:dyDescent="0.25">
      <c r="A1848" s="265"/>
      <c r="B1848" s="266"/>
      <c r="C1848" s="266"/>
      <c r="D1848" s="266"/>
      <c r="E1848" s="266"/>
      <c r="F1848" s="266"/>
      <c r="G1848" s="269"/>
      <c r="H1848" s="274" t="s">
        <v>3688</v>
      </c>
      <c r="I1848" s="268"/>
      <c r="J1848" s="268"/>
      <c r="K1848" s="269"/>
      <c r="L1848" s="269"/>
      <c r="M1848" s="266"/>
      <c r="N1848" s="266"/>
      <c r="O1848" s="266"/>
      <c r="P1848" s="269"/>
      <c r="Q1848" s="269"/>
      <c r="R1848" s="269"/>
      <c r="S1848" s="270"/>
      <c r="T1848" s="270"/>
      <c r="U1848" s="270"/>
      <c r="V1848" s="269"/>
      <c r="W1848" s="272"/>
      <c r="X1848" s="272"/>
      <c r="Y1848" s="272"/>
      <c r="Z1848" s="272"/>
      <c r="AA1848" s="272"/>
      <c r="AB1848" s="272"/>
      <c r="AC1848" s="266"/>
      <c r="AD1848" s="272"/>
      <c r="AE1848" s="272"/>
      <c r="AF1848" s="269"/>
      <c r="AG1848" s="277"/>
      <c r="AH1848" s="277"/>
      <c r="AI1848" s="266"/>
    </row>
    <row r="1849" spans="1:38" s="273" customFormat="1" ht="18" customHeight="1" x14ac:dyDescent="0.25">
      <c r="A1849" s="265"/>
      <c r="B1849" s="201"/>
      <c r="C1849" s="201"/>
      <c r="D1849" s="201"/>
      <c r="E1849" s="201"/>
      <c r="F1849" s="201"/>
      <c r="G1849" s="201"/>
      <c r="I1849" s="268"/>
      <c r="J1849" s="278"/>
      <c r="K1849" s="269"/>
      <c r="L1849" s="269"/>
      <c r="M1849" s="266"/>
      <c r="N1849" s="279"/>
      <c r="O1849" s="279"/>
      <c r="P1849" s="269"/>
      <c r="Q1849" s="269"/>
      <c r="R1849" s="269"/>
      <c r="S1849" s="270"/>
      <c r="T1849" s="270"/>
      <c r="U1849" s="270"/>
      <c r="V1849" s="269"/>
      <c r="W1849" s="270"/>
      <c r="X1849" s="266"/>
      <c r="Y1849" s="270"/>
      <c r="Z1849" s="266"/>
      <c r="AA1849" s="270"/>
      <c r="AB1849" s="270"/>
      <c r="AC1849" s="266"/>
      <c r="AD1849" s="270"/>
      <c r="AE1849" s="270"/>
      <c r="AF1849" s="201"/>
      <c r="AG1849" s="280"/>
      <c r="AH1849" s="280"/>
      <c r="AI1849" s="266"/>
    </row>
    <row r="1850" spans="1:38" s="273" customFormat="1" ht="17.25" customHeight="1" x14ac:dyDescent="0.25">
      <c r="A1850" s="265"/>
      <c r="B1850" s="281"/>
      <c r="C1850" s="281"/>
      <c r="D1850" s="281"/>
      <c r="E1850" s="281"/>
      <c r="F1850" s="281"/>
      <c r="G1850" s="281"/>
      <c r="H1850" s="274"/>
      <c r="I1850" s="268"/>
      <c r="J1850" s="282"/>
      <c r="K1850" s="269"/>
      <c r="L1850" s="269"/>
      <c r="M1850" s="266"/>
      <c r="N1850" s="449"/>
      <c r="O1850" s="449"/>
      <c r="P1850" s="201"/>
      <c r="Q1850" s="283"/>
      <c r="R1850" s="283"/>
      <c r="S1850" s="272"/>
      <c r="T1850" s="272"/>
      <c r="U1850" s="272"/>
      <c r="V1850" s="269"/>
      <c r="W1850" s="266"/>
      <c r="X1850" s="266"/>
      <c r="Y1850" s="266"/>
      <c r="Z1850" s="266"/>
      <c r="AA1850" s="266"/>
      <c r="AB1850" s="266"/>
      <c r="AC1850" s="266"/>
      <c r="AD1850" s="449"/>
      <c r="AE1850" s="449"/>
      <c r="AF1850" s="266"/>
      <c r="AG1850" s="266"/>
      <c r="AH1850" s="266"/>
      <c r="AI1850" s="266"/>
    </row>
    <row r="1851" spans="1:38" s="273" customFormat="1" ht="16.5" customHeight="1" x14ac:dyDescent="0.25">
      <c r="A1851" s="265"/>
      <c r="B1851" s="281"/>
      <c r="C1851" s="281"/>
      <c r="D1851" s="281"/>
      <c r="E1851" s="281"/>
      <c r="F1851" s="281"/>
      <c r="G1851" s="281"/>
      <c r="H1851" s="265"/>
      <c r="I1851" s="268"/>
      <c r="J1851" s="282"/>
      <c r="K1851" s="269"/>
      <c r="L1851" s="269"/>
      <c r="M1851" s="266"/>
      <c r="N1851" s="450"/>
      <c r="O1851" s="450"/>
      <c r="P1851" s="269"/>
      <c r="Q1851" s="269"/>
      <c r="R1851" s="269"/>
      <c r="S1851" s="266"/>
      <c r="T1851" s="266"/>
      <c r="U1851" s="266"/>
      <c r="V1851" s="269"/>
      <c r="W1851" s="266"/>
      <c r="X1851" s="266"/>
      <c r="Y1851" s="266"/>
      <c r="Z1851" s="266"/>
      <c r="AA1851" s="266"/>
      <c r="AB1851" s="266"/>
      <c r="AC1851" s="266"/>
      <c r="AD1851" s="451"/>
      <c r="AE1851" s="451"/>
      <c r="AF1851" s="269"/>
      <c r="AG1851" s="276"/>
      <c r="AH1851" s="276"/>
      <c r="AI1851" s="270"/>
    </row>
    <row r="1852" spans="1:38" s="288" customFormat="1" ht="18" customHeight="1" x14ac:dyDescent="0.25">
      <c r="A1852" s="284"/>
      <c r="B1852" s="285"/>
      <c r="C1852" s="285"/>
      <c r="D1852" s="285"/>
      <c r="E1852" s="285"/>
      <c r="F1852" s="285"/>
      <c r="G1852" s="285"/>
      <c r="H1852" s="286" t="s">
        <v>3689</v>
      </c>
      <c r="I1852" s="268"/>
      <c r="J1852" s="282"/>
      <c r="K1852" s="269"/>
      <c r="L1852" s="269"/>
      <c r="M1852" s="266"/>
      <c r="N1852" s="454" t="s">
        <v>3690</v>
      </c>
      <c r="O1852" s="454"/>
      <c r="P1852" s="269"/>
      <c r="Q1852" s="287"/>
      <c r="R1852" s="287"/>
      <c r="S1852" s="285"/>
      <c r="T1852" s="285"/>
      <c r="U1852" s="285"/>
      <c r="V1852" s="287"/>
      <c r="W1852" s="285"/>
      <c r="X1852" s="285"/>
      <c r="Y1852" s="285"/>
      <c r="Z1852" s="285"/>
      <c r="AA1852" s="285"/>
      <c r="AB1852" s="285"/>
      <c r="AC1852" s="285"/>
      <c r="AE1852" s="285"/>
      <c r="AF1852" s="285"/>
      <c r="AG1852" s="285"/>
      <c r="AH1852" s="285"/>
      <c r="AI1852" s="285"/>
      <c r="AJ1852" s="289"/>
      <c r="AK1852" s="289"/>
      <c r="AL1852" s="289"/>
    </row>
    <row r="1853" spans="1:38" x14ac:dyDescent="0.25">
      <c r="B1853" s="291"/>
      <c r="C1853" s="291"/>
      <c r="D1853" s="291"/>
      <c r="E1853" s="291"/>
      <c r="F1853" s="291"/>
      <c r="G1853" s="291"/>
      <c r="H1853" s="292" t="s">
        <v>3691</v>
      </c>
      <c r="J1853" s="294"/>
      <c r="K1853" s="294"/>
      <c r="L1853" s="294"/>
      <c r="M1853" s="294"/>
      <c r="N1853" s="448" t="s">
        <v>3692</v>
      </c>
      <c r="O1853" s="448"/>
    </row>
    <row r="1854" spans="1:38" x14ac:dyDescent="0.25">
      <c r="H1854" s="297" t="s">
        <v>3693</v>
      </c>
      <c r="J1854" s="293"/>
      <c r="K1854" s="293"/>
      <c r="L1854" s="293"/>
      <c r="M1854" s="293"/>
      <c r="N1854" s="448" t="s">
        <v>3694</v>
      </c>
      <c r="O1854" s="448"/>
    </row>
    <row r="1855" spans="1:38" x14ac:dyDescent="0.25">
      <c r="J1855" s="293"/>
      <c r="K1855" s="293"/>
      <c r="L1855" s="293"/>
      <c r="M1855" s="293"/>
    </row>
    <row r="1856" spans="1:38" x14ac:dyDescent="0.25">
      <c r="J1856" s="298"/>
    </row>
    <row r="1857" spans="8:8" x14ac:dyDescent="0.25">
      <c r="H1857" s="274"/>
    </row>
    <row r="1858" spans="8:8" x14ac:dyDescent="0.25">
      <c r="H1858" s="265"/>
    </row>
    <row r="1873" spans="10:11" x14ac:dyDescent="0.25">
      <c r="J1873" s="299"/>
      <c r="K1873" s="300"/>
    </row>
    <row r="1874" spans="10:11" x14ac:dyDescent="0.25">
      <c r="J1874" s="300"/>
      <c r="K1874" s="300"/>
    </row>
  </sheetData>
  <mergeCells count="31">
    <mergeCell ref="B1:P1"/>
    <mergeCell ref="B2:P2"/>
    <mergeCell ref="B3:P3"/>
    <mergeCell ref="B7:B9"/>
    <mergeCell ref="C7:C9"/>
    <mergeCell ref="D7:D9"/>
    <mergeCell ref="E7:E9"/>
    <mergeCell ref="F7:F9"/>
    <mergeCell ref="G7:G9"/>
    <mergeCell ref="H7:H9"/>
    <mergeCell ref="AD1846:AE1846"/>
    <mergeCell ref="I7:I9"/>
    <mergeCell ref="J7:J9"/>
    <mergeCell ref="K7:K9"/>
    <mergeCell ref="L7:L9"/>
    <mergeCell ref="M7:M9"/>
    <mergeCell ref="N7:N9"/>
    <mergeCell ref="O7:O9"/>
    <mergeCell ref="P7:P9"/>
    <mergeCell ref="B1844:H1844"/>
    <mergeCell ref="N1845:O1845"/>
    <mergeCell ref="N1846:O1846"/>
    <mergeCell ref="N1852:O1852"/>
    <mergeCell ref="N1853:O1853"/>
    <mergeCell ref="N1854:O1854"/>
    <mergeCell ref="N1847:O1847"/>
    <mergeCell ref="AD1847:AE1847"/>
    <mergeCell ref="N1850:O1850"/>
    <mergeCell ref="AD1850:AE1850"/>
    <mergeCell ref="N1851:O1851"/>
    <mergeCell ref="AD1851:AE1851"/>
  </mergeCells>
  <printOptions horizontalCentered="1"/>
  <pageMargins left="0" right="0" top="0.35433070866141736" bottom="3.937007874015748E-2" header="0.31496062992125984" footer="0.31496062992125984"/>
  <pageSetup paperSize="5" scale="55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CC82D-5BAF-4E29-836A-F33FAF23C29B}">
  <dimension ref="A1:AI1582"/>
  <sheetViews>
    <sheetView tabSelected="1" view="pageBreakPreview" topLeftCell="I1" zoomScaleNormal="40" zoomScaleSheetLayoutView="100" workbookViewId="0">
      <pane xSplit="10" ySplit="46" topLeftCell="T1562" activePane="bottomRight" state="frozen"/>
      <selection activeCell="I1" sqref="I1"/>
      <selection pane="topRight" activeCell="S1" sqref="S1"/>
      <selection pane="bottomLeft" activeCell="I47" sqref="I47"/>
      <selection pane="bottomRight" activeCell="AC1572" sqref="AC1572"/>
    </sheetView>
  </sheetViews>
  <sheetFormatPr defaultColWidth="9.140625" defaultRowHeight="12.75" x14ac:dyDescent="0.25"/>
  <cols>
    <col min="1" max="1" width="5.7109375" style="2" customWidth="1"/>
    <col min="2" max="2" width="16.5703125" style="3" customWidth="1"/>
    <col min="3" max="3" width="9.85546875" style="3" customWidth="1"/>
    <col min="4" max="4" width="33.42578125" style="4" customWidth="1"/>
    <col min="5" max="5" width="9.7109375" style="3" customWidth="1"/>
    <col min="6" max="6" width="20" style="3" customWidth="1"/>
    <col min="7" max="7" width="8.85546875" style="3" customWidth="1"/>
    <col min="8" max="8" width="10.140625" style="3" customWidth="1"/>
    <col min="9" max="9" width="9.28515625" style="3" customWidth="1"/>
    <col min="10" max="10" width="9.5703125" style="3" customWidth="1"/>
    <col min="11" max="11" width="6.28515625" style="3" customWidth="1"/>
    <col min="12" max="13" width="8.7109375" style="3" customWidth="1"/>
    <col min="14" max="14" width="17.42578125" style="3" customWidth="1"/>
    <col min="15" max="15" width="21" style="3" customWidth="1"/>
    <col min="16" max="16" width="19.28515625" style="3" hidden="1" customWidth="1"/>
    <col min="17" max="17" width="17.7109375" style="3" hidden="1" customWidth="1"/>
    <col min="18" max="18" width="12.85546875" style="3" hidden="1" customWidth="1"/>
    <col min="19" max="19" width="20.42578125" style="3" hidden="1" customWidth="1"/>
    <col min="20" max="20" width="10.140625" style="3" customWidth="1"/>
    <col min="21" max="21" width="20" style="3" customWidth="1"/>
    <col min="22" max="22" width="6.140625" style="3" customWidth="1"/>
    <col min="23" max="23" width="18.28515625" style="3" customWidth="1"/>
    <col min="24" max="24" width="6.140625" style="3" customWidth="1"/>
    <col min="25" max="25" width="15.85546875" style="3" customWidth="1"/>
    <col min="26" max="26" width="17.7109375" style="3" customWidth="1"/>
    <col min="27" max="27" width="9" style="3" customWidth="1"/>
    <col min="28" max="28" width="20.42578125" style="3" customWidth="1"/>
    <col min="29" max="29" width="22.85546875" style="3" customWidth="1"/>
    <col min="30" max="30" width="8.5703125" style="3" customWidth="1"/>
    <col min="31" max="31" width="9.85546875" style="3" customWidth="1"/>
    <col min="32" max="32" width="22.140625" style="3" customWidth="1"/>
    <col min="33" max="33" width="17.5703125" style="3" customWidth="1"/>
    <col min="34" max="34" width="16.7109375" style="3" customWidth="1"/>
    <col min="35" max="35" width="15" style="3" bestFit="1" customWidth="1"/>
    <col min="36" max="16384" width="9.140625" style="3"/>
  </cols>
  <sheetData>
    <row r="1" spans="1:33" s="1" customFormat="1" ht="15" customHeight="1" x14ac:dyDescent="0.25">
      <c r="A1" s="443" t="s">
        <v>0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</row>
    <row r="2" spans="1:33" s="1" customFormat="1" x14ac:dyDescent="0.25">
      <c r="A2" s="443" t="s">
        <v>1621</v>
      </c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</row>
    <row r="3" spans="1:33" s="1" customFormat="1" x14ac:dyDescent="0.25">
      <c r="A3" s="444" t="s">
        <v>1622</v>
      </c>
      <c r="B3" s="444"/>
      <c r="C3" s="444"/>
      <c r="D3" s="444"/>
      <c r="E3" s="444"/>
      <c r="F3" s="444"/>
      <c r="G3" s="444"/>
      <c r="H3" s="444"/>
      <c r="I3" s="444"/>
      <c r="J3" s="444"/>
      <c r="K3" s="444"/>
      <c r="L3" s="444"/>
      <c r="M3" s="444"/>
      <c r="N3" s="444"/>
      <c r="O3" s="444"/>
      <c r="P3" s="444"/>
      <c r="Q3" s="444"/>
      <c r="R3" s="444"/>
      <c r="S3" s="444"/>
      <c r="T3" s="444"/>
      <c r="U3" s="444"/>
      <c r="V3" s="444"/>
      <c r="W3" s="444"/>
      <c r="X3" s="444"/>
      <c r="Y3" s="444"/>
      <c r="Z3" s="444"/>
      <c r="AA3" s="444"/>
      <c r="AB3" s="444"/>
      <c r="AC3" s="444"/>
      <c r="AD3" s="444"/>
      <c r="AE3" s="444"/>
    </row>
    <row r="4" spans="1:33" s="1" customFormat="1" x14ac:dyDescent="0.25">
      <c r="A4" s="437" t="s">
        <v>1</v>
      </c>
      <c r="B4" s="445"/>
      <c r="C4" s="438"/>
      <c r="D4" s="431" t="s">
        <v>2</v>
      </c>
      <c r="E4" s="432"/>
      <c r="F4" s="433"/>
      <c r="G4" s="422" t="s">
        <v>3</v>
      </c>
      <c r="H4" s="422" t="s">
        <v>4</v>
      </c>
      <c r="I4" s="422" t="s">
        <v>5</v>
      </c>
      <c r="J4" s="422" t="s">
        <v>6</v>
      </c>
      <c r="K4" s="422" t="s">
        <v>7</v>
      </c>
      <c r="L4" s="422" t="s">
        <v>8</v>
      </c>
      <c r="M4" s="437" t="s">
        <v>9</v>
      </c>
      <c r="N4" s="445"/>
      <c r="O4" s="438"/>
      <c r="P4" s="422" t="s">
        <v>10</v>
      </c>
      <c r="Q4" s="437" t="s">
        <v>11</v>
      </c>
      <c r="R4" s="438"/>
      <c r="S4" s="422" t="s">
        <v>12</v>
      </c>
      <c r="T4" s="422" t="s">
        <v>13</v>
      </c>
      <c r="U4" s="422" t="s">
        <v>14</v>
      </c>
      <c r="V4" s="431" t="s">
        <v>15</v>
      </c>
      <c r="W4" s="432"/>
      <c r="X4" s="432"/>
      <c r="Y4" s="433"/>
      <c r="Z4" s="434" t="s">
        <v>16</v>
      </c>
      <c r="AA4" s="422" t="s">
        <v>17</v>
      </c>
      <c r="AB4" s="422" t="s">
        <v>18</v>
      </c>
      <c r="AC4" s="422" t="s">
        <v>19</v>
      </c>
      <c r="AD4" s="422" t="s">
        <v>20</v>
      </c>
      <c r="AE4" s="422" t="s">
        <v>21</v>
      </c>
    </row>
    <row r="5" spans="1:33" s="1" customFormat="1" ht="24" customHeight="1" x14ac:dyDescent="0.25">
      <c r="A5" s="422" t="s">
        <v>22</v>
      </c>
      <c r="B5" s="422" t="s">
        <v>23</v>
      </c>
      <c r="C5" s="426" t="s">
        <v>24</v>
      </c>
      <c r="D5" s="422" t="s">
        <v>25</v>
      </c>
      <c r="E5" s="422" t="s">
        <v>26</v>
      </c>
      <c r="F5" s="422" t="s">
        <v>27</v>
      </c>
      <c r="G5" s="430"/>
      <c r="H5" s="430"/>
      <c r="I5" s="430"/>
      <c r="J5" s="430"/>
      <c r="K5" s="430"/>
      <c r="L5" s="430"/>
      <c r="M5" s="428" t="s">
        <v>28</v>
      </c>
      <c r="N5" s="428" t="s">
        <v>29</v>
      </c>
      <c r="O5" s="439" t="s">
        <v>30</v>
      </c>
      <c r="P5" s="430"/>
      <c r="Q5" s="441" t="s">
        <v>31</v>
      </c>
      <c r="R5" s="441" t="s">
        <v>32</v>
      </c>
      <c r="S5" s="430"/>
      <c r="T5" s="430"/>
      <c r="U5" s="430"/>
      <c r="V5" s="446" t="s">
        <v>33</v>
      </c>
      <c r="W5" s="447"/>
      <c r="X5" s="446" t="s">
        <v>34</v>
      </c>
      <c r="Y5" s="447"/>
      <c r="Z5" s="435"/>
      <c r="AA5" s="430"/>
      <c r="AB5" s="430"/>
      <c r="AC5" s="430"/>
      <c r="AD5" s="423"/>
      <c r="AE5" s="423"/>
      <c r="AF5" s="5"/>
      <c r="AG5" s="5"/>
    </row>
    <row r="6" spans="1:33" s="1" customFormat="1" ht="37.5" customHeight="1" x14ac:dyDescent="0.25">
      <c r="A6" s="425"/>
      <c r="B6" s="425"/>
      <c r="C6" s="427"/>
      <c r="D6" s="425"/>
      <c r="E6" s="425"/>
      <c r="F6" s="425"/>
      <c r="G6" s="425"/>
      <c r="H6" s="425"/>
      <c r="I6" s="425"/>
      <c r="J6" s="425"/>
      <c r="K6" s="425"/>
      <c r="L6" s="6" t="s">
        <v>35</v>
      </c>
      <c r="M6" s="429"/>
      <c r="N6" s="429"/>
      <c r="O6" s="440"/>
      <c r="P6" s="425"/>
      <c r="Q6" s="442"/>
      <c r="R6" s="442"/>
      <c r="S6" s="425"/>
      <c r="T6" s="425"/>
      <c r="U6" s="425"/>
      <c r="V6" s="7" t="s">
        <v>36</v>
      </c>
      <c r="W6" s="7" t="s">
        <v>37</v>
      </c>
      <c r="X6" s="7" t="s">
        <v>36</v>
      </c>
      <c r="Y6" s="7" t="s">
        <v>37</v>
      </c>
      <c r="Z6" s="436"/>
      <c r="AA6" s="425"/>
      <c r="AB6" s="425"/>
      <c r="AC6" s="425"/>
      <c r="AD6" s="424"/>
      <c r="AE6" s="424"/>
      <c r="AF6" s="8"/>
    </row>
    <row r="7" spans="1:33" s="1" customFormat="1" x14ac:dyDescent="0.25">
      <c r="A7" s="9">
        <v>1</v>
      </c>
      <c r="B7" s="9">
        <v>2</v>
      </c>
      <c r="C7" s="9">
        <v>3</v>
      </c>
      <c r="D7" s="10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  <c r="L7" s="9">
        <v>12</v>
      </c>
      <c r="M7" s="9">
        <v>13</v>
      </c>
      <c r="N7" s="9">
        <v>14</v>
      </c>
      <c r="O7" s="9">
        <v>15</v>
      </c>
      <c r="P7" s="9">
        <v>16</v>
      </c>
      <c r="Q7" s="9">
        <v>17</v>
      </c>
      <c r="R7" s="9">
        <v>18</v>
      </c>
      <c r="S7" s="9">
        <v>19</v>
      </c>
      <c r="T7" s="9">
        <v>20</v>
      </c>
      <c r="U7" s="9">
        <v>21</v>
      </c>
      <c r="V7" s="9">
        <v>22</v>
      </c>
      <c r="W7" s="9">
        <v>23</v>
      </c>
      <c r="X7" s="9">
        <v>24</v>
      </c>
      <c r="Y7" s="9">
        <v>25</v>
      </c>
      <c r="Z7" s="9">
        <v>26</v>
      </c>
      <c r="AA7" s="9">
        <v>27</v>
      </c>
      <c r="AB7" s="9">
        <v>28</v>
      </c>
      <c r="AC7" s="9">
        <v>29</v>
      </c>
      <c r="AD7" s="9">
        <v>30</v>
      </c>
      <c r="AE7" s="9">
        <v>31</v>
      </c>
      <c r="AF7" s="8"/>
      <c r="AG7" s="5"/>
    </row>
    <row r="8" spans="1:33" s="16" customFormat="1" ht="23.25" customHeight="1" x14ac:dyDescent="0.25">
      <c r="A8" s="11">
        <v>1</v>
      </c>
      <c r="B8" s="12" t="s">
        <v>38</v>
      </c>
      <c r="C8" s="12"/>
      <c r="D8" s="13" t="s">
        <v>39</v>
      </c>
      <c r="E8" s="14"/>
      <c r="F8" s="14"/>
      <c r="G8" s="14"/>
      <c r="H8" s="14"/>
      <c r="I8" s="14"/>
      <c r="J8" s="14"/>
      <c r="K8" s="14"/>
      <c r="L8" s="14"/>
      <c r="M8" s="14">
        <f>M9+M14+M19+M24</f>
        <v>0</v>
      </c>
      <c r="N8" s="14"/>
      <c r="O8" s="15">
        <f t="shared" ref="O8:AC8" si="0">O9+O14+O19+O24</f>
        <v>0</v>
      </c>
      <c r="P8" s="15">
        <f t="shared" si="0"/>
        <v>0</v>
      </c>
      <c r="Q8" s="15">
        <f t="shared" si="0"/>
        <v>0</v>
      </c>
      <c r="R8" s="15">
        <f t="shared" si="0"/>
        <v>0</v>
      </c>
      <c r="S8" s="15">
        <f t="shared" si="0"/>
        <v>0</v>
      </c>
      <c r="T8" s="15"/>
      <c r="U8" s="15">
        <f t="shared" si="0"/>
        <v>0</v>
      </c>
      <c r="V8" s="15"/>
      <c r="W8" s="15">
        <f t="shared" si="0"/>
        <v>0</v>
      </c>
      <c r="X8" s="15"/>
      <c r="Y8" s="15">
        <f t="shared" si="0"/>
        <v>0</v>
      </c>
      <c r="Z8" s="15">
        <f t="shared" si="0"/>
        <v>0</v>
      </c>
      <c r="AA8" s="15"/>
      <c r="AB8" s="15">
        <f t="shared" si="0"/>
        <v>0</v>
      </c>
      <c r="AC8" s="15">
        <f t="shared" si="0"/>
        <v>0</v>
      </c>
      <c r="AD8" s="14"/>
      <c r="AE8" s="14"/>
    </row>
    <row r="9" spans="1:33" s="1" customFormat="1" hidden="1" x14ac:dyDescent="0.25">
      <c r="A9" s="17"/>
      <c r="B9" s="18" t="s">
        <v>40</v>
      </c>
      <c r="C9" s="18"/>
      <c r="D9" s="19" t="s">
        <v>39</v>
      </c>
      <c r="E9" s="20"/>
      <c r="F9" s="20"/>
      <c r="G9" s="20"/>
      <c r="H9" s="20"/>
      <c r="I9" s="20"/>
      <c r="J9" s="20"/>
      <c r="K9" s="20"/>
      <c r="L9" s="20"/>
      <c r="M9" s="20">
        <f>SUM(M10:M13)</f>
        <v>0</v>
      </c>
      <c r="N9" s="20"/>
      <c r="O9" s="20">
        <f>SUM(O10:O13)</f>
        <v>0</v>
      </c>
      <c r="P9" s="20">
        <f t="shared" ref="P9:U9" si="1">SUM(P10:P13)</f>
        <v>0</v>
      </c>
      <c r="Q9" s="20">
        <f t="shared" si="1"/>
        <v>0</v>
      </c>
      <c r="R9" s="20">
        <f t="shared" si="1"/>
        <v>0</v>
      </c>
      <c r="S9" s="20">
        <f t="shared" si="1"/>
        <v>0</v>
      </c>
      <c r="T9" s="20"/>
      <c r="U9" s="20">
        <f t="shared" si="1"/>
        <v>0</v>
      </c>
      <c r="V9" s="20"/>
      <c r="W9" s="20">
        <f>SUM(W10:W13)</f>
        <v>0</v>
      </c>
      <c r="X9" s="20"/>
      <c r="Y9" s="20">
        <f>SUM(Y10:Y13)</f>
        <v>0</v>
      </c>
      <c r="Z9" s="20">
        <f>SUM(Z10:Z13)</f>
        <v>0</v>
      </c>
      <c r="AA9" s="20"/>
      <c r="AB9" s="20">
        <f>SUM(AB10:AB13)</f>
        <v>0</v>
      </c>
      <c r="AC9" s="20">
        <f>SUM(AC10:AC13)</f>
        <v>0</v>
      </c>
      <c r="AD9" s="20"/>
      <c r="AE9" s="20"/>
    </row>
    <row r="10" spans="1:33" s="1" customFormat="1" hidden="1" x14ac:dyDescent="0.25">
      <c r="A10" s="21"/>
      <c r="B10" s="22"/>
      <c r="C10" s="22"/>
      <c r="D10" s="23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</row>
    <row r="11" spans="1:33" s="1" customFormat="1" hidden="1" x14ac:dyDescent="0.25">
      <c r="A11" s="21"/>
      <c r="B11" s="22"/>
      <c r="C11" s="22"/>
      <c r="D11" s="23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</row>
    <row r="12" spans="1:33" s="1" customFormat="1" hidden="1" x14ac:dyDescent="0.25">
      <c r="A12" s="21"/>
      <c r="B12" s="22"/>
      <c r="C12" s="22"/>
      <c r="D12" s="23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</row>
    <row r="13" spans="1:33" s="1" customFormat="1" hidden="1" x14ac:dyDescent="0.25">
      <c r="A13" s="21"/>
      <c r="B13" s="22"/>
      <c r="C13" s="22"/>
      <c r="D13" s="23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</row>
    <row r="14" spans="1:33" s="1" customFormat="1" hidden="1" x14ac:dyDescent="0.25">
      <c r="A14" s="25"/>
      <c r="B14" s="26" t="s">
        <v>41</v>
      </c>
      <c r="C14" s="26"/>
      <c r="D14" s="27" t="s">
        <v>42</v>
      </c>
      <c r="E14" s="28"/>
      <c r="F14" s="28"/>
      <c r="G14" s="28"/>
      <c r="H14" s="28"/>
      <c r="I14" s="28"/>
      <c r="J14" s="28"/>
      <c r="K14" s="28"/>
      <c r="L14" s="28"/>
      <c r="M14" s="28">
        <f>SUM(M15:M18)</f>
        <v>0</v>
      </c>
      <c r="N14" s="28"/>
      <c r="O14" s="28">
        <f t="shared" ref="O14:AC14" si="2">SUM(O15:O18)</f>
        <v>0</v>
      </c>
      <c r="P14" s="28">
        <f t="shared" si="2"/>
        <v>0</v>
      </c>
      <c r="Q14" s="28">
        <f t="shared" si="2"/>
        <v>0</v>
      </c>
      <c r="R14" s="28">
        <f t="shared" si="2"/>
        <v>0</v>
      </c>
      <c r="S14" s="28">
        <f t="shared" si="2"/>
        <v>0</v>
      </c>
      <c r="T14" s="28"/>
      <c r="U14" s="28">
        <f t="shared" si="2"/>
        <v>0</v>
      </c>
      <c r="V14" s="28"/>
      <c r="W14" s="28">
        <f t="shared" si="2"/>
        <v>0</v>
      </c>
      <c r="X14" s="28"/>
      <c r="Y14" s="28">
        <f t="shared" si="2"/>
        <v>0</v>
      </c>
      <c r="Z14" s="28">
        <f t="shared" si="2"/>
        <v>0</v>
      </c>
      <c r="AA14" s="28"/>
      <c r="AB14" s="28">
        <f t="shared" si="2"/>
        <v>0</v>
      </c>
      <c r="AC14" s="28">
        <f t="shared" si="2"/>
        <v>0</v>
      </c>
      <c r="AD14" s="28"/>
      <c r="AE14" s="28"/>
    </row>
    <row r="15" spans="1:33" s="1" customFormat="1" hidden="1" x14ac:dyDescent="0.25">
      <c r="A15" s="21"/>
      <c r="B15" s="22"/>
      <c r="C15" s="22"/>
      <c r="D15" s="23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</row>
    <row r="16" spans="1:33" s="1" customFormat="1" hidden="1" x14ac:dyDescent="0.25">
      <c r="A16" s="21"/>
      <c r="B16" s="22"/>
      <c r="C16" s="22"/>
      <c r="D16" s="2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</row>
    <row r="17" spans="1:34" s="1" customFormat="1" hidden="1" x14ac:dyDescent="0.25">
      <c r="A17" s="21"/>
      <c r="B17" s="22"/>
      <c r="C17" s="22"/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</row>
    <row r="18" spans="1:34" s="1" customFormat="1" hidden="1" x14ac:dyDescent="0.25">
      <c r="A18" s="21"/>
      <c r="B18" s="22"/>
      <c r="C18" s="22"/>
      <c r="D18" s="23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</row>
    <row r="19" spans="1:34" s="1" customFormat="1" hidden="1" x14ac:dyDescent="0.25">
      <c r="A19" s="25"/>
      <c r="B19" s="26" t="s">
        <v>43</v>
      </c>
      <c r="C19" s="26"/>
      <c r="D19" s="27" t="s">
        <v>44</v>
      </c>
      <c r="E19" s="28"/>
      <c r="F19" s="28"/>
      <c r="G19" s="28"/>
      <c r="H19" s="28"/>
      <c r="I19" s="28"/>
      <c r="J19" s="28"/>
      <c r="K19" s="28"/>
      <c r="L19" s="28"/>
      <c r="M19" s="28">
        <f>SUM(M20:M23)</f>
        <v>0</v>
      </c>
      <c r="N19" s="28"/>
      <c r="O19" s="28">
        <f t="shared" ref="O19:AC19" si="3">SUM(O20:O23)</f>
        <v>0</v>
      </c>
      <c r="P19" s="28">
        <f t="shared" si="3"/>
        <v>0</v>
      </c>
      <c r="Q19" s="28">
        <f t="shared" si="3"/>
        <v>0</v>
      </c>
      <c r="R19" s="28">
        <f t="shared" si="3"/>
        <v>0</v>
      </c>
      <c r="S19" s="28">
        <f t="shared" si="3"/>
        <v>0</v>
      </c>
      <c r="T19" s="28"/>
      <c r="U19" s="28">
        <f t="shared" si="3"/>
        <v>0</v>
      </c>
      <c r="V19" s="28"/>
      <c r="W19" s="28">
        <f t="shared" si="3"/>
        <v>0</v>
      </c>
      <c r="X19" s="28"/>
      <c r="Y19" s="28">
        <f t="shared" si="3"/>
        <v>0</v>
      </c>
      <c r="Z19" s="28">
        <f t="shared" si="3"/>
        <v>0</v>
      </c>
      <c r="AA19" s="28"/>
      <c r="AB19" s="28">
        <f t="shared" si="3"/>
        <v>0</v>
      </c>
      <c r="AC19" s="28">
        <f t="shared" si="3"/>
        <v>0</v>
      </c>
      <c r="AD19" s="28"/>
      <c r="AE19" s="28"/>
    </row>
    <row r="20" spans="1:34" s="1" customFormat="1" hidden="1" x14ac:dyDescent="0.25">
      <c r="A20" s="21"/>
      <c r="B20" s="22"/>
      <c r="C20" s="22"/>
      <c r="D20" s="23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</row>
    <row r="21" spans="1:34" s="1" customFormat="1" hidden="1" x14ac:dyDescent="0.25">
      <c r="A21" s="21"/>
      <c r="B21" s="22"/>
      <c r="C21" s="22"/>
      <c r="D21" s="23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</row>
    <row r="22" spans="1:34" s="1" customFormat="1" hidden="1" x14ac:dyDescent="0.25">
      <c r="A22" s="21"/>
      <c r="B22" s="22"/>
      <c r="C22" s="22"/>
      <c r="D22" s="2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</row>
    <row r="23" spans="1:34" s="1" customFormat="1" hidden="1" x14ac:dyDescent="0.25">
      <c r="A23" s="21"/>
      <c r="B23" s="22"/>
      <c r="C23" s="22"/>
      <c r="D23" s="23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</row>
    <row r="24" spans="1:34" s="1" customFormat="1" hidden="1" x14ac:dyDescent="0.25">
      <c r="A24" s="25"/>
      <c r="B24" s="26" t="s">
        <v>45</v>
      </c>
      <c r="C24" s="26"/>
      <c r="D24" s="27" t="s">
        <v>46</v>
      </c>
      <c r="E24" s="28"/>
      <c r="F24" s="28"/>
      <c r="G24" s="28"/>
      <c r="H24" s="28"/>
      <c r="I24" s="28"/>
      <c r="J24" s="28"/>
      <c r="K24" s="28"/>
      <c r="L24" s="28"/>
      <c r="M24" s="28">
        <f>SUM(M25:M28)</f>
        <v>0</v>
      </c>
      <c r="N24" s="28"/>
      <c r="O24" s="28">
        <f>SUM(O25:O28)</f>
        <v>0</v>
      </c>
      <c r="P24" s="28">
        <f t="shared" ref="P24:AC24" si="4">SUM(P25:P28)</f>
        <v>0</v>
      </c>
      <c r="Q24" s="28">
        <f t="shared" si="4"/>
        <v>0</v>
      </c>
      <c r="R24" s="28">
        <f t="shared" si="4"/>
        <v>0</v>
      </c>
      <c r="S24" s="28">
        <f t="shared" si="4"/>
        <v>0</v>
      </c>
      <c r="T24" s="28"/>
      <c r="U24" s="28">
        <f t="shared" si="4"/>
        <v>0</v>
      </c>
      <c r="V24" s="28"/>
      <c r="W24" s="28">
        <f t="shared" si="4"/>
        <v>0</v>
      </c>
      <c r="X24" s="28"/>
      <c r="Y24" s="28">
        <f t="shared" si="4"/>
        <v>0</v>
      </c>
      <c r="Z24" s="28">
        <f t="shared" si="4"/>
        <v>0</v>
      </c>
      <c r="AA24" s="28"/>
      <c r="AB24" s="28">
        <f t="shared" si="4"/>
        <v>0</v>
      </c>
      <c r="AC24" s="28">
        <f t="shared" si="4"/>
        <v>0</v>
      </c>
      <c r="AD24" s="28"/>
      <c r="AE24" s="28"/>
    </row>
    <row r="25" spans="1:34" s="1" customFormat="1" hidden="1" x14ac:dyDescent="0.25">
      <c r="A25" s="21"/>
      <c r="B25" s="22"/>
      <c r="C25" s="22"/>
      <c r="D25" s="23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</row>
    <row r="26" spans="1:34" s="1" customFormat="1" hidden="1" x14ac:dyDescent="0.25">
      <c r="A26" s="21"/>
      <c r="B26" s="22"/>
      <c r="C26" s="22"/>
      <c r="D26" s="23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</row>
    <row r="27" spans="1:34" s="1" customFormat="1" hidden="1" x14ac:dyDescent="0.25">
      <c r="A27" s="21"/>
      <c r="B27" s="22"/>
      <c r="C27" s="22"/>
      <c r="D27" s="23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</row>
    <row r="28" spans="1:34" s="1" customFormat="1" hidden="1" x14ac:dyDescent="0.25">
      <c r="A28" s="21"/>
      <c r="B28" s="22"/>
      <c r="C28" s="22"/>
      <c r="D28" s="23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</row>
    <row r="29" spans="1:34" s="1" customFormat="1" hidden="1" x14ac:dyDescent="0.25">
      <c r="A29" s="21"/>
      <c r="B29" s="22"/>
      <c r="C29" s="22"/>
      <c r="D29" s="23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</row>
    <row r="30" spans="1:34" s="16" customFormat="1" ht="19.5" customHeight="1" x14ac:dyDescent="0.25">
      <c r="A30" s="29">
        <v>2</v>
      </c>
      <c r="B30" s="30" t="s">
        <v>47</v>
      </c>
      <c r="C30" s="30"/>
      <c r="D30" s="31" t="s">
        <v>48</v>
      </c>
      <c r="E30" s="32"/>
      <c r="F30" s="32"/>
      <c r="G30" s="32"/>
      <c r="H30" s="32"/>
      <c r="I30" s="32"/>
      <c r="J30" s="32"/>
      <c r="K30" s="32"/>
      <c r="L30" s="32"/>
      <c r="M30" s="33">
        <f>SUM(M31+M44+M101+M786+M808+M846+M1058)</f>
        <v>5054</v>
      </c>
      <c r="N30" s="136"/>
      <c r="O30" s="34">
        <f>SUM(O31+O44+O101+O786+O808+O846+O1058)</f>
        <v>12923541158.004616</v>
      </c>
      <c r="P30" s="32">
        <f>P31+P44+P89+P96+P101+P786+P808+P816+P837+P846+P1010+P1015+P1020+P1029+P1036+P1045+P1048+P1051+P1058</f>
        <v>0</v>
      </c>
      <c r="Q30" s="32">
        <f>Q31+Q44+Q89+Q96+Q101+Q786+Q808+Q816+Q837+Q846+Q1010+Q1015+Q1020+Q1029+Q1036+Q1045+Q1048+Q1051+Q1058</f>
        <v>0</v>
      </c>
      <c r="R30" s="32">
        <f>R31+R44+R89+R96+R101+R786+R808+R816+R837+R846+R1010+R1015+R1020+R1029+R1036+R1045+R1048+R1051+R1058</f>
        <v>0</v>
      </c>
      <c r="S30" s="34">
        <f>SUM(S31+S44+S101+S786+S808+S846+S1058)</f>
        <v>12923541158.004616</v>
      </c>
      <c r="T30" s="34"/>
      <c r="U30" s="34">
        <f>SUM(U31+U44+U101+U786+U808+U816+U837+U846+U1010+U1015+U1020+U1029+U1036+U1045+U1048+U1051+U1058)</f>
        <v>948001779.52857149</v>
      </c>
      <c r="V30" s="34"/>
      <c r="W30" s="34">
        <f>SUM(W31+W44+W101+W786+W808+W816+W837+W846+W1010+W1015+W1020+W1029+W1036+W1045+W1048+W1051+W1058)</f>
        <v>221481647.52571425</v>
      </c>
      <c r="X30" s="34"/>
      <c r="Y30" s="34">
        <f>SUM(Y31+Y44+Y101+Y786+Y808+Y816+Y837+Y846+Y1010+Y1015+Y1020+Y1029+Y1036+Y1045+Y1048+Y1051+Y1058)</f>
        <v>0</v>
      </c>
      <c r="Z30" s="34">
        <f>SUM(Z31+Z44+Z101+Z786+Z808+Z816+Z837+Z846+Z1010+Z1015+Z1020+Z1029+Z1036+Z1045+Z1048+Z1051+Z1058)</f>
        <v>221481647.52571425</v>
      </c>
      <c r="AA30" s="34"/>
      <c r="AB30" s="34">
        <f>SUM(AB31+AB44+AB101+AB786+AB808+AB816+AB837+AB846+AB1010+AB1015+AB1020+AB1029+AB1036+AB1045+AB1048+AB1051+AB1058)</f>
        <v>11798701147.906284</v>
      </c>
      <c r="AC30" s="34">
        <f>SUM(AC31+AC44+AC101+AC786+AC808+AC846+AC1058)</f>
        <v>1124840010.3583333</v>
      </c>
      <c r="AD30" s="32"/>
      <c r="AE30" s="32"/>
      <c r="AF30" s="36">
        <v>1127642295.7426188</v>
      </c>
      <c r="AG30" s="137">
        <f>AF30-AC30</f>
        <v>2802285.38428545</v>
      </c>
      <c r="AH30" s="36"/>
    </row>
    <row r="31" spans="1:34" s="1" customFormat="1" x14ac:dyDescent="0.25">
      <c r="A31" s="17"/>
      <c r="B31" s="18" t="s">
        <v>49</v>
      </c>
      <c r="C31" s="18"/>
      <c r="D31" s="19" t="s">
        <v>50</v>
      </c>
      <c r="E31" s="20"/>
      <c r="F31" s="20"/>
      <c r="G31" s="20"/>
      <c r="H31" s="20"/>
      <c r="I31" s="20"/>
      <c r="J31" s="20"/>
      <c r="K31" s="20"/>
      <c r="L31" s="20"/>
      <c r="M31" s="20">
        <f>SUM(M40)</f>
        <v>1</v>
      </c>
      <c r="N31" s="20"/>
      <c r="O31" s="37">
        <f>SUM(O40)</f>
        <v>509600000</v>
      </c>
      <c r="P31" s="20">
        <f t="shared" ref="P31:AC31" si="5">P32+P36+P40</f>
        <v>0</v>
      </c>
      <c r="Q31" s="20">
        <f t="shared" si="5"/>
        <v>0</v>
      </c>
      <c r="R31" s="20">
        <f t="shared" si="5"/>
        <v>0</v>
      </c>
      <c r="S31" s="37">
        <f>SUM(S40)</f>
        <v>509600000</v>
      </c>
      <c r="T31" s="37"/>
      <c r="U31" s="37">
        <f t="shared" si="5"/>
        <v>50960000</v>
      </c>
      <c r="V31" s="37"/>
      <c r="W31" s="37">
        <f t="shared" si="5"/>
        <v>0</v>
      </c>
      <c r="X31" s="37"/>
      <c r="Y31" s="37">
        <f t="shared" si="5"/>
        <v>0</v>
      </c>
      <c r="Z31" s="37">
        <f t="shared" si="5"/>
        <v>0</v>
      </c>
      <c r="AA31" s="37"/>
      <c r="AB31" s="37">
        <f>SUM(AB40)</f>
        <v>509600000</v>
      </c>
      <c r="AC31" s="37">
        <f t="shared" si="5"/>
        <v>0</v>
      </c>
      <c r="AD31" s="20"/>
      <c r="AE31" s="38"/>
      <c r="AF31" s="39">
        <v>11817728862.791998</v>
      </c>
      <c r="AG31" s="35"/>
    </row>
    <row r="32" spans="1:34" s="1" customFormat="1" hidden="1" x14ac:dyDescent="0.25">
      <c r="A32" s="25"/>
      <c r="B32" s="26" t="s">
        <v>51</v>
      </c>
      <c r="C32" s="26"/>
      <c r="D32" s="27" t="s">
        <v>52</v>
      </c>
      <c r="E32" s="28"/>
      <c r="F32" s="28"/>
      <c r="G32" s="28"/>
      <c r="H32" s="28"/>
      <c r="I32" s="28"/>
      <c r="J32" s="28"/>
      <c r="K32" s="28"/>
      <c r="L32" s="28"/>
      <c r="M32" s="28">
        <f>SUM(M33:M35)</f>
        <v>0</v>
      </c>
      <c r="N32" s="28"/>
      <c r="O32" s="40">
        <f>SUM(O33:O35)</f>
        <v>0</v>
      </c>
      <c r="P32" s="28">
        <f t="shared" ref="P32:AC32" si="6">SUM(P33:P35)</f>
        <v>0</v>
      </c>
      <c r="Q32" s="28">
        <f t="shared" si="6"/>
        <v>0</v>
      </c>
      <c r="R32" s="28">
        <f t="shared" si="6"/>
        <v>0</v>
      </c>
      <c r="S32" s="40">
        <f t="shared" si="6"/>
        <v>0</v>
      </c>
      <c r="T32" s="40"/>
      <c r="U32" s="40">
        <f t="shared" si="6"/>
        <v>0</v>
      </c>
      <c r="V32" s="40"/>
      <c r="W32" s="40">
        <f t="shared" si="6"/>
        <v>0</v>
      </c>
      <c r="X32" s="40"/>
      <c r="Y32" s="40">
        <f t="shared" si="6"/>
        <v>0</v>
      </c>
      <c r="Z32" s="40">
        <f t="shared" si="6"/>
        <v>0</v>
      </c>
      <c r="AA32" s="40"/>
      <c r="AB32" s="40">
        <f t="shared" si="6"/>
        <v>0</v>
      </c>
      <c r="AC32" s="40">
        <f t="shared" si="6"/>
        <v>0</v>
      </c>
      <c r="AD32" s="28"/>
      <c r="AE32" s="28"/>
      <c r="AG32" s="36"/>
    </row>
    <row r="33" spans="1:35" s="1" customFormat="1" hidden="1" x14ac:dyDescent="0.25">
      <c r="A33" s="21"/>
      <c r="B33" s="22"/>
      <c r="C33" s="22"/>
      <c r="D33" s="23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41"/>
      <c r="P33" s="24"/>
      <c r="Q33" s="24"/>
      <c r="R33" s="24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24"/>
      <c r="AE33" s="24"/>
      <c r="AG33" s="36"/>
    </row>
    <row r="34" spans="1:35" s="1" customFormat="1" hidden="1" x14ac:dyDescent="0.25">
      <c r="A34" s="21"/>
      <c r="B34" s="22"/>
      <c r="C34" s="22"/>
      <c r="D34" s="23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41"/>
      <c r="P34" s="24"/>
      <c r="Q34" s="24"/>
      <c r="R34" s="24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24"/>
      <c r="AE34" s="24"/>
      <c r="AG34" s="36"/>
    </row>
    <row r="35" spans="1:35" s="1" customFormat="1" hidden="1" x14ac:dyDescent="0.25">
      <c r="A35" s="21"/>
      <c r="B35" s="22"/>
      <c r="C35" s="22"/>
      <c r="D35" s="23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41"/>
      <c r="P35" s="24"/>
      <c r="Q35" s="24"/>
      <c r="R35" s="24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24"/>
      <c r="AE35" s="24"/>
      <c r="AG35" s="36"/>
    </row>
    <row r="36" spans="1:35" s="1" customFormat="1" hidden="1" x14ac:dyDescent="0.25">
      <c r="A36" s="25"/>
      <c r="B36" s="26" t="s">
        <v>53</v>
      </c>
      <c r="C36" s="26"/>
      <c r="D36" s="27" t="s">
        <v>54</v>
      </c>
      <c r="E36" s="28"/>
      <c r="F36" s="28"/>
      <c r="G36" s="28"/>
      <c r="H36" s="28"/>
      <c r="I36" s="28"/>
      <c r="J36" s="28"/>
      <c r="K36" s="28"/>
      <c r="L36" s="28"/>
      <c r="M36" s="28">
        <f>SUM(M37:M39)</f>
        <v>0</v>
      </c>
      <c r="N36" s="28"/>
      <c r="O36" s="40">
        <f t="shared" ref="O36:AC36" si="7">SUM(O37:O39)</f>
        <v>0</v>
      </c>
      <c r="P36" s="28">
        <f t="shared" si="7"/>
        <v>0</v>
      </c>
      <c r="Q36" s="28">
        <f t="shared" si="7"/>
        <v>0</v>
      </c>
      <c r="R36" s="28">
        <f t="shared" si="7"/>
        <v>0</v>
      </c>
      <c r="S36" s="40">
        <f t="shared" si="7"/>
        <v>0</v>
      </c>
      <c r="T36" s="40"/>
      <c r="U36" s="40">
        <f t="shared" si="7"/>
        <v>0</v>
      </c>
      <c r="V36" s="40"/>
      <c r="W36" s="40">
        <f t="shared" si="7"/>
        <v>0</v>
      </c>
      <c r="X36" s="40"/>
      <c r="Y36" s="40">
        <f t="shared" si="7"/>
        <v>0</v>
      </c>
      <c r="Z36" s="40">
        <f t="shared" si="7"/>
        <v>0</v>
      </c>
      <c r="AA36" s="40"/>
      <c r="AB36" s="40">
        <f t="shared" si="7"/>
        <v>0</v>
      </c>
      <c r="AC36" s="40">
        <f t="shared" si="7"/>
        <v>0</v>
      </c>
      <c r="AD36" s="28"/>
      <c r="AE36" s="28"/>
      <c r="AG36" s="36"/>
    </row>
    <row r="37" spans="1:35" s="1" customFormat="1" hidden="1" x14ac:dyDescent="0.25">
      <c r="A37" s="21"/>
      <c r="B37" s="22"/>
      <c r="C37" s="22"/>
      <c r="D37" s="23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41"/>
      <c r="P37" s="24"/>
      <c r="Q37" s="24"/>
      <c r="R37" s="24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24"/>
      <c r="AE37" s="24"/>
      <c r="AG37" s="36"/>
    </row>
    <row r="38" spans="1:35" s="1" customFormat="1" hidden="1" x14ac:dyDescent="0.25">
      <c r="A38" s="21"/>
      <c r="B38" s="22"/>
      <c r="C38" s="22"/>
      <c r="D38" s="23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41"/>
      <c r="P38" s="24"/>
      <c r="Q38" s="24"/>
      <c r="R38" s="24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24"/>
      <c r="AE38" s="24"/>
      <c r="AG38" s="36"/>
    </row>
    <row r="39" spans="1:35" s="1" customFormat="1" hidden="1" x14ac:dyDescent="0.25">
      <c r="A39" s="21"/>
      <c r="B39" s="22"/>
      <c r="C39" s="22"/>
      <c r="D39" s="23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41"/>
      <c r="P39" s="24"/>
      <c r="Q39" s="24"/>
      <c r="R39" s="24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24"/>
      <c r="AE39" s="24"/>
      <c r="AG39" s="36"/>
    </row>
    <row r="40" spans="1:35" s="1" customFormat="1" x14ac:dyDescent="0.25">
      <c r="A40" s="138"/>
      <c r="B40" s="139" t="s">
        <v>55</v>
      </c>
      <c r="C40" s="139"/>
      <c r="D40" s="140" t="s">
        <v>56</v>
      </c>
      <c r="E40" s="141"/>
      <c r="F40" s="141"/>
      <c r="G40" s="141"/>
      <c r="H40" s="141"/>
      <c r="I40" s="141"/>
      <c r="J40" s="141"/>
      <c r="K40" s="141"/>
      <c r="L40" s="141"/>
      <c r="M40" s="141">
        <f>SUM(M41)</f>
        <v>1</v>
      </c>
      <c r="N40" s="141"/>
      <c r="O40" s="142">
        <f>O41</f>
        <v>509600000</v>
      </c>
      <c r="P40" s="141">
        <f>SUM(P42:P43)</f>
        <v>0</v>
      </c>
      <c r="Q40" s="141">
        <f>SUM(Q42:Q43)</f>
        <v>0</v>
      </c>
      <c r="R40" s="141">
        <f>SUM(R42:R43)</f>
        <v>0</v>
      </c>
      <c r="S40" s="142">
        <f>S41</f>
        <v>509600000</v>
      </c>
      <c r="T40" s="142"/>
      <c r="U40" s="142">
        <f>U41</f>
        <v>50960000</v>
      </c>
      <c r="V40" s="142"/>
      <c r="W40" s="141">
        <f>W41</f>
        <v>0</v>
      </c>
      <c r="X40" s="142"/>
      <c r="Y40" s="141">
        <f>Y41</f>
        <v>0</v>
      </c>
      <c r="Z40" s="141">
        <f>Z41</f>
        <v>0</v>
      </c>
      <c r="AA40" s="142"/>
      <c r="AB40" s="142">
        <f>AB41</f>
        <v>509600000</v>
      </c>
      <c r="AC40" s="141">
        <f>AC41</f>
        <v>0</v>
      </c>
      <c r="AD40" s="141"/>
      <c r="AE40" s="141"/>
      <c r="AF40" s="8">
        <v>12692433158.004616</v>
      </c>
      <c r="AG40" s="5">
        <f>O30-AF40</f>
        <v>231108000</v>
      </c>
      <c r="AH40" s="1">
        <v>351052000</v>
      </c>
      <c r="AI40" s="5">
        <f>AH40-AG40</f>
        <v>119944000</v>
      </c>
    </row>
    <row r="41" spans="1:35" s="1" customFormat="1" x14ac:dyDescent="0.25">
      <c r="A41" s="25"/>
      <c r="B41" s="26" t="s">
        <v>1623</v>
      </c>
      <c r="C41" s="26"/>
      <c r="D41" s="27" t="s">
        <v>1624</v>
      </c>
      <c r="E41" s="28"/>
      <c r="F41" s="28"/>
      <c r="G41" s="28"/>
      <c r="H41" s="28"/>
      <c r="I41" s="28"/>
      <c r="J41" s="28"/>
      <c r="K41" s="28"/>
      <c r="L41" s="28"/>
      <c r="M41" s="28">
        <f>SUM(M42)</f>
        <v>1</v>
      </c>
      <c r="N41" s="28"/>
      <c r="O41" s="40">
        <f>SUM(O42)</f>
        <v>509600000</v>
      </c>
      <c r="P41" s="28"/>
      <c r="Q41" s="28"/>
      <c r="R41" s="28"/>
      <c r="S41" s="40">
        <f>SUM(S42)</f>
        <v>509600000</v>
      </c>
      <c r="T41" s="40"/>
      <c r="U41" s="40">
        <f>SUM(U42)</f>
        <v>50960000</v>
      </c>
      <c r="V41" s="40"/>
      <c r="W41" s="28">
        <f>SUM(W42)</f>
        <v>0</v>
      </c>
      <c r="X41" s="40"/>
      <c r="Y41" s="40"/>
      <c r="Z41" s="28">
        <f>SUM(Z42)</f>
        <v>0</v>
      </c>
      <c r="AA41" s="40"/>
      <c r="AB41" s="40">
        <f>SUM(AB42)</f>
        <v>509600000</v>
      </c>
      <c r="AC41" s="28">
        <f>SUM(AC42)</f>
        <v>0</v>
      </c>
      <c r="AD41" s="28"/>
      <c r="AE41" s="28"/>
      <c r="AF41" s="8"/>
      <c r="AG41" s="5"/>
    </row>
    <row r="42" spans="1:35" s="1" customFormat="1" x14ac:dyDescent="0.25">
      <c r="A42" s="21">
        <v>1</v>
      </c>
      <c r="B42" s="22" t="s">
        <v>57</v>
      </c>
      <c r="C42" s="42" t="s">
        <v>58</v>
      </c>
      <c r="D42" s="23" t="s">
        <v>59</v>
      </c>
      <c r="E42" s="24" t="s">
        <v>60</v>
      </c>
      <c r="F42" s="24"/>
      <c r="G42" s="24" t="s">
        <v>61</v>
      </c>
      <c r="H42" s="24" t="s">
        <v>62</v>
      </c>
      <c r="I42" s="24">
        <v>2013</v>
      </c>
      <c r="J42" s="24"/>
      <c r="K42" s="24" t="s">
        <v>63</v>
      </c>
      <c r="L42" s="24" t="s">
        <v>64</v>
      </c>
      <c r="M42" s="24">
        <v>1</v>
      </c>
      <c r="N42" s="41">
        <v>509600000</v>
      </c>
      <c r="O42" s="41">
        <v>509600000</v>
      </c>
      <c r="P42" s="24"/>
      <c r="Q42" s="24"/>
      <c r="R42" s="24"/>
      <c r="S42" s="43">
        <f>SUM(N42-R42)</f>
        <v>509600000</v>
      </c>
      <c r="T42" s="24">
        <v>10</v>
      </c>
      <c r="U42" s="43">
        <f>SUM(S42/T42)</f>
        <v>50960000</v>
      </c>
      <c r="V42" s="44"/>
      <c r="W42" s="43">
        <f t="shared" ref="W42" si="8">SUM(U42*V42)</f>
        <v>0</v>
      </c>
      <c r="X42" s="44"/>
      <c r="Y42" s="43">
        <f t="shared" ref="Y42" si="9">SUM(U42*X42)</f>
        <v>0</v>
      </c>
      <c r="Z42" s="43">
        <f>SUM(W42+Y42)</f>
        <v>0</v>
      </c>
      <c r="AA42" s="44">
        <v>10</v>
      </c>
      <c r="AB42" s="43">
        <f>SUM(U42*AA42)</f>
        <v>509600000</v>
      </c>
      <c r="AC42" s="43">
        <f>SUM(O42-AB42)</f>
        <v>0</v>
      </c>
      <c r="AD42" s="24" t="s">
        <v>65</v>
      </c>
      <c r="AE42" s="24"/>
      <c r="AF42" s="8">
        <v>1127642295.4726191</v>
      </c>
      <c r="AG42" s="143">
        <f>AC30-AF42</f>
        <v>-2802285.1142857075</v>
      </c>
    </row>
    <row r="43" spans="1:35" s="1" customFormat="1" x14ac:dyDescent="0.25">
      <c r="A43" s="21"/>
      <c r="B43" s="22"/>
      <c r="C43" s="22"/>
      <c r="D43" s="23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44"/>
      <c r="Y43" s="44"/>
      <c r="Z43" s="24"/>
      <c r="AA43" s="24"/>
      <c r="AB43" s="24"/>
      <c r="AC43" s="24"/>
      <c r="AD43" s="24"/>
      <c r="AE43" s="24"/>
      <c r="AF43" s="8"/>
      <c r="AG43" s="5"/>
    </row>
    <row r="44" spans="1:35" s="1" customFormat="1" x14ac:dyDescent="0.25">
      <c r="A44" s="17"/>
      <c r="B44" s="18" t="s">
        <v>66</v>
      </c>
      <c r="C44" s="18"/>
      <c r="D44" s="19" t="s">
        <v>67</v>
      </c>
      <c r="E44" s="20"/>
      <c r="F44" s="20"/>
      <c r="G44" s="20"/>
      <c r="H44" s="20"/>
      <c r="I44" s="20"/>
      <c r="J44" s="20"/>
      <c r="K44" s="20"/>
      <c r="L44" s="20"/>
      <c r="M44" s="20">
        <f>SUM(M46+M56+M58+M79)</f>
        <v>32</v>
      </c>
      <c r="N44" s="20"/>
      <c r="O44" s="37">
        <f>SUM(O46+O56+O58+O79)</f>
        <v>2493984900</v>
      </c>
      <c r="P44" s="20">
        <f>P45+P79+P83+P85+P87</f>
        <v>0</v>
      </c>
      <c r="Q44" s="20">
        <f>Q45+Q79+Q83+Q85+Q87</f>
        <v>0</v>
      </c>
      <c r="R44" s="20">
        <f>R45+R79+R83+R85+R87</f>
        <v>0</v>
      </c>
      <c r="S44" s="37">
        <f>SUM(S46+S56+S58+S79)</f>
        <v>2493984900</v>
      </c>
      <c r="T44" s="20"/>
      <c r="U44" s="37">
        <f>SUM(U46+U56+U58+U79)</f>
        <v>227918571.42857143</v>
      </c>
      <c r="V44" s="20"/>
      <c r="W44" s="37">
        <f>SUM(W46+W56+W58+W79)</f>
        <v>29385714.285714284</v>
      </c>
      <c r="X44" s="46"/>
      <c r="Y44" s="37">
        <f>Y45+Y79+Y83+Y85+Y87</f>
        <v>0</v>
      </c>
      <c r="Z44" s="37">
        <f>SUM(Z46+Z56+Z58+Z79)</f>
        <v>29385714.285714284</v>
      </c>
      <c r="AA44" s="20"/>
      <c r="AB44" s="37">
        <f>SUM(AB46+AB56+AB58+AB79)</f>
        <v>2316118233.3333335</v>
      </c>
      <c r="AC44" s="37">
        <f>SUM(AC46+AC56+AC58+AC79)</f>
        <v>177866666.66666669</v>
      </c>
      <c r="AD44" s="20"/>
      <c r="AE44" s="20"/>
      <c r="AF44" s="8"/>
      <c r="AG44" s="144"/>
      <c r="AH44" s="5"/>
    </row>
    <row r="45" spans="1:35" s="1" customFormat="1" x14ac:dyDescent="0.25">
      <c r="A45" s="25"/>
      <c r="B45" s="139" t="s">
        <v>68</v>
      </c>
      <c r="C45" s="139"/>
      <c r="D45" s="140" t="s">
        <v>69</v>
      </c>
      <c r="E45" s="141"/>
      <c r="F45" s="141"/>
      <c r="G45" s="141"/>
      <c r="H45" s="141"/>
      <c r="I45" s="141"/>
      <c r="J45" s="141"/>
      <c r="K45" s="141"/>
      <c r="L45" s="141"/>
      <c r="M45" s="141">
        <f>SUM(M46+M56+M58)</f>
        <v>30</v>
      </c>
      <c r="N45" s="141"/>
      <c r="O45" s="145">
        <f>SUM(O46+O56+O58)</f>
        <v>2481994900</v>
      </c>
      <c r="P45" s="141">
        <f>SUM(P76:P78)</f>
        <v>0</v>
      </c>
      <c r="Q45" s="141">
        <f>SUM(Q76:Q78)</f>
        <v>0</v>
      </c>
      <c r="R45" s="141">
        <f>SUM(R76:R78)</f>
        <v>0</v>
      </c>
      <c r="S45" s="142">
        <f>SUM(S46+S56+S58)</f>
        <v>2481994900</v>
      </c>
      <c r="T45" s="141"/>
      <c r="U45" s="142">
        <f>SUM(U46+U56+U58)</f>
        <v>227918571.42857143</v>
      </c>
      <c r="V45" s="141"/>
      <c r="W45" s="142">
        <f>SUM(W46+W56+W58)</f>
        <v>29385714.285714284</v>
      </c>
      <c r="X45" s="146"/>
      <c r="Y45" s="142">
        <f>SUM(Y47:Y78)</f>
        <v>0</v>
      </c>
      <c r="Z45" s="142">
        <f>SUM(Z46+Z56+Z58)</f>
        <v>29385714.285714284</v>
      </c>
      <c r="AA45" s="141"/>
      <c r="AB45" s="142">
        <f>SUM(AB46+AB56+AB58)</f>
        <v>2304128233.3333335</v>
      </c>
      <c r="AC45" s="142">
        <f>SUM(AC46+AC56+AC58)</f>
        <v>177866666.66666669</v>
      </c>
      <c r="AD45" s="141"/>
      <c r="AE45" s="141"/>
      <c r="AF45" s="5"/>
      <c r="AG45" s="5"/>
    </row>
    <row r="46" spans="1:35" s="152" customFormat="1" ht="25.5" x14ac:dyDescent="0.25">
      <c r="A46" s="147"/>
      <c r="B46" s="148" t="s">
        <v>1625</v>
      </c>
      <c r="C46" s="148"/>
      <c r="D46" s="27" t="s">
        <v>1626</v>
      </c>
      <c r="E46" s="149"/>
      <c r="F46" s="149"/>
      <c r="G46" s="149"/>
      <c r="H46" s="149"/>
      <c r="I46" s="149"/>
      <c r="J46" s="149"/>
      <c r="K46" s="149"/>
      <c r="L46" s="149"/>
      <c r="M46" s="28">
        <f>SUM(M47:M55)</f>
        <v>9</v>
      </c>
      <c r="N46" s="149"/>
      <c r="O46" s="47">
        <f>SUM(O47:O55)</f>
        <v>1963604900</v>
      </c>
      <c r="P46" s="149"/>
      <c r="Q46" s="149"/>
      <c r="R46" s="149"/>
      <c r="S46" s="40">
        <f>SUM(S47:S55)</f>
        <v>1963604900</v>
      </c>
      <c r="T46" s="149"/>
      <c r="U46" s="40">
        <f>SUM(U47:U55)</f>
        <v>162104285.71428573</v>
      </c>
      <c r="V46" s="149"/>
      <c r="W46" s="40">
        <f>SUM(W47:W55)</f>
        <v>22142857.142857142</v>
      </c>
      <c r="X46" s="150"/>
      <c r="Y46" s="307"/>
      <c r="Z46" s="40">
        <f>SUM(Z47:Z55)</f>
        <v>22142857.142857142</v>
      </c>
      <c r="AA46" s="149"/>
      <c r="AB46" s="40">
        <f>SUM(AB47:AB55)</f>
        <v>1812295376.1904762</v>
      </c>
      <c r="AC46" s="40">
        <f>SUM(AC47:AC55)</f>
        <v>151309523.80952382</v>
      </c>
      <c r="AD46" s="149"/>
      <c r="AE46" s="149"/>
      <c r="AF46" s="151"/>
      <c r="AG46" s="151"/>
    </row>
    <row r="47" spans="1:35" s="1" customFormat="1" x14ac:dyDescent="0.25">
      <c r="A47" s="49">
        <v>1</v>
      </c>
      <c r="B47" s="50" t="s">
        <v>70</v>
      </c>
      <c r="C47" s="50" t="s">
        <v>58</v>
      </c>
      <c r="D47" s="51" t="s">
        <v>71</v>
      </c>
      <c r="E47" s="52" t="s">
        <v>72</v>
      </c>
      <c r="F47" s="52" t="s">
        <v>73</v>
      </c>
      <c r="G47" s="52" t="s">
        <v>61</v>
      </c>
      <c r="H47" s="52" t="s">
        <v>62</v>
      </c>
      <c r="I47" s="52">
        <v>2009</v>
      </c>
      <c r="J47" s="52"/>
      <c r="K47" s="52" t="s">
        <v>63</v>
      </c>
      <c r="L47" s="52" t="s">
        <v>64</v>
      </c>
      <c r="M47" s="52">
        <v>1</v>
      </c>
      <c r="N47" s="53">
        <v>209255500</v>
      </c>
      <c r="O47" s="53">
        <v>209255500</v>
      </c>
      <c r="P47" s="52"/>
      <c r="Q47" s="52"/>
      <c r="R47" s="52"/>
      <c r="S47" s="53">
        <f t="shared" ref="S47:S55" si="10">SUM(O47-R47)</f>
        <v>209255500</v>
      </c>
      <c r="T47" s="52">
        <v>7</v>
      </c>
      <c r="U47" s="53">
        <v>0</v>
      </c>
      <c r="V47" s="54">
        <v>0.5</v>
      </c>
      <c r="W47" s="52">
        <f t="shared" ref="W47:W62" si="11">SUM(U47*V47)</f>
        <v>0</v>
      </c>
      <c r="X47" s="54"/>
      <c r="Y47" s="52">
        <f t="shared" ref="Y47:Y78" si="12">SUM(U47*X47)</f>
        <v>0</v>
      </c>
      <c r="Z47" s="52">
        <f t="shared" ref="Z47:Z78" si="13">SUM(W47+Y47)</f>
        <v>0</v>
      </c>
      <c r="AA47" s="52">
        <v>7</v>
      </c>
      <c r="AB47" s="53">
        <v>209255500</v>
      </c>
      <c r="AC47" s="53">
        <f>SUM(O47-AB47)</f>
        <v>0</v>
      </c>
      <c r="AD47" s="52" t="s">
        <v>74</v>
      </c>
      <c r="AE47" s="52"/>
      <c r="AG47" s="5"/>
    </row>
    <row r="48" spans="1:35" s="1" customFormat="1" x14ac:dyDescent="0.25">
      <c r="A48" s="49">
        <v>2</v>
      </c>
      <c r="B48" s="50" t="s">
        <v>70</v>
      </c>
      <c r="C48" s="50" t="s">
        <v>75</v>
      </c>
      <c r="D48" s="51" t="s">
        <v>71</v>
      </c>
      <c r="E48" s="52" t="s">
        <v>76</v>
      </c>
      <c r="F48" s="52" t="s">
        <v>77</v>
      </c>
      <c r="G48" s="52" t="s">
        <v>61</v>
      </c>
      <c r="H48" s="52" t="s">
        <v>62</v>
      </c>
      <c r="I48" s="52">
        <v>2011</v>
      </c>
      <c r="J48" s="52"/>
      <c r="K48" s="52" t="s">
        <v>63</v>
      </c>
      <c r="L48" s="52" t="s">
        <v>64</v>
      </c>
      <c r="M48" s="52">
        <v>1</v>
      </c>
      <c r="N48" s="53">
        <v>174500000</v>
      </c>
      <c r="O48" s="53">
        <v>174500000</v>
      </c>
      <c r="P48" s="52"/>
      <c r="Q48" s="52"/>
      <c r="R48" s="52"/>
      <c r="S48" s="53">
        <f t="shared" si="10"/>
        <v>174500000</v>
      </c>
      <c r="T48" s="52">
        <v>7</v>
      </c>
      <c r="U48" s="53">
        <v>0</v>
      </c>
      <c r="V48" s="54">
        <v>0.5</v>
      </c>
      <c r="W48" s="52">
        <f t="shared" si="11"/>
        <v>0</v>
      </c>
      <c r="X48" s="54"/>
      <c r="Y48" s="52">
        <f t="shared" si="12"/>
        <v>0</v>
      </c>
      <c r="Z48" s="52">
        <f t="shared" si="13"/>
        <v>0</v>
      </c>
      <c r="AA48" s="52">
        <v>7</v>
      </c>
      <c r="AB48" s="53">
        <v>174500000</v>
      </c>
      <c r="AC48" s="53">
        <f>SUM(O48-AB48)</f>
        <v>0</v>
      </c>
      <c r="AD48" s="52" t="s">
        <v>78</v>
      </c>
      <c r="AE48" s="52"/>
      <c r="AF48" s="55"/>
      <c r="AG48" s="5"/>
    </row>
    <row r="49" spans="1:33" s="1" customFormat="1" x14ac:dyDescent="0.25">
      <c r="A49" s="49">
        <v>3</v>
      </c>
      <c r="B49" s="50" t="s">
        <v>70</v>
      </c>
      <c r="C49" s="50" t="s">
        <v>79</v>
      </c>
      <c r="D49" s="51" t="s">
        <v>71</v>
      </c>
      <c r="E49" s="52" t="s">
        <v>80</v>
      </c>
      <c r="F49" s="52" t="s">
        <v>81</v>
      </c>
      <c r="G49" s="52"/>
      <c r="H49" s="52" t="s">
        <v>62</v>
      </c>
      <c r="I49" s="52">
        <v>2011</v>
      </c>
      <c r="J49" s="52"/>
      <c r="K49" s="52" t="s">
        <v>63</v>
      </c>
      <c r="L49" s="52" t="s">
        <v>64</v>
      </c>
      <c r="M49" s="52">
        <v>1</v>
      </c>
      <c r="N49" s="53">
        <v>255650000</v>
      </c>
      <c r="O49" s="53">
        <v>255650000</v>
      </c>
      <c r="P49" s="52"/>
      <c r="Q49" s="52"/>
      <c r="R49" s="52"/>
      <c r="S49" s="53">
        <f t="shared" si="10"/>
        <v>255650000</v>
      </c>
      <c r="T49" s="52">
        <v>7</v>
      </c>
      <c r="U49" s="53">
        <f>SUM(S49/T49)</f>
        <v>36521428.571428575</v>
      </c>
      <c r="V49" s="54"/>
      <c r="W49" s="52"/>
      <c r="X49" s="54"/>
      <c r="Y49" s="53"/>
      <c r="Z49" s="53"/>
      <c r="AA49" s="52">
        <v>7</v>
      </c>
      <c r="AB49" s="53">
        <v>255650000.00000003</v>
      </c>
      <c r="AC49" s="53"/>
      <c r="AD49" s="52" t="s">
        <v>82</v>
      </c>
      <c r="AE49" s="52" t="s">
        <v>83</v>
      </c>
      <c r="AF49" s="5"/>
      <c r="AG49" s="5"/>
    </row>
    <row r="50" spans="1:33" s="1" customFormat="1" x14ac:dyDescent="0.25">
      <c r="A50" s="49">
        <v>4</v>
      </c>
      <c r="B50" s="50" t="s">
        <v>70</v>
      </c>
      <c r="C50" s="50" t="s">
        <v>84</v>
      </c>
      <c r="D50" s="51" t="s">
        <v>71</v>
      </c>
      <c r="E50" s="52" t="s">
        <v>85</v>
      </c>
      <c r="F50" s="52" t="s">
        <v>86</v>
      </c>
      <c r="G50" s="52" t="s">
        <v>61</v>
      </c>
      <c r="H50" s="52" t="s">
        <v>62</v>
      </c>
      <c r="I50" s="52">
        <v>2012</v>
      </c>
      <c r="J50" s="52"/>
      <c r="K50" s="52" t="s">
        <v>63</v>
      </c>
      <c r="L50" s="52" t="s">
        <v>64</v>
      </c>
      <c r="M50" s="52">
        <v>1</v>
      </c>
      <c r="N50" s="53">
        <v>264119400</v>
      </c>
      <c r="O50" s="53">
        <v>264119400</v>
      </c>
      <c r="P50" s="56"/>
      <c r="Q50" s="52"/>
      <c r="R50" s="52"/>
      <c r="S50" s="53">
        <f t="shared" si="10"/>
        <v>264119400</v>
      </c>
      <c r="T50" s="52">
        <v>7</v>
      </c>
      <c r="U50" s="53">
        <v>0</v>
      </c>
      <c r="V50" s="54">
        <v>0.5</v>
      </c>
      <c r="W50" s="52">
        <f t="shared" si="11"/>
        <v>0</v>
      </c>
      <c r="X50" s="54"/>
      <c r="Y50" s="52">
        <f t="shared" si="12"/>
        <v>0</v>
      </c>
      <c r="Z50" s="52">
        <f t="shared" si="13"/>
        <v>0</v>
      </c>
      <c r="AA50" s="52">
        <v>7</v>
      </c>
      <c r="AB50" s="53">
        <v>264119400</v>
      </c>
      <c r="AC50" s="53">
        <f t="shared" ref="AC50:AC55" si="14">SUM(O50-AB50)</f>
        <v>0</v>
      </c>
      <c r="AD50" s="52" t="s">
        <v>87</v>
      </c>
      <c r="AE50" s="52"/>
      <c r="AF50" s="55"/>
      <c r="AG50" s="5"/>
    </row>
    <row r="51" spans="1:33" s="1" customFormat="1" x14ac:dyDescent="0.25">
      <c r="A51" s="49">
        <v>5</v>
      </c>
      <c r="B51" s="50" t="s">
        <v>70</v>
      </c>
      <c r="C51" s="50" t="s">
        <v>88</v>
      </c>
      <c r="D51" s="51" t="s">
        <v>71</v>
      </c>
      <c r="E51" s="52" t="s">
        <v>89</v>
      </c>
      <c r="F51" s="52" t="s">
        <v>90</v>
      </c>
      <c r="G51" s="52" t="s">
        <v>61</v>
      </c>
      <c r="H51" s="52" t="s">
        <v>62</v>
      </c>
      <c r="I51" s="52">
        <v>2012</v>
      </c>
      <c r="J51" s="52"/>
      <c r="K51" s="52" t="s">
        <v>63</v>
      </c>
      <c r="L51" s="52" t="s">
        <v>64</v>
      </c>
      <c r="M51" s="52">
        <v>1</v>
      </c>
      <c r="N51" s="53">
        <v>181000000</v>
      </c>
      <c r="O51" s="53">
        <v>181000000</v>
      </c>
      <c r="P51" s="52"/>
      <c r="Q51" s="52"/>
      <c r="R51" s="52"/>
      <c r="S51" s="53">
        <f t="shared" si="10"/>
        <v>181000000</v>
      </c>
      <c r="T51" s="52">
        <v>7</v>
      </c>
      <c r="U51" s="53">
        <v>0</v>
      </c>
      <c r="V51" s="54">
        <v>0.5</v>
      </c>
      <c r="W51" s="52">
        <f t="shared" si="11"/>
        <v>0</v>
      </c>
      <c r="X51" s="54"/>
      <c r="Y51" s="52">
        <f t="shared" si="12"/>
        <v>0</v>
      </c>
      <c r="Z51" s="52">
        <f t="shared" si="13"/>
        <v>0</v>
      </c>
      <c r="AA51" s="52">
        <v>7</v>
      </c>
      <c r="AB51" s="53">
        <v>181000000</v>
      </c>
      <c r="AC51" s="53">
        <f t="shared" si="14"/>
        <v>0</v>
      </c>
      <c r="AD51" s="52" t="s">
        <v>91</v>
      </c>
      <c r="AE51" s="52"/>
      <c r="AG51" s="5"/>
    </row>
    <row r="52" spans="1:33" s="1" customFormat="1" x14ac:dyDescent="0.25">
      <c r="A52" s="49">
        <v>6</v>
      </c>
      <c r="B52" s="50" t="s">
        <v>70</v>
      </c>
      <c r="C52" s="50" t="s">
        <v>92</v>
      </c>
      <c r="D52" s="51" t="s">
        <v>71</v>
      </c>
      <c r="E52" s="52" t="s">
        <v>93</v>
      </c>
      <c r="F52" s="52" t="s">
        <v>94</v>
      </c>
      <c r="G52" s="52" t="s">
        <v>61</v>
      </c>
      <c r="H52" s="52" t="s">
        <v>62</v>
      </c>
      <c r="I52" s="52">
        <v>2014</v>
      </c>
      <c r="J52" s="52"/>
      <c r="K52" s="52" t="s">
        <v>63</v>
      </c>
      <c r="L52" s="52" t="s">
        <v>64</v>
      </c>
      <c r="M52" s="52">
        <v>1</v>
      </c>
      <c r="N52" s="53">
        <v>183670000</v>
      </c>
      <c r="O52" s="53">
        <v>183670000</v>
      </c>
      <c r="P52" s="52"/>
      <c r="Q52" s="52"/>
      <c r="R52" s="52"/>
      <c r="S52" s="53">
        <f t="shared" si="10"/>
        <v>183670000</v>
      </c>
      <c r="T52" s="52">
        <v>7</v>
      </c>
      <c r="U52" s="53">
        <f t="shared" ref="U52:U78" si="15">SUM(S52/T52)</f>
        <v>26238571.428571429</v>
      </c>
      <c r="V52" s="54">
        <v>0.5</v>
      </c>
      <c r="W52" s="53"/>
      <c r="X52" s="54"/>
      <c r="Y52" s="53">
        <f>SUM(U52*X52)</f>
        <v>0</v>
      </c>
      <c r="Z52" s="53"/>
      <c r="AA52" s="52">
        <v>7</v>
      </c>
      <c r="AB52" s="53">
        <f>SUM(U52*AA52)</f>
        <v>183670000</v>
      </c>
      <c r="AC52" s="53">
        <f t="shared" si="14"/>
        <v>0</v>
      </c>
      <c r="AD52" s="52" t="s">
        <v>95</v>
      </c>
      <c r="AE52" s="52"/>
      <c r="AG52" s="5"/>
    </row>
    <row r="53" spans="1:33" s="1" customFormat="1" x14ac:dyDescent="0.25">
      <c r="A53" s="49">
        <v>7</v>
      </c>
      <c r="B53" s="50" t="s">
        <v>70</v>
      </c>
      <c r="C53" s="50" t="s">
        <v>96</v>
      </c>
      <c r="D53" s="51" t="s">
        <v>71</v>
      </c>
      <c r="E53" s="52" t="s">
        <v>97</v>
      </c>
      <c r="F53" s="52" t="s">
        <v>98</v>
      </c>
      <c r="G53" s="52" t="s">
        <v>61</v>
      </c>
      <c r="H53" s="52" t="s">
        <v>62</v>
      </c>
      <c r="I53" s="52">
        <v>2014</v>
      </c>
      <c r="J53" s="52"/>
      <c r="K53" s="52" t="s">
        <v>63</v>
      </c>
      <c r="L53" s="52" t="s">
        <v>64</v>
      </c>
      <c r="M53" s="52">
        <v>1</v>
      </c>
      <c r="N53" s="53">
        <v>183670000</v>
      </c>
      <c r="O53" s="53">
        <v>183670000</v>
      </c>
      <c r="P53" s="52"/>
      <c r="Q53" s="52"/>
      <c r="R53" s="52"/>
      <c r="S53" s="53">
        <f t="shared" si="10"/>
        <v>183670000</v>
      </c>
      <c r="T53" s="52">
        <v>7</v>
      </c>
      <c r="U53" s="53">
        <f t="shared" si="15"/>
        <v>26238571.428571429</v>
      </c>
      <c r="V53" s="54">
        <v>0.5</v>
      </c>
      <c r="W53" s="53"/>
      <c r="X53" s="54"/>
      <c r="Y53" s="53">
        <f t="shared" ref="Y53:Y54" si="16">SUM(U53*X53)</f>
        <v>0</v>
      </c>
      <c r="Z53" s="53"/>
      <c r="AA53" s="52">
        <v>7</v>
      </c>
      <c r="AB53" s="53">
        <f>SUM(U53*AA53)</f>
        <v>183670000</v>
      </c>
      <c r="AC53" s="53">
        <f t="shared" si="14"/>
        <v>0</v>
      </c>
      <c r="AD53" s="52" t="s">
        <v>99</v>
      </c>
      <c r="AE53" s="52"/>
      <c r="AG53" s="5"/>
    </row>
    <row r="54" spans="1:33" s="1" customFormat="1" x14ac:dyDescent="0.25">
      <c r="A54" s="49">
        <v>8</v>
      </c>
      <c r="B54" s="50" t="s">
        <v>70</v>
      </c>
      <c r="C54" s="50" t="s">
        <v>100</v>
      </c>
      <c r="D54" s="51" t="s">
        <v>71</v>
      </c>
      <c r="E54" s="52" t="s">
        <v>101</v>
      </c>
      <c r="F54" s="52" t="s">
        <v>102</v>
      </c>
      <c r="G54" s="52" t="s">
        <v>61</v>
      </c>
      <c r="H54" s="52" t="s">
        <v>62</v>
      </c>
      <c r="I54" s="52">
        <v>2014</v>
      </c>
      <c r="J54" s="52"/>
      <c r="K54" s="52" t="s">
        <v>63</v>
      </c>
      <c r="L54" s="52" t="s">
        <v>64</v>
      </c>
      <c r="M54" s="52">
        <v>1</v>
      </c>
      <c r="N54" s="53">
        <v>201740000</v>
      </c>
      <c r="O54" s="53">
        <v>201740000</v>
      </c>
      <c r="P54" s="52"/>
      <c r="Q54" s="52"/>
      <c r="R54" s="52"/>
      <c r="S54" s="53">
        <f t="shared" si="10"/>
        <v>201740000</v>
      </c>
      <c r="T54" s="52">
        <v>7</v>
      </c>
      <c r="U54" s="53">
        <f t="shared" si="15"/>
        <v>28820000</v>
      </c>
      <c r="V54" s="54">
        <v>0.5</v>
      </c>
      <c r="W54" s="53"/>
      <c r="X54" s="54"/>
      <c r="Y54" s="53">
        <f t="shared" si="16"/>
        <v>0</v>
      </c>
      <c r="Z54" s="53"/>
      <c r="AA54" s="52">
        <v>7</v>
      </c>
      <c r="AB54" s="53">
        <f>SUM(U54*AA54)</f>
        <v>201740000</v>
      </c>
      <c r="AC54" s="53">
        <f t="shared" si="14"/>
        <v>0</v>
      </c>
      <c r="AD54" s="52" t="s">
        <v>103</v>
      </c>
      <c r="AE54" s="52"/>
      <c r="AG54" s="5"/>
    </row>
    <row r="55" spans="1:33" s="1" customFormat="1" x14ac:dyDescent="0.25">
      <c r="A55" s="49">
        <v>10</v>
      </c>
      <c r="B55" s="50" t="s">
        <v>70</v>
      </c>
      <c r="C55" s="50" t="s">
        <v>108</v>
      </c>
      <c r="D55" s="51" t="s">
        <v>71</v>
      </c>
      <c r="E55" s="52" t="s">
        <v>80</v>
      </c>
      <c r="F55" s="52" t="s">
        <v>109</v>
      </c>
      <c r="G55" s="52" t="s">
        <v>61</v>
      </c>
      <c r="H55" s="52" t="s">
        <v>62</v>
      </c>
      <c r="I55" s="52">
        <v>2019</v>
      </c>
      <c r="J55" s="52"/>
      <c r="K55" s="52" t="s">
        <v>63</v>
      </c>
      <c r="L55" s="52" t="s">
        <v>64</v>
      </c>
      <c r="M55" s="52">
        <v>1</v>
      </c>
      <c r="N55" s="53">
        <v>310000000</v>
      </c>
      <c r="O55" s="53">
        <v>310000000</v>
      </c>
      <c r="P55" s="52"/>
      <c r="Q55" s="52"/>
      <c r="R55" s="52"/>
      <c r="S55" s="53">
        <f t="shared" si="10"/>
        <v>310000000</v>
      </c>
      <c r="T55" s="52">
        <v>7</v>
      </c>
      <c r="U55" s="53">
        <f>SUM(S55/T55)</f>
        <v>44285714.285714284</v>
      </c>
      <c r="V55" s="54">
        <v>0.5</v>
      </c>
      <c r="W55" s="53">
        <f>SUM(U55*V55)</f>
        <v>22142857.142857142</v>
      </c>
      <c r="X55" s="54"/>
      <c r="Y55" s="53">
        <f>U55*X55</f>
        <v>0</v>
      </c>
      <c r="Z55" s="53">
        <f>SUM(W55+Y55)</f>
        <v>22142857.142857142</v>
      </c>
      <c r="AA55" s="57">
        <f>2023-I55+V55+X55-11/12</f>
        <v>3.5833333333333335</v>
      </c>
      <c r="AB55" s="53">
        <f>SUM(U55*AA55)</f>
        <v>158690476.19047618</v>
      </c>
      <c r="AC55" s="53">
        <f t="shared" si="14"/>
        <v>151309523.80952382</v>
      </c>
      <c r="AD55" s="52" t="s">
        <v>110</v>
      </c>
      <c r="AE55" s="52" t="s">
        <v>111</v>
      </c>
      <c r="AG55" s="5"/>
    </row>
    <row r="56" spans="1:33" s="154" customFormat="1" x14ac:dyDescent="0.25">
      <c r="A56" s="25"/>
      <c r="B56" s="26" t="s">
        <v>1627</v>
      </c>
      <c r="C56" s="26"/>
      <c r="D56" s="26" t="s">
        <v>1628</v>
      </c>
      <c r="E56" s="28"/>
      <c r="F56" s="28"/>
      <c r="G56" s="28"/>
      <c r="H56" s="28"/>
      <c r="I56" s="28"/>
      <c r="J56" s="28"/>
      <c r="K56" s="28"/>
      <c r="L56" s="28"/>
      <c r="M56" s="28">
        <f>SUM(M57)</f>
        <v>1</v>
      </c>
      <c r="N56" s="40"/>
      <c r="O56" s="40">
        <f>SUM(O57)</f>
        <v>195300000</v>
      </c>
      <c r="P56" s="28"/>
      <c r="Q56" s="28"/>
      <c r="R56" s="28"/>
      <c r="S56" s="40">
        <f>SUM(S57)</f>
        <v>195300000</v>
      </c>
      <c r="T56" s="28"/>
      <c r="U56" s="40">
        <f>SUM(U57)</f>
        <v>27900000</v>
      </c>
      <c r="V56" s="48"/>
      <c r="W56" s="40">
        <f>SUM(W57)</f>
        <v>0</v>
      </c>
      <c r="X56" s="48"/>
      <c r="Y56" s="40"/>
      <c r="Z56" s="40">
        <f>SUM(Z57)</f>
        <v>0</v>
      </c>
      <c r="AA56" s="153"/>
      <c r="AB56" s="40">
        <f>SUM(AB57)</f>
        <v>195300000</v>
      </c>
      <c r="AC56" s="40">
        <f>SUM(AC57)</f>
        <v>0</v>
      </c>
      <c r="AD56" s="28"/>
      <c r="AE56" s="28"/>
      <c r="AG56" s="155"/>
    </row>
    <row r="57" spans="1:33" s="1" customFormat="1" x14ac:dyDescent="0.25">
      <c r="A57" s="49">
        <v>9</v>
      </c>
      <c r="B57" s="50" t="s">
        <v>104</v>
      </c>
      <c r="C57" s="50" t="s">
        <v>105</v>
      </c>
      <c r="D57" s="51" t="s">
        <v>106</v>
      </c>
      <c r="E57" s="52" t="s">
        <v>107</v>
      </c>
      <c r="F57" s="52"/>
      <c r="G57" s="52" t="s">
        <v>61</v>
      </c>
      <c r="H57" s="52" t="s">
        <v>62</v>
      </c>
      <c r="I57" s="52">
        <v>2015</v>
      </c>
      <c r="J57" s="52"/>
      <c r="K57" s="52" t="s">
        <v>63</v>
      </c>
      <c r="L57" s="52" t="s">
        <v>64</v>
      </c>
      <c r="M57" s="52">
        <v>1</v>
      </c>
      <c r="N57" s="53">
        <v>195300000</v>
      </c>
      <c r="O57" s="53">
        <v>195300000</v>
      </c>
      <c r="P57" s="52"/>
      <c r="Q57" s="52"/>
      <c r="R57" s="52"/>
      <c r="S57" s="53">
        <f>SUM(O57-R57)</f>
        <v>195300000</v>
      </c>
      <c r="T57" s="52">
        <v>7</v>
      </c>
      <c r="U57" s="53">
        <f t="shared" si="15"/>
        <v>27900000</v>
      </c>
      <c r="V57" s="54"/>
      <c r="W57" s="53">
        <f t="shared" si="11"/>
        <v>0</v>
      </c>
      <c r="X57" s="54"/>
      <c r="Y57" s="53">
        <f>U57*X57</f>
        <v>0</v>
      </c>
      <c r="Z57" s="53">
        <f t="shared" si="13"/>
        <v>0</v>
      </c>
      <c r="AA57" s="57">
        <v>7</v>
      </c>
      <c r="AB57" s="53">
        <f>SUM(U57*AA57)</f>
        <v>195300000</v>
      </c>
      <c r="AC57" s="53">
        <f>SUM(O57-AB57)</f>
        <v>0</v>
      </c>
      <c r="AD57" s="52" t="s">
        <v>82</v>
      </c>
      <c r="AE57" s="52"/>
      <c r="AG57" s="5"/>
    </row>
    <row r="58" spans="1:33" s="154" customFormat="1" ht="25.5" x14ac:dyDescent="0.25">
      <c r="A58" s="25"/>
      <c r="B58" s="26" t="s">
        <v>1629</v>
      </c>
      <c r="C58" s="26"/>
      <c r="D58" s="27" t="s">
        <v>1630</v>
      </c>
      <c r="E58" s="28"/>
      <c r="F58" s="28"/>
      <c r="G58" s="28"/>
      <c r="H58" s="28"/>
      <c r="I58" s="28"/>
      <c r="J58" s="28"/>
      <c r="K58" s="28"/>
      <c r="L58" s="28"/>
      <c r="M58" s="28">
        <f>SUM(M59:M78)</f>
        <v>20</v>
      </c>
      <c r="N58" s="40"/>
      <c r="O58" s="40">
        <f>SUM(O59:O78)</f>
        <v>323090000</v>
      </c>
      <c r="P58" s="156"/>
      <c r="Q58" s="28"/>
      <c r="R58" s="28"/>
      <c r="S58" s="40">
        <f>SUM(S59:S78)</f>
        <v>323090000</v>
      </c>
      <c r="T58" s="28"/>
      <c r="U58" s="40">
        <f>SUM(U59:U78)</f>
        <v>37914285.714285702</v>
      </c>
      <c r="V58" s="48"/>
      <c r="W58" s="40">
        <f>SUM(W59:W78)</f>
        <v>7242857.1428571427</v>
      </c>
      <c r="X58" s="48"/>
      <c r="Y58" s="40"/>
      <c r="Z58" s="40">
        <f>SUM(Z59:Z78)</f>
        <v>7242857.1428571427</v>
      </c>
      <c r="AA58" s="153"/>
      <c r="AB58" s="40">
        <f>SUM(AB59:AB78)</f>
        <v>296532857.14285719</v>
      </c>
      <c r="AC58" s="40">
        <f>SUM(AC59:AC78)</f>
        <v>26557142.857142858</v>
      </c>
      <c r="AD58" s="28"/>
      <c r="AE58" s="28"/>
      <c r="AG58" s="155"/>
    </row>
    <row r="59" spans="1:33" s="1" customFormat="1" ht="13.5" x14ac:dyDescent="0.25">
      <c r="A59" s="49">
        <v>11</v>
      </c>
      <c r="B59" s="50" t="s">
        <v>112</v>
      </c>
      <c r="C59" s="50" t="s">
        <v>58</v>
      </c>
      <c r="D59" s="51" t="s">
        <v>113</v>
      </c>
      <c r="E59" s="52" t="s">
        <v>114</v>
      </c>
      <c r="F59" s="52" t="s">
        <v>115</v>
      </c>
      <c r="G59" s="52" t="s">
        <v>61</v>
      </c>
      <c r="H59" s="52" t="s">
        <v>62</v>
      </c>
      <c r="I59" s="52">
        <v>2009</v>
      </c>
      <c r="J59" s="52"/>
      <c r="K59" s="52" t="s">
        <v>63</v>
      </c>
      <c r="L59" s="52" t="s">
        <v>64</v>
      </c>
      <c r="M59" s="52">
        <v>1</v>
      </c>
      <c r="N59" s="53">
        <v>14150000</v>
      </c>
      <c r="O59" s="53">
        <v>14150000</v>
      </c>
      <c r="P59" s="58"/>
      <c r="Q59" s="59"/>
      <c r="R59" s="52"/>
      <c r="S59" s="53">
        <f t="shared" ref="S59:S78" si="17">SUM(O59-R59)</f>
        <v>14150000</v>
      </c>
      <c r="T59" s="52">
        <v>7</v>
      </c>
      <c r="U59" s="53"/>
      <c r="V59" s="54"/>
      <c r="W59" s="53">
        <f t="shared" si="11"/>
        <v>0</v>
      </c>
      <c r="X59" s="54"/>
      <c r="Y59" s="53"/>
      <c r="Z59" s="53">
        <f t="shared" si="13"/>
        <v>0</v>
      </c>
      <c r="AA59" s="52">
        <v>7</v>
      </c>
      <c r="AB59" s="53">
        <v>14150000</v>
      </c>
      <c r="AC59" s="53">
        <f t="shared" ref="AC59:AC78" si="18">SUM(O59-AB59)</f>
        <v>0</v>
      </c>
      <c r="AD59" s="52" t="s">
        <v>116</v>
      </c>
      <c r="AE59" s="52"/>
      <c r="AG59" s="5"/>
    </row>
    <row r="60" spans="1:33" s="1" customFormat="1" ht="13.5" x14ac:dyDescent="0.25">
      <c r="A60" s="49">
        <v>12</v>
      </c>
      <c r="B60" s="50" t="s">
        <v>112</v>
      </c>
      <c r="C60" s="50" t="s">
        <v>75</v>
      </c>
      <c r="D60" s="51" t="s">
        <v>113</v>
      </c>
      <c r="E60" s="52" t="s">
        <v>114</v>
      </c>
      <c r="F60" s="52" t="s">
        <v>117</v>
      </c>
      <c r="G60" s="52" t="s">
        <v>61</v>
      </c>
      <c r="H60" s="52" t="s">
        <v>62</v>
      </c>
      <c r="I60" s="52">
        <v>2009</v>
      </c>
      <c r="J60" s="52"/>
      <c r="K60" s="52" t="s">
        <v>63</v>
      </c>
      <c r="L60" s="52" t="s">
        <v>64</v>
      </c>
      <c r="M60" s="52">
        <v>1</v>
      </c>
      <c r="N60" s="53">
        <v>14150000</v>
      </c>
      <c r="O60" s="53">
        <v>14150000</v>
      </c>
      <c r="P60" s="60"/>
      <c r="Q60" s="59"/>
      <c r="R60" s="52"/>
      <c r="S60" s="53">
        <f t="shared" si="17"/>
        <v>14150000</v>
      </c>
      <c r="T60" s="52">
        <v>7</v>
      </c>
      <c r="U60" s="53"/>
      <c r="V60" s="54"/>
      <c r="W60" s="53">
        <f t="shared" si="11"/>
        <v>0</v>
      </c>
      <c r="X60" s="54"/>
      <c r="Y60" s="53">
        <f t="shared" si="12"/>
        <v>0</v>
      </c>
      <c r="Z60" s="53">
        <f t="shared" si="13"/>
        <v>0</v>
      </c>
      <c r="AA60" s="52">
        <v>7</v>
      </c>
      <c r="AB60" s="53">
        <v>14150000</v>
      </c>
      <c r="AC60" s="53">
        <f t="shared" si="18"/>
        <v>0</v>
      </c>
      <c r="AD60" s="52" t="s">
        <v>116</v>
      </c>
      <c r="AE60" s="52"/>
      <c r="AG60" s="5"/>
    </row>
    <row r="61" spans="1:33" s="1" customFormat="1" ht="15" customHeight="1" x14ac:dyDescent="0.25">
      <c r="A61" s="49">
        <v>13</v>
      </c>
      <c r="B61" s="50" t="s">
        <v>112</v>
      </c>
      <c r="C61" s="50" t="s">
        <v>79</v>
      </c>
      <c r="D61" s="51" t="s">
        <v>113</v>
      </c>
      <c r="E61" s="52" t="s">
        <v>118</v>
      </c>
      <c r="F61" s="52" t="s">
        <v>119</v>
      </c>
      <c r="G61" s="52" t="s">
        <v>61</v>
      </c>
      <c r="H61" s="52" t="s">
        <v>62</v>
      </c>
      <c r="I61" s="52">
        <v>2011</v>
      </c>
      <c r="J61" s="52"/>
      <c r="K61" s="52" t="s">
        <v>63</v>
      </c>
      <c r="L61" s="52" t="s">
        <v>64</v>
      </c>
      <c r="M61" s="52">
        <v>1</v>
      </c>
      <c r="N61" s="53">
        <v>14695000</v>
      </c>
      <c r="O61" s="53">
        <v>14695000</v>
      </c>
      <c r="P61" s="60"/>
      <c r="Q61" s="59"/>
      <c r="R61" s="52"/>
      <c r="S61" s="53">
        <f t="shared" si="17"/>
        <v>14695000</v>
      </c>
      <c r="T61" s="52">
        <v>7</v>
      </c>
      <c r="U61" s="53"/>
      <c r="V61" s="54"/>
      <c r="W61" s="53">
        <f t="shared" si="11"/>
        <v>0</v>
      </c>
      <c r="X61" s="54"/>
      <c r="Y61" s="53">
        <f t="shared" si="12"/>
        <v>0</v>
      </c>
      <c r="Z61" s="53">
        <f t="shared" si="13"/>
        <v>0</v>
      </c>
      <c r="AA61" s="52">
        <v>7</v>
      </c>
      <c r="AB61" s="53">
        <v>14695000</v>
      </c>
      <c r="AC61" s="53">
        <f t="shared" si="18"/>
        <v>0</v>
      </c>
      <c r="AD61" s="61" t="s">
        <v>120</v>
      </c>
      <c r="AE61" s="62"/>
      <c r="AG61" s="5"/>
    </row>
    <row r="62" spans="1:33" s="1" customFormat="1" ht="13.5" x14ac:dyDescent="0.25">
      <c r="A62" s="49">
        <v>14</v>
      </c>
      <c r="B62" s="50" t="s">
        <v>112</v>
      </c>
      <c r="C62" s="50" t="s">
        <v>84</v>
      </c>
      <c r="D62" s="51" t="s">
        <v>113</v>
      </c>
      <c r="E62" s="52" t="s">
        <v>118</v>
      </c>
      <c r="F62" s="52" t="s">
        <v>121</v>
      </c>
      <c r="G62" s="52" t="s">
        <v>61</v>
      </c>
      <c r="H62" s="52" t="s">
        <v>62</v>
      </c>
      <c r="I62" s="52">
        <v>2011</v>
      </c>
      <c r="J62" s="52"/>
      <c r="K62" s="52" t="s">
        <v>63</v>
      </c>
      <c r="L62" s="52" t="s">
        <v>64</v>
      </c>
      <c r="M62" s="52">
        <v>1</v>
      </c>
      <c r="N62" s="53">
        <v>14695000</v>
      </c>
      <c r="O62" s="53">
        <v>14695000</v>
      </c>
      <c r="P62" s="60"/>
      <c r="Q62" s="59"/>
      <c r="R62" s="52"/>
      <c r="S62" s="53">
        <f t="shared" si="17"/>
        <v>14695000</v>
      </c>
      <c r="T62" s="52">
        <v>7</v>
      </c>
      <c r="U62" s="53"/>
      <c r="V62" s="54"/>
      <c r="W62" s="53">
        <f t="shared" si="11"/>
        <v>0</v>
      </c>
      <c r="X62" s="54"/>
      <c r="Y62" s="53">
        <f t="shared" si="12"/>
        <v>0</v>
      </c>
      <c r="Z62" s="53">
        <f t="shared" si="13"/>
        <v>0</v>
      </c>
      <c r="AA62" s="52">
        <v>7</v>
      </c>
      <c r="AB62" s="53">
        <v>14695000</v>
      </c>
      <c r="AC62" s="53">
        <f t="shared" si="18"/>
        <v>0</v>
      </c>
      <c r="AD62" s="52" t="s">
        <v>116</v>
      </c>
      <c r="AE62" s="52"/>
      <c r="AG62" s="5"/>
    </row>
    <row r="63" spans="1:33" s="1" customFormat="1" ht="15" customHeight="1" x14ac:dyDescent="0.25">
      <c r="A63" s="49">
        <v>15</v>
      </c>
      <c r="B63" s="50" t="s">
        <v>112</v>
      </c>
      <c r="C63" s="50" t="s">
        <v>88</v>
      </c>
      <c r="D63" s="51" t="s">
        <v>113</v>
      </c>
      <c r="E63" s="52" t="s">
        <v>122</v>
      </c>
      <c r="F63" s="52" t="s">
        <v>123</v>
      </c>
      <c r="G63" s="52" t="s">
        <v>61</v>
      </c>
      <c r="H63" s="52" t="s">
        <v>62</v>
      </c>
      <c r="I63" s="52">
        <v>2014</v>
      </c>
      <c r="J63" s="52"/>
      <c r="K63" s="52" t="s">
        <v>63</v>
      </c>
      <c r="L63" s="52" t="s">
        <v>64</v>
      </c>
      <c r="M63" s="52">
        <v>1</v>
      </c>
      <c r="N63" s="53">
        <v>16400000</v>
      </c>
      <c r="O63" s="53">
        <v>16400000</v>
      </c>
      <c r="P63" s="60"/>
      <c r="Q63" s="59"/>
      <c r="R63" s="52"/>
      <c r="S63" s="53">
        <f t="shared" si="17"/>
        <v>16400000</v>
      </c>
      <c r="T63" s="52">
        <v>7</v>
      </c>
      <c r="U63" s="53">
        <f t="shared" si="15"/>
        <v>2342857.1428571427</v>
      </c>
      <c r="V63" s="54">
        <v>0.5</v>
      </c>
      <c r="W63" s="53"/>
      <c r="X63" s="54"/>
      <c r="Y63" s="53">
        <f t="shared" si="12"/>
        <v>0</v>
      </c>
      <c r="Z63" s="53"/>
      <c r="AA63" s="52">
        <v>7</v>
      </c>
      <c r="AB63" s="53">
        <f t="shared" ref="AB63:AB78" si="19">SUM(U63*AA63)</f>
        <v>16400000</v>
      </c>
      <c r="AC63" s="53">
        <f t="shared" si="18"/>
        <v>0</v>
      </c>
      <c r="AD63" s="418" t="s">
        <v>124</v>
      </c>
      <c r="AE63" s="419"/>
      <c r="AG63" s="5"/>
    </row>
    <row r="64" spans="1:33" s="1" customFormat="1" ht="15" customHeight="1" x14ac:dyDescent="0.25">
      <c r="A64" s="49">
        <v>16</v>
      </c>
      <c r="B64" s="50" t="s">
        <v>112</v>
      </c>
      <c r="C64" s="50" t="s">
        <v>92</v>
      </c>
      <c r="D64" s="51" t="s">
        <v>113</v>
      </c>
      <c r="E64" s="52" t="s">
        <v>122</v>
      </c>
      <c r="F64" s="52" t="s">
        <v>125</v>
      </c>
      <c r="G64" s="52" t="s">
        <v>61</v>
      </c>
      <c r="H64" s="52" t="s">
        <v>62</v>
      </c>
      <c r="I64" s="52">
        <v>2014</v>
      </c>
      <c r="J64" s="52"/>
      <c r="K64" s="52" t="s">
        <v>63</v>
      </c>
      <c r="L64" s="52" t="s">
        <v>64</v>
      </c>
      <c r="M64" s="52">
        <v>1</v>
      </c>
      <c r="N64" s="53">
        <v>16400000</v>
      </c>
      <c r="O64" s="53">
        <v>16400000</v>
      </c>
      <c r="P64" s="60"/>
      <c r="Q64" s="59"/>
      <c r="R64" s="52"/>
      <c r="S64" s="53">
        <f t="shared" si="17"/>
        <v>16400000</v>
      </c>
      <c r="T64" s="52">
        <v>7</v>
      </c>
      <c r="U64" s="53">
        <f t="shared" si="15"/>
        <v>2342857.1428571427</v>
      </c>
      <c r="V64" s="54">
        <v>0.5</v>
      </c>
      <c r="W64" s="53"/>
      <c r="X64" s="54"/>
      <c r="Y64" s="53">
        <f t="shared" si="12"/>
        <v>0</v>
      </c>
      <c r="Z64" s="53"/>
      <c r="AA64" s="52">
        <v>7</v>
      </c>
      <c r="AB64" s="53">
        <f t="shared" si="19"/>
        <v>16400000</v>
      </c>
      <c r="AC64" s="53">
        <f t="shared" si="18"/>
        <v>0</v>
      </c>
      <c r="AD64" s="420" t="s">
        <v>126</v>
      </c>
      <c r="AE64" s="421"/>
      <c r="AG64" s="5"/>
    </row>
    <row r="65" spans="1:33" s="1" customFormat="1" ht="15" customHeight="1" x14ac:dyDescent="0.25">
      <c r="A65" s="49">
        <v>17</v>
      </c>
      <c r="B65" s="50" t="s">
        <v>112</v>
      </c>
      <c r="C65" s="50" t="s">
        <v>96</v>
      </c>
      <c r="D65" s="51" t="s">
        <v>113</v>
      </c>
      <c r="E65" s="52" t="s">
        <v>122</v>
      </c>
      <c r="F65" s="52" t="s">
        <v>127</v>
      </c>
      <c r="G65" s="52" t="s">
        <v>61</v>
      </c>
      <c r="H65" s="52" t="s">
        <v>62</v>
      </c>
      <c r="I65" s="52">
        <v>2014</v>
      </c>
      <c r="J65" s="52"/>
      <c r="K65" s="52" t="s">
        <v>63</v>
      </c>
      <c r="L65" s="52" t="s">
        <v>64</v>
      </c>
      <c r="M65" s="52">
        <v>1</v>
      </c>
      <c r="N65" s="53">
        <v>16400000</v>
      </c>
      <c r="O65" s="53">
        <v>16400000</v>
      </c>
      <c r="P65" s="60"/>
      <c r="Q65" s="59"/>
      <c r="R65" s="52"/>
      <c r="S65" s="53">
        <f t="shared" si="17"/>
        <v>16400000</v>
      </c>
      <c r="T65" s="52">
        <v>7</v>
      </c>
      <c r="U65" s="53">
        <f t="shared" si="15"/>
        <v>2342857.1428571427</v>
      </c>
      <c r="V65" s="54">
        <v>0.5</v>
      </c>
      <c r="W65" s="53"/>
      <c r="X65" s="54"/>
      <c r="Y65" s="53">
        <f t="shared" si="12"/>
        <v>0</v>
      </c>
      <c r="Z65" s="53"/>
      <c r="AA65" s="52">
        <v>7</v>
      </c>
      <c r="AB65" s="53">
        <f t="shared" si="19"/>
        <v>16400000</v>
      </c>
      <c r="AC65" s="53">
        <f t="shared" si="18"/>
        <v>0</v>
      </c>
      <c r="AD65" s="420" t="s">
        <v>128</v>
      </c>
      <c r="AE65" s="421"/>
      <c r="AG65" s="5"/>
    </row>
    <row r="66" spans="1:33" s="1" customFormat="1" ht="15" customHeight="1" x14ac:dyDescent="0.25">
      <c r="A66" s="49">
        <v>18</v>
      </c>
      <c r="B66" s="50" t="s">
        <v>112</v>
      </c>
      <c r="C66" s="50" t="s">
        <v>100</v>
      </c>
      <c r="D66" s="51" t="s">
        <v>113</v>
      </c>
      <c r="E66" s="52" t="s">
        <v>122</v>
      </c>
      <c r="F66" s="52" t="s">
        <v>129</v>
      </c>
      <c r="G66" s="52" t="s">
        <v>61</v>
      </c>
      <c r="H66" s="52" t="s">
        <v>62</v>
      </c>
      <c r="I66" s="52">
        <v>2014</v>
      </c>
      <c r="J66" s="52"/>
      <c r="K66" s="52" t="s">
        <v>63</v>
      </c>
      <c r="L66" s="52" t="s">
        <v>64</v>
      </c>
      <c r="M66" s="52">
        <v>1</v>
      </c>
      <c r="N66" s="53">
        <v>16400000</v>
      </c>
      <c r="O66" s="53">
        <v>16400000</v>
      </c>
      <c r="P66" s="60"/>
      <c r="Q66" s="59"/>
      <c r="R66" s="52"/>
      <c r="S66" s="53">
        <f t="shared" si="17"/>
        <v>16400000</v>
      </c>
      <c r="T66" s="52">
        <v>7</v>
      </c>
      <c r="U66" s="53">
        <f t="shared" si="15"/>
        <v>2342857.1428571427</v>
      </c>
      <c r="V66" s="54">
        <v>0.5</v>
      </c>
      <c r="W66" s="53"/>
      <c r="X66" s="54"/>
      <c r="Y66" s="53">
        <f t="shared" si="12"/>
        <v>0</v>
      </c>
      <c r="Z66" s="53"/>
      <c r="AA66" s="52">
        <v>7</v>
      </c>
      <c r="AB66" s="53">
        <f t="shared" si="19"/>
        <v>16400000</v>
      </c>
      <c r="AC66" s="53">
        <f t="shared" si="18"/>
        <v>0</v>
      </c>
      <c r="AD66" s="418" t="s">
        <v>130</v>
      </c>
      <c r="AE66" s="419"/>
      <c r="AG66" s="5"/>
    </row>
    <row r="67" spans="1:33" s="1" customFormat="1" ht="13.5" x14ac:dyDescent="0.25">
      <c r="A67" s="49">
        <v>19</v>
      </c>
      <c r="B67" s="50" t="s">
        <v>112</v>
      </c>
      <c r="C67" s="50" t="s">
        <v>105</v>
      </c>
      <c r="D67" s="51" t="s">
        <v>113</v>
      </c>
      <c r="E67" s="52" t="s">
        <v>122</v>
      </c>
      <c r="F67" s="52" t="s">
        <v>131</v>
      </c>
      <c r="G67" s="52" t="s">
        <v>61</v>
      </c>
      <c r="H67" s="52" t="s">
        <v>62</v>
      </c>
      <c r="I67" s="52">
        <v>2014</v>
      </c>
      <c r="J67" s="52"/>
      <c r="K67" s="52" t="s">
        <v>63</v>
      </c>
      <c r="L67" s="52" t="s">
        <v>64</v>
      </c>
      <c r="M67" s="52">
        <v>1</v>
      </c>
      <c r="N67" s="53">
        <v>16400000</v>
      </c>
      <c r="O67" s="53">
        <v>16400000</v>
      </c>
      <c r="P67" s="60"/>
      <c r="Q67" s="59"/>
      <c r="R67" s="52"/>
      <c r="S67" s="53">
        <f t="shared" si="17"/>
        <v>16400000</v>
      </c>
      <c r="T67" s="52">
        <v>7</v>
      </c>
      <c r="U67" s="53">
        <f t="shared" si="15"/>
        <v>2342857.1428571427</v>
      </c>
      <c r="V67" s="54">
        <v>0.5</v>
      </c>
      <c r="W67" s="53"/>
      <c r="X67" s="54"/>
      <c r="Y67" s="53">
        <f t="shared" si="12"/>
        <v>0</v>
      </c>
      <c r="Z67" s="53"/>
      <c r="AA67" s="52">
        <v>7</v>
      </c>
      <c r="AB67" s="53">
        <f t="shared" si="19"/>
        <v>16400000</v>
      </c>
      <c r="AC67" s="53">
        <f t="shared" si="18"/>
        <v>0</v>
      </c>
      <c r="AD67" s="52" t="s">
        <v>132</v>
      </c>
      <c r="AE67" s="52"/>
      <c r="AG67" s="5"/>
    </row>
    <row r="68" spans="1:33" s="1" customFormat="1" ht="15" customHeight="1" x14ac:dyDescent="0.25">
      <c r="A68" s="49">
        <v>20</v>
      </c>
      <c r="B68" s="50" t="s">
        <v>112</v>
      </c>
      <c r="C68" s="50" t="s">
        <v>108</v>
      </c>
      <c r="D68" s="51" t="s">
        <v>113</v>
      </c>
      <c r="E68" s="52" t="s">
        <v>122</v>
      </c>
      <c r="F68" s="52" t="s">
        <v>133</v>
      </c>
      <c r="G68" s="52" t="s">
        <v>61</v>
      </c>
      <c r="H68" s="52" t="s">
        <v>62</v>
      </c>
      <c r="I68" s="52">
        <v>2014</v>
      </c>
      <c r="J68" s="52"/>
      <c r="K68" s="52" t="s">
        <v>63</v>
      </c>
      <c r="L68" s="52" t="s">
        <v>64</v>
      </c>
      <c r="M68" s="52">
        <v>1</v>
      </c>
      <c r="N68" s="53">
        <v>16400000</v>
      </c>
      <c r="O68" s="53">
        <v>16400000</v>
      </c>
      <c r="P68" s="60"/>
      <c r="Q68" s="59"/>
      <c r="R68" s="52"/>
      <c r="S68" s="53">
        <f t="shared" si="17"/>
        <v>16400000</v>
      </c>
      <c r="T68" s="52">
        <v>7</v>
      </c>
      <c r="U68" s="53">
        <f t="shared" si="15"/>
        <v>2342857.1428571427</v>
      </c>
      <c r="V68" s="54">
        <v>0.5</v>
      </c>
      <c r="W68" s="53"/>
      <c r="X68" s="54"/>
      <c r="Y68" s="53">
        <f t="shared" si="12"/>
        <v>0</v>
      </c>
      <c r="Z68" s="53"/>
      <c r="AA68" s="52">
        <v>7</v>
      </c>
      <c r="AB68" s="53">
        <f t="shared" si="19"/>
        <v>16400000</v>
      </c>
      <c r="AC68" s="53">
        <f t="shared" si="18"/>
        <v>0</v>
      </c>
      <c r="AD68" s="418" t="s">
        <v>134</v>
      </c>
      <c r="AE68" s="419"/>
      <c r="AG68" s="5"/>
    </row>
    <row r="69" spans="1:33" s="1" customFormat="1" ht="13.5" x14ac:dyDescent="0.25">
      <c r="A69" s="49">
        <v>21</v>
      </c>
      <c r="B69" s="50" t="s">
        <v>112</v>
      </c>
      <c r="C69" s="50" t="s">
        <v>135</v>
      </c>
      <c r="D69" s="51" t="s">
        <v>113</v>
      </c>
      <c r="E69" s="52" t="s">
        <v>122</v>
      </c>
      <c r="F69" s="52" t="s">
        <v>136</v>
      </c>
      <c r="G69" s="52" t="s">
        <v>61</v>
      </c>
      <c r="H69" s="52" t="s">
        <v>62</v>
      </c>
      <c r="I69" s="52">
        <v>2014</v>
      </c>
      <c r="J69" s="52"/>
      <c r="K69" s="52" t="s">
        <v>63</v>
      </c>
      <c r="L69" s="52" t="s">
        <v>64</v>
      </c>
      <c r="M69" s="52">
        <v>1</v>
      </c>
      <c r="N69" s="53">
        <v>16400000</v>
      </c>
      <c r="O69" s="53">
        <v>16400000</v>
      </c>
      <c r="P69" s="60"/>
      <c r="Q69" s="59"/>
      <c r="R69" s="52"/>
      <c r="S69" s="53">
        <f t="shared" si="17"/>
        <v>16400000</v>
      </c>
      <c r="T69" s="52">
        <v>7</v>
      </c>
      <c r="U69" s="53">
        <f t="shared" si="15"/>
        <v>2342857.1428571427</v>
      </c>
      <c r="V69" s="54">
        <v>0.5</v>
      </c>
      <c r="W69" s="53"/>
      <c r="X69" s="54"/>
      <c r="Y69" s="53">
        <f t="shared" si="12"/>
        <v>0</v>
      </c>
      <c r="Z69" s="53"/>
      <c r="AA69" s="52">
        <v>7</v>
      </c>
      <c r="AB69" s="53">
        <f t="shared" si="19"/>
        <v>16400000</v>
      </c>
      <c r="AC69" s="53">
        <f t="shared" si="18"/>
        <v>0</v>
      </c>
      <c r="AD69" s="52" t="s">
        <v>137</v>
      </c>
      <c r="AE69" s="52"/>
      <c r="AG69" s="5"/>
    </row>
    <row r="70" spans="1:33" s="1" customFormat="1" ht="15" customHeight="1" x14ac:dyDescent="0.25">
      <c r="A70" s="49">
        <v>22</v>
      </c>
      <c r="B70" s="50" t="s">
        <v>112</v>
      </c>
      <c r="C70" s="50" t="s">
        <v>138</v>
      </c>
      <c r="D70" s="51" t="s">
        <v>113</v>
      </c>
      <c r="E70" s="52" t="s">
        <v>122</v>
      </c>
      <c r="F70" s="52" t="s">
        <v>139</v>
      </c>
      <c r="G70" s="52" t="s">
        <v>61</v>
      </c>
      <c r="H70" s="52" t="s">
        <v>62</v>
      </c>
      <c r="I70" s="52">
        <v>2014</v>
      </c>
      <c r="J70" s="52"/>
      <c r="K70" s="52" t="s">
        <v>63</v>
      </c>
      <c r="L70" s="52" t="s">
        <v>64</v>
      </c>
      <c r="M70" s="52">
        <v>1</v>
      </c>
      <c r="N70" s="53">
        <v>16400000</v>
      </c>
      <c r="O70" s="53">
        <v>16400000</v>
      </c>
      <c r="P70" s="60"/>
      <c r="Q70" s="59"/>
      <c r="R70" s="52"/>
      <c r="S70" s="53">
        <f t="shared" si="17"/>
        <v>16400000</v>
      </c>
      <c r="T70" s="52">
        <v>7</v>
      </c>
      <c r="U70" s="53">
        <f t="shared" si="15"/>
        <v>2342857.1428571427</v>
      </c>
      <c r="V70" s="54">
        <v>0.5</v>
      </c>
      <c r="W70" s="53"/>
      <c r="X70" s="54"/>
      <c r="Y70" s="53">
        <f t="shared" si="12"/>
        <v>0</v>
      </c>
      <c r="Z70" s="53"/>
      <c r="AA70" s="52">
        <v>7</v>
      </c>
      <c r="AB70" s="53">
        <f t="shared" si="19"/>
        <v>16400000</v>
      </c>
      <c r="AC70" s="53">
        <f t="shared" si="18"/>
        <v>0</v>
      </c>
      <c r="AD70" s="418" t="s">
        <v>134</v>
      </c>
      <c r="AE70" s="419"/>
      <c r="AF70" s="63"/>
      <c r="AG70" s="5"/>
    </row>
    <row r="71" spans="1:33" s="1" customFormat="1" ht="15" customHeight="1" x14ac:dyDescent="0.25">
      <c r="A71" s="49">
        <v>23</v>
      </c>
      <c r="B71" s="50" t="s">
        <v>112</v>
      </c>
      <c r="C71" s="50" t="s">
        <v>140</v>
      </c>
      <c r="D71" s="51" t="s">
        <v>113</v>
      </c>
      <c r="E71" s="52" t="s">
        <v>122</v>
      </c>
      <c r="F71" s="52" t="s">
        <v>141</v>
      </c>
      <c r="G71" s="52" t="s">
        <v>61</v>
      </c>
      <c r="H71" s="52" t="s">
        <v>62</v>
      </c>
      <c r="I71" s="52">
        <v>2014</v>
      </c>
      <c r="J71" s="52"/>
      <c r="K71" s="52" t="s">
        <v>63</v>
      </c>
      <c r="L71" s="52" t="s">
        <v>64</v>
      </c>
      <c r="M71" s="52">
        <v>1</v>
      </c>
      <c r="N71" s="53">
        <v>16400000</v>
      </c>
      <c r="O71" s="53">
        <v>16400000</v>
      </c>
      <c r="P71" s="60"/>
      <c r="Q71" s="59"/>
      <c r="R71" s="52"/>
      <c r="S71" s="53">
        <f t="shared" si="17"/>
        <v>16400000</v>
      </c>
      <c r="T71" s="52">
        <v>7</v>
      </c>
      <c r="U71" s="53">
        <f t="shared" si="15"/>
        <v>2342857.1428571427</v>
      </c>
      <c r="V71" s="54">
        <v>0.5</v>
      </c>
      <c r="W71" s="53"/>
      <c r="X71" s="54"/>
      <c r="Y71" s="53">
        <f t="shared" si="12"/>
        <v>0</v>
      </c>
      <c r="Z71" s="53"/>
      <c r="AA71" s="52">
        <v>7</v>
      </c>
      <c r="AB71" s="53">
        <f t="shared" si="19"/>
        <v>16400000</v>
      </c>
      <c r="AC71" s="53">
        <f t="shared" si="18"/>
        <v>0</v>
      </c>
      <c r="AD71" s="420" t="s">
        <v>142</v>
      </c>
      <c r="AE71" s="421"/>
      <c r="AG71" s="5"/>
    </row>
    <row r="72" spans="1:33" s="1" customFormat="1" ht="15" customHeight="1" x14ac:dyDescent="0.25">
      <c r="A72" s="49">
        <v>24</v>
      </c>
      <c r="B72" s="50" t="s">
        <v>112</v>
      </c>
      <c r="C72" s="50" t="s">
        <v>143</v>
      </c>
      <c r="D72" s="51" t="s">
        <v>113</v>
      </c>
      <c r="E72" s="52" t="s">
        <v>122</v>
      </c>
      <c r="F72" s="52" t="s">
        <v>144</v>
      </c>
      <c r="G72" s="52" t="s">
        <v>61</v>
      </c>
      <c r="H72" s="52" t="s">
        <v>62</v>
      </c>
      <c r="I72" s="52">
        <v>2014</v>
      </c>
      <c r="J72" s="52"/>
      <c r="K72" s="52" t="s">
        <v>63</v>
      </c>
      <c r="L72" s="52" t="s">
        <v>64</v>
      </c>
      <c r="M72" s="52">
        <v>1</v>
      </c>
      <c r="N72" s="53">
        <v>16400000</v>
      </c>
      <c r="O72" s="53">
        <v>16400000</v>
      </c>
      <c r="P72" s="60"/>
      <c r="Q72" s="59"/>
      <c r="R72" s="52"/>
      <c r="S72" s="53">
        <f t="shared" si="17"/>
        <v>16400000</v>
      </c>
      <c r="T72" s="52">
        <v>7</v>
      </c>
      <c r="U72" s="53">
        <f t="shared" si="15"/>
        <v>2342857.1428571427</v>
      </c>
      <c r="V72" s="54">
        <v>0.5</v>
      </c>
      <c r="W72" s="53"/>
      <c r="X72" s="54"/>
      <c r="Y72" s="53"/>
      <c r="Z72" s="53"/>
      <c r="AA72" s="52">
        <v>7</v>
      </c>
      <c r="AB72" s="53">
        <f t="shared" si="19"/>
        <v>16400000</v>
      </c>
      <c r="AC72" s="53">
        <f t="shared" si="18"/>
        <v>0</v>
      </c>
      <c r="AD72" s="418" t="s">
        <v>145</v>
      </c>
      <c r="AE72" s="419"/>
      <c r="AG72" s="5"/>
    </row>
    <row r="73" spans="1:33" s="1" customFormat="1" ht="15" customHeight="1" x14ac:dyDescent="0.25">
      <c r="A73" s="49">
        <v>25</v>
      </c>
      <c r="B73" s="50" t="s">
        <v>112</v>
      </c>
      <c r="C73" s="50" t="s">
        <v>146</v>
      </c>
      <c r="D73" s="51" t="s">
        <v>113</v>
      </c>
      <c r="E73" s="52" t="s">
        <v>147</v>
      </c>
      <c r="F73" s="52" t="s">
        <v>148</v>
      </c>
      <c r="G73" s="52" t="s">
        <v>61</v>
      </c>
      <c r="H73" s="52" t="s">
        <v>62</v>
      </c>
      <c r="I73" s="52">
        <v>2018</v>
      </c>
      <c r="J73" s="52"/>
      <c r="K73" s="52" t="s">
        <v>63</v>
      </c>
      <c r="L73" s="52" t="s">
        <v>64</v>
      </c>
      <c r="M73" s="52">
        <v>1</v>
      </c>
      <c r="N73" s="53">
        <v>16900000</v>
      </c>
      <c r="O73" s="53">
        <v>16900000</v>
      </c>
      <c r="P73" s="60"/>
      <c r="Q73" s="59"/>
      <c r="R73" s="52"/>
      <c r="S73" s="53">
        <f t="shared" si="17"/>
        <v>16900000</v>
      </c>
      <c r="T73" s="52">
        <v>7</v>
      </c>
      <c r="U73" s="53">
        <f t="shared" si="15"/>
        <v>2414285.7142857141</v>
      </c>
      <c r="V73" s="54">
        <v>0.5</v>
      </c>
      <c r="W73" s="53">
        <f>SUM(U73*V73)</f>
        <v>1207142.857142857</v>
      </c>
      <c r="X73" s="54"/>
      <c r="Y73" s="53">
        <f t="shared" si="12"/>
        <v>0</v>
      </c>
      <c r="Z73" s="53">
        <f t="shared" si="13"/>
        <v>1207142.857142857</v>
      </c>
      <c r="AA73" s="57">
        <f>2023-I73+V73+X73-4/12</f>
        <v>5.166666666666667</v>
      </c>
      <c r="AB73" s="53">
        <f t="shared" si="19"/>
        <v>12473809.523809524</v>
      </c>
      <c r="AC73" s="53">
        <f t="shared" si="18"/>
        <v>4426190.4761904757</v>
      </c>
      <c r="AD73" s="418" t="s">
        <v>149</v>
      </c>
      <c r="AE73" s="419"/>
      <c r="AG73" s="157"/>
    </row>
    <row r="74" spans="1:33" s="1" customFormat="1" ht="15" customHeight="1" x14ac:dyDescent="0.25">
      <c r="A74" s="49">
        <v>26</v>
      </c>
      <c r="B74" s="50" t="s">
        <v>112</v>
      </c>
      <c r="C74" s="50" t="s">
        <v>150</v>
      </c>
      <c r="D74" s="51" t="s">
        <v>113</v>
      </c>
      <c r="E74" s="52" t="s">
        <v>147</v>
      </c>
      <c r="F74" s="52" t="s">
        <v>151</v>
      </c>
      <c r="G74" s="52" t="s">
        <v>61</v>
      </c>
      <c r="H74" s="52" t="s">
        <v>62</v>
      </c>
      <c r="I74" s="52">
        <v>2018</v>
      </c>
      <c r="J74" s="52"/>
      <c r="K74" s="52" t="s">
        <v>63</v>
      </c>
      <c r="L74" s="52" t="s">
        <v>64</v>
      </c>
      <c r="M74" s="52">
        <v>1</v>
      </c>
      <c r="N74" s="53">
        <v>16900000</v>
      </c>
      <c r="O74" s="53">
        <v>16900000</v>
      </c>
      <c r="P74" s="60"/>
      <c r="Q74" s="59"/>
      <c r="R74" s="52"/>
      <c r="S74" s="53">
        <f t="shared" si="17"/>
        <v>16900000</v>
      </c>
      <c r="T74" s="52">
        <v>7</v>
      </c>
      <c r="U74" s="53">
        <f t="shared" si="15"/>
        <v>2414285.7142857141</v>
      </c>
      <c r="V74" s="54">
        <v>0.5</v>
      </c>
      <c r="W74" s="53">
        <f t="shared" ref="W74:W78" si="20">SUM(U74*V74)</f>
        <v>1207142.857142857</v>
      </c>
      <c r="X74" s="54"/>
      <c r="Y74" s="53">
        <f t="shared" si="12"/>
        <v>0</v>
      </c>
      <c r="Z74" s="53">
        <f t="shared" si="13"/>
        <v>1207142.857142857</v>
      </c>
      <c r="AA74" s="57">
        <f t="shared" ref="AA74:AA78" si="21">2023-I74+V74+X74-4/12</f>
        <v>5.166666666666667</v>
      </c>
      <c r="AB74" s="53">
        <f t="shared" si="19"/>
        <v>12473809.523809524</v>
      </c>
      <c r="AC74" s="53">
        <f t="shared" si="18"/>
        <v>4426190.4761904757</v>
      </c>
      <c r="AD74" s="418" t="s">
        <v>152</v>
      </c>
      <c r="AE74" s="419"/>
      <c r="AG74" s="144"/>
    </row>
    <row r="75" spans="1:33" s="1" customFormat="1" ht="15" customHeight="1" x14ac:dyDescent="0.25">
      <c r="A75" s="49">
        <v>27</v>
      </c>
      <c r="B75" s="50" t="s">
        <v>112</v>
      </c>
      <c r="C75" s="50" t="s">
        <v>153</v>
      </c>
      <c r="D75" s="51" t="s">
        <v>113</v>
      </c>
      <c r="E75" s="52" t="s">
        <v>147</v>
      </c>
      <c r="F75" s="52" t="s">
        <v>154</v>
      </c>
      <c r="G75" s="52" t="s">
        <v>61</v>
      </c>
      <c r="H75" s="52" t="s">
        <v>62</v>
      </c>
      <c r="I75" s="52">
        <v>2018</v>
      </c>
      <c r="J75" s="52"/>
      <c r="K75" s="52" t="s">
        <v>63</v>
      </c>
      <c r="L75" s="52" t="s">
        <v>64</v>
      </c>
      <c r="M75" s="52">
        <v>1</v>
      </c>
      <c r="N75" s="53">
        <v>16900000</v>
      </c>
      <c r="O75" s="53">
        <v>16900000</v>
      </c>
      <c r="P75" s="60"/>
      <c r="Q75" s="59"/>
      <c r="R75" s="52"/>
      <c r="S75" s="53">
        <f t="shared" si="17"/>
        <v>16900000</v>
      </c>
      <c r="T75" s="52">
        <v>7</v>
      </c>
      <c r="U75" s="53">
        <f t="shared" si="15"/>
        <v>2414285.7142857141</v>
      </c>
      <c r="V75" s="54">
        <v>0.5</v>
      </c>
      <c r="W75" s="53">
        <f t="shared" si="20"/>
        <v>1207142.857142857</v>
      </c>
      <c r="X75" s="54"/>
      <c r="Y75" s="53">
        <f t="shared" si="12"/>
        <v>0</v>
      </c>
      <c r="Z75" s="53">
        <f t="shared" si="13"/>
        <v>1207142.857142857</v>
      </c>
      <c r="AA75" s="57">
        <f t="shared" si="21"/>
        <v>5.166666666666667</v>
      </c>
      <c r="AB75" s="53">
        <f t="shared" si="19"/>
        <v>12473809.523809524</v>
      </c>
      <c r="AC75" s="53">
        <f t="shared" si="18"/>
        <v>4426190.4761904757</v>
      </c>
      <c r="AD75" s="418" t="s">
        <v>155</v>
      </c>
      <c r="AE75" s="419"/>
      <c r="AG75" s="5"/>
    </row>
    <row r="76" spans="1:33" s="1" customFormat="1" ht="13.5" x14ac:dyDescent="0.25">
      <c r="A76" s="49">
        <v>28</v>
      </c>
      <c r="B76" s="22" t="s">
        <v>112</v>
      </c>
      <c r="C76" s="22" t="s">
        <v>156</v>
      </c>
      <c r="D76" s="23" t="s">
        <v>113</v>
      </c>
      <c r="E76" s="24" t="s">
        <v>147</v>
      </c>
      <c r="F76" s="24" t="s">
        <v>157</v>
      </c>
      <c r="G76" s="24" t="s">
        <v>61</v>
      </c>
      <c r="H76" s="24" t="s">
        <v>62</v>
      </c>
      <c r="I76" s="24">
        <v>2018</v>
      </c>
      <c r="J76" s="24"/>
      <c r="K76" s="24" t="s">
        <v>63</v>
      </c>
      <c r="L76" s="24" t="s">
        <v>64</v>
      </c>
      <c r="M76" s="24">
        <v>1</v>
      </c>
      <c r="N76" s="41">
        <v>16900000</v>
      </c>
      <c r="O76" s="41">
        <v>16900000</v>
      </c>
      <c r="P76" s="60"/>
      <c r="Q76" s="59"/>
      <c r="R76" s="24"/>
      <c r="S76" s="53">
        <f t="shared" si="17"/>
        <v>16900000</v>
      </c>
      <c r="T76" s="52">
        <v>7</v>
      </c>
      <c r="U76" s="53">
        <f t="shared" si="15"/>
        <v>2414285.7142857141</v>
      </c>
      <c r="V76" s="54">
        <v>0.5</v>
      </c>
      <c r="W76" s="53">
        <f t="shared" si="20"/>
        <v>1207142.857142857</v>
      </c>
      <c r="X76" s="54"/>
      <c r="Y76" s="53">
        <f t="shared" si="12"/>
        <v>0</v>
      </c>
      <c r="Z76" s="53">
        <f t="shared" si="13"/>
        <v>1207142.857142857</v>
      </c>
      <c r="AA76" s="57">
        <f t="shared" si="21"/>
        <v>5.166666666666667</v>
      </c>
      <c r="AB76" s="53">
        <f t="shared" si="19"/>
        <v>12473809.523809524</v>
      </c>
      <c r="AC76" s="53">
        <f t="shared" si="18"/>
        <v>4426190.4761904757</v>
      </c>
      <c r="AD76" s="24" t="s">
        <v>158</v>
      </c>
      <c r="AE76" s="24"/>
      <c r="AG76" s="5"/>
    </row>
    <row r="77" spans="1:33" s="1" customFormat="1" ht="15" customHeight="1" x14ac:dyDescent="0.25">
      <c r="A77" s="49">
        <v>29</v>
      </c>
      <c r="B77" s="22" t="s">
        <v>112</v>
      </c>
      <c r="C77" s="22" t="s">
        <v>159</v>
      </c>
      <c r="D77" s="23" t="s">
        <v>113</v>
      </c>
      <c r="E77" s="24" t="s">
        <v>147</v>
      </c>
      <c r="F77" s="24" t="s">
        <v>160</v>
      </c>
      <c r="G77" s="24" t="s">
        <v>61</v>
      </c>
      <c r="H77" s="24" t="s">
        <v>62</v>
      </c>
      <c r="I77" s="24">
        <v>2018</v>
      </c>
      <c r="J77" s="24"/>
      <c r="K77" s="24" t="s">
        <v>63</v>
      </c>
      <c r="L77" s="24" t="s">
        <v>64</v>
      </c>
      <c r="M77" s="24">
        <v>1</v>
      </c>
      <c r="N77" s="41">
        <v>16900000</v>
      </c>
      <c r="O77" s="41">
        <v>16900000</v>
      </c>
      <c r="P77" s="60"/>
      <c r="Q77" s="59"/>
      <c r="R77" s="24"/>
      <c r="S77" s="53">
        <f t="shared" si="17"/>
        <v>16900000</v>
      </c>
      <c r="T77" s="52">
        <v>7</v>
      </c>
      <c r="U77" s="53">
        <f t="shared" si="15"/>
        <v>2414285.7142857141</v>
      </c>
      <c r="V77" s="54">
        <v>0.5</v>
      </c>
      <c r="W77" s="53">
        <f t="shared" si="20"/>
        <v>1207142.857142857</v>
      </c>
      <c r="X77" s="54"/>
      <c r="Y77" s="53">
        <f t="shared" si="12"/>
        <v>0</v>
      </c>
      <c r="Z77" s="53">
        <f t="shared" si="13"/>
        <v>1207142.857142857</v>
      </c>
      <c r="AA77" s="57">
        <f t="shared" si="21"/>
        <v>5.166666666666667</v>
      </c>
      <c r="AB77" s="53">
        <f t="shared" si="19"/>
        <v>12473809.523809524</v>
      </c>
      <c r="AC77" s="53">
        <f t="shared" si="18"/>
        <v>4426190.4761904757</v>
      </c>
      <c r="AD77" s="416" t="s">
        <v>161</v>
      </c>
      <c r="AE77" s="417"/>
      <c r="AG77" s="5"/>
    </row>
    <row r="78" spans="1:33" s="1" customFormat="1" ht="13.5" x14ac:dyDescent="0.25">
      <c r="A78" s="49">
        <v>30</v>
      </c>
      <c r="B78" s="22" t="s">
        <v>112</v>
      </c>
      <c r="C78" s="22" t="s">
        <v>162</v>
      </c>
      <c r="D78" s="23" t="s">
        <v>113</v>
      </c>
      <c r="E78" s="24" t="s">
        <v>147</v>
      </c>
      <c r="F78" s="24" t="s">
        <v>163</v>
      </c>
      <c r="G78" s="24" t="s">
        <v>61</v>
      </c>
      <c r="H78" s="24" t="s">
        <v>62</v>
      </c>
      <c r="I78" s="24">
        <v>2018</v>
      </c>
      <c r="J78" s="24"/>
      <c r="K78" s="24" t="s">
        <v>63</v>
      </c>
      <c r="L78" s="24" t="s">
        <v>64</v>
      </c>
      <c r="M78" s="24">
        <v>1</v>
      </c>
      <c r="N78" s="41">
        <v>16900000</v>
      </c>
      <c r="O78" s="41">
        <v>16900000</v>
      </c>
      <c r="P78" s="60"/>
      <c r="Q78" s="59"/>
      <c r="R78" s="24"/>
      <c r="S78" s="53">
        <f t="shared" si="17"/>
        <v>16900000</v>
      </c>
      <c r="T78" s="52">
        <v>7</v>
      </c>
      <c r="U78" s="53">
        <f t="shared" si="15"/>
        <v>2414285.7142857141</v>
      </c>
      <c r="V78" s="54">
        <v>0.5</v>
      </c>
      <c r="W78" s="53">
        <f t="shared" si="20"/>
        <v>1207142.857142857</v>
      </c>
      <c r="X78" s="54"/>
      <c r="Y78" s="53">
        <f t="shared" si="12"/>
        <v>0</v>
      </c>
      <c r="Z78" s="53">
        <f t="shared" si="13"/>
        <v>1207142.857142857</v>
      </c>
      <c r="AA78" s="57">
        <f t="shared" si="21"/>
        <v>5.166666666666667</v>
      </c>
      <c r="AB78" s="53">
        <f t="shared" si="19"/>
        <v>12473809.523809524</v>
      </c>
      <c r="AC78" s="53">
        <f t="shared" si="18"/>
        <v>4426190.4761904757</v>
      </c>
      <c r="AD78" s="24" t="s">
        <v>164</v>
      </c>
      <c r="AE78" s="24"/>
      <c r="AG78" s="5"/>
    </row>
    <row r="79" spans="1:33" s="160" customFormat="1" ht="25.5" x14ac:dyDescent="0.25">
      <c r="A79" s="138"/>
      <c r="B79" s="139" t="s">
        <v>169</v>
      </c>
      <c r="C79" s="139"/>
      <c r="D79" s="140" t="s">
        <v>170</v>
      </c>
      <c r="E79" s="141"/>
      <c r="F79" s="141"/>
      <c r="G79" s="141"/>
      <c r="H79" s="141"/>
      <c r="I79" s="141"/>
      <c r="J79" s="141"/>
      <c r="K79" s="141"/>
      <c r="L79" s="141"/>
      <c r="M79" s="141">
        <f>SUM(M81:M82)</f>
        <v>2</v>
      </c>
      <c r="N79" s="141"/>
      <c r="O79" s="142">
        <f>SUM(O81:O82)</f>
        <v>11990000</v>
      </c>
      <c r="P79" s="158">
        <f>SUM(P81:P82)</f>
        <v>0</v>
      </c>
      <c r="Q79" s="145"/>
      <c r="R79" s="141">
        <f>SUM(R81:R82)</f>
        <v>0</v>
      </c>
      <c r="S79" s="159">
        <f>SUM(S81:S82)</f>
        <v>11990000</v>
      </c>
      <c r="T79" s="141"/>
      <c r="U79" s="141">
        <f>SUM(U81:U82)</f>
        <v>0</v>
      </c>
      <c r="V79" s="146"/>
      <c r="W79" s="141">
        <f>SUM(W81:W82)</f>
        <v>0</v>
      </c>
      <c r="X79" s="141"/>
      <c r="Y79" s="141">
        <f>SUM(Y81:Y82)</f>
        <v>0</v>
      </c>
      <c r="Z79" s="141">
        <f>SUM(Z81:Z82)</f>
        <v>0</v>
      </c>
      <c r="AA79" s="141"/>
      <c r="AB79" s="159">
        <f>SUM(AB80)</f>
        <v>11990000</v>
      </c>
      <c r="AC79" s="141">
        <f>SUM(AC81:AC82)</f>
        <v>0</v>
      </c>
      <c r="AD79" s="141"/>
      <c r="AE79" s="141"/>
      <c r="AG79" s="161"/>
    </row>
    <row r="80" spans="1:33" s="152" customFormat="1" ht="25.5" x14ac:dyDescent="0.25">
      <c r="A80" s="147"/>
      <c r="B80" s="148" t="s">
        <v>1631</v>
      </c>
      <c r="C80" s="148"/>
      <c r="D80" s="27" t="s">
        <v>1632</v>
      </c>
      <c r="E80" s="149"/>
      <c r="F80" s="149"/>
      <c r="G80" s="149"/>
      <c r="H80" s="149"/>
      <c r="I80" s="149"/>
      <c r="J80" s="149"/>
      <c r="K80" s="149"/>
      <c r="L80" s="149"/>
      <c r="M80" s="28">
        <f>SUM(M81)</f>
        <v>2</v>
      </c>
      <c r="N80" s="149"/>
      <c r="O80" s="40">
        <f>O81</f>
        <v>11990000</v>
      </c>
      <c r="P80" s="162"/>
      <c r="Q80" s="369"/>
      <c r="R80" s="149"/>
      <c r="S80" s="86">
        <f>SUM(S81)</f>
        <v>11990000</v>
      </c>
      <c r="T80" s="149"/>
      <c r="U80" s="40">
        <f>SUM(U81)</f>
        <v>0</v>
      </c>
      <c r="V80" s="150"/>
      <c r="W80" s="149"/>
      <c r="X80" s="149"/>
      <c r="Y80" s="149"/>
      <c r="Z80" s="149"/>
      <c r="AA80" s="149"/>
      <c r="AB80" s="86">
        <f>SUM(AB81)</f>
        <v>11990000</v>
      </c>
      <c r="AC80" s="149"/>
      <c r="AD80" s="149"/>
      <c r="AE80" s="149"/>
      <c r="AG80" s="151"/>
    </row>
    <row r="81" spans="1:33" s="1" customFormat="1" x14ac:dyDescent="0.25">
      <c r="A81" s="21"/>
      <c r="B81" s="22" t="s">
        <v>1633</v>
      </c>
      <c r="C81" s="22" t="s">
        <v>58</v>
      </c>
      <c r="D81" s="23" t="s">
        <v>3697</v>
      </c>
      <c r="E81" s="24" t="s">
        <v>166</v>
      </c>
      <c r="F81" s="24"/>
      <c r="G81" s="24" t="s">
        <v>61</v>
      </c>
      <c r="H81" s="24" t="s">
        <v>62</v>
      </c>
      <c r="I81" s="24">
        <v>2014</v>
      </c>
      <c r="J81" s="24"/>
      <c r="K81" s="24" t="s">
        <v>63</v>
      </c>
      <c r="L81" s="24" t="s">
        <v>167</v>
      </c>
      <c r="M81" s="24">
        <v>2</v>
      </c>
      <c r="N81" s="79">
        <v>5995000</v>
      </c>
      <c r="O81" s="41">
        <v>11990000</v>
      </c>
      <c r="P81" s="24"/>
      <c r="Q81" s="59"/>
      <c r="R81" s="24"/>
      <c r="S81" s="79">
        <v>11990000</v>
      </c>
      <c r="T81" s="24">
        <v>2</v>
      </c>
      <c r="U81" s="41"/>
      <c r="V81" s="44">
        <v>0.5</v>
      </c>
      <c r="W81" s="24">
        <v>0</v>
      </c>
      <c r="X81" s="24">
        <v>0.5</v>
      </c>
      <c r="Y81" s="24">
        <v>0</v>
      </c>
      <c r="Z81" s="24">
        <v>0</v>
      </c>
      <c r="AA81" s="24">
        <v>2</v>
      </c>
      <c r="AB81" s="79">
        <v>11990000</v>
      </c>
      <c r="AC81" s="24">
        <v>0</v>
      </c>
      <c r="AD81" s="24" t="s">
        <v>168</v>
      </c>
      <c r="AE81" s="24"/>
      <c r="AG81" s="5"/>
    </row>
    <row r="82" spans="1:33" s="1" customFormat="1" x14ac:dyDescent="0.25">
      <c r="A82" s="21"/>
      <c r="B82" s="22"/>
      <c r="C82" s="22"/>
      <c r="D82" s="23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41"/>
      <c r="P82" s="24"/>
      <c r="Q82" s="59">
        <f t="shared" ref="Q82:Q100" si="22">P82-O82</f>
        <v>0</v>
      </c>
      <c r="R82" s="24"/>
      <c r="S82" s="24"/>
      <c r="T82" s="24"/>
      <c r="U82" s="24"/>
      <c r="V82" s="44"/>
      <c r="W82" s="24"/>
      <c r="X82" s="24"/>
      <c r="Y82" s="24"/>
      <c r="Z82" s="24"/>
      <c r="AA82" s="24"/>
      <c r="AB82" s="24"/>
      <c r="AC82" s="24"/>
      <c r="AD82" s="24"/>
      <c r="AE82" s="24"/>
      <c r="AG82" s="5"/>
    </row>
    <row r="83" spans="1:33" s="1" customFormat="1" x14ac:dyDescent="0.25">
      <c r="A83" s="25"/>
      <c r="B83" s="26" t="s">
        <v>171</v>
      </c>
      <c r="C83" s="26"/>
      <c r="D83" s="27" t="s">
        <v>172</v>
      </c>
      <c r="E83" s="28"/>
      <c r="F83" s="28"/>
      <c r="G83" s="28"/>
      <c r="H83" s="28"/>
      <c r="I83" s="28"/>
      <c r="J83" s="28"/>
      <c r="K83" s="28"/>
      <c r="L83" s="28"/>
      <c r="M83" s="28">
        <f>SUM(M84:M84)</f>
        <v>0</v>
      </c>
      <c r="N83" s="28"/>
      <c r="O83" s="40">
        <f>SUM(O84:O84)</f>
        <v>0</v>
      </c>
      <c r="P83" s="28">
        <f>SUM(P84:P84)</f>
        <v>0</v>
      </c>
      <c r="Q83" s="47">
        <f t="shared" si="22"/>
        <v>0</v>
      </c>
      <c r="R83" s="28">
        <f>SUM(R84:R84)</f>
        <v>0</v>
      </c>
      <c r="S83" s="28">
        <f>SUM(S84:S84)</f>
        <v>0</v>
      </c>
      <c r="T83" s="28"/>
      <c r="U83" s="28">
        <f>SUM(U84:U84)</f>
        <v>0</v>
      </c>
      <c r="V83" s="48"/>
      <c r="W83" s="28">
        <f>SUM(W84:W84)</f>
        <v>0</v>
      </c>
      <c r="X83" s="28"/>
      <c r="Y83" s="28">
        <f>SUM(Y84:Y84)</f>
        <v>0</v>
      </c>
      <c r="Z83" s="28">
        <f>SUM(Z84:Z84)</f>
        <v>0</v>
      </c>
      <c r="AA83" s="28"/>
      <c r="AB83" s="28">
        <f>SUM(AB84:AB84)</f>
        <v>0</v>
      </c>
      <c r="AC83" s="28">
        <f>SUM(AC84:AC84)</f>
        <v>0</v>
      </c>
      <c r="AD83" s="28"/>
      <c r="AE83" s="28"/>
      <c r="AG83" s="5"/>
    </row>
    <row r="84" spans="1:33" s="1" customFormat="1" x14ac:dyDescent="0.25">
      <c r="A84" s="21"/>
      <c r="B84" s="22"/>
      <c r="C84" s="22"/>
      <c r="D84" s="23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41"/>
      <c r="P84" s="24"/>
      <c r="Q84" s="59">
        <f t="shared" si="22"/>
        <v>0</v>
      </c>
      <c r="R84" s="24"/>
      <c r="S84" s="24"/>
      <c r="T84" s="24"/>
      <c r="U84" s="24"/>
      <c r="V84" s="44"/>
      <c r="W84" s="24"/>
      <c r="X84" s="24"/>
      <c r="Y84" s="24"/>
      <c r="Z84" s="24"/>
      <c r="AA84" s="24"/>
      <c r="AB84" s="24"/>
      <c r="AC84" s="24"/>
      <c r="AD84" s="24"/>
      <c r="AE84" s="24"/>
      <c r="AG84" s="5"/>
    </row>
    <row r="85" spans="1:33" s="1" customFormat="1" ht="25.5" x14ac:dyDescent="0.25">
      <c r="A85" s="25"/>
      <c r="B85" s="26" t="s">
        <v>173</v>
      </c>
      <c r="C85" s="26"/>
      <c r="D85" s="27" t="s">
        <v>174</v>
      </c>
      <c r="E85" s="28"/>
      <c r="F85" s="28"/>
      <c r="G85" s="28"/>
      <c r="H85" s="28"/>
      <c r="I85" s="28"/>
      <c r="J85" s="28"/>
      <c r="K85" s="28"/>
      <c r="L85" s="28"/>
      <c r="M85" s="28">
        <f>SUM(M86:M86)</f>
        <v>0</v>
      </c>
      <c r="N85" s="28"/>
      <c r="O85" s="40">
        <f>SUM(O86:O86)</f>
        <v>0</v>
      </c>
      <c r="P85" s="28">
        <f>SUM(P86:P86)</f>
        <v>0</v>
      </c>
      <c r="Q85" s="47">
        <f t="shared" si="22"/>
        <v>0</v>
      </c>
      <c r="R85" s="28">
        <f>SUM(R86:R86)</f>
        <v>0</v>
      </c>
      <c r="S85" s="28">
        <f>SUM(S86:S86)</f>
        <v>0</v>
      </c>
      <c r="T85" s="28"/>
      <c r="U85" s="28">
        <f>SUM(U86:U86)</f>
        <v>0</v>
      </c>
      <c r="V85" s="48"/>
      <c r="W85" s="28">
        <f>SUM(W86:W86)</f>
        <v>0</v>
      </c>
      <c r="X85" s="28"/>
      <c r="Y85" s="28">
        <f>SUM(Y86:Y86)</f>
        <v>0</v>
      </c>
      <c r="Z85" s="28">
        <f>SUM(Z86:Z86)</f>
        <v>0</v>
      </c>
      <c r="AA85" s="28"/>
      <c r="AB85" s="28">
        <f>SUM(AB86:AB86)</f>
        <v>0</v>
      </c>
      <c r="AC85" s="28">
        <f>SUM(AC86:AC86)</f>
        <v>0</v>
      </c>
      <c r="AD85" s="28"/>
      <c r="AE85" s="28"/>
      <c r="AG85" s="5"/>
    </row>
    <row r="86" spans="1:33" s="1" customFormat="1" x14ac:dyDescent="0.25">
      <c r="A86" s="21"/>
      <c r="B86" s="22"/>
      <c r="C86" s="22"/>
      <c r="D86" s="23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41"/>
      <c r="P86" s="24"/>
      <c r="Q86" s="59">
        <f t="shared" si="22"/>
        <v>0</v>
      </c>
      <c r="R86" s="24"/>
      <c r="S86" s="24"/>
      <c r="T86" s="24"/>
      <c r="U86" s="24"/>
      <c r="V86" s="44"/>
      <c r="W86" s="24"/>
      <c r="X86" s="24"/>
      <c r="Y86" s="24"/>
      <c r="Z86" s="24"/>
      <c r="AA86" s="24"/>
      <c r="AB86" s="24"/>
      <c r="AC86" s="24"/>
      <c r="AD86" s="24"/>
      <c r="AE86" s="24"/>
      <c r="AG86" s="5"/>
    </row>
    <row r="87" spans="1:33" s="1" customFormat="1" x14ac:dyDescent="0.25">
      <c r="A87" s="25"/>
      <c r="B87" s="26" t="s">
        <v>175</v>
      </c>
      <c r="C87" s="26"/>
      <c r="D87" s="64" t="s">
        <v>176</v>
      </c>
      <c r="E87" s="28"/>
      <c r="F87" s="28"/>
      <c r="G87" s="28"/>
      <c r="H87" s="28"/>
      <c r="I87" s="28"/>
      <c r="J87" s="28"/>
      <c r="K87" s="28"/>
      <c r="L87" s="28"/>
      <c r="M87" s="28">
        <f>SUM(M88:M88)</f>
        <v>0</v>
      </c>
      <c r="N87" s="28"/>
      <c r="O87" s="40">
        <f>SUM(O88:O88)</f>
        <v>0</v>
      </c>
      <c r="P87" s="28">
        <f>SUM(P88:P88)</f>
        <v>0</v>
      </c>
      <c r="Q87" s="47">
        <f t="shared" si="22"/>
        <v>0</v>
      </c>
      <c r="R87" s="28">
        <f>SUM(R88:R88)</f>
        <v>0</v>
      </c>
      <c r="S87" s="28">
        <f>SUM(S88:S88)</f>
        <v>0</v>
      </c>
      <c r="T87" s="28"/>
      <c r="U87" s="28">
        <f>SUM(U88:U88)</f>
        <v>0</v>
      </c>
      <c r="V87" s="48"/>
      <c r="W87" s="28">
        <f>SUM(W88:W88)</f>
        <v>0</v>
      </c>
      <c r="X87" s="28"/>
      <c r="Y87" s="28">
        <f>SUM(Y88:Y88)</f>
        <v>0</v>
      </c>
      <c r="Z87" s="28">
        <f>SUM(Z88:Z88)</f>
        <v>0</v>
      </c>
      <c r="AA87" s="28"/>
      <c r="AB87" s="28">
        <f>SUM(AB88:AB88)</f>
        <v>0</v>
      </c>
      <c r="AC87" s="28">
        <f>SUM(AC88:AC88)</f>
        <v>0</v>
      </c>
      <c r="AD87" s="28"/>
      <c r="AE87" s="28"/>
      <c r="AG87" s="5"/>
    </row>
    <row r="88" spans="1:33" s="1" customFormat="1" x14ac:dyDescent="0.25">
      <c r="A88" s="21"/>
      <c r="B88" s="22"/>
      <c r="C88" s="22"/>
      <c r="D88" s="65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41"/>
      <c r="P88" s="24"/>
      <c r="Q88" s="59">
        <f t="shared" si="22"/>
        <v>0</v>
      </c>
      <c r="R88" s="24"/>
      <c r="S88" s="24"/>
      <c r="T88" s="24"/>
      <c r="U88" s="24"/>
      <c r="V88" s="44"/>
      <c r="W88" s="24"/>
      <c r="X88" s="24"/>
      <c r="Y88" s="24"/>
      <c r="Z88" s="24"/>
      <c r="AA88" s="24"/>
      <c r="AB88" s="24"/>
      <c r="AC88" s="24"/>
      <c r="AD88" s="24"/>
      <c r="AE88" s="24"/>
      <c r="AG88" s="5"/>
    </row>
    <row r="89" spans="1:33" s="1" customFormat="1" x14ac:dyDescent="0.25">
      <c r="A89" s="17"/>
      <c r="B89" s="18" t="s">
        <v>177</v>
      </c>
      <c r="C89" s="18"/>
      <c r="D89" s="19" t="s">
        <v>178</v>
      </c>
      <c r="E89" s="20"/>
      <c r="F89" s="20"/>
      <c r="G89" s="20"/>
      <c r="H89" s="20"/>
      <c r="I89" s="20"/>
      <c r="J89" s="20"/>
      <c r="K89" s="20"/>
      <c r="L89" s="20"/>
      <c r="M89" s="20">
        <f>M90+M92+M94</f>
        <v>0</v>
      </c>
      <c r="N89" s="20"/>
      <c r="O89" s="37">
        <f>O90+O92+O94</f>
        <v>0</v>
      </c>
      <c r="P89" s="20">
        <f>P90+P92+P94</f>
        <v>0</v>
      </c>
      <c r="Q89" s="370">
        <f t="shared" si="22"/>
        <v>0</v>
      </c>
      <c r="R89" s="20">
        <f>R90+R92+R94</f>
        <v>0</v>
      </c>
      <c r="S89" s="20">
        <f>S90+S92+S94</f>
        <v>0</v>
      </c>
      <c r="T89" s="20"/>
      <c r="U89" s="20">
        <f>U90+U92+U94</f>
        <v>0</v>
      </c>
      <c r="V89" s="46"/>
      <c r="W89" s="20">
        <f>W90+W92+W94</f>
        <v>0</v>
      </c>
      <c r="X89" s="20"/>
      <c r="Y89" s="20">
        <f>Y90+Y92+Y94</f>
        <v>0</v>
      </c>
      <c r="Z89" s="20">
        <f>Z90+Z92+Z94</f>
        <v>0</v>
      </c>
      <c r="AA89" s="20"/>
      <c r="AB89" s="20">
        <f>AB90+AB92+AB94</f>
        <v>0</v>
      </c>
      <c r="AC89" s="20">
        <f>AC90+AC92+AC94</f>
        <v>0</v>
      </c>
      <c r="AD89" s="20"/>
      <c r="AE89" s="20"/>
      <c r="AG89" s="5"/>
    </row>
    <row r="90" spans="1:33" s="1" customFormat="1" x14ac:dyDescent="0.25">
      <c r="A90" s="25"/>
      <c r="B90" s="26" t="s">
        <v>179</v>
      </c>
      <c r="C90" s="26"/>
      <c r="D90" s="64" t="s">
        <v>180</v>
      </c>
      <c r="E90" s="28"/>
      <c r="F90" s="28"/>
      <c r="G90" s="28"/>
      <c r="H90" s="28"/>
      <c r="I90" s="28"/>
      <c r="J90" s="28"/>
      <c r="K90" s="28"/>
      <c r="L90" s="28"/>
      <c r="M90" s="28">
        <f>SUM(M91:M91)</f>
        <v>0</v>
      </c>
      <c r="N90" s="28"/>
      <c r="O90" s="40">
        <f>SUM(O91:O91)</f>
        <v>0</v>
      </c>
      <c r="P90" s="28">
        <f>SUM(P91:P91)</f>
        <v>0</v>
      </c>
      <c r="Q90" s="47">
        <f t="shared" si="22"/>
        <v>0</v>
      </c>
      <c r="R90" s="28">
        <f>SUM(R91:R91)</f>
        <v>0</v>
      </c>
      <c r="S90" s="28">
        <f>SUM(S91:S91)</f>
        <v>0</v>
      </c>
      <c r="T90" s="28"/>
      <c r="U90" s="28">
        <f>SUM(U91:U91)</f>
        <v>0</v>
      </c>
      <c r="V90" s="48"/>
      <c r="W90" s="28">
        <f>SUM(W91:W91)</f>
        <v>0</v>
      </c>
      <c r="X90" s="28"/>
      <c r="Y90" s="28">
        <f>SUM(Y91:Y91)</f>
        <v>0</v>
      </c>
      <c r="Z90" s="28">
        <f>SUM(Z91:Z91)</f>
        <v>0</v>
      </c>
      <c r="AA90" s="28"/>
      <c r="AB90" s="28">
        <f>SUM(AB91:AB91)</f>
        <v>0</v>
      </c>
      <c r="AC90" s="28">
        <f>SUM(AC91:AC91)</f>
        <v>0</v>
      </c>
      <c r="AD90" s="28"/>
      <c r="AE90" s="28"/>
      <c r="AG90" s="5"/>
    </row>
    <row r="91" spans="1:33" s="1" customFormat="1" x14ac:dyDescent="0.25">
      <c r="A91" s="21"/>
      <c r="B91" s="22"/>
      <c r="C91" s="22"/>
      <c r="D91" s="65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41"/>
      <c r="P91" s="24"/>
      <c r="Q91" s="59">
        <f t="shared" si="22"/>
        <v>0</v>
      </c>
      <c r="R91" s="24"/>
      <c r="S91" s="24"/>
      <c r="T91" s="24"/>
      <c r="U91" s="24"/>
      <c r="V91" s="44"/>
      <c r="W91" s="24"/>
      <c r="X91" s="24"/>
      <c r="Y91" s="24"/>
      <c r="Z91" s="24"/>
      <c r="AA91" s="24"/>
      <c r="AB91" s="24"/>
      <c r="AC91" s="24"/>
      <c r="AD91" s="24"/>
      <c r="AE91" s="24"/>
      <c r="AG91" s="5"/>
    </row>
    <row r="92" spans="1:33" s="1" customFormat="1" x14ac:dyDescent="0.25">
      <c r="A92" s="25"/>
      <c r="B92" s="26" t="s">
        <v>181</v>
      </c>
      <c r="C92" s="26"/>
      <c r="D92" s="64" t="s">
        <v>182</v>
      </c>
      <c r="E92" s="28"/>
      <c r="F92" s="28"/>
      <c r="G92" s="28"/>
      <c r="H92" s="28"/>
      <c r="I92" s="28"/>
      <c r="J92" s="28"/>
      <c r="K92" s="28"/>
      <c r="L92" s="28"/>
      <c r="M92" s="28">
        <f>SUM(M93:M93)</f>
        <v>0</v>
      </c>
      <c r="N92" s="28"/>
      <c r="O92" s="40">
        <f>SUM(O93:O93)</f>
        <v>0</v>
      </c>
      <c r="P92" s="28">
        <f>SUM(P93:P93)</f>
        <v>0</v>
      </c>
      <c r="Q92" s="47">
        <f t="shared" si="22"/>
        <v>0</v>
      </c>
      <c r="R92" s="28">
        <f>SUM(R93:R93)</f>
        <v>0</v>
      </c>
      <c r="S92" s="28">
        <f>SUM(S93:S93)</f>
        <v>0</v>
      </c>
      <c r="T92" s="28"/>
      <c r="U92" s="28">
        <f>SUM(U93:U93)</f>
        <v>0</v>
      </c>
      <c r="V92" s="48"/>
      <c r="W92" s="28">
        <f>SUM(W93:W93)</f>
        <v>0</v>
      </c>
      <c r="X92" s="28"/>
      <c r="Y92" s="28">
        <f>SUM(Y93:Y93)</f>
        <v>0</v>
      </c>
      <c r="Z92" s="28">
        <f>SUM(Z93:Z93)</f>
        <v>0</v>
      </c>
      <c r="AA92" s="28"/>
      <c r="AB92" s="28">
        <f>SUM(AB93:AB93)</f>
        <v>0</v>
      </c>
      <c r="AC92" s="28">
        <f>SUM(AC93:AC93)</f>
        <v>0</v>
      </c>
      <c r="AD92" s="28"/>
      <c r="AE92" s="28"/>
      <c r="AG92" s="5"/>
    </row>
    <row r="93" spans="1:33" s="1" customFormat="1" x14ac:dyDescent="0.25">
      <c r="A93" s="21"/>
      <c r="B93" s="22"/>
      <c r="C93" s="22"/>
      <c r="D93" s="65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41"/>
      <c r="P93" s="24"/>
      <c r="Q93" s="59">
        <f t="shared" si="22"/>
        <v>0</v>
      </c>
      <c r="R93" s="24"/>
      <c r="S93" s="24"/>
      <c r="T93" s="24"/>
      <c r="U93" s="24"/>
      <c r="V93" s="44"/>
      <c r="W93" s="24"/>
      <c r="X93" s="24"/>
      <c r="Y93" s="24"/>
      <c r="Z93" s="24"/>
      <c r="AA93" s="24"/>
      <c r="AB93" s="24"/>
      <c r="AC93" s="24"/>
      <c r="AD93" s="24"/>
      <c r="AE93" s="24"/>
      <c r="AG93" s="5"/>
    </row>
    <row r="94" spans="1:33" s="1" customFormat="1" x14ac:dyDescent="0.25">
      <c r="A94" s="25"/>
      <c r="B94" s="26" t="s">
        <v>183</v>
      </c>
      <c r="C94" s="26"/>
      <c r="D94" s="64" t="s">
        <v>184</v>
      </c>
      <c r="E94" s="28"/>
      <c r="F94" s="28"/>
      <c r="G94" s="28"/>
      <c r="H94" s="28"/>
      <c r="I94" s="28"/>
      <c r="J94" s="28"/>
      <c r="K94" s="28"/>
      <c r="L94" s="28"/>
      <c r="M94" s="28">
        <f>SUM(M95:M95)</f>
        <v>0</v>
      </c>
      <c r="N94" s="28"/>
      <c r="O94" s="40">
        <f>SUM(O95:O95)</f>
        <v>0</v>
      </c>
      <c r="P94" s="28">
        <f>SUM(P95:P95)</f>
        <v>0</v>
      </c>
      <c r="Q94" s="47">
        <f t="shared" si="22"/>
        <v>0</v>
      </c>
      <c r="R94" s="28">
        <f>SUM(R95:R95)</f>
        <v>0</v>
      </c>
      <c r="S94" s="28">
        <f>SUM(S95:S95)</f>
        <v>0</v>
      </c>
      <c r="T94" s="28"/>
      <c r="U94" s="28">
        <f>SUM(U95:U95)</f>
        <v>0</v>
      </c>
      <c r="V94" s="48"/>
      <c r="W94" s="28">
        <f>SUM(W95:W95)</f>
        <v>0</v>
      </c>
      <c r="X94" s="28"/>
      <c r="Y94" s="28">
        <f>SUM(Y95:Y95)</f>
        <v>0</v>
      </c>
      <c r="Z94" s="28">
        <f>SUM(Z95:Z95)</f>
        <v>0</v>
      </c>
      <c r="AA94" s="28"/>
      <c r="AB94" s="28">
        <f>SUM(AB95:AB95)</f>
        <v>0</v>
      </c>
      <c r="AC94" s="28">
        <f>SUM(AC95:AC95)</f>
        <v>0</v>
      </c>
      <c r="AD94" s="28"/>
      <c r="AE94" s="28"/>
      <c r="AG94" s="5"/>
    </row>
    <row r="95" spans="1:33" s="1" customFormat="1" x14ac:dyDescent="0.25">
      <c r="A95" s="21"/>
      <c r="B95" s="22"/>
      <c r="C95" s="22"/>
      <c r="D95" s="65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41"/>
      <c r="P95" s="24"/>
      <c r="Q95" s="59">
        <f t="shared" si="22"/>
        <v>0</v>
      </c>
      <c r="R95" s="24"/>
      <c r="S95" s="24"/>
      <c r="T95" s="24"/>
      <c r="U95" s="24"/>
      <c r="V95" s="44"/>
      <c r="W95" s="24"/>
      <c r="X95" s="24"/>
      <c r="Y95" s="24"/>
      <c r="Z95" s="24"/>
      <c r="AA95" s="24"/>
      <c r="AB95" s="24"/>
      <c r="AC95" s="24"/>
      <c r="AD95" s="24"/>
      <c r="AE95" s="24"/>
      <c r="AG95" s="5"/>
    </row>
    <row r="96" spans="1:33" s="1" customFormat="1" x14ac:dyDescent="0.25">
      <c r="A96" s="17"/>
      <c r="B96" s="18" t="s">
        <v>185</v>
      </c>
      <c r="C96" s="18"/>
      <c r="D96" s="19" t="s">
        <v>186</v>
      </c>
      <c r="E96" s="20"/>
      <c r="F96" s="20"/>
      <c r="G96" s="20"/>
      <c r="H96" s="20"/>
      <c r="I96" s="20"/>
      <c r="J96" s="20"/>
      <c r="K96" s="20"/>
      <c r="L96" s="20"/>
      <c r="M96" s="20">
        <f>M97</f>
        <v>0</v>
      </c>
      <c r="N96" s="20"/>
      <c r="O96" s="37">
        <f t="shared" ref="O96:AC96" si="23">O97</f>
        <v>0</v>
      </c>
      <c r="P96" s="20">
        <f t="shared" si="23"/>
        <v>0</v>
      </c>
      <c r="Q96" s="370">
        <f t="shared" si="22"/>
        <v>0</v>
      </c>
      <c r="R96" s="20">
        <f t="shared" si="23"/>
        <v>0</v>
      </c>
      <c r="S96" s="20">
        <f t="shared" si="23"/>
        <v>0</v>
      </c>
      <c r="T96" s="20"/>
      <c r="U96" s="20">
        <f t="shared" si="23"/>
        <v>0</v>
      </c>
      <c r="V96" s="46"/>
      <c r="W96" s="20">
        <f t="shared" si="23"/>
        <v>0</v>
      </c>
      <c r="X96" s="20"/>
      <c r="Y96" s="20">
        <f t="shared" si="23"/>
        <v>0</v>
      </c>
      <c r="Z96" s="20">
        <f t="shared" si="23"/>
        <v>0</v>
      </c>
      <c r="AA96" s="20"/>
      <c r="AB96" s="20">
        <f t="shared" si="23"/>
        <v>0</v>
      </c>
      <c r="AC96" s="20">
        <f t="shared" si="23"/>
        <v>0</v>
      </c>
      <c r="AD96" s="20"/>
      <c r="AE96" s="20"/>
      <c r="AG96" s="5"/>
    </row>
    <row r="97" spans="1:35" s="1" customFormat="1" x14ac:dyDescent="0.25">
      <c r="A97" s="25"/>
      <c r="B97" s="26" t="s">
        <v>187</v>
      </c>
      <c r="C97" s="26"/>
      <c r="D97" s="27" t="s">
        <v>188</v>
      </c>
      <c r="E97" s="28"/>
      <c r="F97" s="28"/>
      <c r="G97" s="28"/>
      <c r="H97" s="28"/>
      <c r="I97" s="28"/>
      <c r="J97" s="28"/>
      <c r="K97" s="28"/>
      <c r="L97" s="28"/>
      <c r="M97" s="28">
        <f>SUM(M98:M100)</f>
        <v>0</v>
      </c>
      <c r="N97" s="28"/>
      <c r="O97" s="40">
        <f t="shared" ref="O97:AC97" si="24">SUM(O98:O100)</f>
        <v>0</v>
      </c>
      <c r="P97" s="28">
        <f t="shared" si="24"/>
        <v>0</v>
      </c>
      <c r="Q97" s="47">
        <f t="shared" si="22"/>
        <v>0</v>
      </c>
      <c r="R97" s="28">
        <f t="shared" si="24"/>
        <v>0</v>
      </c>
      <c r="S97" s="28">
        <f t="shared" si="24"/>
        <v>0</v>
      </c>
      <c r="T97" s="28"/>
      <c r="U97" s="28">
        <f t="shared" si="24"/>
        <v>0</v>
      </c>
      <c r="V97" s="48"/>
      <c r="W97" s="28">
        <f t="shared" si="24"/>
        <v>0</v>
      </c>
      <c r="X97" s="28"/>
      <c r="Y97" s="28">
        <f t="shared" si="24"/>
        <v>0</v>
      </c>
      <c r="Z97" s="28">
        <f t="shared" si="24"/>
        <v>0</v>
      </c>
      <c r="AA97" s="28"/>
      <c r="AB97" s="28">
        <f t="shared" si="24"/>
        <v>0</v>
      </c>
      <c r="AC97" s="28">
        <f t="shared" si="24"/>
        <v>0</v>
      </c>
      <c r="AD97" s="28"/>
      <c r="AE97" s="28"/>
      <c r="AG97" s="5"/>
    </row>
    <row r="98" spans="1:35" s="1" customFormat="1" x14ac:dyDescent="0.25">
      <c r="A98" s="21"/>
      <c r="B98" s="22"/>
      <c r="C98" s="22"/>
      <c r="D98" s="23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41"/>
      <c r="P98" s="24"/>
      <c r="Q98" s="59">
        <f t="shared" si="22"/>
        <v>0</v>
      </c>
      <c r="R98" s="24"/>
      <c r="S98" s="24"/>
      <c r="T98" s="24"/>
      <c r="U98" s="24"/>
      <c r="V98" s="44"/>
      <c r="W98" s="24"/>
      <c r="X98" s="24"/>
      <c r="Y98" s="24"/>
      <c r="Z98" s="24"/>
      <c r="AA98" s="24"/>
      <c r="AB98" s="24"/>
      <c r="AC98" s="24"/>
      <c r="AD98" s="24"/>
      <c r="AE98" s="24"/>
      <c r="AG98" s="5"/>
    </row>
    <row r="99" spans="1:35" s="1" customFormat="1" x14ac:dyDescent="0.25">
      <c r="A99" s="21"/>
      <c r="B99" s="22"/>
      <c r="C99" s="22"/>
      <c r="D99" s="23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41"/>
      <c r="P99" s="24"/>
      <c r="Q99" s="59">
        <f t="shared" si="22"/>
        <v>0</v>
      </c>
      <c r="R99" s="24"/>
      <c r="S99" s="24"/>
      <c r="T99" s="24"/>
      <c r="U99" s="24"/>
      <c r="V99" s="44"/>
      <c r="W99" s="24"/>
      <c r="X99" s="24"/>
      <c r="Y99" s="24"/>
      <c r="Z99" s="24"/>
      <c r="AA99" s="24"/>
      <c r="AB99" s="24"/>
      <c r="AC99" s="24"/>
      <c r="AD99" s="24"/>
      <c r="AE99" s="24"/>
      <c r="AG99" s="5"/>
    </row>
    <row r="100" spans="1:35" s="1" customFormat="1" x14ac:dyDescent="0.25">
      <c r="A100" s="21"/>
      <c r="B100" s="22"/>
      <c r="C100" s="22"/>
      <c r="D100" s="23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41"/>
      <c r="P100" s="24"/>
      <c r="Q100" s="59">
        <f t="shared" si="22"/>
        <v>0</v>
      </c>
      <c r="R100" s="24"/>
      <c r="S100" s="24"/>
      <c r="T100" s="24"/>
      <c r="U100" s="24"/>
      <c r="V100" s="44"/>
      <c r="W100" s="24"/>
      <c r="X100" s="24"/>
      <c r="Y100" s="24"/>
      <c r="Z100" s="24"/>
      <c r="AA100" s="24"/>
      <c r="AB100" s="24"/>
      <c r="AC100" s="24"/>
      <c r="AD100" s="24"/>
      <c r="AE100" s="24"/>
      <c r="AF100" s="5">
        <f>AF101-AC101</f>
        <v>9293166.6666664481</v>
      </c>
      <c r="AG100" s="5"/>
    </row>
    <row r="101" spans="1:35" s="1" customFormat="1" x14ac:dyDescent="0.25">
      <c r="A101" s="17"/>
      <c r="B101" s="18" t="s">
        <v>189</v>
      </c>
      <c r="C101" s="18"/>
      <c r="D101" s="19" t="s">
        <v>190</v>
      </c>
      <c r="E101" s="20"/>
      <c r="F101" s="20"/>
      <c r="G101" s="20"/>
      <c r="H101" s="20"/>
      <c r="I101" s="20"/>
      <c r="J101" s="20"/>
      <c r="K101" s="20"/>
      <c r="L101" s="20"/>
      <c r="M101" s="66">
        <f>SUM(M102+M237+M713)</f>
        <v>4576</v>
      </c>
      <c r="N101" s="20"/>
      <c r="O101" s="37">
        <f>SUM(O102+O237+O713)</f>
        <v>7534339671.0046158</v>
      </c>
      <c r="P101" s="20">
        <f>P102+P237+P713</f>
        <v>0</v>
      </c>
      <c r="Q101" s="20">
        <f>Q102+Q237+Q713</f>
        <v>0</v>
      </c>
      <c r="R101" s="20">
        <f>R102+R237+R713</f>
        <v>0</v>
      </c>
      <c r="S101" s="37">
        <f>SUM(S102+S237+S713)</f>
        <v>7534339671.0046158</v>
      </c>
      <c r="T101" s="20"/>
      <c r="U101" s="37">
        <f>SUM(U102+U237+U713)</f>
        <v>504048308.20000005</v>
      </c>
      <c r="V101" s="37"/>
      <c r="W101" s="37">
        <f>SUM(W102+W237+W713)</f>
        <v>121002783.29666664</v>
      </c>
      <c r="X101" s="37"/>
      <c r="Y101" s="37">
        <f>Y102+Y237+Y713</f>
        <v>0</v>
      </c>
      <c r="Z101" s="37">
        <f>SUM(Z102+Z237+Z713)</f>
        <v>121002783.29666664</v>
      </c>
      <c r="AA101" s="37"/>
      <c r="AB101" s="37">
        <f>SUM(AB102+AB237+AB713)</f>
        <v>7061160995.514616</v>
      </c>
      <c r="AC101" s="37">
        <f>SUM(AC102+AC237+AC713)</f>
        <v>473178675.75000006</v>
      </c>
      <c r="AD101" s="20"/>
      <c r="AE101" s="20"/>
      <c r="AF101" s="75">
        <v>482471842.41666651</v>
      </c>
      <c r="AG101" s="5">
        <v>6940158212.2146168</v>
      </c>
      <c r="AH101" s="5">
        <f>AG101+Z101-AB101</f>
        <v>-3.3321380615234375E-3</v>
      </c>
    </row>
    <row r="102" spans="1:35" s="1" customFormat="1" x14ac:dyDescent="0.25">
      <c r="A102" s="138"/>
      <c r="B102" s="139" t="s">
        <v>191</v>
      </c>
      <c r="C102" s="139"/>
      <c r="D102" s="140" t="s">
        <v>192</v>
      </c>
      <c r="E102" s="141"/>
      <c r="F102" s="141"/>
      <c r="G102" s="141"/>
      <c r="H102" s="141"/>
      <c r="I102" s="141"/>
      <c r="J102" s="141"/>
      <c r="K102" s="141"/>
      <c r="L102" s="141"/>
      <c r="M102" s="164">
        <f>SUM(M103+M110+M113+M115+M172)</f>
        <v>314</v>
      </c>
      <c r="N102" s="164"/>
      <c r="O102" s="142">
        <f>SUM(O103+O110+O113+O115+O172)</f>
        <v>1201247400</v>
      </c>
      <c r="P102" s="164">
        <f>SUM(P104:P981)</f>
        <v>0</v>
      </c>
      <c r="Q102" s="164">
        <f>SUM(Q104:Q981)</f>
        <v>0</v>
      </c>
      <c r="R102" s="164">
        <f>SUM(R104:R981)</f>
        <v>0</v>
      </c>
      <c r="S102" s="142">
        <f>SUM(S103+S110+S113+S115+S172)</f>
        <v>1201247400</v>
      </c>
      <c r="T102" s="164"/>
      <c r="U102" s="142">
        <f>SUM(U103+U110+U113+U115+U172)</f>
        <v>91436320</v>
      </c>
      <c r="V102" s="164"/>
      <c r="W102" s="142">
        <f>SUM(W103+W110+W113+W115+W172)</f>
        <v>13622793.333333334</v>
      </c>
      <c r="X102" s="164"/>
      <c r="Y102" s="142">
        <f>SUM(Y104:Y235)</f>
        <v>0</v>
      </c>
      <c r="Z102" s="142">
        <f>SUM(Z103+Z110+Z113+Z115+Z172)</f>
        <v>13622793.333333334</v>
      </c>
      <c r="AA102" s="164"/>
      <c r="AB102" s="142">
        <f>SUM(AB103+AB110+AB113+AB115+AB172)</f>
        <v>1184742590</v>
      </c>
      <c r="AC102" s="142">
        <f>SUM(AC103+AC110+AC115+AC172)</f>
        <v>16504810</v>
      </c>
      <c r="AD102" s="141"/>
      <c r="AE102" s="141"/>
      <c r="AF102" s="68">
        <f>'[3]BI Tahun  SMT I 2023'!$AB$109-AB101</f>
        <v>12536833.333333969</v>
      </c>
      <c r="AG102" s="5"/>
      <c r="AH102" s="5"/>
    </row>
    <row r="103" spans="1:35" s="1" customFormat="1" x14ac:dyDescent="0.25">
      <c r="A103" s="25"/>
      <c r="B103" s="26" t="s">
        <v>1634</v>
      </c>
      <c r="C103" s="26"/>
      <c r="D103" s="27" t="s">
        <v>1635</v>
      </c>
      <c r="E103" s="28"/>
      <c r="F103" s="28"/>
      <c r="G103" s="28"/>
      <c r="H103" s="28"/>
      <c r="I103" s="28"/>
      <c r="J103" s="28"/>
      <c r="K103" s="28"/>
      <c r="L103" s="28"/>
      <c r="M103" s="67">
        <f>SUM(M104:M109)</f>
        <v>6</v>
      </c>
      <c r="N103" s="67"/>
      <c r="O103" s="40">
        <f>SUM(O104:O109)</f>
        <v>9950000</v>
      </c>
      <c r="P103" s="67"/>
      <c r="Q103" s="67"/>
      <c r="R103" s="67"/>
      <c r="S103" s="40">
        <f>SUM(S104:S109)</f>
        <v>9950000</v>
      </c>
      <c r="T103" s="67"/>
      <c r="U103" s="40">
        <f>SUM(U104:U109)</f>
        <v>0</v>
      </c>
      <c r="V103" s="67"/>
      <c r="W103" s="40">
        <f>SUM(W104:W109)</f>
        <v>0</v>
      </c>
      <c r="X103" s="67"/>
      <c r="Y103" s="40"/>
      <c r="Z103" s="40">
        <f>SUM(Z104:Z109)</f>
        <v>0</v>
      </c>
      <c r="AA103" s="67"/>
      <c r="AB103" s="40">
        <f>SUM(AB104:AB109)</f>
        <v>9950000</v>
      </c>
      <c r="AC103" s="40">
        <f>SUM(AC104:AC109)</f>
        <v>0</v>
      </c>
      <c r="AD103" s="28"/>
      <c r="AE103" s="28"/>
      <c r="AF103" s="165"/>
      <c r="AG103" s="5"/>
      <c r="AH103" s="5"/>
    </row>
    <row r="104" spans="1:35" s="1" customFormat="1" x14ac:dyDescent="0.25">
      <c r="A104" s="21">
        <v>2</v>
      </c>
      <c r="B104" s="22" t="s">
        <v>1636</v>
      </c>
      <c r="C104" s="50" t="s">
        <v>96</v>
      </c>
      <c r="D104" s="51" t="s">
        <v>384</v>
      </c>
      <c r="E104" s="52" t="s">
        <v>383</v>
      </c>
      <c r="F104" s="24"/>
      <c r="G104" s="24" t="s">
        <v>61</v>
      </c>
      <c r="H104" s="24" t="s">
        <v>62</v>
      </c>
      <c r="I104" s="24">
        <v>2011</v>
      </c>
      <c r="J104" s="24"/>
      <c r="K104" s="24" t="s">
        <v>63</v>
      </c>
      <c r="L104" s="24" t="s">
        <v>64</v>
      </c>
      <c r="M104" s="24">
        <v>1</v>
      </c>
      <c r="N104" s="41">
        <f t="shared" ref="N104:N108" si="25">SUM(O104/M104)</f>
        <v>1232500</v>
      </c>
      <c r="O104" s="41">
        <v>1232500</v>
      </c>
      <c r="P104" s="24"/>
      <c r="Q104" s="24"/>
      <c r="R104" s="24"/>
      <c r="S104" s="41">
        <f t="shared" ref="S104:S109" si="26">SUM(O104-R104)</f>
        <v>1232500</v>
      </c>
      <c r="T104" s="24">
        <v>5</v>
      </c>
      <c r="U104" s="41"/>
      <c r="V104" s="24">
        <v>0.5</v>
      </c>
      <c r="W104" s="41">
        <f t="shared" ref="W104:W108" si="27">SUM(U104*V104)</f>
        <v>0</v>
      </c>
      <c r="X104" s="24"/>
      <c r="Y104" s="41">
        <f t="shared" ref="Y104:Y108" si="28">SUM(U104*X104)</f>
        <v>0</v>
      </c>
      <c r="Z104" s="41">
        <f t="shared" ref="Z104:Z108" si="29">SUM(W104+Y104)</f>
        <v>0</v>
      </c>
      <c r="AA104" s="72">
        <v>5</v>
      </c>
      <c r="AB104" s="41">
        <v>1232500</v>
      </c>
      <c r="AC104" s="41">
        <f t="shared" ref="AC104:AC109" si="30">SUM(O104-AB104)</f>
        <v>0</v>
      </c>
      <c r="AD104" s="70" t="s">
        <v>385</v>
      </c>
      <c r="AE104" s="70"/>
      <c r="AF104" s="1">
        <v>1232500</v>
      </c>
      <c r="AG104" s="5">
        <f t="shared" ref="AG104:AG108" si="31">AB104+Z104-AB104</f>
        <v>0</v>
      </c>
      <c r="AH104" s="5"/>
      <c r="AI104" s="5"/>
    </row>
    <row r="105" spans="1:35" s="1" customFormat="1" x14ac:dyDescent="0.25">
      <c r="A105" s="21">
        <v>3</v>
      </c>
      <c r="B105" s="22" t="s">
        <v>1636</v>
      </c>
      <c r="C105" s="50" t="s">
        <v>100</v>
      </c>
      <c r="D105" s="51" t="s">
        <v>384</v>
      </c>
      <c r="E105" s="52" t="s">
        <v>383</v>
      </c>
      <c r="F105" s="52"/>
      <c r="G105" s="52" t="s">
        <v>61</v>
      </c>
      <c r="H105" s="52" t="s">
        <v>62</v>
      </c>
      <c r="I105" s="52">
        <v>2011</v>
      </c>
      <c r="J105" s="52"/>
      <c r="K105" s="52" t="s">
        <v>63</v>
      </c>
      <c r="L105" s="52" t="s">
        <v>64</v>
      </c>
      <c r="M105" s="52">
        <v>1</v>
      </c>
      <c r="N105" s="53">
        <f t="shared" si="25"/>
        <v>1232500</v>
      </c>
      <c r="O105" s="53">
        <v>1232500</v>
      </c>
      <c r="P105" s="52"/>
      <c r="Q105" s="52"/>
      <c r="R105" s="52"/>
      <c r="S105" s="53">
        <f t="shared" si="26"/>
        <v>1232500</v>
      </c>
      <c r="T105" s="52">
        <v>5</v>
      </c>
      <c r="U105" s="53"/>
      <c r="V105" s="52">
        <v>0.5</v>
      </c>
      <c r="W105" s="53">
        <f t="shared" si="27"/>
        <v>0</v>
      </c>
      <c r="X105" s="24"/>
      <c r="Y105" s="53">
        <f t="shared" si="28"/>
        <v>0</v>
      </c>
      <c r="Z105" s="53">
        <f t="shared" si="29"/>
        <v>0</v>
      </c>
      <c r="AA105" s="72">
        <v>5</v>
      </c>
      <c r="AB105" s="53">
        <v>1232500</v>
      </c>
      <c r="AC105" s="53">
        <f t="shared" si="30"/>
        <v>0</v>
      </c>
      <c r="AD105" s="56" t="s">
        <v>386</v>
      </c>
      <c r="AE105" s="56"/>
      <c r="AF105" s="1">
        <v>1232500</v>
      </c>
      <c r="AG105" s="5">
        <f t="shared" si="31"/>
        <v>0</v>
      </c>
      <c r="AH105" s="5"/>
      <c r="AI105" s="5"/>
    </row>
    <row r="106" spans="1:35" s="1" customFormat="1" x14ac:dyDescent="0.25">
      <c r="A106" s="21">
        <v>4</v>
      </c>
      <c r="B106" s="22" t="s">
        <v>1636</v>
      </c>
      <c r="C106" s="50" t="s">
        <v>105</v>
      </c>
      <c r="D106" s="51" t="s">
        <v>384</v>
      </c>
      <c r="E106" s="52" t="s">
        <v>383</v>
      </c>
      <c r="F106" s="52"/>
      <c r="G106" s="52" t="s">
        <v>61</v>
      </c>
      <c r="H106" s="52" t="s">
        <v>62</v>
      </c>
      <c r="I106" s="52">
        <v>2011</v>
      </c>
      <c r="J106" s="52"/>
      <c r="K106" s="52" t="s">
        <v>63</v>
      </c>
      <c r="L106" s="52" t="s">
        <v>64</v>
      </c>
      <c r="M106" s="52">
        <v>1</v>
      </c>
      <c r="N106" s="53">
        <f t="shared" si="25"/>
        <v>1232500</v>
      </c>
      <c r="O106" s="53">
        <v>1232500</v>
      </c>
      <c r="P106" s="52"/>
      <c r="Q106" s="52"/>
      <c r="R106" s="52"/>
      <c r="S106" s="53">
        <f t="shared" si="26"/>
        <v>1232500</v>
      </c>
      <c r="T106" s="52">
        <v>5</v>
      </c>
      <c r="U106" s="53"/>
      <c r="V106" s="52">
        <v>0.5</v>
      </c>
      <c r="W106" s="53">
        <f t="shared" si="27"/>
        <v>0</v>
      </c>
      <c r="X106" s="52"/>
      <c r="Y106" s="53">
        <f t="shared" si="28"/>
        <v>0</v>
      </c>
      <c r="Z106" s="53">
        <f t="shared" si="29"/>
        <v>0</v>
      </c>
      <c r="AA106" s="57">
        <v>5</v>
      </c>
      <c r="AB106" s="53">
        <v>1232500</v>
      </c>
      <c r="AC106" s="53">
        <f t="shared" si="30"/>
        <v>0</v>
      </c>
      <c r="AD106" s="56" t="s">
        <v>387</v>
      </c>
      <c r="AE106" s="56"/>
      <c r="AF106" s="1">
        <v>1232500</v>
      </c>
      <c r="AG106" s="5">
        <f t="shared" si="31"/>
        <v>0</v>
      </c>
      <c r="AH106" s="5"/>
      <c r="AI106" s="5"/>
    </row>
    <row r="107" spans="1:35" s="1" customFormat="1" x14ac:dyDescent="0.25">
      <c r="A107" s="21">
        <v>5</v>
      </c>
      <c r="B107" s="22" t="s">
        <v>1636</v>
      </c>
      <c r="C107" s="50" t="s">
        <v>108</v>
      </c>
      <c r="D107" s="51" t="s">
        <v>384</v>
      </c>
      <c r="E107" s="52" t="s">
        <v>383</v>
      </c>
      <c r="F107" s="52"/>
      <c r="G107" s="52" t="s">
        <v>61</v>
      </c>
      <c r="H107" s="52" t="s">
        <v>62</v>
      </c>
      <c r="I107" s="52">
        <v>2011</v>
      </c>
      <c r="J107" s="52"/>
      <c r="K107" s="52" t="s">
        <v>63</v>
      </c>
      <c r="L107" s="52" t="s">
        <v>64</v>
      </c>
      <c r="M107" s="52">
        <v>1</v>
      </c>
      <c r="N107" s="53">
        <f t="shared" si="25"/>
        <v>1232500</v>
      </c>
      <c r="O107" s="53">
        <v>1232500</v>
      </c>
      <c r="P107" s="52"/>
      <c r="Q107" s="52"/>
      <c r="R107" s="52"/>
      <c r="S107" s="53">
        <f t="shared" si="26"/>
        <v>1232500</v>
      </c>
      <c r="T107" s="52">
        <v>5</v>
      </c>
      <c r="U107" s="53"/>
      <c r="V107" s="52">
        <v>0.5</v>
      </c>
      <c r="W107" s="53">
        <f t="shared" si="27"/>
        <v>0</v>
      </c>
      <c r="X107" s="52"/>
      <c r="Y107" s="53">
        <f t="shared" si="28"/>
        <v>0</v>
      </c>
      <c r="Z107" s="53">
        <f t="shared" si="29"/>
        <v>0</v>
      </c>
      <c r="AA107" s="57">
        <v>5</v>
      </c>
      <c r="AB107" s="53">
        <v>1232500</v>
      </c>
      <c r="AC107" s="53">
        <f t="shared" si="30"/>
        <v>0</v>
      </c>
      <c r="AD107" s="56" t="s">
        <v>388</v>
      </c>
      <c r="AE107" s="56"/>
      <c r="AF107" s="74">
        <v>1232500</v>
      </c>
      <c r="AG107" s="5">
        <f t="shared" si="31"/>
        <v>0</v>
      </c>
      <c r="AH107" s="5"/>
      <c r="AI107" s="5"/>
    </row>
    <row r="108" spans="1:35" s="1" customFormat="1" x14ac:dyDescent="0.25">
      <c r="A108" s="21">
        <v>6</v>
      </c>
      <c r="B108" s="22" t="s">
        <v>1637</v>
      </c>
      <c r="C108" s="50" t="s">
        <v>135</v>
      </c>
      <c r="D108" s="51" t="s">
        <v>389</v>
      </c>
      <c r="E108" s="52" t="s">
        <v>383</v>
      </c>
      <c r="F108" s="52"/>
      <c r="G108" s="52" t="s">
        <v>61</v>
      </c>
      <c r="H108" s="52" t="s">
        <v>62</v>
      </c>
      <c r="I108" s="52">
        <v>2011</v>
      </c>
      <c r="J108" s="52"/>
      <c r="K108" s="52" t="s">
        <v>63</v>
      </c>
      <c r="L108" s="52" t="s">
        <v>64</v>
      </c>
      <c r="M108" s="52">
        <v>1</v>
      </c>
      <c r="N108" s="53">
        <f t="shared" si="25"/>
        <v>3345000</v>
      </c>
      <c r="O108" s="53">
        <v>3345000</v>
      </c>
      <c r="P108" s="52"/>
      <c r="Q108" s="52"/>
      <c r="R108" s="52"/>
      <c r="S108" s="53">
        <f t="shared" si="26"/>
        <v>3345000</v>
      </c>
      <c r="T108" s="52">
        <v>5</v>
      </c>
      <c r="U108" s="53"/>
      <c r="V108" s="52">
        <v>0.5</v>
      </c>
      <c r="W108" s="53">
        <f t="shared" si="27"/>
        <v>0</v>
      </c>
      <c r="X108" s="52"/>
      <c r="Y108" s="53">
        <f t="shared" si="28"/>
        <v>0</v>
      </c>
      <c r="Z108" s="53">
        <f t="shared" si="29"/>
        <v>0</v>
      </c>
      <c r="AA108" s="52">
        <v>5</v>
      </c>
      <c r="AB108" s="53">
        <v>3345000</v>
      </c>
      <c r="AC108" s="53">
        <f t="shared" si="30"/>
        <v>0</v>
      </c>
      <c r="AD108" s="56" t="s">
        <v>276</v>
      </c>
      <c r="AE108" s="56"/>
      <c r="AF108" s="1">
        <v>3345000</v>
      </c>
      <c r="AG108" s="5">
        <f t="shared" si="31"/>
        <v>0</v>
      </c>
      <c r="AH108" s="5"/>
      <c r="AI108" s="5"/>
    </row>
    <row r="109" spans="1:35" s="1" customFormat="1" x14ac:dyDescent="0.25">
      <c r="A109" s="21"/>
      <c r="B109" s="22" t="s">
        <v>1638</v>
      </c>
      <c r="C109" s="50" t="s">
        <v>92</v>
      </c>
      <c r="D109" s="51" t="s">
        <v>382</v>
      </c>
      <c r="E109" s="52" t="s">
        <v>383</v>
      </c>
      <c r="F109" s="52"/>
      <c r="G109" s="52" t="s">
        <v>61</v>
      </c>
      <c r="H109" s="52" t="s">
        <v>62</v>
      </c>
      <c r="I109" s="52">
        <v>2011</v>
      </c>
      <c r="J109" s="52"/>
      <c r="K109" s="52" t="s">
        <v>63</v>
      </c>
      <c r="L109" s="52" t="s">
        <v>64</v>
      </c>
      <c r="M109" s="166">
        <v>1</v>
      </c>
      <c r="N109" s="166">
        <f>SUM(O109/M109)</f>
        <v>1675000</v>
      </c>
      <c r="O109" s="53">
        <v>1675000</v>
      </c>
      <c r="P109" s="166"/>
      <c r="Q109" s="166"/>
      <c r="R109" s="166"/>
      <c r="S109" s="53">
        <f t="shared" si="26"/>
        <v>1675000</v>
      </c>
      <c r="T109" s="166">
        <v>5</v>
      </c>
      <c r="U109" s="53"/>
      <c r="V109" s="166">
        <v>0.5</v>
      </c>
      <c r="W109" s="53">
        <f>SUM(U109*V109)</f>
        <v>0</v>
      </c>
      <c r="X109" s="166"/>
      <c r="Y109" s="53">
        <f>SUM(U109*X109)</f>
        <v>0</v>
      </c>
      <c r="Z109" s="53">
        <f>SUM(W109+Y109)</f>
        <v>0</v>
      </c>
      <c r="AA109" s="166">
        <v>5</v>
      </c>
      <c r="AB109" s="53">
        <v>1675000</v>
      </c>
      <c r="AC109" s="53">
        <f t="shared" si="30"/>
        <v>0</v>
      </c>
      <c r="AD109" s="52" t="s">
        <v>259</v>
      </c>
      <c r="AE109" s="52"/>
      <c r="AG109" s="5"/>
      <c r="AH109" s="5"/>
      <c r="AI109" s="5"/>
    </row>
    <row r="110" spans="1:35" s="1" customFormat="1" x14ac:dyDescent="0.25">
      <c r="A110" s="21">
        <v>7</v>
      </c>
      <c r="B110" s="26" t="s">
        <v>1639</v>
      </c>
      <c r="C110" s="26"/>
      <c r="D110" s="27" t="s">
        <v>1640</v>
      </c>
      <c r="E110" s="28"/>
      <c r="F110" s="28"/>
      <c r="G110" s="28"/>
      <c r="H110" s="28"/>
      <c r="I110" s="28"/>
      <c r="J110" s="28"/>
      <c r="K110" s="28"/>
      <c r="L110" s="28"/>
      <c r="M110" s="28">
        <f>SUM(M111:M112)</f>
        <v>6</v>
      </c>
      <c r="N110" s="40"/>
      <c r="O110" s="40">
        <f>SUM(O111:O112)</f>
        <v>4625600</v>
      </c>
      <c r="P110" s="28"/>
      <c r="Q110" s="28"/>
      <c r="R110" s="28"/>
      <c r="S110" s="40">
        <f>SUM(S111:S112)</f>
        <v>4625600</v>
      </c>
      <c r="T110" s="28"/>
      <c r="U110" s="40">
        <f>SUM(U111:U112)</f>
        <v>791120</v>
      </c>
      <c r="V110" s="28"/>
      <c r="W110" s="40">
        <f>SUM(W111:W112)</f>
        <v>395560</v>
      </c>
      <c r="X110" s="28"/>
      <c r="Y110" s="40"/>
      <c r="Z110" s="40">
        <f>SUM(Z111:Z112)</f>
        <v>395560</v>
      </c>
      <c r="AA110" s="28"/>
      <c r="AB110" s="40">
        <f>SUM(AB111:AB112)</f>
        <v>4493746.666666666</v>
      </c>
      <c r="AC110" s="40">
        <f>SUM(AC111:AC112)</f>
        <v>131853.33333333349</v>
      </c>
      <c r="AD110" s="167"/>
      <c r="AE110" s="167"/>
      <c r="AG110" s="168"/>
      <c r="AH110" s="5"/>
      <c r="AI110" s="5"/>
    </row>
    <row r="111" spans="1:35" s="1" customFormat="1" x14ac:dyDescent="0.25">
      <c r="A111" s="21">
        <v>8</v>
      </c>
      <c r="B111" s="22" t="s">
        <v>1641</v>
      </c>
      <c r="C111" s="50" t="s">
        <v>274</v>
      </c>
      <c r="D111" s="51" t="s">
        <v>3698</v>
      </c>
      <c r="E111" s="52" t="s">
        <v>265</v>
      </c>
      <c r="F111" s="52"/>
      <c r="G111" s="52" t="s">
        <v>194</v>
      </c>
      <c r="H111" s="52" t="s">
        <v>62</v>
      </c>
      <c r="I111" s="52">
        <v>2008</v>
      </c>
      <c r="J111" s="52"/>
      <c r="K111" s="52" t="s">
        <v>63</v>
      </c>
      <c r="L111" s="52" t="s">
        <v>64</v>
      </c>
      <c r="M111" s="52">
        <v>5</v>
      </c>
      <c r="N111" s="53">
        <f t="shared" ref="N111:N112" si="32">SUM(O111/M111)</f>
        <v>134000</v>
      </c>
      <c r="O111" s="53">
        <v>670000</v>
      </c>
      <c r="P111" s="52"/>
      <c r="Q111" s="52"/>
      <c r="R111" s="52"/>
      <c r="S111" s="53">
        <f>SUM(O111-R111)</f>
        <v>670000</v>
      </c>
      <c r="T111" s="52">
        <v>5</v>
      </c>
      <c r="U111" s="53"/>
      <c r="V111" s="52">
        <v>0.5</v>
      </c>
      <c r="W111" s="53">
        <f t="shared" ref="W111:W112" si="33">SUM(U111*V111)</f>
        <v>0</v>
      </c>
      <c r="X111" s="52"/>
      <c r="Y111" s="53">
        <f t="shared" ref="Y111:Y112" si="34">SUM(U111*X111)</f>
        <v>0</v>
      </c>
      <c r="Z111" s="53">
        <f t="shared" ref="Z111:Z112" si="35">SUM(W111+Y111)</f>
        <v>0</v>
      </c>
      <c r="AA111" s="52">
        <v>5</v>
      </c>
      <c r="AB111" s="53">
        <v>670000</v>
      </c>
      <c r="AC111" s="53">
        <f>SUM(O111-AB111)</f>
        <v>0</v>
      </c>
      <c r="AD111" s="56" t="s">
        <v>276</v>
      </c>
      <c r="AE111" s="56"/>
      <c r="AF111" s="1">
        <v>670000</v>
      </c>
      <c r="AG111" s="168">
        <f t="shared" ref="AG111" si="36">AB111+Z111-AB111</f>
        <v>0</v>
      </c>
      <c r="AH111" s="5"/>
      <c r="AI111" s="5"/>
    </row>
    <row r="112" spans="1:35" s="1" customFormat="1" x14ac:dyDescent="0.25">
      <c r="A112" s="21">
        <v>9</v>
      </c>
      <c r="B112" s="22" t="s">
        <v>1642</v>
      </c>
      <c r="C112" s="50" t="s">
        <v>58</v>
      </c>
      <c r="D112" s="51" t="s">
        <v>396</v>
      </c>
      <c r="E112" s="52" t="s">
        <v>397</v>
      </c>
      <c r="F112" s="52"/>
      <c r="G112" s="52" t="s">
        <v>194</v>
      </c>
      <c r="H112" s="52" t="s">
        <v>62</v>
      </c>
      <c r="I112" s="52">
        <v>2018</v>
      </c>
      <c r="J112" s="52"/>
      <c r="K112" s="52" t="s">
        <v>63</v>
      </c>
      <c r="L112" s="52" t="s">
        <v>64</v>
      </c>
      <c r="M112" s="52">
        <v>1</v>
      </c>
      <c r="N112" s="53">
        <f t="shared" si="32"/>
        <v>3955600</v>
      </c>
      <c r="O112" s="53">
        <v>3955600</v>
      </c>
      <c r="P112" s="52"/>
      <c r="Q112" s="52"/>
      <c r="R112" s="52"/>
      <c r="S112" s="53">
        <f>SUM(O112-R112)</f>
        <v>3955600</v>
      </c>
      <c r="T112" s="52">
        <v>5</v>
      </c>
      <c r="U112" s="53">
        <f>SUM(S112/T112)</f>
        <v>791120</v>
      </c>
      <c r="V112" s="52">
        <v>0.5</v>
      </c>
      <c r="W112" s="53">
        <f t="shared" si="33"/>
        <v>395560</v>
      </c>
      <c r="X112" s="52"/>
      <c r="Y112" s="53">
        <f t="shared" si="34"/>
        <v>0</v>
      </c>
      <c r="Z112" s="53">
        <f t="shared" si="35"/>
        <v>395560</v>
      </c>
      <c r="AA112" s="54">
        <f>2023-I112+V112+X112-8/12</f>
        <v>4.833333333333333</v>
      </c>
      <c r="AB112" s="53">
        <f>SUM(U112*AA112)</f>
        <v>3823746.6666666665</v>
      </c>
      <c r="AC112" s="53">
        <f>SUM(O112-AB112)</f>
        <v>131853.33333333349</v>
      </c>
      <c r="AD112" s="56" t="s">
        <v>398</v>
      </c>
      <c r="AE112" s="56"/>
      <c r="AG112" s="168"/>
      <c r="AH112" s="5"/>
      <c r="AI112" s="5"/>
    </row>
    <row r="113" spans="1:35" s="1" customFormat="1" x14ac:dyDescent="0.25">
      <c r="A113" s="21">
        <v>10</v>
      </c>
      <c r="B113" s="26" t="s">
        <v>1643</v>
      </c>
      <c r="C113" s="26"/>
      <c r="D113" s="27" t="s">
        <v>1644</v>
      </c>
      <c r="E113" s="28"/>
      <c r="F113" s="28"/>
      <c r="G113" s="28"/>
      <c r="H113" s="28"/>
      <c r="I113" s="28"/>
      <c r="J113" s="28"/>
      <c r="K113" s="28"/>
      <c r="L113" s="28"/>
      <c r="M113" s="28">
        <f>SUM(M114)</f>
        <v>1</v>
      </c>
      <c r="N113" s="40"/>
      <c r="O113" s="40">
        <f>SUM(O114)</f>
        <v>39240300</v>
      </c>
      <c r="P113" s="28"/>
      <c r="Q113" s="28"/>
      <c r="R113" s="28"/>
      <c r="S113" s="40">
        <f>SUM(S114)</f>
        <v>39240300</v>
      </c>
      <c r="T113" s="28"/>
      <c r="U113" s="40">
        <f>SUM(U114)</f>
        <v>0</v>
      </c>
      <c r="V113" s="28"/>
      <c r="W113" s="40"/>
      <c r="X113" s="28"/>
      <c r="Y113" s="40"/>
      <c r="Z113" s="40"/>
      <c r="AA113" s="28"/>
      <c r="AB113" s="40">
        <f>SUM(AB114)</f>
        <v>39240300</v>
      </c>
      <c r="AC113" s="40">
        <f>SUM(AC114)</f>
        <v>0</v>
      </c>
      <c r="AD113" s="167"/>
      <c r="AE113" s="167"/>
      <c r="AG113" s="168"/>
      <c r="AH113" s="5"/>
      <c r="AI113" s="5"/>
    </row>
    <row r="114" spans="1:35" s="1" customFormat="1" x14ac:dyDescent="0.25">
      <c r="A114" s="21">
        <v>11</v>
      </c>
      <c r="B114" s="22" t="s">
        <v>1645</v>
      </c>
      <c r="C114" s="50" t="s">
        <v>58</v>
      </c>
      <c r="D114" s="51" t="s">
        <v>380</v>
      </c>
      <c r="E114" s="52" t="s">
        <v>381</v>
      </c>
      <c r="F114" s="52"/>
      <c r="G114" s="52" t="s">
        <v>194</v>
      </c>
      <c r="H114" s="52" t="s">
        <v>62</v>
      </c>
      <c r="I114" s="52">
        <v>2014</v>
      </c>
      <c r="J114" s="52"/>
      <c r="K114" s="52" t="s">
        <v>63</v>
      </c>
      <c r="L114" s="52" t="s">
        <v>64</v>
      </c>
      <c r="M114" s="52">
        <v>1</v>
      </c>
      <c r="N114" s="53">
        <f t="shared" ref="N114" si="37">SUM(O114/M114)</f>
        <v>39240300</v>
      </c>
      <c r="O114" s="53">
        <v>39240300</v>
      </c>
      <c r="P114" s="52"/>
      <c r="Q114" s="52"/>
      <c r="R114" s="52"/>
      <c r="S114" s="53">
        <f>SUM(O114-R114)</f>
        <v>39240300</v>
      </c>
      <c r="T114" s="52">
        <v>5</v>
      </c>
      <c r="U114" s="53"/>
      <c r="V114" s="52">
        <v>0.5</v>
      </c>
      <c r="W114" s="53">
        <f t="shared" ref="W114" si="38">SUM(U114*V114)</f>
        <v>0</v>
      </c>
      <c r="X114" s="52"/>
      <c r="Y114" s="53">
        <f t="shared" ref="Y114" si="39">SUM(U114*X114)</f>
        <v>0</v>
      </c>
      <c r="Z114" s="53">
        <f t="shared" ref="Z114" si="40">SUM(W114+Y114)</f>
        <v>0</v>
      </c>
      <c r="AA114" s="52">
        <v>5</v>
      </c>
      <c r="AB114" s="53">
        <v>39240300</v>
      </c>
      <c r="AC114" s="53">
        <f>SUM(O114-AB114)</f>
        <v>0</v>
      </c>
      <c r="AD114" s="56" t="s">
        <v>239</v>
      </c>
      <c r="AE114" s="56"/>
      <c r="AG114" s="168"/>
      <c r="AH114" s="5"/>
      <c r="AI114" s="5"/>
    </row>
    <row r="115" spans="1:35" s="1" customFormat="1" ht="10.5" customHeight="1" x14ac:dyDescent="0.25">
      <c r="A115" s="21">
        <v>12</v>
      </c>
      <c r="B115" s="26" t="s">
        <v>1646</v>
      </c>
      <c r="C115" s="26"/>
      <c r="D115" s="27" t="s">
        <v>1647</v>
      </c>
      <c r="E115" s="28"/>
      <c r="F115" s="28"/>
      <c r="G115" s="28"/>
      <c r="H115" s="28"/>
      <c r="I115" s="28"/>
      <c r="J115" s="28"/>
      <c r="K115" s="28"/>
      <c r="L115" s="28"/>
      <c r="M115" s="28">
        <f>SUM(M116:M170)</f>
        <v>201</v>
      </c>
      <c r="N115" s="40"/>
      <c r="O115" s="40">
        <f>SUM(O116:O170)</f>
        <v>464964000</v>
      </c>
      <c r="P115" s="28"/>
      <c r="Q115" s="28"/>
      <c r="R115" s="28"/>
      <c r="S115" s="40">
        <f>SUM(S116:S170)</f>
        <v>464964000</v>
      </c>
      <c r="T115" s="28"/>
      <c r="U115" s="40">
        <f>SUM(U116:U170)</f>
        <v>17057100</v>
      </c>
      <c r="V115" s="28"/>
      <c r="W115" s="40">
        <f>SUM(W116:W170)</f>
        <v>3478333.3333333335</v>
      </c>
      <c r="X115" s="28"/>
      <c r="Y115" s="40"/>
      <c r="Z115" s="40">
        <f>SUM(Z116:Z170)</f>
        <v>3478333.3333333335</v>
      </c>
      <c r="AA115" s="28"/>
      <c r="AB115" s="40">
        <f>SUM(AB116:AB170)</f>
        <v>454442333.33333331</v>
      </c>
      <c r="AC115" s="40">
        <f>SUM(AC116:AC170)</f>
        <v>10521666.666666666</v>
      </c>
      <c r="AD115" s="167"/>
      <c r="AE115" s="167"/>
      <c r="AG115" s="168"/>
      <c r="AH115" s="5"/>
      <c r="AI115" s="5"/>
    </row>
    <row r="116" spans="1:35" s="1" customFormat="1" x14ac:dyDescent="0.25">
      <c r="A116" s="21">
        <v>1</v>
      </c>
      <c r="B116" s="22" t="s">
        <v>1648</v>
      </c>
      <c r="C116" s="22" t="s">
        <v>788</v>
      </c>
      <c r="D116" s="51" t="s">
        <v>789</v>
      </c>
      <c r="E116" s="24" t="s">
        <v>166</v>
      </c>
      <c r="F116" s="52"/>
      <c r="G116" s="52" t="s">
        <v>319</v>
      </c>
      <c r="H116" s="52" t="s">
        <v>62</v>
      </c>
      <c r="I116" s="52">
        <v>2012</v>
      </c>
      <c r="J116" s="52"/>
      <c r="K116" s="52" t="s">
        <v>63</v>
      </c>
      <c r="L116" s="52" t="s">
        <v>64</v>
      </c>
      <c r="M116" s="52">
        <v>1</v>
      </c>
      <c r="N116" s="53">
        <f t="shared" ref="N116:N122" si="41">SUM(O116/M116)</f>
        <v>1485000</v>
      </c>
      <c r="O116" s="53">
        <v>1485000</v>
      </c>
      <c r="P116" s="52"/>
      <c r="Q116" s="52"/>
      <c r="R116" s="52"/>
      <c r="S116" s="53">
        <f t="shared" ref="S116:S142" si="42">SUM(O116-R116)</f>
        <v>1485000</v>
      </c>
      <c r="T116" s="52">
        <v>5</v>
      </c>
      <c r="U116" s="53"/>
      <c r="V116" s="52">
        <v>0.5</v>
      </c>
      <c r="W116" s="53">
        <f t="shared" ref="W116:W120" si="43">SUM(U116*V116)</f>
        <v>0</v>
      </c>
      <c r="X116" s="52"/>
      <c r="Y116" s="53">
        <f t="shared" ref="Y116:Y122" si="44">SUM(U116*X116)</f>
        <v>0</v>
      </c>
      <c r="Z116" s="53">
        <f t="shared" ref="Z116:Z122" si="45">SUM(W116+Y116)</f>
        <v>0</v>
      </c>
      <c r="AA116" s="52">
        <v>5</v>
      </c>
      <c r="AB116" s="53">
        <v>1485000</v>
      </c>
      <c r="AC116" s="53">
        <f t="shared" ref="AC116:AC142" si="46">SUM(O116-AB116)</f>
        <v>0</v>
      </c>
      <c r="AD116" s="56" t="s">
        <v>348</v>
      </c>
      <c r="AE116" s="56"/>
      <c r="AF116" s="1">
        <v>3080000</v>
      </c>
      <c r="AG116" s="168">
        <f t="shared" ref="AG116:AG120" si="47">AB116+Z116-AB116</f>
        <v>0</v>
      </c>
      <c r="AH116" s="5"/>
      <c r="AI116" s="5"/>
    </row>
    <row r="117" spans="1:35" s="1" customFormat="1" x14ac:dyDescent="0.25">
      <c r="A117" s="21">
        <v>2</v>
      </c>
      <c r="B117" s="22" t="s">
        <v>1648</v>
      </c>
      <c r="C117" s="22" t="s">
        <v>790</v>
      </c>
      <c r="D117" s="51" t="s">
        <v>789</v>
      </c>
      <c r="E117" s="24" t="s">
        <v>166</v>
      </c>
      <c r="F117" s="52"/>
      <c r="G117" s="52" t="s">
        <v>319</v>
      </c>
      <c r="H117" s="52" t="s">
        <v>62</v>
      </c>
      <c r="I117" s="52">
        <v>2012</v>
      </c>
      <c r="J117" s="52"/>
      <c r="K117" s="52" t="s">
        <v>63</v>
      </c>
      <c r="L117" s="52" t="s">
        <v>64</v>
      </c>
      <c r="M117" s="52">
        <v>14</v>
      </c>
      <c r="N117" s="53">
        <f t="shared" si="41"/>
        <v>1485000</v>
      </c>
      <c r="O117" s="53">
        <v>20790000</v>
      </c>
      <c r="P117" s="52"/>
      <c r="Q117" s="52"/>
      <c r="R117" s="52"/>
      <c r="S117" s="53">
        <f t="shared" si="42"/>
        <v>20790000</v>
      </c>
      <c r="T117" s="52">
        <v>5</v>
      </c>
      <c r="U117" s="53"/>
      <c r="V117" s="52">
        <v>0.5</v>
      </c>
      <c r="W117" s="53">
        <f t="shared" si="43"/>
        <v>0</v>
      </c>
      <c r="X117" s="52"/>
      <c r="Y117" s="53">
        <f t="shared" si="44"/>
        <v>0</v>
      </c>
      <c r="Z117" s="53">
        <f t="shared" si="45"/>
        <v>0</v>
      </c>
      <c r="AA117" s="57">
        <v>5</v>
      </c>
      <c r="AB117" s="53">
        <v>20790000</v>
      </c>
      <c r="AC117" s="53">
        <f t="shared" si="46"/>
        <v>0</v>
      </c>
      <c r="AD117" s="56" t="s">
        <v>350</v>
      </c>
      <c r="AE117" s="56"/>
      <c r="AF117" s="1">
        <v>3080000</v>
      </c>
      <c r="AG117" s="168">
        <f t="shared" si="47"/>
        <v>0</v>
      </c>
      <c r="AH117" s="5"/>
      <c r="AI117" s="5"/>
    </row>
    <row r="118" spans="1:35" s="1" customFormat="1" x14ac:dyDescent="0.25">
      <c r="A118" s="21">
        <v>3</v>
      </c>
      <c r="B118" s="22" t="s">
        <v>1648</v>
      </c>
      <c r="C118" s="22" t="s">
        <v>791</v>
      </c>
      <c r="D118" s="51" t="s">
        <v>789</v>
      </c>
      <c r="E118" s="24" t="s">
        <v>166</v>
      </c>
      <c r="F118" s="52"/>
      <c r="G118" s="52" t="s">
        <v>319</v>
      </c>
      <c r="H118" s="52" t="s">
        <v>62</v>
      </c>
      <c r="I118" s="52">
        <v>2012</v>
      </c>
      <c r="J118" s="52"/>
      <c r="K118" s="52" t="s">
        <v>63</v>
      </c>
      <c r="L118" s="52" t="s">
        <v>64</v>
      </c>
      <c r="M118" s="52">
        <v>1</v>
      </c>
      <c r="N118" s="53">
        <f t="shared" si="41"/>
        <v>1485000</v>
      </c>
      <c r="O118" s="53">
        <v>1485000</v>
      </c>
      <c r="P118" s="52"/>
      <c r="Q118" s="52"/>
      <c r="R118" s="52"/>
      <c r="S118" s="53">
        <f t="shared" si="42"/>
        <v>1485000</v>
      </c>
      <c r="T118" s="52">
        <v>5</v>
      </c>
      <c r="U118" s="53"/>
      <c r="V118" s="52">
        <v>0.5</v>
      </c>
      <c r="W118" s="53">
        <f t="shared" si="43"/>
        <v>0</v>
      </c>
      <c r="X118" s="52"/>
      <c r="Y118" s="53">
        <f t="shared" si="44"/>
        <v>0</v>
      </c>
      <c r="Z118" s="53">
        <f t="shared" si="45"/>
        <v>0</v>
      </c>
      <c r="AA118" s="52">
        <v>5</v>
      </c>
      <c r="AB118" s="53">
        <v>1485000</v>
      </c>
      <c r="AC118" s="53">
        <f t="shared" si="46"/>
        <v>0</v>
      </c>
      <c r="AD118" s="56" t="s">
        <v>351</v>
      </c>
      <c r="AE118" s="56"/>
      <c r="AF118" s="1">
        <v>1485000</v>
      </c>
      <c r="AG118" s="168">
        <f t="shared" si="47"/>
        <v>0</v>
      </c>
      <c r="AH118" s="5"/>
      <c r="AI118" s="5"/>
    </row>
    <row r="119" spans="1:35" s="1" customFormat="1" x14ac:dyDescent="0.25">
      <c r="A119" s="21">
        <v>4</v>
      </c>
      <c r="B119" s="22" t="s">
        <v>1648</v>
      </c>
      <c r="C119" s="22" t="s">
        <v>792</v>
      </c>
      <c r="D119" s="51" t="s">
        <v>789</v>
      </c>
      <c r="E119" s="24" t="s">
        <v>166</v>
      </c>
      <c r="F119" s="52"/>
      <c r="G119" s="52" t="s">
        <v>319</v>
      </c>
      <c r="H119" s="52" t="s">
        <v>62</v>
      </c>
      <c r="I119" s="52">
        <v>2012</v>
      </c>
      <c r="J119" s="52"/>
      <c r="K119" s="52" t="s">
        <v>63</v>
      </c>
      <c r="L119" s="52" t="s">
        <v>64</v>
      </c>
      <c r="M119" s="52">
        <v>17</v>
      </c>
      <c r="N119" s="53">
        <f t="shared" si="41"/>
        <v>1485000</v>
      </c>
      <c r="O119" s="53">
        <v>25245000</v>
      </c>
      <c r="P119" s="52"/>
      <c r="Q119" s="52"/>
      <c r="R119" s="52"/>
      <c r="S119" s="53">
        <f t="shared" si="42"/>
        <v>25245000</v>
      </c>
      <c r="T119" s="52">
        <v>5</v>
      </c>
      <c r="U119" s="53"/>
      <c r="V119" s="52">
        <v>0.5</v>
      </c>
      <c r="W119" s="53">
        <f t="shared" si="43"/>
        <v>0</v>
      </c>
      <c r="X119" s="52"/>
      <c r="Y119" s="53">
        <f t="shared" si="44"/>
        <v>0</v>
      </c>
      <c r="Z119" s="53">
        <f t="shared" si="45"/>
        <v>0</v>
      </c>
      <c r="AA119" s="52">
        <v>5</v>
      </c>
      <c r="AB119" s="53">
        <v>25245000</v>
      </c>
      <c r="AC119" s="53">
        <f t="shared" si="46"/>
        <v>0</v>
      </c>
      <c r="AD119" s="56" t="s">
        <v>354</v>
      </c>
      <c r="AE119" s="56"/>
      <c r="AF119" s="1">
        <v>25245000</v>
      </c>
      <c r="AG119" s="168">
        <f t="shared" si="47"/>
        <v>0</v>
      </c>
      <c r="AH119" s="5"/>
      <c r="AI119" s="5"/>
    </row>
    <row r="120" spans="1:35" s="1" customFormat="1" x14ac:dyDescent="0.25">
      <c r="A120" s="21">
        <v>5</v>
      </c>
      <c r="B120" s="22" t="s">
        <v>1648</v>
      </c>
      <c r="C120" s="22" t="s">
        <v>436</v>
      </c>
      <c r="D120" s="51" t="s">
        <v>789</v>
      </c>
      <c r="E120" s="24" t="s">
        <v>166</v>
      </c>
      <c r="F120" s="52"/>
      <c r="G120" s="52" t="s">
        <v>319</v>
      </c>
      <c r="H120" s="52" t="s">
        <v>62</v>
      </c>
      <c r="I120" s="52">
        <v>2012</v>
      </c>
      <c r="J120" s="52"/>
      <c r="K120" s="52" t="s">
        <v>63</v>
      </c>
      <c r="L120" s="52" t="s">
        <v>64</v>
      </c>
      <c r="M120" s="52">
        <v>1</v>
      </c>
      <c r="N120" s="53">
        <f t="shared" si="41"/>
        <v>1485000</v>
      </c>
      <c r="O120" s="53">
        <v>1485000</v>
      </c>
      <c r="P120" s="52"/>
      <c r="Q120" s="52"/>
      <c r="R120" s="52"/>
      <c r="S120" s="53">
        <f t="shared" si="42"/>
        <v>1485000</v>
      </c>
      <c r="T120" s="52">
        <v>5</v>
      </c>
      <c r="U120" s="53"/>
      <c r="V120" s="52">
        <v>0.5</v>
      </c>
      <c r="W120" s="53">
        <f t="shared" si="43"/>
        <v>0</v>
      </c>
      <c r="X120" s="52"/>
      <c r="Y120" s="53">
        <f t="shared" si="44"/>
        <v>0</v>
      </c>
      <c r="Z120" s="53">
        <f t="shared" si="45"/>
        <v>0</v>
      </c>
      <c r="AA120" s="52">
        <v>5</v>
      </c>
      <c r="AB120" s="53">
        <v>1485000</v>
      </c>
      <c r="AC120" s="53">
        <f t="shared" si="46"/>
        <v>0</v>
      </c>
      <c r="AD120" s="56" t="s">
        <v>480</v>
      </c>
      <c r="AE120" s="56"/>
      <c r="AF120" s="1">
        <v>1485000</v>
      </c>
      <c r="AG120" s="168">
        <f t="shared" si="47"/>
        <v>0</v>
      </c>
      <c r="AH120" s="5"/>
      <c r="AI120" s="5"/>
    </row>
    <row r="121" spans="1:35" s="1" customFormat="1" x14ac:dyDescent="0.25">
      <c r="A121" s="21">
        <v>6</v>
      </c>
      <c r="B121" s="22" t="s">
        <v>1648</v>
      </c>
      <c r="C121" s="22" t="s">
        <v>793</v>
      </c>
      <c r="D121" s="51" t="s">
        <v>789</v>
      </c>
      <c r="E121" s="24" t="s">
        <v>166</v>
      </c>
      <c r="F121" s="52"/>
      <c r="G121" s="52" t="s">
        <v>319</v>
      </c>
      <c r="H121" s="52" t="s">
        <v>62</v>
      </c>
      <c r="I121" s="52">
        <v>2018</v>
      </c>
      <c r="J121" s="52"/>
      <c r="K121" s="52" t="s">
        <v>63</v>
      </c>
      <c r="L121" s="52" t="s">
        <v>64</v>
      </c>
      <c r="M121" s="52">
        <v>8</v>
      </c>
      <c r="N121" s="53">
        <f t="shared" si="41"/>
        <v>2475000</v>
      </c>
      <c r="O121" s="53">
        <v>19800000</v>
      </c>
      <c r="P121" s="52"/>
      <c r="Q121" s="52"/>
      <c r="R121" s="52"/>
      <c r="S121" s="53">
        <f t="shared" si="42"/>
        <v>19800000</v>
      </c>
      <c r="T121" s="52">
        <v>5</v>
      </c>
      <c r="U121" s="53">
        <f>SUM(S121/T121)</f>
        <v>3960000</v>
      </c>
      <c r="V121" s="52">
        <v>0.5</v>
      </c>
      <c r="W121" s="53">
        <f>SUM(U121*V121)-330000</f>
        <v>1650000</v>
      </c>
      <c r="X121" s="52"/>
      <c r="Y121" s="53">
        <f t="shared" si="44"/>
        <v>0</v>
      </c>
      <c r="Z121" s="53">
        <f t="shared" si="45"/>
        <v>1650000</v>
      </c>
      <c r="AA121" s="57">
        <v>5</v>
      </c>
      <c r="AB121" s="53">
        <v>19800000</v>
      </c>
      <c r="AC121" s="53">
        <f t="shared" si="46"/>
        <v>0</v>
      </c>
      <c r="AD121" s="56" t="s">
        <v>367</v>
      </c>
      <c r="AE121" s="56"/>
      <c r="AF121" s="1">
        <v>18150000</v>
      </c>
      <c r="AG121" s="168">
        <f>AF121+Z121-AB121</f>
        <v>0</v>
      </c>
      <c r="AH121" s="5"/>
      <c r="AI121" s="5"/>
    </row>
    <row r="122" spans="1:35" s="1" customFormat="1" x14ac:dyDescent="0.25">
      <c r="A122" s="21">
        <v>7</v>
      </c>
      <c r="B122" s="22" t="s">
        <v>1648</v>
      </c>
      <c r="C122" s="22" t="s">
        <v>794</v>
      </c>
      <c r="D122" s="51" t="s">
        <v>789</v>
      </c>
      <c r="E122" s="24" t="s">
        <v>166</v>
      </c>
      <c r="F122" s="52"/>
      <c r="G122" s="52" t="s">
        <v>319</v>
      </c>
      <c r="H122" s="52" t="s">
        <v>62</v>
      </c>
      <c r="I122" s="52">
        <v>2018</v>
      </c>
      <c r="J122" s="52"/>
      <c r="K122" s="52" t="s">
        <v>63</v>
      </c>
      <c r="L122" s="52" t="s">
        <v>64</v>
      </c>
      <c r="M122" s="52">
        <v>8</v>
      </c>
      <c r="N122" s="53">
        <f t="shared" si="41"/>
        <v>2475000</v>
      </c>
      <c r="O122" s="53">
        <v>19800000</v>
      </c>
      <c r="P122" s="52"/>
      <c r="Q122" s="52"/>
      <c r="R122" s="52"/>
      <c r="S122" s="53">
        <f t="shared" si="42"/>
        <v>19800000</v>
      </c>
      <c r="T122" s="52">
        <v>5</v>
      </c>
      <c r="U122" s="53">
        <f>SUM(S122/T122)</f>
        <v>3960000</v>
      </c>
      <c r="V122" s="52">
        <v>0.5</v>
      </c>
      <c r="W122" s="53">
        <f>SUM(U122*V122)-330000</f>
        <v>1650000</v>
      </c>
      <c r="X122" s="52"/>
      <c r="Y122" s="53">
        <f t="shared" si="44"/>
        <v>0</v>
      </c>
      <c r="Z122" s="53">
        <f t="shared" si="45"/>
        <v>1650000</v>
      </c>
      <c r="AA122" s="57">
        <v>5</v>
      </c>
      <c r="AB122" s="53">
        <v>19800000</v>
      </c>
      <c r="AC122" s="53">
        <f t="shared" si="46"/>
        <v>0</v>
      </c>
      <c r="AD122" s="56" t="s">
        <v>370</v>
      </c>
      <c r="AE122" s="56"/>
      <c r="AF122" s="1">
        <v>18150000</v>
      </c>
      <c r="AG122" s="168">
        <f>AF122+Z122-AB122</f>
        <v>0</v>
      </c>
      <c r="AH122" s="5"/>
      <c r="AI122" s="5"/>
    </row>
    <row r="123" spans="1:35" s="1" customFormat="1" x14ac:dyDescent="0.25">
      <c r="A123" s="21">
        <v>13</v>
      </c>
      <c r="B123" s="22" t="s">
        <v>1648</v>
      </c>
      <c r="C123" s="22" t="s">
        <v>58</v>
      </c>
      <c r="D123" s="51" t="s">
        <v>795</v>
      </c>
      <c r="E123" s="24" t="s">
        <v>166</v>
      </c>
      <c r="F123" s="52"/>
      <c r="G123" s="52" t="s">
        <v>319</v>
      </c>
      <c r="H123" s="52" t="s">
        <v>62</v>
      </c>
      <c r="I123" s="52">
        <v>2012</v>
      </c>
      <c r="J123" s="52"/>
      <c r="K123" s="52" t="s">
        <v>63</v>
      </c>
      <c r="L123" s="52" t="s">
        <v>64</v>
      </c>
      <c r="M123" s="52">
        <v>1</v>
      </c>
      <c r="N123" s="53">
        <f t="shared" ref="N123:N168" si="48">SUM(O123/M123)</f>
        <v>5126500</v>
      </c>
      <c r="O123" s="53">
        <v>5126500</v>
      </c>
      <c r="P123" s="52"/>
      <c r="Q123" s="52"/>
      <c r="R123" s="52"/>
      <c r="S123" s="53">
        <f t="shared" si="42"/>
        <v>5126500</v>
      </c>
      <c r="T123" s="52">
        <v>5</v>
      </c>
      <c r="U123" s="53"/>
      <c r="V123" s="52">
        <v>0.5</v>
      </c>
      <c r="W123" s="53">
        <f t="shared" ref="W123:W138" si="49">SUM(U123*V123)</f>
        <v>0</v>
      </c>
      <c r="X123" s="52"/>
      <c r="Y123" s="53">
        <f t="shared" ref="Y123:Y138" si="50">SUM(U123*X123)</f>
        <v>0</v>
      </c>
      <c r="Z123" s="53">
        <f t="shared" ref="Z123:Z138" si="51">SUM(W123+Y123)</f>
        <v>0</v>
      </c>
      <c r="AA123" s="57">
        <v>5</v>
      </c>
      <c r="AB123" s="53">
        <v>5126500</v>
      </c>
      <c r="AC123" s="53">
        <f t="shared" si="46"/>
        <v>0</v>
      </c>
      <c r="AD123" s="56" t="s">
        <v>746</v>
      </c>
      <c r="AE123" s="56"/>
      <c r="AF123" s="1">
        <v>5126500</v>
      </c>
      <c r="AG123" s="168">
        <f t="shared" ref="AG123:AG170" si="52">AB123+Z123-AB123</f>
        <v>0</v>
      </c>
      <c r="AH123" s="5"/>
      <c r="AI123" s="5"/>
    </row>
    <row r="124" spans="1:35" s="1" customFormat="1" x14ac:dyDescent="0.25">
      <c r="A124" s="21">
        <v>14</v>
      </c>
      <c r="B124" s="22" t="s">
        <v>1648</v>
      </c>
      <c r="C124" s="50" t="s">
        <v>726</v>
      </c>
      <c r="D124" s="51" t="s">
        <v>796</v>
      </c>
      <c r="E124" s="52" t="s">
        <v>166</v>
      </c>
      <c r="F124" s="52"/>
      <c r="G124" s="52" t="s">
        <v>319</v>
      </c>
      <c r="H124" s="52" t="s">
        <v>62</v>
      </c>
      <c r="I124" s="52">
        <v>2012</v>
      </c>
      <c r="J124" s="52"/>
      <c r="K124" s="52" t="s">
        <v>63</v>
      </c>
      <c r="L124" s="52" t="s">
        <v>64</v>
      </c>
      <c r="M124" s="52">
        <v>40</v>
      </c>
      <c r="N124" s="53">
        <f t="shared" si="48"/>
        <v>1217075</v>
      </c>
      <c r="O124" s="53">
        <v>48683000</v>
      </c>
      <c r="P124" s="52"/>
      <c r="Q124" s="52"/>
      <c r="R124" s="52"/>
      <c r="S124" s="53">
        <f t="shared" si="42"/>
        <v>48683000</v>
      </c>
      <c r="T124" s="52">
        <v>5</v>
      </c>
      <c r="U124" s="53"/>
      <c r="V124" s="52">
        <v>0.5</v>
      </c>
      <c r="W124" s="53">
        <f t="shared" si="49"/>
        <v>0</v>
      </c>
      <c r="X124" s="52"/>
      <c r="Y124" s="53">
        <f t="shared" si="50"/>
        <v>0</v>
      </c>
      <c r="Z124" s="53">
        <f t="shared" si="51"/>
        <v>0</v>
      </c>
      <c r="AA124" s="57">
        <v>5</v>
      </c>
      <c r="AB124" s="53">
        <v>48683000</v>
      </c>
      <c r="AC124" s="53">
        <f t="shared" si="46"/>
        <v>0</v>
      </c>
      <c r="AD124" s="56" t="s">
        <v>357</v>
      </c>
      <c r="AE124" s="56"/>
      <c r="AF124" s="1">
        <v>48683000</v>
      </c>
      <c r="AG124" s="168">
        <f t="shared" si="52"/>
        <v>0</v>
      </c>
      <c r="AH124" s="5"/>
      <c r="AI124" s="5"/>
    </row>
    <row r="125" spans="1:35" s="1" customFormat="1" x14ac:dyDescent="0.25">
      <c r="A125" s="21">
        <v>15</v>
      </c>
      <c r="B125" s="22" t="s">
        <v>1648</v>
      </c>
      <c r="C125" s="50" t="s">
        <v>407</v>
      </c>
      <c r="D125" s="51" t="s">
        <v>797</v>
      </c>
      <c r="E125" s="52" t="s">
        <v>166</v>
      </c>
      <c r="F125" s="52"/>
      <c r="G125" s="52" t="s">
        <v>319</v>
      </c>
      <c r="H125" s="52" t="s">
        <v>62</v>
      </c>
      <c r="I125" s="52">
        <v>2004</v>
      </c>
      <c r="J125" s="52"/>
      <c r="K125" s="52" t="s">
        <v>63</v>
      </c>
      <c r="L125" s="52" t="s">
        <v>212</v>
      </c>
      <c r="M125" s="52">
        <v>1</v>
      </c>
      <c r="N125" s="53">
        <f t="shared" si="48"/>
        <v>1750000</v>
      </c>
      <c r="O125" s="53">
        <v>1750000</v>
      </c>
      <c r="P125" s="52"/>
      <c r="Q125" s="52"/>
      <c r="R125" s="52"/>
      <c r="S125" s="53">
        <f t="shared" si="42"/>
        <v>1750000</v>
      </c>
      <c r="T125" s="52">
        <v>5</v>
      </c>
      <c r="U125" s="53"/>
      <c r="V125" s="52">
        <v>0.5</v>
      </c>
      <c r="W125" s="53">
        <f t="shared" si="49"/>
        <v>0</v>
      </c>
      <c r="X125" s="52"/>
      <c r="Y125" s="53">
        <f t="shared" si="50"/>
        <v>0</v>
      </c>
      <c r="Z125" s="53">
        <f t="shared" si="51"/>
        <v>0</v>
      </c>
      <c r="AA125" s="57">
        <v>5</v>
      </c>
      <c r="AB125" s="53">
        <v>1750000</v>
      </c>
      <c r="AC125" s="53">
        <f t="shared" si="46"/>
        <v>0</v>
      </c>
      <c r="AD125" s="56" t="s">
        <v>351</v>
      </c>
      <c r="AE125" s="56"/>
      <c r="AF125" s="1">
        <v>1750000</v>
      </c>
      <c r="AG125" s="168">
        <f t="shared" si="52"/>
        <v>0</v>
      </c>
      <c r="AH125" s="5"/>
      <c r="AI125" s="5"/>
    </row>
    <row r="126" spans="1:35" s="1" customFormat="1" x14ac:dyDescent="0.25">
      <c r="A126" s="21">
        <v>16</v>
      </c>
      <c r="B126" s="22" t="s">
        <v>1648</v>
      </c>
      <c r="C126" s="50" t="s">
        <v>408</v>
      </c>
      <c r="D126" s="51" t="s">
        <v>797</v>
      </c>
      <c r="E126" s="52" t="s">
        <v>166</v>
      </c>
      <c r="F126" s="24"/>
      <c r="G126" s="24" t="s">
        <v>319</v>
      </c>
      <c r="H126" s="24" t="s">
        <v>62</v>
      </c>
      <c r="I126" s="24">
        <v>2004</v>
      </c>
      <c r="J126" s="24"/>
      <c r="K126" s="24" t="s">
        <v>63</v>
      </c>
      <c r="L126" s="24" t="s">
        <v>212</v>
      </c>
      <c r="M126" s="24">
        <v>1</v>
      </c>
      <c r="N126" s="41">
        <f t="shared" si="48"/>
        <v>4150000</v>
      </c>
      <c r="O126" s="41">
        <v>4150000</v>
      </c>
      <c r="P126" s="24"/>
      <c r="Q126" s="24"/>
      <c r="R126" s="24"/>
      <c r="S126" s="41">
        <f t="shared" si="42"/>
        <v>4150000</v>
      </c>
      <c r="T126" s="24">
        <v>5</v>
      </c>
      <c r="U126" s="41"/>
      <c r="V126" s="24">
        <v>0.5</v>
      </c>
      <c r="W126" s="41">
        <f t="shared" si="49"/>
        <v>0</v>
      </c>
      <c r="X126" s="24"/>
      <c r="Y126" s="41">
        <f t="shared" si="50"/>
        <v>0</v>
      </c>
      <c r="Z126" s="41">
        <f t="shared" si="51"/>
        <v>0</v>
      </c>
      <c r="AA126" s="24">
        <v>5</v>
      </c>
      <c r="AB126" s="41">
        <v>4150000</v>
      </c>
      <c r="AC126" s="41">
        <f t="shared" si="46"/>
        <v>0</v>
      </c>
      <c r="AD126" s="70" t="s">
        <v>616</v>
      </c>
      <c r="AE126" s="56"/>
      <c r="AF126" s="1">
        <v>4150000</v>
      </c>
      <c r="AG126" s="168">
        <f t="shared" si="52"/>
        <v>0</v>
      </c>
      <c r="AH126" s="5"/>
      <c r="AI126" s="5"/>
    </row>
    <row r="127" spans="1:35" s="1" customFormat="1" x14ac:dyDescent="0.25">
      <c r="A127" s="21">
        <v>17</v>
      </c>
      <c r="B127" s="22" t="s">
        <v>1648</v>
      </c>
      <c r="C127" s="50" t="s">
        <v>409</v>
      </c>
      <c r="D127" s="51" t="s">
        <v>797</v>
      </c>
      <c r="E127" s="52" t="s">
        <v>166</v>
      </c>
      <c r="F127" s="24"/>
      <c r="G127" s="24" t="s">
        <v>319</v>
      </c>
      <c r="H127" s="24" t="s">
        <v>62</v>
      </c>
      <c r="I127" s="24">
        <v>2004</v>
      </c>
      <c r="J127" s="24"/>
      <c r="K127" s="24" t="s">
        <v>63</v>
      </c>
      <c r="L127" s="24" t="s">
        <v>212</v>
      </c>
      <c r="M127" s="24">
        <v>1</v>
      </c>
      <c r="N127" s="41">
        <f t="shared" si="48"/>
        <v>2960000</v>
      </c>
      <c r="O127" s="41">
        <v>2960000</v>
      </c>
      <c r="P127" s="24"/>
      <c r="Q127" s="24"/>
      <c r="R127" s="24"/>
      <c r="S127" s="41">
        <f t="shared" si="42"/>
        <v>2960000</v>
      </c>
      <c r="T127" s="24">
        <v>5</v>
      </c>
      <c r="U127" s="41"/>
      <c r="V127" s="24">
        <v>0.5</v>
      </c>
      <c r="W127" s="41">
        <f t="shared" si="49"/>
        <v>0</v>
      </c>
      <c r="X127" s="24"/>
      <c r="Y127" s="41">
        <f t="shared" si="50"/>
        <v>0</v>
      </c>
      <c r="Z127" s="41">
        <f t="shared" si="51"/>
        <v>0</v>
      </c>
      <c r="AA127" s="24">
        <v>5</v>
      </c>
      <c r="AB127" s="41">
        <v>2960000</v>
      </c>
      <c r="AC127" s="41">
        <f t="shared" si="46"/>
        <v>0</v>
      </c>
      <c r="AD127" s="70" t="s">
        <v>540</v>
      </c>
      <c r="AE127" s="56"/>
      <c r="AF127" s="1">
        <v>2960000</v>
      </c>
      <c r="AG127" s="168">
        <f t="shared" si="52"/>
        <v>0</v>
      </c>
      <c r="AH127" s="5"/>
      <c r="AI127" s="5"/>
    </row>
    <row r="128" spans="1:35" s="1" customFormat="1" x14ac:dyDescent="0.25">
      <c r="A128" s="21">
        <v>18</v>
      </c>
      <c r="B128" s="22" t="s">
        <v>1648</v>
      </c>
      <c r="C128" s="50" t="s">
        <v>726</v>
      </c>
      <c r="D128" s="51" t="s">
        <v>798</v>
      </c>
      <c r="E128" s="52" t="s">
        <v>166</v>
      </c>
      <c r="F128" s="24"/>
      <c r="G128" s="24" t="s">
        <v>319</v>
      </c>
      <c r="H128" s="24" t="s">
        <v>62</v>
      </c>
      <c r="I128" s="24">
        <v>2012</v>
      </c>
      <c r="J128" s="24"/>
      <c r="K128" s="24" t="s">
        <v>63</v>
      </c>
      <c r="L128" s="24" t="s">
        <v>64</v>
      </c>
      <c r="M128" s="24">
        <v>40</v>
      </c>
      <c r="N128" s="41">
        <f t="shared" si="48"/>
        <v>2359475</v>
      </c>
      <c r="O128" s="41">
        <v>94379000</v>
      </c>
      <c r="P128" s="24"/>
      <c r="Q128" s="24"/>
      <c r="R128" s="24"/>
      <c r="S128" s="41">
        <f t="shared" si="42"/>
        <v>94379000</v>
      </c>
      <c r="T128" s="24">
        <v>5</v>
      </c>
      <c r="U128" s="41"/>
      <c r="V128" s="24">
        <v>0.5</v>
      </c>
      <c r="W128" s="41">
        <f t="shared" si="49"/>
        <v>0</v>
      </c>
      <c r="X128" s="24"/>
      <c r="Y128" s="41">
        <f t="shared" si="50"/>
        <v>0</v>
      </c>
      <c r="Z128" s="41">
        <f t="shared" si="51"/>
        <v>0</v>
      </c>
      <c r="AA128" s="24">
        <v>5</v>
      </c>
      <c r="AB128" s="41">
        <v>94379000</v>
      </c>
      <c r="AC128" s="41">
        <f t="shared" si="46"/>
        <v>0</v>
      </c>
      <c r="AD128" s="70" t="s">
        <v>357</v>
      </c>
      <c r="AE128" s="56"/>
      <c r="AF128" s="1">
        <v>94379000</v>
      </c>
      <c r="AG128" s="168">
        <f t="shared" si="52"/>
        <v>0</v>
      </c>
      <c r="AH128" s="5"/>
      <c r="AI128" s="5"/>
    </row>
    <row r="129" spans="1:35" s="1" customFormat="1" x14ac:dyDescent="0.25">
      <c r="A129" s="21">
        <v>19</v>
      </c>
      <c r="B129" s="22" t="s">
        <v>1649</v>
      </c>
      <c r="C129" s="50" t="s">
        <v>214</v>
      </c>
      <c r="D129" s="51" t="s">
        <v>215</v>
      </c>
      <c r="E129" s="52" t="s">
        <v>216</v>
      </c>
      <c r="F129" s="24"/>
      <c r="G129" s="24" t="s">
        <v>61</v>
      </c>
      <c r="H129" s="24" t="s">
        <v>62</v>
      </c>
      <c r="I129" s="24">
        <v>2014</v>
      </c>
      <c r="J129" s="24"/>
      <c r="K129" s="24" t="s">
        <v>63</v>
      </c>
      <c r="L129" s="24" t="s">
        <v>64</v>
      </c>
      <c r="M129" s="24">
        <v>2</v>
      </c>
      <c r="N129" s="41">
        <f t="shared" si="48"/>
        <v>3080000</v>
      </c>
      <c r="O129" s="41">
        <v>6160000</v>
      </c>
      <c r="P129" s="24"/>
      <c r="Q129" s="24"/>
      <c r="R129" s="24"/>
      <c r="S129" s="41">
        <f t="shared" si="42"/>
        <v>6160000</v>
      </c>
      <c r="T129" s="24">
        <v>5</v>
      </c>
      <c r="U129" s="41"/>
      <c r="V129" s="24">
        <v>0.5</v>
      </c>
      <c r="W129" s="41">
        <f t="shared" si="49"/>
        <v>0</v>
      </c>
      <c r="X129" s="24"/>
      <c r="Y129" s="41">
        <f t="shared" si="50"/>
        <v>0</v>
      </c>
      <c r="Z129" s="41">
        <f t="shared" si="51"/>
        <v>0</v>
      </c>
      <c r="AA129" s="24">
        <v>5</v>
      </c>
      <c r="AB129" s="41">
        <v>6160000</v>
      </c>
      <c r="AC129" s="41">
        <f t="shared" si="46"/>
        <v>0</v>
      </c>
      <c r="AD129" s="70" t="s">
        <v>217</v>
      </c>
      <c r="AE129" s="56"/>
      <c r="AF129" s="1">
        <v>6160000</v>
      </c>
      <c r="AG129" s="168">
        <f t="shared" si="52"/>
        <v>0</v>
      </c>
      <c r="AH129" s="5"/>
      <c r="AI129" s="5"/>
    </row>
    <row r="130" spans="1:35" s="1" customFormat="1" x14ac:dyDescent="0.25">
      <c r="A130" s="21">
        <v>20</v>
      </c>
      <c r="B130" s="22" t="s">
        <v>1649</v>
      </c>
      <c r="C130" s="50" t="s">
        <v>214</v>
      </c>
      <c r="D130" s="51" t="s">
        <v>215</v>
      </c>
      <c r="E130" s="52" t="s">
        <v>216</v>
      </c>
      <c r="F130" s="24"/>
      <c r="G130" s="24" t="s">
        <v>61</v>
      </c>
      <c r="H130" s="24" t="s">
        <v>62</v>
      </c>
      <c r="I130" s="24">
        <v>2014</v>
      </c>
      <c r="J130" s="24"/>
      <c r="K130" s="24" t="s">
        <v>63</v>
      </c>
      <c r="L130" s="24" t="s">
        <v>64</v>
      </c>
      <c r="M130" s="24">
        <v>2</v>
      </c>
      <c r="N130" s="41">
        <f t="shared" si="48"/>
        <v>3080000</v>
      </c>
      <c r="O130" s="41">
        <v>6160000</v>
      </c>
      <c r="P130" s="24"/>
      <c r="Q130" s="24"/>
      <c r="R130" s="24"/>
      <c r="S130" s="41">
        <f t="shared" si="42"/>
        <v>6160000</v>
      </c>
      <c r="T130" s="24">
        <v>5</v>
      </c>
      <c r="U130" s="41"/>
      <c r="V130" s="24">
        <v>0.5</v>
      </c>
      <c r="W130" s="41">
        <f t="shared" si="49"/>
        <v>0</v>
      </c>
      <c r="X130" s="24"/>
      <c r="Y130" s="41">
        <f t="shared" si="50"/>
        <v>0</v>
      </c>
      <c r="Z130" s="41">
        <f t="shared" si="51"/>
        <v>0</v>
      </c>
      <c r="AA130" s="24">
        <v>5</v>
      </c>
      <c r="AB130" s="41">
        <v>6160000</v>
      </c>
      <c r="AC130" s="41">
        <f t="shared" si="46"/>
        <v>0</v>
      </c>
      <c r="AD130" s="70" t="s">
        <v>218</v>
      </c>
      <c r="AE130" s="56"/>
      <c r="AF130" s="1">
        <v>6160000</v>
      </c>
      <c r="AG130" s="168">
        <f t="shared" si="52"/>
        <v>0</v>
      </c>
      <c r="AH130" s="5"/>
      <c r="AI130" s="5"/>
    </row>
    <row r="131" spans="1:35" s="1" customFormat="1" x14ac:dyDescent="0.25">
      <c r="A131" s="21">
        <v>21</v>
      </c>
      <c r="B131" s="22" t="s">
        <v>1649</v>
      </c>
      <c r="C131" s="50" t="s">
        <v>214</v>
      </c>
      <c r="D131" s="51" t="s">
        <v>215</v>
      </c>
      <c r="E131" s="52" t="s">
        <v>216</v>
      </c>
      <c r="F131" s="24"/>
      <c r="G131" s="24" t="s">
        <v>61</v>
      </c>
      <c r="H131" s="24" t="s">
        <v>62</v>
      </c>
      <c r="I131" s="24">
        <v>2014</v>
      </c>
      <c r="J131" s="24"/>
      <c r="K131" s="24" t="s">
        <v>63</v>
      </c>
      <c r="L131" s="24" t="s">
        <v>64</v>
      </c>
      <c r="M131" s="24">
        <v>2</v>
      </c>
      <c r="N131" s="41">
        <f t="shared" si="48"/>
        <v>3080000</v>
      </c>
      <c r="O131" s="41">
        <v>6160000</v>
      </c>
      <c r="P131" s="24"/>
      <c r="Q131" s="24"/>
      <c r="R131" s="24"/>
      <c r="S131" s="41">
        <f t="shared" si="42"/>
        <v>6160000</v>
      </c>
      <c r="T131" s="24">
        <v>5</v>
      </c>
      <c r="U131" s="41"/>
      <c r="V131" s="24">
        <v>0.5</v>
      </c>
      <c r="W131" s="41">
        <f t="shared" si="49"/>
        <v>0</v>
      </c>
      <c r="X131" s="24"/>
      <c r="Y131" s="41">
        <f t="shared" si="50"/>
        <v>0</v>
      </c>
      <c r="Z131" s="41">
        <f t="shared" si="51"/>
        <v>0</v>
      </c>
      <c r="AA131" s="24">
        <v>5</v>
      </c>
      <c r="AB131" s="41">
        <v>6160000</v>
      </c>
      <c r="AC131" s="41">
        <f t="shared" si="46"/>
        <v>0</v>
      </c>
      <c r="AD131" s="70" t="s">
        <v>219</v>
      </c>
      <c r="AE131" s="56"/>
      <c r="AF131" s="1">
        <v>6160000</v>
      </c>
      <c r="AG131" s="168">
        <f t="shared" si="52"/>
        <v>0</v>
      </c>
      <c r="AH131" s="5"/>
      <c r="AI131" s="5"/>
    </row>
    <row r="132" spans="1:35" s="1" customFormat="1" x14ac:dyDescent="0.25">
      <c r="A132" s="21">
        <v>22</v>
      </c>
      <c r="B132" s="22" t="s">
        <v>1649</v>
      </c>
      <c r="C132" s="50" t="s">
        <v>214</v>
      </c>
      <c r="D132" s="51" t="s">
        <v>215</v>
      </c>
      <c r="E132" s="52" t="s">
        <v>216</v>
      </c>
      <c r="F132" s="24"/>
      <c r="G132" s="24" t="s">
        <v>61</v>
      </c>
      <c r="H132" s="24" t="s">
        <v>62</v>
      </c>
      <c r="I132" s="24">
        <v>2014</v>
      </c>
      <c r="J132" s="24"/>
      <c r="K132" s="24" t="s">
        <v>63</v>
      </c>
      <c r="L132" s="24" t="s">
        <v>64</v>
      </c>
      <c r="M132" s="24">
        <v>2</v>
      </c>
      <c r="N132" s="41">
        <f t="shared" si="48"/>
        <v>3080000</v>
      </c>
      <c r="O132" s="41">
        <v>6160000</v>
      </c>
      <c r="P132" s="24"/>
      <c r="Q132" s="24"/>
      <c r="R132" s="24"/>
      <c r="S132" s="41">
        <f t="shared" si="42"/>
        <v>6160000</v>
      </c>
      <c r="T132" s="24">
        <v>5</v>
      </c>
      <c r="U132" s="41"/>
      <c r="V132" s="24">
        <v>0.5</v>
      </c>
      <c r="W132" s="41">
        <f t="shared" si="49"/>
        <v>0</v>
      </c>
      <c r="X132" s="24"/>
      <c r="Y132" s="41">
        <f t="shared" si="50"/>
        <v>0</v>
      </c>
      <c r="Z132" s="41">
        <f t="shared" si="51"/>
        <v>0</v>
      </c>
      <c r="AA132" s="24">
        <v>5</v>
      </c>
      <c r="AB132" s="41">
        <v>6160000</v>
      </c>
      <c r="AC132" s="41">
        <f t="shared" si="46"/>
        <v>0</v>
      </c>
      <c r="AD132" s="70" t="s">
        <v>220</v>
      </c>
      <c r="AE132" s="56"/>
      <c r="AF132" s="1">
        <v>6160000</v>
      </c>
      <c r="AG132" s="168">
        <f t="shared" si="52"/>
        <v>0</v>
      </c>
      <c r="AH132" s="5"/>
      <c r="AI132" s="5"/>
    </row>
    <row r="133" spans="1:35" s="1" customFormat="1" x14ac:dyDescent="0.25">
      <c r="A133" s="21">
        <v>23</v>
      </c>
      <c r="B133" s="22" t="s">
        <v>1649</v>
      </c>
      <c r="C133" s="50" t="s">
        <v>214</v>
      </c>
      <c r="D133" s="51" t="s">
        <v>215</v>
      </c>
      <c r="E133" s="52" t="s">
        <v>216</v>
      </c>
      <c r="F133" s="24"/>
      <c r="G133" s="24" t="s">
        <v>61</v>
      </c>
      <c r="H133" s="24" t="s">
        <v>62</v>
      </c>
      <c r="I133" s="24">
        <v>2014</v>
      </c>
      <c r="J133" s="24"/>
      <c r="K133" s="24" t="s">
        <v>63</v>
      </c>
      <c r="L133" s="24" t="s">
        <v>64</v>
      </c>
      <c r="M133" s="24">
        <v>2</v>
      </c>
      <c r="N133" s="41">
        <f t="shared" si="48"/>
        <v>3080000</v>
      </c>
      <c r="O133" s="41">
        <v>6160000</v>
      </c>
      <c r="P133" s="24"/>
      <c r="Q133" s="24"/>
      <c r="R133" s="24"/>
      <c r="S133" s="41">
        <f t="shared" si="42"/>
        <v>6160000</v>
      </c>
      <c r="T133" s="24">
        <v>5</v>
      </c>
      <c r="U133" s="41"/>
      <c r="V133" s="24">
        <v>0.5</v>
      </c>
      <c r="W133" s="41">
        <f t="shared" si="49"/>
        <v>0</v>
      </c>
      <c r="X133" s="24"/>
      <c r="Y133" s="41">
        <f t="shared" si="50"/>
        <v>0</v>
      </c>
      <c r="Z133" s="41">
        <f t="shared" si="51"/>
        <v>0</v>
      </c>
      <c r="AA133" s="24">
        <v>5</v>
      </c>
      <c r="AB133" s="41">
        <v>6160000</v>
      </c>
      <c r="AC133" s="41">
        <f t="shared" si="46"/>
        <v>0</v>
      </c>
      <c r="AD133" s="70" t="s">
        <v>221</v>
      </c>
      <c r="AE133" s="56"/>
      <c r="AF133" s="1">
        <v>6160000</v>
      </c>
      <c r="AG133" s="168">
        <f t="shared" si="52"/>
        <v>0</v>
      </c>
      <c r="AH133" s="5"/>
      <c r="AI133" s="5"/>
    </row>
    <row r="134" spans="1:35" s="1" customFormat="1" x14ac:dyDescent="0.25">
      <c r="A134" s="21">
        <v>24</v>
      </c>
      <c r="B134" s="22" t="s">
        <v>1649</v>
      </c>
      <c r="C134" s="50" t="s">
        <v>214</v>
      </c>
      <c r="D134" s="51" t="s">
        <v>215</v>
      </c>
      <c r="E134" s="52" t="s">
        <v>216</v>
      </c>
      <c r="F134" s="24"/>
      <c r="G134" s="24" t="s">
        <v>61</v>
      </c>
      <c r="H134" s="24" t="s">
        <v>62</v>
      </c>
      <c r="I134" s="24">
        <v>2014</v>
      </c>
      <c r="J134" s="24"/>
      <c r="K134" s="24" t="s">
        <v>63</v>
      </c>
      <c r="L134" s="24" t="s">
        <v>64</v>
      </c>
      <c r="M134" s="24">
        <v>1</v>
      </c>
      <c r="N134" s="41">
        <f t="shared" si="48"/>
        <v>3080000</v>
      </c>
      <c r="O134" s="41">
        <v>3080000</v>
      </c>
      <c r="P134" s="24"/>
      <c r="Q134" s="24"/>
      <c r="R134" s="24"/>
      <c r="S134" s="41">
        <f t="shared" si="42"/>
        <v>3080000</v>
      </c>
      <c r="T134" s="24">
        <v>5</v>
      </c>
      <c r="U134" s="41"/>
      <c r="V134" s="24">
        <v>0.5</v>
      </c>
      <c r="W134" s="41">
        <f t="shared" si="49"/>
        <v>0</v>
      </c>
      <c r="X134" s="24"/>
      <c r="Y134" s="41">
        <f t="shared" si="50"/>
        <v>0</v>
      </c>
      <c r="Z134" s="41">
        <f t="shared" si="51"/>
        <v>0</v>
      </c>
      <c r="AA134" s="24">
        <v>5</v>
      </c>
      <c r="AB134" s="41">
        <v>3080000</v>
      </c>
      <c r="AC134" s="41">
        <f t="shared" si="46"/>
        <v>0</v>
      </c>
      <c r="AD134" s="70" t="s">
        <v>222</v>
      </c>
      <c r="AE134" s="56"/>
      <c r="AF134" s="1">
        <v>3080000</v>
      </c>
      <c r="AG134" s="168">
        <f t="shared" si="52"/>
        <v>0</v>
      </c>
      <c r="AH134" s="5"/>
      <c r="AI134" s="5"/>
    </row>
    <row r="135" spans="1:35" s="1" customFormat="1" x14ac:dyDescent="0.25">
      <c r="A135" s="21">
        <v>25</v>
      </c>
      <c r="B135" s="22" t="s">
        <v>1649</v>
      </c>
      <c r="C135" s="50" t="s">
        <v>214</v>
      </c>
      <c r="D135" s="51" t="s">
        <v>215</v>
      </c>
      <c r="E135" s="52" t="s">
        <v>216</v>
      </c>
      <c r="F135" s="24"/>
      <c r="G135" s="24" t="s">
        <v>61</v>
      </c>
      <c r="H135" s="24" t="s">
        <v>62</v>
      </c>
      <c r="I135" s="24">
        <v>2014</v>
      </c>
      <c r="J135" s="24"/>
      <c r="K135" s="24" t="s">
        <v>63</v>
      </c>
      <c r="L135" s="24" t="s">
        <v>64</v>
      </c>
      <c r="M135" s="24">
        <v>1</v>
      </c>
      <c r="N135" s="41">
        <f t="shared" si="48"/>
        <v>3080000</v>
      </c>
      <c r="O135" s="41">
        <v>3080000</v>
      </c>
      <c r="P135" s="24"/>
      <c r="Q135" s="24"/>
      <c r="R135" s="24"/>
      <c r="S135" s="41">
        <f t="shared" si="42"/>
        <v>3080000</v>
      </c>
      <c r="T135" s="24">
        <v>5</v>
      </c>
      <c r="U135" s="41"/>
      <c r="V135" s="24">
        <v>0.5</v>
      </c>
      <c r="W135" s="41">
        <f t="shared" si="49"/>
        <v>0</v>
      </c>
      <c r="X135" s="24"/>
      <c r="Y135" s="41">
        <f t="shared" si="50"/>
        <v>0</v>
      </c>
      <c r="Z135" s="41">
        <f t="shared" si="51"/>
        <v>0</v>
      </c>
      <c r="AA135" s="24">
        <v>5</v>
      </c>
      <c r="AB135" s="41">
        <v>3080000</v>
      </c>
      <c r="AC135" s="41">
        <f t="shared" si="46"/>
        <v>0</v>
      </c>
      <c r="AD135" s="70" t="s">
        <v>223</v>
      </c>
      <c r="AE135" s="56"/>
      <c r="AF135" s="1">
        <v>3080000</v>
      </c>
      <c r="AG135" s="168">
        <f t="shared" si="52"/>
        <v>0</v>
      </c>
      <c r="AH135" s="5"/>
      <c r="AI135" s="5"/>
    </row>
    <row r="136" spans="1:35" s="1" customFormat="1" x14ac:dyDescent="0.25">
      <c r="A136" s="21">
        <v>26</v>
      </c>
      <c r="B136" s="22" t="s">
        <v>1649</v>
      </c>
      <c r="C136" s="50" t="s">
        <v>214</v>
      </c>
      <c r="D136" s="51" t="s">
        <v>215</v>
      </c>
      <c r="E136" s="52" t="s">
        <v>216</v>
      </c>
      <c r="F136" s="24"/>
      <c r="G136" s="24" t="s">
        <v>61</v>
      </c>
      <c r="H136" s="24" t="s">
        <v>62</v>
      </c>
      <c r="I136" s="24">
        <v>2014</v>
      </c>
      <c r="J136" s="24"/>
      <c r="K136" s="24" t="s">
        <v>63</v>
      </c>
      <c r="L136" s="24" t="s">
        <v>64</v>
      </c>
      <c r="M136" s="24">
        <v>1</v>
      </c>
      <c r="N136" s="41">
        <f t="shared" si="48"/>
        <v>3080000</v>
      </c>
      <c r="O136" s="41">
        <v>3080000</v>
      </c>
      <c r="P136" s="24"/>
      <c r="Q136" s="24"/>
      <c r="R136" s="24"/>
      <c r="S136" s="41">
        <f t="shared" si="42"/>
        <v>3080000</v>
      </c>
      <c r="T136" s="24">
        <v>5</v>
      </c>
      <c r="U136" s="41"/>
      <c r="V136" s="24">
        <v>0.5</v>
      </c>
      <c r="W136" s="41">
        <f t="shared" si="49"/>
        <v>0</v>
      </c>
      <c r="X136" s="24"/>
      <c r="Y136" s="41">
        <f t="shared" si="50"/>
        <v>0</v>
      </c>
      <c r="Z136" s="41">
        <f t="shared" si="51"/>
        <v>0</v>
      </c>
      <c r="AA136" s="24">
        <v>5</v>
      </c>
      <c r="AB136" s="41">
        <v>3080000</v>
      </c>
      <c r="AC136" s="41">
        <f t="shared" si="46"/>
        <v>0</v>
      </c>
      <c r="AD136" s="70" t="s">
        <v>224</v>
      </c>
      <c r="AE136" s="56"/>
      <c r="AF136" s="1">
        <v>3080000</v>
      </c>
      <c r="AG136" s="168">
        <f t="shared" si="52"/>
        <v>0</v>
      </c>
      <c r="AH136" s="5"/>
      <c r="AI136" s="5"/>
    </row>
    <row r="137" spans="1:35" s="1" customFormat="1" x14ac:dyDescent="0.25">
      <c r="A137" s="21">
        <v>27</v>
      </c>
      <c r="B137" s="22" t="s">
        <v>1649</v>
      </c>
      <c r="C137" s="50" t="s">
        <v>214</v>
      </c>
      <c r="D137" s="51" t="s">
        <v>215</v>
      </c>
      <c r="E137" s="52" t="s">
        <v>216</v>
      </c>
      <c r="F137" s="24"/>
      <c r="G137" s="24" t="s">
        <v>61</v>
      </c>
      <c r="H137" s="24" t="s">
        <v>62</v>
      </c>
      <c r="I137" s="24">
        <v>2014</v>
      </c>
      <c r="J137" s="24"/>
      <c r="K137" s="24" t="s">
        <v>63</v>
      </c>
      <c r="L137" s="24" t="s">
        <v>64</v>
      </c>
      <c r="M137" s="24">
        <v>1</v>
      </c>
      <c r="N137" s="41">
        <f t="shared" si="48"/>
        <v>3080000</v>
      </c>
      <c r="O137" s="41">
        <v>3080000</v>
      </c>
      <c r="P137" s="24"/>
      <c r="Q137" s="24"/>
      <c r="R137" s="24"/>
      <c r="S137" s="41">
        <f t="shared" si="42"/>
        <v>3080000</v>
      </c>
      <c r="T137" s="24">
        <v>5</v>
      </c>
      <c r="U137" s="41"/>
      <c r="V137" s="24">
        <v>0.5</v>
      </c>
      <c r="W137" s="41">
        <f t="shared" si="49"/>
        <v>0</v>
      </c>
      <c r="X137" s="24"/>
      <c r="Y137" s="41">
        <f>SUM(U137*X137)</f>
        <v>0</v>
      </c>
      <c r="Z137" s="41">
        <f t="shared" si="51"/>
        <v>0</v>
      </c>
      <c r="AA137" s="24">
        <v>5</v>
      </c>
      <c r="AB137" s="41">
        <v>3080000</v>
      </c>
      <c r="AC137" s="41">
        <f t="shared" si="46"/>
        <v>0</v>
      </c>
      <c r="AD137" s="70" t="s">
        <v>225</v>
      </c>
      <c r="AE137" s="56"/>
      <c r="AF137" s="1">
        <v>3080000</v>
      </c>
      <c r="AG137" s="168">
        <f t="shared" si="52"/>
        <v>0</v>
      </c>
      <c r="AH137" s="5"/>
      <c r="AI137" s="5"/>
    </row>
    <row r="138" spans="1:35" s="1" customFormat="1" x14ac:dyDescent="0.25">
      <c r="A138" s="21">
        <v>28</v>
      </c>
      <c r="B138" s="22" t="s">
        <v>1649</v>
      </c>
      <c r="C138" s="50" t="s">
        <v>214</v>
      </c>
      <c r="D138" s="51" t="s">
        <v>215</v>
      </c>
      <c r="E138" s="52" t="s">
        <v>216</v>
      </c>
      <c r="F138" s="24"/>
      <c r="G138" s="24" t="s">
        <v>61</v>
      </c>
      <c r="H138" s="24" t="s">
        <v>62</v>
      </c>
      <c r="I138" s="24">
        <v>2014</v>
      </c>
      <c r="J138" s="24"/>
      <c r="K138" s="24" t="s">
        <v>63</v>
      </c>
      <c r="L138" s="24" t="s">
        <v>64</v>
      </c>
      <c r="M138" s="24">
        <v>1</v>
      </c>
      <c r="N138" s="41">
        <f t="shared" si="48"/>
        <v>3080000</v>
      </c>
      <c r="O138" s="41">
        <v>3080000</v>
      </c>
      <c r="P138" s="24"/>
      <c r="Q138" s="24"/>
      <c r="R138" s="24"/>
      <c r="S138" s="41">
        <f t="shared" si="42"/>
        <v>3080000</v>
      </c>
      <c r="T138" s="24">
        <v>5</v>
      </c>
      <c r="U138" s="41"/>
      <c r="V138" s="24">
        <v>0.5</v>
      </c>
      <c r="W138" s="41">
        <f t="shared" si="49"/>
        <v>0</v>
      </c>
      <c r="X138" s="24"/>
      <c r="Y138" s="41">
        <f t="shared" si="50"/>
        <v>0</v>
      </c>
      <c r="Z138" s="41">
        <f t="shared" si="51"/>
        <v>0</v>
      </c>
      <c r="AA138" s="24">
        <v>5</v>
      </c>
      <c r="AB138" s="41">
        <v>3080000</v>
      </c>
      <c r="AC138" s="41">
        <f t="shared" si="46"/>
        <v>0</v>
      </c>
      <c r="AD138" s="70" t="s">
        <v>226</v>
      </c>
      <c r="AE138" s="56"/>
      <c r="AF138" s="1">
        <v>3080000</v>
      </c>
      <c r="AG138" s="168">
        <f t="shared" si="52"/>
        <v>0</v>
      </c>
      <c r="AH138" s="5"/>
      <c r="AI138" s="5"/>
    </row>
    <row r="139" spans="1:35" s="1" customFormat="1" x14ac:dyDescent="0.25">
      <c r="A139" s="21">
        <v>29</v>
      </c>
      <c r="B139" s="22" t="s">
        <v>1649</v>
      </c>
      <c r="C139" s="50" t="s">
        <v>227</v>
      </c>
      <c r="D139" s="51" t="s">
        <v>215</v>
      </c>
      <c r="E139" s="52" t="s">
        <v>228</v>
      </c>
      <c r="F139" s="52"/>
      <c r="G139" s="52" t="s">
        <v>61</v>
      </c>
      <c r="H139" s="52" t="s">
        <v>62</v>
      </c>
      <c r="I139" s="52">
        <v>2015</v>
      </c>
      <c r="J139" s="52"/>
      <c r="K139" s="52" t="s">
        <v>63</v>
      </c>
      <c r="L139" s="52" t="s">
        <v>64</v>
      </c>
      <c r="M139" s="52">
        <v>1</v>
      </c>
      <c r="N139" s="53">
        <f t="shared" si="48"/>
        <v>1999800</v>
      </c>
      <c r="O139" s="53">
        <v>1999800</v>
      </c>
      <c r="P139" s="52"/>
      <c r="Q139" s="52"/>
      <c r="R139" s="52"/>
      <c r="S139" s="53">
        <f t="shared" si="42"/>
        <v>1999800</v>
      </c>
      <c r="T139" s="52">
        <v>5</v>
      </c>
      <c r="U139" s="53">
        <f t="shared" ref="U139:U148" si="53">SUM(S139/T139)</f>
        <v>399960</v>
      </c>
      <c r="V139" s="52">
        <v>0.5</v>
      </c>
      <c r="W139" s="53"/>
      <c r="X139" s="52"/>
      <c r="Y139" s="53">
        <f>SUM(U139*X139)</f>
        <v>0</v>
      </c>
      <c r="Z139" s="53"/>
      <c r="AA139" s="57">
        <v>5</v>
      </c>
      <c r="AB139" s="53">
        <f t="shared" ref="AB139:AB148" si="54">SUM(U139*AA139)</f>
        <v>1999800</v>
      </c>
      <c r="AC139" s="53">
        <f t="shared" si="46"/>
        <v>0</v>
      </c>
      <c r="AD139" s="56" t="s">
        <v>229</v>
      </c>
      <c r="AE139" s="56"/>
      <c r="AF139" s="1">
        <v>1999800</v>
      </c>
      <c r="AG139" s="168">
        <f t="shared" si="52"/>
        <v>0</v>
      </c>
      <c r="AH139" s="5"/>
      <c r="AI139" s="5"/>
    </row>
    <row r="140" spans="1:35" s="1" customFormat="1" x14ac:dyDescent="0.25">
      <c r="A140" s="21">
        <v>30</v>
      </c>
      <c r="B140" s="22" t="s">
        <v>1649</v>
      </c>
      <c r="C140" s="50" t="s">
        <v>230</v>
      </c>
      <c r="D140" s="51" t="s">
        <v>215</v>
      </c>
      <c r="E140" s="52" t="s">
        <v>228</v>
      </c>
      <c r="F140" s="52"/>
      <c r="G140" s="52" t="s">
        <v>61</v>
      </c>
      <c r="H140" s="52" t="s">
        <v>62</v>
      </c>
      <c r="I140" s="52">
        <v>2015</v>
      </c>
      <c r="J140" s="52"/>
      <c r="K140" s="52" t="s">
        <v>63</v>
      </c>
      <c r="L140" s="52" t="s">
        <v>64</v>
      </c>
      <c r="M140" s="52">
        <v>1</v>
      </c>
      <c r="N140" s="53">
        <f t="shared" si="48"/>
        <v>1999800</v>
      </c>
      <c r="O140" s="53">
        <v>1999800</v>
      </c>
      <c r="P140" s="52"/>
      <c r="Q140" s="52"/>
      <c r="R140" s="52"/>
      <c r="S140" s="53">
        <f t="shared" si="42"/>
        <v>1999800</v>
      </c>
      <c r="T140" s="52">
        <v>5</v>
      </c>
      <c r="U140" s="53">
        <f t="shared" si="53"/>
        <v>399960</v>
      </c>
      <c r="V140" s="52">
        <v>0.5</v>
      </c>
      <c r="W140" s="53"/>
      <c r="X140" s="52"/>
      <c r="Y140" s="53">
        <f t="shared" ref="Y140:Y166" si="55">SUM(U140*X140)</f>
        <v>0</v>
      </c>
      <c r="Z140" s="53"/>
      <c r="AA140" s="57">
        <v>5</v>
      </c>
      <c r="AB140" s="53">
        <f t="shared" si="54"/>
        <v>1999800</v>
      </c>
      <c r="AC140" s="53">
        <f t="shared" si="46"/>
        <v>0</v>
      </c>
      <c r="AD140" s="56" t="s">
        <v>231</v>
      </c>
      <c r="AE140" s="56"/>
      <c r="AF140" s="1">
        <v>1999800</v>
      </c>
      <c r="AG140" s="168">
        <f t="shared" si="52"/>
        <v>0</v>
      </c>
      <c r="AH140" s="5"/>
      <c r="AI140" s="5"/>
    </row>
    <row r="141" spans="1:35" s="1" customFormat="1" x14ac:dyDescent="0.25">
      <c r="A141" s="21">
        <v>31</v>
      </c>
      <c r="B141" s="22" t="s">
        <v>1649</v>
      </c>
      <c r="C141" s="50" t="s">
        <v>232</v>
      </c>
      <c r="D141" s="51" t="s">
        <v>215</v>
      </c>
      <c r="E141" s="52" t="s">
        <v>228</v>
      </c>
      <c r="F141" s="52"/>
      <c r="G141" s="52" t="s">
        <v>61</v>
      </c>
      <c r="H141" s="52" t="s">
        <v>62</v>
      </c>
      <c r="I141" s="52">
        <v>2015</v>
      </c>
      <c r="J141" s="52"/>
      <c r="K141" s="52" t="s">
        <v>63</v>
      </c>
      <c r="L141" s="52" t="s">
        <v>64</v>
      </c>
      <c r="M141" s="52">
        <v>1</v>
      </c>
      <c r="N141" s="53">
        <f t="shared" si="48"/>
        <v>1999800</v>
      </c>
      <c r="O141" s="53">
        <v>1999800</v>
      </c>
      <c r="P141" s="52"/>
      <c r="Q141" s="52"/>
      <c r="R141" s="52"/>
      <c r="S141" s="53">
        <f t="shared" si="42"/>
        <v>1999800</v>
      </c>
      <c r="T141" s="52">
        <v>5</v>
      </c>
      <c r="U141" s="53">
        <f t="shared" si="53"/>
        <v>399960</v>
      </c>
      <c r="V141" s="52">
        <v>0.5</v>
      </c>
      <c r="W141" s="53"/>
      <c r="X141" s="52"/>
      <c r="Y141" s="53">
        <f t="shared" si="55"/>
        <v>0</v>
      </c>
      <c r="Z141" s="53"/>
      <c r="AA141" s="52">
        <v>5</v>
      </c>
      <c r="AB141" s="53">
        <f t="shared" si="54"/>
        <v>1999800</v>
      </c>
      <c r="AC141" s="53">
        <f t="shared" si="46"/>
        <v>0</v>
      </c>
      <c r="AD141" s="56" t="s">
        <v>233</v>
      </c>
      <c r="AE141" s="56"/>
      <c r="AF141" s="1">
        <v>1999800</v>
      </c>
      <c r="AG141" s="168">
        <f t="shared" si="52"/>
        <v>0</v>
      </c>
      <c r="AH141" s="5"/>
      <c r="AI141" s="5"/>
    </row>
    <row r="142" spans="1:35" s="1" customFormat="1" x14ac:dyDescent="0.25">
      <c r="A142" s="21">
        <v>32</v>
      </c>
      <c r="B142" s="22" t="s">
        <v>1649</v>
      </c>
      <c r="C142" s="50" t="s">
        <v>234</v>
      </c>
      <c r="D142" s="51" t="s">
        <v>215</v>
      </c>
      <c r="E142" s="52" t="s">
        <v>228</v>
      </c>
      <c r="F142" s="52"/>
      <c r="G142" s="52" t="s">
        <v>61</v>
      </c>
      <c r="H142" s="52" t="s">
        <v>62</v>
      </c>
      <c r="I142" s="52">
        <v>2015</v>
      </c>
      <c r="J142" s="52"/>
      <c r="K142" s="52" t="s">
        <v>63</v>
      </c>
      <c r="L142" s="52" t="s">
        <v>64</v>
      </c>
      <c r="M142" s="52">
        <v>1</v>
      </c>
      <c r="N142" s="53">
        <f t="shared" si="48"/>
        <v>1999800</v>
      </c>
      <c r="O142" s="53">
        <v>1999800</v>
      </c>
      <c r="P142" s="52"/>
      <c r="Q142" s="52"/>
      <c r="R142" s="52"/>
      <c r="S142" s="53">
        <f t="shared" si="42"/>
        <v>1999800</v>
      </c>
      <c r="T142" s="52">
        <v>5</v>
      </c>
      <c r="U142" s="53">
        <f t="shared" si="53"/>
        <v>399960</v>
      </c>
      <c r="V142" s="52">
        <v>0.5</v>
      </c>
      <c r="W142" s="53"/>
      <c r="X142" s="52"/>
      <c r="Y142" s="53">
        <f t="shared" si="55"/>
        <v>0</v>
      </c>
      <c r="Z142" s="53"/>
      <c r="AA142" s="52">
        <v>5</v>
      </c>
      <c r="AB142" s="53">
        <f t="shared" si="54"/>
        <v>1999800</v>
      </c>
      <c r="AC142" s="53">
        <f t="shared" si="46"/>
        <v>0</v>
      </c>
      <c r="AD142" s="56" t="s">
        <v>235</v>
      </c>
      <c r="AE142" s="56"/>
      <c r="AF142" s="1">
        <v>1999800</v>
      </c>
      <c r="AG142" s="168">
        <f t="shared" si="52"/>
        <v>0</v>
      </c>
      <c r="AH142" s="5"/>
      <c r="AI142" s="5"/>
    </row>
    <row r="143" spans="1:35" s="1" customFormat="1" x14ac:dyDescent="0.25">
      <c r="A143" s="21">
        <v>33</v>
      </c>
      <c r="B143" s="22" t="s">
        <v>1649</v>
      </c>
      <c r="C143" s="50" t="s">
        <v>236</v>
      </c>
      <c r="D143" s="51" t="s">
        <v>215</v>
      </c>
      <c r="E143" s="52" t="s">
        <v>228</v>
      </c>
      <c r="F143" s="52"/>
      <c r="G143" s="52" t="s">
        <v>61</v>
      </c>
      <c r="H143" s="52" t="s">
        <v>62</v>
      </c>
      <c r="I143" s="52">
        <v>2015</v>
      </c>
      <c r="J143" s="52"/>
      <c r="K143" s="52" t="s">
        <v>63</v>
      </c>
      <c r="L143" s="52" t="s">
        <v>64</v>
      </c>
      <c r="M143" s="52">
        <v>1</v>
      </c>
      <c r="N143" s="53">
        <f t="shared" si="48"/>
        <v>1999800</v>
      </c>
      <c r="O143" s="53">
        <v>1999800</v>
      </c>
      <c r="P143" s="52"/>
      <c r="Q143" s="52"/>
      <c r="R143" s="52"/>
      <c r="S143" s="53">
        <f t="shared" ref="S143:S170" si="56">SUM(O143-R143)</f>
        <v>1999800</v>
      </c>
      <c r="T143" s="52">
        <v>5</v>
      </c>
      <c r="U143" s="53">
        <f t="shared" si="53"/>
        <v>399960</v>
      </c>
      <c r="V143" s="52">
        <v>0.5</v>
      </c>
      <c r="W143" s="53"/>
      <c r="X143" s="52"/>
      <c r="Y143" s="53">
        <f t="shared" si="55"/>
        <v>0</v>
      </c>
      <c r="Z143" s="53"/>
      <c r="AA143" s="52">
        <v>5</v>
      </c>
      <c r="AB143" s="53">
        <f t="shared" si="54"/>
        <v>1999800</v>
      </c>
      <c r="AC143" s="53">
        <f t="shared" ref="AC143:AC170" si="57">SUM(O143-AB143)</f>
        <v>0</v>
      </c>
      <c r="AD143" s="56" t="s">
        <v>237</v>
      </c>
      <c r="AE143" s="56"/>
      <c r="AF143" s="1">
        <v>1999800</v>
      </c>
      <c r="AG143" s="168">
        <f t="shared" si="52"/>
        <v>0</v>
      </c>
      <c r="AH143" s="5"/>
      <c r="AI143" s="5"/>
    </row>
    <row r="144" spans="1:35" s="1" customFormat="1" x14ac:dyDescent="0.25">
      <c r="A144" s="21">
        <v>34</v>
      </c>
      <c r="B144" s="22" t="s">
        <v>1649</v>
      </c>
      <c r="C144" s="50" t="s">
        <v>238</v>
      </c>
      <c r="D144" s="51" t="s">
        <v>215</v>
      </c>
      <c r="E144" s="52" t="s">
        <v>228</v>
      </c>
      <c r="F144" s="52"/>
      <c r="G144" s="52" t="s">
        <v>61</v>
      </c>
      <c r="H144" s="52" t="s">
        <v>62</v>
      </c>
      <c r="I144" s="52">
        <v>2015</v>
      </c>
      <c r="J144" s="52"/>
      <c r="K144" s="52" t="s">
        <v>63</v>
      </c>
      <c r="L144" s="52" t="s">
        <v>64</v>
      </c>
      <c r="M144" s="52">
        <v>1</v>
      </c>
      <c r="N144" s="53">
        <f t="shared" si="48"/>
        <v>1999800</v>
      </c>
      <c r="O144" s="53">
        <v>1999800</v>
      </c>
      <c r="P144" s="52"/>
      <c r="Q144" s="52"/>
      <c r="R144" s="52"/>
      <c r="S144" s="53">
        <f t="shared" si="56"/>
        <v>1999800</v>
      </c>
      <c r="T144" s="52">
        <v>5</v>
      </c>
      <c r="U144" s="53">
        <f t="shared" si="53"/>
        <v>399960</v>
      </c>
      <c r="V144" s="52">
        <v>0.5</v>
      </c>
      <c r="W144" s="53"/>
      <c r="X144" s="52"/>
      <c r="Y144" s="53">
        <f t="shared" si="55"/>
        <v>0</v>
      </c>
      <c r="Z144" s="53"/>
      <c r="AA144" s="52">
        <v>5</v>
      </c>
      <c r="AB144" s="53">
        <f t="shared" si="54"/>
        <v>1999800</v>
      </c>
      <c r="AC144" s="53">
        <f t="shared" si="57"/>
        <v>0</v>
      </c>
      <c r="AD144" s="56" t="s">
        <v>239</v>
      </c>
      <c r="AE144" s="56"/>
      <c r="AF144" s="1">
        <v>1999800</v>
      </c>
      <c r="AG144" s="168">
        <f t="shared" si="52"/>
        <v>0</v>
      </c>
      <c r="AH144" s="5"/>
      <c r="AI144" s="5"/>
    </row>
    <row r="145" spans="1:35" s="1" customFormat="1" x14ac:dyDescent="0.25">
      <c r="A145" s="21">
        <v>35</v>
      </c>
      <c r="B145" s="22" t="s">
        <v>1649</v>
      </c>
      <c r="C145" s="50" t="s">
        <v>240</v>
      </c>
      <c r="D145" s="51" t="s">
        <v>215</v>
      </c>
      <c r="E145" s="52" t="s">
        <v>228</v>
      </c>
      <c r="F145" s="52"/>
      <c r="G145" s="52" t="s">
        <v>61</v>
      </c>
      <c r="H145" s="52" t="s">
        <v>62</v>
      </c>
      <c r="I145" s="52">
        <v>2015</v>
      </c>
      <c r="J145" s="52"/>
      <c r="K145" s="52" t="s">
        <v>63</v>
      </c>
      <c r="L145" s="52" t="s">
        <v>64</v>
      </c>
      <c r="M145" s="52">
        <v>1</v>
      </c>
      <c r="N145" s="53">
        <f t="shared" si="48"/>
        <v>1999800</v>
      </c>
      <c r="O145" s="53">
        <v>1999800</v>
      </c>
      <c r="P145" s="52"/>
      <c r="Q145" s="52"/>
      <c r="R145" s="52"/>
      <c r="S145" s="53">
        <f t="shared" si="56"/>
        <v>1999800</v>
      </c>
      <c r="T145" s="52">
        <v>5</v>
      </c>
      <c r="U145" s="53">
        <f t="shared" si="53"/>
        <v>399960</v>
      </c>
      <c r="V145" s="52">
        <v>0.5</v>
      </c>
      <c r="W145" s="53"/>
      <c r="X145" s="52"/>
      <c r="Y145" s="53">
        <f t="shared" si="55"/>
        <v>0</v>
      </c>
      <c r="Z145" s="53"/>
      <c r="AA145" s="52">
        <v>5</v>
      </c>
      <c r="AB145" s="53">
        <f t="shared" si="54"/>
        <v>1999800</v>
      </c>
      <c r="AC145" s="53">
        <f t="shared" si="57"/>
        <v>0</v>
      </c>
      <c r="AD145" s="56" t="s">
        <v>241</v>
      </c>
      <c r="AE145" s="56"/>
      <c r="AF145" s="1">
        <v>1999800</v>
      </c>
      <c r="AG145" s="168">
        <f t="shared" si="52"/>
        <v>0</v>
      </c>
      <c r="AH145" s="5"/>
      <c r="AI145" s="5"/>
    </row>
    <row r="146" spans="1:35" s="1" customFormat="1" x14ac:dyDescent="0.25">
      <c r="A146" s="21">
        <v>36</v>
      </c>
      <c r="B146" s="22" t="s">
        <v>1649</v>
      </c>
      <c r="C146" s="50" t="s">
        <v>242</v>
      </c>
      <c r="D146" s="51" t="s">
        <v>215</v>
      </c>
      <c r="E146" s="52" t="s">
        <v>228</v>
      </c>
      <c r="F146" s="52"/>
      <c r="G146" s="52" t="s">
        <v>61</v>
      </c>
      <c r="H146" s="52" t="s">
        <v>62</v>
      </c>
      <c r="I146" s="52">
        <v>2015</v>
      </c>
      <c r="J146" s="52"/>
      <c r="K146" s="52" t="s">
        <v>63</v>
      </c>
      <c r="L146" s="52" t="s">
        <v>64</v>
      </c>
      <c r="M146" s="52">
        <v>1</v>
      </c>
      <c r="N146" s="53">
        <f t="shared" si="48"/>
        <v>1999800</v>
      </c>
      <c r="O146" s="53">
        <v>1999800</v>
      </c>
      <c r="P146" s="52"/>
      <c r="Q146" s="52"/>
      <c r="R146" s="52"/>
      <c r="S146" s="53">
        <f t="shared" si="56"/>
        <v>1999800</v>
      </c>
      <c r="T146" s="52">
        <v>5</v>
      </c>
      <c r="U146" s="53">
        <f t="shared" si="53"/>
        <v>399960</v>
      </c>
      <c r="V146" s="52">
        <v>0.5</v>
      </c>
      <c r="W146" s="53"/>
      <c r="X146" s="52"/>
      <c r="Y146" s="53">
        <f t="shared" si="55"/>
        <v>0</v>
      </c>
      <c r="Z146" s="53"/>
      <c r="AA146" s="52">
        <v>5</v>
      </c>
      <c r="AB146" s="53">
        <f t="shared" si="54"/>
        <v>1999800</v>
      </c>
      <c r="AC146" s="53">
        <f t="shared" si="57"/>
        <v>0</v>
      </c>
      <c r="AD146" s="56" t="s">
        <v>243</v>
      </c>
      <c r="AE146" s="56"/>
      <c r="AF146" s="1">
        <v>1999800</v>
      </c>
      <c r="AG146" s="168">
        <f t="shared" si="52"/>
        <v>0</v>
      </c>
      <c r="AH146" s="5"/>
      <c r="AI146" s="5"/>
    </row>
    <row r="147" spans="1:35" s="1" customFormat="1" x14ac:dyDescent="0.25">
      <c r="A147" s="21">
        <v>37</v>
      </c>
      <c r="B147" s="22" t="s">
        <v>1649</v>
      </c>
      <c r="C147" s="50" t="s">
        <v>244</v>
      </c>
      <c r="D147" s="51" t="s">
        <v>215</v>
      </c>
      <c r="E147" s="52" t="s">
        <v>228</v>
      </c>
      <c r="F147" s="52"/>
      <c r="G147" s="52" t="s">
        <v>61</v>
      </c>
      <c r="H147" s="52" t="s">
        <v>62</v>
      </c>
      <c r="I147" s="52">
        <v>2015</v>
      </c>
      <c r="J147" s="52"/>
      <c r="K147" s="52" t="s">
        <v>63</v>
      </c>
      <c r="L147" s="52" t="s">
        <v>64</v>
      </c>
      <c r="M147" s="52">
        <v>1</v>
      </c>
      <c r="N147" s="53">
        <f t="shared" si="48"/>
        <v>1999800</v>
      </c>
      <c r="O147" s="53">
        <v>1999800</v>
      </c>
      <c r="P147" s="52"/>
      <c r="Q147" s="52"/>
      <c r="R147" s="52"/>
      <c r="S147" s="53">
        <f t="shared" si="56"/>
        <v>1999800</v>
      </c>
      <c r="T147" s="52">
        <v>5</v>
      </c>
      <c r="U147" s="53">
        <f t="shared" si="53"/>
        <v>399960</v>
      </c>
      <c r="V147" s="52">
        <v>0.5</v>
      </c>
      <c r="W147" s="53"/>
      <c r="X147" s="52"/>
      <c r="Y147" s="53">
        <f t="shared" si="55"/>
        <v>0</v>
      </c>
      <c r="Z147" s="53"/>
      <c r="AA147" s="52">
        <v>5</v>
      </c>
      <c r="AB147" s="53">
        <f t="shared" si="54"/>
        <v>1999800</v>
      </c>
      <c r="AC147" s="53">
        <f t="shared" si="57"/>
        <v>0</v>
      </c>
      <c r="AD147" s="56" t="s">
        <v>245</v>
      </c>
      <c r="AE147" s="56"/>
      <c r="AF147" s="1">
        <v>1999800</v>
      </c>
      <c r="AG147" s="168">
        <f t="shared" si="52"/>
        <v>0</v>
      </c>
      <c r="AH147" s="5"/>
      <c r="AI147" s="5"/>
    </row>
    <row r="148" spans="1:35" s="1" customFormat="1" x14ac:dyDescent="0.25">
      <c r="A148" s="21">
        <v>38</v>
      </c>
      <c r="B148" s="22" t="s">
        <v>1649</v>
      </c>
      <c r="C148" s="50" t="s">
        <v>246</v>
      </c>
      <c r="D148" s="51" t="s">
        <v>215</v>
      </c>
      <c r="E148" s="52" t="s">
        <v>228</v>
      </c>
      <c r="F148" s="52"/>
      <c r="G148" s="52" t="s">
        <v>61</v>
      </c>
      <c r="H148" s="52" t="s">
        <v>62</v>
      </c>
      <c r="I148" s="52">
        <v>2015</v>
      </c>
      <c r="J148" s="52"/>
      <c r="K148" s="52" t="s">
        <v>63</v>
      </c>
      <c r="L148" s="52" t="s">
        <v>64</v>
      </c>
      <c r="M148" s="52">
        <v>1</v>
      </c>
      <c r="N148" s="53">
        <f t="shared" si="48"/>
        <v>1999800</v>
      </c>
      <c r="O148" s="53">
        <v>1999800</v>
      </c>
      <c r="P148" s="52"/>
      <c r="Q148" s="52"/>
      <c r="R148" s="52"/>
      <c r="S148" s="53">
        <f t="shared" si="56"/>
        <v>1999800</v>
      </c>
      <c r="T148" s="52">
        <v>5</v>
      </c>
      <c r="U148" s="53">
        <f t="shared" si="53"/>
        <v>399960</v>
      </c>
      <c r="V148" s="52">
        <v>0.5</v>
      </c>
      <c r="W148" s="53"/>
      <c r="X148" s="52"/>
      <c r="Y148" s="53">
        <f t="shared" si="55"/>
        <v>0</v>
      </c>
      <c r="Z148" s="53"/>
      <c r="AA148" s="52">
        <v>5</v>
      </c>
      <c r="AB148" s="53">
        <f t="shared" si="54"/>
        <v>1999800</v>
      </c>
      <c r="AC148" s="53">
        <f t="shared" si="57"/>
        <v>0</v>
      </c>
      <c r="AD148" s="56" t="s">
        <v>245</v>
      </c>
      <c r="AE148" s="56"/>
      <c r="AF148" s="1">
        <v>1999800</v>
      </c>
      <c r="AG148" s="168">
        <f t="shared" si="52"/>
        <v>0</v>
      </c>
      <c r="AH148" s="5"/>
      <c r="AI148" s="5"/>
    </row>
    <row r="149" spans="1:35" s="1" customFormat="1" x14ac:dyDescent="0.25">
      <c r="A149" s="21">
        <v>39</v>
      </c>
      <c r="B149" s="22" t="s">
        <v>1650</v>
      </c>
      <c r="C149" s="50" t="s">
        <v>317</v>
      </c>
      <c r="D149" s="51" t="s">
        <v>318</v>
      </c>
      <c r="E149" s="52" t="s">
        <v>166</v>
      </c>
      <c r="F149" s="52"/>
      <c r="G149" s="52" t="s">
        <v>319</v>
      </c>
      <c r="H149" s="52" t="s">
        <v>62</v>
      </c>
      <c r="I149" s="52">
        <v>2014</v>
      </c>
      <c r="J149" s="52"/>
      <c r="K149" s="52" t="s">
        <v>63</v>
      </c>
      <c r="L149" s="52" t="s">
        <v>64</v>
      </c>
      <c r="M149" s="52">
        <v>3</v>
      </c>
      <c r="N149" s="53">
        <f t="shared" si="48"/>
        <v>2640000</v>
      </c>
      <c r="O149" s="53">
        <v>7920000</v>
      </c>
      <c r="P149" s="52"/>
      <c r="Q149" s="52"/>
      <c r="R149" s="52"/>
      <c r="S149" s="53">
        <f t="shared" si="56"/>
        <v>7920000</v>
      </c>
      <c r="T149" s="52">
        <v>5</v>
      </c>
      <c r="U149" s="53"/>
      <c r="V149" s="52">
        <v>0.5</v>
      </c>
      <c r="W149" s="53">
        <f t="shared" ref="W149:W167" si="58">SUM(U149*V149)</f>
        <v>0</v>
      </c>
      <c r="X149" s="52"/>
      <c r="Y149" s="53">
        <f t="shared" si="55"/>
        <v>0</v>
      </c>
      <c r="Z149" s="53">
        <f t="shared" ref="Z149:Z167" si="59">SUM(W149+Y149)</f>
        <v>0</v>
      </c>
      <c r="AA149" s="52">
        <v>5</v>
      </c>
      <c r="AB149" s="53">
        <v>7920000</v>
      </c>
      <c r="AC149" s="53">
        <f t="shared" si="57"/>
        <v>0</v>
      </c>
      <c r="AD149" s="56" t="s">
        <v>320</v>
      </c>
      <c r="AE149" s="56"/>
      <c r="AF149" s="1">
        <v>7920000</v>
      </c>
      <c r="AG149" s="168">
        <f t="shared" si="52"/>
        <v>0</v>
      </c>
      <c r="AH149" s="5"/>
      <c r="AI149" s="5"/>
    </row>
    <row r="150" spans="1:35" s="1" customFormat="1" x14ac:dyDescent="0.25">
      <c r="A150" s="21">
        <v>40</v>
      </c>
      <c r="B150" s="22" t="s">
        <v>1650</v>
      </c>
      <c r="C150" s="50" t="s">
        <v>321</v>
      </c>
      <c r="D150" s="51" t="s">
        <v>318</v>
      </c>
      <c r="E150" s="52" t="s">
        <v>166</v>
      </c>
      <c r="F150" s="52"/>
      <c r="G150" s="52" t="s">
        <v>319</v>
      </c>
      <c r="H150" s="52" t="s">
        <v>62</v>
      </c>
      <c r="I150" s="52">
        <v>2014</v>
      </c>
      <c r="J150" s="52"/>
      <c r="K150" s="52" t="s">
        <v>63</v>
      </c>
      <c r="L150" s="52" t="s">
        <v>64</v>
      </c>
      <c r="M150" s="52">
        <v>3</v>
      </c>
      <c r="N150" s="53">
        <f t="shared" si="48"/>
        <v>2640000</v>
      </c>
      <c r="O150" s="53">
        <v>7920000</v>
      </c>
      <c r="P150" s="52"/>
      <c r="Q150" s="52"/>
      <c r="R150" s="52"/>
      <c r="S150" s="53">
        <f t="shared" si="56"/>
        <v>7920000</v>
      </c>
      <c r="T150" s="52">
        <v>5</v>
      </c>
      <c r="U150" s="53"/>
      <c r="V150" s="52">
        <v>0.5</v>
      </c>
      <c r="W150" s="53">
        <f t="shared" si="58"/>
        <v>0</v>
      </c>
      <c r="X150" s="52"/>
      <c r="Y150" s="53">
        <f t="shared" si="55"/>
        <v>0</v>
      </c>
      <c r="Z150" s="53">
        <f t="shared" si="59"/>
        <v>0</v>
      </c>
      <c r="AA150" s="52">
        <v>5</v>
      </c>
      <c r="AB150" s="53">
        <v>7920000</v>
      </c>
      <c r="AC150" s="53">
        <f t="shared" si="57"/>
        <v>0</v>
      </c>
      <c r="AD150" s="56" t="s">
        <v>322</v>
      </c>
      <c r="AE150" s="56"/>
      <c r="AF150" s="1">
        <v>7920000</v>
      </c>
      <c r="AG150" s="168">
        <f t="shared" si="52"/>
        <v>0</v>
      </c>
      <c r="AH150" s="5"/>
      <c r="AI150" s="5"/>
    </row>
    <row r="151" spans="1:35" s="1" customFormat="1" x14ac:dyDescent="0.25">
      <c r="A151" s="21">
        <v>41</v>
      </c>
      <c r="B151" s="22" t="s">
        <v>1650</v>
      </c>
      <c r="C151" s="50" t="s">
        <v>323</v>
      </c>
      <c r="D151" s="51" t="s">
        <v>318</v>
      </c>
      <c r="E151" s="52" t="s">
        <v>166</v>
      </c>
      <c r="F151" s="52"/>
      <c r="G151" s="52" t="s">
        <v>319</v>
      </c>
      <c r="H151" s="52" t="s">
        <v>62</v>
      </c>
      <c r="I151" s="52">
        <v>2014</v>
      </c>
      <c r="J151" s="52"/>
      <c r="K151" s="52" t="s">
        <v>63</v>
      </c>
      <c r="L151" s="52" t="s">
        <v>64</v>
      </c>
      <c r="M151" s="52">
        <v>3</v>
      </c>
      <c r="N151" s="53">
        <f t="shared" si="48"/>
        <v>2640000</v>
      </c>
      <c r="O151" s="53">
        <v>7920000</v>
      </c>
      <c r="P151" s="52"/>
      <c r="Q151" s="52"/>
      <c r="R151" s="52"/>
      <c r="S151" s="53">
        <f t="shared" si="56"/>
        <v>7920000</v>
      </c>
      <c r="T151" s="52">
        <v>5</v>
      </c>
      <c r="U151" s="53"/>
      <c r="V151" s="52">
        <v>0.5</v>
      </c>
      <c r="W151" s="53">
        <f t="shared" si="58"/>
        <v>0</v>
      </c>
      <c r="X151" s="52"/>
      <c r="Y151" s="53">
        <f t="shared" si="55"/>
        <v>0</v>
      </c>
      <c r="Z151" s="53">
        <f t="shared" si="59"/>
        <v>0</v>
      </c>
      <c r="AA151" s="52">
        <v>5</v>
      </c>
      <c r="AB151" s="53">
        <v>7920000</v>
      </c>
      <c r="AC151" s="53">
        <f t="shared" si="57"/>
        <v>0</v>
      </c>
      <c r="AD151" s="56" t="s">
        <v>324</v>
      </c>
      <c r="AE151" s="56"/>
      <c r="AF151" s="1">
        <v>7920000</v>
      </c>
      <c r="AG151" s="168">
        <f t="shared" si="52"/>
        <v>0</v>
      </c>
      <c r="AH151" s="5"/>
      <c r="AI151" s="5"/>
    </row>
    <row r="152" spans="1:35" s="1" customFormat="1" x14ac:dyDescent="0.25">
      <c r="A152" s="21">
        <v>42</v>
      </c>
      <c r="B152" s="22" t="s">
        <v>1650</v>
      </c>
      <c r="C152" s="50" t="s">
        <v>325</v>
      </c>
      <c r="D152" s="51" t="s">
        <v>318</v>
      </c>
      <c r="E152" s="52" t="s">
        <v>166</v>
      </c>
      <c r="F152" s="52"/>
      <c r="G152" s="52" t="s">
        <v>319</v>
      </c>
      <c r="H152" s="52" t="s">
        <v>62</v>
      </c>
      <c r="I152" s="52">
        <v>2014</v>
      </c>
      <c r="J152" s="52"/>
      <c r="K152" s="52" t="s">
        <v>63</v>
      </c>
      <c r="L152" s="52" t="s">
        <v>64</v>
      </c>
      <c r="M152" s="52">
        <v>3</v>
      </c>
      <c r="N152" s="53">
        <f t="shared" si="48"/>
        <v>2640000</v>
      </c>
      <c r="O152" s="53">
        <v>7920000</v>
      </c>
      <c r="P152" s="52"/>
      <c r="Q152" s="52"/>
      <c r="R152" s="52"/>
      <c r="S152" s="53">
        <f t="shared" si="56"/>
        <v>7920000</v>
      </c>
      <c r="T152" s="52">
        <v>5</v>
      </c>
      <c r="U152" s="53"/>
      <c r="V152" s="52">
        <v>0.5</v>
      </c>
      <c r="W152" s="53">
        <f t="shared" si="58"/>
        <v>0</v>
      </c>
      <c r="X152" s="52"/>
      <c r="Y152" s="53">
        <f t="shared" si="55"/>
        <v>0</v>
      </c>
      <c r="Z152" s="53">
        <f t="shared" si="59"/>
        <v>0</v>
      </c>
      <c r="AA152" s="52">
        <v>5</v>
      </c>
      <c r="AB152" s="53">
        <v>7920000</v>
      </c>
      <c r="AC152" s="53">
        <f t="shared" si="57"/>
        <v>0</v>
      </c>
      <c r="AD152" s="56" t="s">
        <v>326</v>
      </c>
      <c r="AE152" s="56"/>
      <c r="AF152" s="1">
        <v>7920000</v>
      </c>
      <c r="AG152" s="168">
        <f t="shared" si="52"/>
        <v>0</v>
      </c>
      <c r="AH152" s="5"/>
      <c r="AI152" s="5"/>
    </row>
    <row r="153" spans="1:35" s="1" customFormat="1" x14ac:dyDescent="0.25">
      <c r="A153" s="21">
        <v>43</v>
      </c>
      <c r="B153" s="22" t="s">
        <v>1650</v>
      </c>
      <c r="C153" s="50" t="s">
        <v>327</v>
      </c>
      <c r="D153" s="51" t="s">
        <v>318</v>
      </c>
      <c r="E153" s="52" t="s">
        <v>166</v>
      </c>
      <c r="F153" s="52"/>
      <c r="G153" s="52" t="s">
        <v>319</v>
      </c>
      <c r="H153" s="52" t="s">
        <v>62</v>
      </c>
      <c r="I153" s="52">
        <v>2014</v>
      </c>
      <c r="J153" s="52"/>
      <c r="K153" s="52" t="s">
        <v>63</v>
      </c>
      <c r="L153" s="52" t="s">
        <v>64</v>
      </c>
      <c r="M153" s="52">
        <v>1</v>
      </c>
      <c r="N153" s="53">
        <f t="shared" si="48"/>
        <v>2640000</v>
      </c>
      <c r="O153" s="53">
        <v>2640000</v>
      </c>
      <c r="P153" s="52"/>
      <c r="Q153" s="52"/>
      <c r="R153" s="52"/>
      <c r="S153" s="53">
        <f t="shared" si="56"/>
        <v>2640000</v>
      </c>
      <c r="T153" s="52">
        <v>5</v>
      </c>
      <c r="U153" s="53"/>
      <c r="V153" s="52">
        <v>0.5</v>
      </c>
      <c r="W153" s="53">
        <f t="shared" si="58"/>
        <v>0</v>
      </c>
      <c r="X153" s="52"/>
      <c r="Y153" s="53">
        <f t="shared" si="55"/>
        <v>0</v>
      </c>
      <c r="Z153" s="53">
        <f t="shared" si="59"/>
        <v>0</v>
      </c>
      <c r="AA153" s="52">
        <v>5</v>
      </c>
      <c r="AB153" s="53">
        <v>2640000</v>
      </c>
      <c r="AC153" s="53">
        <f t="shared" si="57"/>
        <v>0</v>
      </c>
      <c r="AD153" s="56" t="s">
        <v>328</v>
      </c>
      <c r="AE153" s="56"/>
      <c r="AF153" s="1">
        <v>2640000</v>
      </c>
      <c r="AG153" s="168">
        <f t="shared" si="52"/>
        <v>0</v>
      </c>
      <c r="AH153" s="5"/>
      <c r="AI153" s="5"/>
    </row>
    <row r="154" spans="1:35" s="1" customFormat="1" x14ac:dyDescent="0.25">
      <c r="A154" s="21">
        <v>44</v>
      </c>
      <c r="B154" s="22" t="s">
        <v>1650</v>
      </c>
      <c r="C154" s="50" t="s">
        <v>329</v>
      </c>
      <c r="D154" s="51" t="s">
        <v>318</v>
      </c>
      <c r="E154" s="52" t="s">
        <v>166</v>
      </c>
      <c r="F154" s="52"/>
      <c r="G154" s="52" t="s">
        <v>319</v>
      </c>
      <c r="H154" s="52" t="s">
        <v>62</v>
      </c>
      <c r="I154" s="52">
        <v>2014</v>
      </c>
      <c r="J154" s="52"/>
      <c r="K154" s="52" t="s">
        <v>63</v>
      </c>
      <c r="L154" s="52" t="s">
        <v>64</v>
      </c>
      <c r="M154" s="52">
        <v>1</v>
      </c>
      <c r="N154" s="53">
        <f t="shared" si="48"/>
        <v>2640000</v>
      </c>
      <c r="O154" s="53">
        <v>2640000</v>
      </c>
      <c r="P154" s="52"/>
      <c r="Q154" s="52"/>
      <c r="R154" s="52"/>
      <c r="S154" s="53">
        <f t="shared" si="56"/>
        <v>2640000</v>
      </c>
      <c r="T154" s="52">
        <v>5</v>
      </c>
      <c r="U154" s="53"/>
      <c r="V154" s="52">
        <v>0.5</v>
      </c>
      <c r="W154" s="53">
        <f t="shared" si="58"/>
        <v>0</v>
      </c>
      <c r="X154" s="52"/>
      <c r="Y154" s="53">
        <f t="shared" si="55"/>
        <v>0</v>
      </c>
      <c r="Z154" s="53">
        <f t="shared" si="59"/>
        <v>0</v>
      </c>
      <c r="AA154" s="52">
        <v>5</v>
      </c>
      <c r="AB154" s="53">
        <v>2640000</v>
      </c>
      <c r="AC154" s="53">
        <f t="shared" si="57"/>
        <v>0</v>
      </c>
      <c r="AD154" s="56" t="s">
        <v>276</v>
      </c>
      <c r="AE154" s="56"/>
      <c r="AF154" s="1">
        <v>2640000</v>
      </c>
      <c r="AG154" s="168">
        <f t="shared" si="52"/>
        <v>0</v>
      </c>
      <c r="AH154" s="5"/>
      <c r="AI154" s="5"/>
    </row>
    <row r="155" spans="1:35" s="1" customFormat="1" x14ac:dyDescent="0.25">
      <c r="A155" s="21">
        <v>45</v>
      </c>
      <c r="B155" s="22" t="s">
        <v>1650</v>
      </c>
      <c r="C155" s="50" t="s">
        <v>330</v>
      </c>
      <c r="D155" s="51" t="s">
        <v>318</v>
      </c>
      <c r="E155" s="52" t="s">
        <v>166</v>
      </c>
      <c r="F155" s="52"/>
      <c r="G155" s="52" t="s">
        <v>319</v>
      </c>
      <c r="H155" s="52" t="s">
        <v>62</v>
      </c>
      <c r="I155" s="52">
        <v>2014</v>
      </c>
      <c r="J155" s="52"/>
      <c r="K155" s="52" t="s">
        <v>63</v>
      </c>
      <c r="L155" s="52" t="s">
        <v>64</v>
      </c>
      <c r="M155" s="52">
        <v>1</v>
      </c>
      <c r="N155" s="53">
        <f t="shared" si="48"/>
        <v>2640000</v>
      </c>
      <c r="O155" s="53">
        <v>2640000</v>
      </c>
      <c r="P155" s="52"/>
      <c r="Q155" s="52"/>
      <c r="R155" s="52"/>
      <c r="S155" s="53">
        <f t="shared" si="56"/>
        <v>2640000</v>
      </c>
      <c r="T155" s="52">
        <v>5</v>
      </c>
      <c r="U155" s="53"/>
      <c r="V155" s="52">
        <v>0.5</v>
      </c>
      <c r="W155" s="53">
        <f t="shared" si="58"/>
        <v>0</v>
      </c>
      <c r="X155" s="52"/>
      <c r="Y155" s="53">
        <f t="shared" si="55"/>
        <v>0</v>
      </c>
      <c r="Z155" s="53">
        <f t="shared" si="59"/>
        <v>0</v>
      </c>
      <c r="AA155" s="169">
        <v>5</v>
      </c>
      <c r="AB155" s="53">
        <v>2640000</v>
      </c>
      <c r="AC155" s="53">
        <f t="shared" si="57"/>
        <v>0</v>
      </c>
      <c r="AD155" s="56" t="s">
        <v>331</v>
      </c>
      <c r="AE155" s="56"/>
      <c r="AF155" s="1">
        <v>2640000</v>
      </c>
      <c r="AG155" s="168">
        <f t="shared" si="52"/>
        <v>0</v>
      </c>
      <c r="AH155" s="5"/>
      <c r="AI155" s="5"/>
    </row>
    <row r="156" spans="1:35" s="1" customFormat="1" x14ac:dyDescent="0.25">
      <c r="A156" s="21">
        <v>46</v>
      </c>
      <c r="B156" s="22" t="s">
        <v>1650</v>
      </c>
      <c r="C156" s="50" t="s">
        <v>332</v>
      </c>
      <c r="D156" s="51" t="s">
        <v>318</v>
      </c>
      <c r="E156" s="52" t="s">
        <v>166</v>
      </c>
      <c r="F156" s="52"/>
      <c r="G156" s="52" t="s">
        <v>319</v>
      </c>
      <c r="H156" s="52" t="s">
        <v>62</v>
      </c>
      <c r="I156" s="52">
        <v>2014</v>
      </c>
      <c r="J156" s="52"/>
      <c r="K156" s="52" t="s">
        <v>63</v>
      </c>
      <c r="L156" s="52" t="s">
        <v>64</v>
      </c>
      <c r="M156" s="52">
        <v>1</v>
      </c>
      <c r="N156" s="53">
        <f t="shared" si="48"/>
        <v>2640000</v>
      </c>
      <c r="O156" s="53">
        <v>2640000</v>
      </c>
      <c r="P156" s="52"/>
      <c r="Q156" s="52"/>
      <c r="R156" s="52"/>
      <c r="S156" s="53">
        <f t="shared" si="56"/>
        <v>2640000</v>
      </c>
      <c r="T156" s="52">
        <v>5</v>
      </c>
      <c r="U156" s="53"/>
      <c r="V156" s="52">
        <v>0.5</v>
      </c>
      <c r="W156" s="53">
        <f t="shared" si="58"/>
        <v>0</v>
      </c>
      <c r="X156" s="52"/>
      <c r="Y156" s="53">
        <f t="shared" si="55"/>
        <v>0</v>
      </c>
      <c r="Z156" s="53">
        <f t="shared" si="59"/>
        <v>0</v>
      </c>
      <c r="AA156" s="169">
        <v>5</v>
      </c>
      <c r="AB156" s="53">
        <v>2640000</v>
      </c>
      <c r="AC156" s="53">
        <f t="shared" si="57"/>
        <v>0</v>
      </c>
      <c r="AD156" s="56" t="s">
        <v>333</v>
      </c>
      <c r="AE156" s="56"/>
      <c r="AF156" s="1">
        <v>2640000</v>
      </c>
      <c r="AG156" s="168">
        <f t="shared" si="52"/>
        <v>0</v>
      </c>
      <c r="AH156" s="5"/>
      <c r="AI156" s="5"/>
    </row>
    <row r="157" spans="1:35" s="1" customFormat="1" x14ac:dyDescent="0.25">
      <c r="A157" s="21">
        <v>47</v>
      </c>
      <c r="B157" s="22" t="s">
        <v>1650</v>
      </c>
      <c r="C157" s="50" t="s">
        <v>75</v>
      </c>
      <c r="D157" s="51" t="s">
        <v>334</v>
      </c>
      <c r="E157" s="52" t="s">
        <v>166</v>
      </c>
      <c r="F157" s="52"/>
      <c r="G157" s="52" t="s">
        <v>319</v>
      </c>
      <c r="H157" s="52" t="s">
        <v>62</v>
      </c>
      <c r="I157" s="52">
        <v>2010</v>
      </c>
      <c r="J157" s="52"/>
      <c r="K157" s="52" t="s">
        <v>63</v>
      </c>
      <c r="L157" s="52" t="s">
        <v>64</v>
      </c>
      <c r="M157" s="52">
        <v>1</v>
      </c>
      <c r="N157" s="53">
        <f t="shared" si="48"/>
        <v>9350000</v>
      </c>
      <c r="O157" s="53">
        <v>9350000</v>
      </c>
      <c r="P157" s="52"/>
      <c r="Q157" s="52"/>
      <c r="R157" s="52"/>
      <c r="S157" s="53">
        <f t="shared" si="56"/>
        <v>9350000</v>
      </c>
      <c r="T157" s="52">
        <v>5</v>
      </c>
      <c r="U157" s="53"/>
      <c r="V157" s="52">
        <v>0.5</v>
      </c>
      <c r="W157" s="53">
        <f t="shared" si="58"/>
        <v>0</v>
      </c>
      <c r="X157" s="52"/>
      <c r="Y157" s="53">
        <f t="shared" si="55"/>
        <v>0</v>
      </c>
      <c r="Z157" s="53">
        <f t="shared" si="59"/>
        <v>0</v>
      </c>
      <c r="AA157" s="169">
        <v>5</v>
      </c>
      <c r="AB157" s="53">
        <v>9350000</v>
      </c>
      <c r="AC157" s="53">
        <f t="shared" si="57"/>
        <v>0</v>
      </c>
      <c r="AD157" s="56" t="s">
        <v>259</v>
      </c>
      <c r="AE157" s="56"/>
      <c r="AF157" s="1">
        <v>9350000</v>
      </c>
      <c r="AG157" s="168">
        <f t="shared" si="52"/>
        <v>0</v>
      </c>
      <c r="AH157" s="5"/>
      <c r="AI157" s="5"/>
    </row>
    <row r="158" spans="1:35" s="1" customFormat="1" x14ac:dyDescent="0.25">
      <c r="A158" s="21">
        <v>48</v>
      </c>
      <c r="B158" s="22" t="s">
        <v>1650</v>
      </c>
      <c r="C158" s="50" t="s">
        <v>79</v>
      </c>
      <c r="D158" s="51" t="s">
        <v>334</v>
      </c>
      <c r="E158" s="52" t="s">
        <v>166</v>
      </c>
      <c r="F158" s="52"/>
      <c r="G158" s="52" t="s">
        <v>319</v>
      </c>
      <c r="H158" s="52" t="s">
        <v>62</v>
      </c>
      <c r="I158" s="52">
        <v>2011</v>
      </c>
      <c r="J158" s="52"/>
      <c r="K158" s="52" t="s">
        <v>63</v>
      </c>
      <c r="L158" s="52" t="s">
        <v>64</v>
      </c>
      <c r="M158" s="52">
        <v>1</v>
      </c>
      <c r="N158" s="53">
        <f t="shared" si="48"/>
        <v>5000000</v>
      </c>
      <c r="O158" s="53">
        <v>5000000</v>
      </c>
      <c r="P158" s="52"/>
      <c r="Q158" s="52"/>
      <c r="R158" s="52"/>
      <c r="S158" s="53">
        <f t="shared" si="56"/>
        <v>5000000</v>
      </c>
      <c r="T158" s="52">
        <v>5</v>
      </c>
      <c r="U158" s="53"/>
      <c r="V158" s="52">
        <v>0.5</v>
      </c>
      <c r="W158" s="53">
        <f t="shared" si="58"/>
        <v>0</v>
      </c>
      <c r="X158" s="52"/>
      <c r="Y158" s="53">
        <f t="shared" si="55"/>
        <v>0</v>
      </c>
      <c r="Z158" s="53">
        <f t="shared" si="59"/>
        <v>0</v>
      </c>
      <c r="AA158" s="169">
        <v>5</v>
      </c>
      <c r="AB158" s="53">
        <v>5000000</v>
      </c>
      <c r="AC158" s="53">
        <f t="shared" si="57"/>
        <v>0</v>
      </c>
      <c r="AD158" s="56" t="s">
        <v>335</v>
      </c>
      <c r="AE158" s="56"/>
      <c r="AF158" s="1">
        <v>5000000</v>
      </c>
      <c r="AG158" s="168">
        <f t="shared" si="52"/>
        <v>0</v>
      </c>
      <c r="AH158" s="5"/>
      <c r="AI158" s="5"/>
    </row>
    <row r="159" spans="1:35" s="1" customFormat="1" x14ac:dyDescent="0.25">
      <c r="A159" s="21">
        <v>49</v>
      </c>
      <c r="B159" s="22" t="s">
        <v>1650</v>
      </c>
      <c r="C159" s="50" t="s">
        <v>336</v>
      </c>
      <c r="D159" s="51" t="s">
        <v>334</v>
      </c>
      <c r="E159" s="52" t="s">
        <v>166</v>
      </c>
      <c r="F159" s="52"/>
      <c r="G159" s="52" t="s">
        <v>319</v>
      </c>
      <c r="H159" s="52" t="s">
        <v>62</v>
      </c>
      <c r="I159" s="52">
        <v>2014</v>
      </c>
      <c r="J159" s="52"/>
      <c r="K159" s="52" t="s">
        <v>63</v>
      </c>
      <c r="L159" s="52" t="s">
        <v>64</v>
      </c>
      <c r="M159" s="52">
        <v>2</v>
      </c>
      <c r="N159" s="53">
        <f t="shared" si="48"/>
        <v>4290000</v>
      </c>
      <c r="O159" s="53">
        <v>8580000</v>
      </c>
      <c r="P159" s="52"/>
      <c r="Q159" s="52"/>
      <c r="R159" s="52"/>
      <c r="S159" s="53">
        <f t="shared" si="56"/>
        <v>8580000</v>
      </c>
      <c r="T159" s="52">
        <v>5</v>
      </c>
      <c r="U159" s="53"/>
      <c r="V159" s="52">
        <v>0.5</v>
      </c>
      <c r="W159" s="53">
        <f t="shared" si="58"/>
        <v>0</v>
      </c>
      <c r="X159" s="52"/>
      <c r="Y159" s="53">
        <f t="shared" si="55"/>
        <v>0</v>
      </c>
      <c r="Z159" s="53">
        <f t="shared" si="59"/>
        <v>0</v>
      </c>
      <c r="AA159" s="52">
        <v>5</v>
      </c>
      <c r="AB159" s="53">
        <v>8580000</v>
      </c>
      <c r="AC159" s="53">
        <f t="shared" si="57"/>
        <v>0</v>
      </c>
      <c r="AD159" s="56" t="s">
        <v>320</v>
      </c>
      <c r="AE159" s="56"/>
      <c r="AF159" s="1">
        <v>8580000</v>
      </c>
      <c r="AG159" s="168">
        <f t="shared" si="52"/>
        <v>0</v>
      </c>
      <c r="AH159" s="5"/>
      <c r="AI159" s="5"/>
    </row>
    <row r="160" spans="1:35" s="1" customFormat="1" x14ac:dyDescent="0.25">
      <c r="A160" s="21">
        <v>50</v>
      </c>
      <c r="B160" s="22" t="s">
        <v>1650</v>
      </c>
      <c r="C160" s="50" t="s">
        <v>337</v>
      </c>
      <c r="D160" s="51" t="s">
        <v>334</v>
      </c>
      <c r="E160" s="52" t="s">
        <v>166</v>
      </c>
      <c r="F160" s="52"/>
      <c r="G160" s="52" t="s">
        <v>319</v>
      </c>
      <c r="H160" s="52" t="s">
        <v>62</v>
      </c>
      <c r="I160" s="52">
        <v>2014</v>
      </c>
      <c r="J160" s="52"/>
      <c r="K160" s="52" t="s">
        <v>63</v>
      </c>
      <c r="L160" s="52" t="s">
        <v>64</v>
      </c>
      <c r="M160" s="52">
        <v>2</v>
      </c>
      <c r="N160" s="53">
        <f t="shared" si="48"/>
        <v>4290000</v>
      </c>
      <c r="O160" s="53">
        <v>8580000</v>
      </c>
      <c r="P160" s="52"/>
      <c r="Q160" s="52"/>
      <c r="R160" s="52"/>
      <c r="S160" s="53">
        <f t="shared" si="56"/>
        <v>8580000</v>
      </c>
      <c r="T160" s="52">
        <v>5</v>
      </c>
      <c r="U160" s="53"/>
      <c r="V160" s="52">
        <v>0.5</v>
      </c>
      <c r="W160" s="53">
        <f t="shared" si="58"/>
        <v>0</v>
      </c>
      <c r="X160" s="52"/>
      <c r="Y160" s="53">
        <f t="shared" si="55"/>
        <v>0</v>
      </c>
      <c r="Z160" s="53">
        <f t="shared" si="59"/>
        <v>0</v>
      </c>
      <c r="AA160" s="52">
        <v>5</v>
      </c>
      <c r="AB160" s="53">
        <v>8580000</v>
      </c>
      <c r="AC160" s="53">
        <f t="shared" si="57"/>
        <v>0</v>
      </c>
      <c r="AD160" s="56" t="s">
        <v>322</v>
      </c>
      <c r="AE160" s="56"/>
      <c r="AF160" s="1">
        <v>8580000</v>
      </c>
      <c r="AG160" s="168">
        <f t="shared" si="52"/>
        <v>0</v>
      </c>
      <c r="AH160" s="5"/>
      <c r="AI160" s="5"/>
    </row>
    <row r="161" spans="1:35" s="1" customFormat="1" x14ac:dyDescent="0.25">
      <c r="A161" s="21">
        <v>51</v>
      </c>
      <c r="B161" s="22" t="s">
        <v>1650</v>
      </c>
      <c r="C161" s="50" t="s">
        <v>338</v>
      </c>
      <c r="D161" s="51" t="s">
        <v>334</v>
      </c>
      <c r="E161" s="52" t="s">
        <v>166</v>
      </c>
      <c r="F161" s="52"/>
      <c r="G161" s="52" t="s">
        <v>319</v>
      </c>
      <c r="H161" s="52" t="s">
        <v>62</v>
      </c>
      <c r="I161" s="52">
        <v>2014</v>
      </c>
      <c r="J161" s="52"/>
      <c r="K161" s="52" t="s">
        <v>63</v>
      </c>
      <c r="L161" s="52" t="s">
        <v>64</v>
      </c>
      <c r="M161" s="52">
        <v>2</v>
      </c>
      <c r="N161" s="53">
        <f t="shared" si="48"/>
        <v>4290000</v>
      </c>
      <c r="O161" s="53">
        <v>8580000</v>
      </c>
      <c r="P161" s="52"/>
      <c r="Q161" s="52"/>
      <c r="R161" s="52"/>
      <c r="S161" s="53">
        <f t="shared" si="56"/>
        <v>8580000</v>
      </c>
      <c r="T161" s="52">
        <v>5</v>
      </c>
      <c r="U161" s="53"/>
      <c r="V161" s="52">
        <v>0.5</v>
      </c>
      <c r="W161" s="53">
        <f t="shared" si="58"/>
        <v>0</v>
      </c>
      <c r="X161" s="52"/>
      <c r="Y161" s="53">
        <f t="shared" si="55"/>
        <v>0</v>
      </c>
      <c r="Z161" s="53">
        <f t="shared" si="59"/>
        <v>0</v>
      </c>
      <c r="AA161" s="52">
        <v>5</v>
      </c>
      <c r="AB161" s="53">
        <v>8580000</v>
      </c>
      <c r="AC161" s="53">
        <f t="shared" si="57"/>
        <v>0</v>
      </c>
      <c r="AD161" s="56" t="s">
        <v>326</v>
      </c>
      <c r="AE161" s="56"/>
      <c r="AF161" s="1">
        <v>8580000</v>
      </c>
      <c r="AG161" s="168">
        <f t="shared" si="52"/>
        <v>0</v>
      </c>
      <c r="AH161" s="5"/>
      <c r="AI161" s="5"/>
    </row>
    <row r="162" spans="1:35" s="1" customFormat="1" x14ac:dyDescent="0.25">
      <c r="A162" s="21">
        <v>52</v>
      </c>
      <c r="B162" s="50" t="s">
        <v>1650</v>
      </c>
      <c r="C162" s="73" t="s">
        <v>339</v>
      </c>
      <c r="D162" s="51" t="s">
        <v>334</v>
      </c>
      <c r="E162" s="52" t="s">
        <v>166</v>
      </c>
      <c r="F162" s="52"/>
      <c r="G162" s="52" t="s">
        <v>319</v>
      </c>
      <c r="H162" s="52" t="s">
        <v>62</v>
      </c>
      <c r="I162" s="52">
        <v>2014</v>
      </c>
      <c r="J162" s="52"/>
      <c r="K162" s="52" t="s">
        <v>63</v>
      </c>
      <c r="L162" s="52" t="s">
        <v>64</v>
      </c>
      <c r="M162" s="52">
        <v>2</v>
      </c>
      <c r="N162" s="53">
        <f t="shared" si="48"/>
        <v>4290000</v>
      </c>
      <c r="O162" s="53">
        <v>8580000</v>
      </c>
      <c r="P162" s="52"/>
      <c r="Q162" s="52"/>
      <c r="R162" s="52"/>
      <c r="S162" s="53">
        <f t="shared" si="56"/>
        <v>8580000</v>
      </c>
      <c r="T162" s="52">
        <v>5</v>
      </c>
      <c r="U162" s="53"/>
      <c r="V162" s="52">
        <v>0.5</v>
      </c>
      <c r="W162" s="53">
        <f t="shared" si="58"/>
        <v>0</v>
      </c>
      <c r="X162" s="52"/>
      <c r="Y162" s="53">
        <f t="shared" si="55"/>
        <v>0</v>
      </c>
      <c r="Z162" s="53">
        <f t="shared" si="59"/>
        <v>0</v>
      </c>
      <c r="AA162" s="52">
        <v>5</v>
      </c>
      <c r="AB162" s="53">
        <v>8580000</v>
      </c>
      <c r="AC162" s="53">
        <f t="shared" si="57"/>
        <v>0</v>
      </c>
      <c r="AD162" s="56" t="s">
        <v>324</v>
      </c>
      <c r="AE162" s="56"/>
      <c r="AF162" s="1">
        <v>8580000</v>
      </c>
      <c r="AG162" s="168">
        <f t="shared" si="52"/>
        <v>0</v>
      </c>
      <c r="AH162" s="5"/>
      <c r="AI162" s="5"/>
    </row>
    <row r="163" spans="1:35" s="1" customFormat="1" x14ac:dyDescent="0.25">
      <c r="A163" s="21">
        <v>53</v>
      </c>
      <c r="B163" s="22" t="s">
        <v>1650</v>
      </c>
      <c r="C163" s="22" t="s">
        <v>340</v>
      </c>
      <c r="D163" s="51" t="s">
        <v>334</v>
      </c>
      <c r="E163" s="24" t="s">
        <v>166</v>
      </c>
      <c r="F163" s="52"/>
      <c r="G163" s="52" t="s">
        <v>319</v>
      </c>
      <c r="H163" s="52" t="s">
        <v>62</v>
      </c>
      <c r="I163" s="52">
        <v>2014</v>
      </c>
      <c r="J163" s="52"/>
      <c r="K163" s="52" t="s">
        <v>63</v>
      </c>
      <c r="L163" s="52" t="s">
        <v>64</v>
      </c>
      <c r="M163" s="52">
        <v>2</v>
      </c>
      <c r="N163" s="53">
        <f t="shared" si="48"/>
        <v>4290000</v>
      </c>
      <c r="O163" s="53">
        <v>8580000</v>
      </c>
      <c r="P163" s="52"/>
      <c r="Q163" s="52"/>
      <c r="R163" s="52"/>
      <c r="S163" s="53">
        <f t="shared" si="56"/>
        <v>8580000</v>
      </c>
      <c r="T163" s="52">
        <v>5</v>
      </c>
      <c r="U163" s="53"/>
      <c r="V163" s="52">
        <v>0.5</v>
      </c>
      <c r="W163" s="53">
        <f t="shared" si="58"/>
        <v>0</v>
      </c>
      <c r="X163" s="52"/>
      <c r="Y163" s="53">
        <f t="shared" si="55"/>
        <v>0</v>
      </c>
      <c r="Z163" s="53">
        <f t="shared" si="59"/>
        <v>0</v>
      </c>
      <c r="AA163" s="52">
        <v>5</v>
      </c>
      <c r="AB163" s="53">
        <v>8580000</v>
      </c>
      <c r="AC163" s="53">
        <f t="shared" si="57"/>
        <v>0</v>
      </c>
      <c r="AD163" s="56" t="s">
        <v>328</v>
      </c>
      <c r="AE163" s="56"/>
      <c r="AF163" s="1">
        <v>8580000</v>
      </c>
      <c r="AG163" s="168">
        <f t="shared" si="52"/>
        <v>0</v>
      </c>
      <c r="AH163" s="5"/>
      <c r="AI163" s="5"/>
    </row>
    <row r="164" spans="1:35" s="1" customFormat="1" x14ac:dyDescent="0.25">
      <c r="A164" s="21">
        <v>54</v>
      </c>
      <c r="B164" s="22" t="s">
        <v>1650</v>
      </c>
      <c r="C164" s="22" t="s">
        <v>143</v>
      </c>
      <c r="D164" s="51" t="s">
        <v>334</v>
      </c>
      <c r="E164" s="24" t="s">
        <v>166</v>
      </c>
      <c r="F164" s="52"/>
      <c r="G164" s="52" t="s">
        <v>319</v>
      </c>
      <c r="H164" s="52" t="s">
        <v>62</v>
      </c>
      <c r="I164" s="52">
        <v>2014</v>
      </c>
      <c r="J164" s="52"/>
      <c r="K164" s="52" t="s">
        <v>63</v>
      </c>
      <c r="L164" s="52" t="s">
        <v>64</v>
      </c>
      <c r="M164" s="52">
        <v>1</v>
      </c>
      <c r="N164" s="53">
        <f t="shared" si="48"/>
        <v>4290000</v>
      </c>
      <c r="O164" s="53">
        <v>4290000</v>
      </c>
      <c r="P164" s="52"/>
      <c r="Q164" s="52"/>
      <c r="R164" s="52"/>
      <c r="S164" s="53">
        <f t="shared" si="56"/>
        <v>4290000</v>
      </c>
      <c r="T164" s="52">
        <v>5</v>
      </c>
      <c r="U164" s="53"/>
      <c r="V164" s="52">
        <v>0.5</v>
      </c>
      <c r="W164" s="53">
        <f t="shared" si="58"/>
        <v>0</v>
      </c>
      <c r="X164" s="52"/>
      <c r="Y164" s="53">
        <f t="shared" si="55"/>
        <v>0</v>
      </c>
      <c r="Z164" s="53">
        <f t="shared" si="59"/>
        <v>0</v>
      </c>
      <c r="AA164" s="52">
        <v>5</v>
      </c>
      <c r="AB164" s="53">
        <v>4290000</v>
      </c>
      <c r="AC164" s="53">
        <f t="shared" si="57"/>
        <v>0</v>
      </c>
      <c r="AD164" s="56" t="s">
        <v>333</v>
      </c>
      <c r="AE164" s="56"/>
      <c r="AF164" s="1">
        <v>4290000</v>
      </c>
      <c r="AG164" s="168">
        <f t="shared" si="52"/>
        <v>0</v>
      </c>
      <c r="AH164" s="5"/>
      <c r="AI164" s="5"/>
    </row>
    <row r="165" spans="1:35" s="1" customFormat="1" x14ac:dyDescent="0.25">
      <c r="A165" s="21">
        <v>55</v>
      </c>
      <c r="B165" s="22" t="s">
        <v>1650</v>
      </c>
      <c r="C165" s="22" t="s">
        <v>341</v>
      </c>
      <c r="D165" s="51" t="s">
        <v>334</v>
      </c>
      <c r="E165" s="24" t="s">
        <v>166</v>
      </c>
      <c r="F165" s="52"/>
      <c r="G165" s="52" t="s">
        <v>319</v>
      </c>
      <c r="H165" s="52" t="s">
        <v>62</v>
      </c>
      <c r="I165" s="52">
        <v>2014</v>
      </c>
      <c r="J165" s="52"/>
      <c r="K165" s="52" t="s">
        <v>63</v>
      </c>
      <c r="L165" s="52" t="s">
        <v>64</v>
      </c>
      <c r="M165" s="52">
        <v>2</v>
      </c>
      <c r="N165" s="53">
        <f t="shared" si="48"/>
        <v>4290000</v>
      </c>
      <c r="O165" s="53">
        <v>8580000</v>
      </c>
      <c r="P165" s="52"/>
      <c r="Q165" s="52"/>
      <c r="R165" s="52"/>
      <c r="S165" s="53">
        <f t="shared" si="56"/>
        <v>8580000</v>
      </c>
      <c r="T165" s="52">
        <v>5</v>
      </c>
      <c r="U165" s="53"/>
      <c r="V165" s="52">
        <v>0.5</v>
      </c>
      <c r="W165" s="53">
        <f t="shared" si="58"/>
        <v>0</v>
      </c>
      <c r="X165" s="52"/>
      <c r="Y165" s="53">
        <f t="shared" si="55"/>
        <v>0</v>
      </c>
      <c r="Z165" s="53">
        <f t="shared" si="59"/>
        <v>0</v>
      </c>
      <c r="AA165" s="52">
        <v>5</v>
      </c>
      <c r="AB165" s="53">
        <v>8580000</v>
      </c>
      <c r="AC165" s="53">
        <f t="shared" si="57"/>
        <v>0</v>
      </c>
      <c r="AD165" s="56" t="s">
        <v>331</v>
      </c>
      <c r="AE165" s="56"/>
      <c r="AF165" s="1">
        <v>8580000</v>
      </c>
      <c r="AG165" s="168">
        <f t="shared" si="52"/>
        <v>0</v>
      </c>
      <c r="AH165" s="5"/>
      <c r="AI165" s="5"/>
    </row>
    <row r="166" spans="1:35" s="1" customFormat="1" x14ac:dyDescent="0.25">
      <c r="A166" s="21">
        <v>56</v>
      </c>
      <c r="B166" s="22" t="s">
        <v>1650</v>
      </c>
      <c r="C166" s="22" t="s">
        <v>342</v>
      </c>
      <c r="D166" s="51" t="s">
        <v>334</v>
      </c>
      <c r="E166" s="24" t="s">
        <v>166</v>
      </c>
      <c r="F166" s="52"/>
      <c r="G166" s="52" t="s">
        <v>319</v>
      </c>
      <c r="H166" s="52" t="s">
        <v>62</v>
      </c>
      <c r="I166" s="52">
        <v>2014</v>
      </c>
      <c r="J166" s="52"/>
      <c r="K166" s="52" t="s">
        <v>63</v>
      </c>
      <c r="L166" s="52" t="s">
        <v>64</v>
      </c>
      <c r="M166" s="52">
        <v>2</v>
      </c>
      <c r="N166" s="53">
        <f t="shared" si="48"/>
        <v>4290000</v>
      </c>
      <c r="O166" s="53">
        <v>8580000</v>
      </c>
      <c r="P166" s="52"/>
      <c r="Q166" s="52"/>
      <c r="R166" s="52"/>
      <c r="S166" s="53">
        <f t="shared" si="56"/>
        <v>8580000</v>
      </c>
      <c r="T166" s="52">
        <v>5</v>
      </c>
      <c r="U166" s="53"/>
      <c r="V166" s="52">
        <v>0.5</v>
      </c>
      <c r="W166" s="53">
        <f t="shared" si="58"/>
        <v>0</v>
      </c>
      <c r="X166" s="52"/>
      <c r="Y166" s="53">
        <f t="shared" si="55"/>
        <v>0</v>
      </c>
      <c r="Z166" s="53">
        <f t="shared" si="59"/>
        <v>0</v>
      </c>
      <c r="AA166" s="52">
        <v>5</v>
      </c>
      <c r="AB166" s="53">
        <v>8580000</v>
      </c>
      <c r="AC166" s="53">
        <f t="shared" si="57"/>
        <v>0</v>
      </c>
      <c r="AD166" s="56" t="s">
        <v>276</v>
      </c>
      <c r="AE166" s="56"/>
      <c r="AF166" s="1">
        <v>8580000</v>
      </c>
      <c r="AG166" s="168">
        <f t="shared" si="52"/>
        <v>0</v>
      </c>
      <c r="AH166" s="5"/>
      <c r="AI166" s="5"/>
    </row>
    <row r="167" spans="1:35" s="1" customFormat="1" x14ac:dyDescent="0.25">
      <c r="A167" s="21">
        <v>57</v>
      </c>
      <c r="B167" s="308" t="s">
        <v>1650</v>
      </c>
      <c r="C167" s="308" t="s">
        <v>159</v>
      </c>
      <c r="D167" s="309" t="s">
        <v>334</v>
      </c>
      <c r="E167" s="310"/>
      <c r="F167" s="310"/>
      <c r="G167" s="310" t="s">
        <v>61</v>
      </c>
      <c r="H167" s="310" t="s">
        <v>62</v>
      </c>
      <c r="I167" s="310">
        <v>2023</v>
      </c>
      <c r="J167" s="310"/>
      <c r="K167" s="310" t="s">
        <v>63</v>
      </c>
      <c r="L167" s="310" t="s">
        <v>64</v>
      </c>
      <c r="M167" s="310">
        <v>1</v>
      </c>
      <c r="N167" s="311">
        <f t="shared" si="48"/>
        <v>10700000</v>
      </c>
      <c r="O167" s="311">
        <v>10700000</v>
      </c>
      <c r="P167" s="310"/>
      <c r="Q167" s="310"/>
      <c r="R167" s="310"/>
      <c r="S167" s="311">
        <f t="shared" si="56"/>
        <v>10700000</v>
      </c>
      <c r="T167" s="310">
        <v>5</v>
      </c>
      <c r="U167" s="311">
        <f t="shared" ref="U167:U168" si="60">SUM(S167/T167)</f>
        <v>2140000</v>
      </c>
      <c r="V167" s="312">
        <f>1/12</f>
        <v>8.3333333333333329E-2</v>
      </c>
      <c r="W167" s="311">
        <f t="shared" si="58"/>
        <v>178333.33333333331</v>
      </c>
      <c r="X167" s="310"/>
      <c r="Y167" s="311"/>
      <c r="Z167" s="311">
        <f t="shared" si="59"/>
        <v>178333.33333333331</v>
      </c>
      <c r="AA167" s="312">
        <f>1/12</f>
        <v>8.3333333333333329E-2</v>
      </c>
      <c r="AB167" s="311">
        <f t="shared" ref="AB167:AB168" si="61">SUM(U167*AA167)</f>
        <v>178333.33333333331</v>
      </c>
      <c r="AC167" s="311">
        <f t="shared" si="57"/>
        <v>10521666.666666666</v>
      </c>
      <c r="AD167" s="313"/>
      <c r="AE167" s="313"/>
      <c r="AG167" s="168"/>
      <c r="AH167" s="5"/>
      <c r="AI167" s="5"/>
    </row>
    <row r="168" spans="1:35" s="1" customFormat="1" x14ac:dyDescent="0.25">
      <c r="A168" s="21">
        <v>58</v>
      </c>
      <c r="B168" s="22" t="s">
        <v>1650</v>
      </c>
      <c r="C168" s="22" t="s">
        <v>58</v>
      </c>
      <c r="D168" s="51" t="s">
        <v>454</v>
      </c>
      <c r="E168" s="24" t="s">
        <v>455</v>
      </c>
      <c r="F168" s="52"/>
      <c r="G168" s="52" t="s">
        <v>61</v>
      </c>
      <c r="H168" s="52" t="s">
        <v>62</v>
      </c>
      <c r="I168" s="52">
        <v>2015</v>
      </c>
      <c r="J168" s="52"/>
      <c r="K168" s="52" t="s">
        <v>63</v>
      </c>
      <c r="L168" s="52" t="s">
        <v>64</v>
      </c>
      <c r="M168" s="52">
        <v>1</v>
      </c>
      <c r="N168" s="53">
        <f t="shared" si="48"/>
        <v>4999500</v>
      </c>
      <c r="O168" s="53">
        <v>4999500</v>
      </c>
      <c r="P168" s="52"/>
      <c r="Q168" s="52"/>
      <c r="R168" s="52"/>
      <c r="S168" s="53">
        <f t="shared" si="56"/>
        <v>4999500</v>
      </c>
      <c r="T168" s="52">
        <v>5</v>
      </c>
      <c r="U168" s="53">
        <f t="shared" si="60"/>
        <v>999900</v>
      </c>
      <c r="V168" s="52">
        <v>0.5</v>
      </c>
      <c r="W168" s="53"/>
      <c r="X168" s="52"/>
      <c r="Y168" s="53">
        <f t="shared" ref="Y168" si="62">SUM(U168*X168)</f>
        <v>0</v>
      </c>
      <c r="Z168" s="53"/>
      <c r="AA168" s="52">
        <v>5</v>
      </c>
      <c r="AB168" s="53">
        <f t="shared" si="61"/>
        <v>4999500</v>
      </c>
      <c r="AC168" s="53">
        <f t="shared" si="57"/>
        <v>0</v>
      </c>
      <c r="AD168" s="56"/>
      <c r="AE168" s="56"/>
      <c r="AF168" s="1">
        <v>4999500</v>
      </c>
      <c r="AG168" s="168">
        <f t="shared" si="52"/>
        <v>0</v>
      </c>
      <c r="AH168" s="5"/>
      <c r="AI168" s="5"/>
    </row>
    <row r="169" spans="1:35" s="1" customFormat="1" x14ac:dyDescent="0.25">
      <c r="A169" s="21">
        <v>59</v>
      </c>
      <c r="B169" s="22" t="s">
        <v>1651</v>
      </c>
      <c r="C169" s="22" t="s">
        <v>209</v>
      </c>
      <c r="D169" s="51" t="s">
        <v>934</v>
      </c>
      <c r="E169" s="24"/>
      <c r="F169" s="52"/>
      <c r="G169" s="52" t="s">
        <v>61</v>
      </c>
      <c r="H169" s="52" t="s">
        <v>62</v>
      </c>
      <c r="I169" s="52">
        <v>2017</v>
      </c>
      <c r="J169" s="52"/>
      <c r="K169" s="52" t="s">
        <v>63</v>
      </c>
      <c r="L169" s="52" t="s">
        <v>64</v>
      </c>
      <c r="M169" s="52">
        <v>2</v>
      </c>
      <c r="N169" s="53">
        <f>SUM(O169/M169)</f>
        <v>4994000</v>
      </c>
      <c r="O169" s="53">
        <v>9988000</v>
      </c>
      <c r="P169" s="52"/>
      <c r="Q169" s="52"/>
      <c r="R169" s="52"/>
      <c r="S169" s="53">
        <f t="shared" si="56"/>
        <v>9988000</v>
      </c>
      <c r="T169" s="52">
        <v>5</v>
      </c>
      <c r="U169" s="53">
        <f>SUM(S169/T169)</f>
        <v>1997600</v>
      </c>
      <c r="V169" s="52"/>
      <c r="W169" s="53">
        <f>SUM(U169*V169)</f>
        <v>0</v>
      </c>
      <c r="X169" s="52"/>
      <c r="Y169" s="53"/>
      <c r="Z169" s="53">
        <f>SUM(W169+Y169)</f>
        <v>0</v>
      </c>
      <c r="AA169" s="52">
        <v>5</v>
      </c>
      <c r="AB169" s="53">
        <v>9988000</v>
      </c>
      <c r="AC169" s="53">
        <f t="shared" si="57"/>
        <v>0</v>
      </c>
      <c r="AD169" s="56" t="s">
        <v>226</v>
      </c>
      <c r="AE169" s="56"/>
      <c r="AF169" s="1">
        <v>9988000</v>
      </c>
      <c r="AG169" s="168">
        <f t="shared" si="52"/>
        <v>0</v>
      </c>
      <c r="AH169" s="5"/>
      <c r="AI169" s="5"/>
    </row>
    <row r="170" spans="1:35" s="1" customFormat="1" x14ac:dyDescent="0.25">
      <c r="A170" s="21">
        <v>60</v>
      </c>
      <c r="B170" s="22" t="s">
        <v>1651</v>
      </c>
      <c r="C170" s="22" t="s">
        <v>274</v>
      </c>
      <c r="D170" s="51" t="s">
        <v>660</v>
      </c>
      <c r="E170" s="24" t="s">
        <v>166</v>
      </c>
      <c r="F170" s="52"/>
      <c r="G170" s="52" t="s">
        <v>661</v>
      </c>
      <c r="H170" s="52" t="s">
        <v>62</v>
      </c>
      <c r="I170" s="52">
        <v>2004</v>
      </c>
      <c r="J170" s="52"/>
      <c r="K170" s="52" t="s">
        <v>63</v>
      </c>
      <c r="L170" s="52" t="s">
        <v>212</v>
      </c>
      <c r="M170" s="52">
        <v>5</v>
      </c>
      <c r="N170" s="53">
        <f>SUM(O170/M170)</f>
        <v>1000000</v>
      </c>
      <c r="O170" s="53">
        <v>5000000</v>
      </c>
      <c r="P170" s="52"/>
      <c r="Q170" s="52"/>
      <c r="R170" s="52"/>
      <c r="S170" s="53">
        <f t="shared" si="56"/>
        <v>5000000</v>
      </c>
      <c r="T170" s="52">
        <v>5</v>
      </c>
      <c r="U170" s="53"/>
      <c r="V170" s="52">
        <v>0.5</v>
      </c>
      <c r="W170" s="53">
        <f>SUM(U170*V170)</f>
        <v>0</v>
      </c>
      <c r="X170" s="52"/>
      <c r="Y170" s="53">
        <f>SUM(U170*X170)</f>
        <v>0</v>
      </c>
      <c r="Z170" s="53">
        <f>SUM(W170+Y170)</f>
        <v>0</v>
      </c>
      <c r="AA170" s="52">
        <v>5</v>
      </c>
      <c r="AB170" s="53">
        <v>5000000</v>
      </c>
      <c r="AC170" s="53">
        <f t="shared" si="57"/>
        <v>0</v>
      </c>
      <c r="AD170" s="56" t="s">
        <v>616</v>
      </c>
      <c r="AE170" s="56"/>
      <c r="AF170" s="1">
        <v>5000000</v>
      </c>
      <c r="AG170" s="168">
        <f t="shared" si="52"/>
        <v>0</v>
      </c>
      <c r="AH170" s="5"/>
      <c r="AI170" s="5"/>
    </row>
    <row r="171" spans="1:35" s="1" customFormat="1" x14ac:dyDescent="0.25">
      <c r="A171" s="21"/>
      <c r="B171" s="22"/>
      <c r="C171" s="22"/>
      <c r="D171" s="51"/>
      <c r="E171" s="24"/>
      <c r="F171" s="52"/>
      <c r="G171" s="52"/>
      <c r="H171" s="52"/>
      <c r="I171" s="52"/>
      <c r="J171" s="52"/>
      <c r="K171" s="52"/>
      <c r="L171" s="52"/>
      <c r="M171" s="52"/>
      <c r="N171" s="53"/>
      <c r="O171" s="53"/>
      <c r="P171" s="52"/>
      <c r="Q171" s="52"/>
      <c r="R171" s="52"/>
      <c r="S171" s="53"/>
      <c r="T171" s="52"/>
      <c r="U171" s="53"/>
      <c r="V171" s="52"/>
      <c r="W171" s="53"/>
      <c r="X171" s="52"/>
      <c r="Y171" s="53"/>
      <c r="Z171" s="53"/>
      <c r="AA171" s="52"/>
      <c r="AB171" s="53"/>
      <c r="AC171" s="53"/>
      <c r="AD171" s="56"/>
      <c r="AE171" s="56"/>
      <c r="AG171" s="168"/>
      <c r="AH171" s="5"/>
      <c r="AI171" s="5"/>
    </row>
    <row r="172" spans="1:35" s="1" customFormat="1" x14ac:dyDescent="0.25">
      <c r="A172" s="21"/>
      <c r="B172" s="26" t="s">
        <v>1652</v>
      </c>
      <c r="C172" s="26"/>
      <c r="D172" s="27" t="s">
        <v>1653</v>
      </c>
      <c r="E172" s="28"/>
      <c r="F172" s="28"/>
      <c r="G172" s="28"/>
      <c r="H172" s="28"/>
      <c r="I172" s="28"/>
      <c r="J172" s="28"/>
      <c r="K172" s="28"/>
      <c r="L172" s="28"/>
      <c r="M172" s="28">
        <f>SUM(M173:M235)</f>
        <v>100</v>
      </c>
      <c r="N172" s="40"/>
      <c r="O172" s="40">
        <f>SUM(O173:O235)</f>
        <v>682467500</v>
      </c>
      <c r="P172" s="28"/>
      <c r="Q172" s="28"/>
      <c r="R172" s="28"/>
      <c r="S172" s="40">
        <f>SUM(S173:S235)</f>
        <v>682467500</v>
      </c>
      <c r="T172" s="28"/>
      <c r="U172" s="40">
        <f>SUM(U173:U235)</f>
        <v>73588100</v>
      </c>
      <c r="V172" s="28"/>
      <c r="W172" s="40">
        <f>SUM(W173:W235)</f>
        <v>9748900</v>
      </c>
      <c r="X172" s="28"/>
      <c r="Y172" s="40"/>
      <c r="Z172" s="40">
        <f>SUM(Z173:Z235)</f>
        <v>9748900</v>
      </c>
      <c r="AA172" s="28"/>
      <c r="AB172" s="40">
        <f>SUM(AB173:AB235)</f>
        <v>676616210</v>
      </c>
      <c r="AC172" s="40">
        <f>SUM(AC173:AC235)</f>
        <v>5851290</v>
      </c>
      <c r="AD172" s="167"/>
      <c r="AE172" s="167"/>
      <c r="AG172" s="168"/>
      <c r="AH172" s="5"/>
      <c r="AI172" s="5"/>
    </row>
    <row r="173" spans="1:35" s="1" customFormat="1" x14ac:dyDescent="0.25">
      <c r="A173" s="21">
        <v>1</v>
      </c>
      <c r="B173" s="22" t="s">
        <v>1654</v>
      </c>
      <c r="C173" s="50" t="s">
        <v>58</v>
      </c>
      <c r="D173" s="51" t="s">
        <v>206</v>
      </c>
      <c r="E173" s="52" t="s">
        <v>207</v>
      </c>
      <c r="F173" s="52"/>
      <c r="G173" s="52" t="s">
        <v>194</v>
      </c>
      <c r="H173" s="52" t="s">
        <v>62</v>
      </c>
      <c r="I173" s="52">
        <v>2012</v>
      </c>
      <c r="J173" s="52"/>
      <c r="K173" s="52" t="s">
        <v>202</v>
      </c>
      <c r="L173" s="52" t="s">
        <v>64</v>
      </c>
      <c r="M173" s="52">
        <v>1</v>
      </c>
      <c r="N173" s="53">
        <f t="shared" ref="N173:N181" si="63">SUM(O173/M173)</f>
        <v>17050000</v>
      </c>
      <c r="O173" s="53">
        <v>17050000</v>
      </c>
      <c r="P173" s="52"/>
      <c r="Q173" s="52"/>
      <c r="R173" s="52"/>
      <c r="S173" s="53">
        <f t="shared" ref="S173:S235" si="64">SUM(O173-R173)</f>
        <v>17050000</v>
      </c>
      <c r="T173" s="52">
        <v>5</v>
      </c>
      <c r="U173" s="53"/>
      <c r="V173" s="52">
        <v>0.5</v>
      </c>
      <c r="W173" s="53">
        <f t="shared" ref="W173" si="65">SUM(U173*V173)</f>
        <v>0</v>
      </c>
      <c r="X173" s="52"/>
      <c r="Y173" s="53">
        <f t="shared" ref="Y173:Y230" si="66">SUM(U173*X173)</f>
        <v>0</v>
      </c>
      <c r="Z173" s="53">
        <f t="shared" ref="Z173" si="67">SUM(W173+Y173)</f>
        <v>0</v>
      </c>
      <c r="AA173" s="52">
        <v>5</v>
      </c>
      <c r="AB173" s="53">
        <v>17050000</v>
      </c>
      <c r="AC173" s="53">
        <f t="shared" ref="AC173:AC235" si="68">SUM(O173-AB173)</f>
        <v>0</v>
      </c>
      <c r="AD173" s="56" t="s">
        <v>208</v>
      </c>
      <c r="AE173" s="56"/>
      <c r="AF173" s="1">
        <v>17050000</v>
      </c>
      <c r="AG173" s="168">
        <f t="shared" ref="AG173:AG235" si="69">AB173+Z173-AB173</f>
        <v>0</v>
      </c>
      <c r="AH173" s="5"/>
      <c r="AI173" s="5"/>
    </row>
    <row r="174" spans="1:35" s="1" customFormat="1" x14ac:dyDescent="0.25">
      <c r="A174" s="21">
        <v>2</v>
      </c>
      <c r="B174" s="22" t="s">
        <v>1654</v>
      </c>
      <c r="C174" s="73" t="s">
        <v>58</v>
      </c>
      <c r="D174" s="51" t="s">
        <v>272</v>
      </c>
      <c r="E174" s="52" t="s">
        <v>273</v>
      </c>
      <c r="F174" s="52"/>
      <c r="G174" s="52" t="s">
        <v>194</v>
      </c>
      <c r="H174" s="52" t="s">
        <v>62</v>
      </c>
      <c r="I174" s="52">
        <v>2015</v>
      </c>
      <c r="J174" s="52"/>
      <c r="K174" s="52" t="s">
        <v>261</v>
      </c>
      <c r="L174" s="52" t="s">
        <v>64</v>
      </c>
      <c r="M174" s="52">
        <v>1</v>
      </c>
      <c r="N174" s="53">
        <f t="shared" si="63"/>
        <v>85239000</v>
      </c>
      <c r="O174" s="53">
        <v>85239000</v>
      </c>
      <c r="P174" s="52"/>
      <c r="Q174" s="52"/>
      <c r="R174" s="52"/>
      <c r="S174" s="53">
        <f t="shared" si="64"/>
        <v>85239000</v>
      </c>
      <c r="T174" s="52">
        <v>5</v>
      </c>
      <c r="U174" s="53">
        <f>SUM(S174/T174)</f>
        <v>17047800</v>
      </c>
      <c r="V174" s="52">
        <v>0.5</v>
      </c>
      <c r="W174" s="53"/>
      <c r="X174" s="52"/>
      <c r="Y174" s="53">
        <f t="shared" si="66"/>
        <v>0</v>
      </c>
      <c r="Z174" s="53"/>
      <c r="AA174" s="52">
        <f>4.5+0.5</f>
        <v>5</v>
      </c>
      <c r="AB174" s="53">
        <f>SUM(U174*AA174)</f>
        <v>85239000</v>
      </c>
      <c r="AC174" s="53">
        <f t="shared" si="68"/>
        <v>0</v>
      </c>
      <c r="AD174" s="56" t="s">
        <v>195</v>
      </c>
      <c r="AE174" s="56"/>
      <c r="AF174" s="1">
        <v>85239000</v>
      </c>
      <c r="AG174" s="168">
        <f t="shared" si="69"/>
        <v>0</v>
      </c>
      <c r="AH174" s="5"/>
      <c r="AI174" s="5"/>
    </row>
    <row r="175" spans="1:35" s="1" customFormat="1" x14ac:dyDescent="0.25">
      <c r="A175" s="21">
        <v>3</v>
      </c>
      <c r="B175" s="22" t="s">
        <v>1655</v>
      </c>
      <c r="C175" s="22" t="s">
        <v>58</v>
      </c>
      <c r="D175" s="51" t="s">
        <v>458</v>
      </c>
      <c r="E175" s="24" t="s">
        <v>166</v>
      </c>
      <c r="F175" s="52"/>
      <c r="G175" s="52" t="s">
        <v>319</v>
      </c>
      <c r="H175" s="52" t="s">
        <v>62</v>
      </c>
      <c r="I175" s="52">
        <v>2015</v>
      </c>
      <c r="J175" s="52"/>
      <c r="K175" s="52" t="s">
        <v>63</v>
      </c>
      <c r="L175" s="52" t="s">
        <v>64</v>
      </c>
      <c r="M175" s="52">
        <v>1</v>
      </c>
      <c r="N175" s="53">
        <f t="shared" si="63"/>
        <v>3500000</v>
      </c>
      <c r="O175" s="53">
        <v>3500000</v>
      </c>
      <c r="P175" s="52"/>
      <c r="Q175" s="52"/>
      <c r="R175" s="52"/>
      <c r="S175" s="53">
        <f t="shared" si="64"/>
        <v>3500000</v>
      </c>
      <c r="T175" s="52">
        <v>5</v>
      </c>
      <c r="U175" s="53">
        <f t="shared" ref="U175" si="70">SUM(S175/T175)</f>
        <v>700000</v>
      </c>
      <c r="V175" s="52">
        <v>0.5</v>
      </c>
      <c r="W175" s="53"/>
      <c r="X175" s="52"/>
      <c r="Y175" s="53">
        <f t="shared" si="66"/>
        <v>0</v>
      </c>
      <c r="Z175" s="53"/>
      <c r="AA175" s="52">
        <v>5</v>
      </c>
      <c r="AB175" s="53">
        <f t="shared" ref="AB175" si="71">SUM(U175*AA175)</f>
        <v>3500000</v>
      </c>
      <c r="AC175" s="53">
        <f t="shared" si="68"/>
        <v>0</v>
      </c>
      <c r="AD175" s="56" t="s">
        <v>195</v>
      </c>
      <c r="AE175" s="56"/>
      <c r="AF175" s="1">
        <v>3500000</v>
      </c>
      <c r="AG175" s="168">
        <f t="shared" si="69"/>
        <v>0</v>
      </c>
      <c r="AH175" s="5"/>
      <c r="AI175" s="5"/>
    </row>
    <row r="176" spans="1:35" s="1" customFormat="1" x14ac:dyDescent="0.25">
      <c r="A176" s="21">
        <v>4</v>
      </c>
      <c r="B176" s="22" t="s">
        <v>1656</v>
      </c>
      <c r="C176" s="22" t="s">
        <v>58</v>
      </c>
      <c r="D176" s="51" t="s">
        <v>1051</v>
      </c>
      <c r="E176" s="24" t="s">
        <v>1052</v>
      </c>
      <c r="F176" s="52"/>
      <c r="G176" s="52" t="s">
        <v>319</v>
      </c>
      <c r="H176" s="52" t="s">
        <v>62</v>
      </c>
      <c r="I176" s="52">
        <v>2014</v>
      </c>
      <c r="J176" s="52"/>
      <c r="K176" s="52" t="s">
        <v>63</v>
      </c>
      <c r="L176" s="52" t="s">
        <v>64</v>
      </c>
      <c r="M176" s="52">
        <v>1</v>
      </c>
      <c r="N176" s="53">
        <f t="shared" si="63"/>
        <v>998800</v>
      </c>
      <c r="O176" s="53">
        <v>998800</v>
      </c>
      <c r="P176" s="52"/>
      <c r="Q176" s="52"/>
      <c r="R176" s="52"/>
      <c r="S176" s="53">
        <f t="shared" si="64"/>
        <v>998800</v>
      </c>
      <c r="T176" s="52">
        <v>5</v>
      </c>
      <c r="U176" s="53"/>
      <c r="V176" s="52">
        <v>0.5</v>
      </c>
      <c r="W176" s="53">
        <f t="shared" ref="W176:W194" si="72">SUM(U176*V176)</f>
        <v>0</v>
      </c>
      <c r="X176" s="52"/>
      <c r="Y176" s="53">
        <f t="shared" si="66"/>
        <v>0</v>
      </c>
      <c r="Z176" s="53">
        <f t="shared" ref="Z176:Z229" si="73">SUM(W176+Y176)</f>
        <v>0</v>
      </c>
      <c r="AA176" s="52">
        <v>5</v>
      </c>
      <c r="AB176" s="53">
        <v>998800</v>
      </c>
      <c r="AC176" s="53">
        <f t="shared" si="68"/>
        <v>0</v>
      </c>
      <c r="AD176" s="56" t="s">
        <v>297</v>
      </c>
      <c r="AE176" s="56"/>
      <c r="AF176" s="1">
        <v>998800</v>
      </c>
      <c r="AG176" s="168">
        <f t="shared" si="69"/>
        <v>0</v>
      </c>
      <c r="AH176" s="5"/>
      <c r="AI176" s="5"/>
    </row>
    <row r="177" spans="1:35" s="1" customFormat="1" x14ac:dyDescent="0.25">
      <c r="A177" s="21">
        <v>5</v>
      </c>
      <c r="B177" s="22" t="s">
        <v>1656</v>
      </c>
      <c r="C177" s="22" t="s">
        <v>75</v>
      </c>
      <c r="D177" s="51" t="s">
        <v>1051</v>
      </c>
      <c r="E177" s="24" t="s">
        <v>1053</v>
      </c>
      <c r="F177" s="52"/>
      <c r="G177" s="52" t="s">
        <v>319</v>
      </c>
      <c r="H177" s="52" t="s">
        <v>62</v>
      </c>
      <c r="I177" s="52">
        <v>2014</v>
      </c>
      <c r="J177" s="52"/>
      <c r="K177" s="52" t="s">
        <v>63</v>
      </c>
      <c r="L177" s="52" t="s">
        <v>64</v>
      </c>
      <c r="M177" s="52">
        <v>1</v>
      </c>
      <c r="N177" s="53">
        <f t="shared" si="63"/>
        <v>998800</v>
      </c>
      <c r="O177" s="53">
        <v>998800</v>
      </c>
      <c r="P177" s="52"/>
      <c r="Q177" s="52"/>
      <c r="R177" s="52"/>
      <c r="S177" s="53">
        <f t="shared" si="64"/>
        <v>998800</v>
      </c>
      <c r="T177" s="52">
        <v>5</v>
      </c>
      <c r="U177" s="53"/>
      <c r="V177" s="52">
        <v>0.5</v>
      </c>
      <c r="W177" s="53">
        <f t="shared" si="72"/>
        <v>0</v>
      </c>
      <c r="X177" s="52"/>
      <c r="Y177" s="53">
        <f t="shared" si="66"/>
        <v>0</v>
      </c>
      <c r="Z177" s="53">
        <f t="shared" si="73"/>
        <v>0</v>
      </c>
      <c r="AA177" s="52">
        <v>5</v>
      </c>
      <c r="AB177" s="53">
        <v>998800</v>
      </c>
      <c r="AC177" s="53">
        <f t="shared" si="68"/>
        <v>0</v>
      </c>
      <c r="AD177" s="56" t="s">
        <v>287</v>
      </c>
      <c r="AE177" s="56"/>
      <c r="AF177" s="1">
        <v>998800</v>
      </c>
      <c r="AG177" s="168">
        <f t="shared" si="69"/>
        <v>0</v>
      </c>
      <c r="AH177" s="5"/>
      <c r="AI177" s="5"/>
    </row>
    <row r="178" spans="1:35" s="1" customFormat="1" x14ac:dyDescent="0.25">
      <c r="A178" s="21">
        <v>6</v>
      </c>
      <c r="B178" s="22" t="s">
        <v>1656</v>
      </c>
      <c r="C178" s="22" t="s">
        <v>79</v>
      </c>
      <c r="D178" s="51" t="s">
        <v>1051</v>
      </c>
      <c r="E178" s="24" t="s">
        <v>1054</v>
      </c>
      <c r="F178" s="52"/>
      <c r="G178" s="52" t="s">
        <v>319</v>
      </c>
      <c r="H178" s="52" t="s">
        <v>62</v>
      </c>
      <c r="I178" s="52">
        <v>2014</v>
      </c>
      <c r="J178" s="52"/>
      <c r="K178" s="52" t="s">
        <v>63</v>
      </c>
      <c r="L178" s="52" t="s">
        <v>64</v>
      </c>
      <c r="M178" s="52">
        <v>1</v>
      </c>
      <c r="N178" s="53">
        <f t="shared" si="63"/>
        <v>998800</v>
      </c>
      <c r="O178" s="53">
        <v>998800</v>
      </c>
      <c r="P178" s="52"/>
      <c r="Q178" s="52"/>
      <c r="R178" s="52"/>
      <c r="S178" s="53">
        <f t="shared" si="64"/>
        <v>998800</v>
      </c>
      <c r="T178" s="52">
        <v>5</v>
      </c>
      <c r="U178" s="53"/>
      <c r="V178" s="52">
        <v>0.5</v>
      </c>
      <c r="W178" s="53">
        <f t="shared" si="72"/>
        <v>0</v>
      </c>
      <c r="X178" s="52"/>
      <c r="Y178" s="53">
        <f t="shared" si="66"/>
        <v>0</v>
      </c>
      <c r="Z178" s="53">
        <f t="shared" si="73"/>
        <v>0</v>
      </c>
      <c r="AA178" s="52">
        <v>5</v>
      </c>
      <c r="AB178" s="53">
        <v>998800</v>
      </c>
      <c r="AC178" s="53">
        <f t="shared" si="68"/>
        <v>0</v>
      </c>
      <c r="AD178" s="56" t="s">
        <v>303</v>
      </c>
      <c r="AE178" s="56"/>
      <c r="AF178" s="1">
        <v>998800</v>
      </c>
      <c r="AG178" s="168">
        <f t="shared" si="69"/>
        <v>0</v>
      </c>
      <c r="AH178" s="5"/>
      <c r="AI178" s="5"/>
    </row>
    <row r="179" spans="1:35" s="1" customFormat="1" x14ac:dyDescent="0.25">
      <c r="A179" s="21">
        <v>7</v>
      </c>
      <c r="B179" s="22" t="s">
        <v>1656</v>
      </c>
      <c r="C179" s="22" t="s">
        <v>84</v>
      </c>
      <c r="D179" s="51" t="s">
        <v>1051</v>
      </c>
      <c r="E179" s="24" t="s">
        <v>1055</v>
      </c>
      <c r="F179" s="52"/>
      <c r="G179" s="52" t="s">
        <v>319</v>
      </c>
      <c r="H179" s="52" t="s">
        <v>62</v>
      </c>
      <c r="I179" s="52">
        <v>2014</v>
      </c>
      <c r="J179" s="52"/>
      <c r="K179" s="52" t="s">
        <v>63</v>
      </c>
      <c r="L179" s="52" t="s">
        <v>64</v>
      </c>
      <c r="M179" s="52">
        <v>1</v>
      </c>
      <c r="N179" s="53">
        <f t="shared" si="63"/>
        <v>998800</v>
      </c>
      <c r="O179" s="53">
        <v>998800</v>
      </c>
      <c r="P179" s="52"/>
      <c r="Q179" s="52"/>
      <c r="R179" s="52"/>
      <c r="S179" s="53">
        <f t="shared" si="64"/>
        <v>998800</v>
      </c>
      <c r="T179" s="52">
        <v>5</v>
      </c>
      <c r="U179" s="53"/>
      <c r="V179" s="52">
        <v>0.5</v>
      </c>
      <c r="W179" s="53">
        <f t="shared" si="72"/>
        <v>0</v>
      </c>
      <c r="X179" s="52"/>
      <c r="Y179" s="53">
        <f t="shared" si="66"/>
        <v>0</v>
      </c>
      <c r="Z179" s="53">
        <f t="shared" si="73"/>
        <v>0</v>
      </c>
      <c r="AA179" s="52">
        <v>5</v>
      </c>
      <c r="AB179" s="53">
        <v>998800</v>
      </c>
      <c r="AC179" s="53">
        <f t="shared" si="68"/>
        <v>0</v>
      </c>
      <c r="AD179" s="56" t="s">
        <v>909</v>
      </c>
      <c r="AE179" s="56"/>
      <c r="AF179" s="1">
        <v>998800</v>
      </c>
      <c r="AG179" s="168">
        <f t="shared" si="69"/>
        <v>0</v>
      </c>
      <c r="AH179" s="5"/>
      <c r="AI179" s="5"/>
    </row>
    <row r="180" spans="1:35" s="1" customFormat="1" x14ac:dyDescent="0.25">
      <c r="A180" s="21">
        <v>8</v>
      </c>
      <c r="B180" s="22" t="s">
        <v>1656</v>
      </c>
      <c r="C180" s="22" t="s">
        <v>88</v>
      </c>
      <c r="D180" s="51" t="s">
        <v>1051</v>
      </c>
      <c r="E180" s="24" t="s">
        <v>1056</v>
      </c>
      <c r="F180" s="52"/>
      <c r="G180" s="52" t="s">
        <v>319</v>
      </c>
      <c r="H180" s="52" t="s">
        <v>62</v>
      </c>
      <c r="I180" s="52">
        <v>2014</v>
      </c>
      <c r="J180" s="52"/>
      <c r="K180" s="52" t="s">
        <v>63</v>
      </c>
      <c r="L180" s="52" t="s">
        <v>64</v>
      </c>
      <c r="M180" s="52">
        <v>1</v>
      </c>
      <c r="N180" s="53">
        <f t="shared" si="63"/>
        <v>998800</v>
      </c>
      <c r="O180" s="53">
        <v>998800</v>
      </c>
      <c r="P180" s="52"/>
      <c r="Q180" s="52"/>
      <c r="R180" s="52"/>
      <c r="S180" s="53">
        <f t="shared" si="64"/>
        <v>998800</v>
      </c>
      <c r="T180" s="52">
        <v>5</v>
      </c>
      <c r="U180" s="53"/>
      <c r="V180" s="52">
        <v>0.5</v>
      </c>
      <c r="W180" s="53">
        <f t="shared" si="72"/>
        <v>0</v>
      </c>
      <c r="X180" s="52"/>
      <c r="Y180" s="53">
        <f t="shared" si="66"/>
        <v>0</v>
      </c>
      <c r="Z180" s="53">
        <f t="shared" si="73"/>
        <v>0</v>
      </c>
      <c r="AA180" s="52">
        <v>5</v>
      </c>
      <c r="AB180" s="53">
        <v>998800</v>
      </c>
      <c r="AC180" s="53">
        <f t="shared" si="68"/>
        <v>0</v>
      </c>
      <c r="AD180" s="56" t="s">
        <v>907</v>
      </c>
      <c r="AE180" s="56"/>
      <c r="AF180" s="1">
        <v>998800</v>
      </c>
      <c r="AG180" s="168">
        <f t="shared" si="69"/>
        <v>0</v>
      </c>
      <c r="AH180" s="5"/>
      <c r="AI180" s="5"/>
    </row>
    <row r="181" spans="1:35" s="1" customFormat="1" x14ac:dyDescent="0.25">
      <c r="A181" s="21">
        <v>9</v>
      </c>
      <c r="B181" s="22" t="s">
        <v>1656</v>
      </c>
      <c r="C181" s="22" t="s">
        <v>92</v>
      </c>
      <c r="D181" s="51" t="s">
        <v>1051</v>
      </c>
      <c r="E181" s="24" t="s">
        <v>1057</v>
      </c>
      <c r="F181" s="52"/>
      <c r="G181" s="52" t="s">
        <v>319</v>
      </c>
      <c r="H181" s="52" t="s">
        <v>62</v>
      </c>
      <c r="I181" s="52">
        <v>2014</v>
      </c>
      <c r="J181" s="52"/>
      <c r="K181" s="52" t="s">
        <v>63</v>
      </c>
      <c r="L181" s="52" t="s">
        <v>64</v>
      </c>
      <c r="M181" s="52">
        <v>1</v>
      </c>
      <c r="N181" s="53">
        <f t="shared" si="63"/>
        <v>998800</v>
      </c>
      <c r="O181" s="53">
        <v>998800</v>
      </c>
      <c r="P181" s="52"/>
      <c r="Q181" s="52"/>
      <c r="R181" s="52"/>
      <c r="S181" s="53">
        <f t="shared" si="64"/>
        <v>998800</v>
      </c>
      <c r="T181" s="52">
        <v>5</v>
      </c>
      <c r="U181" s="53"/>
      <c r="V181" s="52">
        <v>0.5</v>
      </c>
      <c r="W181" s="53">
        <f t="shared" si="72"/>
        <v>0</v>
      </c>
      <c r="X181" s="52"/>
      <c r="Y181" s="53">
        <f t="shared" si="66"/>
        <v>0</v>
      </c>
      <c r="Z181" s="53">
        <f t="shared" si="73"/>
        <v>0</v>
      </c>
      <c r="AA181" s="52">
        <v>5</v>
      </c>
      <c r="AB181" s="53">
        <v>998800</v>
      </c>
      <c r="AC181" s="53">
        <f t="shared" si="68"/>
        <v>0</v>
      </c>
      <c r="AD181" s="56" t="s">
        <v>909</v>
      </c>
      <c r="AE181" s="56"/>
      <c r="AF181" s="1">
        <v>998800</v>
      </c>
      <c r="AG181" s="168">
        <f t="shared" si="69"/>
        <v>0</v>
      </c>
      <c r="AH181" s="5"/>
      <c r="AI181" s="5"/>
    </row>
    <row r="182" spans="1:35" s="1" customFormat="1" x14ac:dyDescent="0.25">
      <c r="A182" s="21">
        <v>10</v>
      </c>
      <c r="B182" s="22" t="s">
        <v>1657</v>
      </c>
      <c r="C182" s="73" t="s">
        <v>58</v>
      </c>
      <c r="D182" s="51" t="s">
        <v>204</v>
      </c>
      <c r="E182" s="52" t="s">
        <v>205</v>
      </c>
      <c r="F182" s="52"/>
      <c r="G182" s="52" t="s">
        <v>61</v>
      </c>
      <c r="H182" s="52" t="s">
        <v>62</v>
      </c>
      <c r="I182" s="52">
        <v>2019</v>
      </c>
      <c r="J182" s="52"/>
      <c r="K182" s="52" t="s">
        <v>63</v>
      </c>
      <c r="L182" s="52" t="s">
        <v>64</v>
      </c>
      <c r="M182" s="52">
        <v>1</v>
      </c>
      <c r="N182" s="53">
        <v>18478000</v>
      </c>
      <c r="O182" s="53">
        <v>18478000</v>
      </c>
      <c r="P182" s="52"/>
      <c r="Q182" s="52"/>
      <c r="R182" s="52"/>
      <c r="S182" s="53">
        <f t="shared" si="64"/>
        <v>18478000</v>
      </c>
      <c r="T182" s="52">
        <v>5</v>
      </c>
      <c r="U182" s="53">
        <f>SUM(S182/T182)</f>
        <v>3695600</v>
      </c>
      <c r="V182" s="52">
        <v>0.5</v>
      </c>
      <c r="W182" s="53">
        <f t="shared" si="72"/>
        <v>1847800</v>
      </c>
      <c r="X182" s="52"/>
      <c r="Y182" s="53">
        <f t="shared" si="66"/>
        <v>0</v>
      </c>
      <c r="Z182" s="53">
        <f t="shared" si="73"/>
        <v>1847800</v>
      </c>
      <c r="AA182" s="52">
        <f>2023-I182+V182+X182-9/12</f>
        <v>3.75</v>
      </c>
      <c r="AB182" s="53">
        <f>SUM(U182*AA182)</f>
        <v>13858500</v>
      </c>
      <c r="AC182" s="53">
        <f t="shared" si="68"/>
        <v>4619500</v>
      </c>
      <c r="AD182" s="56"/>
      <c r="AE182" s="56"/>
      <c r="AF182" s="1">
        <v>12010700</v>
      </c>
      <c r="AG182" s="168">
        <f>AF182+Z182-AB182</f>
        <v>0</v>
      </c>
      <c r="AH182" s="5"/>
      <c r="AI182" s="5"/>
    </row>
    <row r="183" spans="1:35" s="1" customFormat="1" x14ac:dyDescent="0.25">
      <c r="A183" s="21">
        <v>11</v>
      </c>
      <c r="B183" s="22" t="s">
        <v>1658</v>
      </c>
      <c r="C183" s="50" t="s">
        <v>58</v>
      </c>
      <c r="D183" s="51" t="s">
        <v>390</v>
      </c>
      <c r="E183" s="52" t="s">
        <v>166</v>
      </c>
      <c r="F183" s="52"/>
      <c r="G183" s="52" t="s">
        <v>61</v>
      </c>
      <c r="H183" s="52" t="s">
        <v>62</v>
      </c>
      <c r="I183" s="52">
        <v>2014</v>
      </c>
      <c r="J183" s="52"/>
      <c r="K183" s="52" t="s">
        <v>63</v>
      </c>
      <c r="L183" s="52" t="s">
        <v>64</v>
      </c>
      <c r="M183" s="52">
        <v>1</v>
      </c>
      <c r="N183" s="53">
        <f t="shared" ref="N183:N230" si="74">SUM(O183/M183)</f>
        <v>1669800</v>
      </c>
      <c r="O183" s="53">
        <v>1669800</v>
      </c>
      <c r="P183" s="52"/>
      <c r="Q183" s="52"/>
      <c r="R183" s="52"/>
      <c r="S183" s="53">
        <f t="shared" si="64"/>
        <v>1669800</v>
      </c>
      <c r="T183" s="52">
        <v>5</v>
      </c>
      <c r="U183" s="53"/>
      <c r="V183" s="52">
        <v>0.5</v>
      </c>
      <c r="W183" s="53">
        <f t="shared" si="72"/>
        <v>0</v>
      </c>
      <c r="X183" s="52"/>
      <c r="Y183" s="53">
        <f t="shared" si="66"/>
        <v>0</v>
      </c>
      <c r="Z183" s="53">
        <f t="shared" si="73"/>
        <v>0</v>
      </c>
      <c r="AA183" s="52">
        <v>5</v>
      </c>
      <c r="AB183" s="53">
        <v>1669800</v>
      </c>
      <c r="AC183" s="53">
        <f t="shared" si="68"/>
        <v>0</v>
      </c>
      <c r="AD183" s="56" t="s">
        <v>331</v>
      </c>
      <c r="AE183" s="56"/>
      <c r="AF183" s="1">
        <v>1669800</v>
      </c>
      <c r="AG183" s="168">
        <f t="shared" si="69"/>
        <v>0</v>
      </c>
      <c r="AH183" s="5"/>
      <c r="AI183" s="5"/>
    </row>
    <row r="184" spans="1:35" s="170" customFormat="1" x14ac:dyDescent="0.25">
      <c r="A184" s="21">
        <v>12</v>
      </c>
      <c r="B184" s="22" t="s">
        <v>1658</v>
      </c>
      <c r="C184" s="50" t="s">
        <v>75</v>
      </c>
      <c r="D184" s="51" t="s">
        <v>390</v>
      </c>
      <c r="E184" s="52" t="s">
        <v>166</v>
      </c>
      <c r="F184" s="52"/>
      <c r="G184" s="52" t="s">
        <v>61</v>
      </c>
      <c r="H184" s="52" t="s">
        <v>62</v>
      </c>
      <c r="I184" s="52">
        <v>2014</v>
      </c>
      <c r="J184" s="52"/>
      <c r="K184" s="52" t="s">
        <v>63</v>
      </c>
      <c r="L184" s="52" t="s">
        <v>64</v>
      </c>
      <c r="M184" s="52">
        <v>1</v>
      </c>
      <c r="N184" s="53">
        <f t="shared" si="74"/>
        <v>1669800</v>
      </c>
      <c r="O184" s="53">
        <v>1669800</v>
      </c>
      <c r="P184" s="52"/>
      <c r="Q184" s="52"/>
      <c r="R184" s="52"/>
      <c r="S184" s="53">
        <f t="shared" si="64"/>
        <v>1669800</v>
      </c>
      <c r="T184" s="52">
        <v>5</v>
      </c>
      <c r="U184" s="53"/>
      <c r="V184" s="52">
        <v>0.5</v>
      </c>
      <c r="W184" s="53">
        <f t="shared" si="72"/>
        <v>0</v>
      </c>
      <c r="X184" s="52"/>
      <c r="Y184" s="53">
        <f t="shared" si="66"/>
        <v>0</v>
      </c>
      <c r="Z184" s="53">
        <f t="shared" si="73"/>
        <v>0</v>
      </c>
      <c r="AA184" s="52">
        <v>5</v>
      </c>
      <c r="AB184" s="53">
        <v>1669800</v>
      </c>
      <c r="AC184" s="53">
        <f t="shared" si="68"/>
        <v>0</v>
      </c>
      <c r="AD184" s="56" t="s">
        <v>328</v>
      </c>
      <c r="AE184" s="56"/>
      <c r="AF184" s="170">
        <v>1669800</v>
      </c>
      <c r="AG184" s="171">
        <f t="shared" si="69"/>
        <v>0</v>
      </c>
      <c r="AH184" s="172"/>
      <c r="AI184" s="172"/>
    </row>
    <row r="185" spans="1:35" s="1" customFormat="1" x14ac:dyDescent="0.25">
      <c r="A185" s="21">
        <v>13</v>
      </c>
      <c r="B185" s="22" t="s">
        <v>1658</v>
      </c>
      <c r="C185" s="50" t="s">
        <v>391</v>
      </c>
      <c r="D185" s="51" t="s">
        <v>390</v>
      </c>
      <c r="E185" s="52" t="s">
        <v>392</v>
      </c>
      <c r="F185" s="24"/>
      <c r="G185" s="24" t="s">
        <v>194</v>
      </c>
      <c r="H185" s="24" t="s">
        <v>62</v>
      </c>
      <c r="I185" s="24">
        <v>2018</v>
      </c>
      <c r="J185" s="24"/>
      <c r="K185" s="24" t="s">
        <v>63</v>
      </c>
      <c r="L185" s="24" t="s">
        <v>64</v>
      </c>
      <c r="M185" s="24">
        <v>7</v>
      </c>
      <c r="N185" s="41">
        <f t="shared" si="74"/>
        <v>2089371.4285714286</v>
      </c>
      <c r="O185" s="41">
        <v>14625600</v>
      </c>
      <c r="P185" s="24"/>
      <c r="Q185" s="24"/>
      <c r="R185" s="24"/>
      <c r="S185" s="41">
        <f t="shared" si="64"/>
        <v>14625600</v>
      </c>
      <c r="T185" s="24">
        <v>5</v>
      </c>
      <c r="U185" s="41">
        <f>SUM(S185/T185)</f>
        <v>2925120</v>
      </c>
      <c r="V185" s="24">
        <v>0.5</v>
      </c>
      <c r="W185" s="41">
        <f t="shared" si="72"/>
        <v>1462560</v>
      </c>
      <c r="X185" s="24"/>
      <c r="Y185" s="41">
        <f t="shared" si="66"/>
        <v>0</v>
      </c>
      <c r="Z185" s="41">
        <f t="shared" si="73"/>
        <v>1462560</v>
      </c>
      <c r="AA185" s="24">
        <f>2023-I185+V185+X185-8/12</f>
        <v>4.833333333333333</v>
      </c>
      <c r="AB185" s="41">
        <f>SUM(U185*AA185)</f>
        <v>14138080</v>
      </c>
      <c r="AC185" s="41">
        <f t="shared" si="68"/>
        <v>487520</v>
      </c>
      <c r="AD185" s="70"/>
      <c r="AE185" s="70"/>
      <c r="AF185" s="1">
        <v>12675520</v>
      </c>
      <c r="AG185" s="168">
        <f>AF185+Z185-AB185</f>
        <v>0</v>
      </c>
      <c r="AH185" s="5"/>
      <c r="AI185" s="5"/>
    </row>
    <row r="186" spans="1:35" s="1" customFormat="1" x14ac:dyDescent="0.25">
      <c r="A186" s="21">
        <v>14</v>
      </c>
      <c r="B186" s="22" t="s">
        <v>1659</v>
      </c>
      <c r="C186" s="50" t="s">
        <v>58</v>
      </c>
      <c r="D186" s="51" t="s">
        <v>378</v>
      </c>
      <c r="E186" s="52" t="s">
        <v>379</v>
      </c>
      <c r="F186" s="24"/>
      <c r="G186" s="24" t="s">
        <v>194</v>
      </c>
      <c r="H186" s="24" t="s">
        <v>62</v>
      </c>
      <c r="I186" s="24">
        <v>2008</v>
      </c>
      <c r="J186" s="24"/>
      <c r="K186" s="24" t="s">
        <v>63</v>
      </c>
      <c r="L186" s="24" t="s">
        <v>212</v>
      </c>
      <c r="M186" s="24">
        <v>1</v>
      </c>
      <c r="N186" s="41">
        <f t="shared" si="74"/>
        <v>17500000</v>
      </c>
      <c r="O186" s="41">
        <v>17500000</v>
      </c>
      <c r="P186" s="24"/>
      <c r="Q186" s="24"/>
      <c r="R186" s="24"/>
      <c r="S186" s="41">
        <f t="shared" si="64"/>
        <v>17500000</v>
      </c>
      <c r="T186" s="24">
        <v>5</v>
      </c>
      <c r="U186" s="41"/>
      <c r="V186" s="24">
        <v>0.5</v>
      </c>
      <c r="W186" s="41">
        <f t="shared" si="72"/>
        <v>0</v>
      </c>
      <c r="X186" s="24"/>
      <c r="Y186" s="41">
        <f t="shared" si="66"/>
        <v>0</v>
      </c>
      <c r="Z186" s="41">
        <f t="shared" si="73"/>
        <v>0</v>
      </c>
      <c r="AA186" s="24">
        <v>5</v>
      </c>
      <c r="AB186" s="41">
        <v>17500000</v>
      </c>
      <c r="AC186" s="41">
        <f t="shared" si="68"/>
        <v>0</v>
      </c>
      <c r="AD186" s="70" t="s">
        <v>217</v>
      </c>
      <c r="AE186" s="70"/>
      <c r="AF186" s="1">
        <v>17500000</v>
      </c>
      <c r="AG186" s="168">
        <f t="shared" si="69"/>
        <v>0</v>
      </c>
      <c r="AH186" s="5"/>
      <c r="AI186" s="5"/>
    </row>
    <row r="187" spans="1:35" s="1" customFormat="1" x14ac:dyDescent="0.25">
      <c r="A187" s="21">
        <v>15</v>
      </c>
      <c r="B187" s="22" t="s">
        <v>1660</v>
      </c>
      <c r="C187" s="50" t="s">
        <v>58</v>
      </c>
      <c r="D187" s="51" t="s">
        <v>289</v>
      </c>
      <c r="E187" s="52" t="s">
        <v>290</v>
      </c>
      <c r="F187" s="24"/>
      <c r="G187" s="24" t="s">
        <v>194</v>
      </c>
      <c r="H187" s="24" t="s">
        <v>62</v>
      </c>
      <c r="I187" s="24">
        <v>2012</v>
      </c>
      <c r="J187" s="24"/>
      <c r="K187" s="24" t="s">
        <v>63</v>
      </c>
      <c r="L187" s="24" t="s">
        <v>167</v>
      </c>
      <c r="M187" s="24">
        <v>1</v>
      </c>
      <c r="N187" s="41">
        <f t="shared" si="74"/>
        <v>29260000</v>
      </c>
      <c r="O187" s="41">
        <v>29260000</v>
      </c>
      <c r="P187" s="24"/>
      <c r="Q187" s="24"/>
      <c r="R187" s="24"/>
      <c r="S187" s="41">
        <f t="shared" si="64"/>
        <v>29260000</v>
      </c>
      <c r="T187" s="24">
        <v>5</v>
      </c>
      <c r="U187" s="41"/>
      <c r="V187" s="24">
        <v>0.5</v>
      </c>
      <c r="W187" s="41">
        <f t="shared" si="72"/>
        <v>0</v>
      </c>
      <c r="X187" s="24"/>
      <c r="Y187" s="41">
        <f t="shared" si="66"/>
        <v>0</v>
      </c>
      <c r="Z187" s="41">
        <f t="shared" si="73"/>
        <v>0</v>
      </c>
      <c r="AA187" s="24">
        <v>5</v>
      </c>
      <c r="AB187" s="41">
        <v>29260000</v>
      </c>
      <c r="AC187" s="41">
        <f t="shared" si="68"/>
        <v>0</v>
      </c>
      <c r="AD187" s="70" t="s">
        <v>287</v>
      </c>
      <c r="AE187" s="70"/>
      <c r="AF187" s="1">
        <v>29260000</v>
      </c>
      <c r="AG187" s="168">
        <f t="shared" si="69"/>
        <v>0</v>
      </c>
      <c r="AH187" s="5"/>
      <c r="AI187" s="5"/>
    </row>
    <row r="188" spans="1:35" s="1" customFormat="1" x14ac:dyDescent="0.25">
      <c r="A188" s="21">
        <v>16</v>
      </c>
      <c r="B188" s="22" t="s">
        <v>1660</v>
      </c>
      <c r="C188" s="50" t="s">
        <v>75</v>
      </c>
      <c r="D188" s="51" t="s">
        <v>289</v>
      </c>
      <c r="E188" s="52" t="s">
        <v>290</v>
      </c>
      <c r="F188" s="24"/>
      <c r="G188" s="24" t="s">
        <v>194</v>
      </c>
      <c r="H188" s="24" t="s">
        <v>62</v>
      </c>
      <c r="I188" s="24">
        <v>2012</v>
      </c>
      <c r="J188" s="24"/>
      <c r="K188" s="24" t="s">
        <v>63</v>
      </c>
      <c r="L188" s="24" t="s">
        <v>64</v>
      </c>
      <c r="M188" s="24">
        <v>1</v>
      </c>
      <c r="N188" s="41">
        <f t="shared" si="74"/>
        <v>29260000</v>
      </c>
      <c r="O188" s="41">
        <v>29260000</v>
      </c>
      <c r="P188" s="24"/>
      <c r="Q188" s="24"/>
      <c r="R188" s="24"/>
      <c r="S188" s="41">
        <f t="shared" si="64"/>
        <v>29260000</v>
      </c>
      <c r="T188" s="24">
        <v>5</v>
      </c>
      <c r="U188" s="41"/>
      <c r="V188" s="24">
        <v>0.5</v>
      </c>
      <c r="W188" s="41">
        <f t="shared" si="72"/>
        <v>0</v>
      </c>
      <c r="X188" s="24"/>
      <c r="Y188" s="41">
        <f t="shared" si="66"/>
        <v>0</v>
      </c>
      <c r="Z188" s="41">
        <f t="shared" si="73"/>
        <v>0</v>
      </c>
      <c r="AA188" s="24">
        <v>5</v>
      </c>
      <c r="AB188" s="41">
        <v>29260000</v>
      </c>
      <c r="AC188" s="41">
        <f t="shared" si="68"/>
        <v>0</v>
      </c>
      <c r="AD188" s="70" t="s">
        <v>288</v>
      </c>
      <c r="AE188" s="70"/>
      <c r="AF188" s="1">
        <v>29260000</v>
      </c>
      <c r="AG188" s="168">
        <f t="shared" si="69"/>
        <v>0</v>
      </c>
      <c r="AH188" s="5"/>
      <c r="AI188" s="5"/>
    </row>
    <row r="189" spans="1:35" s="1" customFormat="1" x14ac:dyDescent="0.25">
      <c r="A189" s="21">
        <v>17</v>
      </c>
      <c r="B189" s="22" t="s">
        <v>1660</v>
      </c>
      <c r="C189" s="50" t="s">
        <v>291</v>
      </c>
      <c r="D189" s="51" t="s">
        <v>292</v>
      </c>
      <c r="E189" s="52" t="s">
        <v>293</v>
      </c>
      <c r="F189" s="24"/>
      <c r="G189" s="24" t="s">
        <v>194</v>
      </c>
      <c r="H189" s="24" t="s">
        <v>62</v>
      </c>
      <c r="I189" s="24">
        <v>2011</v>
      </c>
      <c r="J189" s="24"/>
      <c r="K189" s="24" t="s">
        <v>63</v>
      </c>
      <c r="L189" s="24" t="s">
        <v>64</v>
      </c>
      <c r="M189" s="24">
        <v>4</v>
      </c>
      <c r="N189" s="41">
        <f t="shared" si="74"/>
        <v>4775000</v>
      </c>
      <c r="O189" s="41">
        <v>19100000</v>
      </c>
      <c r="P189" s="24"/>
      <c r="Q189" s="24"/>
      <c r="R189" s="24"/>
      <c r="S189" s="41">
        <f t="shared" si="64"/>
        <v>19100000</v>
      </c>
      <c r="T189" s="24">
        <v>5</v>
      </c>
      <c r="U189" s="41"/>
      <c r="V189" s="24">
        <v>0.5</v>
      </c>
      <c r="W189" s="41">
        <f t="shared" si="72"/>
        <v>0</v>
      </c>
      <c r="X189" s="24"/>
      <c r="Y189" s="41">
        <f t="shared" si="66"/>
        <v>0</v>
      </c>
      <c r="Z189" s="41">
        <f t="shared" si="73"/>
        <v>0</v>
      </c>
      <c r="AA189" s="24">
        <v>5</v>
      </c>
      <c r="AB189" s="41">
        <v>19100000</v>
      </c>
      <c r="AC189" s="41">
        <f t="shared" si="68"/>
        <v>0</v>
      </c>
      <c r="AD189" s="70" t="s">
        <v>250</v>
      </c>
      <c r="AE189" s="70"/>
      <c r="AF189" s="1">
        <v>19100000</v>
      </c>
      <c r="AG189" s="168">
        <f t="shared" si="69"/>
        <v>0</v>
      </c>
      <c r="AH189" s="5"/>
      <c r="AI189" s="5"/>
    </row>
    <row r="190" spans="1:35" s="1" customFormat="1" x14ac:dyDescent="0.25">
      <c r="A190" s="21">
        <v>18</v>
      </c>
      <c r="B190" s="22" t="s">
        <v>1660</v>
      </c>
      <c r="C190" s="50" t="s">
        <v>96</v>
      </c>
      <c r="D190" s="51" t="s">
        <v>292</v>
      </c>
      <c r="E190" s="52" t="s">
        <v>294</v>
      </c>
      <c r="F190" s="24"/>
      <c r="G190" s="24" t="s">
        <v>194</v>
      </c>
      <c r="H190" s="24" t="s">
        <v>62</v>
      </c>
      <c r="I190" s="24">
        <v>2011</v>
      </c>
      <c r="J190" s="24"/>
      <c r="K190" s="24" t="s">
        <v>63</v>
      </c>
      <c r="L190" s="24" t="s">
        <v>64</v>
      </c>
      <c r="M190" s="24">
        <v>1</v>
      </c>
      <c r="N190" s="41">
        <f t="shared" si="74"/>
        <v>46000000</v>
      </c>
      <c r="O190" s="41">
        <v>46000000</v>
      </c>
      <c r="P190" s="24"/>
      <c r="Q190" s="24"/>
      <c r="R190" s="24"/>
      <c r="S190" s="41">
        <f t="shared" si="64"/>
        <v>46000000</v>
      </c>
      <c r="T190" s="24">
        <v>5</v>
      </c>
      <c r="U190" s="41"/>
      <c r="V190" s="24">
        <v>0.5</v>
      </c>
      <c r="W190" s="41">
        <f t="shared" si="72"/>
        <v>0</v>
      </c>
      <c r="X190" s="24"/>
      <c r="Y190" s="41">
        <f t="shared" si="66"/>
        <v>0</v>
      </c>
      <c r="Z190" s="41">
        <f t="shared" si="73"/>
        <v>0</v>
      </c>
      <c r="AA190" s="72">
        <v>5</v>
      </c>
      <c r="AB190" s="41">
        <v>46000000</v>
      </c>
      <c r="AC190" s="41">
        <f t="shared" si="68"/>
        <v>0</v>
      </c>
      <c r="AD190" s="70" t="s">
        <v>295</v>
      </c>
      <c r="AE190" s="70"/>
      <c r="AF190" s="1">
        <v>46000000</v>
      </c>
      <c r="AG190" s="168">
        <f t="shared" si="69"/>
        <v>0</v>
      </c>
      <c r="AH190" s="5"/>
      <c r="AI190" s="5"/>
    </row>
    <row r="191" spans="1:35" s="1" customFormat="1" x14ac:dyDescent="0.25">
      <c r="A191" s="21">
        <v>19</v>
      </c>
      <c r="B191" s="22" t="s">
        <v>1660</v>
      </c>
      <c r="C191" s="50" t="s">
        <v>100</v>
      </c>
      <c r="D191" s="51" t="s">
        <v>292</v>
      </c>
      <c r="E191" s="52" t="s">
        <v>296</v>
      </c>
      <c r="F191" s="24"/>
      <c r="G191" s="24" t="s">
        <v>194</v>
      </c>
      <c r="H191" s="24" t="s">
        <v>62</v>
      </c>
      <c r="I191" s="24">
        <v>2011</v>
      </c>
      <c r="J191" s="24"/>
      <c r="K191" s="24" t="s">
        <v>63</v>
      </c>
      <c r="L191" s="24" t="s">
        <v>64</v>
      </c>
      <c r="M191" s="24">
        <v>1</v>
      </c>
      <c r="N191" s="41">
        <f t="shared" si="74"/>
        <v>28400000</v>
      </c>
      <c r="O191" s="41">
        <v>28400000</v>
      </c>
      <c r="P191" s="24"/>
      <c r="Q191" s="24"/>
      <c r="R191" s="24"/>
      <c r="S191" s="41">
        <f t="shared" si="64"/>
        <v>28400000</v>
      </c>
      <c r="T191" s="24">
        <v>5</v>
      </c>
      <c r="U191" s="41"/>
      <c r="V191" s="24">
        <v>0.5</v>
      </c>
      <c r="W191" s="41">
        <f t="shared" si="72"/>
        <v>0</v>
      </c>
      <c r="X191" s="24"/>
      <c r="Y191" s="41">
        <f t="shared" si="66"/>
        <v>0</v>
      </c>
      <c r="Z191" s="41">
        <f t="shared" si="73"/>
        <v>0</v>
      </c>
      <c r="AA191" s="72">
        <v>5</v>
      </c>
      <c r="AB191" s="41">
        <v>28400000</v>
      </c>
      <c r="AC191" s="41">
        <f t="shared" si="68"/>
        <v>0</v>
      </c>
      <c r="AD191" s="70" t="s">
        <v>297</v>
      </c>
      <c r="AE191" s="70"/>
      <c r="AF191" s="1">
        <v>28400000</v>
      </c>
      <c r="AG191" s="168">
        <f t="shared" si="69"/>
        <v>0</v>
      </c>
      <c r="AH191" s="5"/>
      <c r="AI191" s="5"/>
    </row>
    <row r="192" spans="1:35" s="1" customFormat="1" x14ac:dyDescent="0.25">
      <c r="A192" s="21">
        <v>20</v>
      </c>
      <c r="B192" s="22" t="s">
        <v>1660</v>
      </c>
      <c r="C192" s="50" t="s">
        <v>298</v>
      </c>
      <c r="D192" s="51" t="s">
        <v>299</v>
      </c>
      <c r="E192" s="52" t="s">
        <v>300</v>
      </c>
      <c r="F192" s="24"/>
      <c r="G192" s="24" t="s">
        <v>194</v>
      </c>
      <c r="H192" s="24" t="s">
        <v>62</v>
      </c>
      <c r="I192" s="24">
        <v>2012</v>
      </c>
      <c r="J192" s="24"/>
      <c r="K192" s="24" t="s">
        <v>63</v>
      </c>
      <c r="L192" s="24" t="s">
        <v>64</v>
      </c>
      <c r="M192" s="24">
        <v>2</v>
      </c>
      <c r="N192" s="41">
        <f t="shared" si="74"/>
        <v>5940000</v>
      </c>
      <c r="O192" s="41">
        <v>11880000</v>
      </c>
      <c r="P192" s="24"/>
      <c r="Q192" s="24"/>
      <c r="R192" s="24"/>
      <c r="S192" s="41">
        <f t="shared" si="64"/>
        <v>11880000</v>
      </c>
      <c r="T192" s="24">
        <v>5</v>
      </c>
      <c r="U192" s="41"/>
      <c r="V192" s="24">
        <v>0.5</v>
      </c>
      <c r="W192" s="41">
        <f t="shared" si="72"/>
        <v>0</v>
      </c>
      <c r="X192" s="24"/>
      <c r="Y192" s="41">
        <f t="shared" si="66"/>
        <v>0</v>
      </c>
      <c r="Z192" s="41">
        <f t="shared" si="73"/>
        <v>0</v>
      </c>
      <c r="AA192" s="72">
        <v>5</v>
      </c>
      <c r="AB192" s="41">
        <v>11880000</v>
      </c>
      <c r="AC192" s="41">
        <f t="shared" si="68"/>
        <v>0</v>
      </c>
      <c r="AD192" s="70" t="s">
        <v>301</v>
      </c>
      <c r="AE192" s="70"/>
      <c r="AF192" s="1">
        <v>11880000</v>
      </c>
      <c r="AG192" s="168">
        <f t="shared" si="69"/>
        <v>0</v>
      </c>
      <c r="AH192" s="5"/>
      <c r="AI192" s="5"/>
    </row>
    <row r="193" spans="1:35" s="1" customFormat="1" x14ac:dyDescent="0.25">
      <c r="A193" s="21">
        <v>21</v>
      </c>
      <c r="B193" s="22" t="s">
        <v>1660</v>
      </c>
      <c r="C193" s="50" t="s">
        <v>135</v>
      </c>
      <c r="D193" s="51" t="s">
        <v>299</v>
      </c>
      <c r="E193" s="52" t="s">
        <v>300</v>
      </c>
      <c r="F193" s="24"/>
      <c r="G193" s="24" t="s">
        <v>194</v>
      </c>
      <c r="H193" s="24" t="s">
        <v>62</v>
      </c>
      <c r="I193" s="24">
        <v>2012</v>
      </c>
      <c r="J193" s="24"/>
      <c r="K193" s="24" t="s">
        <v>63</v>
      </c>
      <c r="L193" s="24" t="s">
        <v>302</v>
      </c>
      <c r="M193" s="24">
        <v>1</v>
      </c>
      <c r="N193" s="41">
        <f t="shared" si="74"/>
        <v>5940000</v>
      </c>
      <c r="O193" s="41">
        <v>5940000</v>
      </c>
      <c r="P193" s="24"/>
      <c r="Q193" s="24"/>
      <c r="R193" s="24"/>
      <c r="S193" s="41">
        <f t="shared" si="64"/>
        <v>5940000</v>
      </c>
      <c r="T193" s="24">
        <v>5</v>
      </c>
      <c r="U193" s="41"/>
      <c r="V193" s="24">
        <v>0.5</v>
      </c>
      <c r="W193" s="41">
        <f t="shared" si="72"/>
        <v>0</v>
      </c>
      <c r="X193" s="24"/>
      <c r="Y193" s="41">
        <f t="shared" si="66"/>
        <v>0</v>
      </c>
      <c r="Z193" s="41">
        <f t="shared" si="73"/>
        <v>0</v>
      </c>
      <c r="AA193" s="24">
        <v>5</v>
      </c>
      <c r="AB193" s="41">
        <v>5940000</v>
      </c>
      <c r="AC193" s="41">
        <f t="shared" si="68"/>
        <v>0</v>
      </c>
      <c r="AD193" s="70" t="s">
        <v>303</v>
      </c>
      <c r="AE193" s="70"/>
      <c r="AF193" s="1">
        <v>5940000</v>
      </c>
      <c r="AG193" s="168">
        <f t="shared" si="69"/>
        <v>0</v>
      </c>
      <c r="AH193" s="5"/>
      <c r="AI193" s="5"/>
    </row>
    <row r="194" spans="1:35" s="1" customFormat="1" x14ac:dyDescent="0.25">
      <c r="A194" s="21">
        <v>22</v>
      </c>
      <c r="B194" s="22" t="s">
        <v>1660</v>
      </c>
      <c r="C194" s="50" t="s">
        <v>304</v>
      </c>
      <c r="D194" s="51" t="s">
        <v>299</v>
      </c>
      <c r="E194" s="52" t="s">
        <v>300</v>
      </c>
      <c r="F194" s="24"/>
      <c r="G194" s="24" t="s">
        <v>194</v>
      </c>
      <c r="H194" s="24" t="s">
        <v>62</v>
      </c>
      <c r="I194" s="24">
        <v>2012</v>
      </c>
      <c r="J194" s="24"/>
      <c r="K194" s="24" t="s">
        <v>63</v>
      </c>
      <c r="L194" s="24" t="s">
        <v>167</v>
      </c>
      <c r="M194" s="24">
        <v>3</v>
      </c>
      <c r="N194" s="41">
        <f t="shared" si="74"/>
        <v>5940000</v>
      </c>
      <c r="O194" s="41">
        <v>17820000</v>
      </c>
      <c r="P194" s="24"/>
      <c r="Q194" s="24"/>
      <c r="R194" s="24"/>
      <c r="S194" s="41">
        <f t="shared" si="64"/>
        <v>17820000</v>
      </c>
      <c r="T194" s="24">
        <v>5</v>
      </c>
      <c r="U194" s="41"/>
      <c r="V194" s="24">
        <v>0.5</v>
      </c>
      <c r="W194" s="41">
        <f t="shared" si="72"/>
        <v>0</v>
      </c>
      <c r="X194" s="24"/>
      <c r="Y194" s="41">
        <f t="shared" si="66"/>
        <v>0</v>
      </c>
      <c r="Z194" s="41">
        <f t="shared" si="73"/>
        <v>0</v>
      </c>
      <c r="AA194" s="24">
        <v>5</v>
      </c>
      <c r="AB194" s="41">
        <v>17820000</v>
      </c>
      <c r="AC194" s="41">
        <f t="shared" si="68"/>
        <v>0</v>
      </c>
      <c r="AD194" s="70" t="s">
        <v>305</v>
      </c>
      <c r="AE194" s="70"/>
      <c r="AF194" s="1">
        <v>17820000</v>
      </c>
      <c r="AG194" s="168">
        <f t="shared" si="69"/>
        <v>0</v>
      </c>
      <c r="AH194" s="5"/>
      <c r="AI194" s="5"/>
    </row>
    <row r="195" spans="1:35" s="1" customFormat="1" x14ac:dyDescent="0.25">
      <c r="A195" s="21">
        <v>23</v>
      </c>
      <c r="B195" s="22" t="s">
        <v>1660</v>
      </c>
      <c r="C195" s="50" t="s">
        <v>306</v>
      </c>
      <c r="D195" s="51" t="s">
        <v>299</v>
      </c>
      <c r="E195" s="52" t="s">
        <v>307</v>
      </c>
      <c r="F195" s="24"/>
      <c r="G195" s="24" t="s">
        <v>194</v>
      </c>
      <c r="H195" s="24" t="s">
        <v>62</v>
      </c>
      <c r="I195" s="24">
        <v>2015</v>
      </c>
      <c r="J195" s="24"/>
      <c r="K195" s="24" t="s">
        <v>63</v>
      </c>
      <c r="L195" s="24" t="s">
        <v>64</v>
      </c>
      <c r="M195" s="24">
        <v>6</v>
      </c>
      <c r="N195" s="41">
        <f t="shared" si="74"/>
        <v>14960000</v>
      </c>
      <c r="O195" s="41">
        <v>89760000</v>
      </c>
      <c r="P195" s="24"/>
      <c r="Q195" s="24"/>
      <c r="R195" s="24"/>
      <c r="S195" s="41">
        <f t="shared" si="64"/>
        <v>89760000</v>
      </c>
      <c r="T195" s="24">
        <v>5</v>
      </c>
      <c r="U195" s="41">
        <f t="shared" ref="U195:U201" si="75">SUM(S195/T195)</f>
        <v>17952000</v>
      </c>
      <c r="V195" s="24">
        <v>0.5</v>
      </c>
      <c r="W195" s="41"/>
      <c r="X195" s="24"/>
      <c r="Y195" s="41">
        <f t="shared" si="66"/>
        <v>0</v>
      </c>
      <c r="Z195" s="41"/>
      <c r="AA195" s="24">
        <v>5</v>
      </c>
      <c r="AB195" s="41">
        <f t="shared" ref="AB195:AB201" si="76">SUM(U195*AA195)</f>
        <v>89760000</v>
      </c>
      <c r="AC195" s="41">
        <f t="shared" si="68"/>
        <v>0</v>
      </c>
      <c r="AD195" s="70" t="s">
        <v>308</v>
      </c>
      <c r="AE195" s="70"/>
      <c r="AF195" s="1">
        <v>89760000</v>
      </c>
      <c r="AG195" s="168">
        <f t="shared" si="69"/>
        <v>0</v>
      </c>
      <c r="AH195" s="5"/>
      <c r="AI195" s="5"/>
    </row>
    <row r="196" spans="1:35" s="1" customFormat="1" x14ac:dyDescent="0.25">
      <c r="A196" s="21">
        <v>24</v>
      </c>
      <c r="B196" s="22" t="s">
        <v>1660</v>
      </c>
      <c r="C196" s="50" t="s">
        <v>159</v>
      </c>
      <c r="D196" s="51" t="s">
        <v>299</v>
      </c>
      <c r="E196" s="52" t="s">
        <v>307</v>
      </c>
      <c r="F196" s="24"/>
      <c r="G196" s="24" t="s">
        <v>194</v>
      </c>
      <c r="H196" s="24" t="s">
        <v>62</v>
      </c>
      <c r="I196" s="24">
        <v>2016</v>
      </c>
      <c r="J196" s="24"/>
      <c r="K196" s="24" t="s">
        <v>63</v>
      </c>
      <c r="L196" s="24" t="s">
        <v>64</v>
      </c>
      <c r="M196" s="24">
        <v>2</v>
      </c>
      <c r="N196" s="41">
        <f t="shared" si="74"/>
        <v>12985000</v>
      </c>
      <c r="O196" s="41">
        <v>25970000</v>
      </c>
      <c r="P196" s="24"/>
      <c r="Q196" s="24"/>
      <c r="R196" s="24"/>
      <c r="S196" s="41">
        <f t="shared" si="64"/>
        <v>25970000</v>
      </c>
      <c r="T196" s="24">
        <v>5</v>
      </c>
      <c r="U196" s="41">
        <f t="shared" si="75"/>
        <v>5194000</v>
      </c>
      <c r="V196" s="24"/>
      <c r="W196" s="41"/>
      <c r="X196" s="24"/>
      <c r="Y196" s="41">
        <f t="shared" si="66"/>
        <v>0</v>
      </c>
      <c r="Z196" s="41"/>
      <c r="AA196" s="24">
        <v>5</v>
      </c>
      <c r="AB196" s="41">
        <f t="shared" si="76"/>
        <v>25970000</v>
      </c>
      <c r="AC196" s="41">
        <f t="shared" si="68"/>
        <v>0</v>
      </c>
      <c r="AD196" s="70" t="s">
        <v>309</v>
      </c>
      <c r="AE196" s="70"/>
      <c r="AF196" s="1">
        <v>25970000</v>
      </c>
      <c r="AG196" s="168">
        <f t="shared" si="69"/>
        <v>0</v>
      </c>
      <c r="AH196" s="5"/>
      <c r="AI196" s="5"/>
    </row>
    <row r="197" spans="1:35" s="1" customFormat="1" x14ac:dyDescent="0.25">
      <c r="A197" s="21">
        <v>25</v>
      </c>
      <c r="B197" s="22" t="s">
        <v>1660</v>
      </c>
      <c r="C197" s="50" t="s">
        <v>162</v>
      </c>
      <c r="D197" s="51" t="s">
        <v>299</v>
      </c>
      <c r="E197" s="52" t="s">
        <v>310</v>
      </c>
      <c r="F197" s="24"/>
      <c r="G197" s="24" t="s">
        <v>194</v>
      </c>
      <c r="H197" s="24" t="s">
        <v>62</v>
      </c>
      <c r="I197" s="24">
        <v>2017</v>
      </c>
      <c r="J197" s="24"/>
      <c r="K197" s="24" t="s">
        <v>63</v>
      </c>
      <c r="L197" s="24" t="s">
        <v>64</v>
      </c>
      <c r="M197" s="24">
        <v>1</v>
      </c>
      <c r="N197" s="41">
        <f t="shared" si="74"/>
        <v>12996500</v>
      </c>
      <c r="O197" s="41">
        <v>12996500</v>
      </c>
      <c r="P197" s="24"/>
      <c r="Q197" s="24"/>
      <c r="R197" s="24"/>
      <c r="S197" s="41">
        <f t="shared" si="64"/>
        <v>12996500</v>
      </c>
      <c r="T197" s="24">
        <v>5</v>
      </c>
      <c r="U197" s="41">
        <f t="shared" si="75"/>
        <v>2599300</v>
      </c>
      <c r="V197" s="24">
        <v>0.5</v>
      </c>
      <c r="W197" s="41"/>
      <c r="X197" s="24"/>
      <c r="Y197" s="41">
        <f t="shared" si="66"/>
        <v>0</v>
      </c>
      <c r="Z197" s="41">
        <f>SUM(W197+Y197)</f>
        <v>0</v>
      </c>
      <c r="AA197" s="24">
        <v>5</v>
      </c>
      <c r="AB197" s="41">
        <v>12996500</v>
      </c>
      <c r="AC197" s="41">
        <f t="shared" si="68"/>
        <v>0</v>
      </c>
      <c r="AD197" s="70" t="s">
        <v>311</v>
      </c>
      <c r="AE197" s="70"/>
      <c r="AF197" s="1">
        <v>12996500</v>
      </c>
      <c r="AG197" s="168">
        <f t="shared" si="69"/>
        <v>0</v>
      </c>
      <c r="AH197" s="5"/>
      <c r="AI197" s="5"/>
    </row>
    <row r="198" spans="1:35" s="1" customFormat="1" x14ac:dyDescent="0.25">
      <c r="A198" s="21">
        <v>26</v>
      </c>
      <c r="B198" s="22" t="s">
        <v>1660</v>
      </c>
      <c r="C198" s="50" t="s">
        <v>312</v>
      </c>
      <c r="D198" s="51" t="s">
        <v>299</v>
      </c>
      <c r="E198" s="52" t="s">
        <v>310</v>
      </c>
      <c r="F198" s="52"/>
      <c r="G198" s="52" t="s">
        <v>194</v>
      </c>
      <c r="H198" s="52" t="s">
        <v>62</v>
      </c>
      <c r="I198" s="52">
        <v>2017</v>
      </c>
      <c r="J198" s="52"/>
      <c r="K198" s="52" t="s">
        <v>63</v>
      </c>
      <c r="L198" s="52" t="s">
        <v>64</v>
      </c>
      <c r="M198" s="52">
        <v>1</v>
      </c>
      <c r="N198" s="53">
        <f t="shared" si="74"/>
        <v>12996500</v>
      </c>
      <c r="O198" s="53">
        <v>12996500</v>
      </c>
      <c r="P198" s="52"/>
      <c r="Q198" s="52"/>
      <c r="R198" s="52"/>
      <c r="S198" s="53">
        <f t="shared" si="64"/>
        <v>12996500</v>
      </c>
      <c r="T198" s="52">
        <v>5</v>
      </c>
      <c r="U198" s="53">
        <f t="shared" si="75"/>
        <v>2599300</v>
      </c>
      <c r="V198" s="52">
        <v>0.5</v>
      </c>
      <c r="W198" s="53"/>
      <c r="X198" s="52"/>
      <c r="Y198" s="53">
        <f t="shared" si="66"/>
        <v>0</v>
      </c>
      <c r="Z198" s="53">
        <f t="shared" si="73"/>
        <v>0</v>
      </c>
      <c r="AA198" s="52">
        <v>5</v>
      </c>
      <c r="AB198" s="53">
        <v>12996500</v>
      </c>
      <c r="AC198" s="53">
        <f t="shared" si="68"/>
        <v>0</v>
      </c>
      <c r="AD198" s="56" t="s">
        <v>213</v>
      </c>
      <c r="AE198" s="56"/>
      <c r="AF198" s="1">
        <v>12996500</v>
      </c>
      <c r="AG198" s="168">
        <f t="shared" si="69"/>
        <v>0</v>
      </c>
      <c r="AH198" s="5"/>
      <c r="AI198" s="5"/>
    </row>
    <row r="199" spans="1:35" s="1" customFormat="1" x14ac:dyDescent="0.25">
      <c r="A199" s="21">
        <v>27</v>
      </c>
      <c r="B199" s="22" t="s">
        <v>1660</v>
      </c>
      <c r="C199" s="50" t="s">
        <v>313</v>
      </c>
      <c r="D199" s="51" t="s">
        <v>299</v>
      </c>
      <c r="E199" s="52" t="s">
        <v>310</v>
      </c>
      <c r="F199" s="52"/>
      <c r="G199" s="52" t="s">
        <v>194</v>
      </c>
      <c r="H199" s="52" t="s">
        <v>62</v>
      </c>
      <c r="I199" s="52">
        <v>2017</v>
      </c>
      <c r="J199" s="52"/>
      <c r="K199" s="52" t="s">
        <v>63</v>
      </c>
      <c r="L199" s="52" t="s">
        <v>64</v>
      </c>
      <c r="M199" s="52">
        <v>1</v>
      </c>
      <c r="N199" s="53">
        <f t="shared" si="74"/>
        <v>12996500</v>
      </c>
      <c r="O199" s="53">
        <v>12996500</v>
      </c>
      <c r="P199" s="52"/>
      <c r="Q199" s="52"/>
      <c r="R199" s="52"/>
      <c r="S199" s="53">
        <f t="shared" si="64"/>
        <v>12996500</v>
      </c>
      <c r="T199" s="52">
        <v>5</v>
      </c>
      <c r="U199" s="53">
        <f t="shared" si="75"/>
        <v>2599300</v>
      </c>
      <c r="V199" s="52">
        <v>0.5</v>
      </c>
      <c r="W199" s="53"/>
      <c r="X199" s="52"/>
      <c r="Y199" s="53">
        <f t="shared" si="66"/>
        <v>0</v>
      </c>
      <c r="Z199" s="53">
        <f t="shared" si="73"/>
        <v>0</v>
      </c>
      <c r="AA199" s="52">
        <v>5</v>
      </c>
      <c r="AB199" s="53">
        <v>12996500</v>
      </c>
      <c r="AC199" s="53">
        <f t="shared" si="68"/>
        <v>0</v>
      </c>
      <c r="AD199" s="56" t="s">
        <v>224</v>
      </c>
      <c r="AE199" s="56"/>
      <c r="AF199" s="1">
        <v>12996500</v>
      </c>
      <c r="AG199" s="168">
        <f t="shared" si="69"/>
        <v>0</v>
      </c>
      <c r="AH199" s="5"/>
      <c r="AI199" s="5"/>
    </row>
    <row r="200" spans="1:35" s="1" customFormat="1" x14ac:dyDescent="0.25">
      <c r="A200" s="21">
        <v>28</v>
      </c>
      <c r="B200" s="22" t="s">
        <v>1660</v>
      </c>
      <c r="C200" s="50" t="s">
        <v>314</v>
      </c>
      <c r="D200" s="51" t="s">
        <v>299</v>
      </c>
      <c r="E200" s="52" t="s">
        <v>310</v>
      </c>
      <c r="F200" s="52"/>
      <c r="G200" s="52" t="s">
        <v>194</v>
      </c>
      <c r="H200" s="52" t="s">
        <v>62</v>
      </c>
      <c r="I200" s="52">
        <v>2017</v>
      </c>
      <c r="J200" s="52"/>
      <c r="K200" s="52" t="s">
        <v>63</v>
      </c>
      <c r="L200" s="52" t="s">
        <v>64</v>
      </c>
      <c r="M200" s="52">
        <v>2</v>
      </c>
      <c r="N200" s="53">
        <f t="shared" si="74"/>
        <v>12996500</v>
      </c>
      <c r="O200" s="53">
        <v>25993000</v>
      </c>
      <c r="P200" s="52"/>
      <c r="Q200" s="52"/>
      <c r="R200" s="52"/>
      <c r="S200" s="53">
        <f t="shared" si="64"/>
        <v>25993000</v>
      </c>
      <c r="T200" s="52">
        <v>5</v>
      </c>
      <c r="U200" s="53">
        <f t="shared" si="75"/>
        <v>5198600</v>
      </c>
      <c r="V200" s="52">
        <v>0.5</v>
      </c>
      <c r="W200" s="53"/>
      <c r="X200" s="52"/>
      <c r="Y200" s="53">
        <f t="shared" si="66"/>
        <v>0</v>
      </c>
      <c r="Z200" s="53">
        <f t="shared" si="73"/>
        <v>0</v>
      </c>
      <c r="AA200" s="52">
        <v>5</v>
      </c>
      <c r="AB200" s="53">
        <v>25993000</v>
      </c>
      <c r="AC200" s="53">
        <f t="shared" si="68"/>
        <v>0</v>
      </c>
      <c r="AD200" s="56" t="s">
        <v>315</v>
      </c>
      <c r="AE200" s="56"/>
      <c r="AF200" s="1">
        <v>25993000</v>
      </c>
      <c r="AG200" s="168">
        <f t="shared" si="69"/>
        <v>0</v>
      </c>
      <c r="AH200" s="5"/>
      <c r="AI200" s="5"/>
    </row>
    <row r="201" spans="1:35" s="1" customFormat="1" x14ac:dyDescent="0.25">
      <c r="A201" s="21">
        <v>29</v>
      </c>
      <c r="B201" s="22" t="s">
        <v>1660</v>
      </c>
      <c r="C201" s="50" t="s">
        <v>316</v>
      </c>
      <c r="D201" s="51" t="s">
        <v>299</v>
      </c>
      <c r="E201" s="52" t="s">
        <v>307</v>
      </c>
      <c r="F201" s="52"/>
      <c r="G201" s="52" t="s">
        <v>194</v>
      </c>
      <c r="H201" s="52" t="s">
        <v>62</v>
      </c>
      <c r="I201" s="52">
        <v>2018</v>
      </c>
      <c r="J201" s="52"/>
      <c r="K201" s="52" t="s">
        <v>63</v>
      </c>
      <c r="L201" s="52" t="s">
        <v>64</v>
      </c>
      <c r="M201" s="52">
        <v>2</v>
      </c>
      <c r="N201" s="53">
        <f t="shared" si="74"/>
        <v>24750000</v>
      </c>
      <c r="O201" s="53">
        <v>49500000</v>
      </c>
      <c r="P201" s="52"/>
      <c r="Q201" s="52"/>
      <c r="R201" s="52"/>
      <c r="S201" s="53">
        <f t="shared" si="64"/>
        <v>49500000</v>
      </c>
      <c r="T201" s="52">
        <v>5</v>
      </c>
      <c r="U201" s="53">
        <f t="shared" si="75"/>
        <v>9900000</v>
      </c>
      <c r="V201" s="52">
        <v>0.5</v>
      </c>
      <c r="W201" s="53">
        <f t="shared" ref="W201:W229" si="77">SUM(U201*V201)</f>
        <v>4950000</v>
      </c>
      <c r="X201" s="52"/>
      <c r="Y201" s="53">
        <f t="shared" si="66"/>
        <v>0</v>
      </c>
      <c r="Z201" s="53">
        <f t="shared" si="73"/>
        <v>4950000</v>
      </c>
      <c r="AA201" s="52">
        <f>2023-I201+V201+X201-6/12</f>
        <v>5</v>
      </c>
      <c r="AB201" s="53">
        <f t="shared" si="76"/>
        <v>49500000</v>
      </c>
      <c r="AC201" s="53">
        <f t="shared" si="68"/>
        <v>0</v>
      </c>
      <c r="AD201" s="56"/>
      <c r="AE201" s="56"/>
      <c r="AF201" s="1">
        <v>44550000</v>
      </c>
      <c r="AG201" s="168">
        <f>AF201+Z201-AB201</f>
        <v>0</v>
      </c>
      <c r="AH201" s="5"/>
      <c r="AI201" s="5"/>
    </row>
    <row r="202" spans="1:35" s="1" customFormat="1" x14ac:dyDescent="0.25">
      <c r="A202" s="21">
        <v>30</v>
      </c>
      <c r="B202" s="22" t="s">
        <v>1661</v>
      </c>
      <c r="C202" s="22" t="s">
        <v>896</v>
      </c>
      <c r="D202" s="51" t="s">
        <v>3699</v>
      </c>
      <c r="E202" s="24" t="s">
        <v>166</v>
      </c>
      <c r="F202" s="52"/>
      <c r="G202" s="52" t="s">
        <v>319</v>
      </c>
      <c r="H202" s="52" t="s">
        <v>62</v>
      </c>
      <c r="I202" s="52">
        <v>2005</v>
      </c>
      <c r="J202" s="52"/>
      <c r="K202" s="52" t="s">
        <v>63</v>
      </c>
      <c r="L202" s="52" t="s">
        <v>212</v>
      </c>
      <c r="M202" s="52">
        <v>2</v>
      </c>
      <c r="N202" s="53">
        <f t="shared" si="74"/>
        <v>200000</v>
      </c>
      <c r="O202" s="53">
        <v>400000</v>
      </c>
      <c r="P202" s="52"/>
      <c r="Q202" s="52"/>
      <c r="R202" s="52"/>
      <c r="S202" s="53">
        <f t="shared" si="64"/>
        <v>400000</v>
      </c>
      <c r="T202" s="52">
        <v>5</v>
      </c>
      <c r="U202" s="53"/>
      <c r="V202" s="52">
        <v>0.5</v>
      </c>
      <c r="W202" s="53">
        <f t="shared" si="77"/>
        <v>0</v>
      </c>
      <c r="X202" s="52"/>
      <c r="Y202" s="53">
        <f t="shared" si="66"/>
        <v>0</v>
      </c>
      <c r="Z202" s="53">
        <f t="shared" si="73"/>
        <v>0</v>
      </c>
      <c r="AA202" s="52">
        <v>5</v>
      </c>
      <c r="AB202" s="53">
        <v>400000</v>
      </c>
      <c r="AC202" s="53">
        <f t="shared" si="68"/>
        <v>0</v>
      </c>
      <c r="AD202" s="56" t="s">
        <v>295</v>
      </c>
      <c r="AE202" s="56"/>
      <c r="AF202" s="1">
        <v>400000</v>
      </c>
      <c r="AG202" s="168">
        <f t="shared" si="69"/>
        <v>0</v>
      </c>
      <c r="AH202" s="5"/>
      <c r="AI202" s="5"/>
    </row>
    <row r="203" spans="1:35" s="1" customFormat="1" x14ac:dyDescent="0.25">
      <c r="A203" s="21">
        <v>31</v>
      </c>
      <c r="B203" s="22" t="s">
        <v>1661</v>
      </c>
      <c r="C203" s="22" t="s">
        <v>898</v>
      </c>
      <c r="D203" s="51" t="s">
        <v>3699</v>
      </c>
      <c r="E203" s="24" t="s">
        <v>166</v>
      </c>
      <c r="F203" s="52"/>
      <c r="G203" s="52" t="s">
        <v>319</v>
      </c>
      <c r="H203" s="52" t="s">
        <v>62</v>
      </c>
      <c r="I203" s="52">
        <v>2005</v>
      </c>
      <c r="J203" s="52"/>
      <c r="K203" s="52" t="s">
        <v>63</v>
      </c>
      <c r="L203" s="52" t="s">
        <v>212</v>
      </c>
      <c r="M203" s="52">
        <v>2</v>
      </c>
      <c r="N203" s="53">
        <f t="shared" si="74"/>
        <v>200000</v>
      </c>
      <c r="O203" s="53">
        <v>400000</v>
      </c>
      <c r="P203" s="52"/>
      <c r="Q203" s="52"/>
      <c r="R203" s="52"/>
      <c r="S203" s="53">
        <f t="shared" si="64"/>
        <v>400000</v>
      </c>
      <c r="T203" s="52">
        <v>5</v>
      </c>
      <c r="U203" s="53"/>
      <c r="V203" s="52">
        <v>0.5</v>
      </c>
      <c r="W203" s="53">
        <f t="shared" si="77"/>
        <v>0</v>
      </c>
      <c r="X203" s="52"/>
      <c r="Y203" s="53">
        <f t="shared" si="66"/>
        <v>0</v>
      </c>
      <c r="Z203" s="53">
        <f t="shared" si="73"/>
        <v>0</v>
      </c>
      <c r="AA203" s="57">
        <v>5</v>
      </c>
      <c r="AB203" s="53">
        <v>400000</v>
      </c>
      <c r="AC203" s="53">
        <f t="shared" si="68"/>
        <v>0</v>
      </c>
      <c r="AD203" s="56" t="s">
        <v>297</v>
      </c>
      <c r="AE203" s="56"/>
      <c r="AF203" s="1">
        <v>400000</v>
      </c>
      <c r="AG203" s="168">
        <f t="shared" si="69"/>
        <v>0</v>
      </c>
      <c r="AH203" s="5"/>
      <c r="AI203" s="5"/>
    </row>
    <row r="204" spans="1:35" s="1" customFormat="1" x14ac:dyDescent="0.25">
      <c r="A204" s="21">
        <v>32</v>
      </c>
      <c r="B204" s="22" t="s">
        <v>1661</v>
      </c>
      <c r="C204" s="22" t="s">
        <v>899</v>
      </c>
      <c r="D204" s="51" t="s">
        <v>3699</v>
      </c>
      <c r="E204" s="24" t="s">
        <v>166</v>
      </c>
      <c r="F204" s="52"/>
      <c r="G204" s="52" t="s">
        <v>319</v>
      </c>
      <c r="H204" s="52" t="s">
        <v>62</v>
      </c>
      <c r="I204" s="52">
        <v>2005</v>
      </c>
      <c r="J204" s="52"/>
      <c r="K204" s="52" t="s">
        <v>63</v>
      </c>
      <c r="L204" s="52" t="s">
        <v>212</v>
      </c>
      <c r="M204" s="52">
        <v>1</v>
      </c>
      <c r="N204" s="53">
        <f t="shared" si="74"/>
        <v>200000</v>
      </c>
      <c r="O204" s="53">
        <v>200000</v>
      </c>
      <c r="P204" s="52"/>
      <c r="Q204" s="52"/>
      <c r="R204" s="52"/>
      <c r="S204" s="53">
        <f t="shared" si="64"/>
        <v>200000</v>
      </c>
      <c r="T204" s="52">
        <v>5</v>
      </c>
      <c r="U204" s="53"/>
      <c r="V204" s="52">
        <v>0.5</v>
      </c>
      <c r="W204" s="53">
        <f t="shared" si="77"/>
        <v>0</v>
      </c>
      <c r="X204" s="52"/>
      <c r="Y204" s="53">
        <f t="shared" si="66"/>
        <v>0</v>
      </c>
      <c r="Z204" s="53">
        <f t="shared" si="73"/>
        <v>0</v>
      </c>
      <c r="AA204" s="52">
        <v>5</v>
      </c>
      <c r="AB204" s="53">
        <v>200000</v>
      </c>
      <c r="AC204" s="53">
        <f t="shared" si="68"/>
        <v>0</v>
      </c>
      <c r="AD204" s="56" t="s">
        <v>287</v>
      </c>
      <c r="AE204" s="56"/>
      <c r="AF204" s="1">
        <v>200000</v>
      </c>
      <c r="AG204" s="168">
        <f t="shared" si="69"/>
        <v>0</v>
      </c>
      <c r="AH204" s="5"/>
      <c r="AI204" s="5"/>
    </row>
    <row r="205" spans="1:35" s="1" customFormat="1" x14ac:dyDescent="0.25">
      <c r="A205" s="21">
        <v>33</v>
      </c>
      <c r="B205" s="22" t="s">
        <v>1661</v>
      </c>
      <c r="C205" s="22" t="s">
        <v>900</v>
      </c>
      <c r="D205" s="51" t="s">
        <v>3699</v>
      </c>
      <c r="E205" s="24" t="s">
        <v>166</v>
      </c>
      <c r="F205" s="52"/>
      <c r="G205" s="52" t="s">
        <v>319</v>
      </c>
      <c r="H205" s="52" t="s">
        <v>62</v>
      </c>
      <c r="I205" s="52">
        <v>2005</v>
      </c>
      <c r="J205" s="52"/>
      <c r="K205" s="52" t="s">
        <v>63</v>
      </c>
      <c r="L205" s="52" t="s">
        <v>212</v>
      </c>
      <c r="M205" s="52">
        <v>1</v>
      </c>
      <c r="N205" s="53">
        <f t="shared" si="74"/>
        <v>200000</v>
      </c>
      <c r="O205" s="53">
        <v>200000</v>
      </c>
      <c r="P205" s="52"/>
      <c r="Q205" s="52"/>
      <c r="R205" s="52"/>
      <c r="S205" s="53">
        <f t="shared" si="64"/>
        <v>200000</v>
      </c>
      <c r="T205" s="52">
        <v>5</v>
      </c>
      <c r="U205" s="53"/>
      <c r="V205" s="52">
        <v>0.5</v>
      </c>
      <c r="W205" s="53">
        <f t="shared" si="77"/>
        <v>0</v>
      </c>
      <c r="X205" s="52"/>
      <c r="Y205" s="53">
        <f t="shared" si="66"/>
        <v>0</v>
      </c>
      <c r="Z205" s="53">
        <f t="shared" si="73"/>
        <v>0</v>
      </c>
      <c r="AA205" s="52">
        <v>5</v>
      </c>
      <c r="AB205" s="53">
        <v>200000</v>
      </c>
      <c r="AC205" s="53">
        <f t="shared" si="68"/>
        <v>0</v>
      </c>
      <c r="AD205" s="56" t="s">
        <v>303</v>
      </c>
      <c r="AE205" s="56"/>
      <c r="AF205" s="1">
        <v>200000</v>
      </c>
      <c r="AG205" s="168">
        <f t="shared" si="69"/>
        <v>0</v>
      </c>
      <c r="AH205" s="5"/>
      <c r="AI205" s="5"/>
    </row>
    <row r="206" spans="1:35" s="1" customFormat="1" x14ac:dyDescent="0.25">
      <c r="A206" s="21">
        <v>34</v>
      </c>
      <c r="B206" s="22" t="s">
        <v>1661</v>
      </c>
      <c r="C206" s="22" t="s">
        <v>835</v>
      </c>
      <c r="D206" s="51" t="s">
        <v>3699</v>
      </c>
      <c r="E206" s="24" t="s">
        <v>166</v>
      </c>
      <c r="F206" s="52"/>
      <c r="G206" s="52" t="s">
        <v>319</v>
      </c>
      <c r="H206" s="52" t="s">
        <v>62</v>
      </c>
      <c r="I206" s="52">
        <v>2005</v>
      </c>
      <c r="J206" s="52"/>
      <c r="K206" s="52" t="s">
        <v>63</v>
      </c>
      <c r="L206" s="52" t="s">
        <v>212</v>
      </c>
      <c r="M206" s="52">
        <v>1</v>
      </c>
      <c r="N206" s="53">
        <f t="shared" si="74"/>
        <v>200000</v>
      </c>
      <c r="O206" s="53">
        <v>200000</v>
      </c>
      <c r="P206" s="52"/>
      <c r="Q206" s="52"/>
      <c r="R206" s="52"/>
      <c r="S206" s="53">
        <f t="shared" si="64"/>
        <v>200000</v>
      </c>
      <c r="T206" s="52">
        <v>5</v>
      </c>
      <c r="U206" s="53"/>
      <c r="V206" s="52">
        <v>0.5</v>
      </c>
      <c r="W206" s="53">
        <f t="shared" si="77"/>
        <v>0</v>
      </c>
      <c r="X206" s="52"/>
      <c r="Y206" s="53">
        <f t="shared" si="66"/>
        <v>0</v>
      </c>
      <c r="Z206" s="53">
        <f t="shared" si="73"/>
        <v>0</v>
      </c>
      <c r="AA206" s="52">
        <v>5</v>
      </c>
      <c r="AB206" s="53">
        <v>200000</v>
      </c>
      <c r="AC206" s="53">
        <f t="shared" si="68"/>
        <v>0</v>
      </c>
      <c r="AD206" s="56" t="s">
        <v>305</v>
      </c>
      <c r="AE206" s="56"/>
      <c r="AF206" s="1">
        <v>200000</v>
      </c>
      <c r="AG206" s="168">
        <f t="shared" si="69"/>
        <v>0</v>
      </c>
      <c r="AH206" s="5"/>
      <c r="AI206" s="5"/>
    </row>
    <row r="207" spans="1:35" s="1" customFormat="1" x14ac:dyDescent="0.25">
      <c r="A207" s="21">
        <v>35</v>
      </c>
      <c r="B207" s="22" t="s">
        <v>1661</v>
      </c>
      <c r="C207" s="22" t="s">
        <v>901</v>
      </c>
      <c r="D207" s="51" t="s">
        <v>3699</v>
      </c>
      <c r="E207" s="24" t="s">
        <v>166</v>
      </c>
      <c r="F207" s="52"/>
      <c r="G207" s="52" t="s">
        <v>319</v>
      </c>
      <c r="H207" s="52" t="s">
        <v>62</v>
      </c>
      <c r="I207" s="52">
        <v>2005</v>
      </c>
      <c r="J207" s="52"/>
      <c r="K207" s="52" t="s">
        <v>63</v>
      </c>
      <c r="L207" s="52" t="s">
        <v>212</v>
      </c>
      <c r="M207" s="52">
        <v>1</v>
      </c>
      <c r="N207" s="53">
        <f t="shared" si="74"/>
        <v>200000</v>
      </c>
      <c r="O207" s="53">
        <v>200000</v>
      </c>
      <c r="P207" s="52"/>
      <c r="Q207" s="52"/>
      <c r="R207" s="52"/>
      <c r="S207" s="53">
        <f t="shared" si="64"/>
        <v>200000</v>
      </c>
      <c r="T207" s="52">
        <v>5</v>
      </c>
      <c r="U207" s="53"/>
      <c r="V207" s="52">
        <v>0.5</v>
      </c>
      <c r="W207" s="53">
        <f t="shared" si="77"/>
        <v>0</v>
      </c>
      <c r="X207" s="52"/>
      <c r="Y207" s="53">
        <f t="shared" si="66"/>
        <v>0</v>
      </c>
      <c r="Z207" s="53">
        <f t="shared" si="73"/>
        <v>0</v>
      </c>
      <c r="AA207" s="52">
        <v>5</v>
      </c>
      <c r="AB207" s="53">
        <v>200000</v>
      </c>
      <c r="AC207" s="53">
        <f t="shared" si="68"/>
        <v>0</v>
      </c>
      <c r="AD207" s="56" t="s">
        <v>473</v>
      </c>
      <c r="AE207" s="56"/>
      <c r="AF207" s="1">
        <v>200000</v>
      </c>
      <c r="AG207" s="168">
        <f t="shared" si="69"/>
        <v>0</v>
      </c>
      <c r="AH207" s="5"/>
      <c r="AI207" s="5"/>
    </row>
    <row r="208" spans="1:35" s="1" customFormat="1" x14ac:dyDescent="0.25">
      <c r="A208" s="21">
        <v>36</v>
      </c>
      <c r="B208" s="22" t="s">
        <v>1661</v>
      </c>
      <c r="C208" s="22" t="s">
        <v>446</v>
      </c>
      <c r="D208" s="51" t="s">
        <v>3699</v>
      </c>
      <c r="E208" s="24" t="s">
        <v>166</v>
      </c>
      <c r="F208" s="52"/>
      <c r="G208" s="52" t="s">
        <v>319</v>
      </c>
      <c r="H208" s="52" t="s">
        <v>62</v>
      </c>
      <c r="I208" s="52">
        <v>2005</v>
      </c>
      <c r="J208" s="52"/>
      <c r="K208" s="52" t="s">
        <v>63</v>
      </c>
      <c r="L208" s="52" t="s">
        <v>212</v>
      </c>
      <c r="M208" s="52">
        <v>2</v>
      </c>
      <c r="N208" s="53">
        <f t="shared" si="74"/>
        <v>200000</v>
      </c>
      <c r="O208" s="53">
        <v>400000</v>
      </c>
      <c r="P208" s="52"/>
      <c r="Q208" s="52"/>
      <c r="R208" s="52"/>
      <c r="S208" s="53">
        <f t="shared" si="64"/>
        <v>400000</v>
      </c>
      <c r="T208" s="52">
        <v>5</v>
      </c>
      <c r="U208" s="53"/>
      <c r="V208" s="52">
        <v>0.5</v>
      </c>
      <c r="W208" s="53">
        <f t="shared" si="77"/>
        <v>0</v>
      </c>
      <c r="X208" s="52"/>
      <c r="Y208" s="53">
        <f t="shared" si="66"/>
        <v>0</v>
      </c>
      <c r="Z208" s="53">
        <f t="shared" si="73"/>
        <v>0</v>
      </c>
      <c r="AA208" s="57">
        <v>5</v>
      </c>
      <c r="AB208" s="53">
        <v>400000</v>
      </c>
      <c r="AC208" s="53">
        <f t="shared" si="68"/>
        <v>0</v>
      </c>
      <c r="AD208" s="56" t="s">
        <v>477</v>
      </c>
      <c r="AE208" s="56"/>
      <c r="AF208" s="1">
        <v>400000</v>
      </c>
      <c r="AG208" s="168">
        <f t="shared" si="69"/>
        <v>0</v>
      </c>
      <c r="AH208" s="5"/>
      <c r="AI208" s="5"/>
    </row>
    <row r="209" spans="1:35" s="1" customFormat="1" x14ac:dyDescent="0.25">
      <c r="A209" s="21">
        <v>37</v>
      </c>
      <c r="B209" s="22" t="s">
        <v>1661</v>
      </c>
      <c r="C209" s="22" t="s">
        <v>448</v>
      </c>
      <c r="D209" s="51" t="s">
        <v>3699</v>
      </c>
      <c r="E209" s="24" t="s">
        <v>902</v>
      </c>
      <c r="F209" s="52"/>
      <c r="G209" s="52" t="s">
        <v>903</v>
      </c>
      <c r="H209" s="52" t="s">
        <v>62</v>
      </c>
      <c r="I209" s="52">
        <v>2014</v>
      </c>
      <c r="J209" s="52"/>
      <c r="K209" s="52" t="s">
        <v>63</v>
      </c>
      <c r="L209" s="52" t="s">
        <v>64</v>
      </c>
      <c r="M209" s="52">
        <v>1</v>
      </c>
      <c r="N209" s="53">
        <f t="shared" si="74"/>
        <v>996600</v>
      </c>
      <c r="O209" s="53">
        <v>996600</v>
      </c>
      <c r="P209" s="52"/>
      <c r="Q209" s="52"/>
      <c r="R209" s="52"/>
      <c r="S209" s="53">
        <f t="shared" si="64"/>
        <v>996600</v>
      </c>
      <c r="T209" s="52">
        <v>5</v>
      </c>
      <c r="U209" s="53"/>
      <c r="V209" s="52">
        <v>0.5</v>
      </c>
      <c r="W209" s="53">
        <f t="shared" si="77"/>
        <v>0</v>
      </c>
      <c r="X209" s="52"/>
      <c r="Y209" s="53">
        <f t="shared" si="66"/>
        <v>0</v>
      </c>
      <c r="Z209" s="53">
        <f t="shared" si="73"/>
        <v>0</v>
      </c>
      <c r="AA209" s="57">
        <v>5</v>
      </c>
      <c r="AB209" s="53">
        <v>996600</v>
      </c>
      <c r="AC209" s="53">
        <f t="shared" si="68"/>
        <v>0</v>
      </c>
      <c r="AD209" s="56" t="s">
        <v>297</v>
      </c>
      <c r="AE209" s="56"/>
      <c r="AF209" s="1">
        <v>996600</v>
      </c>
      <c r="AG209" s="168">
        <f t="shared" si="69"/>
        <v>0</v>
      </c>
      <c r="AH209" s="5"/>
      <c r="AI209" s="5"/>
    </row>
    <row r="210" spans="1:35" s="1" customFormat="1" x14ac:dyDescent="0.25">
      <c r="A210" s="21">
        <v>38</v>
      </c>
      <c r="B210" s="22" t="s">
        <v>1661</v>
      </c>
      <c r="C210" s="22" t="s">
        <v>452</v>
      </c>
      <c r="D210" s="51" t="s">
        <v>3699</v>
      </c>
      <c r="E210" s="24" t="s">
        <v>902</v>
      </c>
      <c r="F210" s="24"/>
      <c r="G210" s="24" t="s">
        <v>903</v>
      </c>
      <c r="H210" s="24" t="s">
        <v>62</v>
      </c>
      <c r="I210" s="24">
        <v>2014</v>
      </c>
      <c r="J210" s="24"/>
      <c r="K210" s="24" t="s">
        <v>63</v>
      </c>
      <c r="L210" s="24" t="s">
        <v>64</v>
      </c>
      <c r="M210" s="24">
        <v>1</v>
      </c>
      <c r="N210" s="41">
        <f t="shared" si="74"/>
        <v>996600</v>
      </c>
      <c r="O210" s="41">
        <v>996600</v>
      </c>
      <c r="P210" s="24"/>
      <c r="Q210" s="24"/>
      <c r="R210" s="24"/>
      <c r="S210" s="41">
        <f t="shared" si="64"/>
        <v>996600</v>
      </c>
      <c r="T210" s="24">
        <v>5</v>
      </c>
      <c r="U210" s="41"/>
      <c r="V210" s="24">
        <v>0.5</v>
      </c>
      <c r="W210" s="41">
        <f t="shared" si="77"/>
        <v>0</v>
      </c>
      <c r="X210" s="52"/>
      <c r="Y210" s="41">
        <f t="shared" si="66"/>
        <v>0</v>
      </c>
      <c r="Z210" s="41">
        <f t="shared" si="73"/>
        <v>0</v>
      </c>
      <c r="AA210" s="72">
        <v>5</v>
      </c>
      <c r="AB210" s="41">
        <v>996600</v>
      </c>
      <c r="AC210" s="41">
        <f t="shared" si="68"/>
        <v>0</v>
      </c>
      <c r="AD210" s="70" t="s">
        <v>287</v>
      </c>
      <c r="AE210" s="70"/>
      <c r="AF210" s="1">
        <v>996600</v>
      </c>
      <c r="AG210" s="168">
        <f t="shared" si="69"/>
        <v>0</v>
      </c>
      <c r="AH210" s="5"/>
      <c r="AI210" s="5"/>
    </row>
    <row r="211" spans="1:35" s="1" customFormat="1" x14ac:dyDescent="0.25">
      <c r="A211" s="21">
        <v>39</v>
      </c>
      <c r="B211" s="22" t="s">
        <v>1661</v>
      </c>
      <c r="C211" s="22" t="s">
        <v>904</v>
      </c>
      <c r="D211" s="51" t="s">
        <v>3699</v>
      </c>
      <c r="E211" s="24" t="s">
        <v>902</v>
      </c>
      <c r="F211" s="24"/>
      <c r="G211" s="24" t="s">
        <v>903</v>
      </c>
      <c r="H211" s="24" t="s">
        <v>62</v>
      </c>
      <c r="I211" s="24">
        <v>2014</v>
      </c>
      <c r="J211" s="24"/>
      <c r="K211" s="24" t="s">
        <v>63</v>
      </c>
      <c r="L211" s="24" t="s">
        <v>64</v>
      </c>
      <c r="M211" s="24">
        <v>1</v>
      </c>
      <c r="N211" s="41">
        <f t="shared" si="74"/>
        <v>996600</v>
      </c>
      <c r="O211" s="41">
        <v>996600</v>
      </c>
      <c r="P211" s="24"/>
      <c r="Q211" s="24"/>
      <c r="R211" s="24"/>
      <c r="S211" s="41">
        <f t="shared" si="64"/>
        <v>996600</v>
      </c>
      <c r="T211" s="24">
        <v>5</v>
      </c>
      <c r="U211" s="41"/>
      <c r="V211" s="24">
        <v>0.5</v>
      </c>
      <c r="W211" s="41">
        <f t="shared" si="77"/>
        <v>0</v>
      </c>
      <c r="X211" s="24"/>
      <c r="Y211" s="41">
        <f t="shared" si="66"/>
        <v>0</v>
      </c>
      <c r="Z211" s="41">
        <f t="shared" si="73"/>
        <v>0</v>
      </c>
      <c r="AA211" s="72">
        <v>5</v>
      </c>
      <c r="AB211" s="41">
        <v>996600</v>
      </c>
      <c r="AC211" s="41">
        <f t="shared" si="68"/>
        <v>0</v>
      </c>
      <c r="AD211" s="70" t="s">
        <v>303</v>
      </c>
      <c r="AE211" s="70"/>
      <c r="AF211" s="1">
        <v>996600</v>
      </c>
      <c r="AG211" s="168">
        <f t="shared" si="69"/>
        <v>0</v>
      </c>
      <c r="AH211" s="5"/>
      <c r="AI211" s="5"/>
    </row>
    <row r="212" spans="1:35" s="1" customFormat="1" x14ac:dyDescent="0.25">
      <c r="A212" s="21">
        <v>40</v>
      </c>
      <c r="B212" s="22" t="s">
        <v>1661</v>
      </c>
      <c r="C212" s="22" t="s">
        <v>905</v>
      </c>
      <c r="D212" s="51" t="s">
        <v>3699</v>
      </c>
      <c r="E212" s="24" t="s">
        <v>902</v>
      </c>
      <c r="F212" s="24"/>
      <c r="G212" s="24" t="s">
        <v>903</v>
      </c>
      <c r="H212" s="24" t="s">
        <v>62</v>
      </c>
      <c r="I212" s="24">
        <v>2014</v>
      </c>
      <c r="J212" s="24"/>
      <c r="K212" s="24" t="s">
        <v>63</v>
      </c>
      <c r="L212" s="24" t="s">
        <v>64</v>
      </c>
      <c r="M212" s="24">
        <v>1</v>
      </c>
      <c r="N212" s="41">
        <f t="shared" si="74"/>
        <v>996600</v>
      </c>
      <c r="O212" s="41">
        <v>996600</v>
      </c>
      <c r="P212" s="24"/>
      <c r="Q212" s="24"/>
      <c r="R212" s="24"/>
      <c r="S212" s="41">
        <f t="shared" si="64"/>
        <v>996600</v>
      </c>
      <c r="T212" s="24">
        <v>5</v>
      </c>
      <c r="U212" s="41"/>
      <c r="V212" s="24">
        <v>0.5</v>
      </c>
      <c r="W212" s="41">
        <f t="shared" si="77"/>
        <v>0</v>
      </c>
      <c r="X212" s="24"/>
      <c r="Y212" s="41">
        <f t="shared" si="66"/>
        <v>0</v>
      </c>
      <c r="Z212" s="41">
        <f t="shared" si="73"/>
        <v>0</v>
      </c>
      <c r="AA212" s="24">
        <v>5</v>
      </c>
      <c r="AB212" s="41">
        <v>996600</v>
      </c>
      <c r="AC212" s="41">
        <f t="shared" si="68"/>
        <v>0</v>
      </c>
      <c r="AD212" s="70" t="s">
        <v>305</v>
      </c>
      <c r="AE212" s="70"/>
      <c r="AF212" s="1">
        <v>996600</v>
      </c>
      <c r="AG212" s="168">
        <f t="shared" si="69"/>
        <v>0</v>
      </c>
      <c r="AH212" s="5"/>
      <c r="AI212" s="5"/>
    </row>
    <row r="213" spans="1:35" s="1" customFormat="1" x14ac:dyDescent="0.25">
      <c r="A213" s="21">
        <v>41</v>
      </c>
      <c r="B213" s="22" t="s">
        <v>1661</v>
      </c>
      <c r="C213" s="22" t="s">
        <v>906</v>
      </c>
      <c r="D213" s="51" t="s">
        <v>3699</v>
      </c>
      <c r="E213" s="24" t="s">
        <v>902</v>
      </c>
      <c r="F213" s="24"/>
      <c r="G213" s="24" t="s">
        <v>903</v>
      </c>
      <c r="H213" s="24" t="s">
        <v>62</v>
      </c>
      <c r="I213" s="24">
        <v>2014</v>
      </c>
      <c r="J213" s="24"/>
      <c r="K213" s="24" t="s">
        <v>63</v>
      </c>
      <c r="L213" s="24" t="s">
        <v>64</v>
      </c>
      <c r="M213" s="24">
        <v>1</v>
      </c>
      <c r="N213" s="41">
        <f t="shared" si="74"/>
        <v>996600</v>
      </c>
      <c r="O213" s="41">
        <v>996600</v>
      </c>
      <c r="P213" s="24"/>
      <c r="Q213" s="24"/>
      <c r="R213" s="24"/>
      <c r="S213" s="41">
        <f t="shared" si="64"/>
        <v>996600</v>
      </c>
      <c r="T213" s="24">
        <v>5</v>
      </c>
      <c r="U213" s="41"/>
      <c r="V213" s="24">
        <v>0.5</v>
      </c>
      <c r="W213" s="41">
        <f t="shared" si="77"/>
        <v>0</v>
      </c>
      <c r="X213" s="24"/>
      <c r="Y213" s="41">
        <f t="shared" si="66"/>
        <v>0</v>
      </c>
      <c r="Z213" s="41">
        <f t="shared" si="73"/>
        <v>0</v>
      </c>
      <c r="AA213" s="24">
        <v>5</v>
      </c>
      <c r="AB213" s="41">
        <v>996600</v>
      </c>
      <c r="AC213" s="41">
        <f t="shared" si="68"/>
        <v>0</v>
      </c>
      <c r="AD213" s="70" t="s">
        <v>907</v>
      </c>
      <c r="AE213" s="70"/>
      <c r="AF213" s="1">
        <v>996600</v>
      </c>
      <c r="AG213" s="168">
        <f t="shared" si="69"/>
        <v>0</v>
      </c>
      <c r="AH213" s="5"/>
      <c r="AI213" s="5"/>
    </row>
    <row r="214" spans="1:35" s="1" customFormat="1" x14ac:dyDescent="0.25">
      <c r="A214" s="21">
        <v>42</v>
      </c>
      <c r="B214" s="22" t="s">
        <v>1661</v>
      </c>
      <c r="C214" s="22" t="s">
        <v>908</v>
      </c>
      <c r="D214" s="51" t="s">
        <v>3699</v>
      </c>
      <c r="E214" s="24" t="s">
        <v>902</v>
      </c>
      <c r="F214" s="24"/>
      <c r="G214" s="24" t="s">
        <v>903</v>
      </c>
      <c r="H214" s="24" t="s">
        <v>62</v>
      </c>
      <c r="I214" s="24">
        <v>2014</v>
      </c>
      <c r="J214" s="24"/>
      <c r="K214" s="24" t="s">
        <v>63</v>
      </c>
      <c r="L214" s="24" t="s">
        <v>64</v>
      </c>
      <c r="M214" s="24">
        <v>1</v>
      </c>
      <c r="N214" s="41">
        <f t="shared" si="74"/>
        <v>996600</v>
      </c>
      <c r="O214" s="41">
        <v>996600</v>
      </c>
      <c r="P214" s="24"/>
      <c r="Q214" s="24"/>
      <c r="R214" s="24"/>
      <c r="S214" s="41">
        <f t="shared" si="64"/>
        <v>996600</v>
      </c>
      <c r="T214" s="24">
        <v>5</v>
      </c>
      <c r="U214" s="41"/>
      <c r="V214" s="24">
        <v>0.5</v>
      </c>
      <c r="W214" s="41">
        <f t="shared" si="77"/>
        <v>0</v>
      </c>
      <c r="X214" s="24"/>
      <c r="Y214" s="41">
        <f t="shared" si="66"/>
        <v>0</v>
      </c>
      <c r="Z214" s="41">
        <f t="shared" si="73"/>
        <v>0</v>
      </c>
      <c r="AA214" s="24">
        <v>5</v>
      </c>
      <c r="AB214" s="41">
        <v>996600</v>
      </c>
      <c r="AC214" s="41">
        <f t="shared" si="68"/>
        <v>0</v>
      </c>
      <c r="AD214" s="70" t="s">
        <v>909</v>
      </c>
      <c r="AE214" s="70"/>
      <c r="AF214" s="1">
        <v>996600</v>
      </c>
      <c r="AG214" s="168">
        <f t="shared" si="69"/>
        <v>0</v>
      </c>
      <c r="AH214" s="5"/>
      <c r="AI214" s="5"/>
    </row>
    <row r="215" spans="1:35" s="1" customFormat="1" x14ac:dyDescent="0.25">
      <c r="A215" s="21">
        <v>43</v>
      </c>
      <c r="B215" s="22" t="s">
        <v>1662</v>
      </c>
      <c r="C215" s="50" t="s">
        <v>92</v>
      </c>
      <c r="D215" s="51" t="s">
        <v>281</v>
      </c>
      <c r="E215" s="52" t="s">
        <v>282</v>
      </c>
      <c r="F215" s="24"/>
      <c r="G215" s="24" t="s">
        <v>194</v>
      </c>
      <c r="H215" s="24" t="s">
        <v>62</v>
      </c>
      <c r="I215" s="24">
        <v>2011</v>
      </c>
      <c r="J215" s="24"/>
      <c r="K215" s="24" t="s">
        <v>63</v>
      </c>
      <c r="L215" s="24" t="s">
        <v>64</v>
      </c>
      <c r="M215" s="24">
        <v>1</v>
      </c>
      <c r="N215" s="41">
        <f t="shared" si="74"/>
        <v>5430000</v>
      </c>
      <c r="O215" s="41">
        <v>5430000</v>
      </c>
      <c r="P215" s="24"/>
      <c r="Q215" s="24"/>
      <c r="R215" s="24"/>
      <c r="S215" s="41">
        <f t="shared" si="64"/>
        <v>5430000</v>
      </c>
      <c r="T215" s="24">
        <v>5</v>
      </c>
      <c r="U215" s="41"/>
      <c r="V215" s="24">
        <v>0.5</v>
      </c>
      <c r="W215" s="41">
        <f t="shared" si="77"/>
        <v>0</v>
      </c>
      <c r="X215" s="24"/>
      <c r="Y215" s="41">
        <f t="shared" si="66"/>
        <v>0</v>
      </c>
      <c r="Z215" s="41">
        <f t="shared" si="73"/>
        <v>0</v>
      </c>
      <c r="AA215" s="24">
        <v>5</v>
      </c>
      <c r="AB215" s="41">
        <v>5430000</v>
      </c>
      <c r="AC215" s="41">
        <f t="shared" si="68"/>
        <v>0</v>
      </c>
      <c r="AD215" s="70" t="s">
        <v>213</v>
      </c>
      <c r="AE215" s="70"/>
      <c r="AF215" s="1">
        <v>5430000</v>
      </c>
      <c r="AG215" s="168">
        <f t="shared" si="69"/>
        <v>0</v>
      </c>
      <c r="AH215" s="5"/>
      <c r="AI215" s="5"/>
    </row>
    <row r="216" spans="1:35" s="1" customFormat="1" x14ac:dyDescent="0.25">
      <c r="A216" s="21">
        <v>44</v>
      </c>
      <c r="B216" s="22" t="s">
        <v>1662</v>
      </c>
      <c r="C216" s="50" t="s">
        <v>283</v>
      </c>
      <c r="D216" s="51" t="s">
        <v>284</v>
      </c>
      <c r="E216" s="52" t="s">
        <v>282</v>
      </c>
      <c r="F216" s="24"/>
      <c r="G216" s="24" t="s">
        <v>194</v>
      </c>
      <c r="H216" s="24" t="s">
        <v>62</v>
      </c>
      <c r="I216" s="24">
        <v>2011</v>
      </c>
      <c r="J216" s="24"/>
      <c r="K216" s="24" t="s">
        <v>285</v>
      </c>
      <c r="L216" s="24" t="s">
        <v>64</v>
      </c>
      <c r="M216" s="24">
        <v>4</v>
      </c>
      <c r="N216" s="41">
        <f t="shared" si="74"/>
        <v>725000</v>
      </c>
      <c r="O216" s="41">
        <v>2900000</v>
      </c>
      <c r="P216" s="24"/>
      <c r="Q216" s="24"/>
      <c r="R216" s="24"/>
      <c r="S216" s="41">
        <f t="shared" si="64"/>
        <v>2900000</v>
      </c>
      <c r="T216" s="24">
        <v>5</v>
      </c>
      <c r="U216" s="41"/>
      <c r="V216" s="24">
        <v>0.5</v>
      </c>
      <c r="W216" s="41">
        <f t="shared" si="77"/>
        <v>0</v>
      </c>
      <c r="X216" s="24"/>
      <c r="Y216" s="41">
        <f t="shared" si="66"/>
        <v>0</v>
      </c>
      <c r="Z216" s="41">
        <f t="shared" si="73"/>
        <v>0</v>
      </c>
      <c r="AA216" s="24">
        <v>5</v>
      </c>
      <c r="AB216" s="41">
        <v>2900000</v>
      </c>
      <c r="AC216" s="41">
        <f t="shared" si="68"/>
        <v>0</v>
      </c>
      <c r="AD216" s="70" t="s">
        <v>250</v>
      </c>
      <c r="AE216" s="70"/>
      <c r="AF216" s="1">
        <v>2900000</v>
      </c>
      <c r="AG216" s="168">
        <f t="shared" si="69"/>
        <v>0</v>
      </c>
      <c r="AH216" s="5"/>
      <c r="AI216" s="5"/>
    </row>
    <row r="217" spans="1:35" s="1" customFormat="1" x14ac:dyDescent="0.25">
      <c r="A217" s="21">
        <v>45</v>
      </c>
      <c r="B217" s="22" t="s">
        <v>1662</v>
      </c>
      <c r="C217" s="50" t="s">
        <v>135</v>
      </c>
      <c r="D217" s="51" t="s">
        <v>284</v>
      </c>
      <c r="E217" s="52" t="s">
        <v>286</v>
      </c>
      <c r="F217" s="24"/>
      <c r="G217" s="24" t="s">
        <v>194</v>
      </c>
      <c r="H217" s="24" t="s">
        <v>62</v>
      </c>
      <c r="I217" s="24">
        <v>2012</v>
      </c>
      <c r="J217" s="24"/>
      <c r="K217" s="24" t="s">
        <v>63</v>
      </c>
      <c r="L217" s="24" t="s">
        <v>64</v>
      </c>
      <c r="M217" s="24">
        <v>1</v>
      </c>
      <c r="N217" s="41">
        <f t="shared" si="74"/>
        <v>5390000</v>
      </c>
      <c r="O217" s="41">
        <v>5390000</v>
      </c>
      <c r="P217" s="24"/>
      <c r="Q217" s="24"/>
      <c r="R217" s="24"/>
      <c r="S217" s="41">
        <f t="shared" si="64"/>
        <v>5390000</v>
      </c>
      <c r="T217" s="24">
        <v>5</v>
      </c>
      <c r="U217" s="41"/>
      <c r="V217" s="24">
        <v>0.5</v>
      </c>
      <c r="W217" s="41">
        <f t="shared" si="77"/>
        <v>0</v>
      </c>
      <c r="X217" s="24"/>
      <c r="Y217" s="41">
        <f t="shared" si="66"/>
        <v>0</v>
      </c>
      <c r="Z217" s="41">
        <f t="shared" si="73"/>
        <v>0</v>
      </c>
      <c r="AA217" s="24">
        <v>5</v>
      </c>
      <c r="AB217" s="41">
        <v>5390000</v>
      </c>
      <c r="AC217" s="41">
        <f t="shared" si="68"/>
        <v>0</v>
      </c>
      <c r="AD217" s="70" t="s">
        <v>287</v>
      </c>
      <c r="AE217" s="70"/>
      <c r="AF217" s="1">
        <v>5390000</v>
      </c>
      <c r="AG217" s="168">
        <f t="shared" si="69"/>
        <v>0</v>
      </c>
      <c r="AH217" s="5"/>
      <c r="AI217" s="5"/>
    </row>
    <row r="218" spans="1:35" s="1" customFormat="1" x14ac:dyDescent="0.25">
      <c r="A218" s="21">
        <v>46</v>
      </c>
      <c r="B218" s="22" t="s">
        <v>1662</v>
      </c>
      <c r="C218" s="50" t="s">
        <v>138</v>
      </c>
      <c r="D218" s="51" t="s">
        <v>284</v>
      </c>
      <c r="E218" s="52" t="s">
        <v>286</v>
      </c>
      <c r="F218" s="24"/>
      <c r="G218" s="24" t="s">
        <v>194</v>
      </c>
      <c r="H218" s="24" t="s">
        <v>62</v>
      </c>
      <c r="I218" s="24">
        <v>2012</v>
      </c>
      <c r="J218" s="24"/>
      <c r="K218" s="24" t="s">
        <v>63</v>
      </c>
      <c r="L218" s="24" t="s">
        <v>64</v>
      </c>
      <c r="M218" s="24">
        <v>1</v>
      </c>
      <c r="N218" s="41">
        <f t="shared" si="74"/>
        <v>5390000</v>
      </c>
      <c r="O218" s="41">
        <v>5390000</v>
      </c>
      <c r="P218" s="24"/>
      <c r="Q218" s="24"/>
      <c r="R218" s="24"/>
      <c r="S218" s="41">
        <f t="shared" si="64"/>
        <v>5390000</v>
      </c>
      <c r="T218" s="24">
        <v>5</v>
      </c>
      <c r="U218" s="41"/>
      <c r="V218" s="24">
        <v>0.5</v>
      </c>
      <c r="W218" s="41">
        <f t="shared" si="77"/>
        <v>0</v>
      </c>
      <c r="X218" s="24"/>
      <c r="Y218" s="41">
        <f t="shared" si="66"/>
        <v>0</v>
      </c>
      <c r="Z218" s="41">
        <f t="shared" si="73"/>
        <v>0</v>
      </c>
      <c r="AA218" s="24">
        <v>5</v>
      </c>
      <c r="AB218" s="41">
        <v>5390000</v>
      </c>
      <c r="AC218" s="41">
        <f t="shared" si="68"/>
        <v>0</v>
      </c>
      <c r="AD218" s="70" t="s">
        <v>288</v>
      </c>
      <c r="AE218" s="70"/>
      <c r="AF218" s="1">
        <v>5390000</v>
      </c>
      <c r="AG218" s="168">
        <f t="shared" si="69"/>
        <v>0</v>
      </c>
      <c r="AH218" s="5"/>
      <c r="AI218" s="5"/>
    </row>
    <row r="219" spans="1:35" s="1" customFormat="1" x14ac:dyDescent="0.25">
      <c r="A219" s="21">
        <v>47</v>
      </c>
      <c r="B219" s="22" t="s">
        <v>1662</v>
      </c>
      <c r="C219" s="22" t="s">
        <v>58</v>
      </c>
      <c r="D219" s="51" t="s">
        <v>456</v>
      </c>
      <c r="E219" s="24" t="s">
        <v>457</v>
      </c>
      <c r="F219" s="24"/>
      <c r="G219" s="24" t="s">
        <v>194</v>
      </c>
      <c r="H219" s="24" t="s">
        <v>62</v>
      </c>
      <c r="I219" s="24">
        <v>2012</v>
      </c>
      <c r="J219" s="24"/>
      <c r="K219" s="24" t="s">
        <v>63</v>
      </c>
      <c r="L219" s="24" t="s">
        <v>64</v>
      </c>
      <c r="M219" s="24">
        <v>1</v>
      </c>
      <c r="N219" s="41">
        <f t="shared" si="74"/>
        <v>44880000</v>
      </c>
      <c r="O219" s="41">
        <v>44880000</v>
      </c>
      <c r="P219" s="24"/>
      <c r="Q219" s="24"/>
      <c r="R219" s="24"/>
      <c r="S219" s="41">
        <f t="shared" si="64"/>
        <v>44880000</v>
      </c>
      <c r="T219" s="24">
        <v>5</v>
      </c>
      <c r="U219" s="41"/>
      <c r="V219" s="24">
        <v>0.5</v>
      </c>
      <c r="W219" s="41">
        <f t="shared" si="77"/>
        <v>0</v>
      </c>
      <c r="X219" s="24"/>
      <c r="Y219" s="41">
        <f t="shared" si="66"/>
        <v>0</v>
      </c>
      <c r="Z219" s="41">
        <f t="shared" si="73"/>
        <v>0</v>
      </c>
      <c r="AA219" s="24">
        <v>5</v>
      </c>
      <c r="AB219" s="41">
        <v>44880000</v>
      </c>
      <c r="AC219" s="41">
        <f t="shared" si="68"/>
        <v>0</v>
      </c>
      <c r="AD219" s="70" t="s">
        <v>295</v>
      </c>
      <c r="AE219" s="70"/>
      <c r="AF219" s="1">
        <v>44880000</v>
      </c>
      <c r="AG219" s="168">
        <f t="shared" si="69"/>
        <v>0</v>
      </c>
      <c r="AH219" s="5"/>
      <c r="AI219" s="5"/>
    </row>
    <row r="220" spans="1:35" s="1" customFormat="1" x14ac:dyDescent="0.25">
      <c r="A220" s="21">
        <v>48</v>
      </c>
      <c r="B220" s="22" t="s">
        <v>1663</v>
      </c>
      <c r="C220" s="22" t="s">
        <v>58</v>
      </c>
      <c r="D220" s="51" t="s">
        <v>459</v>
      </c>
      <c r="E220" s="24" t="s">
        <v>166</v>
      </c>
      <c r="F220" s="24"/>
      <c r="G220" s="24" t="s">
        <v>61</v>
      </c>
      <c r="H220" s="24" t="s">
        <v>62</v>
      </c>
      <c r="I220" s="24">
        <v>2018</v>
      </c>
      <c r="J220" s="24"/>
      <c r="K220" s="24" t="s">
        <v>63</v>
      </c>
      <c r="L220" s="24" t="s">
        <v>64</v>
      </c>
      <c r="M220" s="24">
        <v>1</v>
      </c>
      <c r="N220" s="41">
        <f t="shared" si="74"/>
        <v>14885400</v>
      </c>
      <c r="O220" s="41">
        <v>14885400</v>
      </c>
      <c r="P220" s="24"/>
      <c r="Q220" s="24"/>
      <c r="R220" s="24"/>
      <c r="S220" s="41">
        <f t="shared" si="64"/>
        <v>14885400</v>
      </c>
      <c r="T220" s="24">
        <v>5</v>
      </c>
      <c r="U220" s="41">
        <f t="shared" ref="U220" si="78">SUM(S220/T220)</f>
        <v>2977080</v>
      </c>
      <c r="V220" s="24">
        <v>0.5</v>
      </c>
      <c r="W220" s="41">
        <f t="shared" si="77"/>
        <v>1488540</v>
      </c>
      <c r="X220" s="24"/>
      <c r="Y220" s="41">
        <f t="shared" si="66"/>
        <v>0</v>
      </c>
      <c r="Z220" s="41">
        <f t="shared" si="73"/>
        <v>1488540</v>
      </c>
      <c r="AA220" s="24">
        <f>2023-I220+V220+X220-9/12</f>
        <v>4.75</v>
      </c>
      <c r="AB220" s="41">
        <f t="shared" ref="AB220" si="79">SUM(U220*AA220)</f>
        <v>14141130</v>
      </c>
      <c r="AC220" s="41">
        <f t="shared" si="68"/>
        <v>744270</v>
      </c>
      <c r="AD220" s="70" t="s">
        <v>460</v>
      </c>
      <c r="AE220" s="70"/>
      <c r="AF220" s="1">
        <v>12652590</v>
      </c>
      <c r="AG220" s="168">
        <f>AF220+Z220-AB220</f>
        <v>0</v>
      </c>
      <c r="AH220" s="5"/>
      <c r="AI220" s="5"/>
    </row>
    <row r="221" spans="1:35" s="1" customFormat="1" x14ac:dyDescent="0.25">
      <c r="A221" s="21">
        <v>49</v>
      </c>
      <c r="B221" s="22" t="s">
        <v>1664</v>
      </c>
      <c r="C221" s="22" t="s">
        <v>75</v>
      </c>
      <c r="D221" s="51" t="s">
        <v>910</v>
      </c>
      <c r="E221" s="24" t="s">
        <v>166</v>
      </c>
      <c r="F221" s="24"/>
      <c r="G221" s="24" t="s">
        <v>911</v>
      </c>
      <c r="H221" s="24" t="s">
        <v>62</v>
      </c>
      <c r="I221" s="24">
        <v>2005</v>
      </c>
      <c r="J221" s="24"/>
      <c r="K221" s="24" t="s">
        <v>63</v>
      </c>
      <c r="L221" s="24" t="s">
        <v>64</v>
      </c>
      <c r="M221" s="24">
        <v>1</v>
      </c>
      <c r="N221" s="41">
        <f t="shared" si="74"/>
        <v>875000</v>
      </c>
      <c r="O221" s="41">
        <v>875000</v>
      </c>
      <c r="P221" s="24"/>
      <c r="Q221" s="24"/>
      <c r="R221" s="24"/>
      <c r="S221" s="41">
        <f t="shared" si="64"/>
        <v>875000</v>
      </c>
      <c r="T221" s="24">
        <v>5</v>
      </c>
      <c r="U221" s="41"/>
      <c r="V221" s="24">
        <v>0.5</v>
      </c>
      <c r="W221" s="41">
        <f t="shared" si="77"/>
        <v>0</v>
      </c>
      <c r="X221" s="24"/>
      <c r="Y221" s="41">
        <f t="shared" si="66"/>
        <v>0</v>
      </c>
      <c r="Z221" s="41">
        <f t="shared" si="73"/>
        <v>0</v>
      </c>
      <c r="AA221" s="24">
        <v>5</v>
      </c>
      <c r="AB221" s="41">
        <v>875000</v>
      </c>
      <c r="AC221" s="41">
        <f t="shared" si="68"/>
        <v>0</v>
      </c>
      <c r="AD221" s="70" t="s">
        <v>213</v>
      </c>
      <c r="AE221" s="70"/>
      <c r="AF221" s="1">
        <v>875000</v>
      </c>
      <c r="AG221" s="168">
        <f t="shared" si="69"/>
        <v>0</v>
      </c>
      <c r="AH221" s="5"/>
      <c r="AI221" s="5"/>
    </row>
    <row r="222" spans="1:35" s="1" customFormat="1" x14ac:dyDescent="0.25">
      <c r="A222" s="21">
        <v>50</v>
      </c>
      <c r="B222" s="22" t="s">
        <v>1664</v>
      </c>
      <c r="C222" s="22" t="s">
        <v>79</v>
      </c>
      <c r="D222" s="51" t="s">
        <v>910</v>
      </c>
      <c r="E222" s="24" t="s">
        <v>166</v>
      </c>
      <c r="F222" s="24"/>
      <c r="G222" s="24" t="s">
        <v>911</v>
      </c>
      <c r="H222" s="24" t="s">
        <v>62</v>
      </c>
      <c r="I222" s="24">
        <v>2005</v>
      </c>
      <c r="J222" s="24"/>
      <c r="K222" s="24" t="s">
        <v>63</v>
      </c>
      <c r="L222" s="24" t="s">
        <v>64</v>
      </c>
      <c r="M222" s="24">
        <v>1</v>
      </c>
      <c r="N222" s="41">
        <f t="shared" si="74"/>
        <v>875000</v>
      </c>
      <c r="O222" s="41">
        <v>875000</v>
      </c>
      <c r="P222" s="24"/>
      <c r="Q222" s="24"/>
      <c r="R222" s="24"/>
      <c r="S222" s="41">
        <f t="shared" si="64"/>
        <v>875000</v>
      </c>
      <c r="T222" s="24">
        <v>5</v>
      </c>
      <c r="U222" s="41"/>
      <c r="V222" s="24">
        <v>0.5</v>
      </c>
      <c r="W222" s="41">
        <f t="shared" si="77"/>
        <v>0</v>
      </c>
      <c r="X222" s="24"/>
      <c r="Y222" s="41">
        <f t="shared" si="66"/>
        <v>0</v>
      </c>
      <c r="Z222" s="41">
        <f t="shared" si="73"/>
        <v>0</v>
      </c>
      <c r="AA222" s="24">
        <v>5</v>
      </c>
      <c r="AB222" s="41">
        <v>875000</v>
      </c>
      <c r="AC222" s="41">
        <f t="shared" si="68"/>
        <v>0</v>
      </c>
      <c r="AD222" s="70" t="s">
        <v>287</v>
      </c>
      <c r="AE222" s="70"/>
      <c r="AF222" s="1">
        <v>875000</v>
      </c>
      <c r="AG222" s="168">
        <f t="shared" si="69"/>
        <v>0</v>
      </c>
      <c r="AH222" s="5"/>
      <c r="AI222" s="5"/>
    </row>
    <row r="223" spans="1:35" s="1" customFormat="1" x14ac:dyDescent="0.25">
      <c r="A223" s="21">
        <v>51</v>
      </c>
      <c r="B223" s="22" t="s">
        <v>1664</v>
      </c>
      <c r="C223" s="22" t="s">
        <v>84</v>
      </c>
      <c r="D223" s="51" t="s">
        <v>910</v>
      </c>
      <c r="E223" s="24" t="s">
        <v>166</v>
      </c>
      <c r="F223" s="24"/>
      <c r="G223" s="24" t="s">
        <v>911</v>
      </c>
      <c r="H223" s="24" t="s">
        <v>62</v>
      </c>
      <c r="I223" s="24">
        <v>2005</v>
      </c>
      <c r="J223" s="24"/>
      <c r="K223" s="24" t="s">
        <v>63</v>
      </c>
      <c r="L223" s="24" t="s">
        <v>64</v>
      </c>
      <c r="M223" s="24">
        <v>1</v>
      </c>
      <c r="N223" s="41">
        <f t="shared" si="74"/>
        <v>875000</v>
      </c>
      <c r="O223" s="41">
        <v>875000</v>
      </c>
      <c r="P223" s="24"/>
      <c r="Q223" s="24"/>
      <c r="R223" s="24"/>
      <c r="S223" s="41">
        <f t="shared" si="64"/>
        <v>875000</v>
      </c>
      <c r="T223" s="24">
        <v>5</v>
      </c>
      <c r="U223" s="41"/>
      <c r="V223" s="24">
        <v>0.5</v>
      </c>
      <c r="W223" s="41">
        <f t="shared" si="77"/>
        <v>0</v>
      </c>
      <c r="X223" s="24"/>
      <c r="Y223" s="41">
        <f t="shared" si="66"/>
        <v>0</v>
      </c>
      <c r="Z223" s="41">
        <f t="shared" si="73"/>
        <v>0</v>
      </c>
      <c r="AA223" s="24">
        <v>5</v>
      </c>
      <c r="AB223" s="41">
        <v>875000</v>
      </c>
      <c r="AC223" s="41">
        <f t="shared" si="68"/>
        <v>0</v>
      </c>
      <c r="AD223" s="70" t="s">
        <v>303</v>
      </c>
      <c r="AE223" s="70"/>
      <c r="AF223" s="1">
        <v>875000</v>
      </c>
      <c r="AG223" s="168">
        <f t="shared" si="69"/>
        <v>0</v>
      </c>
      <c r="AH223" s="5"/>
      <c r="AI223" s="5"/>
    </row>
    <row r="224" spans="1:35" s="1" customFormat="1" x14ac:dyDescent="0.25">
      <c r="A224" s="21">
        <v>52</v>
      </c>
      <c r="B224" s="22" t="s">
        <v>1664</v>
      </c>
      <c r="C224" s="22" t="s">
        <v>88</v>
      </c>
      <c r="D224" s="51" t="s">
        <v>910</v>
      </c>
      <c r="E224" s="24" t="s">
        <v>166</v>
      </c>
      <c r="F224" s="24"/>
      <c r="G224" s="24" t="s">
        <v>911</v>
      </c>
      <c r="H224" s="24" t="s">
        <v>62</v>
      </c>
      <c r="I224" s="24">
        <v>2005</v>
      </c>
      <c r="J224" s="24"/>
      <c r="K224" s="24" t="s">
        <v>63</v>
      </c>
      <c r="L224" s="24" t="s">
        <v>64</v>
      </c>
      <c r="M224" s="24">
        <v>1</v>
      </c>
      <c r="N224" s="41">
        <f t="shared" si="74"/>
        <v>875000</v>
      </c>
      <c r="O224" s="41">
        <v>875000</v>
      </c>
      <c r="P224" s="24"/>
      <c r="Q224" s="24"/>
      <c r="R224" s="24"/>
      <c r="S224" s="41">
        <f t="shared" si="64"/>
        <v>875000</v>
      </c>
      <c r="T224" s="24">
        <v>5</v>
      </c>
      <c r="U224" s="41"/>
      <c r="V224" s="24">
        <v>0.5</v>
      </c>
      <c r="W224" s="41">
        <f t="shared" si="77"/>
        <v>0</v>
      </c>
      <c r="X224" s="24"/>
      <c r="Y224" s="41">
        <f t="shared" si="66"/>
        <v>0</v>
      </c>
      <c r="Z224" s="41">
        <f t="shared" si="73"/>
        <v>0</v>
      </c>
      <c r="AA224" s="24">
        <v>5</v>
      </c>
      <c r="AB224" s="41">
        <v>875000</v>
      </c>
      <c r="AC224" s="41">
        <f t="shared" si="68"/>
        <v>0</v>
      </c>
      <c r="AD224" s="70" t="s">
        <v>305</v>
      </c>
      <c r="AE224" s="70"/>
      <c r="AF224" s="1">
        <v>875000</v>
      </c>
      <c r="AG224" s="168">
        <f t="shared" si="69"/>
        <v>0</v>
      </c>
      <c r="AH224" s="5"/>
      <c r="AI224" s="5"/>
    </row>
    <row r="225" spans="1:35" s="1" customFormat="1" x14ac:dyDescent="0.25">
      <c r="A225" s="21">
        <v>53</v>
      </c>
      <c r="B225" s="22" t="s">
        <v>1664</v>
      </c>
      <c r="C225" s="22" t="s">
        <v>92</v>
      </c>
      <c r="D225" s="51" t="s">
        <v>910</v>
      </c>
      <c r="E225" s="24" t="s">
        <v>166</v>
      </c>
      <c r="F225" s="24"/>
      <c r="G225" s="24" t="s">
        <v>911</v>
      </c>
      <c r="H225" s="24" t="s">
        <v>62</v>
      </c>
      <c r="I225" s="24">
        <v>2005</v>
      </c>
      <c r="J225" s="24"/>
      <c r="K225" s="24" t="s">
        <v>63</v>
      </c>
      <c r="L225" s="24" t="s">
        <v>64</v>
      </c>
      <c r="M225" s="24">
        <v>1</v>
      </c>
      <c r="N225" s="41">
        <f t="shared" si="74"/>
        <v>875000</v>
      </c>
      <c r="O225" s="41">
        <v>875000</v>
      </c>
      <c r="P225" s="24"/>
      <c r="Q225" s="24"/>
      <c r="R225" s="24"/>
      <c r="S225" s="41">
        <f t="shared" si="64"/>
        <v>875000</v>
      </c>
      <c r="T225" s="24">
        <v>5</v>
      </c>
      <c r="U225" s="41"/>
      <c r="V225" s="24">
        <v>0.5</v>
      </c>
      <c r="W225" s="41">
        <f t="shared" si="77"/>
        <v>0</v>
      </c>
      <c r="X225" s="24"/>
      <c r="Y225" s="41">
        <f t="shared" si="66"/>
        <v>0</v>
      </c>
      <c r="Z225" s="41">
        <f t="shared" si="73"/>
        <v>0</v>
      </c>
      <c r="AA225" s="24">
        <v>5</v>
      </c>
      <c r="AB225" s="41">
        <v>875000</v>
      </c>
      <c r="AC225" s="41">
        <f t="shared" si="68"/>
        <v>0</v>
      </c>
      <c r="AD225" s="70" t="s">
        <v>473</v>
      </c>
      <c r="AE225" s="70"/>
      <c r="AF225" s="1">
        <v>875000</v>
      </c>
      <c r="AG225" s="168">
        <f t="shared" si="69"/>
        <v>0</v>
      </c>
      <c r="AH225" s="5"/>
      <c r="AI225" s="5"/>
    </row>
    <row r="226" spans="1:35" s="1" customFormat="1" x14ac:dyDescent="0.25">
      <c r="A226" s="21">
        <v>54</v>
      </c>
      <c r="B226" s="22" t="s">
        <v>1664</v>
      </c>
      <c r="C226" s="22" t="s">
        <v>96</v>
      </c>
      <c r="D226" s="51" t="s">
        <v>910</v>
      </c>
      <c r="E226" s="24" t="s">
        <v>166</v>
      </c>
      <c r="F226" s="24"/>
      <c r="G226" s="24" t="s">
        <v>911</v>
      </c>
      <c r="H226" s="24" t="s">
        <v>62</v>
      </c>
      <c r="I226" s="24">
        <v>2005</v>
      </c>
      <c r="J226" s="24"/>
      <c r="K226" s="24" t="s">
        <v>63</v>
      </c>
      <c r="L226" s="24" t="s">
        <v>64</v>
      </c>
      <c r="M226" s="24">
        <v>1</v>
      </c>
      <c r="N226" s="41">
        <f t="shared" si="74"/>
        <v>875000</v>
      </c>
      <c r="O226" s="41">
        <v>875000</v>
      </c>
      <c r="P226" s="24"/>
      <c r="Q226" s="24"/>
      <c r="R226" s="24"/>
      <c r="S226" s="41">
        <f t="shared" si="64"/>
        <v>875000</v>
      </c>
      <c r="T226" s="24">
        <v>5</v>
      </c>
      <c r="U226" s="41"/>
      <c r="V226" s="24">
        <v>0.5</v>
      </c>
      <c r="W226" s="41">
        <f t="shared" si="77"/>
        <v>0</v>
      </c>
      <c r="X226" s="24"/>
      <c r="Y226" s="41">
        <f t="shared" si="66"/>
        <v>0</v>
      </c>
      <c r="Z226" s="41">
        <f t="shared" si="73"/>
        <v>0</v>
      </c>
      <c r="AA226" s="24">
        <v>5</v>
      </c>
      <c r="AB226" s="41">
        <v>875000</v>
      </c>
      <c r="AC226" s="41">
        <f t="shared" si="68"/>
        <v>0</v>
      </c>
      <c r="AD226" s="70" t="s">
        <v>477</v>
      </c>
      <c r="AE226" s="70"/>
      <c r="AF226" s="1">
        <v>875000</v>
      </c>
      <c r="AG226" s="168">
        <f t="shared" si="69"/>
        <v>0</v>
      </c>
      <c r="AH226" s="5"/>
      <c r="AI226" s="5"/>
    </row>
    <row r="227" spans="1:35" s="1" customFormat="1" x14ac:dyDescent="0.25">
      <c r="A227" s="21">
        <v>55</v>
      </c>
      <c r="B227" s="22" t="s">
        <v>1665</v>
      </c>
      <c r="C227" s="22" t="s">
        <v>209</v>
      </c>
      <c r="D227" s="51" t="s">
        <v>3700</v>
      </c>
      <c r="E227" s="24" t="s">
        <v>166</v>
      </c>
      <c r="F227" s="24"/>
      <c r="G227" s="24" t="s">
        <v>61</v>
      </c>
      <c r="H227" s="24" t="s">
        <v>62</v>
      </c>
      <c r="I227" s="24">
        <v>2007</v>
      </c>
      <c r="J227" s="24"/>
      <c r="K227" s="24" t="s">
        <v>63</v>
      </c>
      <c r="L227" s="24" t="s">
        <v>64</v>
      </c>
      <c r="M227" s="24">
        <v>2</v>
      </c>
      <c r="N227" s="41">
        <f t="shared" si="74"/>
        <v>475000</v>
      </c>
      <c r="O227" s="41">
        <v>950000</v>
      </c>
      <c r="P227" s="24"/>
      <c r="Q227" s="24"/>
      <c r="R227" s="24"/>
      <c r="S227" s="41">
        <f t="shared" si="64"/>
        <v>950000</v>
      </c>
      <c r="T227" s="24">
        <v>5</v>
      </c>
      <c r="U227" s="41"/>
      <c r="V227" s="24">
        <v>0.5</v>
      </c>
      <c r="W227" s="41">
        <f t="shared" si="77"/>
        <v>0</v>
      </c>
      <c r="X227" s="24"/>
      <c r="Y227" s="41">
        <f t="shared" si="66"/>
        <v>0</v>
      </c>
      <c r="Z227" s="41">
        <f t="shared" si="73"/>
        <v>0</v>
      </c>
      <c r="AA227" s="24">
        <v>5</v>
      </c>
      <c r="AB227" s="41">
        <v>950000</v>
      </c>
      <c r="AC227" s="41">
        <f t="shared" si="68"/>
        <v>0</v>
      </c>
      <c r="AD227" s="70" t="s">
        <v>324</v>
      </c>
      <c r="AE227" s="70"/>
      <c r="AF227" s="1">
        <v>950000</v>
      </c>
      <c r="AG227" s="168">
        <f t="shared" si="69"/>
        <v>0</v>
      </c>
      <c r="AH227" s="5"/>
      <c r="AI227" s="5"/>
    </row>
    <row r="228" spans="1:35" s="1" customFormat="1" x14ac:dyDescent="0.25">
      <c r="A228" s="21">
        <v>56</v>
      </c>
      <c r="B228" s="22" t="s">
        <v>1665</v>
      </c>
      <c r="C228" s="22" t="s">
        <v>79</v>
      </c>
      <c r="D228" s="51" t="s">
        <v>3700</v>
      </c>
      <c r="E228" s="24" t="s">
        <v>166</v>
      </c>
      <c r="F228" s="24"/>
      <c r="G228" s="24" t="s">
        <v>61</v>
      </c>
      <c r="H228" s="24" t="s">
        <v>62</v>
      </c>
      <c r="I228" s="24">
        <v>2007</v>
      </c>
      <c r="J228" s="24"/>
      <c r="K228" s="24" t="s">
        <v>63</v>
      </c>
      <c r="L228" s="24" t="s">
        <v>64</v>
      </c>
      <c r="M228" s="24">
        <v>1</v>
      </c>
      <c r="N228" s="41">
        <f t="shared" si="74"/>
        <v>475000</v>
      </c>
      <c r="O228" s="41">
        <v>475000</v>
      </c>
      <c r="P228" s="24"/>
      <c r="Q228" s="24"/>
      <c r="R228" s="24"/>
      <c r="S228" s="41">
        <f t="shared" si="64"/>
        <v>475000</v>
      </c>
      <c r="T228" s="24">
        <v>5</v>
      </c>
      <c r="U228" s="41"/>
      <c r="V228" s="24">
        <v>0.5</v>
      </c>
      <c r="W228" s="41">
        <f t="shared" si="77"/>
        <v>0</v>
      </c>
      <c r="X228" s="24"/>
      <c r="Y228" s="41">
        <f t="shared" si="66"/>
        <v>0</v>
      </c>
      <c r="Z228" s="41">
        <f t="shared" si="73"/>
        <v>0</v>
      </c>
      <c r="AA228" s="24">
        <v>5</v>
      </c>
      <c r="AB228" s="41">
        <v>475000</v>
      </c>
      <c r="AC228" s="41">
        <f t="shared" si="68"/>
        <v>0</v>
      </c>
      <c r="AD228" s="70" t="s">
        <v>320</v>
      </c>
      <c r="AE228" s="70"/>
      <c r="AF228" s="1">
        <v>475000</v>
      </c>
      <c r="AG228" s="168">
        <f t="shared" si="69"/>
        <v>0</v>
      </c>
      <c r="AH228" s="5"/>
      <c r="AI228" s="5"/>
    </row>
    <row r="229" spans="1:35" s="1" customFormat="1" x14ac:dyDescent="0.25">
      <c r="A229" s="21">
        <v>57</v>
      </c>
      <c r="B229" s="22" t="s">
        <v>1665</v>
      </c>
      <c r="C229" s="22" t="s">
        <v>336</v>
      </c>
      <c r="D229" s="51" t="s">
        <v>3700</v>
      </c>
      <c r="E229" s="24" t="s">
        <v>166</v>
      </c>
      <c r="F229" s="24"/>
      <c r="G229" s="24" t="s">
        <v>61</v>
      </c>
      <c r="H229" s="24" t="s">
        <v>62</v>
      </c>
      <c r="I229" s="24">
        <v>2007</v>
      </c>
      <c r="J229" s="24"/>
      <c r="K229" s="24" t="s">
        <v>63</v>
      </c>
      <c r="L229" s="24" t="s">
        <v>64</v>
      </c>
      <c r="M229" s="24">
        <v>2</v>
      </c>
      <c r="N229" s="41">
        <f t="shared" si="74"/>
        <v>475000</v>
      </c>
      <c r="O229" s="41">
        <v>950000</v>
      </c>
      <c r="P229" s="24"/>
      <c r="Q229" s="24"/>
      <c r="R229" s="24"/>
      <c r="S229" s="41">
        <f t="shared" si="64"/>
        <v>950000</v>
      </c>
      <c r="T229" s="24">
        <v>5</v>
      </c>
      <c r="U229" s="41"/>
      <c r="V229" s="24">
        <v>0.5</v>
      </c>
      <c r="W229" s="41">
        <f t="shared" si="77"/>
        <v>0</v>
      </c>
      <c r="X229" s="24"/>
      <c r="Y229" s="41">
        <f t="shared" si="66"/>
        <v>0</v>
      </c>
      <c r="Z229" s="41">
        <f t="shared" si="73"/>
        <v>0</v>
      </c>
      <c r="AA229" s="24">
        <v>5</v>
      </c>
      <c r="AB229" s="41">
        <v>950000</v>
      </c>
      <c r="AC229" s="41">
        <f t="shared" si="68"/>
        <v>0</v>
      </c>
      <c r="AD229" s="70" t="s">
        <v>326</v>
      </c>
      <c r="AE229" s="70"/>
      <c r="AF229" s="1">
        <v>950000</v>
      </c>
      <c r="AG229" s="168">
        <f t="shared" si="69"/>
        <v>0</v>
      </c>
      <c r="AH229" s="5"/>
      <c r="AI229" s="5"/>
    </row>
    <row r="230" spans="1:35" s="1" customFormat="1" x14ac:dyDescent="0.25">
      <c r="A230" s="21">
        <v>58</v>
      </c>
      <c r="B230" s="22" t="s">
        <v>196</v>
      </c>
      <c r="C230" s="22" t="s">
        <v>75</v>
      </c>
      <c r="D230" s="51" t="s">
        <v>197</v>
      </c>
      <c r="E230" s="24" t="s">
        <v>198</v>
      </c>
      <c r="F230" s="24"/>
      <c r="G230" s="24" t="s">
        <v>61</v>
      </c>
      <c r="H230" s="24" t="s">
        <v>62</v>
      </c>
      <c r="I230" s="24">
        <v>2015</v>
      </c>
      <c r="J230" s="24"/>
      <c r="K230" s="24" t="s">
        <v>63</v>
      </c>
      <c r="L230" s="24" t="s">
        <v>64</v>
      </c>
      <c r="M230" s="24">
        <v>2</v>
      </c>
      <c r="N230" s="41">
        <f t="shared" si="74"/>
        <v>500000</v>
      </c>
      <c r="O230" s="41">
        <v>1000000</v>
      </c>
      <c r="P230" s="24"/>
      <c r="Q230" s="24"/>
      <c r="R230" s="24"/>
      <c r="S230" s="41">
        <f t="shared" si="64"/>
        <v>1000000</v>
      </c>
      <c r="T230" s="24">
        <v>5</v>
      </c>
      <c r="U230" s="41">
        <f>SUM(S230/T230)</f>
        <v>200000</v>
      </c>
      <c r="V230" s="24">
        <v>0.5</v>
      </c>
      <c r="W230" s="41"/>
      <c r="X230" s="24"/>
      <c r="Y230" s="41">
        <f t="shared" si="66"/>
        <v>0</v>
      </c>
      <c r="Z230" s="41"/>
      <c r="AA230" s="24">
        <v>5</v>
      </c>
      <c r="AB230" s="41">
        <v>1000000</v>
      </c>
      <c r="AC230" s="41">
        <f t="shared" si="68"/>
        <v>0</v>
      </c>
      <c r="AD230" s="70" t="s">
        <v>199</v>
      </c>
      <c r="AE230" s="70"/>
      <c r="AF230" s="1">
        <v>1000000</v>
      </c>
      <c r="AG230" s="168">
        <f t="shared" si="69"/>
        <v>0</v>
      </c>
      <c r="AH230" s="5"/>
      <c r="AI230" s="5"/>
    </row>
    <row r="231" spans="1:35" s="1" customFormat="1" x14ac:dyDescent="0.25">
      <c r="A231" s="21">
        <v>59</v>
      </c>
      <c r="B231" s="22" t="s">
        <v>196</v>
      </c>
      <c r="C231" s="22" t="s">
        <v>868</v>
      </c>
      <c r="D231" s="51" t="s">
        <v>986</v>
      </c>
      <c r="E231" s="24" t="s">
        <v>987</v>
      </c>
      <c r="F231" s="24"/>
      <c r="G231" s="24" t="s">
        <v>61</v>
      </c>
      <c r="H231" s="24" t="s">
        <v>62</v>
      </c>
      <c r="I231" s="24">
        <v>2011</v>
      </c>
      <c r="J231" s="24"/>
      <c r="K231" s="24" t="s">
        <v>202</v>
      </c>
      <c r="L231" s="24" t="s">
        <v>64</v>
      </c>
      <c r="M231" s="24">
        <v>4</v>
      </c>
      <c r="N231" s="41">
        <f>SUM(O231/M231)</f>
        <v>250000</v>
      </c>
      <c r="O231" s="41">
        <v>1000000</v>
      </c>
      <c r="P231" s="24"/>
      <c r="Q231" s="24"/>
      <c r="R231" s="24"/>
      <c r="S231" s="41">
        <f t="shared" si="64"/>
        <v>1000000</v>
      </c>
      <c r="T231" s="24">
        <v>5</v>
      </c>
      <c r="U231" s="41"/>
      <c r="V231" s="24">
        <v>0.5</v>
      </c>
      <c r="W231" s="41">
        <f>SUM(U231*V231)</f>
        <v>0</v>
      </c>
      <c r="X231" s="24"/>
      <c r="Y231" s="41">
        <f>SUM(U231*X231)</f>
        <v>0</v>
      </c>
      <c r="Z231" s="41">
        <f>SUM(W231+Y231)</f>
        <v>0</v>
      </c>
      <c r="AA231" s="24">
        <v>5</v>
      </c>
      <c r="AB231" s="41">
        <v>1000000</v>
      </c>
      <c r="AC231" s="41">
        <f t="shared" si="68"/>
        <v>0</v>
      </c>
      <c r="AD231" s="70" t="s">
        <v>295</v>
      </c>
      <c r="AE231" s="70"/>
      <c r="AF231" s="1">
        <v>1000000</v>
      </c>
      <c r="AG231" s="168">
        <f t="shared" si="69"/>
        <v>0</v>
      </c>
      <c r="AH231" s="5"/>
      <c r="AI231" s="5"/>
    </row>
    <row r="232" spans="1:35" s="1" customFormat="1" x14ac:dyDescent="0.25">
      <c r="A232" s="21">
        <v>60</v>
      </c>
      <c r="B232" s="22" t="s">
        <v>196</v>
      </c>
      <c r="C232" s="22" t="s">
        <v>952</v>
      </c>
      <c r="D232" s="51" t="s">
        <v>986</v>
      </c>
      <c r="E232" s="24" t="s">
        <v>987</v>
      </c>
      <c r="F232" s="24"/>
      <c r="G232" s="24" t="s">
        <v>61</v>
      </c>
      <c r="H232" s="24" t="s">
        <v>62</v>
      </c>
      <c r="I232" s="24">
        <v>2011</v>
      </c>
      <c r="J232" s="24"/>
      <c r="K232" s="24" t="s">
        <v>202</v>
      </c>
      <c r="L232" s="24" t="s">
        <v>64</v>
      </c>
      <c r="M232" s="24">
        <v>4</v>
      </c>
      <c r="N232" s="41">
        <f>SUM(O232/M232)</f>
        <v>250000</v>
      </c>
      <c r="O232" s="41">
        <v>1000000</v>
      </c>
      <c r="P232" s="24"/>
      <c r="Q232" s="24"/>
      <c r="R232" s="24"/>
      <c r="S232" s="41">
        <f t="shared" si="64"/>
        <v>1000000</v>
      </c>
      <c r="T232" s="24">
        <v>5</v>
      </c>
      <c r="U232" s="41"/>
      <c r="V232" s="24">
        <v>0.5</v>
      </c>
      <c r="W232" s="41">
        <f>SUM(U232*V232)</f>
        <v>0</v>
      </c>
      <c r="X232" s="24"/>
      <c r="Y232" s="41">
        <f>SUM(U232*X232)</f>
        <v>0</v>
      </c>
      <c r="Z232" s="41">
        <f>SUM(W232+Y232)</f>
        <v>0</v>
      </c>
      <c r="AA232" s="24">
        <v>5</v>
      </c>
      <c r="AB232" s="41">
        <v>1000000</v>
      </c>
      <c r="AC232" s="41">
        <f t="shared" si="68"/>
        <v>0</v>
      </c>
      <c r="AD232" s="70" t="s">
        <v>297</v>
      </c>
      <c r="AE232" s="70"/>
      <c r="AF232" s="1">
        <v>1000000</v>
      </c>
      <c r="AG232" s="168">
        <f t="shared" si="69"/>
        <v>0</v>
      </c>
      <c r="AH232" s="5"/>
      <c r="AI232" s="5"/>
    </row>
    <row r="233" spans="1:35" s="1" customFormat="1" x14ac:dyDescent="0.25">
      <c r="A233" s="21">
        <v>61</v>
      </c>
      <c r="B233" s="22" t="s">
        <v>196</v>
      </c>
      <c r="C233" s="22" t="s">
        <v>298</v>
      </c>
      <c r="D233" s="51" t="s">
        <v>986</v>
      </c>
      <c r="E233" s="24" t="s">
        <v>987</v>
      </c>
      <c r="F233" s="24"/>
      <c r="G233" s="24" t="s">
        <v>61</v>
      </c>
      <c r="H233" s="24" t="s">
        <v>62</v>
      </c>
      <c r="I233" s="24">
        <v>2011</v>
      </c>
      <c r="J233" s="24"/>
      <c r="K233" s="24" t="s">
        <v>202</v>
      </c>
      <c r="L233" s="24" t="s">
        <v>64</v>
      </c>
      <c r="M233" s="24">
        <v>2</v>
      </c>
      <c r="N233" s="41">
        <f>SUM(O233/M233)</f>
        <v>250000</v>
      </c>
      <c r="O233" s="41">
        <v>500000</v>
      </c>
      <c r="P233" s="24"/>
      <c r="Q233" s="24"/>
      <c r="R233" s="24"/>
      <c r="S233" s="41">
        <f t="shared" si="64"/>
        <v>500000</v>
      </c>
      <c r="T233" s="24">
        <v>5</v>
      </c>
      <c r="U233" s="41"/>
      <c r="V233" s="24">
        <v>0.5</v>
      </c>
      <c r="W233" s="41">
        <f>SUM(U233*V233)</f>
        <v>0</v>
      </c>
      <c r="X233" s="24"/>
      <c r="Y233" s="41">
        <f>SUM(U233*X233)</f>
        <v>0</v>
      </c>
      <c r="Z233" s="41">
        <f>SUM(W233+Y233)</f>
        <v>0</v>
      </c>
      <c r="AA233" s="24">
        <v>5</v>
      </c>
      <c r="AB233" s="41">
        <v>500000</v>
      </c>
      <c r="AC233" s="41">
        <f t="shared" si="68"/>
        <v>0</v>
      </c>
      <c r="AD233" s="70" t="s">
        <v>287</v>
      </c>
      <c r="AE233" s="70"/>
      <c r="AF233" s="1">
        <v>500000</v>
      </c>
      <c r="AG233" s="168">
        <f t="shared" si="69"/>
        <v>0</v>
      </c>
      <c r="AH233" s="5"/>
      <c r="AI233" s="5"/>
    </row>
    <row r="234" spans="1:35" s="1" customFormat="1" x14ac:dyDescent="0.25">
      <c r="A234" s="21">
        <v>62</v>
      </c>
      <c r="B234" s="22" t="s">
        <v>196</v>
      </c>
      <c r="C234" s="22" t="s">
        <v>988</v>
      </c>
      <c r="D234" s="51" t="s">
        <v>986</v>
      </c>
      <c r="E234" s="24" t="s">
        <v>987</v>
      </c>
      <c r="F234" s="24"/>
      <c r="G234" s="24" t="s">
        <v>61</v>
      </c>
      <c r="H234" s="24" t="s">
        <v>62</v>
      </c>
      <c r="I234" s="24">
        <v>2011</v>
      </c>
      <c r="J234" s="24"/>
      <c r="K234" s="24" t="s">
        <v>202</v>
      </c>
      <c r="L234" s="24" t="s">
        <v>64</v>
      </c>
      <c r="M234" s="24">
        <v>2</v>
      </c>
      <c r="N234" s="41">
        <f>SUM(O234/M234)</f>
        <v>250000</v>
      </c>
      <c r="O234" s="41">
        <v>500000</v>
      </c>
      <c r="P234" s="24"/>
      <c r="Q234" s="24"/>
      <c r="R234" s="24"/>
      <c r="S234" s="41">
        <f t="shared" si="64"/>
        <v>500000</v>
      </c>
      <c r="T234" s="24">
        <v>5</v>
      </c>
      <c r="U234" s="41"/>
      <c r="V234" s="24">
        <v>0.5</v>
      </c>
      <c r="W234" s="41">
        <f>SUM(U234*V234)</f>
        <v>0</v>
      </c>
      <c r="X234" s="24"/>
      <c r="Y234" s="41">
        <f>SUM(U234*X234)</f>
        <v>0</v>
      </c>
      <c r="Z234" s="41">
        <f>SUM(W234+Y234)</f>
        <v>0</v>
      </c>
      <c r="AA234" s="24">
        <v>5</v>
      </c>
      <c r="AB234" s="41">
        <v>500000</v>
      </c>
      <c r="AC234" s="41">
        <f t="shared" si="68"/>
        <v>0</v>
      </c>
      <c r="AD234" s="70" t="s">
        <v>303</v>
      </c>
      <c r="AE234" s="70"/>
      <c r="AF234" s="1">
        <v>500000</v>
      </c>
      <c r="AG234" s="168">
        <f t="shared" si="69"/>
        <v>0</v>
      </c>
      <c r="AH234" s="5"/>
      <c r="AI234" s="5"/>
    </row>
    <row r="235" spans="1:35" s="1" customFormat="1" x14ac:dyDescent="0.25">
      <c r="A235" s="21">
        <v>63</v>
      </c>
      <c r="B235" s="22" t="s">
        <v>196</v>
      </c>
      <c r="C235" s="22" t="s">
        <v>140</v>
      </c>
      <c r="D235" s="51" t="s">
        <v>989</v>
      </c>
      <c r="E235" s="24" t="s">
        <v>987</v>
      </c>
      <c r="F235" s="24"/>
      <c r="G235" s="24" t="s">
        <v>61</v>
      </c>
      <c r="H235" s="24" t="s">
        <v>62</v>
      </c>
      <c r="I235" s="24">
        <v>2012</v>
      </c>
      <c r="J235" s="24"/>
      <c r="K235" s="24" t="s">
        <v>63</v>
      </c>
      <c r="L235" s="24" t="s">
        <v>64</v>
      </c>
      <c r="M235" s="24">
        <v>1</v>
      </c>
      <c r="N235" s="41">
        <f>SUM(O235/M235)</f>
        <v>390000</v>
      </c>
      <c r="O235" s="41">
        <v>390000</v>
      </c>
      <c r="P235" s="24"/>
      <c r="Q235" s="24"/>
      <c r="R235" s="24"/>
      <c r="S235" s="41">
        <f t="shared" si="64"/>
        <v>390000</v>
      </c>
      <c r="T235" s="24">
        <v>5</v>
      </c>
      <c r="U235" s="41"/>
      <c r="V235" s="24">
        <v>0.5</v>
      </c>
      <c r="W235" s="41">
        <f>SUM(U235*V235)</f>
        <v>0</v>
      </c>
      <c r="X235" s="24"/>
      <c r="Y235" s="41">
        <f>SUM(U235*X235)</f>
        <v>0</v>
      </c>
      <c r="Z235" s="41">
        <f>SUM(W235+Y235)</f>
        <v>0</v>
      </c>
      <c r="AA235" s="24">
        <v>5</v>
      </c>
      <c r="AB235" s="41">
        <v>390000</v>
      </c>
      <c r="AC235" s="41">
        <f t="shared" si="68"/>
        <v>0</v>
      </c>
      <c r="AD235" s="70" t="s">
        <v>985</v>
      </c>
      <c r="AE235" s="70"/>
      <c r="AF235" s="1">
        <v>390000</v>
      </c>
      <c r="AG235" s="168">
        <f t="shared" si="69"/>
        <v>0</v>
      </c>
      <c r="AH235" s="5"/>
      <c r="AI235" s="5"/>
    </row>
    <row r="236" spans="1:35" s="1" customFormat="1" x14ac:dyDescent="0.25">
      <c r="A236" s="21"/>
      <c r="B236" s="22"/>
      <c r="C236" s="22"/>
      <c r="D236" s="23"/>
      <c r="E236" s="24"/>
      <c r="F236" s="24"/>
      <c r="G236" s="24"/>
      <c r="H236" s="24"/>
      <c r="I236" s="24"/>
      <c r="J236" s="24"/>
      <c r="K236" s="24"/>
      <c r="L236" s="24"/>
      <c r="M236" s="24"/>
      <c r="N236" s="41"/>
      <c r="O236" s="41"/>
      <c r="P236" s="24"/>
      <c r="Q236" s="24"/>
      <c r="R236" s="24"/>
      <c r="S236" s="41"/>
      <c r="T236" s="24"/>
      <c r="U236" s="41"/>
      <c r="V236" s="24"/>
      <c r="W236" s="41"/>
      <c r="X236" s="24"/>
      <c r="Y236" s="41"/>
      <c r="Z236" s="41"/>
      <c r="AA236" s="24"/>
      <c r="AB236" s="41"/>
      <c r="AC236" s="41"/>
      <c r="AD236" s="70"/>
      <c r="AE236" s="70"/>
      <c r="AG236" s="71"/>
      <c r="AI236" s="5"/>
    </row>
    <row r="237" spans="1:35" s="1" customFormat="1" x14ac:dyDescent="0.25">
      <c r="A237" s="138"/>
      <c r="B237" s="139" t="s">
        <v>468</v>
      </c>
      <c r="C237" s="139"/>
      <c r="D237" s="140" t="s">
        <v>469</v>
      </c>
      <c r="E237" s="141"/>
      <c r="F237" s="141"/>
      <c r="G237" s="141"/>
      <c r="H237" s="141"/>
      <c r="I237" s="141"/>
      <c r="J237" s="141"/>
      <c r="K237" s="141"/>
      <c r="L237" s="141"/>
      <c r="M237" s="164">
        <f>SUM(M238+M393+M510+M525+M704)</f>
        <v>3793</v>
      </c>
      <c r="N237" s="164"/>
      <c r="O237" s="142">
        <f>SUM(O238+O393+O510+O525+O704)</f>
        <v>5646292433.014616</v>
      </c>
      <c r="P237" s="164">
        <f>SUM(P395:P702)</f>
        <v>0</v>
      </c>
      <c r="Q237" s="164">
        <f>SUM(Q395:Q702)</f>
        <v>0</v>
      </c>
      <c r="R237" s="164">
        <f>SUM(R395:R702)</f>
        <v>0</v>
      </c>
      <c r="S237" s="142">
        <f>SUM(S238+S393+S510+S525+S704)</f>
        <v>5646292433.014616</v>
      </c>
      <c r="T237" s="164"/>
      <c r="U237" s="142">
        <f>SUM(U238+U393+U510+U525+U704)</f>
        <v>404465396.60000002</v>
      </c>
      <c r="V237" s="164"/>
      <c r="W237" s="142">
        <f>SUM(W238+W393+W510+W525+W704)</f>
        <v>105392027.49666664</v>
      </c>
      <c r="X237" s="164"/>
      <c r="Y237" s="142">
        <f>SUM(Y395:Y702)</f>
        <v>0</v>
      </c>
      <c r="Z237" s="142">
        <f>SUM(Z238+Z393+Z510+Z525+Z704)</f>
        <v>105392027.49666664</v>
      </c>
      <c r="AA237" s="164"/>
      <c r="AB237" s="142">
        <f>SUM(AB238+AB393+AB510+AB525+AB704)</f>
        <v>5226007219.097949</v>
      </c>
      <c r="AC237" s="142">
        <f>SUM(AC238+AC393+AC510+AC525+AC704)</f>
        <v>420285213.91666675</v>
      </c>
      <c r="AD237" s="141"/>
      <c r="AE237" s="173"/>
      <c r="AF237" s="5">
        <v>5120615191.59795</v>
      </c>
      <c r="AG237" s="5">
        <f>AF237+Z237-AB237</f>
        <v>-3.3321380615234375E-3</v>
      </c>
    </row>
    <row r="238" spans="1:35" s="1" customFormat="1" x14ac:dyDescent="0.25">
      <c r="A238" s="25"/>
      <c r="B238" s="26" t="s">
        <v>1666</v>
      </c>
      <c r="C238" s="174"/>
      <c r="D238" s="27" t="s">
        <v>1667</v>
      </c>
      <c r="E238" s="28"/>
      <c r="F238" s="28"/>
      <c r="G238" s="28"/>
      <c r="H238" s="28"/>
      <c r="I238" s="28"/>
      <c r="J238" s="28"/>
      <c r="K238" s="28"/>
      <c r="L238" s="28"/>
      <c r="M238" s="67">
        <f>SUM(M239:M391)</f>
        <v>1768</v>
      </c>
      <c r="N238" s="40"/>
      <c r="O238" s="40">
        <f>SUM(O239:O391)</f>
        <v>2096881400</v>
      </c>
      <c r="P238" s="28"/>
      <c r="Q238" s="28"/>
      <c r="R238" s="28"/>
      <c r="S238" s="40">
        <f>SUM(S239:S391)</f>
        <v>2096881400</v>
      </c>
      <c r="T238" s="28"/>
      <c r="U238" s="40">
        <f>SUM(U239:U391)</f>
        <v>147569700</v>
      </c>
      <c r="V238" s="28"/>
      <c r="W238" s="40">
        <f>SUM(W239:W391)</f>
        <v>30494783.333333328</v>
      </c>
      <c r="X238" s="28"/>
      <c r="Y238" s="40"/>
      <c r="Z238" s="40">
        <f>SUM(Z239:Z391)</f>
        <v>30494783.333333328</v>
      </c>
      <c r="AA238" s="153"/>
      <c r="AB238" s="40">
        <f>SUM(AB239:AB391)</f>
        <v>1978912441.6666665</v>
      </c>
      <c r="AC238" s="40">
        <f>SUM(AC239:AC391)</f>
        <v>117968958.33333331</v>
      </c>
      <c r="AD238" s="167"/>
      <c r="AE238" s="167"/>
      <c r="AF238" s="5">
        <f>AF237-AB237</f>
        <v>-105392027.49999905</v>
      </c>
      <c r="AG238" s="5"/>
    </row>
    <row r="239" spans="1:35" s="1" customFormat="1" x14ac:dyDescent="0.25">
      <c r="A239" s="49"/>
      <c r="B239" s="22" t="s">
        <v>1668</v>
      </c>
      <c r="C239" s="22" t="s">
        <v>58</v>
      </c>
      <c r="D239" s="51" t="s">
        <v>801</v>
      </c>
      <c r="E239" s="24" t="s">
        <v>166</v>
      </c>
      <c r="F239" s="24"/>
      <c r="G239" s="24" t="s">
        <v>319</v>
      </c>
      <c r="H239" s="24" t="s">
        <v>62</v>
      </c>
      <c r="I239" s="24">
        <v>2004</v>
      </c>
      <c r="J239" s="24"/>
      <c r="K239" s="24" t="s">
        <v>63</v>
      </c>
      <c r="L239" s="24" t="s">
        <v>64</v>
      </c>
      <c r="M239" s="24">
        <v>1</v>
      </c>
      <c r="N239" s="41">
        <f t="shared" ref="N239:N252" si="80">SUM(O239/M239)</f>
        <v>800000</v>
      </c>
      <c r="O239" s="41">
        <v>800000</v>
      </c>
      <c r="P239" s="24"/>
      <c r="Q239" s="24"/>
      <c r="R239" s="24"/>
      <c r="S239" s="41">
        <f t="shared" ref="S239:S270" si="81">SUM(O239-R239)</f>
        <v>800000</v>
      </c>
      <c r="T239" s="24">
        <v>5</v>
      </c>
      <c r="U239" s="41"/>
      <c r="V239" s="24">
        <v>0.5</v>
      </c>
      <c r="W239" s="41">
        <f t="shared" ref="W239:W251" si="82">SUM(U239*V239)</f>
        <v>0</v>
      </c>
      <c r="X239" s="24"/>
      <c r="Y239" s="41">
        <f t="shared" ref="Y239:Y251" si="83">SUM(U239*X239)</f>
        <v>0</v>
      </c>
      <c r="Z239" s="41">
        <f t="shared" ref="Z239:Z251" si="84">SUM(W239+Y239)</f>
        <v>0</v>
      </c>
      <c r="AA239" s="24">
        <v>5</v>
      </c>
      <c r="AB239" s="41">
        <v>800000</v>
      </c>
      <c r="AC239" s="41">
        <f t="shared" ref="AC239:AC270" si="85">SUM(O239-AB239)</f>
        <v>0</v>
      </c>
      <c r="AD239" s="70" t="s">
        <v>295</v>
      </c>
      <c r="AE239" s="70"/>
      <c r="AF239" s="1">
        <v>800000</v>
      </c>
      <c r="AG239" s="5">
        <f>AF239-AB239</f>
        <v>0</v>
      </c>
    </row>
    <row r="240" spans="1:35" s="1" customFormat="1" x14ac:dyDescent="0.25">
      <c r="A240" s="49"/>
      <c r="B240" s="22" t="s">
        <v>1668</v>
      </c>
      <c r="C240" s="22" t="s">
        <v>802</v>
      </c>
      <c r="D240" s="51" t="s">
        <v>801</v>
      </c>
      <c r="E240" s="24" t="s">
        <v>166</v>
      </c>
      <c r="F240" s="24"/>
      <c r="G240" s="24" t="s">
        <v>319</v>
      </c>
      <c r="H240" s="24" t="s">
        <v>62</v>
      </c>
      <c r="I240" s="24">
        <v>2004</v>
      </c>
      <c r="J240" s="24"/>
      <c r="K240" s="24" t="s">
        <v>63</v>
      </c>
      <c r="L240" s="24" t="s">
        <v>64</v>
      </c>
      <c r="M240" s="24">
        <v>2</v>
      </c>
      <c r="N240" s="41">
        <f t="shared" si="80"/>
        <v>250000</v>
      </c>
      <c r="O240" s="41">
        <v>500000</v>
      </c>
      <c r="P240" s="24"/>
      <c r="Q240" s="24"/>
      <c r="R240" s="24"/>
      <c r="S240" s="41">
        <f t="shared" si="81"/>
        <v>500000</v>
      </c>
      <c r="T240" s="24">
        <v>5</v>
      </c>
      <c r="U240" s="41"/>
      <c r="V240" s="24">
        <v>0.5</v>
      </c>
      <c r="W240" s="41">
        <f t="shared" si="82"/>
        <v>0</v>
      </c>
      <c r="X240" s="24"/>
      <c r="Y240" s="41">
        <f t="shared" si="83"/>
        <v>0</v>
      </c>
      <c r="Z240" s="41">
        <f t="shared" si="84"/>
        <v>0</v>
      </c>
      <c r="AA240" s="24">
        <v>5</v>
      </c>
      <c r="AB240" s="41">
        <v>500000</v>
      </c>
      <c r="AC240" s="41">
        <f t="shared" si="85"/>
        <v>0</v>
      </c>
      <c r="AD240" s="70" t="s">
        <v>616</v>
      </c>
      <c r="AE240" s="70"/>
      <c r="AF240" s="1">
        <v>500000</v>
      </c>
      <c r="AG240" s="5">
        <f t="shared" ref="AG240:AG251" si="86">AF240-AB240</f>
        <v>0</v>
      </c>
    </row>
    <row r="241" spans="1:33" s="1" customFormat="1" x14ac:dyDescent="0.25">
      <c r="A241" s="49"/>
      <c r="B241" s="22" t="s">
        <v>1668</v>
      </c>
      <c r="C241" s="22" t="s">
        <v>803</v>
      </c>
      <c r="D241" s="51" t="s">
        <v>801</v>
      </c>
      <c r="E241" s="24" t="s">
        <v>166</v>
      </c>
      <c r="F241" s="24"/>
      <c r="G241" s="24" t="s">
        <v>319</v>
      </c>
      <c r="H241" s="24" t="s">
        <v>62</v>
      </c>
      <c r="I241" s="24">
        <v>2004</v>
      </c>
      <c r="J241" s="24"/>
      <c r="K241" s="24" t="s">
        <v>63</v>
      </c>
      <c r="L241" s="24" t="s">
        <v>64</v>
      </c>
      <c r="M241" s="24">
        <v>6</v>
      </c>
      <c r="N241" s="41">
        <f t="shared" si="80"/>
        <v>250000</v>
      </c>
      <c r="O241" s="41">
        <v>1500000</v>
      </c>
      <c r="P241" s="24"/>
      <c r="Q241" s="24"/>
      <c r="R241" s="24"/>
      <c r="S241" s="41">
        <f t="shared" si="81"/>
        <v>1500000</v>
      </c>
      <c r="T241" s="24">
        <v>5</v>
      </c>
      <c r="U241" s="41"/>
      <c r="V241" s="24">
        <v>0.5</v>
      </c>
      <c r="W241" s="41">
        <f t="shared" si="82"/>
        <v>0</v>
      </c>
      <c r="X241" s="24"/>
      <c r="Y241" s="41">
        <f t="shared" si="83"/>
        <v>0</v>
      </c>
      <c r="Z241" s="41">
        <f t="shared" si="84"/>
        <v>0</v>
      </c>
      <c r="AA241" s="24">
        <v>5</v>
      </c>
      <c r="AB241" s="41">
        <v>1500000</v>
      </c>
      <c r="AC241" s="41">
        <f t="shared" si="85"/>
        <v>0</v>
      </c>
      <c r="AD241" s="70" t="s">
        <v>804</v>
      </c>
      <c r="AE241" s="70"/>
      <c r="AF241" s="1">
        <v>1500000</v>
      </c>
      <c r="AG241" s="5">
        <f t="shared" si="86"/>
        <v>0</v>
      </c>
    </row>
    <row r="242" spans="1:33" s="1" customFormat="1" x14ac:dyDescent="0.25">
      <c r="A242" s="49"/>
      <c r="B242" s="22" t="s">
        <v>1668</v>
      </c>
      <c r="C242" s="22" t="s">
        <v>805</v>
      </c>
      <c r="D242" s="51" t="s">
        <v>801</v>
      </c>
      <c r="E242" s="24" t="s">
        <v>166</v>
      </c>
      <c r="F242" s="24"/>
      <c r="G242" s="24" t="s">
        <v>319</v>
      </c>
      <c r="H242" s="24" t="s">
        <v>62</v>
      </c>
      <c r="I242" s="24">
        <v>2004</v>
      </c>
      <c r="J242" s="24"/>
      <c r="K242" s="24" t="s">
        <v>63</v>
      </c>
      <c r="L242" s="24" t="s">
        <v>64</v>
      </c>
      <c r="M242" s="24">
        <v>9</v>
      </c>
      <c r="N242" s="41">
        <f t="shared" si="80"/>
        <v>250000</v>
      </c>
      <c r="O242" s="41">
        <v>2250000</v>
      </c>
      <c r="P242" s="24"/>
      <c r="Q242" s="24"/>
      <c r="R242" s="24"/>
      <c r="S242" s="41">
        <f t="shared" si="81"/>
        <v>2250000</v>
      </c>
      <c r="T242" s="24">
        <v>5</v>
      </c>
      <c r="U242" s="41"/>
      <c r="V242" s="24">
        <v>0.5</v>
      </c>
      <c r="W242" s="41">
        <f t="shared" si="82"/>
        <v>0</v>
      </c>
      <c r="X242" s="24"/>
      <c r="Y242" s="41">
        <f t="shared" si="83"/>
        <v>0</v>
      </c>
      <c r="Z242" s="41">
        <f t="shared" si="84"/>
        <v>0</v>
      </c>
      <c r="AA242" s="24">
        <v>5</v>
      </c>
      <c r="AB242" s="41">
        <v>2250000</v>
      </c>
      <c r="AC242" s="41">
        <f t="shared" si="85"/>
        <v>0</v>
      </c>
      <c r="AD242" s="70" t="s">
        <v>387</v>
      </c>
      <c r="AE242" s="70"/>
      <c r="AF242" s="1">
        <v>2250000</v>
      </c>
      <c r="AG242" s="5">
        <f t="shared" si="86"/>
        <v>0</v>
      </c>
    </row>
    <row r="243" spans="1:33" s="1" customFormat="1" x14ac:dyDescent="0.25">
      <c r="A243" s="49"/>
      <c r="B243" s="22" t="s">
        <v>1668</v>
      </c>
      <c r="C243" s="22" t="s">
        <v>806</v>
      </c>
      <c r="D243" s="51" t="s">
        <v>801</v>
      </c>
      <c r="E243" s="24" t="s">
        <v>166</v>
      </c>
      <c r="F243" s="24"/>
      <c r="G243" s="24" t="s">
        <v>319</v>
      </c>
      <c r="H243" s="24" t="s">
        <v>62</v>
      </c>
      <c r="I243" s="24">
        <v>2004</v>
      </c>
      <c r="J243" s="24"/>
      <c r="K243" s="24" t="s">
        <v>63</v>
      </c>
      <c r="L243" s="24" t="s">
        <v>64</v>
      </c>
      <c r="M243" s="24">
        <v>6</v>
      </c>
      <c r="N243" s="41">
        <f t="shared" si="80"/>
        <v>250000</v>
      </c>
      <c r="O243" s="41">
        <v>1500000</v>
      </c>
      <c r="P243" s="24"/>
      <c r="Q243" s="24"/>
      <c r="R243" s="24"/>
      <c r="S243" s="41">
        <f t="shared" si="81"/>
        <v>1500000</v>
      </c>
      <c r="T243" s="24">
        <v>5</v>
      </c>
      <c r="U243" s="41"/>
      <c r="V243" s="24">
        <v>0.5</v>
      </c>
      <c r="W243" s="41">
        <f t="shared" si="82"/>
        <v>0</v>
      </c>
      <c r="X243" s="24"/>
      <c r="Y243" s="41">
        <f t="shared" si="83"/>
        <v>0</v>
      </c>
      <c r="Z243" s="41">
        <f t="shared" si="84"/>
        <v>0</v>
      </c>
      <c r="AA243" s="24">
        <v>5</v>
      </c>
      <c r="AB243" s="41">
        <v>1500000</v>
      </c>
      <c r="AC243" s="41">
        <f t="shared" si="85"/>
        <v>0</v>
      </c>
      <c r="AD243" s="70" t="s">
        <v>388</v>
      </c>
      <c r="AE243" s="70"/>
      <c r="AF243" s="1">
        <v>1500000</v>
      </c>
      <c r="AG243" s="5">
        <f t="shared" si="86"/>
        <v>0</v>
      </c>
    </row>
    <row r="244" spans="1:33" s="1" customFormat="1" x14ac:dyDescent="0.25">
      <c r="A244" s="49"/>
      <c r="B244" s="22" t="s">
        <v>1668</v>
      </c>
      <c r="C244" s="22" t="s">
        <v>807</v>
      </c>
      <c r="D244" s="51" t="s">
        <v>801</v>
      </c>
      <c r="E244" s="24" t="s">
        <v>166</v>
      </c>
      <c r="F244" s="24"/>
      <c r="G244" s="24" t="s">
        <v>319</v>
      </c>
      <c r="H244" s="24" t="s">
        <v>62</v>
      </c>
      <c r="I244" s="24">
        <v>2004</v>
      </c>
      <c r="J244" s="24"/>
      <c r="K244" s="24" t="s">
        <v>63</v>
      </c>
      <c r="L244" s="24" t="s">
        <v>64</v>
      </c>
      <c r="M244" s="24">
        <v>6</v>
      </c>
      <c r="N244" s="41">
        <f t="shared" si="80"/>
        <v>250000</v>
      </c>
      <c r="O244" s="41">
        <v>1500000</v>
      </c>
      <c r="P244" s="24"/>
      <c r="Q244" s="24"/>
      <c r="R244" s="24"/>
      <c r="S244" s="41">
        <f t="shared" si="81"/>
        <v>1500000</v>
      </c>
      <c r="T244" s="24">
        <v>5</v>
      </c>
      <c r="U244" s="41"/>
      <c r="V244" s="24">
        <v>0.5</v>
      </c>
      <c r="W244" s="41">
        <f t="shared" si="82"/>
        <v>0</v>
      </c>
      <c r="X244" s="24"/>
      <c r="Y244" s="41">
        <f t="shared" si="83"/>
        <v>0</v>
      </c>
      <c r="Z244" s="41">
        <f t="shared" si="84"/>
        <v>0</v>
      </c>
      <c r="AA244" s="24">
        <v>5</v>
      </c>
      <c r="AB244" s="41">
        <v>1500000</v>
      </c>
      <c r="AC244" s="41">
        <f t="shared" si="85"/>
        <v>0</v>
      </c>
      <c r="AD244" s="70" t="s">
        <v>259</v>
      </c>
      <c r="AE244" s="70"/>
      <c r="AF244" s="1">
        <v>1500000</v>
      </c>
      <c r="AG244" s="5">
        <f t="shared" si="86"/>
        <v>0</v>
      </c>
    </row>
    <row r="245" spans="1:33" s="1" customFormat="1" x14ac:dyDescent="0.25">
      <c r="A245" s="49"/>
      <c r="B245" s="22" t="s">
        <v>1668</v>
      </c>
      <c r="C245" s="22" t="s">
        <v>808</v>
      </c>
      <c r="D245" s="51" t="s">
        <v>801</v>
      </c>
      <c r="E245" s="24" t="s">
        <v>166</v>
      </c>
      <c r="F245" s="24"/>
      <c r="G245" s="24" t="s">
        <v>319</v>
      </c>
      <c r="H245" s="24" t="s">
        <v>62</v>
      </c>
      <c r="I245" s="24">
        <v>2004</v>
      </c>
      <c r="J245" s="24"/>
      <c r="K245" s="24" t="s">
        <v>63</v>
      </c>
      <c r="L245" s="24" t="s">
        <v>64</v>
      </c>
      <c r="M245" s="24">
        <v>27</v>
      </c>
      <c r="N245" s="41">
        <f t="shared" si="80"/>
        <v>250000</v>
      </c>
      <c r="O245" s="41">
        <v>6750000</v>
      </c>
      <c r="P245" s="24"/>
      <c r="Q245" s="24"/>
      <c r="R245" s="24"/>
      <c r="S245" s="41">
        <f t="shared" si="81"/>
        <v>6750000</v>
      </c>
      <c r="T245" s="24">
        <v>5</v>
      </c>
      <c r="U245" s="41"/>
      <c r="V245" s="24">
        <v>0.5</v>
      </c>
      <c r="W245" s="41">
        <f t="shared" si="82"/>
        <v>0</v>
      </c>
      <c r="X245" s="24"/>
      <c r="Y245" s="41">
        <f t="shared" si="83"/>
        <v>0</v>
      </c>
      <c r="Z245" s="41">
        <f t="shared" si="84"/>
        <v>0</v>
      </c>
      <c r="AA245" s="24">
        <v>5</v>
      </c>
      <c r="AB245" s="41">
        <v>6750000</v>
      </c>
      <c r="AC245" s="41">
        <f t="shared" si="85"/>
        <v>0</v>
      </c>
      <c r="AD245" s="70" t="s">
        <v>481</v>
      </c>
      <c r="AE245" s="70"/>
      <c r="AF245" s="1">
        <v>6750000</v>
      </c>
      <c r="AG245" s="5">
        <f t="shared" si="86"/>
        <v>0</v>
      </c>
    </row>
    <row r="246" spans="1:33" s="1" customFormat="1" x14ac:dyDescent="0.25">
      <c r="A246" s="49"/>
      <c r="B246" s="22" t="s">
        <v>1668</v>
      </c>
      <c r="C246" s="22" t="s">
        <v>809</v>
      </c>
      <c r="D246" s="51" t="s">
        <v>801</v>
      </c>
      <c r="E246" s="24" t="s">
        <v>166</v>
      </c>
      <c r="F246" s="24"/>
      <c r="G246" s="24" t="s">
        <v>319</v>
      </c>
      <c r="H246" s="24" t="s">
        <v>62</v>
      </c>
      <c r="I246" s="24">
        <v>2004</v>
      </c>
      <c r="J246" s="24"/>
      <c r="K246" s="24" t="s">
        <v>63</v>
      </c>
      <c r="L246" s="24" t="s">
        <v>64</v>
      </c>
      <c r="M246" s="24">
        <v>6</v>
      </c>
      <c r="N246" s="41">
        <f t="shared" si="80"/>
        <v>250000</v>
      </c>
      <c r="O246" s="41">
        <v>1500000</v>
      </c>
      <c r="P246" s="24"/>
      <c r="Q246" s="24"/>
      <c r="R246" s="24"/>
      <c r="S246" s="41">
        <f t="shared" si="81"/>
        <v>1500000</v>
      </c>
      <c r="T246" s="24">
        <v>5</v>
      </c>
      <c r="U246" s="41"/>
      <c r="V246" s="24">
        <v>0.5</v>
      </c>
      <c r="W246" s="41">
        <f t="shared" si="82"/>
        <v>0</v>
      </c>
      <c r="X246" s="24"/>
      <c r="Y246" s="41">
        <f t="shared" si="83"/>
        <v>0</v>
      </c>
      <c r="Z246" s="41">
        <f t="shared" si="84"/>
        <v>0</v>
      </c>
      <c r="AA246" s="24">
        <v>5</v>
      </c>
      <c r="AB246" s="41">
        <v>1500000</v>
      </c>
      <c r="AC246" s="41">
        <f t="shared" si="85"/>
        <v>0</v>
      </c>
      <c r="AD246" s="70" t="s">
        <v>208</v>
      </c>
      <c r="AE246" s="70"/>
      <c r="AF246" s="1">
        <v>1500000</v>
      </c>
      <c r="AG246" s="5">
        <f t="shared" si="86"/>
        <v>0</v>
      </c>
    </row>
    <row r="247" spans="1:33" s="1" customFormat="1" x14ac:dyDescent="0.25">
      <c r="A247" s="49"/>
      <c r="B247" s="22" t="s">
        <v>1668</v>
      </c>
      <c r="C247" s="22" t="s">
        <v>810</v>
      </c>
      <c r="D247" s="51" t="s">
        <v>801</v>
      </c>
      <c r="E247" s="24" t="s">
        <v>811</v>
      </c>
      <c r="F247" s="24"/>
      <c r="G247" s="24" t="s">
        <v>319</v>
      </c>
      <c r="H247" s="24" t="s">
        <v>62</v>
      </c>
      <c r="I247" s="24">
        <v>2005</v>
      </c>
      <c r="J247" s="24"/>
      <c r="K247" s="24" t="s">
        <v>63</v>
      </c>
      <c r="L247" s="24" t="s">
        <v>64</v>
      </c>
      <c r="M247" s="24">
        <v>2</v>
      </c>
      <c r="N247" s="41">
        <f t="shared" si="80"/>
        <v>1200000</v>
      </c>
      <c r="O247" s="41">
        <v>2400000</v>
      </c>
      <c r="P247" s="24"/>
      <c r="Q247" s="24"/>
      <c r="R247" s="24"/>
      <c r="S247" s="41">
        <f t="shared" si="81"/>
        <v>2400000</v>
      </c>
      <c r="T247" s="24">
        <v>5</v>
      </c>
      <c r="U247" s="41"/>
      <c r="V247" s="24">
        <v>0.5</v>
      </c>
      <c r="W247" s="41">
        <f t="shared" si="82"/>
        <v>0</v>
      </c>
      <c r="X247" s="24"/>
      <c r="Y247" s="41">
        <f t="shared" si="83"/>
        <v>0</v>
      </c>
      <c r="Z247" s="41">
        <f t="shared" si="84"/>
        <v>0</v>
      </c>
      <c r="AA247" s="24">
        <v>5</v>
      </c>
      <c r="AB247" s="41">
        <v>2400000</v>
      </c>
      <c r="AC247" s="41">
        <f t="shared" si="85"/>
        <v>0</v>
      </c>
      <c r="AD247" s="70" t="s">
        <v>213</v>
      </c>
      <c r="AE247" s="70"/>
      <c r="AF247" s="1">
        <v>2400000</v>
      </c>
      <c r="AG247" s="5">
        <f t="shared" si="86"/>
        <v>0</v>
      </c>
    </row>
    <row r="248" spans="1:33" s="1" customFormat="1" x14ac:dyDescent="0.25">
      <c r="A248" s="49"/>
      <c r="B248" s="22" t="s">
        <v>1668</v>
      </c>
      <c r="C248" s="22" t="s">
        <v>812</v>
      </c>
      <c r="D248" s="51" t="s">
        <v>801</v>
      </c>
      <c r="E248" s="24" t="s">
        <v>811</v>
      </c>
      <c r="F248" s="24"/>
      <c r="G248" s="24" t="s">
        <v>319</v>
      </c>
      <c r="H248" s="24" t="s">
        <v>62</v>
      </c>
      <c r="I248" s="24">
        <v>2005</v>
      </c>
      <c r="J248" s="24"/>
      <c r="K248" s="24" t="s">
        <v>63</v>
      </c>
      <c r="L248" s="24" t="s">
        <v>64</v>
      </c>
      <c r="M248" s="24">
        <v>25</v>
      </c>
      <c r="N248" s="41">
        <f t="shared" si="80"/>
        <v>800000</v>
      </c>
      <c r="O248" s="41">
        <v>20000000</v>
      </c>
      <c r="P248" s="24"/>
      <c r="Q248" s="24"/>
      <c r="R248" s="24"/>
      <c r="S248" s="41">
        <f t="shared" si="81"/>
        <v>20000000</v>
      </c>
      <c r="T248" s="24">
        <v>5</v>
      </c>
      <c r="U248" s="41"/>
      <c r="V248" s="24">
        <v>0.5</v>
      </c>
      <c r="W248" s="41">
        <f t="shared" si="82"/>
        <v>0</v>
      </c>
      <c r="X248" s="24"/>
      <c r="Y248" s="41">
        <f t="shared" si="83"/>
        <v>0</v>
      </c>
      <c r="Z248" s="41">
        <f t="shared" si="84"/>
        <v>0</v>
      </c>
      <c r="AA248" s="24">
        <v>5</v>
      </c>
      <c r="AB248" s="41">
        <v>20000000</v>
      </c>
      <c r="AC248" s="41">
        <f t="shared" si="85"/>
        <v>0</v>
      </c>
      <c r="AD248" s="70" t="s">
        <v>213</v>
      </c>
      <c r="AE248" s="70"/>
      <c r="AF248" s="1">
        <v>20000000</v>
      </c>
      <c r="AG248" s="5">
        <f t="shared" si="86"/>
        <v>0</v>
      </c>
    </row>
    <row r="249" spans="1:33" s="1" customFormat="1" x14ac:dyDescent="0.25">
      <c r="A249" s="49"/>
      <c r="B249" s="22" t="s">
        <v>1668</v>
      </c>
      <c r="C249" s="22" t="s">
        <v>448</v>
      </c>
      <c r="D249" s="51" t="s">
        <v>801</v>
      </c>
      <c r="E249" s="24" t="s">
        <v>811</v>
      </c>
      <c r="F249" s="24"/>
      <c r="G249" s="24" t="s">
        <v>319</v>
      </c>
      <c r="H249" s="24" t="s">
        <v>62</v>
      </c>
      <c r="I249" s="24">
        <v>2005</v>
      </c>
      <c r="J249" s="24"/>
      <c r="K249" s="24" t="s">
        <v>63</v>
      </c>
      <c r="L249" s="24" t="s">
        <v>212</v>
      </c>
      <c r="M249" s="24">
        <v>1</v>
      </c>
      <c r="N249" s="41">
        <f t="shared" si="80"/>
        <v>450000</v>
      </c>
      <c r="O249" s="41">
        <v>450000</v>
      </c>
      <c r="P249" s="24"/>
      <c r="Q249" s="24"/>
      <c r="R249" s="24"/>
      <c r="S249" s="41">
        <f t="shared" si="81"/>
        <v>450000</v>
      </c>
      <c r="T249" s="24">
        <v>5</v>
      </c>
      <c r="U249" s="41"/>
      <c r="V249" s="24">
        <v>0.5</v>
      </c>
      <c r="W249" s="41">
        <f t="shared" si="82"/>
        <v>0</v>
      </c>
      <c r="X249" s="24"/>
      <c r="Y249" s="41">
        <f t="shared" si="83"/>
        <v>0</v>
      </c>
      <c r="Z249" s="41">
        <f t="shared" si="84"/>
        <v>0</v>
      </c>
      <c r="AA249" s="24">
        <v>5</v>
      </c>
      <c r="AB249" s="41">
        <v>450000</v>
      </c>
      <c r="AC249" s="41">
        <f t="shared" si="85"/>
        <v>0</v>
      </c>
      <c r="AD249" s="70" t="s">
        <v>295</v>
      </c>
      <c r="AE249" s="70"/>
      <c r="AF249" s="1">
        <v>450000</v>
      </c>
      <c r="AG249" s="5">
        <f t="shared" si="86"/>
        <v>0</v>
      </c>
    </row>
    <row r="250" spans="1:33" s="1" customFormat="1" x14ac:dyDescent="0.25">
      <c r="A250" s="49"/>
      <c r="B250" s="22" t="s">
        <v>1668</v>
      </c>
      <c r="C250" s="22" t="s">
        <v>813</v>
      </c>
      <c r="D250" s="51" t="s">
        <v>801</v>
      </c>
      <c r="E250" s="24" t="s">
        <v>814</v>
      </c>
      <c r="F250" s="24"/>
      <c r="G250" s="24" t="s">
        <v>319</v>
      </c>
      <c r="H250" s="24" t="s">
        <v>62</v>
      </c>
      <c r="I250" s="24">
        <v>2005</v>
      </c>
      <c r="J250" s="24"/>
      <c r="K250" s="24" t="s">
        <v>63</v>
      </c>
      <c r="L250" s="24" t="s">
        <v>64</v>
      </c>
      <c r="M250" s="24">
        <v>15</v>
      </c>
      <c r="N250" s="41">
        <f t="shared" si="80"/>
        <v>762000</v>
      </c>
      <c r="O250" s="41">
        <v>11430000</v>
      </c>
      <c r="P250" s="24"/>
      <c r="Q250" s="24"/>
      <c r="R250" s="24"/>
      <c r="S250" s="41">
        <f t="shared" si="81"/>
        <v>11430000</v>
      </c>
      <c r="T250" s="24">
        <v>5</v>
      </c>
      <c r="U250" s="41"/>
      <c r="V250" s="24">
        <v>0.5</v>
      </c>
      <c r="W250" s="41">
        <f t="shared" si="82"/>
        <v>0</v>
      </c>
      <c r="X250" s="24"/>
      <c r="Y250" s="41">
        <f t="shared" si="83"/>
        <v>0</v>
      </c>
      <c r="Z250" s="41">
        <f t="shared" si="84"/>
        <v>0</v>
      </c>
      <c r="AA250" s="72">
        <v>5</v>
      </c>
      <c r="AB250" s="41">
        <v>11430000</v>
      </c>
      <c r="AC250" s="41">
        <f t="shared" si="85"/>
        <v>0</v>
      </c>
      <c r="AD250" s="70" t="s">
        <v>295</v>
      </c>
      <c r="AE250" s="70"/>
      <c r="AF250" s="1">
        <v>11430000</v>
      </c>
      <c r="AG250" s="5">
        <f t="shared" si="86"/>
        <v>0</v>
      </c>
    </row>
    <row r="251" spans="1:33" s="1" customFormat="1" x14ac:dyDescent="0.25">
      <c r="A251" s="49"/>
      <c r="B251" s="22" t="s">
        <v>1668</v>
      </c>
      <c r="C251" s="22" t="s">
        <v>823</v>
      </c>
      <c r="D251" s="51" t="s">
        <v>824</v>
      </c>
      <c r="E251" s="24" t="s">
        <v>166</v>
      </c>
      <c r="F251" s="24"/>
      <c r="G251" s="24" t="s">
        <v>319</v>
      </c>
      <c r="H251" s="24" t="s">
        <v>62</v>
      </c>
      <c r="I251" s="24">
        <v>2012</v>
      </c>
      <c r="J251" s="24"/>
      <c r="K251" s="24" t="s">
        <v>63</v>
      </c>
      <c r="L251" s="24" t="s">
        <v>64</v>
      </c>
      <c r="M251" s="24">
        <v>36</v>
      </c>
      <c r="N251" s="41">
        <f t="shared" si="80"/>
        <v>1448775</v>
      </c>
      <c r="O251" s="41">
        <v>52155900</v>
      </c>
      <c r="P251" s="24"/>
      <c r="Q251" s="24"/>
      <c r="R251" s="24"/>
      <c r="S251" s="41">
        <f t="shared" si="81"/>
        <v>52155900</v>
      </c>
      <c r="T251" s="24">
        <v>5</v>
      </c>
      <c r="U251" s="41"/>
      <c r="V251" s="24">
        <v>0.5</v>
      </c>
      <c r="W251" s="41">
        <f t="shared" si="82"/>
        <v>0</v>
      </c>
      <c r="X251" s="24"/>
      <c r="Y251" s="41">
        <f t="shared" si="83"/>
        <v>0</v>
      </c>
      <c r="Z251" s="41">
        <f t="shared" si="84"/>
        <v>0</v>
      </c>
      <c r="AA251" s="72">
        <v>5</v>
      </c>
      <c r="AB251" s="41">
        <v>52155900</v>
      </c>
      <c r="AC251" s="41">
        <f t="shared" si="85"/>
        <v>0</v>
      </c>
      <c r="AD251" s="70" t="s">
        <v>301</v>
      </c>
      <c r="AE251" s="70"/>
      <c r="AF251" s="1">
        <v>52155900</v>
      </c>
      <c r="AG251" s="5">
        <f t="shared" si="86"/>
        <v>0</v>
      </c>
    </row>
    <row r="252" spans="1:33" s="1" customFormat="1" x14ac:dyDescent="0.25">
      <c r="A252" s="49"/>
      <c r="B252" s="22" t="s">
        <v>1669</v>
      </c>
      <c r="C252" s="22" t="s">
        <v>657</v>
      </c>
      <c r="D252" s="51" t="s">
        <v>774</v>
      </c>
      <c r="E252" s="24" t="s">
        <v>775</v>
      </c>
      <c r="F252" s="24"/>
      <c r="G252" s="24" t="s">
        <v>61</v>
      </c>
      <c r="H252" s="24" t="s">
        <v>62</v>
      </c>
      <c r="I252" s="24">
        <v>2018</v>
      </c>
      <c r="J252" s="24"/>
      <c r="K252" s="24" t="s">
        <v>63</v>
      </c>
      <c r="L252" s="24" t="s">
        <v>64</v>
      </c>
      <c r="M252" s="24">
        <v>3</v>
      </c>
      <c r="N252" s="41">
        <f t="shared" si="80"/>
        <v>2970000</v>
      </c>
      <c r="O252" s="41">
        <v>8910000</v>
      </c>
      <c r="P252" s="24"/>
      <c r="Q252" s="24"/>
      <c r="R252" s="24"/>
      <c r="S252" s="41">
        <f t="shared" si="81"/>
        <v>8910000</v>
      </c>
      <c r="T252" s="24">
        <v>5</v>
      </c>
      <c r="U252" s="41">
        <f t="shared" ref="U252:U278" si="87">SUM(S252/T252)</f>
        <v>1782000</v>
      </c>
      <c r="V252" s="24">
        <v>0.5</v>
      </c>
      <c r="W252" s="41">
        <f>SUM(U252*V252)-148500</f>
        <v>742500</v>
      </c>
      <c r="X252" s="24"/>
      <c r="Y252" s="41">
        <f t="shared" ref="Y252:Y254" si="88">SUM(U252*X252)</f>
        <v>0</v>
      </c>
      <c r="Z252" s="41">
        <f t="shared" ref="Z252:Z276" si="89">SUM(W252+Y252)</f>
        <v>742500</v>
      </c>
      <c r="AA252" s="24">
        <f>2023-I252+V252+X252-5/12-1/12</f>
        <v>5</v>
      </c>
      <c r="AB252" s="41">
        <f t="shared" ref="AB252:AB276" si="90">SUM(U252*AA252)</f>
        <v>8910000</v>
      </c>
      <c r="AC252" s="41">
        <f t="shared" si="85"/>
        <v>0</v>
      </c>
      <c r="AD252" s="70" t="s">
        <v>308</v>
      </c>
      <c r="AE252" s="70"/>
      <c r="AF252" s="1">
        <v>8167499.9999999991</v>
      </c>
      <c r="AG252" s="5">
        <f>AF252+Z252-AB252</f>
        <v>0</v>
      </c>
    </row>
    <row r="253" spans="1:33" s="1" customFormat="1" x14ac:dyDescent="0.25">
      <c r="A253" s="49"/>
      <c r="B253" s="22" t="s">
        <v>1669</v>
      </c>
      <c r="C253" s="50" t="s">
        <v>776</v>
      </c>
      <c r="D253" s="51" t="s">
        <v>774</v>
      </c>
      <c r="E253" s="52" t="s">
        <v>777</v>
      </c>
      <c r="F253" s="52"/>
      <c r="G253" s="52" t="s">
        <v>61</v>
      </c>
      <c r="H253" s="52" t="s">
        <v>62</v>
      </c>
      <c r="I253" s="52">
        <v>2019</v>
      </c>
      <c r="J253" s="52"/>
      <c r="K253" s="52" t="s">
        <v>63</v>
      </c>
      <c r="L253" s="52" t="s">
        <v>64</v>
      </c>
      <c r="M253" s="52">
        <v>7</v>
      </c>
      <c r="N253" s="53">
        <v>22386000</v>
      </c>
      <c r="O253" s="53">
        <v>22386000</v>
      </c>
      <c r="P253" s="52"/>
      <c r="Q253" s="52"/>
      <c r="R253" s="52"/>
      <c r="S253" s="53">
        <f t="shared" si="81"/>
        <v>22386000</v>
      </c>
      <c r="T253" s="52">
        <v>5</v>
      </c>
      <c r="U253" s="53">
        <f t="shared" si="87"/>
        <v>4477200</v>
      </c>
      <c r="V253" s="52">
        <v>0.5</v>
      </c>
      <c r="W253" s="53">
        <f t="shared" ref="W253:W278" si="91">SUM(U253*V253)</f>
        <v>2238600</v>
      </c>
      <c r="X253" s="24"/>
      <c r="Y253" s="41">
        <f t="shared" si="88"/>
        <v>0</v>
      </c>
      <c r="Z253" s="41">
        <f t="shared" si="89"/>
        <v>2238600</v>
      </c>
      <c r="AA253" s="72">
        <f>2023-I253+V253+X253-11/12</f>
        <v>3.5833333333333335</v>
      </c>
      <c r="AB253" s="41">
        <f t="shared" si="90"/>
        <v>16043300</v>
      </c>
      <c r="AC253" s="41">
        <f t="shared" si="85"/>
        <v>6342700</v>
      </c>
      <c r="AD253" s="70" t="s">
        <v>778</v>
      </c>
      <c r="AE253" s="70"/>
      <c r="AF253" s="1">
        <v>13804700</v>
      </c>
      <c r="AG253" s="5">
        <f t="shared" ref="AG253:AG316" si="92">AF253+Z253-AB253</f>
        <v>0</v>
      </c>
    </row>
    <row r="254" spans="1:33" s="1" customFormat="1" x14ac:dyDescent="0.25">
      <c r="A254" s="49"/>
      <c r="B254" s="22" t="s">
        <v>1669</v>
      </c>
      <c r="C254" s="73" t="s">
        <v>779</v>
      </c>
      <c r="D254" s="51" t="s">
        <v>774</v>
      </c>
      <c r="E254" s="52"/>
      <c r="F254" s="52"/>
      <c r="G254" s="52" t="s">
        <v>61</v>
      </c>
      <c r="H254" s="52" t="s">
        <v>62</v>
      </c>
      <c r="I254" s="52">
        <v>2020</v>
      </c>
      <c r="J254" s="52"/>
      <c r="K254" s="52" t="s">
        <v>63</v>
      </c>
      <c r="L254" s="52" t="s">
        <v>64</v>
      </c>
      <c r="M254" s="52">
        <v>3</v>
      </c>
      <c r="N254" s="53">
        <f>SUM(O254/M254)</f>
        <v>3300000</v>
      </c>
      <c r="O254" s="53">
        <v>9900000</v>
      </c>
      <c r="P254" s="52"/>
      <c r="Q254" s="52"/>
      <c r="R254" s="52"/>
      <c r="S254" s="53">
        <f t="shared" si="81"/>
        <v>9900000</v>
      </c>
      <c r="T254" s="52">
        <v>5</v>
      </c>
      <c r="U254" s="53">
        <f t="shared" si="87"/>
        <v>1980000</v>
      </c>
      <c r="V254" s="52">
        <v>0.5</v>
      </c>
      <c r="W254" s="53">
        <f t="shared" si="91"/>
        <v>990000</v>
      </c>
      <c r="X254" s="24"/>
      <c r="Y254" s="41">
        <f t="shared" si="88"/>
        <v>0</v>
      </c>
      <c r="Z254" s="41">
        <f t="shared" si="89"/>
        <v>990000</v>
      </c>
      <c r="AA254" s="72">
        <f>2023-I254+V254+X254-10/12-0.5</f>
        <v>2.1666666666666665</v>
      </c>
      <c r="AB254" s="41">
        <f t="shared" si="90"/>
        <v>4290000</v>
      </c>
      <c r="AC254" s="41">
        <f t="shared" si="85"/>
        <v>5610000</v>
      </c>
      <c r="AD254" s="70" t="s">
        <v>778</v>
      </c>
      <c r="AE254" s="70"/>
      <c r="AF254" s="1">
        <v>3299999.9999999995</v>
      </c>
      <c r="AG254" s="5">
        <f t="shared" si="92"/>
        <v>0</v>
      </c>
    </row>
    <row r="255" spans="1:33" s="1" customFormat="1" x14ac:dyDescent="0.25">
      <c r="A255" s="49"/>
      <c r="B255" s="308" t="s">
        <v>1669</v>
      </c>
      <c r="C255" s="314" t="s">
        <v>143</v>
      </c>
      <c r="D255" s="309" t="s">
        <v>774</v>
      </c>
      <c r="E255" s="310"/>
      <c r="F255" s="310"/>
      <c r="G255" s="310" t="s">
        <v>61</v>
      </c>
      <c r="H255" s="310" t="s">
        <v>62</v>
      </c>
      <c r="I255" s="310">
        <v>2023</v>
      </c>
      <c r="J255" s="310"/>
      <c r="K255" s="310" t="s">
        <v>63</v>
      </c>
      <c r="L255" s="310" t="s">
        <v>64</v>
      </c>
      <c r="M255" s="310">
        <v>1</v>
      </c>
      <c r="N255" s="311">
        <f>SUM(O255/M255)</f>
        <v>2186000</v>
      </c>
      <c r="O255" s="311">
        <v>2186000</v>
      </c>
      <c r="P255" s="310"/>
      <c r="Q255" s="310"/>
      <c r="R255" s="310"/>
      <c r="S255" s="311">
        <f t="shared" si="81"/>
        <v>2186000</v>
      </c>
      <c r="T255" s="310">
        <v>5</v>
      </c>
      <c r="U255" s="311">
        <f t="shared" si="87"/>
        <v>437200</v>
      </c>
      <c r="V255" s="312">
        <f>1/12</f>
        <v>8.3333333333333329E-2</v>
      </c>
      <c r="W255" s="311">
        <f t="shared" si="91"/>
        <v>36433.333333333328</v>
      </c>
      <c r="X255" s="310"/>
      <c r="Y255" s="311"/>
      <c r="Z255" s="311">
        <f t="shared" si="89"/>
        <v>36433.333333333328</v>
      </c>
      <c r="AA255" s="312">
        <f t="shared" ref="AA255:AA276" si="93">1/12</f>
        <v>8.3333333333333329E-2</v>
      </c>
      <c r="AB255" s="311">
        <f t="shared" si="90"/>
        <v>36433.333333333328</v>
      </c>
      <c r="AC255" s="311">
        <f t="shared" si="85"/>
        <v>2149566.6666666665</v>
      </c>
      <c r="AD255" s="313"/>
      <c r="AE255" s="313"/>
      <c r="AF255" s="1">
        <v>218600</v>
      </c>
      <c r="AG255" s="5">
        <f>AF255-AB255</f>
        <v>182166.66666666669</v>
      </c>
    </row>
    <row r="256" spans="1:33" s="1" customFormat="1" x14ac:dyDescent="0.25">
      <c r="A256" s="49"/>
      <c r="B256" s="308" t="s">
        <v>1669</v>
      </c>
      <c r="C256" s="314" t="s">
        <v>146</v>
      </c>
      <c r="D256" s="309" t="s">
        <v>774</v>
      </c>
      <c r="E256" s="310"/>
      <c r="F256" s="310"/>
      <c r="G256" s="310" t="s">
        <v>61</v>
      </c>
      <c r="H256" s="310" t="s">
        <v>62</v>
      </c>
      <c r="I256" s="310">
        <v>2023</v>
      </c>
      <c r="J256" s="310"/>
      <c r="K256" s="310" t="s">
        <v>63</v>
      </c>
      <c r="L256" s="310" t="s">
        <v>64</v>
      </c>
      <c r="M256" s="310">
        <v>1</v>
      </c>
      <c r="N256" s="311">
        <f t="shared" ref="N256:N318" si="94">SUM(O256/M256)</f>
        <v>2186000</v>
      </c>
      <c r="O256" s="311">
        <v>2186000</v>
      </c>
      <c r="P256" s="310"/>
      <c r="Q256" s="310"/>
      <c r="R256" s="310"/>
      <c r="S256" s="311">
        <f t="shared" si="81"/>
        <v>2186000</v>
      </c>
      <c r="T256" s="310">
        <v>5</v>
      </c>
      <c r="U256" s="311">
        <f t="shared" si="87"/>
        <v>437200</v>
      </c>
      <c r="V256" s="312">
        <f t="shared" ref="V256:V276" si="95">1/12</f>
        <v>8.3333333333333329E-2</v>
      </c>
      <c r="W256" s="311">
        <f t="shared" si="91"/>
        <v>36433.333333333328</v>
      </c>
      <c r="X256" s="310"/>
      <c r="Y256" s="311"/>
      <c r="Z256" s="311">
        <f t="shared" si="89"/>
        <v>36433.333333333328</v>
      </c>
      <c r="AA256" s="312">
        <f t="shared" si="93"/>
        <v>8.3333333333333329E-2</v>
      </c>
      <c r="AB256" s="311">
        <f t="shared" si="90"/>
        <v>36433.333333333328</v>
      </c>
      <c r="AC256" s="311">
        <f t="shared" si="85"/>
        <v>2149566.6666666665</v>
      </c>
      <c r="AD256" s="313"/>
      <c r="AE256" s="313"/>
      <c r="AF256" s="1">
        <v>218600</v>
      </c>
      <c r="AG256" s="5">
        <f t="shared" ref="AG256:AG276" si="96">AF256-AB256</f>
        <v>182166.66666666669</v>
      </c>
    </row>
    <row r="257" spans="1:33" s="1" customFormat="1" x14ac:dyDescent="0.25">
      <c r="A257" s="49"/>
      <c r="B257" s="308" t="s">
        <v>1669</v>
      </c>
      <c r="C257" s="314" t="s">
        <v>150</v>
      </c>
      <c r="D257" s="309" t="s">
        <v>774</v>
      </c>
      <c r="E257" s="310"/>
      <c r="F257" s="310"/>
      <c r="G257" s="310" t="s">
        <v>61</v>
      </c>
      <c r="H257" s="310" t="s">
        <v>62</v>
      </c>
      <c r="I257" s="310">
        <v>2023</v>
      </c>
      <c r="J257" s="310"/>
      <c r="K257" s="310" t="s">
        <v>63</v>
      </c>
      <c r="L257" s="310" t="s">
        <v>64</v>
      </c>
      <c r="M257" s="310">
        <v>1</v>
      </c>
      <c r="N257" s="311">
        <f t="shared" si="94"/>
        <v>2186000</v>
      </c>
      <c r="O257" s="311">
        <v>2186000</v>
      </c>
      <c r="P257" s="310"/>
      <c r="Q257" s="310"/>
      <c r="R257" s="310"/>
      <c r="S257" s="311">
        <f t="shared" si="81"/>
        <v>2186000</v>
      </c>
      <c r="T257" s="310">
        <v>5</v>
      </c>
      <c r="U257" s="311">
        <f t="shared" si="87"/>
        <v>437200</v>
      </c>
      <c r="V257" s="312">
        <f t="shared" si="95"/>
        <v>8.3333333333333329E-2</v>
      </c>
      <c r="W257" s="311">
        <f t="shared" si="91"/>
        <v>36433.333333333328</v>
      </c>
      <c r="X257" s="310"/>
      <c r="Y257" s="311"/>
      <c r="Z257" s="311">
        <f t="shared" si="89"/>
        <v>36433.333333333328</v>
      </c>
      <c r="AA257" s="312">
        <f t="shared" si="93"/>
        <v>8.3333333333333329E-2</v>
      </c>
      <c r="AB257" s="311">
        <f t="shared" si="90"/>
        <v>36433.333333333328</v>
      </c>
      <c r="AC257" s="311">
        <f t="shared" si="85"/>
        <v>2149566.6666666665</v>
      </c>
      <c r="AD257" s="313"/>
      <c r="AE257" s="313"/>
      <c r="AF257" s="1">
        <v>218600</v>
      </c>
      <c r="AG257" s="5">
        <f t="shared" si="96"/>
        <v>182166.66666666669</v>
      </c>
    </row>
    <row r="258" spans="1:33" s="1" customFormat="1" x14ac:dyDescent="0.25">
      <c r="A258" s="49"/>
      <c r="B258" s="308" t="s">
        <v>1669</v>
      </c>
      <c r="C258" s="314" t="s">
        <v>153</v>
      </c>
      <c r="D258" s="309" t="s">
        <v>774</v>
      </c>
      <c r="E258" s="310"/>
      <c r="F258" s="310"/>
      <c r="G258" s="310" t="s">
        <v>61</v>
      </c>
      <c r="H258" s="310" t="s">
        <v>62</v>
      </c>
      <c r="I258" s="310">
        <v>2023</v>
      </c>
      <c r="J258" s="310"/>
      <c r="K258" s="310" t="s">
        <v>63</v>
      </c>
      <c r="L258" s="310" t="s">
        <v>64</v>
      </c>
      <c r="M258" s="310">
        <v>1</v>
      </c>
      <c r="N258" s="311">
        <f t="shared" si="94"/>
        <v>2186000</v>
      </c>
      <c r="O258" s="311">
        <v>2186000</v>
      </c>
      <c r="P258" s="310"/>
      <c r="Q258" s="310"/>
      <c r="R258" s="310"/>
      <c r="S258" s="311">
        <f t="shared" si="81"/>
        <v>2186000</v>
      </c>
      <c r="T258" s="310">
        <v>5</v>
      </c>
      <c r="U258" s="311">
        <f t="shared" si="87"/>
        <v>437200</v>
      </c>
      <c r="V258" s="312">
        <f t="shared" si="95"/>
        <v>8.3333333333333329E-2</v>
      </c>
      <c r="W258" s="311">
        <f t="shared" si="91"/>
        <v>36433.333333333328</v>
      </c>
      <c r="X258" s="310"/>
      <c r="Y258" s="311"/>
      <c r="Z258" s="311">
        <f t="shared" si="89"/>
        <v>36433.333333333328</v>
      </c>
      <c r="AA258" s="312">
        <f t="shared" si="93"/>
        <v>8.3333333333333329E-2</v>
      </c>
      <c r="AB258" s="311">
        <f t="shared" si="90"/>
        <v>36433.333333333328</v>
      </c>
      <c r="AC258" s="311">
        <f t="shared" si="85"/>
        <v>2149566.6666666665</v>
      </c>
      <c r="AD258" s="313"/>
      <c r="AE258" s="313"/>
      <c r="AF258" s="1">
        <v>218600</v>
      </c>
      <c r="AG258" s="5">
        <f t="shared" si="96"/>
        <v>182166.66666666669</v>
      </c>
    </row>
    <row r="259" spans="1:33" s="1" customFormat="1" x14ac:dyDescent="0.25">
      <c r="A259" s="49"/>
      <c r="B259" s="308" t="s">
        <v>1669</v>
      </c>
      <c r="C259" s="314" t="s">
        <v>156</v>
      </c>
      <c r="D259" s="309" t="s">
        <v>774</v>
      </c>
      <c r="E259" s="310"/>
      <c r="F259" s="310"/>
      <c r="G259" s="310" t="s">
        <v>61</v>
      </c>
      <c r="H259" s="310" t="s">
        <v>62</v>
      </c>
      <c r="I259" s="310">
        <v>2023</v>
      </c>
      <c r="J259" s="310"/>
      <c r="K259" s="310" t="s">
        <v>63</v>
      </c>
      <c r="L259" s="310" t="s">
        <v>64</v>
      </c>
      <c r="M259" s="310">
        <v>1</v>
      </c>
      <c r="N259" s="311">
        <f t="shared" si="94"/>
        <v>2186000</v>
      </c>
      <c r="O259" s="311">
        <v>2186000</v>
      </c>
      <c r="P259" s="310"/>
      <c r="Q259" s="310"/>
      <c r="R259" s="310"/>
      <c r="S259" s="311">
        <f t="shared" si="81"/>
        <v>2186000</v>
      </c>
      <c r="T259" s="310">
        <v>5</v>
      </c>
      <c r="U259" s="311">
        <f t="shared" si="87"/>
        <v>437200</v>
      </c>
      <c r="V259" s="312">
        <f t="shared" si="95"/>
        <v>8.3333333333333329E-2</v>
      </c>
      <c r="W259" s="311">
        <f t="shared" si="91"/>
        <v>36433.333333333328</v>
      </c>
      <c r="X259" s="310"/>
      <c r="Y259" s="311"/>
      <c r="Z259" s="311">
        <f t="shared" si="89"/>
        <v>36433.333333333328</v>
      </c>
      <c r="AA259" s="312">
        <f t="shared" si="93"/>
        <v>8.3333333333333329E-2</v>
      </c>
      <c r="AB259" s="311">
        <f t="shared" si="90"/>
        <v>36433.333333333328</v>
      </c>
      <c r="AC259" s="311">
        <f t="shared" si="85"/>
        <v>2149566.6666666665</v>
      </c>
      <c r="AD259" s="313"/>
      <c r="AE259" s="313"/>
      <c r="AF259" s="1">
        <v>218600</v>
      </c>
      <c r="AG259" s="5">
        <f t="shared" si="96"/>
        <v>182166.66666666669</v>
      </c>
    </row>
    <row r="260" spans="1:33" s="1" customFormat="1" x14ac:dyDescent="0.25">
      <c r="A260" s="49"/>
      <c r="B260" s="308" t="s">
        <v>1669</v>
      </c>
      <c r="C260" s="314" t="s">
        <v>159</v>
      </c>
      <c r="D260" s="309" t="s">
        <v>774</v>
      </c>
      <c r="E260" s="310"/>
      <c r="F260" s="310"/>
      <c r="G260" s="310" t="s">
        <v>61</v>
      </c>
      <c r="H260" s="310" t="s">
        <v>62</v>
      </c>
      <c r="I260" s="310">
        <v>2023</v>
      </c>
      <c r="J260" s="310"/>
      <c r="K260" s="310" t="s">
        <v>63</v>
      </c>
      <c r="L260" s="310" t="s">
        <v>64</v>
      </c>
      <c r="M260" s="310">
        <v>1</v>
      </c>
      <c r="N260" s="311">
        <f t="shared" si="94"/>
        <v>2186000</v>
      </c>
      <c r="O260" s="311">
        <v>2186000</v>
      </c>
      <c r="P260" s="310"/>
      <c r="Q260" s="310"/>
      <c r="R260" s="310"/>
      <c r="S260" s="311">
        <f t="shared" si="81"/>
        <v>2186000</v>
      </c>
      <c r="T260" s="310">
        <v>5</v>
      </c>
      <c r="U260" s="311">
        <f t="shared" si="87"/>
        <v>437200</v>
      </c>
      <c r="V260" s="312">
        <f t="shared" si="95"/>
        <v>8.3333333333333329E-2</v>
      </c>
      <c r="W260" s="311">
        <f t="shared" si="91"/>
        <v>36433.333333333328</v>
      </c>
      <c r="X260" s="310"/>
      <c r="Y260" s="311"/>
      <c r="Z260" s="311">
        <f t="shared" si="89"/>
        <v>36433.333333333328</v>
      </c>
      <c r="AA260" s="312">
        <f t="shared" si="93"/>
        <v>8.3333333333333329E-2</v>
      </c>
      <c r="AB260" s="311">
        <f t="shared" si="90"/>
        <v>36433.333333333328</v>
      </c>
      <c r="AC260" s="311">
        <f t="shared" si="85"/>
        <v>2149566.6666666665</v>
      </c>
      <c r="AD260" s="313"/>
      <c r="AE260" s="313"/>
      <c r="AF260" s="1">
        <v>218600</v>
      </c>
      <c r="AG260" s="5">
        <f t="shared" si="96"/>
        <v>182166.66666666669</v>
      </c>
    </row>
    <row r="261" spans="1:33" s="1" customFormat="1" x14ac:dyDescent="0.25">
      <c r="A261" s="49"/>
      <c r="B261" s="308" t="s">
        <v>1669</v>
      </c>
      <c r="C261" s="314" t="s">
        <v>162</v>
      </c>
      <c r="D261" s="309" t="s">
        <v>774</v>
      </c>
      <c r="E261" s="310"/>
      <c r="F261" s="310"/>
      <c r="G261" s="310" t="s">
        <v>61</v>
      </c>
      <c r="H261" s="310" t="s">
        <v>62</v>
      </c>
      <c r="I261" s="310">
        <v>2023</v>
      </c>
      <c r="J261" s="310"/>
      <c r="K261" s="310" t="s">
        <v>63</v>
      </c>
      <c r="L261" s="310" t="s">
        <v>64</v>
      </c>
      <c r="M261" s="310">
        <v>1</v>
      </c>
      <c r="N261" s="311">
        <f t="shared" si="94"/>
        <v>2186000</v>
      </c>
      <c r="O261" s="311">
        <v>2186000</v>
      </c>
      <c r="P261" s="310"/>
      <c r="Q261" s="310"/>
      <c r="R261" s="310"/>
      <c r="S261" s="311">
        <f t="shared" si="81"/>
        <v>2186000</v>
      </c>
      <c r="T261" s="310">
        <v>5</v>
      </c>
      <c r="U261" s="311">
        <f t="shared" si="87"/>
        <v>437200</v>
      </c>
      <c r="V261" s="312">
        <f t="shared" si="95"/>
        <v>8.3333333333333329E-2</v>
      </c>
      <c r="W261" s="311">
        <f t="shared" si="91"/>
        <v>36433.333333333328</v>
      </c>
      <c r="X261" s="310"/>
      <c r="Y261" s="311"/>
      <c r="Z261" s="311">
        <f t="shared" si="89"/>
        <v>36433.333333333328</v>
      </c>
      <c r="AA261" s="312">
        <f t="shared" si="93"/>
        <v>8.3333333333333329E-2</v>
      </c>
      <c r="AB261" s="311">
        <f t="shared" si="90"/>
        <v>36433.333333333328</v>
      </c>
      <c r="AC261" s="311">
        <f t="shared" si="85"/>
        <v>2149566.6666666665</v>
      </c>
      <c r="AD261" s="313"/>
      <c r="AE261" s="313"/>
      <c r="AF261" s="1">
        <v>218600</v>
      </c>
      <c r="AG261" s="5">
        <f t="shared" si="96"/>
        <v>182166.66666666669</v>
      </c>
    </row>
    <row r="262" spans="1:33" s="1" customFormat="1" x14ac:dyDescent="0.25">
      <c r="A262" s="49"/>
      <c r="B262" s="308" t="s">
        <v>1669</v>
      </c>
      <c r="C262" s="314" t="s">
        <v>312</v>
      </c>
      <c r="D262" s="309" t="s">
        <v>774</v>
      </c>
      <c r="E262" s="310"/>
      <c r="F262" s="310"/>
      <c r="G262" s="310" t="s">
        <v>61</v>
      </c>
      <c r="H262" s="310" t="s">
        <v>62</v>
      </c>
      <c r="I262" s="310">
        <v>2023</v>
      </c>
      <c r="J262" s="310"/>
      <c r="K262" s="310" t="s">
        <v>63</v>
      </c>
      <c r="L262" s="310" t="s">
        <v>64</v>
      </c>
      <c r="M262" s="310">
        <v>1</v>
      </c>
      <c r="N262" s="311">
        <f t="shared" si="94"/>
        <v>2186000</v>
      </c>
      <c r="O262" s="311">
        <v>2186000</v>
      </c>
      <c r="P262" s="310"/>
      <c r="Q262" s="310"/>
      <c r="R262" s="310"/>
      <c r="S262" s="311">
        <f t="shared" si="81"/>
        <v>2186000</v>
      </c>
      <c r="T262" s="310">
        <v>5</v>
      </c>
      <c r="U262" s="311">
        <f t="shared" si="87"/>
        <v>437200</v>
      </c>
      <c r="V262" s="312">
        <f t="shared" si="95"/>
        <v>8.3333333333333329E-2</v>
      </c>
      <c r="W262" s="311">
        <f t="shared" si="91"/>
        <v>36433.333333333328</v>
      </c>
      <c r="X262" s="310"/>
      <c r="Y262" s="311"/>
      <c r="Z262" s="311">
        <f t="shared" si="89"/>
        <v>36433.333333333328</v>
      </c>
      <c r="AA262" s="312">
        <f t="shared" si="93"/>
        <v>8.3333333333333329E-2</v>
      </c>
      <c r="AB262" s="311">
        <f t="shared" si="90"/>
        <v>36433.333333333328</v>
      </c>
      <c r="AC262" s="311">
        <f t="shared" si="85"/>
        <v>2149566.6666666665</v>
      </c>
      <c r="AD262" s="313"/>
      <c r="AE262" s="313"/>
      <c r="AF262" s="1">
        <v>218600</v>
      </c>
      <c r="AG262" s="5">
        <f t="shared" si="96"/>
        <v>182166.66666666669</v>
      </c>
    </row>
    <row r="263" spans="1:33" s="1" customFormat="1" x14ac:dyDescent="0.25">
      <c r="A263" s="49"/>
      <c r="B263" s="308" t="s">
        <v>1669</v>
      </c>
      <c r="C263" s="314" t="s">
        <v>313</v>
      </c>
      <c r="D263" s="309" t="s">
        <v>774</v>
      </c>
      <c r="E263" s="310"/>
      <c r="F263" s="310"/>
      <c r="G263" s="310" t="s">
        <v>61</v>
      </c>
      <c r="H263" s="310" t="s">
        <v>62</v>
      </c>
      <c r="I263" s="310">
        <v>2023</v>
      </c>
      <c r="J263" s="310"/>
      <c r="K263" s="310" t="s">
        <v>63</v>
      </c>
      <c r="L263" s="310" t="s">
        <v>64</v>
      </c>
      <c r="M263" s="310">
        <v>1</v>
      </c>
      <c r="N263" s="311">
        <f t="shared" si="94"/>
        <v>2186000</v>
      </c>
      <c r="O263" s="311">
        <v>2186000</v>
      </c>
      <c r="P263" s="310"/>
      <c r="Q263" s="310"/>
      <c r="R263" s="310"/>
      <c r="S263" s="311">
        <f t="shared" si="81"/>
        <v>2186000</v>
      </c>
      <c r="T263" s="310">
        <v>5</v>
      </c>
      <c r="U263" s="311">
        <f t="shared" si="87"/>
        <v>437200</v>
      </c>
      <c r="V263" s="312">
        <f t="shared" si="95"/>
        <v>8.3333333333333329E-2</v>
      </c>
      <c r="W263" s="311">
        <f t="shared" si="91"/>
        <v>36433.333333333328</v>
      </c>
      <c r="X263" s="310"/>
      <c r="Y263" s="311"/>
      <c r="Z263" s="311">
        <f t="shared" si="89"/>
        <v>36433.333333333328</v>
      </c>
      <c r="AA263" s="312">
        <f t="shared" si="93"/>
        <v>8.3333333333333329E-2</v>
      </c>
      <c r="AB263" s="311">
        <f t="shared" si="90"/>
        <v>36433.333333333328</v>
      </c>
      <c r="AC263" s="311">
        <f t="shared" si="85"/>
        <v>2149566.6666666665</v>
      </c>
      <c r="AD263" s="313"/>
      <c r="AE263" s="313"/>
      <c r="AF263" s="1">
        <v>218600</v>
      </c>
      <c r="AG263" s="5">
        <f t="shared" si="96"/>
        <v>182166.66666666669</v>
      </c>
    </row>
    <row r="264" spans="1:33" s="1" customFormat="1" x14ac:dyDescent="0.25">
      <c r="A264" s="49"/>
      <c r="B264" s="308" t="s">
        <v>1669</v>
      </c>
      <c r="C264" s="314" t="s">
        <v>559</v>
      </c>
      <c r="D264" s="309" t="s">
        <v>774</v>
      </c>
      <c r="E264" s="310"/>
      <c r="F264" s="310"/>
      <c r="G264" s="310" t="s">
        <v>61</v>
      </c>
      <c r="H264" s="310" t="s">
        <v>62</v>
      </c>
      <c r="I264" s="310">
        <v>2023</v>
      </c>
      <c r="J264" s="310"/>
      <c r="K264" s="310" t="s">
        <v>63</v>
      </c>
      <c r="L264" s="310" t="s">
        <v>64</v>
      </c>
      <c r="M264" s="310">
        <v>1</v>
      </c>
      <c r="N264" s="311">
        <f t="shared" si="94"/>
        <v>2186000</v>
      </c>
      <c r="O264" s="311">
        <v>2186000</v>
      </c>
      <c r="P264" s="310"/>
      <c r="Q264" s="310"/>
      <c r="R264" s="310"/>
      <c r="S264" s="311">
        <f t="shared" si="81"/>
        <v>2186000</v>
      </c>
      <c r="T264" s="310">
        <v>5</v>
      </c>
      <c r="U264" s="311">
        <f t="shared" si="87"/>
        <v>437200</v>
      </c>
      <c r="V264" s="312">
        <f t="shared" si="95"/>
        <v>8.3333333333333329E-2</v>
      </c>
      <c r="W264" s="311">
        <f t="shared" si="91"/>
        <v>36433.333333333328</v>
      </c>
      <c r="X264" s="310"/>
      <c r="Y264" s="311"/>
      <c r="Z264" s="311">
        <f t="shared" si="89"/>
        <v>36433.333333333328</v>
      </c>
      <c r="AA264" s="312">
        <f t="shared" si="93"/>
        <v>8.3333333333333329E-2</v>
      </c>
      <c r="AB264" s="311">
        <f t="shared" si="90"/>
        <v>36433.333333333328</v>
      </c>
      <c r="AC264" s="311">
        <f t="shared" si="85"/>
        <v>2149566.6666666665</v>
      </c>
      <c r="AD264" s="313"/>
      <c r="AE264" s="313"/>
      <c r="AF264" s="1">
        <v>218600</v>
      </c>
      <c r="AG264" s="5">
        <f t="shared" si="96"/>
        <v>182166.66666666669</v>
      </c>
    </row>
    <row r="265" spans="1:33" s="1" customFormat="1" x14ac:dyDescent="0.25">
      <c r="A265" s="49"/>
      <c r="B265" s="308" t="s">
        <v>1669</v>
      </c>
      <c r="C265" s="314" t="s">
        <v>561</v>
      </c>
      <c r="D265" s="309" t="s">
        <v>774</v>
      </c>
      <c r="E265" s="310"/>
      <c r="F265" s="310"/>
      <c r="G265" s="310" t="s">
        <v>61</v>
      </c>
      <c r="H265" s="310" t="s">
        <v>62</v>
      </c>
      <c r="I265" s="310">
        <v>2023</v>
      </c>
      <c r="J265" s="310"/>
      <c r="K265" s="310" t="s">
        <v>63</v>
      </c>
      <c r="L265" s="310" t="s">
        <v>64</v>
      </c>
      <c r="M265" s="310">
        <v>1</v>
      </c>
      <c r="N265" s="311">
        <f t="shared" si="94"/>
        <v>2186000</v>
      </c>
      <c r="O265" s="311">
        <v>2186000</v>
      </c>
      <c r="P265" s="310"/>
      <c r="Q265" s="310"/>
      <c r="R265" s="310"/>
      <c r="S265" s="311">
        <f t="shared" si="81"/>
        <v>2186000</v>
      </c>
      <c r="T265" s="310">
        <v>5</v>
      </c>
      <c r="U265" s="311">
        <f t="shared" si="87"/>
        <v>437200</v>
      </c>
      <c r="V265" s="312">
        <f t="shared" si="95"/>
        <v>8.3333333333333329E-2</v>
      </c>
      <c r="W265" s="311">
        <f t="shared" si="91"/>
        <v>36433.333333333328</v>
      </c>
      <c r="X265" s="310"/>
      <c r="Y265" s="311"/>
      <c r="Z265" s="311">
        <f t="shared" si="89"/>
        <v>36433.333333333328</v>
      </c>
      <c r="AA265" s="312">
        <f t="shared" si="93"/>
        <v>8.3333333333333329E-2</v>
      </c>
      <c r="AB265" s="311">
        <f t="shared" si="90"/>
        <v>36433.333333333328</v>
      </c>
      <c r="AC265" s="311">
        <f t="shared" si="85"/>
        <v>2149566.6666666665</v>
      </c>
      <c r="AD265" s="313"/>
      <c r="AE265" s="313"/>
      <c r="AF265" s="1">
        <v>218600</v>
      </c>
      <c r="AG265" s="5">
        <f t="shared" si="96"/>
        <v>182166.66666666669</v>
      </c>
    </row>
    <row r="266" spans="1:33" s="1" customFormat="1" x14ac:dyDescent="0.25">
      <c r="A266" s="49"/>
      <c r="B266" s="308" t="s">
        <v>1669</v>
      </c>
      <c r="C266" s="314" t="s">
        <v>563</v>
      </c>
      <c r="D266" s="309" t="s">
        <v>774</v>
      </c>
      <c r="E266" s="310"/>
      <c r="F266" s="310"/>
      <c r="G266" s="310" t="s">
        <v>61</v>
      </c>
      <c r="H266" s="310" t="s">
        <v>62</v>
      </c>
      <c r="I266" s="310">
        <v>2023</v>
      </c>
      <c r="J266" s="310"/>
      <c r="K266" s="310" t="s">
        <v>63</v>
      </c>
      <c r="L266" s="310" t="s">
        <v>64</v>
      </c>
      <c r="M266" s="310">
        <v>1</v>
      </c>
      <c r="N266" s="311">
        <f t="shared" si="94"/>
        <v>2186000</v>
      </c>
      <c r="O266" s="311">
        <v>2186000</v>
      </c>
      <c r="P266" s="310"/>
      <c r="Q266" s="310"/>
      <c r="R266" s="310"/>
      <c r="S266" s="311">
        <f t="shared" si="81"/>
        <v>2186000</v>
      </c>
      <c r="T266" s="310">
        <v>5</v>
      </c>
      <c r="U266" s="311">
        <f t="shared" si="87"/>
        <v>437200</v>
      </c>
      <c r="V266" s="312">
        <f t="shared" si="95"/>
        <v>8.3333333333333329E-2</v>
      </c>
      <c r="W266" s="311">
        <f t="shared" si="91"/>
        <v>36433.333333333328</v>
      </c>
      <c r="X266" s="310"/>
      <c r="Y266" s="311"/>
      <c r="Z266" s="311">
        <f t="shared" si="89"/>
        <v>36433.333333333328</v>
      </c>
      <c r="AA266" s="312">
        <f t="shared" si="93"/>
        <v>8.3333333333333329E-2</v>
      </c>
      <c r="AB266" s="311">
        <f t="shared" si="90"/>
        <v>36433.333333333328</v>
      </c>
      <c r="AC266" s="311">
        <f t="shared" si="85"/>
        <v>2149566.6666666665</v>
      </c>
      <c r="AD266" s="313"/>
      <c r="AE266" s="313"/>
      <c r="AF266" s="1">
        <v>218600</v>
      </c>
      <c r="AG266" s="5">
        <f t="shared" si="96"/>
        <v>182166.66666666669</v>
      </c>
    </row>
    <row r="267" spans="1:33" s="1" customFormat="1" x14ac:dyDescent="0.25">
      <c r="A267" s="49"/>
      <c r="B267" s="308" t="s">
        <v>1669</v>
      </c>
      <c r="C267" s="314" t="s">
        <v>227</v>
      </c>
      <c r="D267" s="309" t="s">
        <v>774</v>
      </c>
      <c r="E267" s="310"/>
      <c r="F267" s="310"/>
      <c r="G267" s="310" t="s">
        <v>61</v>
      </c>
      <c r="H267" s="310" t="s">
        <v>62</v>
      </c>
      <c r="I267" s="310">
        <v>2023</v>
      </c>
      <c r="J267" s="310"/>
      <c r="K267" s="310" t="s">
        <v>63</v>
      </c>
      <c r="L267" s="310" t="s">
        <v>64</v>
      </c>
      <c r="M267" s="310">
        <v>1</v>
      </c>
      <c r="N267" s="311">
        <f t="shared" si="94"/>
        <v>2186000</v>
      </c>
      <c r="O267" s="311">
        <v>2186000</v>
      </c>
      <c r="P267" s="310"/>
      <c r="Q267" s="310"/>
      <c r="R267" s="310"/>
      <c r="S267" s="311">
        <f t="shared" si="81"/>
        <v>2186000</v>
      </c>
      <c r="T267" s="310">
        <v>5</v>
      </c>
      <c r="U267" s="311">
        <f t="shared" si="87"/>
        <v>437200</v>
      </c>
      <c r="V267" s="312">
        <f t="shared" si="95"/>
        <v>8.3333333333333329E-2</v>
      </c>
      <c r="W267" s="311">
        <f t="shared" si="91"/>
        <v>36433.333333333328</v>
      </c>
      <c r="X267" s="310"/>
      <c r="Y267" s="311"/>
      <c r="Z267" s="311">
        <f t="shared" si="89"/>
        <v>36433.333333333328</v>
      </c>
      <c r="AA267" s="312">
        <f t="shared" si="93"/>
        <v>8.3333333333333329E-2</v>
      </c>
      <c r="AB267" s="311">
        <f t="shared" si="90"/>
        <v>36433.333333333328</v>
      </c>
      <c r="AC267" s="311">
        <f t="shared" si="85"/>
        <v>2149566.6666666665</v>
      </c>
      <c r="AD267" s="313"/>
      <c r="AE267" s="313"/>
      <c r="AF267" s="1">
        <v>218600</v>
      </c>
      <c r="AG267" s="5">
        <f t="shared" si="96"/>
        <v>182166.66666666669</v>
      </c>
    </row>
    <row r="268" spans="1:33" s="1" customFormat="1" x14ac:dyDescent="0.25">
      <c r="A268" s="49"/>
      <c r="B268" s="308" t="s">
        <v>1669</v>
      </c>
      <c r="C268" s="314" t="s">
        <v>230</v>
      </c>
      <c r="D268" s="309" t="s">
        <v>774</v>
      </c>
      <c r="E268" s="310"/>
      <c r="F268" s="310"/>
      <c r="G268" s="310" t="s">
        <v>61</v>
      </c>
      <c r="H268" s="310" t="s">
        <v>62</v>
      </c>
      <c r="I268" s="310">
        <v>2023</v>
      </c>
      <c r="J268" s="310"/>
      <c r="K268" s="310" t="s">
        <v>63</v>
      </c>
      <c r="L268" s="310" t="s">
        <v>64</v>
      </c>
      <c r="M268" s="310">
        <v>1</v>
      </c>
      <c r="N268" s="311">
        <f t="shared" si="94"/>
        <v>2186000</v>
      </c>
      <c r="O268" s="311">
        <v>2186000</v>
      </c>
      <c r="P268" s="310"/>
      <c r="Q268" s="310"/>
      <c r="R268" s="310"/>
      <c r="S268" s="311">
        <f t="shared" si="81"/>
        <v>2186000</v>
      </c>
      <c r="T268" s="310">
        <v>5</v>
      </c>
      <c r="U268" s="311">
        <f t="shared" si="87"/>
        <v>437200</v>
      </c>
      <c r="V268" s="312">
        <f t="shared" si="95"/>
        <v>8.3333333333333329E-2</v>
      </c>
      <c r="W268" s="311">
        <f t="shared" si="91"/>
        <v>36433.333333333328</v>
      </c>
      <c r="X268" s="310"/>
      <c r="Y268" s="311"/>
      <c r="Z268" s="311">
        <f t="shared" si="89"/>
        <v>36433.333333333328</v>
      </c>
      <c r="AA268" s="312">
        <f t="shared" si="93"/>
        <v>8.3333333333333329E-2</v>
      </c>
      <c r="AB268" s="311">
        <f t="shared" si="90"/>
        <v>36433.333333333328</v>
      </c>
      <c r="AC268" s="311">
        <f t="shared" si="85"/>
        <v>2149566.6666666665</v>
      </c>
      <c r="AD268" s="313"/>
      <c r="AE268" s="313"/>
      <c r="AF268" s="1">
        <v>218600</v>
      </c>
      <c r="AG268" s="5">
        <f t="shared" si="96"/>
        <v>182166.66666666669</v>
      </c>
    </row>
    <row r="269" spans="1:33" s="1" customFormat="1" x14ac:dyDescent="0.25">
      <c r="A269" s="49"/>
      <c r="B269" s="308" t="s">
        <v>1669</v>
      </c>
      <c r="C269" s="314" t="s">
        <v>232</v>
      </c>
      <c r="D269" s="309" t="s">
        <v>774</v>
      </c>
      <c r="E269" s="310"/>
      <c r="F269" s="310"/>
      <c r="G269" s="310" t="s">
        <v>61</v>
      </c>
      <c r="H269" s="310" t="s">
        <v>62</v>
      </c>
      <c r="I269" s="310">
        <v>2023</v>
      </c>
      <c r="J269" s="310"/>
      <c r="K269" s="310" t="s">
        <v>63</v>
      </c>
      <c r="L269" s="310" t="s">
        <v>64</v>
      </c>
      <c r="M269" s="310">
        <v>1</v>
      </c>
      <c r="N269" s="311">
        <f t="shared" si="94"/>
        <v>2186000</v>
      </c>
      <c r="O269" s="311">
        <v>2186000</v>
      </c>
      <c r="P269" s="310"/>
      <c r="Q269" s="310"/>
      <c r="R269" s="310"/>
      <c r="S269" s="311">
        <f t="shared" si="81"/>
        <v>2186000</v>
      </c>
      <c r="T269" s="310">
        <v>5</v>
      </c>
      <c r="U269" s="311">
        <f t="shared" si="87"/>
        <v>437200</v>
      </c>
      <c r="V269" s="312">
        <f t="shared" si="95"/>
        <v>8.3333333333333329E-2</v>
      </c>
      <c r="W269" s="311">
        <f t="shared" si="91"/>
        <v>36433.333333333328</v>
      </c>
      <c r="X269" s="310"/>
      <c r="Y269" s="311"/>
      <c r="Z269" s="311">
        <f t="shared" si="89"/>
        <v>36433.333333333328</v>
      </c>
      <c r="AA269" s="312">
        <f t="shared" si="93"/>
        <v>8.3333333333333329E-2</v>
      </c>
      <c r="AB269" s="311">
        <f t="shared" si="90"/>
        <v>36433.333333333328</v>
      </c>
      <c r="AC269" s="311">
        <f t="shared" si="85"/>
        <v>2149566.6666666665</v>
      </c>
      <c r="AD269" s="313"/>
      <c r="AE269" s="313"/>
      <c r="AF269" s="1">
        <v>218600</v>
      </c>
      <c r="AG269" s="5">
        <f t="shared" si="96"/>
        <v>182166.66666666669</v>
      </c>
    </row>
    <row r="270" spans="1:33" s="1" customFormat="1" x14ac:dyDescent="0.25">
      <c r="A270" s="49"/>
      <c r="B270" s="308" t="s">
        <v>1669</v>
      </c>
      <c r="C270" s="314" t="s">
        <v>234</v>
      </c>
      <c r="D270" s="309" t="s">
        <v>774</v>
      </c>
      <c r="E270" s="310"/>
      <c r="F270" s="310"/>
      <c r="G270" s="310" t="s">
        <v>61</v>
      </c>
      <c r="H270" s="310" t="s">
        <v>62</v>
      </c>
      <c r="I270" s="310">
        <v>2023</v>
      </c>
      <c r="J270" s="310"/>
      <c r="K270" s="310" t="s">
        <v>63</v>
      </c>
      <c r="L270" s="310" t="s">
        <v>64</v>
      </c>
      <c r="M270" s="310">
        <v>1</v>
      </c>
      <c r="N270" s="311">
        <f t="shared" si="94"/>
        <v>2186000</v>
      </c>
      <c r="O270" s="311">
        <v>2186000</v>
      </c>
      <c r="P270" s="310"/>
      <c r="Q270" s="310"/>
      <c r="R270" s="310"/>
      <c r="S270" s="311">
        <f t="shared" si="81"/>
        <v>2186000</v>
      </c>
      <c r="T270" s="310">
        <v>5</v>
      </c>
      <c r="U270" s="311">
        <f t="shared" si="87"/>
        <v>437200</v>
      </c>
      <c r="V270" s="312">
        <f t="shared" si="95"/>
        <v>8.3333333333333329E-2</v>
      </c>
      <c r="W270" s="311">
        <f t="shared" si="91"/>
        <v>36433.333333333328</v>
      </c>
      <c r="X270" s="310"/>
      <c r="Y270" s="311"/>
      <c r="Z270" s="311">
        <f t="shared" si="89"/>
        <v>36433.333333333328</v>
      </c>
      <c r="AA270" s="312">
        <f t="shared" si="93"/>
        <v>8.3333333333333329E-2</v>
      </c>
      <c r="AB270" s="311">
        <f t="shared" si="90"/>
        <v>36433.333333333328</v>
      </c>
      <c r="AC270" s="311">
        <f t="shared" si="85"/>
        <v>2149566.6666666665</v>
      </c>
      <c r="AD270" s="313"/>
      <c r="AE270" s="313"/>
      <c r="AF270" s="1">
        <v>218600</v>
      </c>
      <c r="AG270" s="5">
        <f t="shared" si="96"/>
        <v>182166.66666666669</v>
      </c>
    </row>
    <row r="271" spans="1:33" s="1" customFormat="1" x14ac:dyDescent="0.25">
      <c r="A271" s="49"/>
      <c r="B271" s="308" t="s">
        <v>1669</v>
      </c>
      <c r="C271" s="314" t="s">
        <v>236</v>
      </c>
      <c r="D271" s="309" t="s">
        <v>774</v>
      </c>
      <c r="E271" s="310"/>
      <c r="F271" s="310"/>
      <c r="G271" s="310" t="s">
        <v>61</v>
      </c>
      <c r="H271" s="310" t="s">
        <v>62</v>
      </c>
      <c r="I271" s="310">
        <v>2023</v>
      </c>
      <c r="J271" s="310"/>
      <c r="K271" s="310" t="s">
        <v>63</v>
      </c>
      <c r="L271" s="310" t="s">
        <v>64</v>
      </c>
      <c r="M271" s="310">
        <v>1</v>
      </c>
      <c r="N271" s="311">
        <f t="shared" si="94"/>
        <v>2186000</v>
      </c>
      <c r="O271" s="311">
        <v>2186000</v>
      </c>
      <c r="P271" s="310"/>
      <c r="Q271" s="310"/>
      <c r="R271" s="310"/>
      <c r="S271" s="311">
        <f t="shared" ref="S271:S334" si="97">SUM(O271-R271)</f>
        <v>2186000</v>
      </c>
      <c r="T271" s="310">
        <v>5</v>
      </c>
      <c r="U271" s="311">
        <f t="shared" si="87"/>
        <v>437200</v>
      </c>
      <c r="V271" s="312">
        <f t="shared" si="95"/>
        <v>8.3333333333333329E-2</v>
      </c>
      <c r="W271" s="311">
        <f t="shared" si="91"/>
        <v>36433.333333333328</v>
      </c>
      <c r="X271" s="310"/>
      <c r="Y271" s="311"/>
      <c r="Z271" s="311">
        <f t="shared" si="89"/>
        <v>36433.333333333328</v>
      </c>
      <c r="AA271" s="312">
        <f t="shared" si="93"/>
        <v>8.3333333333333329E-2</v>
      </c>
      <c r="AB271" s="311">
        <f t="shared" si="90"/>
        <v>36433.333333333328</v>
      </c>
      <c r="AC271" s="311">
        <f t="shared" ref="AC271:AC334" si="98">SUM(O271-AB271)</f>
        <v>2149566.6666666665</v>
      </c>
      <c r="AD271" s="313"/>
      <c r="AE271" s="313"/>
      <c r="AF271" s="1">
        <v>218600</v>
      </c>
      <c r="AG271" s="5">
        <f t="shared" si="96"/>
        <v>182166.66666666669</v>
      </c>
    </row>
    <row r="272" spans="1:33" s="1" customFormat="1" x14ac:dyDescent="0.25">
      <c r="A272" s="49"/>
      <c r="B272" s="308" t="s">
        <v>1669</v>
      </c>
      <c r="C272" s="314" t="s">
        <v>238</v>
      </c>
      <c r="D272" s="309" t="s">
        <v>774</v>
      </c>
      <c r="E272" s="310"/>
      <c r="F272" s="310"/>
      <c r="G272" s="310" t="s">
        <v>61</v>
      </c>
      <c r="H272" s="310" t="s">
        <v>62</v>
      </c>
      <c r="I272" s="310">
        <v>2023</v>
      </c>
      <c r="J272" s="310"/>
      <c r="K272" s="310" t="s">
        <v>63</v>
      </c>
      <c r="L272" s="310" t="s">
        <v>64</v>
      </c>
      <c r="M272" s="310">
        <v>1</v>
      </c>
      <c r="N272" s="311">
        <f t="shared" si="94"/>
        <v>2186000</v>
      </c>
      <c r="O272" s="311">
        <v>2186000</v>
      </c>
      <c r="P272" s="310"/>
      <c r="Q272" s="310"/>
      <c r="R272" s="310"/>
      <c r="S272" s="311">
        <f t="shared" si="97"/>
        <v>2186000</v>
      </c>
      <c r="T272" s="310">
        <v>5</v>
      </c>
      <c r="U272" s="311">
        <f t="shared" si="87"/>
        <v>437200</v>
      </c>
      <c r="V272" s="312">
        <f t="shared" si="95"/>
        <v>8.3333333333333329E-2</v>
      </c>
      <c r="W272" s="311">
        <f t="shared" si="91"/>
        <v>36433.333333333328</v>
      </c>
      <c r="X272" s="310"/>
      <c r="Y272" s="311"/>
      <c r="Z272" s="311">
        <f t="shared" si="89"/>
        <v>36433.333333333328</v>
      </c>
      <c r="AA272" s="312">
        <f t="shared" si="93"/>
        <v>8.3333333333333329E-2</v>
      </c>
      <c r="AB272" s="311">
        <f t="shared" si="90"/>
        <v>36433.333333333328</v>
      </c>
      <c r="AC272" s="311">
        <f t="shared" si="98"/>
        <v>2149566.6666666665</v>
      </c>
      <c r="AD272" s="313"/>
      <c r="AE272" s="313"/>
      <c r="AF272" s="1">
        <v>218600</v>
      </c>
      <c r="AG272" s="5">
        <f t="shared" si="96"/>
        <v>182166.66666666669</v>
      </c>
    </row>
    <row r="273" spans="1:33" s="1" customFormat="1" x14ac:dyDescent="0.25">
      <c r="A273" s="49"/>
      <c r="B273" s="308" t="s">
        <v>1669</v>
      </c>
      <c r="C273" s="314" t="s">
        <v>240</v>
      </c>
      <c r="D273" s="309" t="s">
        <v>774</v>
      </c>
      <c r="E273" s="310"/>
      <c r="F273" s="310"/>
      <c r="G273" s="310" t="s">
        <v>61</v>
      </c>
      <c r="H273" s="310" t="s">
        <v>62</v>
      </c>
      <c r="I273" s="310">
        <v>2023</v>
      </c>
      <c r="J273" s="310"/>
      <c r="K273" s="310" t="s">
        <v>63</v>
      </c>
      <c r="L273" s="310" t="s">
        <v>64</v>
      </c>
      <c r="M273" s="310">
        <v>1</v>
      </c>
      <c r="N273" s="311">
        <f t="shared" si="94"/>
        <v>2186000</v>
      </c>
      <c r="O273" s="311">
        <v>2186000</v>
      </c>
      <c r="P273" s="310"/>
      <c r="Q273" s="310"/>
      <c r="R273" s="310"/>
      <c r="S273" s="311">
        <f t="shared" si="97"/>
        <v>2186000</v>
      </c>
      <c r="T273" s="310">
        <v>5</v>
      </c>
      <c r="U273" s="311">
        <f t="shared" si="87"/>
        <v>437200</v>
      </c>
      <c r="V273" s="312">
        <f t="shared" si="95"/>
        <v>8.3333333333333329E-2</v>
      </c>
      <c r="W273" s="311">
        <f t="shared" si="91"/>
        <v>36433.333333333328</v>
      </c>
      <c r="X273" s="310"/>
      <c r="Y273" s="311"/>
      <c r="Z273" s="311">
        <f t="shared" si="89"/>
        <v>36433.333333333328</v>
      </c>
      <c r="AA273" s="312">
        <f t="shared" si="93"/>
        <v>8.3333333333333329E-2</v>
      </c>
      <c r="AB273" s="311">
        <f t="shared" si="90"/>
        <v>36433.333333333328</v>
      </c>
      <c r="AC273" s="311">
        <f t="shared" si="98"/>
        <v>2149566.6666666665</v>
      </c>
      <c r="AD273" s="313"/>
      <c r="AE273" s="313"/>
      <c r="AF273" s="1">
        <v>218600</v>
      </c>
      <c r="AG273" s="5">
        <f t="shared" si="96"/>
        <v>182166.66666666669</v>
      </c>
    </row>
    <row r="274" spans="1:33" s="1" customFormat="1" x14ac:dyDescent="0.25">
      <c r="A274" s="49"/>
      <c r="B274" s="308" t="s">
        <v>1669</v>
      </c>
      <c r="C274" s="314" t="s">
        <v>242</v>
      </c>
      <c r="D274" s="309" t="s">
        <v>774</v>
      </c>
      <c r="E274" s="310"/>
      <c r="F274" s="310"/>
      <c r="G274" s="310" t="s">
        <v>61</v>
      </c>
      <c r="H274" s="310" t="s">
        <v>62</v>
      </c>
      <c r="I274" s="310">
        <v>2023</v>
      </c>
      <c r="J274" s="310"/>
      <c r="K274" s="310" t="s">
        <v>63</v>
      </c>
      <c r="L274" s="310" t="s">
        <v>64</v>
      </c>
      <c r="M274" s="310">
        <v>1</v>
      </c>
      <c r="N274" s="311">
        <f t="shared" si="94"/>
        <v>2186000</v>
      </c>
      <c r="O274" s="311">
        <v>2186000</v>
      </c>
      <c r="P274" s="310"/>
      <c r="Q274" s="310"/>
      <c r="R274" s="310"/>
      <c r="S274" s="311">
        <f t="shared" si="97"/>
        <v>2186000</v>
      </c>
      <c r="T274" s="310">
        <v>5</v>
      </c>
      <c r="U274" s="311">
        <f t="shared" si="87"/>
        <v>437200</v>
      </c>
      <c r="V274" s="312">
        <f t="shared" si="95"/>
        <v>8.3333333333333329E-2</v>
      </c>
      <c r="W274" s="311">
        <f t="shared" si="91"/>
        <v>36433.333333333328</v>
      </c>
      <c r="X274" s="310"/>
      <c r="Y274" s="311"/>
      <c r="Z274" s="311">
        <f t="shared" si="89"/>
        <v>36433.333333333328</v>
      </c>
      <c r="AA274" s="312">
        <f t="shared" si="93"/>
        <v>8.3333333333333329E-2</v>
      </c>
      <c r="AB274" s="311">
        <f t="shared" si="90"/>
        <v>36433.333333333328</v>
      </c>
      <c r="AC274" s="311">
        <f t="shared" si="98"/>
        <v>2149566.6666666665</v>
      </c>
      <c r="AD274" s="313"/>
      <c r="AE274" s="313"/>
      <c r="AF274" s="1">
        <v>218600</v>
      </c>
      <c r="AG274" s="5">
        <f t="shared" si="96"/>
        <v>182166.66666666669</v>
      </c>
    </row>
    <row r="275" spans="1:33" s="1" customFormat="1" x14ac:dyDescent="0.25">
      <c r="A275" s="49"/>
      <c r="B275" s="308" t="s">
        <v>1669</v>
      </c>
      <c r="C275" s="314" t="s">
        <v>244</v>
      </c>
      <c r="D275" s="309" t="s">
        <v>774</v>
      </c>
      <c r="E275" s="310"/>
      <c r="F275" s="310"/>
      <c r="G275" s="310" t="s">
        <v>61</v>
      </c>
      <c r="H275" s="310" t="s">
        <v>62</v>
      </c>
      <c r="I275" s="310">
        <v>2023</v>
      </c>
      <c r="J275" s="310"/>
      <c r="K275" s="310" t="s">
        <v>63</v>
      </c>
      <c r="L275" s="310" t="s">
        <v>64</v>
      </c>
      <c r="M275" s="310">
        <v>1</v>
      </c>
      <c r="N275" s="311">
        <f t="shared" si="94"/>
        <v>2186000</v>
      </c>
      <c r="O275" s="311">
        <v>2186000</v>
      </c>
      <c r="P275" s="310"/>
      <c r="Q275" s="310"/>
      <c r="R275" s="310"/>
      <c r="S275" s="311">
        <f t="shared" si="97"/>
        <v>2186000</v>
      </c>
      <c r="T275" s="310">
        <v>5</v>
      </c>
      <c r="U275" s="311">
        <f t="shared" si="87"/>
        <v>437200</v>
      </c>
      <c r="V275" s="312">
        <f t="shared" si="95"/>
        <v>8.3333333333333329E-2</v>
      </c>
      <c r="W275" s="311">
        <f t="shared" si="91"/>
        <v>36433.333333333328</v>
      </c>
      <c r="X275" s="310"/>
      <c r="Y275" s="311"/>
      <c r="Z275" s="311">
        <f t="shared" si="89"/>
        <v>36433.333333333328</v>
      </c>
      <c r="AA275" s="312">
        <f t="shared" si="93"/>
        <v>8.3333333333333329E-2</v>
      </c>
      <c r="AB275" s="311">
        <f t="shared" si="90"/>
        <v>36433.333333333328</v>
      </c>
      <c r="AC275" s="311">
        <f t="shared" si="98"/>
        <v>2149566.6666666665</v>
      </c>
      <c r="AD275" s="313"/>
      <c r="AE275" s="313"/>
      <c r="AF275" s="1">
        <v>218600</v>
      </c>
      <c r="AG275" s="5">
        <f t="shared" si="96"/>
        <v>182166.66666666669</v>
      </c>
    </row>
    <row r="276" spans="1:33" s="1" customFormat="1" x14ac:dyDescent="0.25">
      <c r="A276" s="49"/>
      <c r="B276" s="308" t="s">
        <v>1669</v>
      </c>
      <c r="C276" s="314" t="s">
        <v>246</v>
      </c>
      <c r="D276" s="309" t="s">
        <v>774</v>
      </c>
      <c r="E276" s="310"/>
      <c r="F276" s="310"/>
      <c r="G276" s="310" t="s">
        <v>61</v>
      </c>
      <c r="H276" s="310" t="s">
        <v>62</v>
      </c>
      <c r="I276" s="310">
        <v>2023</v>
      </c>
      <c r="J276" s="310"/>
      <c r="K276" s="310" t="s">
        <v>63</v>
      </c>
      <c r="L276" s="310" t="s">
        <v>64</v>
      </c>
      <c r="M276" s="310">
        <v>1</v>
      </c>
      <c r="N276" s="311">
        <f t="shared" si="94"/>
        <v>2186000</v>
      </c>
      <c r="O276" s="311">
        <v>2186000</v>
      </c>
      <c r="P276" s="310"/>
      <c r="Q276" s="310"/>
      <c r="R276" s="310"/>
      <c r="S276" s="311">
        <f t="shared" si="97"/>
        <v>2186000</v>
      </c>
      <c r="T276" s="310">
        <v>5</v>
      </c>
      <c r="U276" s="311">
        <f t="shared" si="87"/>
        <v>437200</v>
      </c>
      <c r="V276" s="312">
        <f t="shared" si="95"/>
        <v>8.3333333333333329E-2</v>
      </c>
      <c r="W276" s="311">
        <f t="shared" si="91"/>
        <v>36433.333333333328</v>
      </c>
      <c r="X276" s="310"/>
      <c r="Y276" s="311"/>
      <c r="Z276" s="311">
        <f t="shared" si="89"/>
        <v>36433.333333333328</v>
      </c>
      <c r="AA276" s="312">
        <f t="shared" si="93"/>
        <v>8.3333333333333329E-2</v>
      </c>
      <c r="AB276" s="311">
        <f t="shared" si="90"/>
        <v>36433.333333333328</v>
      </c>
      <c r="AC276" s="311">
        <f t="shared" si="98"/>
        <v>2149566.6666666665</v>
      </c>
      <c r="AD276" s="313"/>
      <c r="AE276" s="313"/>
      <c r="AF276" s="1">
        <v>218600</v>
      </c>
      <c r="AG276" s="5">
        <f t="shared" si="96"/>
        <v>182166.66666666669</v>
      </c>
    </row>
    <row r="277" spans="1:33" s="1" customFormat="1" x14ac:dyDescent="0.25">
      <c r="A277" s="49"/>
      <c r="B277" s="22" t="s">
        <v>1669</v>
      </c>
      <c r="C277" s="73"/>
      <c r="D277" s="51" t="s">
        <v>780</v>
      </c>
      <c r="E277" s="52"/>
      <c r="F277" s="52"/>
      <c r="G277" s="52" t="s">
        <v>61</v>
      </c>
      <c r="H277" s="52" t="s">
        <v>62</v>
      </c>
      <c r="I277" s="52">
        <v>2022</v>
      </c>
      <c r="J277" s="52"/>
      <c r="K277" s="52" t="s">
        <v>63</v>
      </c>
      <c r="L277" s="52" t="s">
        <v>64</v>
      </c>
      <c r="M277" s="52">
        <v>1</v>
      </c>
      <c r="N277" s="53">
        <f t="shared" si="94"/>
        <v>1252250</v>
      </c>
      <c r="O277" s="53">
        <v>1252250</v>
      </c>
      <c r="P277" s="52"/>
      <c r="Q277" s="52"/>
      <c r="R277" s="52"/>
      <c r="S277" s="53">
        <f t="shared" si="97"/>
        <v>1252250</v>
      </c>
      <c r="T277" s="52">
        <v>5</v>
      </c>
      <c r="U277" s="53">
        <f t="shared" si="87"/>
        <v>250450</v>
      </c>
      <c r="V277" s="52">
        <v>0.5</v>
      </c>
      <c r="W277" s="53">
        <f t="shared" si="91"/>
        <v>125225</v>
      </c>
      <c r="X277" s="24"/>
      <c r="Y277" s="41">
        <f t="shared" ref="Y277:Y303" si="99">SUM(U277*X277)</f>
        <v>0</v>
      </c>
      <c r="Z277" s="41">
        <f t="shared" ref="Z277:Z303" si="100">SUM(W277+Y277)</f>
        <v>125225</v>
      </c>
      <c r="AA277" s="24">
        <f>1/12+0.5</f>
        <v>0.58333333333333337</v>
      </c>
      <c r="AB277" s="41">
        <f t="shared" ref="AB277:AB278" si="101">SUM(U277*AA277)</f>
        <v>146095.83333333334</v>
      </c>
      <c r="AC277" s="41">
        <f t="shared" si="98"/>
        <v>1106154.1666666667</v>
      </c>
      <c r="AD277" s="70" t="s">
        <v>647</v>
      </c>
      <c r="AE277" s="70"/>
      <c r="AF277" s="1">
        <v>20870.833333333332</v>
      </c>
      <c r="AG277" s="5">
        <f t="shared" si="92"/>
        <v>0</v>
      </c>
    </row>
    <row r="278" spans="1:33" s="1" customFormat="1" x14ac:dyDescent="0.25">
      <c r="A278" s="49"/>
      <c r="B278" s="22" t="s">
        <v>1669</v>
      </c>
      <c r="C278" s="73"/>
      <c r="D278" s="51" t="s">
        <v>780</v>
      </c>
      <c r="E278" s="52"/>
      <c r="F278" s="52"/>
      <c r="G278" s="52" t="s">
        <v>61</v>
      </c>
      <c r="H278" s="52" t="s">
        <v>62</v>
      </c>
      <c r="I278" s="52">
        <v>2022</v>
      </c>
      <c r="J278" s="52"/>
      <c r="K278" s="52" t="s">
        <v>63</v>
      </c>
      <c r="L278" s="52" t="s">
        <v>64</v>
      </c>
      <c r="M278" s="52">
        <v>1</v>
      </c>
      <c r="N278" s="53">
        <f t="shared" si="94"/>
        <v>1252250</v>
      </c>
      <c r="O278" s="53">
        <v>1252250</v>
      </c>
      <c r="P278" s="52"/>
      <c r="Q278" s="52"/>
      <c r="R278" s="52"/>
      <c r="S278" s="53">
        <f t="shared" si="97"/>
        <v>1252250</v>
      </c>
      <c r="T278" s="52">
        <v>5</v>
      </c>
      <c r="U278" s="53">
        <f t="shared" si="87"/>
        <v>250450</v>
      </c>
      <c r="V278" s="52">
        <v>0.5</v>
      </c>
      <c r="W278" s="53">
        <f t="shared" si="91"/>
        <v>125225</v>
      </c>
      <c r="X278" s="24"/>
      <c r="Y278" s="41">
        <f t="shared" si="99"/>
        <v>0</v>
      </c>
      <c r="Z278" s="41">
        <f t="shared" si="100"/>
        <v>125225</v>
      </c>
      <c r="AA278" s="24">
        <f>1/12+0.5</f>
        <v>0.58333333333333337</v>
      </c>
      <c r="AB278" s="41">
        <f t="shared" si="101"/>
        <v>146095.83333333334</v>
      </c>
      <c r="AC278" s="41">
        <f t="shared" si="98"/>
        <v>1106154.1666666667</v>
      </c>
      <c r="AD278" s="70" t="s">
        <v>647</v>
      </c>
      <c r="AE278" s="70"/>
      <c r="AF278" s="1">
        <v>20870.833333333332</v>
      </c>
      <c r="AG278" s="5">
        <f t="shared" si="92"/>
        <v>0</v>
      </c>
    </row>
    <row r="279" spans="1:33" s="1" customFormat="1" x14ac:dyDescent="0.25">
      <c r="A279" s="49"/>
      <c r="B279" s="22" t="s">
        <v>1670</v>
      </c>
      <c r="C279" s="22" t="s">
        <v>327</v>
      </c>
      <c r="D279" s="51" t="s">
        <v>743</v>
      </c>
      <c r="E279" s="24" t="s">
        <v>166</v>
      </c>
      <c r="F279" s="24"/>
      <c r="G279" s="24" t="s">
        <v>319</v>
      </c>
      <c r="H279" s="24" t="s">
        <v>62</v>
      </c>
      <c r="I279" s="24">
        <v>2012</v>
      </c>
      <c r="J279" s="24"/>
      <c r="K279" s="24" t="s">
        <v>63</v>
      </c>
      <c r="L279" s="24" t="s">
        <v>64</v>
      </c>
      <c r="M279" s="24">
        <v>20</v>
      </c>
      <c r="N279" s="41">
        <f t="shared" si="94"/>
        <v>425000</v>
      </c>
      <c r="O279" s="41">
        <v>8500000</v>
      </c>
      <c r="P279" s="24"/>
      <c r="Q279" s="24"/>
      <c r="R279" s="24"/>
      <c r="S279" s="41">
        <f t="shared" si="97"/>
        <v>8500000</v>
      </c>
      <c r="T279" s="24">
        <v>5</v>
      </c>
      <c r="U279" s="41"/>
      <c r="V279" s="24">
        <v>0.5</v>
      </c>
      <c r="W279" s="41">
        <f t="shared" ref="W279:W299" si="102">SUM(U279*V279)</f>
        <v>0</v>
      </c>
      <c r="X279" s="24"/>
      <c r="Y279" s="41">
        <f t="shared" si="99"/>
        <v>0</v>
      </c>
      <c r="Z279" s="41">
        <f t="shared" si="100"/>
        <v>0</v>
      </c>
      <c r="AA279" s="24">
        <v>5</v>
      </c>
      <c r="AB279" s="41">
        <v>8500000</v>
      </c>
      <c r="AC279" s="41">
        <f t="shared" si="98"/>
        <v>0</v>
      </c>
      <c r="AD279" s="70" t="s">
        <v>744</v>
      </c>
      <c r="AE279" s="70"/>
      <c r="AF279" s="1">
        <v>8500000</v>
      </c>
      <c r="AG279" s="5">
        <f t="shared" si="92"/>
        <v>0</v>
      </c>
    </row>
    <row r="280" spans="1:33" s="1" customFormat="1" x14ac:dyDescent="0.25">
      <c r="A280" s="49"/>
      <c r="B280" s="22" t="s">
        <v>1670</v>
      </c>
      <c r="C280" s="22" t="s">
        <v>745</v>
      </c>
      <c r="D280" s="51" t="s">
        <v>743</v>
      </c>
      <c r="E280" s="24" t="s">
        <v>166</v>
      </c>
      <c r="F280" s="24"/>
      <c r="G280" s="24" t="s">
        <v>319</v>
      </c>
      <c r="H280" s="24" t="s">
        <v>62</v>
      </c>
      <c r="I280" s="24">
        <v>2012</v>
      </c>
      <c r="J280" s="24"/>
      <c r="K280" s="24" t="s">
        <v>63</v>
      </c>
      <c r="L280" s="24" t="s">
        <v>64</v>
      </c>
      <c r="M280" s="24">
        <v>80</v>
      </c>
      <c r="N280" s="41">
        <f t="shared" si="94"/>
        <v>425000</v>
      </c>
      <c r="O280" s="41">
        <v>34000000</v>
      </c>
      <c r="P280" s="24"/>
      <c r="Q280" s="24"/>
      <c r="R280" s="24"/>
      <c r="S280" s="41">
        <f t="shared" si="97"/>
        <v>34000000</v>
      </c>
      <c r="T280" s="24">
        <v>5</v>
      </c>
      <c r="U280" s="41"/>
      <c r="V280" s="24">
        <v>0.5</v>
      </c>
      <c r="W280" s="41">
        <f t="shared" si="102"/>
        <v>0</v>
      </c>
      <c r="X280" s="24"/>
      <c r="Y280" s="41">
        <f t="shared" si="99"/>
        <v>0</v>
      </c>
      <c r="Z280" s="41">
        <f t="shared" si="100"/>
        <v>0</v>
      </c>
      <c r="AA280" s="24">
        <v>5</v>
      </c>
      <c r="AB280" s="41">
        <v>34000000</v>
      </c>
      <c r="AC280" s="41">
        <f t="shared" si="98"/>
        <v>0</v>
      </c>
      <c r="AD280" s="70" t="s">
        <v>746</v>
      </c>
      <c r="AE280" s="70"/>
      <c r="AF280" s="1">
        <v>34000000</v>
      </c>
      <c r="AG280" s="5">
        <f t="shared" si="92"/>
        <v>0</v>
      </c>
    </row>
    <row r="281" spans="1:33" s="1" customFormat="1" x14ac:dyDescent="0.25">
      <c r="A281" s="49"/>
      <c r="B281" s="22" t="s">
        <v>1670</v>
      </c>
      <c r="C281" s="22" t="s">
        <v>747</v>
      </c>
      <c r="D281" s="51" t="s">
        <v>748</v>
      </c>
      <c r="E281" s="24" t="s">
        <v>749</v>
      </c>
      <c r="F281" s="24"/>
      <c r="G281" s="24" t="s">
        <v>319</v>
      </c>
      <c r="H281" s="24" t="s">
        <v>62</v>
      </c>
      <c r="I281" s="24">
        <v>2012</v>
      </c>
      <c r="J281" s="24"/>
      <c r="K281" s="24" t="s">
        <v>63</v>
      </c>
      <c r="L281" s="24" t="s">
        <v>64</v>
      </c>
      <c r="M281" s="24">
        <v>80</v>
      </c>
      <c r="N281" s="41">
        <f t="shared" si="94"/>
        <v>499400</v>
      </c>
      <c r="O281" s="41">
        <v>39952000</v>
      </c>
      <c r="P281" s="24"/>
      <c r="Q281" s="24"/>
      <c r="R281" s="24"/>
      <c r="S281" s="41">
        <f t="shared" si="97"/>
        <v>39952000</v>
      </c>
      <c r="T281" s="24">
        <v>5</v>
      </c>
      <c r="U281" s="41"/>
      <c r="V281" s="24">
        <v>0.5</v>
      </c>
      <c r="W281" s="41">
        <f t="shared" si="102"/>
        <v>0</v>
      </c>
      <c r="X281" s="24"/>
      <c r="Y281" s="41">
        <f t="shared" si="99"/>
        <v>0</v>
      </c>
      <c r="Z281" s="41">
        <f t="shared" si="100"/>
        <v>0</v>
      </c>
      <c r="AA281" s="24">
        <v>5</v>
      </c>
      <c r="AB281" s="41">
        <v>39952000</v>
      </c>
      <c r="AC281" s="41">
        <f t="shared" si="98"/>
        <v>0</v>
      </c>
      <c r="AD281" s="70" t="s">
        <v>750</v>
      </c>
      <c r="AE281" s="70"/>
      <c r="AF281" s="1">
        <v>39952000</v>
      </c>
      <c r="AG281" s="5">
        <f t="shared" si="92"/>
        <v>0</v>
      </c>
    </row>
    <row r="282" spans="1:33" s="1" customFormat="1" x14ac:dyDescent="0.25">
      <c r="A282" s="49"/>
      <c r="B282" s="22" t="s">
        <v>1670</v>
      </c>
      <c r="C282" s="22" t="s">
        <v>751</v>
      </c>
      <c r="D282" s="51" t="s">
        <v>748</v>
      </c>
      <c r="E282" s="24" t="s">
        <v>749</v>
      </c>
      <c r="F282" s="24"/>
      <c r="G282" s="24" t="s">
        <v>319</v>
      </c>
      <c r="H282" s="24" t="s">
        <v>62</v>
      </c>
      <c r="I282" s="24">
        <v>2012</v>
      </c>
      <c r="J282" s="24"/>
      <c r="K282" s="24" t="s">
        <v>63</v>
      </c>
      <c r="L282" s="24" t="s">
        <v>64</v>
      </c>
      <c r="M282" s="24">
        <v>20</v>
      </c>
      <c r="N282" s="41">
        <f t="shared" si="94"/>
        <v>499400</v>
      </c>
      <c r="O282" s="41">
        <v>9988000</v>
      </c>
      <c r="P282" s="24"/>
      <c r="Q282" s="24"/>
      <c r="R282" s="24"/>
      <c r="S282" s="41">
        <f t="shared" si="97"/>
        <v>9988000</v>
      </c>
      <c r="T282" s="24">
        <v>5</v>
      </c>
      <c r="U282" s="41"/>
      <c r="V282" s="24">
        <v>0.5</v>
      </c>
      <c r="W282" s="41">
        <f t="shared" si="102"/>
        <v>0</v>
      </c>
      <c r="X282" s="24"/>
      <c r="Y282" s="41">
        <f t="shared" si="99"/>
        <v>0</v>
      </c>
      <c r="Z282" s="41">
        <f t="shared" si="100"/>
        <v>0</v>
      </c>
      <c r="AA282" s="24">
        <v>5</v>
      </c>
      <c r="AB282" s="41">
        <v>9988000</v>
      </c>
      <c r="AC282" s="41">
        <f t="shared" si="98"/>
        <v>0</v>
      </c>
      <c r="AD282" s="70" t="s">
        <v>744</v>
      </c>
      <c r="AE282" s="70"/>
      <c r="AF282" s="1">
        <v>9988000</v>
      </c>
      <c r="AG282" s="5">
        <f t="shared" si="92"/>
        <v>0</v>
      </c>
    </row>
    <row r="283" spans="1:33" s="1" customFormat="1" x14ac:dyDescent="0.25">
      <c r="A283" s="49"/>
      <c r="B283" s="22" t="s">
        <v>1671</v>
      </c>
      <c r="C283" s="22" t="s">
        <v>726</v>
      </c>
      <c r="D283" s="51" t="s">
        <v>1038</v>
      </c>
      <c r="E283" s="24" t="s">
        <v>166</v>
      </c>
      <c r="F283" s="24"/>
      <c r="G283" s="24" t="s">
        <v>319</v>
      </c>
      <c r="H283" s="24" t="s">
        <v>62</v>
      </c>
      <c r="I283" s="24">
        <v>2003</v>
      </c>
      <c r="J283" s="24"/>
      <c r="K283" s="24" t="s">
        <v>63</v>
      </c>
      <c r="L283" s="24" t="s">
        <v>212</v>
      </c>
      <c r="M283" s="24">
        <v>40</v>
      </c>
      <c r="N283" s="41">
        <f t="shared" si="94"/>
        <v>300000</v>
      </c>
      <c r="O283" s="41">
        <v>12000000</v>
      </c>
      <c r="P283" s="24"/>
      <c r="Q283" s="24"/>
      <c r="R283" s="24"/>
      <c r="S283" s="41">
        <f t="shared" si="97"/>
        <v>12000000</v>
      </c>
      <c r="T283" s="24">
        <v>5</v>
      </c>
      <c r="U283" s="41"/>
      <c r="V283" s="24">
        <v>0.5</v>
      </c>
      <c r="W283" s="41">
        <f t="shared" si="102"/>
        <v>0</v>
      </c>
      <c r="X283" s="24"/>
      <c r="Y283" s="41">
        <f t="shared" si="99"/>
        <v>0</v>
      </c>
      <c r="Z283" s="41">
        <f t="shared" si="100"/>
        <v>0</v>
      </c>
      <c r="AA283" s="72">
        <v>5</v>
      </c>
      <c r="AB283" s="41">
        <v>12000000</v>
      </c>
      <c r="AC283" s="41">
        <f t="shared" si="98"/>
        <v>0</v>
      </c>
      <c r="AD283" s="70" t="s">
        <v>1039</v>
      </c>
      <c r="AE283" s="70"/>
      <c r="AF283" s="1">
        <v>12000000</v>
      </c>
      <c r="AG283" s="5">
        <f t="shared" si="92"/>
        <v>0</v>
      </c>
    </row>
    <row r="284" spans="1:33" s="1" customFormat="1" x14ac:dyDescent="0.25">
      <c r="A284" s="49"/>
      <c r="B284" s="22" t="s">
        <v>1671</v>
      </c>
      <c r="C284" s="22" t="s">
        <v>718</v>
      </c>
      <c r="D284" s="51" t="s">
        <v>1038</v>
      </c>
      <c r="E284" s="24" t="s">
        <v>166</v>
      </c>
      <c r="F284" s="24"/>
      <c r="G284" s="24" t="s">
        <v>319</v>
      </c>
      <c r="H284" s="24" t="s">
        <v>62</v>
      </c>
      <c r="I284" s="24">
        <v>2003</v>
      </c>
      <c r="J284" s="24"/>
      <c r="K284" s="24" t="s">
        <v>63</v>
      </c>
      <c r="L284" s="24" t="s">
        <v>212</v>
      </c>
      <c r="M284" s="24">
        <v>40</v>
      </c>
      <c r="N284" s="41">
        <f t="shared" si="94"/>
        <v>300000</v>
      </c>
      <c r="O284" s="41">
        <v>12000000</v>
      </c>
      <c r="P284" s="24"/>
      <c r="Q284" s="24"/>
      <c r="R284" s="24"/>
      <c r="S284" s="41">
        <f t="shared" si="97"/>
        <v>12000000</v>
      </c>
      <c r="T284" s="24">
        <v>5</v>
      </c>
      <c r="U284" s="41"/>
      <c r="V284" s="24">
        <v>0.5</v>
      </c>
      <c r="W284" s="41">
        <f t="shared" si="102"/>
        <v>0</v>
      </c>
      <c r="X284" s="24"/>
      <c r="Y284" s="41">
        <f t="shared" si="99"/>
        <v>0</v>
      </c>
      <c r="Z284" s="41">
        <f t="shared" si="100"/>
        <v>0</v>
      </c>
      <c r="AA284" s="72">
        <v>5</v>
      </c>
      <c r="AB284" s="41">
        <v>12000000</v>
      </c>
      <c r="AC284" s="41">
        <f t="shared" si="98"/>
        <v>0</v>
      </c>
      <c r="AD284" s="70" t="s">
        <v>612</v>
      </c>
      <c r="AE284" s="70"/>
      <c r="AF284" s="1">
        <v>12000000</v>
      </c>
      <c r="AG284" s="5">
        <f t="shared" si="92"/>
        <v>0</v>
      </c>
    </row>
    <row r="285" spans="1:33" s="1" customFormat="1" x14ac:dyDescent="0.25">
      <c r="A285" s="49"/>
      <c r="B285" s="22" t="s">
        <v>1671</v>
      </c>
      <c r="C285" s="22" t="s">
        <v>1040</v>
      </c>
      <c r="D285" s="51" t="s">
        <v>1038</v>
      </c>
      <c r="E285" s="24" t="s">
        <v>166</v>
      </c>
      <c r="F285" s="24"/>
      <c r="G285" s="24" t="s">
        <v>319</v>
      </c>
      <c r="H285" s="24" t="s">
        <v>62</v>
      </c>
      <c r="I285" s="24">
        <v>2008</v>
      </c>
      <c r="J285" s="24"/>
      <c r="K285" s="24" t="s">
        <v>63</v>
      </c>
      <c r="L285" s="24" t="s">
        <v>64</v>
      </c>
      <c r="M285" s="24">
        <v>4</v>
      </c>
      <c r="N285" s="41">
        <f t="shared" si="94"/>
        <v>1490000</v>
      </c>
      <c r="O285" s="41">
        <v>5960000</v>
      </c>
      <c r="P285" s="24"/>
      <c r="Q285" s="24"/>
      <c r="R285" s="24"/>
      <c r="S285" s="41">
        <f t="shared" si="97"/>
        <v>5960000</v>
      </c>
      <c r="T285" s="24">
        <v>5</v>
      </c>
      <c r="U285" s="41"/>
      <c r="V285" s="24">
        <v>0.5</v>
      </c>
      <c r="W285" s="41">
        <f t="shared" si="102"/>
        <v>0</v>
      </c>
      <c r="X285" s="24"/>
      <c r="Y285" s="41">
        <f t="shared" si="99"/>
        <v>0</v>
      </c>
      <c r="Z285" s="41">
        <f t="shared" si="100"/>
        <v>0</v>
      </c>
      <c r="AA285" s="72">
        <v>5</v>
      </c>
      <c r="AB285" s="41">
        <v>5960000</v>
      </c>
      <c r="AC285" s="41">
        <f t="shared" si="98"/>
        <v>0</v>
      </c>
      <c r="AD285" s="70" t="s">
        <v>772</v>
      </c>
      <c r="AE285" s="70"/>
      <c r="AF285" s="1">
        <v>5960000</v>
      </c>
      <c r="AG285" s="5">
        <f t="shared" si="92"/>
        <v>0</v>
      </c>
    </row>
    <row r="286" spans="1:33" s="1" customFormat="1" x14ac:dyDescent="0.25">
      <c r="A286" s="49"/>
      <c r="B286" s="22" t="s">
        <v>1671</v>
      </c>
      <c r="C286" s="22" t="s">
        <v>1041</v>
      </c>
      <c r="D286" s="51" t="s">
        <v>1038</v>
      </c>
      <c r="E286" s="24" t="s">
        <v>166</v>
      </c>
      <c r="F286" s="24"/>
      <c r="G286" s="24" t="s">
        <v>319</v>
      </c>
      <c r="H286" s="24" t="s">
        <v>62</v>
      </c>
      <c r="I286" s="24">
        <v>2008</v>
      </c>
      <c r="J286" s="24"/>
      <c r="K286" s="24" t="s">
        <v>63</v>
      </c>
      <c r="L286" s="24" t="s">
        <v>64</v>
      </c>
      <c r="M286" s="24">
        <v>4</v>
      </c>
      <c r="N286" s="41">
        <f t="shared" si="94"/>
        <v>1490000</v>
      </c>
      <c r="O286" s="41">
        <v>5960000</v>
      </c>
      <c r="P286" s="24"/>
      <c r="Q286" s="24"/>
      <c r="R286" s="24"/>
      <c r="S286" s="41">
        <f t="shared" si="97"/>
        <v>5960000</v>
      </c>
      <c r="T286" s="24">
        <v>5</v>
      </c>
      <c r="U286" s="41"/>
      <c r="V286" s="24">
        <v>0.5</v>
      </c>
      <c r="W286" s="41">
        <f t="shared" si="102"/>
        <v>0</v>
      </c>
      <c r="X286" s="24"/>
      <c r="Y286" s="41">
        <f t="shared" si="99"/>
        <v>0</v>
      </c>
      <c r="Z286" s="41">
        <f t="shared" si="100"/>
        <v>0</v>
      </c>
      <c r="AA286" s="24">
        <v>5</v>
      </c>
      <c r="AB286" s="41">
        <v>5960000</v>
      </c>
      <c r="AC286" s="41">
        <f t="shared" si="98"/>
        <v>0</v>
      </c>
      <c r="AD286" s="70" t="s">
        <v>597</v>
      </c>
      <c r="AE286" s="70"/>
      <c r="AF286" s="1">
        <v>5960000</v>
      </c>
      <c r="AG286" s="5">
        <f t="shared" si="92"/>
        <v>0</v>
      </c>
    </row>
    <row r="287" spans="1:33" s="1" customFormat="1" x14ac:dyDescent="0.25">
      <c r="A287" s="49"/>
      <c r="B287" s="22" t="s">
        <v>1671</v>
      </c>
      <c r="C287" s="22" t="s">
        <v>1042</v>
      </c>
      <c r="D287" s="51" t="s">
        <v>1038</v>
      </c>
      <c r="E287" s="24" t="s">
        <v>166</v>
      </c>
      <c r="F287" s="24"/>
      <c r="G287" s="24" t="s">
        <v>319</v>
      </c>
      <c r="H287" s="24" t="s">
        <v>62</v>
      </c>
      <c r="I287" s="24">
        <v>2008</v>
      </c>
      <c r="J287" s="24"/>
      <c r="K287" s="24" t="s">
        <v>63</v>
      </c>
      <c r="L287" s="24" t="s">
        <v>64</v>
      </c>
      <c r="M287" s="24">
        <v>4</v>
      </c>
      <c r="N287" s="41">
        <f t="shared" si="94"/>
        <v>1490000</v>
      </c>
      <c r="O287" s="41">
        <v>5960000</v>
      </c>
      <c r="P287" s="24"/>
      <c r="Q287" s="24"/>
      <c r="R287" s="24"/>
      <c r="S287" s="41">
        <f t="shared" si="97"/>
        <v>5960000</v>
      </c>
      <c r="T287" s="24">
        <v>5</v>
      </c>
      <c r="U287" s="41"/>
      <c r="V287" s="24">
        <v>0.5</v>
      </c>
      <c r="W287" s="41">
        <f t="shared" si="102"/>
        <v>0</v>
      </c>
      <c r="X287" s="24"/>
      <c r="Y287" s="41">
        <f t="shared" si="99"/>
        <v>0</v>
      </c>
      <c r="Z287" s="41">
        <f t="shared" si="100"/>
        <v>0</v>
      </c>
      <c r="AA287" s="24">
        <v>5</v>
      </c>
      <c r="AB287" s="41">
        <v>5960000</v>
      </c>
      <c r="AC287" s="41">
        <f t="shared" si="98"/>
        <v>0</v>
      </c>
      <c r="AD287" s="70" t="s">
        <v>351</v>
      </c>
      <c r="AE287" s="70"/>
      <c r="AF287" s="1">
        <v>5960000</v>
      </c>
      <c r="AG287" s="5">
        <f t="shared" si="92"/>
        <v>0</v>
      </c>
    </row>
    <row r="288" spans="1:33" s="1" customFormat="1" x14ac:dyDescent="0.25">
      <c r="A288" s="49"/>
      <c r="B288" s="22" t="s">
        <v>1671</v>
      </c>
      <c r="C288" s="22" t="s">
        <v>1043</v>
      </c>
      <c r="D288" s="51" t="s">
        <v>1038</v>
      </c>
      <c r="E288" s="24" t="s">
        <v>166</v>
      </c>
      <c r="F288" s="24"/>
      <c r="G288" s="24" t="s">
        <v>319</v>
      </c>
      <c r="H288" s="24" t="s">
        <v>62</v>
      </c>
      <c r="I288" s="24">
        <v>2008</v>
      </c>
      <c r="J288" s="24"/>
      <c r="K288" s="24" t="s">
        <v>63</v>
      </c>
      <c r="L288" s="24" t="s">
        <v>64</v>
      </c>
      <c r="M288" s="24">
        <v>4</v>
      </c>
      <c r="N288" s="41">
        <f t="shared" si="94"/>
        <v>1490000</v>
      </c>
      <c r="O288" s="41">
        <v>5960000</v>
      </c>
      <c r="P288" s="24"/>
      <c r="Q288" s="24"/>
      <c r="R288" s="24"/>
      <c r="S288" s="41">
        <f t="shared" si="97"/>
        <v>5960000</v>
      </c>
      <c r="T288" s="24">
        <v>5</v>
      </c>
      <c r="U288" s="41"/>
      <c r="V288" s="24">
        <v>0.5</v>
      </c>
      <c r="W288" s="41">
        <f t="shared" si="102"/>
        <v>0</v>
      </c>
      <c r="X288" s="52"/>
      <c r="Y288" s="53">
        <f t="shared" si="99"/>
        <v>0</v>
      </c>
      <c r="Z288" s="53">
        <f t="shared" si="100"/>
        <v>0</v>
      </c>
      <c r="AA288" s="57">
        <v>5</v>
      </c>
      <c r="AB288" s="53">
        <v>5960000</v>
      </c>
      <c r="AC288" s="53">
        <f t="shared" si="98"/>
        <v>0</v>
      </c>
      <c r="AD288" s="56" t="s">
        <v>601</v>
      </c>
      <c r="AE288" s="70"/>
      <c r="AF288" s="1">
        <v>5960000</v>
      </c>
      <c r="AG288" s="5">
        <f t="shared" si="92"/>
        <v>0</v>
      </c>
    </row>
    <row r="289" spans="1:33" s="1" customFormat="1" x14ac:dyDescent="0.25">
      <c r="A289" s="49"/>
      <c r="B289" s="22" t="s">
        <v>1671</v>
      </c>
      <c r="C289" s="22" t="s">
        <v>1044</v>
      </c>
      <c r="D289" s="51" t="s">
        <v>1038</v>
      </c>
      <c r="E289" s="24" t="s">
        <v>166</v>
      </c>
      <c r="F289" s="24"/>
      <c r="G289" s="24" t="s">
        <v>319</v>
      </c>
      <c r="H289" s="24" t="s">
        <v>62</v>
      </c>
      <c r="I289" s="24">
        <v>2008</v>
      </c>
      <c r="J289" s="24"/>
      <c r="K289" s="24" t="s">
        <v>63</v>
      </c>
      <c r="L289" s="24" t="s">
        <v>64</v>
      </c>
      <c r="M289" s="24">
        <v>4</v>
      </c>
      <c r="N289" s="41">
        <f t="shared" si="94"/>
        <v>1490000</v>
      </c>
      <c r="O289" s="41">
        <v>5960000</v>
      </c>
      <c r="P289" s="24"/>
      <c r="Q289" s="24"/>
      <c r="R289" s="24"/>
      <c r="S289" s="41">
        <f t="shared" si="97"/>
        <v>5960000</v>
      </c>
      <c r="T289" s="24">
        <v>5</v>
      </c>
      <c r="U289" s="41"/>
      <c r="V289" s="24">
        <v>0.5</v>
      </c>
      <c r="W289" s="41">
        <f t="shared" si="102"/>
        <v>0</v>
      </c>
      <c r="X289" s="24"/>
      <c r="Y289" s="41">
        <f t="shared" si="99"/>
        <v>0</v>
      </c>
      <c r="Z289" s="41">
        <f t="shared" si="100"/>
        <v>0</v>
      </c>
      <c r="AA289" s="72">
        <v>5</v>
      </c>
      <c r="AB289" s="41">
        <v>5960000</v>
      </c>
      <c r="AC289" s="41">
        <f t="shared" si="98"/>
        <v>0</v>
      </c>
      <c r="AD289" s="70" t="s">
        <v>605</v>
      </c>
      <c r="AE289" s="70"/>
      <c r="AF289" s="1">
        <v>5960000</v>
      </c>
      <c r="AG289" s="5">
        <f t="shared" si="92"/>
        <v>0</v>
      </c>
    </row>
    <row r="290" spans="1:33" s="1" customFormat="1" x14ac:dyDescent="0.25">
      <c r="A290" s="49"/>
      <c r="B290" s="22" t="s">
        <v>1671</v>
      </c>
      <c r="C290" s="22" t="s">
        <v>1045</v>
      </c>
      <c r="D290" s="51" t="s">
        <v>1046</v>
      </c>
      <c r="E290" s="24" t="s">
        <v>166</v>
      </c>
      <c r="F290" s="24"/>
      <c r="G290" s="24" t="s">
        <v>319</v>
      </c>
      <c r="H290" s="24" t="s">
        <v>62</v>
      </c>
      <c r="I290" s="24">
        <v>2012</v>
      </c>
      <c r="J290" s="24"/>
      <c r="K290" s="24" t="s">
        <v>63</v>
      </c>
      <c r="L290" s="24" t="s">
        <v>64</v>
      </c>
      <c r="M290" s="24">
        <v>40</v>
      </c>
      <c r="N290" s="41">
        <f t="shared" si="94"/>
        <v>2630775</v>
      </c>
      <c r="O290" s="41">
        <v>105231000</v>
      </c>
      <c r="P290" s="24"/>
      <c r="Q290" s="24"/>
      <c r="R290" s="24"/>
      <c r="S290" s="41">
        <f t="shared" si="97"/>
        <v>105231000</v>
      </c>
      <c r="T290" s="24">
        <v>5</v>
      </c>
      <c r="U290" s="41"/>
      <c r="V290" s="24">
        <v>0.5</v>
      </c>
      <c r="W290" s="41">
        <f t="shared" si="102"/>
        <v>0</v>
      </c>
      <c r="X290" s="24"/>
      <c r="Y290" s="53">
        <f t="shared" si="99"/>
        <v>0</v>
      </c>
      <c r="Z290" s="53">
        <f t="shared" si="100"/>
        <v>0</v>
      </c>
      <c r="AA290" s="57">
        <v>5</v>
      </c>
      <c r="AB290" s="53">
        <v>105231000</v>
      </c>
      <c r="AC290" s="53">
        <f t="shared" si="98"/>
        <v>0</v>
      </c>
      <c r="AD290" s="56" t="s">
        <v>1047</v>
      </c>
      <c r="AE290" s="70"/>
      <c r="AF290" s="1">
        <v>105231000</v>
      </c>
      <c r="AG290" s="5">
        <f t="shared" si="92"/>
        <v>0</v>
      </c>
    </row>
    <row r="291" spans="1:33" s="1" customFormat="1" x14ac:dyDescent="0.25">
      <c r="A291" s="49"/>
      <c r="B291" s="22" t="s">
        <v>1672</v>
      </c>
      <c r="C291" s="22" t="s">
        <v>58</v>
      </c>
      <c r="D291" s="51" t="s">
        <v>799</v>
      </c>
      <c r="E291" s="24" t="s">
        <v>166</v>
      </c>
      <c r="F291" s="24"/>
      <c r="G291" s="24" t="s">
        <v>319</v>
      </c>
      <c r="H291" s="24" t="s">
        <v>62</v>
      </c>
      <c r="I291" s="24">
        <v>2012</v>
      </c>
      <c r="J291" s="24"/>
      <c r="K291" s="24" t="s">
        <v>63</v>
      </c>
      <c r="L291" s="24" t="s">
        <v>64</v>
      </c>
      <c r="M291" s="24">
        <v>1</v>
      </c>
      <c r="N291" s="41">
        <f t="shared" si="94"/>
        <v>7953400</v>
      </c>
      <c r="O291" s="41">
        <v>7953400</v>
      </c>
      <c r="P291" s="24"/>
      <c r="Q291" s="24"/>
      <c r="R291" s="24"/>
      <c r="S291" s="41">
        <f t="shared" si="97"/>
        <v>7953400</v>
      </c>
      <c r="T291" s="24">
        <v>5</v>
      </c>
      <c r="U291" s="41"/>
      <c r="V291" s="24">
        <v>0.5</v>
      </c>
      <c r="W291" s="41">
        <f t="shared" si="102"/>
        <v>0</v>
      </c>
      <c r="X291" s="57"/>
      <c r="Y291" s="53">
        <f t="shared" si="99"/>
        <v>0</v>
      </c>
      <c r="Z291" s="53">
        <f t="shared" si="100"/>
        <v>0</v>
      </c>
      <c r="AA291" s="57">
        <v>5</v>
      </c>
      <c r="AB291" s="53">
        <v>7953400</v>
      </c>
      <c r="AC291" s="53">
        <f t="shared" si="98"/>
        <v>0</v>
      </c>
      <c r="AD291" s="56" t="s">
        <v>800</v>
      </c>
      <c r="AE291" s="70"/>
      <c r="AF291" s="1">
        <v>7953400</v>
      </c>
      <c r="AG291" s="5">
        <f t="shared" si="92"/>
        <v>0</v>
      </c>
    </row>
    <row r="292" spans="1:33" s="1" customFormat="1" x14ac:dyDescent="0.25">
      <c r="A292" s="49"/>
      <c r="B292" s="22" t="s">
        <v>1673</v>
      </c>
      <c r="C292" s="22" t="s">
        <v>657</v>
      </c>
      <c r="D292" s="51" t="s">
        <v>830</v>
      </c>
      <c r="E292" s="24" t="s">
        <v>166</v>
      </c>
      <c r="F292" s="24"/>
      <c r="G292" s="24" t="s">
        <v>319</v>
      </c>
      <c r="H292" s="24" t="s">
        <v>62</v>
      </c>
      <c r="I292" s="24">
        <v>2014</v>
      </c>
      <c r="J292" s="24"/>
      <c r="K292" s="24" t="s">
        <v>63</v>
      </c>
      <c r="L292" s="24" t="s">
        <v>64</v>
      </c>
      <c r="M292" s="24">
        <v>3</v>
      </c>
      <c r="N292" s="41">
        <f t="shared" si="94"/>
        <v>2464000</v>
      </c>
      <c r="O292" s="41">
        <v>7392000</v>
      </c>
      <c r="P292" s="24"/>
      <c r="Q292" s="24"/>
      <c r="R292" s="24"/>
      <c r="S292" s="41">
        <f t="shared" si="97"/>
        <v>7392000</v>
      </c>
      <c r="T292" s="24">
        <v>5</v>
      </c>
      <c r="U292" s="41"/>
      <c r="V292" s="24">
        <v>0.5</v>
      </c>
      <c r="W292" s="41">
        <f t="shared" si="102"/>
        <v>0</v>
      </c>
      <c r="X292" s="57"/>
      <c r="Y292" s="53">
        <f t="shared" si="99"/>
        <v>0</v>
      </c>
      <c r="Z292" s="53">
        <f t="shared" si="100"/>
        <v>0</v>
      </c>
      <c r="AA292" s="54">
        <v>5</v>
      </c>
      <c r="AB292" s="53">
        <v>7392000</v>
      </c>
      <c r="AC292" s="53">
        <f t="shared" si="98"/>
        <v>0</v>
      </c>
      <c r="AD292" s="56" t="s">
        <v>320</v>
      </c>
      <c r="AE292" s="56"/>
      <c r="AF292" s="1">
        <v>7392000</v>
      </c>
      <c r="AG292" s="5">
        <f t="shared" si="92"/>
        <v>0</v>
      </c>
    </row>
    <row r="293" spans="1:33" s="1" customFormat="1" x14ac:dyDescent="0.25">
      <c r="A293" s="49"/>
      <c r="B293" s="22" t="s">
        <v>1673</v>
      </c>
      <c r="C293" s="22" t="s">
        <v>831</v>
      </c>
      <c r="D293" s="51" t="s">
        <v>830</v>
      </c>
      <c r="E293" s="24" t="s">
        <v>166</v>
      </c>
      <c r="F293" s="24"/>
      <c r="G293" s="24" t="s">
        <v>319</v>
      </c>
      <c r="H293" s="24" t="s">
        <v>62</v>
      </c>
      <c r="I293" s="24">
        <v>2014</v>
      </c>
      <c r="J293" s="24"/>
      <c r="K293" s="24" t="s">
        <v>63</v>
      </c>
      <c r="L293" s="24" t="s">
        <v>64</v>
      </c>
      <c r="M293" s="24">
        <v>3</v>
      </c>
      <c r="N293" s="41">
        <f t="shared" si="94"/>
        <v>2464000</v>
      </c>
      <c r="O293" s="41">
        <v>7392000</v>
      </c>
      <c r="P293" s="24"/>
      <c r="Q293" s="24"/>
      <c r="R293" s="24"/>
      <c r="S293" s="41">
        <f t="shared" si="97"/>
        <v>7392000</v>
      </c>
      <c r="T293" s="24">
        <v>5</v>
      </c>
      <c r="U293" s="41"/>
      <c r="V293" s="24">
        <v>0.5</v>
      </c>
      <c r="W293" s="41">
        <f t="shared" si="102"/>
        <v>0</v>
      </c>
      <c r="X293" s="57"/>
      <c r="Y293" s="53">
        <f t="shared" si="99"/>
        <v>0</v>
      </c>
      <c r="Z293" s="53">
        <f t="shared" si="100"/>
        <v>0</v>
      </c>
      <c r="AA293" s="54">
        <v>5</v>
      </c>
      <c r="AB293" s="53">
        <v>7392000</v>
      </c>
      <c r="AC293" s="53">
        <f t="shared" si="98"/>
        <v>0</v>
      </c>
      <c r="AD293" s="56" t="s">
        <v>322</v>
      </c>
      <c r="AE293" s="56"/>
      <c r="AF293" s="1">
        <v>7392000</v>
      </c>
      <c r="AG293" s="5">
        <f t="shared" si="92"/>
        <v>0</v>
      </c>
    </row>
    <row r="294" spans="1:33" s="1" customFormat="1" x14ac:dyDescent="0.25">
      <c r="A294" s="49"/>
      <c r="B294" s="22" t="s">
        <v>1673</v>
      </c>
      <c r="C294" s="22" t="s">
        <v>693</v>
      </c>
      <c r="D294" s="51" t="s">
        <v>830</v>
      </c>
      <c r="E294" s="24" t="s">
        <v>166</v>
      </c>
      <c r="F294" s="24"/>
      <c r="G294" s="24" t="s">
        <v>319</v>
      </c>
      <c r="H294" s="24" t="s">
        <v>62</v>
      </c>
      <c r="I294" s="24">
        <v>2014</v>
      </c>
      <c r="J294" s="24"/>
      <c r="K294" s="24" t="s">
        <v>63</v>
      </c>
      <c r="L294" s="24" t="s">
        <v>64</v>
      </c>
      <c r="M294" s="24">
        <v>3</v>
      </c>
      <c r="N294" s="41">
        <f t="shared" si="94"/>
        <v>2464000</v>
      </c>
      <c r="O294" s="41">
        <v>7392000</v>
      </c>
      <c r="P294" s="24"/>
      <c r="Q294" s="24"/>
      <c r="R294" s="24"/>
      <c r="S294" s="41">
        <f t="shared" si="97"/>
        <v>7392000</v>
      </c>
      <c r="T294" s="24">
        <v>5</v>
      </c>
      <c r="U294" s="41"/>
      <c r="V294" s="24">
        <v>0.5</v>
      </c>
      <c r="W294" s="41">
        <f t="shared" si="102"/>
        <v>0</v>
      </c>
      <c r="X294" s="57"/>
      <c r="Y294" s="53">
        <f t="shared" si="99"/>
        <v>0</v>
      </c>
      <c r="Z294" s="53">
        <f t="shared" si="100"/>
        <v>0</v>
      </c>
      <c r="AA294" s="54">
        <v>5</v>
      </c>
      <c r="AB294" s="53">
        <v>7392000</v>
      </c>
      <c r="AC294" s="53">
        <f t="shared" si="98"/>
        <v>0</v>
      </c>
      <c r="AD294" s="56" t="s">
        <v>324</v>
      </c>
      <c r="AE294" s="56"/>
      <c r="AF294" s="1">
        <v>7392000</v>
      </c>
      <c r="AG294" s="5">
        <f t="shared" si="92"/>
        <v>0</v>
      </c>
    </row>
    <row r="295" spans="1:33" s="1" customFormat="1" x14ac:dyDescent="0.25">
      <c r="A295" s="49"/>
      <c r="B295" s="22" t="s">
        <v>1673</v>
      </c>
      <c r="C295" s="22" t="s">
        <v>832</v>
      </c>
      <c r="D295" s="51" t="s">
        <v>830</v>
      </c>
      <c r="E295" s="24" t="s">
        <v>166</v>
      </c>
      <c r="F295" s="24"/>
      <c r="G295" s="24" t="s">
        <v>319</v>
      </c>
      <c r="H295" s="24" t="s">
        <v>62</v>
      </c>
      <c r="I295" s="24">
        <v>2014</v>
      </c>
      <c r="J295" s="24"/>
      <c r="K295" s="24" t="s">
        <v>63</v>
      </c>
      <c r="L295" s="24" t="s">
        <v>64</v>
      </c>
      <c r="M295" s="24">
        <v>3</v>
      </c>
      <c r="N295" s="41">
        <f t="shared" si="94"/>
        <v>2464000</v>
      </c>
      <c r="O295" s="41">
        <v>7392000</v>
      </c>
      <c r="P295" s="24"/>
      <c r="Q295" s="24"/>
      <c r="R295" s="24"/>
      <c r="S295" s="41">
        <f t="shared" si="97"/>
        <v>7392000</v>
      </c>
      <c r="T295" s="24">
        <v>5</v>
      </c>
      <c r="U295" s="41"/>
      <c r="V295" s="24">
        <v>0.5</v>
      </c>
      <c r="W295" s="41">
        <f t="shared" si="102"/>
        <v>0</v>
      </c>
      <c r="X295" s="57"/>
      <c r="Y295" s="53">
        <f t="shared" si="99"/>
        <v>0</v>
      </c>
      <c r="Z295" s="53">
        <f t="shared" si="100"/>
        <v>0</v>
      </c>
      <c r="AA295" s="54">
        <v>5</v>
      </c>
      <c r="AB295" s="53">
        <v>7392000</v>
      </c>
      <c r="AC295" s="53">
        <f t="shared" si="98"/>
        <v>0</v>
      </c>
      <c r="AD295" s="56" t="s">
        <v>326</v>
      </c>
      <c r="AE295" s="56"/>
      <c r="AF295" s="1">
        <v>7392000</v>
      </c>
      <c r="AG295" s="5">
        <f t="shared" si="92"/>
        <v>0</v>
      </c>
    </row>
    <row r="296" spans="1:33" s="1" customFormat="1" x14ac:dyDescent="0.25">
      <c r="A296" s="49"/>
      <c r="B296" s="22" t="s">
        <v>1673</v>
      </c>
      <c r="C296" s="22" t="s">
        <v>140</v>
      </c>
      <c r="D296" s="51" t="s">
        <v>830</v>
      </c>
      <c r="E296" s="24" t="s">
        <v>166</v>
      </c>
      <c r="F296" s="24"/>
      <c r="G296" s="24" t="s">
        <v>319</v>
      </c>
      <c r="H296" s="24" t="s">
        <v>62</v>
      </c>
      <c r="I296" s="24">
        <v>2014</v>
      </c>
      <c r="J296" s="24"/>
      <c r="K296" s="24" t="s">
        <v>63</v>
      </c>
      <c r="L296" s="24" t="s">
        <v>64</v>
      </c>
      <c r="M296" s="24">
        <v>1</v>
      </c>
      <c r="N296" s="41">
        <f t="shared" si="94"/>
        <v>2464000</v>
      </c>
      <c r="O296" s="41">
        <v>2464000</v>
      </c>
      <c r="P296" s="24"/>
      <c r="Q296" s="24"/>
      <c r="R296" s="24"/>
      <c r="S296" s="41">
        <f t="shared" si="97"/>
        <v>2464000</v>
      </c>
      <c r="T296" s="24">
        <v>5</v>
      </c>
      <c r="U296" s="41"/>
      <c r="V296" s="24">
        <v>0.5</v>
      </c>
      <c r="W296" s="41">
        <f t="shared" si="102"/>
        <v>0</v>
      </c>
      <c r="X296" s="57"/>
      <c r="Y296" s="53">
        <f t="shared" si="99"/>
        <v>0</v>
      </c>
      <c r="Z296" s="53">
        <f t="shared" si="100"/>
        <v>0</v>
      </c>
      <c r="AA296" s="54">
        <v>5</v>
      </c>
      <c r="AB296" s="53">
        <v>2464000</v>
      </c>
      <c r="AC296" s="53">
        <f t="shared" si="98"/>
        <v>0</v>
      </c>
      <c r="AD296" s="56" t="s">
        <v>328</v>
      </c>
      <c r="AE296" s="56"/>
      <c r="AF296" s="1">
        <v>2464000</v>
      </c>
      <c r="AG296" s="5">
        <f t="shared" si="92"/>
        <v>0</v>
      </c>
    </row>
    <row r="297" spans="1:33" s="1" customFormat="1" x14ac:dyDescent="0.25">
      <c r="A297" s="49"/>
      <c r="B297" s="22" t="s">
        <v>1673</v>
      </c>
      <c r="C297" s="22" t="s">
        <v>143</v>
      </c>
      <c r="D297" s="51" t="s">
        <v>830</v>
      </c>
      <c r="E297" s="24" t="s">
        <v>166</v>
      </c>
      <c r="F297" s="24"/>
      <c r="G297" s="24" t="s">
        <v>319</v>
      </c>
      <c r="H297" s="24" t="s">
        <v>62</v>
      </c>
      <c r="I297" s="24">
        <v>2014</v>
      </c>
      <c r="J297" s="24"/>
      <c r="K297" s="24" t="s">
        <v>63</v>
      </c>
      <c r="L297" s="24" t="s">
        <v>64</v>
      </c>
      <c r="M297" s="24">
        <v>1</v>
      </c>
      <c r="N297" s="41">
        <f t="shared" si="94"/>
        <v>2464000</v>
      </c>
      <c r="O297" s="41">
        <v>2464000</v>
      </c>
      <c r="P297" s="24"/>
      <c r="Q297" s="24"/>
      <c r="R297" s="24"/>
      <c r="S297" s="41">
        <f t="shared" si="97"/>
        <v>2464000</v>
      </c>
      <c r="T297" s="24">
        <v>5</v>
      </c>
      <c r="U297" s="41"/>
      <c r="V297" s="24">
        <v>0.5</v>
      </c>
      <c r="W297" s="41">
        <f t="shared" si="102"/>
        <v>0</v>
      </c>
      <c r="X297" s="57"/>
      <c r="Y297" s="53">
        <f t="shared" si="99"/>
        <v>0</v>
      </c>
      <c r="Z297" s="53">
        <f t="shared" si="100"/>
        <v>0</v>
      </c>
      <c r="AA297" s="54">
        <v>5</v>
      </c>
      <c r="AB297" s="53">
        <v>2464000</v>
      </c>
      <c r="AC297" s="53">
        <f t="shared" si="98"/>
        <v>0</v>
      </c>
      <c r="AD297" s="56" t="s">
        <v>276</v>
      </c>
      <c r="AE297" s="56"/>
      <c r="AF297" s="1">
        <v>2464000</v>
      </c>
      <c r="AG297" s="5">
        <f t="shared" si="92"/>
        <v>0</v>
      </c>
    </row>
    <row r="298" spans="1:33" s="1" customFormat="1" x14ac:dyDescent="0.25">
      <c r="A298" s="49"/>
      <c r="B298" s="22" t="s">
        <v>1673</v>
      </c>
      <c r="C298" s="22" t="s">
        <v>146</v>
      </c>
      <c r="D298" s="51" t="s">
        <v>830</v>
      </c>
      <c r="E298" s="24" t="s">
        <v>166</v>
      </c>
      <c r="F298" s="24"/>
      <c r="G298" s="24" t="s">
        <v>319</v>
      </c>
      <c r="H298" s="24" t="s">
        <v>62</v>
      </c>
      <c r="I298" s="24">
        <v>2014</v>
      </c>
      <c r="J298" s="24"/>
      <c r="K298" s="24" t="s">
        <v>63</v>
      </c>
      <c r="L298" s="24" t="s">
        <v>64</v>
      </c>
      <c r="M298" s="24">
        <v>1</v>
      </c>
      <c r="N298" s="41">
        <f t="shared" si="94"/>
        <v>2464000</v>
      </c>
      <c r="O298" s="41">
        <v>2464000</v>
      </c>
      <c r="P298" s="24"/>
      <c r="Q298" s="24"/>
      <c r="R298" s="24"/>
      <c r="S298" s="41">
        <f t="shared" si="97"/>
        <v>2464000</v>
      </c>
      <c r="T298" s="24">
        <v>5</v>
      </c>
      <c r="U298" s="41"/>
      <c r="V298" s="24">
        <v>0.5</v>
      </c>
      <c r="W298" s="41">
        <f t="shared" si="102"/>
        <v>0</v>
      </c>
      <c r="X298" s="57"/>
      <c r="Y298" s="53">
        <f t="shared" si="99"/>
        <v>0</v>
      </c>
      <c r="Z298" s="53">
        <f t="shared" si="100"/>
        <v>0</v>
      </c>
      <c r="AA298" s="54">
        <v>5</v>
      </c>
      <c r="AB298" s="53">
        <v>2464000</v>
      </c>
      <c r="AC298" s="53">
        <f t="shared" si="98"/>
        <v>0</v>
      </c>
      <c r="AD298" s="56" t="s">
        <v>331</v>
      </c>
      <c r="AE298" s="56"/>
      <c r="AF298" s="1">
        <v>2464000</v>
      </c>
      <c r="AG298" s="5">
        <f t="shared" si="92"/>
        <v>0</v>
      </c>
    </row>
    <row r="299" spans="1:33" s="1" customFormat="1" x14ac:dyDescent="0.25">
      <c r="A299" s="49"/>
      <c r="B299" s="22" t="s">
        <v>1673</v>
      </c>
      <c r="C299" s="22" t="s">
        <v>150</v>
      </c>
      <c r="D299" s="51" t="s">
        <v>830</v>
      </c>
      <c r="E299" s="24" t="s">
        <v>166</v>
      </c>
      <c r="F299" s="24"/>
      <c r="G299" s="24" t="s">
        <v>319</v>
      </c>
      <c r="H299" s="24" t="s">
        <v>62</v>
      </c>
      <c r="I299" s="24">
        <v>2014</v>
      </c>
      <c r="J299" s="24"/>
      <c r="K299" s="24" t="s">
        <v>63</v>
      </c>
      <c r="L299" s="24" t="s">
        <v>64</v>
      </c>
      <c r="M299" s="24">
        <v>1</v>
      </c>
      <c r="N299" s="41">
        <f t="shared" si="94"/>
        <v>2464000</v>
      </c>
      <c r="O299" s="41">
        <v>2464000</v>
      </c>
      <c r="P299" s="24"/>
      <c r="Q299" s="24"/>
      <c r="R299" s="24"/>
      <c r="S299" s="41">
        <f t="shared" si="97"/>
        <v>2464000</v>
      </c>
      <c r="T299" s="24">
        <v>5</v>
      </c>
      <c r="U299" s="41"/>
      <c r="V299" s="24">
        <v>0.5</v>
      </c>
      <c r="W299" s="41">
        <f t="shared" si="102"/>
        <v>0</v>
      </c>
      <c r="X299" s="57"/>
      <c r="Y299" s="53">
        <f t="shared" si="99"/>
        <v>0</v>
      </c>
      <c r="Z299" s="53">
        <f t="shared" si="100"/>
        <v>0</v>
      </c>
      <c r="AA299" s="54">
        <v>5</v>
      </c>
      <c r="AB299" s="53">
        <v>2464000</v>
      </c>
      <c r="AC299" s="53">
        <f t="shared" si="98"/>
        <v>0</v>
      </c>
      <c r="AD299" s="56" t="s">
        <v>333</v>
      </c>
      <c r="AE299" s="56"/>
      <c r="AF299" s="1">
        <v>2464000</v>
      </c>
      <c r="AG299" s="5">
        <f t="shared" si="92"/>
        <v>0</v>
      </c>
    </row>
    <row r="300" spans="1:33" s="1" customFormat="1" x14ac:dyDescent="0.25">
      <c r="A300" s="49"/>
      <c r="B300" s="22" t="s">
        <v>1673</v>
      </c>
      <c r="C300" s="22" t="s">
        <v>58</v>
      </c>
      <c r="D300" s="51" t="s">
        <v>838</v>
      </c>
      <c r="E300" s="24" t="s">
        <v>166</v>
      </c>
      <c r="F300" s="24"/>
      <c r="G300" s="24" t="s">
        <v>319</v>
      </c>
      <c r="H300" s="24" t="s">
        <v>62</v>
      </c>
      <c r="I300" s="24">
        <v>2017</v>
      </c>
      <c r="J300" s="24"/>
      <c r="K300" s="24" t="s">
        <v>63</v>
      </c>
      <c r="L300" s="24" t="s">
        <v>64</v>
      </c>
      <c r="M300" s="24">
        <v>8</v>
      </c>
      <c r="N300" s="41">
        <f t="shared" si="94"/>
        <v>2497000</v>
      </c>
      <c r="O300" s="41">
        <v>19976000</v>
      </c>
      <c r="P300" s="24"/>
      <c r="Q300" s="24"/>
      <c r="R300" s="24"/>
      <c r="S300" s="41">
        <f t="shared" si="97"/>
        <v>19976000</v>
      </c>
      <c r="T300" s="24">
        <v>5</v>
      </c>
      <c r="U300" s="41">
        <f>SUM(S300/T300)</f>
        <v>3995200</v>
      </c>
      <c r="V300" s="24">
        <v>0.5</v>
      </c>
      <c r="W300" s="41"/>
      <c r="X300" s="57"/>
      <c r="Y300" s="53">
        <f t="shared" si="99"/>
        <v>0</v>
      </c>
      <c r="Z300" s="53">
        <f t="shared" si="100"/>
        <v>0</v>
      </c>
      <c r="AA300" s="54">
        <f>2022-I300+V300+X300-1/12-5/12</f>
        <v>5</v>
      </c>
      <c r="AB300" s="53">
        <f>SUM(U300*AA300)</f>
        <v>19976000</v>
      </c>
      <c r="AC300" s="53">
        <f t="shared" si="98"/>
        <v>0</v>
      </c>
      <c r="AD300" s="56" t="s">
        <v>226</v>
      </c>
      <c r="AE300" s="56"/>
      <c r="AF300" s="1">
        <v>19976000</v>
      </c>
      <c r="AG300" s="5">
        <f t="shared" si="92"/>
        <v>0</v>
      </c>
    </row>
    <row r="301" spans="1:33" s="1" customFormat="1" x14ac:dyDescent="0.25">
      <c r="A301" s="49"/>
      <c r="B301" s="22" t="s">
        <v>1674</v>
      </c>
      <c r="C301" s="22" t="s">
        <v>58</v>
      </c>
      <c r="D301" s="51" t="s">
        <v>826</v>
      </c>
      <c r="E301" s="24" t="s">
        <v>166</v>
      </c>
      <c r="F301" s="24"/>
      <c r="G301" s="24" t="s">
        <v>319</v>
      </c>
      <c r="H301" s="24" t="s">
        <v>62</v>
      </c>
      <c r="I301" s="24">
        <v>2012</v>
      </c>
      <c r="J301" s="24"/>
      <c r="K301" s="24" t="s">
        <v>63</v>
      </c>
      <c r="L301" s="24" t="s">
        <v>64</v>
      </c>
      <c r="M301" s="24">
        <v>1</v>
      </c>
      <c r="N301" s="41">
        <f t="shared" si="94"/>
        <v>6050000</v>
      </c>
      <c r="O301" s="41">
        <v>6050000</v>
      </c>
      <c r="P301" s="24"/>
      <c r="Q301" s="24"/>
      <c r="R301" s="24"/>
      <c r="S301" s="41">
        <f t="shared" si="97"/>
        <v>6050000</v>
      </c>
      <c r="T301" s="24">
        <v>5</v>
      </c>
      <c r="U301" s="41"/>
      <c r="V301" s="24">
        <v>0.5</v>
      </c>
      <c r="W301" s="41">
        <f t="shared" ref="W301:W303" si="103">SUM(U301*V301)</f>
        <v>0</v>
      </c>
      <c r="X301" s="57"/>
      <c r="Y301" s="53">
        <f t="shared" si="99"/>
        <v>0</v>
      </c>
      <c r="Z301" s="53">
        <f t="shared" si="100"/>
        <v>0</v>
      </c>
      <c r="AA301" s="54">
        <v>5</v>
      </c>
      <c r="AB301" s="53">
        <v>6050000</v>
      </c>
      <c r="AC301" s="53">
        <f t="shared" si="98"/>
        <v>0</v>
      </c>
      <c r="AD301" s="56" t="s">
        <v>750</v>
      </c>
      <c r="AE301" s="56"/>
      <c r="AF301" s="1">
        <v>6050000</v>
      </c>
      <c r="AG301" s="5">
        <f t="shared" si="92"/>
        <v>0</v>
      </c>
    </row>
    <row r="302" spans="1:33" s="1" customFormat="1" x14ac:dyDescent="0.25">
      <c r="A302" s="49"/>
      <c r="B302" s="22" t="s">
        <v>1674</v>
      </c>
      <c r="C302" s="22" t="s">
        <v>75</v>
      </c>
      <c r="D302" s="51" t="s">
        <v>826</v>
      </c>
      <c r="E302" s="24" t="s">
        <v>166</v>
      </c>
      <c r="F302" s="24"/>
      <c r="G302" s="24" t="s">
        <v>319</v>
      </c>
      <c r="H302" s="24" t="s">
        <v>62</v>
      </c>
      <c r="I302" s="24">
        <v>2012</v>
      </c>
      <c r="J302" s="24"/>
      <c r="K302" s="24" t="s">
        <v>63</v>
      </c>
      <c r="L302" s="24" t="s">
        <v>64</v>
      </c>
      <c r="M302" s="24">
        <v>1</v>
      </c>
      <c r="N302" s="41">
        <f t="shared" si="94"/>
        <v>6490000</v>
      </c>
      <c r="O302" s="41">
        <v>6490000</v>
      </c>
      <c r="P302" s="24"/>
      <c r="Q302" s="24"/>
      <c r="R302" s="24"/>
      <c r="S302" s="41">
        <f t="shared" si="97"/>
        <v>6490000</v>
      </c>
      <c r="T302" s="24">
        <v>5</v>
      </c>
      <c r="U302" s="41"/>
      <c r="V302" s="24">
        <v>0.5</v>
      </c>
      <c r="W302" s="41">
        <f t="shared" si="103"/>
        <v>0</v>
      </c>
      <c r="X302" s="57"/>
      <c r="Y302" s="53">
        <f t="shared" si="99"/>
        <v>0</v>
      </c>
      <c r="Z302" s="53">
        <f t="shared" si="100"/>
        <v>0</v>
      </c>
      <c r="AA302" s="54">
        <v>5</v>
      </c>
      <c r="AB302" s="53">
        <v>6490000</v>
      </c>
      <c r="AC302" s="53">
        <f t="shared" si="98"/>
        <v>0</v>
      </c>
      <c r="AD302" s="56" t="s">
        <v>750</v>
      </c>
      <c r="AE302" s="56"/>
      <c r="AF302" s="1">
        <v>6490000</v>
      </c>
      <c r="AG302" s="5">
        <f t="shared" si="92"/>
        <v>0</v>
      </c>
    </row>
    <row r="303" spans="1:33" s="1" customFormat="1" x14ac:dyDescent="0.25">
      <c r="A303" s="49"/>
      <c r="B303" s="22" t="s">
        <v>1674</v>
      </c>
      <c r="C303" s="22" t="s">
        <v>633</v>
      </c>
      <c r="D303" s="51" t="s">
        <v>827</v>
      </c>
      <c r="E303" s="24" t="s">
        <v>166</v>
      </c>
      <c r="F303" s="24"/>
      <c r="G303" s="24" t="s">
        <v>319</v>
      </c>
      <c r="H303" s="24" t="s">
        <v>62</v>
      </c>
      <c r="I303" s="24">
        <v>2012</v>
      </c>
      <c r="J303" s="24"/>
      <c r="K303" s="24" t="s">
        <v>63</v>
      </c>
      <c r="L303" s="24" t="s">
        <v>64</v>
      </c>
      <c r="M303" s="24">
        <v>2</v>
      </c>
      <c r="N303" s="41">
        <f t="shared" si="94"/>
        <v>5026500</v>
      </c>
      <c r="O303" s="41">
        <v>10053000</v>
      </c>
      <c r="P303" s="24"/>
      <c r="Q303" s="24"/>
      <c r="R303" s="24"/>
      <c r="S303" s="41">
        <f t="shared" si="97"/>
        <v>10053000</v>
      </c>
      <c r="T303" s="24">
        <v>5</v>
      </c>
      <c r="U303" s="41"/>
      <c r="V303" s="24">
        <v>0.5</v>
      </c>
      <c r="W303" s="41">
        <f t="shared" si="103"/>
        <v>0</v>
      </c>
      <c r="X303" s="57"/>
      <c r="Y303" s="53">
        <f t="shared" si="99"/>
        <v>0</v>
      </c>
      <c r="Z303" s="53">
        <f t="shared" si="100"/>
        <v>0</v>
      </c>
      <c r="AA303" s="54">
        <v>5</v>
      </c>
      <c r="AB303" s="53">
        <v>10053000</v>
      </c>
      <c r="AC303" s="53">
        <f t="shared" si="98"/>
        <v>0</v>
      </c>
      <c r="AD303" s="56" t="s">
        <v>746</v>
      </c>
      <c r="AE303" s="56"/>
      <c r="AF303" s="1">
        <v>10053000</v>
      </c>
      <c r="AG303" s="5">
        <f t="shared" si="92"/>
        <v>0</v>
      </c>
    </row>
    <row r="304" spans="1:33" s="1" customFormat="1" x14ac:dyDescent="0.25">
      <c r="A304" s="49"/>
      <c r="B304" s="22" t="s">
        <v>1674</v>
      </c>
      <c r="C304" s="22" t="s">
        <v>828</v>
      </c>
      <c r="D304" s="51" t="s">
        <v>826</v>
      </c>
      <c r="E304" s="24" t="s">
        <v>166</v>
      </c>
      <c r="F304" s="24"/>
      <c r="G304" s="24" t="s">
        <v>319</v>
      </c>
      <c r="H304" s="24" t="s">
        <v>62</v>
      </c>
      <c r="I304" s="24">
        <v>2015</v>
      </c>
      <c r="J304" s="24"/>
      <c r="K304" s="24" t="s">
        <v>63</v>
      </c>
      <c r="L304" s="24" t="s">
        <v>64</v>
      </c>
      <c r="M304" s="24">
        <v>10</v>
      </c>
      <c r="N304" s="41">
        <f t="shared" si="94"/>
        <v>995500</v>
      </c>
      <c r="O304" s="41">
        <v>9955000</v>
      </c>
      <c r="P304" s="24"/>
      <c r="Q304" s="24"/>
      <c r="R304" s="24"/>
      <c r="S304" s="41">
        <f t="shared" si="97"/>
        <v>9955000</v>
      </c>
      <c r="T304" s="24">
        <v>5</v>
      </c>
      <c r="U304" s="41">
        <f>SUM(S304/T304)</f>
        <v>1991000</v>
      </c>
      <c r="V304" s="24">
        <v>0.5</v>
      </c>
      <c r="W304" s="41"/>
      <c r="X304" s="57"/>
      <c r="Y304" s="53">
        <f>SUM(U304*X304)</f>
        <v>0</v>
      </c>
      <c r="Z304" s="53"/>
      <c r="AA304" s="54">
        <v>5</v>
      </c>
      <c r="AB304" s="53">
        <f>SUM(U304*AA304)</f>
        <v>9955000</v>
      </c>
      <c r="AC304" s="53">
        <f t="shared" si="98"/>
        <v>0</v>
      </c>
      <c r="AD304" s="56" t="s">
        <v>829</v>
      </c>
      <c r="AE304" s="56"/>
      <c r="AF304" s="1">
        <v>9955000</v>
      </c>
      <c r="AG304" s="5">
        <f t="shared" si="92"/>
        <v>0</v>
      </c>
    </row>
    <row r="305" spans="1:33" s="1" customFormat="1" x14ac:dyDescent="0.25">
      <c r="A305" s="49"/>
      <c r="B305" s="22" t="s">
        <v>1675</v>
      </c>
      <c r="C305" s="50"/>
      <c r="D305" s="51" t="s">
        <v>840</v>
      </c>
      <c r="E305" s="52" t="s">
        <v>166</v>
      </c>
      <c r="F305" s="52"/>
      <c r="G305" s="52" t="s">
        <v>319</v>
      </c>
      <c r="H305" s="52" t="s">
        <v>62</v>
      </c>
      <c r="I305" s="52">
        <v>2022</v>
      </c>
      <c r="J305" s="52"/>
      <c r="K305" s="52" t="s">
        <v>63</v>
      </c>
      <c r="L305" s="52" t="s">
        <v>64</v>
      </c>
      <c r="M305" s="52">
        <v>1</v>
      </c>
      <c r="N305" s="53">
        <f t="shared" si="94"/>
        <v>2025500</v>
      </c>
      <c r="O305" s="53">
        <v>2025500</v>
      </c>
      <c r="P305" s="52"/>
      <c r="Q305" s="52"/>
      <c r="R305" s="52"/>
      <c r="S305" s="53">
        <f t="shared" si="97"/>
        <v>2025500</v>
      </c>
      <c r="T305" s="52">
        <v>5</v>
      </c>
      <c r="U305" s="53">
        <f>SUM(S305/T305)</f>
        <v>405100</v>
      </c>
      <c r="V305" s="87">
        <v>0.5</v>
      </c>
      <c r="W305" s="53">
        <f>SUM(U305*V305)</f>
        <v>202550</v>
      </c>
      <c r="X305" s="57"/>
      <c r="Y305" s="53">
        <f t="shared" ref="Y305:Y324" si="104">SUM(U305*X305)</f>
        <v>0</v>
      </c>
      <c r="Z305" s="53">
        <f t="shared" ref="Z305:Z318" si="105">SUM(W305+Y305)</f>
        <v>202550</v>
      </c>
      <c r="AA305" s="54">
        <f>1/12+0.5</f>
        <v>0.58333333333333337</v>
      </c>
      <c r="AB305" s="53">
        <f>SUM(U305*AA305)</f>
        <v>236308.33333333334</v>
      </c>
      <c r="AC305" s="53">
        <f t="shared" si="98"/>
        <v>1789191.6666666667</v>
      </c>
      <c r="AD305" s="56" t="s">
        <v>647</v>
      </c>
      <c r="AE305" s="56"/>
      <c r="AF305" s="1">
        <v>33758.333333333328</v>
      </c>
      <c r="AG305" s="5">
        <f t="shared" si="92"/>
        <v>0</v>
      </c>
    </row>
    <row r="306" spans="1:33" s="1" customFormat="1" x14ac:dyDescent="0.25">
      <c r="A306" s="49"/>
      <c r="B306" s="22" t="s">
        <v>1676</v>
      </c>
      <c r="C306" s="22" t="s">
        <v>707</v>
      </c>
      <c r="D306" s="51" t="s">
        <v>708</v>
      </c>
      <c r="E306" s="24" t="s">
        <v>166</v>
      </c>
      <c r="F306" s="24"/>
      <c r="G306" s="24" t="s">
        <v>201</v>
      </c>
      <c r="H306" s="24" t="s">
        <v>62</v>
      </c>
      <c r="I306" s="24">
        <v>2011</v>
      </c>
      <c r="J306" s="24"/>
      <c r="K306" s="24" t="s">
        <v>63</v>
      </c>
      <c r="L306" s="24" t="s">
        <v>64</v>
      </c>
      <c r="M306" s="24">
        <v>5</v>
      </c>
      <c r="N306" s="41">
        <f t="shared" si="94"/>
        <v>348000</v>
      </c>
      <c r="O306" s="41">
        <v>1740000</v>
      </c>
      <c r="P306" s="24"/>
      <c r="Q306" s="24"/>
      <c r="R306" s="24"/>
      <c r="S306" s="41">
        <f t="shared" si="97"/>
        <v>1740000</v>
      </c>
      <c r="T306" s="24">
        <v>5</v>
      </c>
      <c r="U306" s="41"/>
      <c r="V306" s="24">
        <v>0.5</v>
      </c>
      <c r="W306" s="41">
        <f t="shared" ref="W306:W316" si="106">SUM(U306*V306)</f>
        <v>0</v>
      </c>
      <c r="X306" s="57"/>
      <c r="Y306" s="53">
        <f t="shared" si="104"/>
        <v>0</v>
      </c>
      <c r="Z306" s="53">
        <f t="shared" si="105"/>
        <v>0</v>
      </c>
      <c r="AA306" s="54">
        <v>5</v>
      </c>
      <c r="AB306" s="53">
        <v>1740000</v>
      </c>
      <c r="AC306" s="53">
        <f t="shared" si="98"/>
        <v>0</v>
      </c>
      <c r="AD306" s="56" t="s">
        <v>597</v>
      </c>
      <c r="AE306" s="56"/>
      <c r="AF306" s="1">
        <v>1740000</v>
      </c>
      <c r="AG306" s="5">
        <f t="shared" si="92"/>
        <v>0</v>
      </c>
    </row>
    <row r="307" spans="1:33" s="1" customFormat="1" x14ac:dyDescent="0.25">
      <c r="A307" s="49"/>
      <c r="B307" s="22" t="s">
        <v>1676</v>
      </c>
      <c r="C307" s="22" t="s">
        <v>707</v>
      </c>
      <c r="D307" s="51" t="s">
        <v>708</v>
      </c>
      <c r="E307" s="24" t="s">
        <v>166</v>
      </c>
      <c r="F307" s="24"/>
      <c r="G307" s="24" t="s">
        <v>201</v>
      </c>
      <c r="H307" s="24" t="s">
        <v>62</v>
      </c>
      <c r="I307" s="24">
        <v>2011</v>
      </c>
      <c r="J307" s="24"/>
      <c r="K307" s="24" t="s">
        <v>63</v>
      </c>
      <c r="L307" s="24" t="s">
        <v>64</v>
      </c>
      <c r="M307" s="24">
        <v>40</v>
      </c>
      <c r="N307" s="41">
        <f t="shared" si="94"/>
        <v>348000</v>
      </c>
      <c r="O307" s="41">
        <v>13920000</v>
      </c>
      <c r="P307" s="24"/>
      <c r="Q307" s="24"/>
      <c r="R307" s="24"/>
      <c r="S307" s="41">
        <f t="shared" si="97"/>
        <v>13920000</v>
      </c>
      <c r="T307" s="24">
        <v>5</v>
      </c>
      <c r="U307" s="41"/>
      <c r="V307" s="24">
        <v>0.5</v>
      </c>
      <c r="W307" s="41">
        <f t="shared" si="106"/>
        <v>0</v>
      </c>
      <c r="X307" s="57"/>
      <c r="Y307" s="53">
        <f t="shared" si="104"/>
        <v>0</v>
      </c>
      <c r="Z307" s="53">
        <f t="shared" si="105"/>
        <v>0</v>
      </c>
      <c r="AA307" s="54">
        <v>5</v>
      </c>
      <c r="AB307" s="53">
        <v>13920000</v>
      </c>
      <c r="AC307" s="53">
        <f t="shared" si="98"/>
        <v>0</v>
      </c>
      <c r="AD307" s="56" t="s">
        <v>610</v>
      </c>
      <c r="AE307" s="56"/>
      <c r="AF307" s="1">
        <v>13920000</v>
      </c>
      <c r="AG307" s="5">
        <f t="shared" si="92"/>
        <v>0</v>
      </c>
    </row>
    <row r="308" spans="1:33" s="1" customFormat="1" x14ac:dyDescent="0.25">
      <c r="A308" s="49"/>
      <c r="B308" s="22" t="s">
        <v>1676</v>
      </c>
      <c r="C308" s="22" t="s">
        <v>707</v>
      </c>
      <c r="D308" s="51" t="s">
        <v>708</v>
      </c>
      <c r="E308" s="24" t="s">
        <v>166</v>
      </c>
      <c r="F308" s="24"/>
      <c r="G308" s="24" t="s">
        <v>201</v>
      </c>
      <c r="H308" s="24" t="s">
        <v>62</v>
      </c>
      <c r="I308" s="24">
        <v>2011</v>
      </c>
      <c r="J308" s="24"/>
      <c r="K308" s="24" t="s">
        <v>63</v>
      </c>
      <c r="L308" s="24" t="s">
        <v>64</v>
      </c>
      <c r="M308" s="24">
        <v>40</v>
      </c>
      <c r="N308" s="41">
        <f t="shared" si="94"/>
        <v>348000</v>
      </c>
      <c r="O308" s="41">
        <v>13920000</v>
      </c>
      <c r="P308" s="24"/>
      <c r="Q308" s="24"/>
      <c r="R308" s="24"/>
      <c r="S308" s="41">
        <f t="shared" si="97"/>
        <v>13920000</v>
      </c>
      <c r="T308" s="24">
        <v>5</v>
      </c>
      <c r="U308" s="41"/>
      <c r="V308" s="24">
        <v>0.5</v>
      </c>
      <c r="W308" s="41">
        <f t="shared" si="106"/>
        <v>0</v>
      </c>
      <c r="X308" s="57"/>
      <c r="Y308" s="53">
        <f t="shared" si="104"/>
        <v>0</v>
      </c>
      <c r="Z308" s="53">
        <f t="shared" si="105"/>
        <v>0</v>
      </c>
      <c r="AA308" s="54">
        <v>5</v>
      </c>
      <c r="AB308" s="53">
        <v>13920000</v>
      </c>
      <c r="AC308" s="53">
        <f t="shared" si="98"/>
        <v>0</v>
      </c>
      <c r="AD308" s="56" t="s">
        <v>612</v>
      </c>
      <c r="AE308" s="56"/>
      <c r="AF308" s="1">
        <v>13920000</v>
      </c>
      <c r="AG308" s="5">
        <f t="shared" si="92"/>
        <v>0</v>
      </c>
    </row>
    <row r="309" spans="1:33" s="1" customFormat="1" x14ac:dyDescent="0.25">
      <c r="A309" s="49"/>
      <c r="B309" s="22" t="s">
        <v>1676</v>
      </c>
      <c r="C309" s="22" t="s">
        <v>709</v>
      </c>
      <c r="D309" s="51" t="s">
        <v>710</v>
      </c>
      <c r="E309" s="24" t="s">
        <v>711</v>
      </c>
      <c r="F309" s="24"/>
      <c r="G309" s="24" t="s">
        <v>712</v>
      </c>
      <c r="H309" s="24" t="s">
        <v>62</v>
      </c>
      <c r="I309" s="24">
        <v>2012</v>
      </c>
      <c r="J309" s="24"/>
      <c r="K309" s="24" t="s">
        <v>63</v>
      </c>
      <c r="L309" s="24" t="s">
        <v>64</v>
      </c>
      <c r="M309" s="24">
        <v>7</v>
      </c>
      <c r="N309" s="41">
        <f t="shared" si="94"/>
        <v>1540000</v>
      </c>
      <c r="O309" s="41">
        <v>10780000</v>
      </c>
      <c r="P309" s="24"/>
      <c r="Q309" s="24"/>
      <c r="R309" s="24"/>
      <c r="S309" s="41">
        <f t="shared" si="97"/>
        <v>10780000</v>
      </c>
      <c r="T309" s="24">
        <v>5</v>
      </c>
      <c r="U309" s="41"/>
      <c r="V309" s="24">
        <v>0.5</v>
      </c>
      <c r="W309" s="41">
        <f t="shared" si="106"/>
        <v>0</v>
      </c>
      <c r="X309" s="57"/>
      <c r="Y309" s="53">
        <f t="shared" si="104"/>
        <v>0</v>
      </c>
      <c r="Z309" s="53">
        <f t="shared" si="105"/>
        <v>0</v>
      </c>
      <c r="AA309" s="54">
        <v>5</v>
      </c>
      <c r="AB309" s="53">
        <v>10780000</v>
      </c>
      <c r="AC309" s="53">
        <f t="shared" si="98"/>
        <v>0</v>
      </c>
      <c r="AD309" s="56" t="s">
        <v>597</v>
      </c>
      <c r="AE309" s="56"/>
      <c r="AF309" s="1">
        <v>10780000</v>
      </c>
      <c r="AG309" s="5">
        <f t="shared" si="92"/>
        <v>0</v>
      </c>
    </row>
    <row r="310" spans="1:33" s="1" customFormat="1" x14ac:dyDescent="0.25">
      <c r="A310" s="49"/>
      <c r="B310" s="22" t="s">
        <v>1676</v>
      </c>
      <c r="C310" s="22" t="s">
        <v>713</v>
      </c>
      <c r="D310" s="51" t="s">
        <v>710</v>
      </c>
      <c r="E310" s="24" t="s">
        <v>711</v>
      </c>
      <c r="F310" s="24"/>
      <c r="G310" s="24" t="s">
        <v>712</v>
      </c>
      <c r="H310" s="24" t="s">
        <v>62</v>
      </c>
      <c r="I310" s="24">
        <v>2012</v>
      </c>
      <c r="J310" s="24"/>
      <c r="K310" s="24" t="s">
        <v>63</v>
      </c>
      <c r="L310" s="24" t="s">
        <v>64</v>
      </c>
      <c r="M310" s="24">
        <v>7</v>
      </c>
      <c r="N310" s="41">
        <f t="shared" si="94"/>
        <v>1540000</v>
      </c>
      <c r="O310" s="41">
        <v>10780000</v>
      </c>
      <c r="P310" s="24"/>
      <c r="Q310" s="24"/>
      <c r="R310" s="24"/>
      <c r="S310" s="41">
        <f t="shared" si="97"/>
        <v>10780000</v>
      </c>
      <c r="T310" s="24">
        <v>5</v>
      </c>
      <c r="U310" s="41"/>
      <c r="V310" s="24">
        <v>0.5</v>
      </c>
      <c r="W310" s="41">
        <f t="shared" si="106"/>
        <v>0</v>
      </c>
      <c r="X310" s="57"/>
      <c r="Y310" s="53">
        <f t="shared" si="104"/>
        <v>0</v>
      </c>
      <c r="Z310" s="53">
        <f t="shared" si="105"/>
        <v>0</v>
      </c>
      <c r="AA310" s="54">
        <v>5</v>
      </c>
      <c r="AB310" s="53">
        <v>10780000</v>
      </c>
      <c r="AC310" s="53">
        <f t="shared" si="98"/>
        <v>0</v>
      </c>
      <c r="AD310" s="56" t="s">
        <v>540</v>
      </c>
      <c r="AE310" s="56"/>
      <c r="AF310" s="1">
        <v>10780000</v>
      </c>
      <c r="AG310" s="5">
        <f t="shared" si="92"/>
        <v>0</v>
      </c>
    </row>
    <row r="311" spans="1:33" s="1" customFormat="1" x14ac:dyDescent="0.25">
      <c r="A311" s="49"/>
      <c r="B311" s="22" t="s">
        <v>1676</v>
      </c>
      <c r="C311" s="22" t="s">
        <v>714</v>
      </c>
      <c r="D311" s="51" t="s">
        <v>710</v>
      </c>
      <c r="E311" s="24" t="s">
        <v>711</v>
      </c>
      <c r="F311" s="24"/>
      <c r="G311" s="24" t="s">
        <v>712</v>
      </c>
      <c r="H311" s="24" t="s">
        <v>62</v>
      </c>
      <c r="I311" s="24">
        <v>2012</v>
      </c>
      <c r="J311" s="24"/>
      <c r="K311" s="24" t="s">
        <v>63</v>
      </c>
      <c r="L311" s="24" t="s">
        <v>64</v>
      </c>
      <c r="M311" s="24">
        <v>5</v>
      </c>
      <c r="N311" s="41">
        <f t="shared" si="94"/>
        <v>1540000</v>
      </c>
      <c r="O311" s="41">
        <v>7700000</v>
      </c>
      <c r="P311" s="24"/>
      <c r="Q311" s="24"/>
      <c r="R311" s="24"/>
      <c r="S311" s="41">
        <f t="shared" si="97"/>
        <v>7700000</v>
      </c>
      <c r="T311" s="24">
        <v>5</v>
      </c>
      <c r="U311" s="41"/>
      <c r="V311" s="24">
        <v>0.5</v>
      </c>
      <c r="W311" s="41">
        <f t="shared" si="106"/>
        <v>0</v>
      </c>
      <c r="X311" s="57"/>
      <c r="Y311" s="53">
        <f t="shared" si="104"/>
        <v>0</v>
      </c>
      <c r="Z311" s="53">
        <f t="shared" si="105"/>
        <v>0</v>
      </c>
      <c r="AA311" s="54">
        <v>5</v>
      </c>
      <c r="AB311" s="53">
        <v>7700000</v>
      </c>
      <c r="AC311" s="53">
        <f t="shared" si="98"/>
        <v>0</v>
      </c>
      <c r="AD311" s="56" t="s">
        <v>351</v>
      </c>
      <c r="AE311" s="56"/>
      <c r="AF311" s="1">
        <v>7700000</v>
      </c>
      <c r="AG311" s="5">
        <f t="shared" si="92"/>
        <v>0</v>
      </c>
    </row>
    <row r="312" spans="1:33" s="1" customFormat="1" x14ac:dyDescent="0.25">
      <c r="A312" s="49"/>
      <c r="B312" s="22" t="s">
        <v>1676</v>
      </c>
      <c r="C312" s="22" t="s">
        <v>715</v>
      </c>
      <c r="D312" s="51" t="s">
        <v>710</v>
      </c>
      <c r="E312" s="24" t="s">
        <v>711</v>
      </c>
      <c r="F312" s="24"/>
      <c r="G312" s="24" t="s">
        <v>712</v>
      </c>
      <c r="H312" s="24" t="s">
        <v>62</v>
      </c>
      <c r="I312" s="24">
        <v>2012</v>
      </c>
      <c r="J312" s="24"/>
      <c r="K312" s="24" t="s">
        <v>63</v>
      </c>
      <c r="L312" s="24" t="s">
        <v>64</v>
      </c>
      <c r="M312" s="24">
        <v>7</v>
      </c>
      <c r="N312" s="41">
        <f t="shared" si="94"/>
        <v>1540000</v>
      </c>
      <c r="O312" s="41">
        <v>10780000</v>
      </c>
      <c r="P312" s="24"/>
      <c r="Q312" s="24"/>
      <c r="R312" s="24"/>
      <c r="S312" s="41">
        <f t="shared" si="97"/>
        <v>10780000</v>
      </c>
      <c r="T312" s="24">
        <v>5</v>
      </c>
      <c r="U312" s="41"/>
      <c r="V312" s="24">
        <v>0.5</v>
      </c>
      <c r="W312" s="41">
        <f t="shared" si="106"/>
        <v>0</v>
      </c>
      <c r="X312" s="57"/>
      <c r="Y312" s="53">
        <f t="shared" si="104"/>
        <v>0</v>
      </c>
      <c r="Z312" s="53">
        <f t="shared" si="105"/>
        <v>0</v>
      </c>
      <c r="AA312" s="54">
        <v>5</v>
      </c>
      <c r="AB312" s="53">
        <v>10780000</v>
      </c>
      <c r="AC312" s="53">
        <f t="shared" si="98"/>
        <v>0</v>
      </c>
      <c r="AD312" s="56" t="s">
        <v>601</v>
      </c>
      <c r="AE312" s="56"/>
      <c r="AF312" s="1">
        <v>10780000</v>
      </c>
      <c r="AG312" s="5">
        <f t="shared" si="92"/>
        <v>0</v>
      </c>
    </row>
    <row r="313" spans="1:33" s="1" customFormat="1" x14ac:dyDescent="0.25">
      <c r="A313" s="49"/>
      <c r="B313" s="22" t="s">
        <v>1676</v>
      </c>
      <c r="C313" s="22" t="s">
        <v>716</v>
      </c>
      <c r="D313" s="51" t="s">
        <v>710</v>
      </c>
      <c r="E313" s="24" t="s">
        <v>711</v>
      </c>
      <c r="F313" s="24"/>
      <c r="G313" s="24" t="s">
        <v>712</v>
      </c>
      <c r="H313" s="24" t="s">
        <v>62</v>
      </c>
      <c r="I313" s="24">
        <v>2012</v>
      </c>
      <c r="J313" s="24"/>
      <c r="K313" s="24" t="s">
        <v>63</v>
      </c>
      <c r="L313" s="24" t="s">
        <v>64</v>
      </c>
      <c r="M313" s="24">
        <v>7</v>
      </c>
      <c r="N313" s="41">
        <f t="shared" si="94"/>
        <v>1540000</v>
      </c>
      <c r="O313" s="41">
        <v>10780000</v>
      </c>
      <c r="P313" s="24"/>
      <c r="Q313" s="24"/>
      <c r="R313" s="24"/>
      <c r="S313" s="41">
        <f t="shared" si="97"/>
        <v>10780000</v>
      </c>
      <c r="T313" s="24">
        <v>5</v>
      </c>
      <c r="U313" s="41"/>
      <c r="V313" s="24">
        <v>0.5</v>
      </c>
      <c r="W313" s="41">
        <f t="shared" si="106"/>
        <v>0</v>
      </c>
      <c r="X313" s="57"/>
      <c r="Y313" s="53">
        <f t="shared" si="104"/>
        <v>0</v>
      </c>
      <c r="Z313" s="53">
        <f t="shared" si="105"/>
        <v>0</v>
      </c>
      <c r="AA313" s="54">
        <v>5</v>
      </c>
      <c r="AB313" s="53">
        <v>10780000</v>
      </c>
      <c r="AC313" s="53">
        <f t="shared" si="98"/>
        <v>0</v>
      </c>
      <c r="AD313" s="56" t="s">
        <v>603</v>
      </c>
      <c r="AE313" s="56"/>
      <c r="AF313" s="1">
        <v>10780000</v>
      </c>
      <c r="AG313" s="5">
        <f t="shared" si="92"/>
        <v>0</v>
      </c>
    </row>
    <row r="314" spans="1:33" s="1" customFormat="1" x14ac:dyDescent="0.25">
      <c r="A314" s="49"/>
      <c r="B314" s="22" t="s">
        <v>1676</v>
      </c>
      <c r="C314" s="22" t="s">
        <v>717</v>
      </c>
      <c r="D314" s="51" t="s">
        <v>710</v>
      </c>
      <c r="E314" s="24" t="s">
        <v>711</v>
      </c>
      <c r="F314" s="24"/>
      <c r="G314" s="24" t="s">
        <v>712</v>
      </c>
      <c r="H314" s="24" t="s">
        <v>62</v>
      </c>
      <c r="I314" s="24">
        <v>2012</v>
      </c>
      <c r="J314" s="24"/>
      <c r="K314" s="24" t="s">
        <v>63</v>
      </c>
      <c r="L314" s="24" t="s">
        <v>64</v>
      </c>
      <c r="M314" s="24">
        <v>7</v>
      </c>
      <c r="N314" s="41">
        <f t="shared" si="94"/>
        <v>1540000</v>
      </c>
      <c r="O314" s="41">
        <v>10780000</v>
      </c>
      <c r="P314" s="24"/>
      <c r="Q314" s="24"/>
      <c r="R314" s="24"/>
      <c r="S314" s="41">
        <f t="shared" si="97"/>
        <v>10780000</v>
      </c>
      <c r="T314" s="24">
        <v>5</v>
      </c>
      <c r="U314" s="41"/>
      <c r="V314" s="24">
        <v>0.5</v>
      </c>
      <c r="W314" s="41">
        <f t="shared" si="106"/>
        <v>0</v>
      </c>
      <c r="X314" s="57"/>
      <c r="Y314" s="53">
        <f t="shared" si="104"/>
        <v>0</v>
      </c>
      <c r="Z314" s="53">
        <f t="shared" si="105"/>
        <v>0</v>
      </c>
      <c r="AA314" s="57">
        <v>5</v>
      </c>
      <c r="AB314" s="53">
        <v>10780000</v>
      </c>
      <c r="AC314" s="53">
        <f t="shared" si="98"/>
        <v>0</v>
      </c>
      <c r="AD314" s="56" t="s">
        <v>605</v>
      </c>
      <c r="AE314" s="70"/>
      <c r="AF314" s="1">
        <v>10780000</v>
      </c>
      <c r="AG314" s="5">
        <f t="shared" si="92"/>
        <v>0</v>
      </c>
    </row>
    <row r="315" spans="1:33" s="1" customFormat="1" x14ac:dyDescent="0.25">
      <c r="A315" s="49"/>
      <c r="B315" s="22" t="s">
        <v>1676</v>
      </c>
      <c r="C315" s="22" t="s">
        <v>718</v>
      </c>
      <c r="D315" s="51" t="s">
        <v>710</v>
      </c>
      <c r="E315" s="24" t="s">
        <v>711</v>
      </c>
      <c r="F315" s="24"/>
      <c r="G315" s="24" t="s">
        <v>712</v>
      </c>
      <c r="H315" s="24" t="s">
        <v>62</v>
      </c>
      <c r="I315" s="24">
        <v>2012</v>
      </c>
      <c r="J315" s="24"/>
      <c r="K315" s="24" t="s">
        <v>63</v>
      </c>
      <c r="L315" s="24" t="s">
        <v>64</v>
      </c>
      <c r="M315" s="24">
        <v>40</v>
      </c>
      <c r="N315" s="41">
        <f t="shared" si="94"/>
        <v>1540000</v>
      </c>
      <c r="O315" s="41">
        <v>61600000</v>
      </c>
      <c r="P315" s="24"/>
      <c r="Q315" s="24"/>
      <c r="R315" s="24"/>
      <c r="S315" s="41">
        <f t="shared" si="97"/>
        <v>61600000</v>
      </c>
      <c r="T315" s="24">
        <v>5</v>
      </c>
      <c r="U315" s="41"/>
      <c r="V315" s="24">
        <v>0.5</v>
      </c>
      <c r="W315" s="41">
        <f t="shared" si="106"/>
        <v>0</v>
      </c>
      <c r="X315" s="57"/>
      <c r="Y315" s="53">
        <f t="shared" si="104"/>
        <v>0</v>
      </c>
      <c r="Z315" s="53">
        <f t="shared" si="105"/>
        <v>0</v>
      </c>
      <c r="AA315" s="57">
        <v>5</v>
      </c>
      <c r="AB315" s="53">
        <v>61600000</v>
      </c>
      <c r="AC315" s="53">
        <f t="shared" si="98"/>
        <v>0</v>
      </c>
      <c r="AD315" s="56" t="s">
        <v>610</v>
      </c>
      <c r="AE315" s="70"/>
      <c r="AF315" s="1">
        <v>61600000</v>
      </c>
      <c r="AG315" s="5">
        <f t="shared" si="92"/>
        <v>0</v>
      </c>
    </row>
    <row r="316" spans="1:33" s="1" customFormat="1" x14ac:dyDescent="0.25">
      <c r="A316" s="49"/>
      <c r="B316" s="22" t="s">
        <v>1676</v>
      </c>
      <c r="C316" s="22" t="s">
        <v>719</v>
      </c>
      <c r="D316" s="51" t="s">
        <v>710</v>
      </c>
      <c r="E316" s="24" t="s">
        <v>711</v>
      </c>
      <c r="F316" s="24"/>
      <c r="G316" s="24" t="s">
        <v>712</v>
      </c>
      <c r="H316" s="24" t="s">
        <v>62</v>
      </c>
      <c r="I316" s="24">
        <v>2012</v>
      </c>
      <c r="J316" s="24"/>
      <c r="K316" s="24" t="s">
        <v>63</v>
      </c>
      <c r="L316" s="24" t="s">
        <v>64</v>
      </c>
      <c r="M316" s="24">
        <v>40</v>
      </c>
      <c r="N316" s="41">
        <f t="shared" si="94"/>
        <v>1540000</v>
      </c>
      <c r="O316" s="41">
        <v>61600000</v>
      </c>
      <c r="P316" s="24"/>
      <c r="Q316" s="24"/>
      <c r="R316" s="24"/>
      <c r="S316" s="41">
        <f t="shared" si="97"/>
        <v>61600000</v>
      </c>
      <c r="T316" s="24">
        <v>5</v>
      </c>
      <c r="U316" s="41"/>
      <c r="V316" s="24">
        <v>0.5</v>
      </c>
      <c r="W316" s="41">
        <f t="shared" si="106"/>
        <v>0</v>
      </c>
      <c r="X316" s="52"/>
      <c r="Y316" s="53">
        <f t="shared" si="104"/>
        <v>0</v>
      </c>
      <c r="Z316" s="53">
        <f t="shared" si="105"/>
        <v>0</v>
      </c>
      <c r="AA316" s="52">
        <v>5</v>
      </c>
      <c r="AB316" s="53">
        <v>61600000</v>
      </c>
      <c r="AC316" s="53">
        <f t="shared" si="98"/>
        <v>0</v>
      </c>
      <c r="AD316" s="56" t="s">
        <v>612</v>
      </c>
      <c r="AE316" s="70"/>
      <c r="AF316" s="1">
        <v>61600000</v>
      </c>
      <c r="AG316" s="5">
        <f t="shared" si="92"/>
        <v>0</v>
      </c>
    </row>
    <row r="317" spans="1:33" s="1" customFormat="1" x14ac:dyDescent="0.25">
      <c r="A317" s="49"/>
      <c r="B317" s="22" t="s">
        <v>1676</v>
      </c>
      <c r="C317" s="22" t="s">
        <v>720</v>
      </c>
      <c r="D317" s="51" t="s">
        <v>721</v>
      </c>
      <c r="E317" s="24" t="s">
        <v>722</v>
      </c>
      <c r="F317" s="24"/>
      <c r="G317" s="24" t="s">
        <v>712</v>
      </c>
      <c r="H317" s="24" t="s">
        <v>62</v>
      </c>
      <c r="I317" s="24">
        <v>2017</v>
      </c>
      <c r="J317" s="24"/>
      <c r="K317" s="24" t="s">
        <v>63</v>
      </c>
      <c r="L317" s="24" t="s">
        <v>64</v>
      </c>
      <c r="M317" s="24">
        <v>36</v>
      </c>
      <c r="N317" s="41">
        <f t="shared" si="94"/>
        <v>2497000</v>
      </c>
      <c r="O317" s="41">
        <v>89892000</v>
      </c>
      <c r="P317" s="24"/>
      <c r="Q317" s="24"/>
      <c r="R317" s="24"/>
      <c r="S317" s="41">
        <f t="shared" si="97"/>
        <v>89892000</v>
      </c>
      <c r="T317" s="24">
        <v>5</v>
      </c>
      <c r="U317" s="41">
        <f>SUM(S317/T317)</f>
        <v>17978400</v>
      </c>
      <c r="V317" s="24">
        <v>0.5</v>
      </c>
      <c r="W317" s="41"/>
      <c r="X317" s="52"/>
      <c r="Y317" s="53">
        <f t="shared" si="104"/>
        <v>0</v>
      </c>
      <c r="Z317" s="53">
        <f t="shared" si="105"/>
        <v>0</v>
      </c>
      <c r="AA317" s="52">
        <v>5</v>
      </c>
      <c r="AB317" s="53">
        <v>89892000</v>
      </c>
      <c r="AC317" s="53">
        <f t="shared" si="98"/>
        <v>0</v>
      </c>
      <c r="AD317" s="56" t="s">
        <v>354</v>
      </c>
      <c r="AE317" s="70"/>
      <c r="AF317" s="1">
        <v>89892000</v>
      </c>
      <c r="AG317" s="5">
        <f t="shared" ref="AG317:AG380" si="107">AF317+Z317-AB317</f>
        <v>0</v>
      </c>
    </row>
    <row r="318" spans="1:33" s="1" customFormat="1" x14ac:dyDescent="0.25">
      <c r="A318" s="49"/>
      <c r="B318" s="22" t="s">
        <v>1676</v>
      </c>
      <c r="C318" s="22" t="s">
        <v>723</v>
      </c>
      <c r="D318" s="51" t="s">
        <v>721</v>
      </c>
      <c r="E318" s="24" t="s">
        <v>722</v>
      </c>
      <c r="F318" s="24"/>
      <c r="G318" s="24" t="s">
        <v>712</v>
      </c>
      <c r="H318" s="24" t="s">
        <v>62</v>
      </c>
      <c r="I318" s="24">
        <v>2017</v>
      </c>
      <c r="J318" s="24"/>
      <c r="K318" s="24" t="s">
        <v>63</v>
      </c>
      <c r="L318" s="24" t="s">
        <v>64</v>
      </c>
      <c r="M318" s="24">
        <v>28</v>
      </c>
      <c r="N318" s="41">
        <f t="shared" si="94"/>
        <v>2497000</v>
      </c>
      <c r="O318" s="41">
        <v>69916000</v>
      </c>
      <c r="P318" s="24"/>
      <c r="Q318" s="24"/>
      <c r="R318" s="24"/>
      <c r="S318" s="41">
        <f t="shared" si="97"/>
        <v>69916000</v>
      </c>
      <c r="T318" s="24">
        <v>5</v>
      </c>
      <c r="U318" s="41">
        <f>SUM(S318/T318)</f>
        <v>13983200</v>
      </c>
      <c r="V318" s="24">
        <v>0.5</v>
      </c>
      <c r="W318" s="41"/>
      <c r="X318" s="52"/>
      <c r="Y318" s="53">
        <f t="shared" si="104"/>
        <v>0</v>
      </c>
      <c r="Z318" s="53">
        <f t="shared" si="105"/>
        <v>0</v>
      </c>
      <c r="AA318" s="57">
        <v>5</v>
      </c>
      <c r="AB318" s="53">
        <v>69916000</v>
      </c>
      <c r="AC318" s="53">
        <f t="shared" si="98"/>
        <v>0</v>
      </c>
      <c r="AD318" s="56" t="s">
        <v>350</v>
      </c>
      <c r="AE318" s="70"/>
      <c r="AF318" s="1">
        <v>69916000</v>
      </c>
      <c r="AG318" s="5">
        <f t="shared" si="107"/>
        <v>0</v>
      </c>
    </row>
    <row r="319" spans="1:33" s="1" customFormat="1" x14ac:dyDescent="0.25">
      <c r="A319" s="49"/>
      <c r="B319" s="22" t="s">
        <v>1677</v>
      </c>
      <c r="C319" s="22" t="s">
        <v>274</v>
      </c>
      <c r="D319" s="51" t="s">
        <v>815</v>
      </c>
      <c r="E319" s="24" t="s">
        <v>166</v>
      </c>
      <c r="F319" s="24"/>
      <c r="G319" s="24" t="s">
        <v>319</v>
      </c>
      <c r="H319" s="24" t="s">
        <v>62</v>
      </c>
      <c r="I319" s="24">
        <v>2012</v>
      </c>
      <c r="J319" s="24"/>
      <c r="K319" s="24" t="s">
        <v>63</v>
      </c>
      <c r="L319" s="24" t="s">
        <v>64</v>
      </c>
      <c r="M319" s="24">
        <v>5</v>
      </c>
      <c r="N319" s="41">
        <f t="shared" ref="N319:N356" si="108">SUM(O319/M319)</f>
        <v>1309770</v>
      </c>
      <c r="O319" s="41">
        <v>6548850</v>
      </c>
      <c r="P319" s="24"/>
      <c r="Q319" s="24"/>
      <c r="R319" s="24"/>
      <c r="S319" s="41">
        <f t="shared" si="97"/>
        <v>6548850</v>
      </c>
      <c r="T319" s="24">
        <v>5</v>
      </c>
      <c r="U319" s="41"/>
      <c r="V319" s="24">
        <v>0.5</v>
      </c>
      <c r="W319" s="41">
        <f t="shared" ref="W319:W347" si="109">SUM(U319*V319)</f>
        <v>0</v>
      </c>
      <c r="X319" s="52"/>
      <c r="Y319" s="53">
        <f t="shared" si="104"/>
        <v>0</v>
      </c>
      <c r="Z319" s="53">
        <f t="shared" ref="Z319:Z349" si="110">SUM(W319+Y319)</f>
        <v>0</v>
      </c>
      <c r="AA319" s="52">
        <v>5</v>
      </c>
      <c r="AB319" s="53">
        <v>6548850</v>
      </c>
      <c r="AC319" s="53">
        <f t="shared" si="98"/>
        <v>0</v>
      </c>
      <c r="AD319" s="56" t="s">
        <v>744</v>
      </c>
      <c r="AE319" s="70"/>
      <c r="AF319" s="1">
        <v>6548850</v>
      </c>
      <c r="AG319" s="5">
        <f t="shared" si="107"/>
        <v>0</v>
      </c>
    </row>
    <row r="320" spans="1:33" s="1" customFormat="1" x14ac:dyDescent="0.25">
      <c r="A320" s="49"/>
      <c r="B320" s="22" t="s">
        <v>1677</v>
      </c>
      <c r="C320" s="22" t="s">
        <v>816</v>
      </c>
      <c r="D320" s="51" t="s">
        <v>815</v>
      </c>
      <c r="E320" s="24" t="s">
        <v>166</v>
      </c>
      <c r="F320" s="24"/>
      <c r="G320" s="24" t="s">
        <v>319</v>
      </c>
      <c r="H320" s="24" t="s">
        <v>62</v>
      </c>
      <c r="I320" s="24">
        <v>2012</v>
      </c>
      <c r="J320" s="24"/>
      <c r="K320" s="24" t="s">
        <v>63</v>
      </c>
      <c r="L320" s="24" t="s">
        <v>64</v>
      </c>
      <c r="M320" s="24">
        <v>20</v>
      </c>
      <c r="N320" s="41">
        <f t="shared" si="108"/>
        <v>1309770</v>
      </c>
      <c r="O320" s="41">
        <v>26195400</v>
      </c>
      <c r="P320" s="24"/>
      <c r="Q320" s="24"/>
      <c r="R320" s="24"/>
      <c r="S320" s="41">
        <f t="shared" si="97"/>
        <v>26195400</v>
      </c>
      <c r="T320" s="24">
        <v>5</v>
      </c>
      <c r="U320" s="41"/>
      <c r="V320" s="24">
        <v>0.5</v>
      </c>
      <c r="W320" s="41">
        <f t="shared" si="109"/>
        <v>0</v>
      </c>
      <c r="X320" s="52"/>
      <c r="Y320" s="53">
        <f t="shared" si="104"/>
        <v>0</v>
      </c>
      <c r="Z320" s="53">
        <f t="shared" si="110"/>
        <v>0</v>
      </c>
      <c r="AA320" s="52">
        <v>5</v>
      </c>
      <c r="AB320" s="53">
        <v>26195400</v>
      </c>
      <c r="AC320" s="53">
        <f t="shared" si="98"/>
        <v>0</v>
      </c>
      <c r="AD320" s="56" t="s">
        <v>817</v>
      </c>
      <c r="AE320" s="70"/>
      <c r="AF320" s="1">
        <v>26195400</v>
      </c>
      <c r="AG320" s="5">
        <f t="shared" si="107"/>
        <v>0</v>
      </c>
    </row>
    <row r="321" spans="1:33" s="1" customFormat="1" x14ac:dyDescent="0.25">
      <c r="A321" s="49"/>
      <c r="B321" s="22" t="s">
        <v>1677</v>
      </c>
      <c r="C321" s="22" t="s">
        <v>818</v>
      </c>
      <c r="D321" s="51" t="s">
        <v>819</v>
      </c>
      <c r="E321" s="24" t="s">
        <v>166</v>
      </c>
      <c r="F321" s="24"/>
      <c r="G321" s="24" t="s">
        <v>319</v>
      </c>
      <c r="H321" s="24" t="s">
        <v>62</v>
      </c>
      <c r="I321" s="24">
        <v>2012</v>
      </c>
      <c r="J321" s="24"/>
      <c r="K321" s="24" t="s">
        <v>63</v>
      </c>
      <c r="L321" s="24" t="s">
        <v>64</v>
      </c>
      <c r="M321" s="24">
        <v>2</v>
      </c>
      <c r="N321" s="41">
        <f t="shared" si="108"/>
        <v>2722500</v>
      </c>
      <c r="O321" s="41">
        <v>5445000</v>
      </c>
      <c r="P321" s="24"/>
      <c r="Q321" s="24"/>
      <c r="R321" s="24"/>
      <c r="S321" s="41">
        <f t="shared" si="97"/>
        <v>5445000</v>
      </c>
      <c r="T321" s="24">
        <v>5</v>
      </c>
      <c r="U321" s="41"/>
      <c r="V321" s="24">
        <v>0.5</v>
      </c>
      <c r="W321" s="41">
        <f t="shared" si="109"/>
        <v>0</v>
      </c>
      <c r="X321" s="52"/>
      <c r="Y321" s="53">
        <f t="shared" si="104"/>
        <v>0</v>
      </c>
      <c r="Z321" s="53">
        <f t="shared" si="110"/>
        <v>0</v>
      </c>
      <c r="AA321" s="52">
        <v>5</v>
      </c>
      <c r="AB321" s="53">
        <v>5445000</v>
      </c>
      <c r="AC321" s="53">
        <f t="shared" si="98"/>
        <v>0</v>
      </c>
      <c r="AD321" s="56" t="s">
        <v>750</v>
      </c>
      <c r="AE321" s="70"/>
      <c r="AF321" s="1">
        <v>5445000</v>
      </c>
      <c r="AG321" s="5">
        <f t="shared" si="107"/>
        <v>0</v>
      </c>
    </row>
    <row r="322" spans="1:33" s="1" customFormat="1" x14ac:dyDescent="0.25">
      <c r="A322" s="49"/>
      <c r="B322" s="22" t="s">
        <v>1677</v>
      </c>
      <c r="C322" s="22" t="s">
        <v>820</v>
      </c>
      <c r="D322" s="51" t="s">
        <v>821</v>
      </c>
      <c r="E322" s="24" t="s">
        <v>166</v>
      </c>
      <c r="F322" s="24"/>
      <c r="G322" s="24" t="s">
        <v>319</v>
      </c>
      <c r="H322" s="24" t="s">
        <v>62</v>
      </c>
      <c r="I322" s="24">
        <v>2012</v>
      </c>
      <c r="J322" s="24"/>
      <c r="K322" s="24" t="s">
        <v>63</v>
      </c>
      <c r="L322" s="24" t="s">
        <v>64</v>
      </c>
      <c r="M322" s="24">
        <v>5</v>
      </c>
      <c r="N322" s="41">
        <f t="shared" si="108"/>
        <v>1430000</v>
      </c>
      <c r="O322" s="41">
        <v>7150000</v>
      </c>
      <c r="P322" s="24"/>
      <c r="Q322" s="24"/>
      <c r="R322" s="24"/>
      <c r="S322" s="41">
        <f t="shared" si="97"/>
        <v>7150000</v>
      </c>
      <c r="T322" s="24">
        <v>5</v>
      </c>
      <c r="U322" s="41"/>
      <c r="V322" s="24">
        <v>0.5</v>
      </c>
      <c r="W322" s="41">
        <f t="shared" si="109"/>
        <v>0</v>
      </c>
      <c r="X322" s="52"/>
      <c r="Y322" s="53">
        <f t="shared" si="104"/>
        <v>0</v>
      </c>
      <c r="Z322" s="53">
        <f t="shared" si="110"/>
        <v>0</v>
      </c>
      <c r="AA322" s="57">
        <v>5</v>
      </c>
      <c r="AB322" s="53">
        <v>7150000</v>
      </c>
      <c r="AC322" s="53">
        <f t="shared" si="98"/>
        <v>0</v>
      </c>
      <c r="AD322" s="56" t="s">
        <v>744</v>
      </c>
      <c r="AE322" s="70"/>
      <c r="AF322" s="1">
        <v>7150000</v>
      </c>
      <c r="AG322" s="5">
        <f t="shared" si="107"/>
        <v>0</v>
      </c>
    </row>
    <row r="323" spans="1:33" s="1" customFormat="1" x14ac:dyDescent="0.25">
      <c r="A323" s="49"/>
      <c r="B323" s="22" t="s">
        <v>1677</v>
      </c>
      <c r="C323" s="22" t="s">
        <v>822</v>
      </c>
      <c r="D323" s="51" t="s">
        <v>821</v>
      </c>
      <c r="E323" s="24" t="s">
        <v>166</v>
      </c>
      <c r="F323" s="24"/>
      <c r="G323" s="24" t="s">
        <v>319</v>
      </c>
      <c r="H323" s="24" t="s">
        <v>62</v>
      </c>
      <c r="I323" s="24">
        <v>2012</v>
      </c>
      <c r="J323" s="24"/>
      <c r="K323" s="24" t="s">
        <v>63</v>
      </c>
      <c r="L323" s="24" t="s">
        <v>64</v>
      </c>
      <c r="M323" s="24">
        <v>20</v>
      </c>
      <c r="N323" s="41">
        <f t="shared" si="108"/>
        <v>1430000</v>
      </c>
      <c r="O323" s="41">
        <v>28600000</v>
      </c>
      <c r="P323" s="24"/>
      <c r="Q323" s="24"/>
      <c r="R323" s="24"/>
      <c r="S323" s="41">
        <f t="shared" si="97"/>
        <v>28600000</v>
      </c>
      <c r="T323" s="24">
        <v>5</v>
      </c>
      <c r="U323" s="41"/>
      <c r="V323" s="24">
        <v>0.5</v>
      </c>
      <c r="W323" s="41">
        <f t="shared" si="109"/>
        <v>0</v>
      </c>
      <c r="X323" s="52"/>
      <c r="Y323" s="53">
        <f t="shared" si="104"/>
        <v>0</v>
      </c>
      <c r="Z323" s="53">
        <f t="shared" si="110"/>
        <v>0</v>
      </c>
      <c r="AA323" s="52">
        <v>5</v>
      </c>
      <c r="AB323" s="53">
        <v>28600000</v>
      </c>
      <c r="AC323" s="53">
        <f t="shared" si="98"/>
        <v>0</v>
      </c>
      <c r="AD323" s="56" t="s">
        <v>750</v>
      </c>
      <c r="AE323" s="70"/>
      <c r="AF323" s="1">
        <v>28600000</v>
      </c>
      <c r="AG323" s="5">
        <f t="shared" si="107"/>
        <v>0</v>
      </c>
    </row>
    <row r="324" spans="1:33" s="1" customFormat="1" x14ac:dyDescent="0.25">
      <c r="A324" s="49"/>
      <c r="B324" s="22" t="s">
        <v>1677</v>
      </c>
      <c r="C324" s="22" t="s">
        <v>726</v>
      </c>
      <c r="D324" s="51" t="s">
        <v>825</v>
      </c>
      <c r="E324" s="24" t="s">
        <v>166</v>
      </c>
      <c r="F324" s="24"/>
      <c r="G324" s="24" t="s">
        <v>319</v>
      </c>
      <c r="H324" s="24" t="s">
        <v>62</v>
      </c>
      <c r="I324" s="24">
        <v>2012</v>
      </c>
      <c r="J324" s="24"/>
      <c r="K324" s="24" t="s">
        <v>63</v>
      </c>
      <c r="L324" s="24" t="s">
        <v>64</v>
      </c>
      <c r="M324" s="24">
        <v>40</v>
      </c>
      <c r="N324" s="41">
        <f t="shared" si="108"/>
        <v>782025</v>
      </c>
      <c r="O324" s="41">
        <v>31281000</v>
      </c>
      <c r="P324" s="24"/>
      <c r="Q324" s="24"/>
      <c r="R324" s="24"/>
      <c r="S324" s="41">
        <f t="shared" si="97"/>
        <v>31281000</v>
      </c>
      <c r="T324" s="24">
        <v>5</v>
      </c>
      <c r="U324" s="41"/>
      <c r="V324" s="24">
        <v>0.5</v>
      </c>
      <c r="W324" s="41">
        <f t="shared" si="109"/>
        <v>0</v>
      </c>
      <c r="X324" s="52"/>
      <c r="Y324" s="53">
        <f t="shared" si="104"/>
        <v>0</v>
      </c>
      <c r="Z324" s="53">
        <f t="shared" si="110"/>
        <v>0</v>
      </c>
      <c r="AA324" s="52">
        <v>5</v>
      </c>
      <c r="AB324" s="53">
        <v>31281000</v>
      </c>
      <c r="AC324" s="53">
        <f t="shared" si="98"/>
        <v>0</v>
      </c>
      <c r="AD324" s="56" t="s">
        <v>357</v>
      </c>
      <c r="AE324" s="70"/>
      <c r="AF324" s="1">
        <v>31281000</v>
      </c>
      <c r="AG324" s="5">
        <f t="shared" si="107"/>
        <v>0</v>
      </c>
    </row>
    <row r="325" spans="1:33" s="1" customFormat="1" x14ac:dyDescent="0.25">
      <c r="A325" s="49"/>
      <c r="B325" s="22" t="s">
        <v>1678</v>
      </c>
      <c r="C325" s="22" t="s">
        <v>58</v>
      </c>
      <c r="D325" s="51" t="s">
        <v>770</v>
      </c>
      <c r="E325" s="24" t="s">
        <v>771</v>
      </c>
      <c r="F325" s="24"/>
      <c r="G325" s="24" t="s">
        <v>319</v>
      </c>
      <c r="H325" s="24" t="s">
        <v>62</v>
      </c>
      <c r="I325" s="24">
        <v>2008</v>
      </c>
      <c r="J325" s="24"/>
      <c r="K325" s="24" t="s">
        <v>63</v>
      </c>
      <c r="L325" s="24" t="s">
        <v>64</v>
      </c>
      <c r="M325" s="24">
        <v>1</v>
      </c>
      <c r="N325" s="41">
        <f t="shared" si="108"/>
        <v>3985000</v>
      </c>
      <c r="O325" s="41">
        <v>3985000</v>
      </c>
      <c r="P325" s="24"/>
      <c r="Q325" s="24"/>
      <c r="R325" s="24"/>
      <c r="S325" s="41">
        <f t="shared" si="97"/>
        <v>3985000</v>
      </c>
      <c r="T325" s="24">
        <v>5</v>
      </c>
      <c r="U325" s="41"/>
      <c r="V325" s="24">
        <v>0.5</v>
      </c>
      <c r="W325" s="41">
        <f t="shared" si="109"/>
        <v>0</v>
      </c>
      <c r="X325" s="52"/>
      <c r="Y325" s="53">
        <f t="shared" ref="Y325:Y349" si="111">SUM(U325*X325)</f>
        <v>0</v>
      </c>
      <c r="Z325" s="53">
        <f t="shared" si="110"/>
        <v>0</v>
      </c>
      <c r="AA325" s="52">
        <v>5</v>
      </c>
      <c r="AB325" s="53">
        <v>3985000</v>
      </c>
      <c r="AC325" s="53">
        <f t="shared" si="98"/>
        <v>0</v>
      </c>
      <c r="AD325" s="56" t="s">
        <v>772</v>
      </c>
      <c r="AE325" s="70"/>
      <c r="AF325" s="1">
        <v>3985000</v>
      </c>
      <c r="AG325" s="5">
        <f t="shared" si="107"/>
        <v>0</v>
      </c>
    </row>
    <row r="326" spans="1:33" s="1" customFormat="1" x14ac:dyDescent="0.25">
      <c r="A326" s="49"/>
      <c r="B326" s="22" t="s">
        <v>1678</v>
      </c>
      <c r="C326" s="22" t="s">
        <v>75</v>
      </c>
      <c r="D326" s="51" t="s">
        <v>770</v>
      </c>
      <c r="E326" s="24" t="s">
        <v>771</v>
      </c>
      <c r="F326" s="24"/>
      <c r="G326" s="24" t="s">
        <v>319</v>
      </c>
      <c r="H326" s="24" t="s">
        <v>62</v>
      </c>
      <c r="I326" s="24">
        <v>2008</v>
      </c>
      <c r="J326" s="24"/>
      <c r="K326" s="24" t="s">
        <v>63</v>
      </c>
      <c r="L326" s="24" t="s">
        <v>64</v>
      </c>
      <c r="M326" s="24">
        <v>1</v>
      </c>
      <c r="N326" s="41">
        <f t="shared" si="108"/>
        <v>3985000</v>
      </c>
      <c r="O326" s="41">
        <v>3985000</v>
      </c>
      <c r="P326" s="24"/>
      <c r="Q326" s="24"/>
      <c r="R326" s="24"/>
      <c r="S326" s="41">
        <f t="shared" si="97"/>
        <v>3985000</v>
      </c>
      <c r="T326" s="24">
        <v>5</v>
      </c>
      <c r="U326" s="41"/>
      <c r="V326" s="24">
        <v>0.5</v>
      </c>
      <c r="W326" s="41">
        <f t="shared" si="109"/>
        <v>0</v>
      </c>
      <c r="X326" s="52"/>
      <c r="Y326" s="53">
        <f t="shared" si="111"/>
        <v>0</v>
      </c>
      <c r="Z326" s="53">
        <f t="shared" si="110"/>
        <v>0</v>
      </c>
      <c r="AA326" s="57">
        <v>5</v>
      </c>
      <c r="AB326" s="53">
        <v>3985000</v>
      </c>
      <c r="AC326" s="53">
        <f t="shared" si="98"/>
        <v>0</v>
      </c>
      <c r="AD326" s="56" t="s">
        <v>578</v>
      </c>
      <c r="AE326" s="70"/>
      <c r="AF326" s="1">
        <v>3985000</v>
      </c>
      <c r="AG326" s="5">
        <f t="shared" si="107"/>
        <v>0</v>
      </c>
    </row>
    <row r="327" spans="1:33" s="1" customFormat="1" x14ac:dyDescent="0.25">
      <c r="A327" s="49"/>
      <c r="B327" s="22" t="s">
        <v>1678</v>
      </c>
      <c r="C327" s="22" t="s">
        <v>79</v>
      </c>
      <c r="D327" s="51" t="s">
        <v>770</v>
      </c>
      <c r="E327" s="24" t="s">
        <v>771</v>
      </c>
      <c r="F327" s="24"/>
      <c r="G327" s="24" t="s">
        <v>319</v>
      </c>
      <c r="H327" s="24" t="s">
        <v>62</v>
      </c>
      <c r="I327" s="24">
        <v>2008</v>
      </c>
      <c r="J327" s="24"/>
      <c r="K327" s="24" t="s">
        <v>63</v>
      </c>
      <c r="L327" s="24" t="s">
        <v>64</v>
      </c>
      <c r="M327" s="24">
        <v>1</v>
      </c>
      <c r="N327" s="41">
        <f t="shared" si="108"/>
        <v>3985000</v>
      </c>
      <c r="O327" s="41">
        <v>3985000</v>
      </c>
      <c r="P327" s="24"/>
      <c r="Q327" s="24"/>
      <c r="R327" s="24"/>
      <c r="S327" s="41">
        <f t="shared" si="97"/>
        <v>3985000</v>
      </c>
      <c r="T327" s="24">
        <v>5</v>
      </c>
      <c r="U327" s="41"/>
      <c r="V327" s="24">
        <v>0.5</v>
      </c>
      <c r="W327" s="41">
        <f t="shared" si="109"/>
        <v>0</v>
      </c>
      <c r="X327" s="52"/>
      <c r="Y327" s="53">
        <f t="shared" si="111"/>
        <v>0</v>
      </c>
      <c r="Z327" s="53">
        <f t="shared" si="110"/>
        <v>0</v>
      </c>
      <c r="AA327" s="57">
        <v>5</v>
      </c>
      <c r="AB327" s="53">
        <v>3985000</v>
      </c>
      <c r="AC327" s="53">
        <f t="shared" si="98"/>
        <v>0</v>
      </c>
      <c r="AD327" s="56" t="s">
        <v>540</v>
      </c>
      <c r="AE327" s="70"/>
      <c r="AF327" s="1">
        <v>3985000</v>
      </c>
      <c r="AG327" s="5">
        <f t="shared" si="107"/>
        <v>0</v>
      </c>
    </row>
    <row r="328" spans="1:33" s="1" customFormat="1" x14ac:dyDescent="0.25">
      <c r="A328" s="49"/>
      <c r="B328" s="22" t="s">
        <v>1678</v>
      </c>
      <c r="C328" s="22" t="s">
        <v>84</v>
      </c>
      <c r="D328" s="51" t="s">
        <v>770</v>
      </c>
      <c r="E328" s="24" t="s">
        <v>771</v>
      </c>
      <c r="F328" s="24"/>
      <c r="G328" s="24" t="s">
        <v>319</v>
      </c>
      <c r="H328" s="24" t="s">
        <v>62</v>
      </c>
      <c r="I328" s="24">
        <v>2008</v>
      </c>
      <c r="J328" s="24"/>
      <c r="K328" s="24" t="s">
        <v>63</v>
      </c>
      <c r="L328" s="24" t="s">
        <v>64</v>
      </c>
      <c r="M328" s="24">
        <v>1</v>
      </c>
      <c r="N328" s="41">
        <f t="shared" si="108"/>
        <v>3985000</v>
      </c>
      <c r="O328" s="41">
        <v>3985000</v>
      </c>
      <c r="P328" s="24"/>
      <c r="Q328" s="24"/>
      <c r="R328" s="24"/>
      <c r="S328" s="41">
        <f t="shared" si="97"/>
        <v>3985000</v>
      </c>
      <c r="T328" s="24">
        <v>5</v>
      </c>
      <c r="U328" s="41"/>
      <c r="V328" s="24">
        <v>0.5</v>
      </c>
      <c r="W328" s="41">
        <f t="shared" si="109"/>
        <v>0</v>
      </c>
      <c r="X328" s="52"/>
      <c r="Y328" s="53">
        <f t="shared" si="111"/>
        <v>0</v>
      </c>
      <c r="Z328" s="53">
        <f t="shared" si="110"/>
        <v>0</v>
      </c>
      <c r="AA328" s="57">
        <v>5</v>
      </c>
      <c r="AB328" s="53">
        <v>3985000</v>
      </c>
      <c r="AC328" s="53">
        <f t="shared" si="98"/>
        <v>0</v>
      </c>
      <c r="AD328" s="56" t="s">
        <v>351</v>
      </c>
      <c r="AE328" s="70"/>
      <c r="AF328" s="1">
        <v>3985000</v>
      </c>
      <c r="AG328" s="5">
        <f t="shared" si="107"/>
        <v>0</v>
      </c>
    </row>
    <row r="329" spans="1:33" s="1" customFormat="1" x14ac:dyDescent="0.25">
      <c r="A329" s="49"/>
      <c r="B329" s="22" t="s">
        <v>1678</v>
      </c>
      <c r="C329" s="22" t="s">
        <v>88</v>
      </c>
      <c r="D329" s="51" t="s">
        <v>770</v>
      </c>
      <c r="E329" s="24" t="s">
        <v>771</v>
      </c>
      <c r="F329" s="24"/>
      <c r="G329" s="24" t="s">
        <v>319</v>
      </c>
      <c r="H329" s="24" t="s">
        <v>62</v>
      </c>
      <c r="I329" s="24">
        <v>2008</v>
      </c>
      <c r="J329" s="24"/>
      <c r="K329" s="24" t="s">
        <v>63</v>
      </c>
      <c r="L329" s="24" t="s">
        <v>64</v>
      </c>
      <c r="M329" s="24">
        <v>1</v>
      </c>
      <c r="N329" s="41">
        <f t="shared" si="108"/>
        <v>3985000</v>
      </c>
      <c r="O329" s="41">
        <v>3985000</v>
      </c>
      <c r="P329" s="24"/>
      <c r="Q329" s="24"/>
      <c r="R329" s="24"/>
      <c r="S329" s="41">
        <f t="shared" si="97"/>
        <v>3985000</v>
      </c>
      <c r="T329" s="24">
        <v>5</v>
      </c>
      <c r="U329" s="41"/>
      <c r="V329" s="24">
        <v>0.5</v>
      </c>
      <c r="W329" s="41">
        <f t="shared" si="109"/>
        <v>0</v>
      </c>
      <c r="X329" s="52"/>
      <c r="Y329" s="53">
        <f t="shared" si="111"/>
        <v>0</v>
      </c>
      <c r="Z329" s="53">
        <f t="shared" si="110"/>
        <v>0</v>
      </c>
      <c r="AA329" s="57">
        <v>5</v>
      </c>
      <c r="AB329" s="53">
        <v>3985000</v>
      </c>
      <c r="AC329" s="53">
        <f t="shared" si="98"/>
        <v>0</v>
      </c>
      <c r="AD329" s="56" t="s">
        <v>601</v>
      </c>
      <c r="AE329" s="70"/>
      <c r="AF329" s="1">
        <v>3985000</v>
      </c>
      <c r="AG329" s="5">
        <f t="shared" si="107"/>
        <v>0</v>
      </c>
    </row>
    <row r="330" spans="1:33" s="1" customFormat="1" x14ac:dyDescent="0.25">
      <c r="A330" s="49"/>
      <c r="B330" s="22" t="s">
        <v>1678</v>
      </c>
      <c r="C330" s="22" t="s">
        <v>92</v>
      </c>
      <c r="D330" s="51" t="s">
        <v>770</v>
      </c>
      <c r="E330" s="24" t="s">
        <v>771</v>
      </c>
      <c r="F330" s="24"/>
      <c r="G330" s="24" t="s">
        <v>319</v>
      </c>
      <c r="H330" s="24" t="s">
        <v>62</v>
      </c>
      <c r="I330" s="24">
        <v>2008</v>
      </c>
      <c r="J330" s="24"/>
      <c r="K330" s="24" t="s">
        <v>63</v>
      </c>
      <c r="L330" s="24" t="s">
        <v>64</v>
      </c>
      <c r="M330" s="24">
        <v>1</v>
      </c>
      <c r="N330" s="41">
        <f t="shared" si="108"/>
        <v>3985000</v>
      </c>
      <c r="O330" s="41">
        <v>3985000</v>
      </c>
      <c r="P330" s="24"/>
      <c r="Q330" s="24"/>
      <c r="R330" s="24"/>
      <c r="S330" s="41">
        <f t="shared" si="97"/>
        <v>3985000</v>
      </c>
      <c r="T330" s="24">
        <v>5</v>
      </c>
      <c r="U330" s="41"/>
      <c r="V330" s="24">
        <v>0.5</v>
      </c>
      <c r="W330" s="41">
        <f t="shared" si="109"/>
        <v>0</v>
      </c>
      <c r="X330" s="52"/>
      <c r="Y330" s="53">
        <f t="shared" si="111"/>
        <v>0</v>
      </c>
      <c r="Z330" s="53">
        <f t="shared" si="110"/>
        <v>0</v>
      </c>
      <c r="AA330" s="57">
        <v>5</v>
      </c>
      <c r="AB330" s="53">
        <v>3985000</v>
      </c>
      <c r="AC330" s="53">
        <f t="shared" si="98"/>
        <v>0</v>
      </c>
      <c r="AD330" s="56" t="s">
        <v>605</v>
      </c>
      <c r="AE330" s="70"/>
      <c r="AF330" s="1">
        <v>3985000</v>
      </c>
      <c r="AG330" s="5">
        <f t="shared" si="107"/>
        <v>0</v>
      </c>
    </row>
    <row r="331" spans="1:33" s="1" customFormat="1" x14ac:dyDescent="0.25">
      <c r="A331" s="49"/>
      <c r="B331" s="22" t="s">
        <v>1678</v>
      </c>
      <c r="C331" s="22" t="s">
        <v>96</v>
      </c>
      <c r="D331" s="51" t="s">
        <v>770</v>
      </c>
      <c r="E331" s="24" t="s">
        <v>771</v>
      </c>
      <c r="F331" s="24"/>
      <c r="G331" s="24" t="s">
        <v>319</v>
      </c>
      <c r="H331" s="24" t="s">
        <v>62</v>
      </c>
      <c r="I331" s="24">
        <v>2008</v>
      </c>
      <c r="J331" s="24"/>
      <c r="K331" s="24" t="s">
        <v>63</v>
      </c>
      <c r="L331" s="24" t="s">
        <v>64</v>
      </c>
      <c r="M331" s="24">
        <v>1</v>
      </c>
      <c r="N331" s="41">
        <f t="shared" si="108"/>
        <v>3985000</v>
      </c>
      <c r="O331" s="41">
        <v>3985000</v>
      </c>
      <c r="P331" s="24"/>
      <c r="Q331" s="24"/>
      <c r="R331" s="24"/>
      <c r="S331" s="41">
        <f t="shared" si="97"/>
        <v>3985000</v>
      </c>
      <c r="T331" s="24">
        <v>5</v>
      </c>
      <c r="U331" s="41"/>
      <c r="V331" s="24">
        <v>0.5</v>
      </c>
      <c r="W331" s="41">
        <f t="shared" si="109"/>
        <v>0</v>
      </c>
      <c r="X331" s="52"/>
      <c r="Y331" s="53">
        <f t="shared" si="111"/>
        <v>0</v>
      </c>
      <c r="Z331" s="53">
        <f t="shared" si="110"/>
        <v>0</v>
      </c>
      <c r="AA331" s="57">
        <v>5</v>
      </c>
      <c r="AB331" s="53">
        <v>3985000</v>
      </c>
      <c r="AC331" s="53">
        <f t="shared" si="98"/>
        <v>0</v>
      </c>
      <c r="AD331" s="56" t="s">
        <v>759</v>
      </c>
      <c r="AE331" s="70"/>
      <c r="AF331" s="1">
        <v>3985000</v>
      </c>
      <c r="AG331" s="5">
        <f t="shared" si="107"/>
        <v>0</v>
      </c>
    </row>
    <row r="332" spans="1:33" s="1" customFormat="1" x14ac:dyDescent="0.25">
      <c r="A332" s="49"/>
      <c r="B332" s="22" t="s">
        <v>1678</v>
      </c>
      <c r="C332" s="22" t="s">
        <v>100</v>
      </c>
      <c r="D332" s="51" t="s">
        <v>770</v>
      </c>
      <c r="E332" s="24" t="s">
        <v>771</v>
      </c>
      <c r="F332" s="24"/>
      <c r="G332" s="24" t="s">
        <v>319</v>
      </c>
      <c r="H332" s="24" t="s">
        <v>62</v>
      </c>
      <c r="I332" s="24">
        <v>2008</v>
      </c>
      <c r="J332" s="24"/>
      <c r="K332" s="24" t="s">
        <v>63</v>
      </c>
      <c r="L332" s="24" t="s">
        <v>64</v>
      </c>
      <c r="M332" s="24">
        <v>1</v>
      </c>
      <c r="N332" s="41">
        <f t="shared" si="108"/>
        <v>3985000</v>
      </c>
      <c r="O332" s="41">
        <v>3985000</v>
      </c>
      <c r="P332" s="24"/>
      <c r="Q332" s="24"/>
      <c r="R332" s="24"/>
      <c r="S332" s="41">
        <f t="shared" si="97"/>
        <v>3985000</v>
      </c>
      <c r="T332" s="24">
        <v>5</v>
      </c>
      <c r="U332" s="41"/>
      <c r="V332" s="24">
        <v>0.5</v>
      </c>
      <c r="W332" s="41">
        <f t="shared" si="109"/>
        <v>0</v>
      </c>
      <c r="X332" s="52"/>
      <c r="Y332" s="53">
        <f t="shared" si="111"/>
        <v>0</v>
      </c>
      <c r="Z332" s="53">
        <f t="shared" si="110"/>
        <v>0</v>
      </c>
      <c r="AA332" s="57">
        <v>5</v>
      </c>
      <c r="AB332" s="53">
        <v>3985000</v>
      </c>
      <c r="AC332" s="53">
        <f t="shared" si="98"/>
        <v>0</v>
      </c>
      <c r="AD332" s="56" t="s">
        <v>387</v>
      </c>
      <c r="AE332" s="70"/>
      <c r="AF332" s="1">
        <v>3985000</v>
      </c>
      <c r="AG332" s="5">
        <f t="shared" si="107"/>
        <v>0</v>
      </c>
    </row>
    <row r="333" spans="1:33" s="1" customFormat="1" x14ac:dyDescent="0.25">
      <c r="A333" s="49"/>
      <c r="B333" s="22" t="s">
        <v>1678</v>
      </c>
      <c r="C333" s="22" t="s">
        <v>105</v>
      </c>
      <c r="D333" s="51" t="s">
        <v>770</v>
      </c>
      <c r="E333" s="24" t="s">
        <v>771</v>
      </c>
      <c r="F333" s="24"/>
      <c r="G333" s="24" t="s">
        <v>319</v>
      </c>
      <c r="H333" s="24" t="s">
        <v>62</v>
      </c>
      <c r="I333" s="24">
        <v>2008</v>
      </c>
      <c r="J333" s="24"/>
      <c r="K333" s="24" t="s">
        <v>63</v>
      </c>
      <c r="L333" s="24" t="s">
        <v>64</v>
      </c>
      <c r="M333" s="24">
        <v>1</v>
      </c>
      <c r="N333" s="41">
        <f t="shared" si="108"/>
        <v>3985000</v>
      </c>
      <c r="O333" s="41">
        <v>3985000</v>
      </c>
      <c r="P333" s="24"/>
      <c r="Q333" s="24"/>
      <c r="R333" s="24"/>
      <c r="S333" s="41">
        <f t="shared" si="97"/>
        <v>3985000</v>
      </c>
      <c r="T333" s="24">
        <v>5</v>
      </c>
      <c r="U333" s="41"/>
      <c r="V333" s="24">
        <v>0.5</v>
      </c>
      <c r="W333" s="41">
        <f t="shared" si="109"/>
        <v>0</v>
      </c>
      <c r="X333" s="57"/>
      <c r="Y333" s="53">
        <f t="shared" si="111"/>
        <v>0</v>
      </c>
      <c r="Z333" s="53">
        <f t="shared" si="110"/>
        <v>0</v>
      </c>
      <c r="AA333" s="57">
        <v>5</v>
      </c>
      <c r="AB333" s="53">
        <v>3985000</v>
      </c>
      <c r="AC333" s="53">
        <f t="shared" si="98"/>
        <v>0</v>
      </c>
      <c r="AD333" s="56" t="s">
        <v>388</v>
      </c>
      <c r="AE333" s="70"/>
      <c r="AF333" s="1">
        <v>3985000</v>
      </c>
      <c r="AG333" s="5">
        <f t="shared" si="107"/>
        <v>0</v>
      </c>
    </row>
    <row r="334" spans="1:33" s="1" customFormat="1" x14ac:dyDescent="0.25">
      <c r="A334" s="49"/>
      <c r="B334" s="22" t="s">
        <v>1678</v>
      </c>
      <c r="C334" s="22" t="s">
        <v>108</v>
      </c>
      <c r="D334" s="51" t="s">
        <v>770</v>
      </c>
      <c r="E334" s="24" t="s">
        <v>771</v>
      </c>
      <c r="F334" s="24"/>
      <c r="G334" s="24" t="s">
        <v>319</v>
      </c>
      <c r="H334" s="24" t="s">
        <v>62</v>
      </c>
      <c r="I334" s="24">
        <v>2008</v>
      </c>
      <c r="J334" s="24"/>
      <c r="K334" s="24" t="s">
        <v>63</v>
      </c>
      <c r="L334" s="24" t="s">
        <v>64</v>
      </c>
      <c r="M334" s="24">
        <v>1</v>
      </c>
      <c r="N334" s="41">
        <f t="shared" si="108"/>
        <v>3985000</v>
      </c>
      <c r="O334" s="41">
        <v>3985000</v>
      </c>
      <c r="P334" s="24"/>
      <c r="Q334" s="24"/>
      <c r="R334" s="24"/>
      <c r="S334" s="41">
        <f t="shared" si="97"/>
        <v>3985000</v>
      </c>
      <c r="T334" s="24">
        <v>5</v>
      </c>
      <c r="U334" s="41"/>
      <c r="V334" s="24">
        <v>0.5</v>
      </c>
      <c r="W334" s="41">
        <f t="shared" si="109"/>
        <v>0</v>
      </c>
      <c r="X334" s="24"/>
      <c r="Y334" s="41">
        <f t="shared" si="111"/>
        <v>0</v>
      </c>
      <c r="Z334" s="41">
        <f t="shared" si="110"/>
        <v>0</v>
      </c>
      <c r="AA334" s="24">
        <v>5</v>
      </c>
      <c r="AB334" s="41">
        <v>3985000</v>
      </c>
      <c r="AC334" s="41">
        <f t="shared" si="98"/>
        <v>0</v>
      </c>
      <c r="AD334" s="70" t="s">
        <v>385</v>
      </c>
      <c r="AE334" s="70"/>
      <c r="AF334" s="1">
        <v>3985000</v>
      </c>
      <c r="AG334" s="5">
        <f t="shared" si="107"/>
        <v>0</v>
      </c>
    </row>
    <row r="335" spans="1:33" s="1" customFormat="1" x14ac:dyDescent="0.25">
      <c r="A335" s="49"/>
      <c r="B335" s="22" t="s">
        <v>1678</v>
      </c>
      <c r="C335" s="22" t="s">
        <v>135</v>
      </c>
      <c r="D335" s="51" t="s">
        <v>770</v>
      </c>
      <c r="E335" s="24" t="s">
        <v>771</v>
      </c>
      <c r="F335" s="24"/>
      <c r="G335" s="24" t="s">
        <v>319</v>
      </c>
      <c r="H335" s="24" t="s">
        <v>62</v>
      </c>
      <c r="I335" s="24">
        <v>2011</v>
      </c>
      <c r="J335" s="24"/>
      <c r="K335" s="24" t="s">
        <v>202</v>
      </c>
      <c r="L335" s="24" t="s">
        <v>64</v>
      </c>
      <c r="M335" s="24">
        <v>1</v>
      </c>
      <c r="N335" s="41">
        <f t="shared" si="108"/>
        <v>8000000</v>
      </c>
      <c r="O335" s="41">
        <v>8000000</v>
      </c>
      <c r="P335" s="24"/>
      <c r="Q335" s="24"/>
      <c r="R335" s="24"/>
      <c r="S335" s="41">
        <f t="shared" ref="S335:S366" si="112">SUM(O335-R335)</f>
        <v>8000000</v>
      </c>
      <c r="T335" s="24">
        <v>5</v>
      </c>
      <c r="U335" s="41"/>
      <c r="V335" s="24">
        <v>0.5</v>
      </c>
      <c r="W335" s="41">
        <f t="shared" si="109"/>
        <v>0</v>
      </c>
      <c r="X335" s="24"/>
      <c r="Y335" s="41">
        <f t="shared" si="111"/>
        <v>0</v>
      </c>
      <c r="Z335" s="41">
        <f t="shared" si="110"/>
        <v>0</v>
      </c>
      <c r="AA335" s="24">
        <v>5</v>
      </c>
      <c r="AB335" s="41">
        <v>8000000</v>
      </c>
      <c r="AC335" s="41">
        <f t="shared" ref="AC335:AC366" si="113">SUM(O335-AB335)</f>
        <v>0</v>
      </c>
      <c r="AD335" s="70" t="s">
        <v>335</v>
      </c>
      <c r="AE335" s="70"/>
      <c r="AF335" s="1">
        <v>8000000</v>
      </c>
      <c r="AG335" s="5">
        <f t="shared" si="107"/>
        <v>0</v>
      </c>
    </row>
    <row r="336" spans="1:33" s="1" customFormat="1" x14ac:dyDescent="0.25">
      <c r="A336" s="49"/>
      <c r="B336" s="22" t="s">
        <v>1678</v>
      </c>
      <c r="C336" s="50" t="s">
        <v>138</v>
      </c>
      <c r="D336" s="51" t="s">
        <v>770</v>
      </c>
      <c r="E336" s="52" t="s">
        <v>771</v>
      </c>
      <c r="F336" s="52"/>
      <c r="G336" s="52" t="s">
        <v>319</v>
      </c>
      <c r="H336" s="52" t="s">
        <v>62</v>
      </c>
      <c r="I336" s="52">
        <v>2021</v>
      </c>
      <c r="J336" s="52"/>
      <c r="K336" s="52" t="s">
        <v>202</v>
      </c>
      <c r="L336" s="52" t="s">
        <v>64</v>
      </c>
      <c r="M336" s="52">
        <v>1</v>
      </c>
      <c r="N336" s="53">
        <f t="shared" si="108"/>
        <v>6000000</v>
      </c>
      <c r="O336" s="53">
        <v>6000000</v>
      </c>
      <c r="P336" s="52"/>
      <c r="Q336" s="52"/>
      <c r="R336" s="52"/>
      <c r="S336" s="53">
        <f t="shared" si="112"/>
        <v>6000000</v>
      </c>
      <c r="T336" s="52">
        <v>5</v>
      </c>
      <c r="U336" s="53">
        <f t="shared" ref="U336" si="114">SUM(S336/T336)</f>
        <v>1200000</v>
      </c>
      <c r="V336" s="52">
        <v>0.5</v>
      </c>
      <c r="W336" s="53">
        <f t="shared" si="109"/>
        <v>600000</v>
      </c>
      <c r="X336" s="24"/>
      <c r="Y336" s="41">
        <f t="shared" si="111"/>
        <v>0</v>
      </c>
      <c r="Z336" s="41">
        <f t="shared" si="110"/>
        <v>600000</v>
      </c>
      <c r="AA336" s="24">
        <f>1/12+0.5+0.5+0.5</f>
        <v>1.5833333333333335</v>
      </c>
      <c r="AB336" s="41">
        <f t="shared" ref="AB336" si="115">SUM(U336*AA336)</f>
        <v>1900000.0000000002</v>
      </c>
      <c r="AC336" s="41">
        <f t="shared" si="113"/>
        <v>4100000</v>
      </c>
      <c r="AD336" s="70" t="s">
        <v>773</v>
      </c>
      <c r="AE336" s="70"/>
      <c r="AF336" s="1">
        <v>1300000.0000000002</v>
      </c>
      <c r="AG336" s="5">
        <f t="shared" si="107"/>
        <v>0</v>
      </c>
    </row>
    <row r="337" spans="1:33" s="1" customFormat="1" x14ac:dyDescent="0.25">
      <c r="A337" s="49"/>
      <c r="B337" s="22" t="s">
        <v>1679</v>
      </c>
      <c r="C337" s="22" t="s">
        <v>734</v>
      </c>
      <c r="D337" s="51" t="s">
        <v>735</v>
      </c>
      <c r="E337" s="24" t="s">
        <v>736</v>
      </c>
      <c r="F337" s="24"/>
      <c r="G337" s="24" t="s">
        <v>737</v>
      </c>
      <c r="H337" s="24" t="s">
        <v>62</v>
      </c>
      <c r="I337" s="24">
        <v>2012</v>
      </c>
      <c r="J337" s="24"/>
      <c r="K337" s="24" t="s">
        <v>63</v>
      </c>
      <c r="L337" s="24" t="s">
        <v>64</v>
      </c>
      <c r="M337" s="24">
        <v>42</v>
      </c>
      <c r="N337" s="41">
        <f t="shared" si="108"/>
        <v>666600</v>
      </c>
      <c r="O337" s="41">
        <v>27997200</v>
      </c>
      <c r="P337" s="24"/>
      <c r="Q337" s="24"/>
      <c r="R337" s="24"/>
      <c r="S337" s="41">
        <f t="shared" si="112"/>
        <v>27997200</v>
      </c>
      <c r="T337" s="24">
        <v>5</v>
      </c>
      <c r="U337" s="41"/>
      <c r="V337" s="24">
        <v>0.5</v>
      </c>
      <c r="W337" s="41">
        <f t="shared" si="109"/>
        <v>0</v>
      </c>
      <c r="X337" s="24"/>
      <c r="Y337" s="41">
        <f t="shared" si="111"/>
        <v>0</v>
      </c>
      <c r="Z337" s="41">
        <f t="shared" si="110"/>
        <v>0</v>
      </c>
      <c r="AA337" s="24">
        <v>5</v>
      </c>
      <c r="AB337" s="41">
        <v>27997200</v>
      </c>
      <c r="AC337" s="41">
        <f t="shared" si="113"/>
        <v>0</v>
      </c>
      <c r="AD337" s="70" t="s">
        <v>288</v>
      </c>
      <c r="AE337" s="70"/>
      <c r="AF337" s="1">
        <v>27997200</v>
      </c>
      <c r="AG337" s="5">
        <f t="shared" si="107"/>
        <v>0</v>
      </c>
    </row>
    <row r="338" spans="1:33" s="1" customFormat="1" x14ac:dyDescent="0.25">
      <c r="A338" s="49"/>
      <c r="B338" s="22" t="s">
        <v>1679</v>
      </c>
      <c r="C338" s="22" t="s">
        <v>738</v>
      </c>
      <c r="D338" s="51" t="s">
        <v>735</v>
      </c>
      <c r="E338" s="24" t="s">
        <v>739</v>
      </c>
      <c r="F338" s="24"/>
      <c r="G338" s="24" t="s">
        <v>737</v>
      </c>
      <c r="H338" s="24" t="s">
        <v>62</v>
      </c>
      <c r="I338" s="24">
        <v>2012</v>
      </c>
      <c r="J338" s="24">
        <v>0</v>
      </c>
      <c r="K338" s="24" t="s">
        <v>63</v>
      </c>
      <c r="L338" s="24" t="s">
        <v>64</v>
      </c>
      <c r="M338" s="24">
        <v>40</v>
      </c>
      <c r="N338" s="41">
        <f t="shared" si="108"/>
        <v>500500</v>
      </c>
      <c r="O338" s="41">
        <v>20020000</v>
      </c>
      <c r="P338" s="24"/>
      <c r="Q338" s="24"/>
      <c r="R338" s="24"/>
      <c r="S338" s="41">
        <f t="shared" si="112"/>
        <v>20020000</v>
      </c>
      <c r="T338" s="24">
        <v>5</v>
      </c>
      <c r="U338" s="41"/>
      <c r="V338" s="24">
        <v>0.5</v>
      </c>
      <c r="W338" s="41">
        <f t="shared" si="109"/>
        <v>0</v>
      </c>
      <c r="X338" s="24"/>
      <c r="Y338" s="41">
        <f t="shared" si="111"/>
        <v>0</v>
      </c>
      <c r="Z338" s="41">
        <f t="shared" si="110"/>
        <v>0</v>
      </c>
      <c r="AA338" s="24">
        <v>5</v>
      </c>
      <c r="AB338" s="41">
        <v>20020000</v>
      </c>
      <c r="AC338" s="41">
        <f t="shared" si="113"/>
        <v>0</v>
      </c>
      <c r="AD338" s="70" t="s">
        <v>301</v>
      </c>
      <c r="AE338" s="70"/>
      <c r="AF338" s="1">
        <v>20020000</v>
      </c>
      <c r="AG338" s="5">
        <f t="shared" si="107"/>
        <v>0</v>
      </c>
    </row>
    <row r="339" spans="1:33" s="1" customFormat="1" x14ac:dyDescent="0.25">
      <c r="A339" s="49"/>
      <c r="B339" s="22" t="s">
        <v>1679</v>
      </c>
      <c r="C339" s="22" t="s">
        <v>752</v>
      </c>
      <c r="D339" s="51" t="s">
        <v>753</v>
      </c>
      <c r="E339" s="24" t="s">
        <v>754</v>
      </c>
      <c r="F339" s="24"/>
      <c r="G339" s="24" t="s">
        <v>737</v>
      </c>
      <c r="H339" s="24" t="s">
        <v>62</v>
      </c>
      <c r="I339" s="24">
        <v>2005</v>
      </c>
      <c r="J339" s="24"/>
      <c r="K339" s="24" t="s">
        <v>63</v>
      </c>
      <c r="L339" s="24" t="s">
        <v>64</v>
      </c>
      <c r="M339" s="24">
        <v>25</v>
      </c>
      <c r="N339" s="41">
        <f t="shared" si="108"/>
        <v>225000</v>
      </c>
      <c r="O339" s="41">
        <v>5625000</v>
      </c>
      <c r="P339" s="24"/>
      <c r="Q339" s="24"/>
      <c r="R339" s="24"/>
      <c r="S339" s="41">
        <f t="shared" si="112"/>
        <v>5625000</v>
      </c>
      <c r="T339" s="24">
        <v>5</v>
      </c>
      <c r="U339" s="41"/>
      <c r="V339" s="24">
        <v>0.5</v>
      </c>
      <c r="W339" s="41">
        <f t="shared" si="109"/>
        <v>0</v>
      </c>
      <c r="X339" s="24"/>
      <c r="Y339" s="41">
        <f t="shared" si="111"/>
        <v>0</v>
      </c>
      <c r="Z339" s="41">
        <f t="shared" si="110"/>
        <v>0</v>
      </c>
      <c r="AA339" s="24">
        <v>5</v>
      </c>
      <c r="AB339" s="41">
        <v>5625000</v>
      </c>
      <c r="AC339" s="41">
        <f t="shared" si="113"/>
        <v>0</v>
      </c>
      <c r="AD339" s="70" t="s">
        <v>213</v>
      </c>
      <c r="AE339" s="70"/>
      <c r="AF339" s="1">
        <v>5625000</v>
      </c>
      <c r="AG339" s="5">
        <f t="shared" si="107"/>
        <v>0</v>
      </c>
    </row>
    <row r="340" spans="1:33" s="1" customFormat="1" x14ac:dyDescent="0.25">
      <c r="A340" s="49"/>
      <c r="B340" s="22" t="s">
        <v>1679</v>
      </c>
      <c r="C340" s="22" t="s">
        <v>755</v>
      </c>
      <c r="D340" s="51" t="s">
        <v>753</v>
      </c>
      <c r="E340" s="24" t="s">
        <v>756</v>
      </c>
      <c r="F340" s="24"/>
      <c r="G340" s="24" t="s">
        <v>737</v>
      </c>
      <c r="H340" s="24" t="s">
        <v>62</v>
      </c>
      <c r="I340" s="24">
        <v>2005</v>
      </c>
      <c r="J340" s="24"/>
      <c r="K340" s="24" t="s">
        <v>63</v>
      </c>
      <c r="L340" s="24" t="s">
        <v>64</v>
      </c>
      <c r="M340" s="24">
        <v>10</v>
      </c>
      <c r="N340" s="41">
        <f t="shared" si="108"/>
        <v>220000</v>
      </c>
      <c r="O340" s="41">
        <v>2200000</v>
      </c>
      <c r="P340" s="24"/>
      <c r="Q340" s="24"/>
      <c r="R340" s="24"/>
      <c r="S340" s="41">
        <f t="shared" si="112"/>
        <v>2200000</v>
      </c>
      <c r="T340" s="24">
        <v>5</v>
      </c>
      <c r="U340" s="41"/>
      <c r="V340" s="24">
        <v>0.5</v>
      </c>
      <c r="W340" s="41">
        <f t="shared" si="109"/>
        <v>0</v>
      </c>
      <c r="X340" s="24"/>
      <c r="Y340" s="41">
        <f t="shared" si="111"/>
        <v>0</v>
      </c>
      <c r="Z340" s="41">
        <f t="shared" si="110"/>
        <v>0</v>
      </c>
      <c r="AA340" s="24">
        <v>5</v>
      </c>
      <c r="AB340" s="41">
        <v>2200000</v>
      </c>
      <c r="AC340" s="41">
        <f t="shared" si="113"/>
        <v>0</v>
      </c>
      <c r="AD340" s="70" t="s">
        <v>295</v>
      </c>
      <c r="AE340" s="70"/>
      <c r="AF340" s="1">
        <v>2200000</v>
      </c>
      <c r="AG340" s="5">
        <f t="shared" si="107"/>
        <v>0</v>
      </c>
    </row>
    <row r="341" spans="1:33" s="1" customFormat="1" x14ac:dyDescent="0.25">
      <c r="A341" s="49"/>
      <c r="B341" s="22" t="s">
        <v>1679</v>
      </c>
      <c r="C341" s="22" t="s">
        <v>757</v>
      </c>
      <c r="D341" s="51" t="s">
        <v>753</v>
      </c>
      <c r="E341" s="24" t="s">
        <v>756</v>
      </c>
      <c r="F341" s="24"/>
      <c r="G341" s="24" t="s">
        <v>737</v>
      </c>
      <c r="H341" s="24" t="s">
        <v>62</v>
      </c>
      <c r="I341" s="24">
        <v>2005</v>
      </c>
      <c r="J341" s="24"/>
      <c r="K341" s="24" t="s">
        <v>63</v>
      </c>
      <c r="L341" s="24" t="s">
        <v>64</v>
      </c>
      <c r="M341" s="24">
        <v>6</v>
      </c>
      <c r="N341" s="41">
        <f t="shared" si="108"/>
        <v>220000</v>
      </c>
      <c r="O341" s="41">
        <v>1320000</v>
      </c>
      <c r="P341" s="24"/>
      <c r="Q341" s="24"/>
      <c r="R341" s="24"/>
      <c r="S341" s="41">
        <f t="shared" si="112"/>
        <v>1320000</v>
      </c>
      <c r="T341" s="24">
        <v>5</v>
      </c>
      <c r="U341" s="41"/>
      <c r="V341" s="24">
        <v>0.5</v>
      </c>
      <c r="W341" s="41">
        <f t="shared" si="109"/>
        <v>0</v>
      </c>
      <c r="X341" s="24"/>
      <c r="Y341" s="41">
        <f t="shared" si="111"/>
        <v>0</v>
      </c>
      <c r="Z341" s="41">
        <f t="shared" si="110"/>
        <v>0</v>
      </c>
      <c r="AA341" s="24">
        <v>5</v>
      </c>
      <c r="AB341" s="41">
        <v>1320000</v>
      </c>
      <c r="AC341" s="41">
        <f t="shared" si="113"/>
        <v>0</v>
      </c>
      <c r="AD341" s="70" t="s">
        <v>333</v>
      </c>
      <c r="AE341" s="70"/>
      <c r="AF341" s="1">
        <v>1320000</v>
      </c>
      <c r="AG341" s="5">
        <f t="shared" si="107"/>
        <v>0</v>
      </c>
    </row>
    <row r="342" spans="1:33" s="1" customFormat="1" x14ac:dyDescent="0.25">
      <c r="A342" s="49"/>
      <c r="B342" s="22" t="s">
        <v>1679</v>
      </c>
      <c r="C342" s="22" t="s">
        <v>758</v>
      </c>
      <c r="D342" s="51" t="s">
        <v>753</v>
      </c>
      <c r="E342" s="24" t="s">
        <v>166</v>
      </c>
      <c r="F342" s="24"/>
      <c r="G342" s="24" t="s">
        <v>737</v>
      </c>
      <c r="H342" s="24" t="s">
        <v>62</v>
      </c>
      <c r="I342" s="24">
        <v>2009</v>
      </c>
      <c r="J342" s="24"/>
      <c r="K342" s="24" t="s">
        <v>63</v>
      </c>
      <c r="L342" s="24" t="s">
        <v>64</v>
      </c>
      <c r="M342" s="24">
        <v>1</v>
      </c>
      <c r="N342" s="41">
        <f t="shared" si="108"/>
        <v>1885000</v>
      </c>
      <c r="O342" s="41">
        <v>1885000</v>
      </c>
      <c r="P342" s="24"/>
      <c r="Q342" s="24"/>
      <c r="R342" s="24"/>
      <c r="S342" s="41">
        <f t="shared" si="112"/>
        <v>1885000</v>
      </c>
      <c r="T342" s="24">
        <v>5</v>
      </c>
      <c r="U342" s="41"/>
      <c r="V342" s="24">
        <v>0.5</v>
      </c>
      <c r="W342" s="41">
        <f t="shared" si="109"/>
        <v>0</v>
      </c>
      <c r="X342" s="24"/>
      <c r="Y342" s="41">
        <f t="shared" si="111"/>
        <v>0</v>
      </c>
      <c r="Z342" s="41">
        <f t="shared" si="110"/>
        <v>0</v>
      </c>
      <c r="AA342" s="24">
        <v>5</v>
      </c>
      <c r="AB342" s="41">
        <v>1885000</v>
      </c>
      <c r="AC342" s="41">
        <f t="shared" si="113"/>
        <v>0</v>
      </c>
      <c r="AD342" s="70" t="s">
        <v>759</v>
      </c>
      <c r="AE342" s="70"/>
      <c r="AF342" s="1">
        <v>1885000</v>
      </c>
      <c r="AG342" s="5">
        <f t="shared" si="107"/>
        <v>0</v>
      </c>
    </row>
    <row r="343" spans="1:33" s="1" customFormat="1" x14ac:dyDescent="0.25">
      <c r="A343" s="49"/>
      <c r="B343" s="22" t="s">
        <v>1679</v>
      </c>
      <c r="C343" s="22" t="s">
        <v>760</v>
      </c>
      <c r="D343" s="51" t="s">
        <v>753</v>
      </c>
      <c r="E343" s="24" t="s">
        <v>166</v>
      </c>
      <c r="F343" s="24"/>
      <c r="G343" s="24" t="s">
        <v>737</v>
      </c>
      <c r="H343" s="24" t="s">
        <v>62</v>
      </c>
      <c r="I343" s="24">
        <v>2009</v>
      </c>
      <c r="J343" s="24"/>
      <c r="K343" s="24" t="s">
        <v>63</v>
      </c>
      <c r="L343" s="24" t="s">
        <v>64</v>
      </c>
      <c r="M343" s="24">
        <v>1</v>
      </c>
      <c r="N343" s="41">
        <f t="shared" si="108"/>
        <v>1885000</v>
      </c>
      <c r="O343" s="41">
        <v>1885000</v>
      </c>
      <c r="P343" s="24"/>
      <c r="Q343" s="24"/>
      <c r="R343" s="24"/>
      <c r="S343" s="41">
        <f t="shared" si="112"/>
        <v>1885000</v>
      </c>
      <c r="T343" s="24">
        <v>5</v>
      </c>
      <c r="U343" s="41"/>
      <c r="V343" s="24">
        <v>0.5</v>
      </c>
      <c r="W343" s="41">
        <f t="shared" si="109"/>
        <v>0</v>
      </c>
      <c r="X343" s="24"/>
      <c r="Y343" s="41">
        <f t="shared" si="111"/>
        <v>0</v>
      </c>
      <c r="Z343" s="41">
        <f t="shared" si="110"/>
        <v>0</v>
      </c>
      <c r="AA343" s="24">
        <v>5</v>
      </c>
      <c r="AB343" s="41">
        <v>1885000</v>
      </c>
      <c r="AC343" s="41">
        <f t="shared" si="113"/>
        <v>0</v>
      </c>
      <c r="AD343" s="70" t="s">
        <v>387</v>
      </c>
      <c r="AE343" s="70"/>
      <c r="AF343" s="1">
        <v>1885000</v>
      </c>
      <c r="AG343" s="5">
        <f t="shared" si="107"/>
        <v>0</v>
      </c>
    </row>
    <row r="344" spans="1:33" s="1" customFormat="1" x14ac:dyDescent="0.25">
      <c r="A344" s="49"/>
      <c r="B344" s="22" t="s">
        <v>1679</v>
      </c>
      <c r="C344" s="22" t="s">
        <v>761</v>
      </c>
      <c r="D344" s="51" t="s">
        <v>753</v>
      </c>
      <c r="E344" s="24" t="s">
        <v>166</v>
      </c>
      <c r="F344" s="24"/>
      <c r="G344" s="24" t="s">
        <v>737</v>
      </c>
      <c r="H344" s="24" t="s">
        <v>62</v>
      </c>
      <c r="I344" s="24">
        <v>2009</v>
      </c>
      <c r="J344" s="24"/>
      <c r="K344" s="24" t="s">
        <v>63</v>
      </c>
      <c r="L344" s="24" t="s">
        <v>64</v>
      </c>
      <c r="M344" s="24">
        <v>1</v>
      </c>
      <c r="N344" s="41">
        <f t="shared" si="108"/>
        <v>1885000</v>
      </c>
      <c r="O344" s="41">
        <v>1885000</v>
      </c>
      <c r="P344" s="24"/>
      <c r="Q344" s="24"/>
      <c r="R344" s="24"/>
      <c r="S344" s="41">
        <f t="shared" si="112"/>
        <v>1885000</v>
      </c>
      <c r="T344" s="24">
        <v>5</v>
      </c>
      <c r="U344" s="41"/>
      <c r="V344" s="24">
        <v>0.5</v>
      </c>
      <c r="W344" s="41">
        <f t="shared" si="109"/>
        <v>0</v>
      </c>
      <c r="X344" s="24"/>
      <c r="Y344" s="41">
        <f t="shared" si="111"/>
        <v>0</v>
      </c>
      <c r="Z344" s="41">
        <f t="shared" si="110"/>
        <v>0</v>
      </c>
      <c r="AA344" s="24">
        <v>5</v>
      </c>
      <c r="AB344" s="41">
        <v>1885000</v>
      </c>
      <c r="AC344" s="41">
        <f t="shared" si="113"/>
        <v>0</v>
      </c>
      <c r="AD344" s="70" t="s">
        <v>388</v>
      </c>
      <c r="AE344" s="70"/>
      <c r="AF344" s="1">
        <v>1885000</v>
      </c>
      <c r="AG344" s="5">
        <f t="shared" si="107"/>
        <v>0</v>
      </c>
    </row>
    <row r="345" spans="1:33" s="1" customFormat="1" x14ac:dyDescent="0.25">
      <c r="A345" s="49"/>
      <c r="B345" s="22" t="s">
        <v>1679</v>
      </c>
      <c r="C345" s="22" t="s">
        <v>762</v>
      </c>
      <c r="D345" s="51" t="s">
        <v>753</v>
      </c>
      <c r="E345" s="24" t="s">
        <v>166</v>
      </c>
      <c r="F345" s="24"/>
      <c r="G345" s="24" t="s">
        <v>737</v>
      </c>
      <c r="H345" s="24" t="s">
        <v>62</v>
      </c>
      <c r="I345" s="24">
        <v>2009</v>
      </c>
      <c r="J345" s="24"/>
      <c r="K345" s="24" t="s">
        <v>63</v>
      </c>
      <c r="L345" s="24" t="s">
        <v>64</v>
      </c>
      <c r="M345" s="24">
        <v>2</v>
      </c>
      <c r="N345" s="41">
        <f t="shared" si="108"/>
        <v>1885000</v>
      </c>
      <c r="O345" s="41">
        <v>3770000</v>
      </c>
      <c r="P345" s="24"/>
      <c r="Q345" s="24"/>
      <c r="R345" s="24"/>
      <c r="S345" s="41">
        <f t="shared" si="112"/>
        <v>3770000</v>
      </c>
      <c r="T345" s="24">
        <v>5</v>
      </c>
      <c r="U345" s="41"/>
      <c r="V345" s="24">
        <v>0.5</v>
      </c>
      <c r="W345" s="41">
        <f t="shared" si="109"/>
        <v>0</v>
      </c>
      <c r="X345" s="24"/>
      <c r="Y345" s="41">
        <f t="shared" si="111"/>
        <v>0</v>
      </c>
      <c r="Z345" s="41">
        <f t="shared" si="110"/>
        <v>0</v>
      </c>
      <c r="AA345" s="24">
        <v>5</v>
      </c>
      <c r="AB345" s="41">
        <v>3770000</v>
      </c>
      <c r="AC345" s="41">
        <f t="shared" si="113"/>
        <v>0</v>
      </c>
      <c r="AD345" s="70" t="s">
        <v>385</v>
      </c>
      <c r="AE345" s="70"/>
      <c r="AF345" s="1">
        <v>3770000</v>
      </c>
      <c r="AG345" s="5">
        <f t="shared" si="107"/>
        <v>0</v>
      </c>
    </row>
    <row r="346" spans="1:33" s="1" customFormat="1" x14ac:dyDescent="0.25">
      <c r="A346" s="49"/>
      <c r="B346" s="22" t="s">
        <v>1679</v>
      </c>
      <c r="C346" s="22" t="s">
        <v>763</v>
      </c>
      <c r="D346" s="51" t="s">
        <v>753</v>
      </c>
      <c r="E346" s="24" t="s">
        <v>166</v>
      </c>
      <c r="F346" s="24"/>
      <c r="G346" s="24" t="s">
        <v>737</v>
      </c>
      <c r="H346" s="24" t="s">
        <v>62</v>
      </c>
      <c r="I346" s="24">
        <v>2009</v>
      </c>
      <c r="J346" s="24"/>
      <c r="K346" s="24" t="s">
        <v>63</v>
      </c>
      <c r="L346" s="24" t="s">
        <v>64</v>
      </c>
      <c r="M346" s="24">
        <v>1</v>
      </c>
      <c r="N346" s="41">
        <f t="shared" si="108"/>
        <v>1885000</v>
      </c>
      <c r="O346" s="41">
        <v>1885000</v>
      </c>
      <c r="P346" s="24"/>
      <c r="Q346" s="24"/>
      <c r="R346" s="24"/>
      <c r="S346" s="41">
        <f t="shared" si="112"/>
        <v>1885000</v>
      </c>
      <c r="T346" s="24">
        <v>5</v>
      </c>
      <c r="U346" s="41"/>
      <c r="V346" s="24">
        <v>0.5</v>
      </c>
      <c r="W346" s="41">
        <f t="shared" si="109"/>
        <v>0</v>
      </c>
      <c r="X346" s="24"/>
      <c r="Y346" s="41">
        <f t="shared" si="111"/>
        <v>0</v>
      </c>
      <c r="Z346" s="41">
        <f t="shared" si="110"/>
        <v>0</v>
      </c>
      <c r="AA346" s="24">
        <v>5</v>
      </c>
      <c r="AB346" s="41">
        <v>1885000</v>
      </c>
      <c r="AC346" s="41">
        <f t="shared" si="113"/>
        <v>0</v>
      </c>
      <c r="AD346" s="70" t="s">
        <v>217</v>
      </c>
      <c r="AE346" s="70"/>
      <c r="AF346" s="1">
        <v>1885000</v>
      </c>
      <c r="AG346" s="5">
        <f t="shared" si="107"/>
        <v>0</v>
      </c>
    </row>
    <row r="347" spans="1:33" s="1" customFormat="1" x14ac:dyDescent="0.25">
      <c r="A347" s="49"/>
      <c r="B347" s="22" t="s">
        <v>1679</v>
      </c>
      <c r="C347" s="22" t="s">
        <v>764</v>
      </c>
      <c r="D347" s="51" t="s">
        <v>753</v>
      </c>
      <c r="E347" s="24" t="s">
        <v>166</v>
      </c>
      <c r="F347" s="24"/>
      <c r="G347" s="24" t="s">
        <v>737</v>
      </c>
      <c r="H347" s="24" t="s">
        <v>62</v>
      </c>
      <c r="I347" s="24">
        <v>2013</v>
      </c>
      <c r="J347" s="24"/>
      <c r="K347" s="24" t="s">
        <v>63</v>
      </c>
      <c r="L347" s="24" t="s">
        <v>64</v>
      </c>
      <c r="M347" s="24">
        <v>44</v>
      </c>
      <c r="N347" s="41">
        <f t="shared" si="108"/>
        <v>999900</v>
      </c>
      <c r="O347" s="41">
        <v>43995600</v>
      </c>
      <c r="P347" s="24"/>
      <c r="Q347" s="24"/>
      <c r="R347" s="24"/>
      <c r="S347" s="41">
        <f t="shared" si="112"/>
        <v>43995600</v>
      </c>
      <c r="T347" s="24">
        <v>5</v>
      </c>
      <c r="U347" s="41"/>
      <c r="V347" s="24">
        <v>0.5</v>
      </c>
      <c r="W347" s="41">
        <f t="shared" si="109"/>
        <v>0</v>
      </c>
      <c r="X347" s="24"/>
      <c r="Y347" s="41">
        <f t="shared" si="111"/>
        <v>0</v>
      </c>
      <c r="Z347" s="41">
        <f t="shared" si="110"/>
        <v>0</v>
      </c>
      <c r="AA347" s="24">
        <v>5</v>
      </c>
      <c r="AB347" s="41">
        <v>43995600</v>
      </c>
      <c r="AC347" s="41">
        <f t="shared" si="113"/>
        <v>0</v>
      </c>
      <c r="AD347" s="70" t="s">
        <v>315</v>
      </c>
      <c r="AE347" s="70"/>
      <c r="AF347" s="1">
        <v>43995600</v>
      </c>
      <c r="AG347" s="5">
        <f t="shared" si="107"/>
        <v>0</v>
      </c>
    </row>
    <row r="348" spans="1:33" s="1" customFormat="1" x14ac:dyDescent="0.25">
      <c r="A348" s="49"/>
      <c r="B348" s="22" t="s">
        <v>1679</v>
      </c>
      <c r="C348" s="22" t="s">
        <v>765</v>
      </c>
      <c r="D348" s="51" t="s">
        <v>766</v>
      </c>
      <c r="E348" s="24" t="s">
        <v>166</v>
      </c>
      <c r="F348" s="24"/>
      <c r="G348" s="24" t="s">
        <v>767</v>
      </c>
      <c r="H348" s="24" t="s">
        <v>62</v>
      </c>
      <c r="I348" s="24">
        <v>2018</v>
      </c>
      <c r="J348" s="24"/>
      <c r="K348" s="24" t="s">
        <v>63</v>
      </c>
      <c r="L348" s="24" t="s">
        <v>64</v>
      </c>
      <c r="M348" s="24">
        <v>8</v>
      </c>
      <c r="N348" s="41">
        <f t="shared" si="108"/>
        <v>1485000</v>
      </c>
      <c r="O348" s="41">
        <v>11880000</v>
      </c>
      <c r="P348" s="24"/>
      <c r="Q348" s="24"/>
      <c r="R348" s="24"/>
      <c r="S348" s="41">
        <f t="shared" si="112"/>
        <v>11880000</v>
      </c>
      <c r="T348" s="24">
        <v>5</v>
      </c>
      <c r="U348" s="41">
        <f>SUM(S348/T348)</f>
        <v>2376000</v>
      </c>
      <c r="V348" s="24">
        <v>0.5</v>
      </c>
      <c r="W348" s="41">
        <f>SUM(U348*V348)-198000</f>
        <v>990000</v>
      </c>
      <c r="X348" s="24"/>
      <c r="Y348" s="41">
        <f t="shared" si="111"/>
        <v>0</v>
      </c>
      <c r="Z348" s="41">
        <f t="shared" si="110"/>
        <v>990000</v>
      </c>
      <c r="AA348" s="72">
        <f>2023-I348+V348+X348-5/12-1/12</f>
        <v>5</v>
      </c>
      <c r="AB348" s="41">
        <f>SUM(U348*AA348)</f>
        <v>11880000</v>
      </c>
      <c r="AC348" s="41">
        <f t="shared" si="113"/>
        <v>0</v>
      </c>
      <c r="AD348" s="70" t="s">
        <v>768</v>
      </c>
      <c r="AE348" s="70"/>
      <c r="AF348" s="1">
        <v>10890000</v>
      </c>
      <c r="AG348" s="5">
        <f t="shared" si="107"/>
        <v>0</v>
      </c>
    </row>
    <row r="349" spans="1:33" s="1" customFormat="1" x14ac:dyDescent="0.25">
      <c r="A349" s="49"/>
      <c r="B349" s="22" t="s">
        <v>1679</v>
      </c>
      <c r="C349" s="22" t="s">
        <v>769</v>
      </c>
      <c r="D349" s="51" t="s">
        <v>766</v>
      </c>
      <c r="E349" s="24" t="s">
        <v>166</v>
      </c>
      <c r="F349" s="24"/>
      <c r="G349" s="24" t="s">
        <v>767</v>
      </c>
      <c r="H349" s="24" t="s">
        <v>62</v>
      </c>
      <c r="I349" s="24">
        <v>2018</v>
      </c>
      <c r="J349" s="24"/>
      <c r="K349" s="24" t="s">
        <v>63</v>
      </c>
      <c r="L349" s="24" t="s">
        <v>64</v>
      </c>
      <c r="M349" s="24">
        <v>8</v>
      </c>
      <c r="N349" s="41">
        <f t="shared" si="108"/>
        <v>1485000</v>
      </c>
      <c r="O349" s="41">
        <v>11880000</v>
      </c>
      <c r="P349" s="24"/>
      <c r="Q349" s="24"/>
      <c r="R349" s="24"/>
      <c r="S349" s="41">
        <f t="shared" si="112"/>
        <v>11880000</v>
      </c>
      <c r="T349" s="24">
        <v>5</v>
      </c>
      <c r="U349" s="41">
        <f>SUM(S349/T349)</f>
        <v>2376000</v>
      </c>
      <c r="V349" s="24">
        <v>0.5</v>
      </c>
      <c r="W349" s="41">
        <f>SUM(U349*V349)-198000</f>
        <v>990000</v>
      </c>
      <c r="X349" s="24"/>
      <c r="Y349" s="41">
        <f t="shared" si="111"/>
        <v>0</v>
      </c>
      <c r="Z349" s="41">
        <f t="shared" si="110"/>
        <v>990000</v>
      </c>
      <c r="AA349" s="24">
        <f>2023-I349+V349+X349-5/12-1/12</f>
        <v>5</v>
      </c>
      <c r="AB349" s="41">
        <f>SUM(U349*AA349)</f>
        <v>11880000</v>
      </c>
      <c r="AC349" s="41">
        <f t="shared" si="113"/>
        <v>0</v>
      </c>
      <c r="AD349" s="70" t="s">
        <v>370</v>
      </c>
      <c r="AE349" s="70"/>
      <c r="AF349" s="1">
        <v>10890000</v>
      </c>
      <c r="AG349" s="5">
        <f t="shared" si="107"/>
        <v>0</v>
      </c>
    </row>
    <row r="350" spans="1:33" s="1" customFormat="1" x14ac:dyDescent="0.25">
      <c r="A350" s="49"/>
      <c r="B350" s="22" t="s">
        <v>1680</v>
      </c>
      <c r="C350" s="22" t="s">
        <v>740</v>
      </c>
      <c r="D350" s="51" t="s">
        <v>741</v>
      </c>
      <c r="E350" s="24" t="s">
        <v>166</v>
      </c>
      <c r="F350" s="24"/>
      <c r="G350" s="24" t="s">
        <v>319</v>
      </c>
      <c r="H350" s="24" t="s">
        <v>62</v>
      </c>
      <c r="I350" s="24">
        <v>2005</v>
      </c>
      <c r="J350" s="24"/>
      <c r="K350" s="24" t="s">
        <v>63</v>
      </c>
      <c r="L350" s="24" t="s">
        <v>64</v>
      </c>
      <c r="M350" s="24">
        <v>63</v>
      </c>
      <c r="N350" s="41">
        <f t="shared" si="108"/>
        <v>200000</v>
      </c>
      <c r="O350" s="41">
        <v>12600000</v>
      </c>
      <c r="P350" s="24"/>
      <c r="Q350" s="24"/>
      <c r="R350" s="24"/>
      <c r="S350" s="41">
        <f t="shared" si="112"/>
        <v>12600000</v>
      </c>
      <c r="T350" s="24">
        <v>5</v>
      </c>
      <c r="U350" s="41"/>
      <c r="V350" s="24">
        <v>0.5</v>
      </c>
      <c r="W350" s="41">
        <f t="shared" ref="W350:W356" si="116">SUM(U350*V350)</f>
        <v>0</v>
      </c>
      <c r="X350" s="24"/>
      <c r="Y350" s="41">
        <f t="shared" ref="Y350:Y369" si="117">SUM(U350*X350)</f>
        <v>0</v>
      </c>
      <c r="Z350" s="41">
        <f t="shared" ref="Z350:Z356" si="118">SUM(W350+Y350)</f>
        <v>0</v>
      </c>
      <c r="AA350" s="72">
        <v>5</v>
      </c>
      <c r="AB350" s="41">
        <v>12600000</v>
      </c>
      <c r="AC350" s="41">
        <f t="shared" si="113"/>
        <v>0</v>
      </c>
      <c r="AD350" s="70" t="s">
        <v>742</v>
      </c>
      <c r="AE350" s="70"/>
      <c r="AF350" s="1">
        <v>12600000</v>
      </c>
      <c r="AG350" s="5">
        <f t="shared" si="107"/>
        <v>0</v>
      </c>
    </row>
    <row r="351" spans="1:33" s="1" customFormat="1" x14ac:dyDescent="0.25">
      <c r="A351" s="49"/>
      <c r="B351" s="22" t="s">
        <v>1681</v>
      </c>
      <c r="C351" s="22" t="s">
        <v>726</v>
      </c>
      <c r="D351" s="51" t="s">
        <v>727</v>
      </c>
      <c r="E351" s="24" t="s">
        <v>728</v>
      </c>
      <c r="F351" s="24"/>
      <c r="G351" s="24" t="s">
        <v>319</v>
      </c>
      <c r="H351" s="24" t="s">
        <v>62</v>
      </c>
      <c r="I351" s="24">
        <v>2006</v>
      </c>
      <c r="J351" s="24"/>
      <c r="K351" s="24" t="s">
        <v>63</v>
      </c>
      <c r="L351" s="24" t="s">
        <v>212</v>
      </c>
      <c r="M351" s="24">
        <v>40</v>
      </c>
      <c r="N351" s="41">
        <f t="shared" si="108"/>
        <v>267750</v>
      </c>
      <c r="O351" s="41">
        <v>10710000</v>
      </c>
      <c r="P351" s="24"/>
      <c r="Q351" s="24"/>
      <c r="R351" s="24"/>
      <c r="S351" s="41">
        <f t="shared" si="112"/>
        <v>10710000</v>
      </c>
      <c r="T351" s="24">
        <v>5</v>
      </c>
      <c r="U351" s="41"/>
      <c r="V351" s="24">
        <v>0.5</v>
      </c>
      <c r="W351" s="41">
        <f t="shared" si="116"/>
        <v>0</v>
      </c>
      <c r="X351" s="24"/>
      <c r="Y351" s="41">
        <f t="shared" si="117"/>
        <v>0</v>
      </c>
      <c r="Z351" s="41">
        <f t="shared" si="118"/>
        <v>0</v>
      </c>
      <c r="AA351" s="72">
        <v>5</v>
      </c>
      <c r="AB351" s="41">
        <v>10710000</v>
      </c>
      <c r="AC351" s="41">
        <f t="shared" si="113"/>
        <v>0</v>
      </c>
      <c r="AD351" s="70" t="s">
        <v>297</v>
      </c>
      <c r="AE351" s="70"/>
      <c r="AF351" s="1">
        <v>10710000</v>
      </c>
      <c r="AG351" s="5">
        <f t="shared" si="107"/>
        <v>0</v>
      </c>
    </row>
    <row r="352" spans="1:33" s="1" customFormat="1" x14ac:dyDescent="0.25">
      <c r="A352" s="49"/>
      <c r="B352" s="22" t="s">
        <v>1681</v>
      </c>
      <c r="C352" s="22" t="s">
        <v>729</v>
      </c>
      <c r="D352" s="51" t="s">
        <v>727</v>
      </c>
      <c r="E352" s="24" t="s">
        <v>728</v>
      </c>
      <c r="F352" s="24"/>
      <c r="G352" s="24" t="s">
        <v>319</v>
      </c>
      <c r="H352" s="24" t="s">
        <v>62</v>
      </c>
      <c r="I352" s="24">
        <v>2006</v>
      </c>
      <c r="J352" s="24"/>
      <c r="K352" s="24" t="s">
        <v>63</v>
      </c>
      <c r="L352" s="24" t="s">
        <v>212</v>
      </c>
      <c r="M352" s="24">
        <v>30</v>
      </c>
      <c r="N352" s="41">
        <f t="shared" si="108"/>
        <v>267750</v>
      </c>
      <c r="O352" s="41">
        <v>8032500</v>
      </c>
      <c r="P352" s="24"/>
      <c r="Q352" s="24"/>
      <c r="R352" s="24"/>
      <c r="S352" s="41">
        <f t="shared" si="112"/>
        <v>8032500</v>
      </c>
      <c r="T352" s="24">
        <v>5</v>
      </c>
      <c r="U352" s="41"/>
      <c r="V352" s="24">
        <v>0.5</v>
      </c>
      <c r="W352" s="41">
        <f t="shared" si="116"/>
        <v>0</v>
      </c>
      <c r="X352" s="24"/>
      <c r="Y352" s="41">
        <f t="shared" si="117"/>
        <v>0</v>
      </c>
      <c r="Z352" s="41">
        <f t="shared" si="118"/>
        <v>0</v>
      </c>
      <c r="AA352" s="72">
        <v>5</v>
      </c>
      <c r="AB352" s="41">
        <v>8032500</v>
      </c>
      <c r="AC352" s="41">
        <f t="shared" si="113"/>
        <v>0</v>
      </c>
      <c r="AD352" s="70" t="s">
        <v>287</v>
      </c>
      <c r="AE352" s="70"/>
      <c r="AF352" s="1">
        <v>8032500</v>
      </c>
      <c r="AG352" s="5">
        <f t="shared" si="107"/>
        <v>0</v>
      </c>
    </row>
    <row r="353" spans="1:33" s="1" customFormat="1" x14ac:dyDescent="0.25">
      <c r="A353" s="49"/>
      <c r="B353" s="22" t="s">
        <v>1681</v>
      </c>
      <c r="C353" s="22" t="s">
        <v>730</v>
      </c>
      <c r="D353" s="51" t="s">
        <v>727</v>
      </c>
      <c r="E353" s="24" t="s">
        <v>728</v>
      </c>
      <c r="F353" s="24"/>
      <c r="G353" s="24" t="s">
        <v>319</v>
      </c>
      <c r="H353" s="24" t="s">
        <v>62</v>
      </c>
      <c r="I353" s="24">
        <v>2006</v>
      </c>
      <c r="J353" s="24"/>
      <c r="K353" s="24" t="s">
        <v>63</v>
      </c>
      <c r="L353" s="24" t="s">
        <v>212</v>
      </c>
      <c r="M353" s="24">
        <v>30</v>
      </c>
      <c r="N353" s="41">
        <f t="shared" si="108"/>
        <v>267750</v>
      </c>
      <c r="O353" s="41">
        <v>8032500</v>
      </c>
      <c r="P353" s="24"/>
      <c r="Q353" s="24"/>
      <c r="R353" s="24"/>
      <c r="S353" s="41">
        <f t="shared" si="112"/>
        <v>8032500</v>
      </c>
      <c r="T353" s="24">
        <v>5</v>
      </c>
      <c r="U353" s="41"/>
      <c r="V353" s="24">
        <v>0.5</v>
      </c>
      <c r="W353" s="41">
        <f t="shared" si="116"/>
        <v>0</v>
      </c>
      <c r="X353" s="24"/>
      <c r="Y353" s="41">
        <f t="shared" si="117"/>
        <v>0</v>
      </c>
      <c r="Z353" s="41">
        <f t="shared" si="118"/>
        <v>0</v>
      </c>
      <c r="AA353" s="72">
        <v>5</v>
      </c>
      <c r="AB353" s="41">
        <v>8032500</v>
      </c>
      <c r="AC353" s="41">
        <f t="shared" si="113"/>
        <v>0</v>
      </c>
      <c r="AD353" s="70" t="s">
        <v>303</v>
      </c>
      <c r="AE353" s="70"/>
      <c r="AF353" s="1">
        <v>8032500</v>
      </c>
      <c r="AG353" s="5">
        <f t="shared" si="107"/>
        <v>0</v>
      </c>
    </row>
    <row r="354" spans="1:33" s="1" customFormat="1" x14ac:dyDescent="0.25">
      <c r="A354" s="49"/>
      <c r="B354" s="22" t="s">
        <v>1681</v>
      </c>
      <c r="C354" s="22" t="s">
        <v>731</v>
      </c>
      <c r="D354" s="51" t="s">
        <v>727</v>
      </c>
      <c r="E354" s="24" t="s">
        <v>728</v>
      </c>
      <c r="F354" s="24"/>
      <c r="G354" s="24" t="s">
        <v>319</v>
      </c>
      <c r="H354" s="24" t="s">
        <v>62</v>
      </c>
      <c r="I354" s="24">
        <v>2006</v>
      </c>
      <c r="J354" s="24"/>
      <c r="K354" s="24" t="s">
        <v>63</v>
      </c>
      <c r="L354" s="24" t="s">
        <v>212</v>
      </c>
      <c r="M354" s="24">
        <v>30</v>
      </c>
      <c r="N354" s="41">
        <f t="shared" si="108"/>
        <v>267750</v>
      </c>
      <c r="O354" s="41">
        <v>8032500</v>
      </c>
      <c r="P354" s="24"/>
      <c r="Q354" s="24"/>
      <c r="R354" s="24"/>
      <c r="S354" s="41">
        <f t="shared" si="112"/>
        <v>8032500</v>
      </c>
      <c r="T354" s="24">
        <v>5</v>
      </c>
      <c r="U354" s="41"/>
      <c r="V354" s="24">
        <v>0.5</v>
      </c>
      <c r="W354" s="41">
        <f t="shared" si="116"/>
        <v>0</v>
      </c>
      <c r="X354" s="24"/>
      <c r="Y354" s="41">
        <f t="shared" si="117"/>
        <v>0</v>
      </c>
      <c r="Z354" s="41">
        <f t="shared" si="118"/>
        <v>0</v>
      </c>
      <c r="AA354" s="24">
        <v>5</v>
      </c>
      <c r="AB354" s="41">
        <v>8032500</v>
      </c>
      <c r="AC354" s="41">
        <f t="shared" si="113"/>
        <v>0</v>
      </c>
      <c r="AD354" s="70" t="s">
        <v>305</v>
      </c>
      <c r="AE354" s="70"/>
      <c r="AF354" s="1">
        <v>8032500</v>
      </c>
      <c r="AG354" s="5">
        <f t="shared" si="107"/>
        <v>0</v>
      </c>
    </row>
    <row r="355" spans="1:33" s="1" customFormat="1" x14ac:dyDescent="0.25">
      <c r="A355" s="49"/>
      <c r="B355" s="22" t="s">
        <v>1681</v>
      </c>
      <c r="C355" s="22" t="s">
        <v>732</v>
      </c>
      <c r="D355" s="51" t="s">
        <v>727</v>
      </c>
      <c r="E355" s="24" t="s">
        <v>728</v>
      </c>
      <c r="F355" s="24"/>
      <c r="G355" s="24" t="s">
        <v>319</v>
      </c>
      <c r="H355" s="24" t="s">
        <v>62</v>
      </c>
      <c r="I355" s="24">
        <v>2006</v>
      </c>
      <c r="J355" s="24"/>
      <c r="K355" s="24" t="s">
        <v>63</v>
      </c>
      <c r="L355" s="24" t="s">
        <v>212</v>
      </c>
      <c r="M355" s="24">
        <v>30</v>
      </c>
      <c r="N355" s="41">
        <f t="shared" si="108"/>
        <v>267750</v>
      </c>
      <c r="O355" s="41">
        <v>8032500</v>
      </c>
      <c r="P355" s="24"/>
      <c r="Q355" s="24"/>
      <c r="R355" s="24"/>
      <c r="S355" s="41">
        <f t="shared" si="112"/>
        <v>8032500</v>
      </c>
      <c r="T355" s="24">
        <v>5</v>
      </c>
      <c r="U355" s="41"/>
      <c r="V355" s="24">
        <v>0.5</v>
      </c>
      <c r="W355" s="41">
        <f t="shared" si="116"/>
        <v>0</v>
      </c>
      <c r="X355" s="24"/>
      <c r="Y355" s="41">
        <f t="shared" si="117"/>
        <v>0</v>
      </c>
      <c r="Z355" s="41">
        <f t="shared" si="118"/>
        <v>0</v>
      </c>
      <c r="AA355" s="24">
        <v>5</v>
      </c>
      <c r="AB355" s="41">
        <v>8032500</v>
      </c>
      <c r="AC355" s="41">
        <f t="shared" si="113"/>
        <v>0</v>
      </c>
      <c r="AD355" s="70" t="s">
        <v>473</v>
      </c>
      <c r="AE355" s="70"/>
      <c r="AF355" s="1">
        <v>8032500</v>
      </c>
      <c r="AG355" s="5">
        <f t="shared" si="107"/>
        <v>0</v>
      </c>
    </row>
    <row r="356" spans="1:33" s="1" customFormat="1" x14ac:dyDescent="0.25">
      <c r="A356" s="49"/>
      <c r="B356" s="22" t="s">
        <v>1681</v>
      </c>
      <c r="C356" s="22" t="s">
        <v>733</v>
      </c>
      <c r="D356" s="51" t="s">
        <v>727</v>
      </c>
      <c r="E356" s="24" t="s">
        <v>728</v>
      </c>
      <c r="F356" s="24"/>
      <c r="G356" s="24" t="s">
        <v>319</v>
      </c>
      <c r="H356" s="24" t="s">
        <v>62</v>
      </c>
      <c r="I356" s="24">
        <v>2006</v>
      </c>
      <c r="J356" s="24"/>
      <c r="K356" s="24" t="s">
        <v>63</v>
      </c>
      <c r="L356" s="24" t="s">
        <v>212</v>
      </c>
      <c r="M356" s="24">
        <v>40</v>
      </c>
      <c r="N356" s="41">
        <f t="shared" si="108"/>
        <v>267750</v>
      </c>
      <c r="O356" s="41">
        <v>10710000</v>
      </c>
      <c r="P356" s="24"/>
      <c r="Q356" s="24"/>
      <c r="R356" s="24"/>
      <c r="S356" s="41">
        <f t="shared" si="112"/>
        <v>10710000</v>
      </c>
      <c r="T356" s="24">
        <v>5</v>
      </c>
      <c r="U356" s="41"/>
      <c r="V356" s="24">
        <v>0.5</v>
      </c>
      <c r="W356" s="41">
        <f t="shared" si="116"/>
        <v>0</v>
      </c>
      <c r="X356" s="24"/>
      <c r="Y356" s="41">
        <f t="shared" si="117"/>
        <v>0</v>
      </c>
      <c r="Z356" s="41">
        <f t="shared" si="118"/>
        <v>0</v>
      </c>
      <c r="AA356" s="24">
        <v>5</v>
      </c>
      <c r="AB356" s="41">
        <v>10710000</v>
      </c>
      <c r="AC356" s="41">
        <f t="shared" si="113"/>
        <v>0</v>
      </c>
      <c r="AD356" s="70" t="s">
        <v>477</v>
      </c>
      <c r="AE356" s="70"/>
      <c r="AF356" s="1">
        <v>10710000</v>
      </c>
      <c r="AG356" s="5">
        <f t="shared" si="107"/>
        <v>0</v>
      </c>
    </row>
    <row r="357" spans="1:33" s="1" customFormat="1" x14ac:dyDescent="0.25">
      <c r="A357" s="49"/>
      <c r="B357" s="22" t="s">
        <v>1682</v>
      </c>
      <c r="C357" s="73" t="s">
        <v>327</v>
      </c>
      <c r="D357" s="51" t="s">
        <v>374</v>
      </c>
      <c r="E357" s="52" t="s">
        <v>166</v>
      </c>
      <c r="F357" s="52"/>
      <c r="G357" s="52" t="s">
        <v>319</v>
      </c>
      <c r="H357" s="52" t="s">
        <v>62</v>
      </c>
      <c r="I357" s="52">
        <v>2020</v>
      </c>
      <c r="J357" s="52"/>
      <c r="K357" s="52" t="s">
        <v>63</v>
      </c>
      <c r="L357" s="52" t="s">
        <v>64</v>
      </c>
      <c r="M357" s="52">
        <v>20</v>
      </c>
      <c r="N357" s="53">
        <f t="shared" ref="N357:N369" si="119">SUM(O357/M357)</f>
        <v>1496000</v>
      </c>
      <c r="O357" s="53">
        <v>29920000</v>
      </c>
      <c r="P357" s="52"/>
      <c r="Q357" s="52"/>
      <c r="R357" s="52"/>
      <c r="S357" s="53">
        <f t="shared" si="112"/>
        <v>29920000</v>
      </c>
      <c r="T357" s="52">
        <v>5</v>
      </c>
      <c r="U357" s="53">
        <f t="shared" ref="U357" si="120">SUM(S357/T357)</f>
        <v>5984000</v>
      </c>
      <c r="V357" s="52">
        <v>0.5</v>
      </c>
      <c r="W357" s="53">
        <f>SUM(U357*V357)</f>
        <v>2992000</v>
      </c>
      <c r="X357" s="24"/>
      <c r="Y357" s="41">
        <f t="shared" si="117"/>
        <v>0</v>
      </c>
      <c r="Z357" s="41">
        <f>SUM(W357+Y357)</f>
        <v>2992000</v>
      </c>
      <c r="AA357" s="72">
        <f>2023-I357+V357+X357-10/12</f>
        <v>2.6666666666666665</v>
      </c>
      <c r="AB357" s="41">
        <f t="shared" ref="AB357" si="121">SUM(U357*AA357)</f>
        <v>15957333.333333332</v>
      </c>
      <c r="AC357" s="41">
        <f t="shared" si="113"/>
        <v>13962666.666666668</v>
      </c>
      <c r="AD357" s="70" t="s">
        <v>213</v>
      </c>
      <c r="AE357" s="70"/>
      <c r="AF357" s="1">
        <v>12965333.333333332</v>
      </c>
      <c r="AG357" s="5">
        <f t="shared" si="107"/>
        <v>0</v>
      </c>
    </row>
    <row r="358" spans="1:33" s="1" customFormat="1" x14ac:dyDescent="0.25">
      <c r="A358" s="49"/>
      <c r="B358" s="22" t="s">
        <v>1683</v>
      </c>
      <c r="C358" s="22" t="s">
        <v>657</v>
      </c>
      <c r="D358" s="51" t="s">
        <v>912</v>
      </c>
      <c r="E358" s="24" t="s">
        <v>166</v>
      </c>
      <c r="F358" s="24"/>
      <c r="G358" s="24" t="s">
        <v>319</v>
      </c>
      <c r="H358" s="24" t="s">
        <v>62</v>
      </c>
      <c r="I358" s="24">
        <v>2004</v>
      </c>
      <c r="J358" s="24"/>
      <c r="K358" s="24" t="s">
        <v>63</v>
      </c>
      <c r="L358" s="24" t="s">
        <v>64</v>
      </c>
      <c r="M358" s="24">
        <v>3</v>
      </c>
      <c r="N358" s="41">
        <f>SUM(O358/M358)</f>
        <v>500000</v>
      </c>
      <c r="O358" s="41">
        <v>1500000</v>
      </c>
      <c r="P358" s="24"/>
      <c r="Q358" s="24"/>
      <c r="R358" s="24"/>
      <c r="S358" s="41">
        <f t="shared" si="112"/>
        <v>1500000</v>
      </c>
      <c r="T358" s="24">
        <v>5</v>
      </c>
      <c r="U358" s="41"/>
      <c r="V358" s="24">
        <v>0.5</v>
      </c>
      <c r="W358" s="41">
        <f>SUM(U358*V358)</f>
        <v>0</v>
      </c>
      <c r="X358" s="24"/>
      <c r="Y358" s="41">
        <f>SUM(U358*X358)</f>
        <v>0</v>
      </c>
      <c r="Z358" s="41">
        <f>SUM(W358+Y358)</f>
        <v>0</v>
      </c>
      <c r="AA358" s="72">
        <v>5</v>
      </c>
      <c r="AB358" s="41">
        <v>1500000</v>
      </c>
      <c r="AC358" s="41">
        <f t="shared" si="113"/>
        <v>0</v>
      </c>
      <c r="AD358" s="70" t="s">
        <v>913</v>
      </c>
      <c r="AE358" s="70"/>
      <c r="AG358" s="5">
        <f t="shared" si="107"/>
        <v>-1500000</v>
      </c>
    </row>
    <row r="359" spans="1:33" s="1" customFormat="1" x14ac:dyDescent="0.25">
      <c r="A359" s="49"/>
      <c r="B359" s="22" t="s">
        <v>1684</v>
      </c>
      <c r="C359" s="22" t="s">
        <v>58</v>
      </c>
      <c r="D359" s="51" t="s">
        <v>935</v>
      </c>
      <c r="E359" s="24" t="s">
        <v>166</v>
      </c>
      <c r="F359" s="24"/>
      <c r="G359" s="24" t="s">
        <v>936</v>
      </c>
      <c r="H359" s="24" t="s">
        <v>62</v>
      </c>
      <c r="I359" s="24">
        <v>2008</v>
      </c>
      <c r="J359" s="24"/>
      <c r="K359" s="24" t="s">
        <v>63</v>
      </c>
      <c r="L359" s="24" t="s">
        <v>64</v>
      </c>
      <c r="M359" s="24">
        <v>1</v>
      </c>
      <c r="N359" s="41">
        <f t="shared" si="119"/>
        <v>8950000</v>
      </c>
      <c r="O359" s="41">
        <v>8950000</v>
      </c>
      <c r="P359" s="24"/>
      <c r="Q359" s="24"/>
      <c r="R359" s="24"/>
      <c r="S359" s="41">
        <f t="shared" si="112"/>
        <v>8950000</v>
      </c>
      <c r="T359" s="24">
        <v>5</v>
      </c>
      <c r="U359" s="41"/>
      <c r="V359" s="24">
        <v>0.5</v>
      </c>
      <c r="W359" s="41">
        <f t="shared" ref="W359:W369" si="122">SUM(U359*V359)</f>
        <v>0</v>
      </c>
      <c r="X359" s="24"/>
      <c r="Y359" s="41">
        <f t="shared" si="117"/>
        <v>0</v>
      </c>
      <c r="Z359" s="41">
        <f t="shared" ref="Z359:Z369" si="123">SUM(W359+Y359)</f>
        <v>0</v>
      </c>
      <c r="AA359" s="24">
        <v>5</v>
      </c>
      <c r="AB359" s="41">
        <v>8950000</v>
      </c>
      <c r="AC359" s="41">
        <f t="shared" si="113"/>
        <v>0</v>
      </c>
      <c r="AD359" s="70" t="s">
        <v>333</v>
      </c>
      <c r="AE359" s="70"/>
      <c r="AF359" s="1">
        <v>8950000</v>
      </c>
      <c r="AG359" s="5">
        <f t="shared" si="107"/>
        <v>0</v>
      </c>
    </row>
    <row r="360" spans="1:33" s="1" customFormat="1" x14ac:dyDescent="0.25">
      <c r="A360" s="49"/>
      <c r="B360" s="22" t="s">
        <v>1684</v>
      </c>
      <c r="C360" s="22" t="s">
        <v>277</v>
      </c>
      <c r="D360" s="51" t="s">
        <v>937</v>
      </c>
      <c r="E360" s="24" t="s">
        <v>938</v>
      </c>
      <c r="F360" s="24"/>
      <c r="G360" s="24" t="s">
        <v>936</v>
      </c>
      <c r="H360" s="24" t="s">
        <v>62</v>
      </c>
      <c r="I360" s="24">
        <v>2012</v>
      </c>
      <c r="J360" s="24"/>
      <c r="K360" s="24" t="s">
        <v>63</v>
      </c>
      <c r="L360" s="24" t="s">
        <v>64</v>
      </c>
      <c r="M360" s="24">
        <v>6</v>
      </c>
      <c r="N360" s="41">
        <f t="shared" si="119"/>
        <v>6325000</v>
      </c>
      <c r="O360" s="41">
        <v>37950000</v>
      </c>
      <c r="P360" s="24"/>
      <c r="Q360" s="24"/>
      <c r="R360" s="24"/>
      <c r="S360" s="41">
        <f t="shared" si="112"/>
        <v>37950000</v>
      </c>
      <c r="T360" s="24">
        <v>5</v>
      </c>
      <c r="U360" s="41"/>
      <c r="V360" s="24">
        <v>0.5</v>
      </c>
      <c r="W360" s="41">
        <f t="shared" si="122"/>
        <v>0</v>
      </c>
      <c r="X360" s="24"/>
      <c r="Y360" s="41">
        <f t="shared" si="117"/>
        <v>0</v>
      </c>
      <c r="Z360" s="41">
        <f t="shared" si="123"/>
        <v>0</v>
      </c>
      <c r="AA360" s="24">
        <v>5</v>
      </c>
      <c r="AB360" s="41">
        <v>37950000</v>
      </c>
      <c r="AC360" s="41">
        <f t="shared" si="113"/>
        <v>0</v>
      </c>
      <c r="AD360" s="70" t="s">
        <v>939</v>
      </c>
      <c r="AE360" s="70"/>
      <c r="AF360" s="1">
        <v>37950000</v>
      </c>
      <c r="AG360" s="5">
        <f t="shared" si="107"/>
        <v>0</v>
      </c>
    </row>
    <row r="361" spans="1:33" s="1" customFormat="1" x14ac:dyDescent="0.25">
      <c r="A361" s="49"/>
      <c r="B361" s="22" t="s">
        <v>1684</v>
      </c>
      <c r="C361" s="22" t="s">
        <v>338</v>
      </c>
      <c r="D361" s="51" t="s">
        <v>937</v>
      </c>
      <c r="E361" s="24" t="s">
        <v>166</v>
      </c>
      <c r="F361" s="24"/>
      <c r="G361" s="24" t="s">
        <v>936</v>
      </c>
      <c r="H361" s="24" t="s">
        <v>62</v>
      </c>
      <c r="I361" s="24">
        <v>2013</v>
      </c>
      <c r="J361" s="24"/>
      <c r="K361" s="24" t="s">
        <v>63</v>
      </c>
      <c r="L361" s="24" t="s">
        <v>64</v>
      </c>
      <c r="M361" s="24">
        <v>2</v>
      </c>
      <c r="N361" s="41">
        <f t="shared" si="119"/>
        <v>5995000</v>
      </c>
      <c r="O361" s="41">
        <v>11990000</v>
      </c>
      <c r="P361" s="24"/>
      <c r="Q361" s="24"/>
      <c r="R361" s="24"/>
      <c r="S361" s="41">
        <f t="shared" si="112"/>
        <v>11990000</v>
      </c>
      <c r="T361" s="24">
        <v>5</v>
      </c>
      <c r="U361" s="41"/>
      <c r="V361" s="24">
        <v>0.5</v>
      </c>
      <c r="W361" s="41">
        <f t="shared" si="122"/>
        <v>0</v>
      </c>
      <c r="X361" s="24"/>
      <c r="Y361" s="41">
        <f t="shared" si="117"/>
        <v>0</v>
      </c>
      <c r="Z361" s="41">
        <f t="shared" si="123"/>
        <v>0</v>
      </c>
      <c r="AA361" s="24">
        <v>5</v>
      </c>
      <c r="AB361" s="41">
        <v>11990000</v>
      </c>
      <c r="AC361" s="41">
        <f t="shared" si="113"/>
        <v>0</v>
      </c>
      <c r="AD361" s="70" t="s">
        <v>335</v>
      </c>
      <c r="AE361" s="70"/>
      <c r="AF361" s="1">
        <v>11990000</v>
      </c>
      <c r="AG361" s="5">
        <f t="shared" si="107"/>
        <v>0</v>
      </c>
    </row>
    <row r="362" spans="1:33" s="1" customFormat="1" x14ac:dyDescent="0.25">
      <c r="A362" s="49"/>
      <c r="B362" s="22" t="s">
        <v>1684</v>
      </c>
      <c r="C362" s="22" t="s">
        <v>108</v>
      </c>
      <c r="D362" s="51" t="s">
        <v>937</v>
      </c>
      <c r="E362" s="24" t="s">
        <v>166</v>
      </c>
      <c r="F362" s="24"/>
      <c r="G362" s="24" t="s">
        <v>936</v>
      </c>
      <c r="H362" s="24" t="s">
        <v>62</v>
      </c>
      <c r="I362" s="24">
        <v>2013</v>
      </c>
      <c r="J362" s="24"/>
      <c r="K362" s="24" t="s">
        <v>63</v>
      </c>
      <c r="L362" s="24" t="s">
        <v>64</v>
      </c>
      <c r="M362" s="24">
        <v>1</v>
      </c>
      <c r="N362" s="41">
        <f t="shared" si="119"/>
        <v>5995000</v>
      </c>
      <c r="O362" s="41">
        <v>5995000</v>
      </c>
      <c r="P362" s="24"/>
      <c r="Q362" s="24"/>
      <c r="R362" s="24"/>
      <c r="S362" s="41">
        <f t="shared" si="112"/>
        <v>5995000</v>
      </c>
      <c r="T362" s="24">
        <v>5</v>
      </c>
      <c r="U362" s="41"/>
      <c r="V362" s="24">
        <v>0.5</v>
      </c>
      <c r="W362" s="41">
        <f t="shared" si="122"/>
        <v>0</v>
      </c>
      <c r="X362" s="24"/>
      <c r="Y362" s="41">
        <f t="shared" si="117"/>
        <v>0</v>
      </c>
      <c r="Z362" s="41">
        <f t="shared" si="123"/>
        <v>0</v>
      </c>
      <c r="AA362" s="24">
        <v>5</v>
      </c>
      <c r="AB362" s="41">
        <v>5995000</v>
      </c>
      <c r="AC362" s="41">
        <f t="shared" si="113"/>
        <v>0</v>
      </c>
      <c r="AD362" s="70" t="s">
        <v>352</v>
      </c>
      <c r="AE362" s="70"/>
      <c r="AF362" s="1">
        <v>5995000</v>
      </c>
      <c r="AG362" s="5">
        <f t="shared" si="107"/>
        <v>0</v>
      </c>
    </row>
    <row r="363" spans="1:33" s="1" customFormat="1" x14ac:dyDescent="0.25">
      <c r="A363" s="49"/>
      <c r="B363" s="22" t="s">
        <v>1684</v>
      </c>
      <c r="C363" s="22" t="s">
        <v>135</v>
      </c>
      <c r="D363" s="51" t="s">
        <v>937</v>
      </c>
      <c r="E363" s="24" t="s">
        <v>166</v>
      </c>
      <c r="F363" s="24"/>
      <c r="G363" s="24" t="s">
        <v>936</v>
      </c>
      <c r="H363" s="24" t="s">
        <v>62</v>
      </c>
      <c r="I363" s="24">
        <v>2013</v>
      </c>
      <c r="J363" s="24"/>
      <c r="K363" s="24" t="s">
        <v>63</v>
      </c>
      <c r="L363" s="24" t="s">
        <v>64</v>
      </c>
      <c r="M363" s="24">
        <v>1</v>
      </c>
      <c r="N363" s="41">
        <f t="shared" si="119"/>
        <v>5995000</v>
      </c>
      <c r="O363" s="41">
        <v>5995000</v>
      </c>
      <c r="P363" s="24"/>
      <c r="Q363" s="24"/>
      <c r="R363" s="24"/>
      <c r="S363" s="41">
        <f t="shared" si="112"/>
        <v>5995000</v>
      </c>
      <c r="T363" s="24">
        <v>5</v>
      </c>
      <c r="U363" s="41"/>
      <c r="V363" s="24">
        <v>0.5</v>
      </c>
      <c r="W363" s="41">
        <f t="shared" si="122"/>
        <v>0</v>
      </c>
      <c r="X363" s="24"/>
      <c r="Y363" s="41">
        <f t="shared" si="117"/>
        <v>0</v>
      </c>
      <c r="Z363" s="41">
        <f t="shared" si="123"/>
        <v>0</v>
      </c>
      <c r="AA363" s="24">
        <v>5</v>
      </c>
      <c r="AB363" s="41">
        <v>5995000</v>
      </c>
      <c r="AC363" s="41">
        <f t="shared" si="113"/>
        <v>0</v>
      </c>
      <c r="AD363" s="70" t="s">
        <v>328</v>
      </c>
      <c r="AE363" s="70"/>
      <c r="AF363" s="1">
        <v>5995000</v>
      </c>
      <c r="AG363" s="5">
        <f t="shared" si="107"/>
        <v>0</v>
      </c>
    </row>
    <row r="364" spans="1:33" s="1" customFormat="1" x14ac:dyDescent="0.25">
      <c r="A364" s="49"/>
      <c r="B364" s="22" t="s">
        <v>1684</v>
      </c>
      <c r="C364" s="22" t="s">
        <v>138</v>
      </c>
      <c r="D364" s="51" t="s">
        <v>937</v>
      </c>
      <c r="E364" s="24" t="s">
        <v>166</v>
      </c>
      <c r="F364" s="24"/>
      <c r="G364" s="24" t="s">
        <v>936</v>
      </c>
      <c r="H364" s="24" t="s">
        <v>62</v>
      </c>
      <c r="I364" s="24">
        <v>2013</v>
      </c>
      <c r="J364" s="24"/>
      <c r="K364" s="24" t="s">
        <v>63</v>
      </c>
      <c r="L364" s="24" t="s">
        <v>64</v>
      </c>
      <c r="M364" s="24">
        <v>1</v>
      </c>
      <c r="N364" s="41">
        <f t="shared" si="119"/>
        <v>5995000</v>
      </c>
      <c r="O364" s="41">
        <v>5995000</v>
      </c>
      <c r="P364" s="24"/>
      <c r="Q364" s="24"/>
      <c r="R364" s="24"/>
      <c r="S364" s="41">
        <f t="shared" si="112"/>
        <v>5995000</v>
      </c>
      <c r="T364" s="24">
        <v>5</v>
      </c>
      <c r="U364" s="41"/>
      <c r="V364" s="24">
        <v>0.5</v>
      </c>
      <c r="W364" s="41">
        <f t="shared" si="122"/>
        <v>0</v>
      </c>
      <c r="X364" s="24"/>
      <c r="Y364" s="41">
        <f t="shared" si="117"/>
        <v>0</v>
      </c>
      <c r="Z364" s="41">
        <f t="shared" si="123"/>
        <v>0</v>
      </c>
      <c r="AA364" s="24">
        <v>5</v>
      </c>
      <c r="AB364" s="41">
        <v>5995000</v>
      </c>
      <c r="AC364" s="41">
        <f t="shared" si="113"/>
        <v>0</v>
      </c>
      <c r="AD364" s="70" t="s">
        <v>276</v>
      </c>
      <c r="AE364" s="70"/>
      <c r="AF364" s="1">
        <v>5995000</v>
      </c>
      <c r="AG364" s="5">
        <f t="shared" si="107"/>
        <v>0</v>
      </c>
    </row>
    <row r="365" spans="1:33" s="1" customFormat="1" x14ac:dyDescent="0.25">
      <c r="A365" s="49"/>
      <c r="B365" s="22" t="s">
        <v>1684</v>
      </c>
      <c r="C365" s="22" t="s">
        <v>143</v>
      </c>
      <c r="D365" s="51" t="s">
        <v>937</v>
      </c>
      <c r="E365" s="24" t="s">
        <v>166</v>
      </c>
      <c r="F365" s="24"/>
      <c r="G365" s="24" t="s">
        <v>936</v>
      </c>
      <c r="H365" s="24" t="s">
        <v>62</v>
      </c>
      <c r="I365" s="24">
        <v>2013</v>
      </c>
      <c r="J365" s="24"/>
      <c r="K365" s="24" t="s">
        <v>63</v>
      </c>
      <c r="L365" s="24" t="s">
        <v>64</v>
      </c>
      <c r="M365" s="24">
        <v>1</v>
      </c>
      <c r="N365" s="41">
        <f t="shared" si="119"/>
        <v>5995000</v>
      </c>
      <c r="O365" s="41">
        <v>5995000</v>
      </c>
      <c r="P365" s="24"/>
      <c r="Q365" s="24"/>
      <c r="R365" s="24"/>
      <c r="S365" s="41">
        <f t="shared" si="112"/>
        <v>5995000</v>
      </c>
      <c r="T365" s="24">
        <v>5</v>
      </c>
      <c r="U365" s="41"/>
      <c r="V365" s="24">
        <v>0.5</v>
      </c>
      <c r="W365" s="41">
        <f t="shared" si="122"/>
        <v>0</v>
      </c>
      <c r="X365" s="24"/>
      <c r="Y365" s="41">
        <f t="shared" si="117"/>
        <v>0</v>
      </c>
      <c r="Z365" s="41">
        <f t="shared" si="123"/>
        <v>0</v>
      </c>
      <c r="AA365" s="24">
        <v>5</v>
      </c>
      <c r="AB365" s="41">
        <v>5995000</v>
      </c>
      <c r="AC365" s="41">
        <f t="shared" si="113"/>
        <v>0</v>
      </c>
      <c r="AD365" s="70" t="s">
        <v>940</v>
      </c>
      <c r="AE365" s="70"/>
      <c r="AF365" s="1">
        <v>5995000</v>
      </c>
      <c r="AG365" s="5">
        <f t="shared" si="107"/>
        <v>0</v>
      </c>
    </row>
    <row r="366" spans="1:33" s="1" customFormat="1" x14ac:dyDescent="0.25">
      <c r="A366" s="49"/>
      <c r="B366" s="22" t="s">
        <v>1684</v>
      </c>
      <c r="C366" s="22" t="s">
        <v>341</v>
      </c>
      <c r="D366" s="51" t="s">
        <v>937</v>
      </c>
      <c r="E366" s="24" t="s">
        <v>166</v>
      </c>
      <c r="F366" s="24"/>
      <c r="G366" s="24" t="s">
        <v>936</v>
      </c>
      <c r="H366" s="24" t="s">
        <v>62</v>
      </c>
      <c r="I366" s="24">
        <v>2014</v>
      </c>
      <c r="J366" s="24"/>
      <c r="K366" s="24" t="s">
        <v>63</v>
      </c>
      <c r="L366" s="24" t="s">
        <v>64</v>
      </c>
      <c r="M366" s="24">
        <v>2</v>
      </c>
      <c r="N366" s="41">
        <f t="shared" si="119"/>
        <v>26840000</v>
      </c>
      <c r="O366" s="41">
        <v>53680000</v>
      </c>
      <c r="P366" s="24"/>
      <c r="Q366" s="24"/>
      <c r="R366" s="24"/>
      <c r="S366" s="41">
        <f t="shared" si="112"/>
        <v>53680000</v>
      </c>
      <c r="T366" s="24">
        <v>5</v>
      </c>
      <c r="U366" s="41"/>
      <c r="V366" s="24">
        <v>0.5</v>
      </c>
      <c r="W366" s="41">
        <f t="shared" si="122"/>
        <v>0</v>
      </c>
      <c r="X366" s="24"/>
      <c r="Y366" s="41">
        <f t="shared" si="117"/>
        <v>0</v>
      </c>
      <c r="Z366" s="41">
        <f t="shared" si="123"/>
        <v>0</v>
      </c>
      <c r="AA366" s="24">
        <v>5</v>
      </c>
      <c r="AB366" s="41">
        <v>53680000</v>
      </c>
      <c r="AC366" s="41">
        <f t="shared" si="113"/>
        <v>0</v>
      </c>
      <c r="AD366" s="70" t="s">
        <v>941</v>
      </c>
      <c r="AE366" s="70"/>
      <c r="AF366" s="1">
        <v>53680000</v>
      </c>
      <c r="AG366" s="5">
        <f t="shared" si="107"/>
        <v>0</v>
      </c>
    </row>
    <row r="367" spans="1:33" s="1" customFormat="1" x14ac:dyDescent="0.25">
      <c r="A367" s="49"/>
      <c r="B367" s="22" t="s">
        <v>1684</v>
      </c>
      <c r="C367" s="22" t="s">
        <v>153</v>
      </c>
      <c r="D367" s="51" t="s">
        <v>937</v>
      </c>
      <c r="E367" s="24" t="s">
        <v>166</v>
      </c>
      <c r="F367" s="24"/>
      <c r="G367" s="24" t="s">
        <v>936</v>
      </c>
      <c r="H367" s="24" t="s">
        <v>62</v>
      </c>
      <c r="I367" s="24">
        <v>2014</v>
      </c>
      <c r="J367" s="24"/>
      <c r="K367" s="24" t="s">
        <v>63</v>
      </c>
      <c r="L367" s="24" t="s">
        <v>64</v>
      </c>
      <c r="M367" s="24">
        <v>1</v>
      </c>
      <c r="N367" s="41">
        <f t="shared" si="119"/>
        <v>26840000</v>
      </c>
      <c r="O367" s="41">
        <v>26840000</v>
      </c>
      <c r="P367" s="24"/>
      <c r="Q367" s="24"/>
      <c r="R367" s="24"/>
      <c r="S367" s="41">
        <f t="shared" ref="S367:S391" si="124">SUM(O367-R367)</f>
        <v>26840000</v>
      </c>
      <c r="T367" s="24">
        <v>5</v>
      </c>
      <c r="U367" s="41"/>
      <c r="V367" s="24">
        <v>0.5</v>
      </c>
      <c r="W367" s="41">
        <f t="shared" si="122"/>
        <v>0</v>
      </c>
      <c r="X367" s="24"/>
      <c r="Y367" s="41">
        <f t="shared" si="117"/>
        <v>0</v>
      </c>
      <c r="Z367" s="41">
        <f t="shared" si="123"/>
        <v>0</v>
      </c>
      <c r="AA367" s="24">
        <v>5</v>
      </c>
      <c r="AB367" s="41">
        <v>26840000</v>
      </c>
      <c r="AC367" s="41">
        <f t="shared" ref="AC367:AC391" si="125">SUM(O367-AB367)</f>
        <v>0</v>
      </c>
      <c r="AD367" s="70" t="s">
        <v>942</v>
      </c>
      <c r="AE367" s="70"/>
      <c r="AF367" s="1">
        <v>26840000</v>
      </c>
      <c r="AG367" s="5">
        <f t="shared" si="107"/>
        <v>0</v>
      </c>
    </row>
    <row r="368" spans="1:33" s="1" customFormat="1" x14ac:dyDescent="0.25">
      <c r="A368" s="49"/>
      <c r="B368" s="22" t="s">
        <v>1684</v>
      </c>
      <c r="C368" s="22" t="s">
        <v>156</v>
      </c>
      <c r="D368" s="51" t="s">
        <v>937</v>
      </c>
      <c r="E368" s="24" t="s">
        <v>166</v>
      </c>
      <c r="F368" s="24"/>
      <c r="G368" s="24" t="s">
        <v>936</v>
      </c>
      <c r="H368" s="24" t="s">
        <v>62</v>
      </c>
      <c r="I368" s="24">
        <v>2014</v>
      </c>
      <c r="J368" s="24"/>
      <c r="K368" s="24" t="s">
        <v>63</v>
      </c>
      <c r="L368" s="24" t="s">
        <v>64</v>
      </c>
      <c r="M368" s="24">
        <v>1</v>
      </c>
      <c r="N368" s="41">
        <f t="shared" si="119"/>
        <v>26840000</v>
      </c>
      <c r="O368" s="41">
        <v>26840000</v>
      </c>
      <c r="P368" s="24"/>
      <c r="Q368" s="24"/>
      <c r="R368" s="24"/>
      <c r="S368" s="41">
        <f t="shared" si="124"/>
        <v>26840000</v>
      </c>
      <c r="T368" s="24">
        <v>5</v>
      </c>
      <c r="U368" s="41"/>
      <c r="V368" s="24">
        <v>0.5</v>
      </c>
      <c r="W368" s="41">
        <f t="shared" si="122"/>
        <v>0</v>
      </c>
      <c r="X368" s="24"/>
      <c r="Y368" s="41">
        <f t="shared" si="117"/>
        <v>0</v>
      </c>
      <c r="Z368" s="41">
        <f t="shared" si="123"/>
        <v>0</v>
      </c>
      <c r="AA368" s="24">
        <v>5</v>
      </c>
      <c r="AB368" s="41">
        <v>26840000</v>
      </c>
      <c r="AC368" s="41">
        <f t="shared" si="125"/>
        <v>0</v>
      </c>
      <c r="AD368" s="70" t="s">
        <v>354</v>
      </c>
      <c r="AE368" s="70"/>
      <c r="AF368" s="1">
        <v>26840000</v>
      </c>
      <c r="AG368" s="5">
        <f t="shared" si="107"/>
        <v>0</v>
      </c>
    </row>
    <row r="369" spans="1:33" s="1" customFormat="1" x14ac:dyDescent="0.25">
      <c r="A369" s="49"/>
      <c r="B369" s="22" t="s">
        <v>1684</v>
      </c>
      <c r="C369" s="22" t="s">
        <v>554</v>
      </c>
      <c r="D369" s="51" t="s">
        <v>937</v>
      </c>
      <c r="E369" s="24" t="s">
        <v>166</v>
      </c>
      <c r="F369" s="24"/>
      <c r="G369" s="24" t="s">
        <v>936</v>
      </c>
      <c r="H369" s="24" t="s">
        <v>62</v>
      </c>
      <c r="I369" s="24">
        <v>2014</v>
      </c>
      <c r="J369" s="24"/>
      <c r="K369" s="24" t="s">
        <v>63</v>
      </c>
      <c r="L369" s="24" t="s">
        <v>64</v>
      </c>
      <c r="M369" s="24">
        <v>2</v>
      </c>
      <c r="N369" s="41">
        <f t="shared" si="119"/>
        <v>26840000</v>
      </c>
      <c r="O369" s="41">
        <v>53680000</v>
      </c>
      <c r="P369" s="24"/>
      <c r="Q369" s="24"/>
      <c r="R369" s="24"/>
      <c r="S369" s="41">
        <f t="shared" si="124"/>
        <v>53680000</v>
      </c>
      <c r="T369" s="24">
        <v>5</v>
      </c>
      <c r="U369" s="41"/>
      <c r="V369" s="24">
        <v>0.5</v>
      </c>
      <c r="W369" s="41">
        <f t="shared" si="122"/>
        <v>0</v>
      </c>
      <c r="X369" s="24"/>
      <c r="Y369" s="41">
        <f t="shared" si="117"/>
        <v>0</v>
      </c>
      <c r="Z369" s="41">
        <f t="shared" si="123"/>
        <v>0</v>
      </c>
      <c r="AA369" s="72">
        <v>5</v>
      </c>
      <c r="AB369" s="41">
        <v>53680000</v>
      </c>
      <c r="AC369" s="41">
        <f t="shared" si="125"/>
        <v>0</v>
      </c>
      <c r="AD369" s="70" t="s">
        <v>943</v>
      </c>
      <c r="AE369" s="70"/>
      <c r="AF369" s="1">
        <v>53680000</v>
      </c>
      <c r="AG369" s="5">
        <f t="shared" si="107"/>
        <v>0</v>
      </c>
    </row>
    <row r="370" spans="1:33" s="1" customFormat="1" x14ac:dyDescent="0.25">
      <c r="A370" s="49"/>
      <c r="B370" s="50" t="s">
        <v>1685</v>
      </c>
      <c r="C370" s="50" t="s">
        <v>343</v>
      </c>
      <c r="D370" s="51" t="s">
        <v>344</v>
      </c>
      <c r="E370" s="52" t="s">
        <v>166</v>
      </c>
      <c r="F370" s="52"/>
      <c r="G370" s="52" t="s">
        <v>319</v>
      </c>
      <c r="H370" s="52" t="s">
        <v>62</v>
      </c>
      <c r="I370" s="52">
        <v>2016</v>
      </c>
      <c r="J370" s="52"/>
      <c r="K370" s="52" t="s">
        <v>63</v>
      </c>
      <c r="L370" s="52" t="s">
        <v>64</v>
      </c>
      <c r="M370" s="52">
        <v>6</v>
      </c>
      <c r="N370" s="53">
        <f>SUM(O370/M370)</f>
        <v>3280000</v>
      </c>
      <c r="O370" s="53">
        <v>19680000</v>
      </c>
      <c r="P370" s="52"/>
      <c r="Q370" s="52"/>
      <c r="R370" s="52"/>
      <c r="S370" s="53">
        <f t="shared" si="124"/>
        <v>19680000</v>
      </c>
      <c r="T370" s="52">
        <v>5</v>
      </c>
      <c r="U370" s="53">
        <f>SUM(S370/T370)</f>
        <v>3936000</v>
      </c>
      <c r="V370" s="52">
        <v>0.5</v>
      </c>
      <c r="W370" s="53"/>
      <c r="X370" s="24"/>
      <c r="Y370" s="41"/>
      <c r="Z370" s="41"/>
      <c r="AA370" s="72">
        <f>2021-I370+V370+X370-6/12</f>
        <v>5</v>
      </c>
      <c r="AB370" s="41">
        <f>SUM(U370*AA370)</f>
        <v>19680000</v>
      </c>
      <c r="AC370" s="41">
        <f t="shared" si="125"/>
        <v>0</v>
      </c>
      <c r="AD370" s="70" t="s">
        <v>345</v>
      </c>
      <c r="AE370" s="70"/>
      <c r="AG370" s="5">
        <f t="shared" si="107"/>
        <v>-19680000</v>
      </c>
    </row>
    <row r="371" spans="1:33" s="1" customFormat="1" x14ac:dyDescent="0.25">
      <c r="A371" s="49"/>
      <c r="B371" s="50" t="s">
        <v>1685</v>
      </c>
      <c r="C371" s="50" t="s">
        <v>96</v>
      </c>
      <c r="D371" s="51" t="s">
        <v>344</v>
      </c>
      <c r="E371" s="52" t="s">
        <v>166</v>
      </c>
      <c r="F371" s="52"/>
      <c r="G371" s="52" t="s">
        <v>319</v>
      </c>
      <c r="H371" s="52" t="s">
        <v>62</v>
      </c>
      <c r="I371" s="52">
        <v>2016</v>
      </c>
      <c r="J371" s="52"/>
      <c r="K371" s="52" t="s">
        <v>63</v>
      </c>
      <c r="L371" s="52" t="s">
        <v>64</v>
      </c>
      <c r="M371" s="52">
        <v>1</v>
      </c>
      <c r="N371" s="53">
        <f>SUM(O371/M371)</f>
        <v>3280000</v>
      </c>
      <c r="O371" s="53">
        <v>3280000</v>
      </c>
      <c r="P371" s="52"/>
      <c r="Q371" s="52"/>
      <c r="R371" s="52"/>
      <c r="S371" s="53">
        <f t="shared" si="124"/>
        <v>3280000</v>
      </c>
      <c r="T371" s="52">
        <v>5</v>
      </c>
      <c r="U371" s="53">
        <f>SUM(S371/T371)</f>
        <v>656000</v>
      </c>
      <c r="V371" s="52">
        <v>0.5</v>
      </c>
      <c r="W371" s="53"/>
      <c r="X371" s="24"/>
      <c r="Y371" s="41">
        <f>SUM(U371*X371)</f>
        <v>0</v>
      </c>
      <c r="Z371" s="41"/>
      <c r="AA371" s="72">
        <f>2021-I371+V371+X371-6/12</f>
        <v>5</v>
      </c>
      <c r="AB371" s="41">
        <f>SUM(U371*AA371)</f>
        <v>3280000</v>
      </c>
      <c r="AC371" s="41">
        <f t="shared" si="125"/>
        <v>0</v>
      </c>
      <c r="AD371" s="70" t="s">
        <v>213</v>
      </c>
      <c r="AE371" s="70"/>
      <c r="AG371" s="5">
        <f t="shared" si="107"/>
        <v>-3280000</v>
      </c>
    </row>
    <row r="372" spans="1:33" s="1" customFormat="1" x14ac:dyDescent="0.25">
      <c r="A372" s="49"/>
      <c r="B372" s="50" t="s">
        <v>1685</v>
      </c>
      <c r="C372" s="50" t="s">
        <v>100</v>
      </c>
      <c r="D372" s="51" t="s">
        <v>346</v>
      </c>
      <c r="E372" s="52" t="s">
        <v>166</v>
      </c>
      <c r="F372" s="52"/>
      <c r="G372" s="52" t="s">
        <v>319</v>
      </c>
      <c r="H372" s="52" t="s">
        <v>62</v>
      </c>
      <c r="I372" s="52">
        <v>2017</v>
      </c>
      <c r="J372" s="52"/>
      <c r="K372" s="52" t="s">
        <v>63</v>
      </c>
      <c r="L372" s="52" t="s">
        <v>64</v>
      </c>
      <c r="M372" s="52">
        <v>1</v>
      </c>
      <c r="N372" s="53">
        <f>SUM(O372/M372)</f>
        <v>49995000</v>
      </c>
      <c r="O372" s="53">
        <v>49995000</v>
      </c>
      <c r="P372" s="52"/>
      <c r="Q372" s="52"/>
      <c r="R372" s="52"/>
      <c r="S372" s="53">
        <f t="shared" si="124"/>
        <v>49995000</v>
      </c>
      <c r="T372" s="52">
        <v>5</v>
      </c>
      <c r="U372" s="53">
        <f>SUM(S372/T372)</f>
        <v>9999000</v>
      </c>
      <c r="V372" s="52"/>
      <c r="W372" s="53"/>
      <c r="X372" s="57"/>
      <c r="Y372" s="53">
        <f t="shared" ref="Y372:Y391" si="126">SUM(U372*X372)</f>
        <v>0</v>
      </c>
      <c r="Z372" s="53">
        <f>SUM(W372+Y372)</f>
        <v>0</v>
      </c>
      <c r="AA372" s="57">
        <v>5</v>
      </c>
      <c r="AB372" s="53">
        <v>49995000</v>
      </c>
      <c r="AC372" s="53">
        <f t="shared" si="125"/>
        <v>0</v>
      </c>
      <c r="AD372" s="56" t="s">
        <v>276</v>
      </c>
      <c r="AE372" s="70"/>
      <c r="AG372" s="5">
        <f t="shared" si="107"/>
        <v>-49995000</v>
      </c>
    </row>
    <row r="373" spans="1:33" s="1" customFormat="1" x14ac:dyDescent="0.25">
      <c r="A373" s="49"/>
      <c r="B373" s="22" t="s">
        <v>1686</v>
      </c>
      <c r="C373" s="50" t="s">
        <v>58</v>
      </c>
      <c r="D373" s="51" t="s">
        <v>347</v>
      </c>
      <c r="E373" s="52" t="s">
        <v>166</v>
      </c>
      <c r="F373" s="52"/>
      <c r="G373" s="52" t="s">
        <v>319</v>
      </c>
      <c r="H373" s="52" t="s">
        <v>62</v>
      </c>
      <c r="I373" s="52">
        <v>2012</v>
      </c>
      <c r="J373" s="52"/>
      <c r="K373" s="52" t="s">
        <v>63</v>
      </c>
      <c r="L373" s="52" t="s">
        <v>64</v>
      </c>
      <c r="M373" s="52">
        <v>1</v>
      </c>
      <c r="N373" s="53">
        <f t="shared" ref="N373:N386" si="127">SUM(O373/M373)</f>
        <v>940500</v>
      </c>
      <c r="O373" s="53">
        <v>940500</v>
      </c>
      <c r="P373" s="52"/>
      <c r="Q373" s="52"/>
      <c r="R373" s="52"/>
      <c r="S373" s="53">
        <f t="shared" si="124"/>
        <v>940500</v>
      </c>
      <c r="T373" s="52">
        <v>5</v>
      </c>
      <c r="U373" s="53"/>
      <c r="V373" s="52">
        <v>0.5</v>
      </c>
      <c r="W373" s="53">
        <f t="shared" ref="W373:W379" si="128">SUM(U373*V373)</f>
        <v>0</v>
      </c>
      <c r="X373" s="52"/>
      <c r="Y373" s="53">
        <f t="shared" si="126"/>
        <v>0</v>
      </c>
      <c r="Z373" s="53">
        <f t="shared" ref="Z373:Z379" si="129">SUM(W373+Y373)</f>
        <v>0</v>
      </c>
      <c r="AA373" s="52">
        <v>5</v>
      </c>
      <c r="AB373" s="53">
        <v>940500</v>
      </c>
      <c r="AC373" s="53">
        <f t="shared" si="125"/>
        <v>0</v>
      </c>
      <c r="AD373" s="56" t="s">
        <v>348</v>
      </c>
      <c r="AE373" s="70"/>
      <c r="AF373" s="1">
        <v>940500</v>
      </c>
      <c r="AG373" s="5">
        <f t="shared" si="107"/>
        <v>0</v>
      </c>
    </row>
    <row r="374" spans="1:33" s="1" customFormat="1" x14ac:dyDescent="0.25">
      <c r="A374" s="49"/>
      <c r="B374" s="22" t="s">
        <v>1686</v>
      </c>
      <c r="C374" s="50" t="s">
        <v>349</v>
      </c>
      <c r="D374" s="51" t="s">
        <v>347</v>
      </c>
      <c r="E374" s="52" t="s">
        <v>166</v>
      </c>
      <c r="F374" s="52"/>
      <c r="G374" s="52" t="s">
        <v>319</v>
      </c>
      <c r="H374" s="52" t="s">
        <v>62</v>
      </c>
      <c r="I374" s="52">
        <v>2012</v>
      </c>
      <c r="J374" s="52"/>
      <c r="K374" s="52" t="s">
        <v>63</v>
      </c>
      <c r="L374" s="52" t="s">
        <v>64</v>
      </c>
      <c r="M374" s="52">
        <v>14</v>
      </c>
      <c r="N374" s="53">
        <f t="shared" si="127"/>
        <v>940500</v>
      </c>
      <c r="O374" s="53">
        <v>13167000</v>
      </c>
      <c r="P374" s="52"/>
      <c r="Q374" s="52"/>
      <c r="R374" s="52"/>
      <c r="S374" s="53">
        <f t="shared" si="124"/>
        <v>13167000</v>
      </c>
      <c r="T374" s="52">
        <v>5</v>
      </c>
      <c r="U374" s="53"/>
      <c r="V374" s="52">
        <v>0.5</v>
      </c>
      <c r="W374" s="53">
        <f t="shared" si="128"/>
        <v>0</v>
      </c>
      <c r="X374" s="24"/>
      <c r="Y374" s="41">
        <f t="shared" si="126"/>
        <v>0</v>
      </c>
      <c r="Z374" s="41">
        <f t="shared" si="129"/>
        <v>0</v>
      </c>
      <c r="AA374" s="72">
        <v>5</v>
      </c>
      <c r="AB374" s="41">
        <v>13167000</v>
      </c>
      <c r="AC374" s="41">
        <f t="shared" si="125"/>
        <v>0</v>
      </c>
      <c r="AD374" s="70" t="s">
        <v>350</v>
      </c>
      <c r="AE374" s="70"/>
      <c r="AF374" s="1">
        <v>13167000</v>
      </c>
      <c r="AG374" s="5">
        <f t="shared" si="107"/>
        <v>0</v>
      </c>
    </row>
    <row r="375" spans="1:33" s="1" customFormat="1" x14ac:dyDescent="0.25">
      <c r="A375" s="49"/>
      <c r="B375" s="22" t="s">
        <v>1686</v>
      </c>
      <c r="C375" s="50" t="s">
        <v>150</v>
      </c>
      <c r="D375" s="51" t="s">
        <v>347</v>
      </c>
      <c r="E375" s="52" t="s">
        <v>166</v>
      </c>
      <c r="F375" s="52"/>
      <c r="G375" s="52" t="s">
        <v>319</v>
      </c>
      <c r="H375" s="52" t="s">
        <v>62</v>
      </c>
      <c r="I375" s="52">
        <v>2012</v>
      </c>
      <c r="J375" s="52"/>
      <c r="K375" s="52" t="s">
        <v>63</v>
      </c>
      <c r="L375" s="52" t="s">
        <v>64</v>
      </c>
      <c r="M375" s="52">
        <v>1</v>
      </c>
      <c r="N375" s="53">
        <f t="shared" si="127"/>
        <v>940500</v>
      </c>
      <c r="O375" s="53">
        <v>940500</v>
      </c>
      <c r="P375" s="52"/>
      <c r="Q375" s="52"/>
      <c r="R375" s="52"/>
      <c r="S375" s="53">
        <f t="shared" si="124"/>
        <v>940500</v>
      </c>
      <c r="T375" s="52">
        <v>5</v>
      </c>
      <c r="U375" s="53"/>
      <c r="V375" s="52">
        <v>0.5</v>
      </c>
      <c r="W375" s="53">
        <f t="shared" si="128"/>
        <v>0</v>
      </c>
      <c r="X375" s="24"/>
      <c r="Y375" s="41">
        <f t="shared" si="126"/>
        <v>0</v>
      </c>
      <c r="Z375" s="41">
        <f t="shared" si="129"/>
        <v>0</v>
      </c>
      <c r="AA375" s="72">
        <v>5</v>
      </c>
      <c r="AB375" s="41">
        <v>940500</v>
      </c>
      <c r="AC375" s="41">
        <f t="shared" si="125"/>
        <v>0</v>
      </c>
      <c r="AD375" s="70" t="s">
        <v>351</v>
      </c>
      <c r="AE375" s="70"/>
      <c r="AF375" s="1">
        <v>940500</v>
      </c>
      <c r="AG375" s="5">
        <f t="shared" si="107"/>
        <v>0</v>
      </c>
    </row>
    <row r="376" spans="1:33" s="1" customFormat="1" x14ac:dyDescent="0.25">
      <c r="A376" s="49"/>
      <c r="B376" s="22" t="s">
        <v>1686</v>
      </c>
      <c r="C376" s="50" t="s">
        <v>342</v>
      </c>
      <c r="D376" s="51" t="s">
        <v>347</v>
      </c>
      <c r="E376" s="52" t="s">
        <v>166</v>
      </c>
      <c r="F376" s="52"/>
      <c r="G376" s="52" t="s">
        <v>319</v>
      </c>
      <c r="H376" s="52" t="s">
        <v>62</v>
      </c>
      <c r="I376" s="52">
        <v>2012</v>
      </c>
      <c r="J376" s="52"/>
      <c r="K376" s="52" t="s">
        <v>63</v>
      </c>
      <c r="L376" s="52" t="s">
        <v>64</v>
      </c>
      <c r="M376" s="52">
        <v>2</v>
      </c>
      <c r="N376" s="53">
        <f t="shared" si="127"/>
        <v>940500</v>
      </c>
      <c r="O376" s="53">
        <v>1881000</v>
      </c>
      <c r="P376" s="52"/>
      <c r="Q376" s="52"/>
      <c r="R376" s="52"/>
      <c r="S376" s="53">
        <f t="shared" si="124"/>
        <v>1881000</v>
      </c>
      <c r="T376" s="52">
        <v>5</v>
      </c>
      <c r="U376" s="53"/>
      <c r="V376" s="52">
        <v>0.5</v>
      </c>
      <c r="W376" s="53">
        <f t="shared" si="128"/>
        <v>0</v>
      </c>
      <c r="X376" s="24"/>
      <c r="Y376" s="41">
        <f t="shared" si="126"/>
        <v>0</v>
      </c>
      <c r="Z376" s="41">
        <f t="shared" si="129"/>
        <v>0</v>
      </c>
      <c r="AA376" s="24">
        <v>5</v>
      </c>
      <c r="AB376" s="41">
        <v>1881000</v>
      </c>
      <c r="AC376" s="41">
        <f t="shared" si="125"/>
        <v>0</v>
      </c>
      <c r="AD376" s="70" t="s">
        <v>352</v>
      </c>
      <c r="AE376" s="70"/>
      <c r="AF376" s="1">
        <v>1881000</v>
      </c>
      <c r="AG376" s="5">
        <f t="shared" si="107"/>
        <v>0</v>
      </c>
    </row>
    <row r="377" spans="1:33" s="1" customFormat="1" x14ac:dyDescent="0.25">
      <c r="A377" s="49"/>
      <c r="B377" s="22" t="s">
        <v>1686</v>
      </c>
      <c r="C377" s="50" t="s">
        <v>353</v>
      </c>
      <c r="D377" s="51" t="s">
        <v>347</v>
      </c>
      <c r="E377" s="52" t="s">
        <v>166</v>
      </c>
      <c r="F377" s="52"/>
      <c r="G377" s="52" t="s">
        <v>319</v>
      </c>
      <c r="H377" s="52" t="s">
        <v>62</v>
      </c>
      <c r="I377" s="52">
        <v>2012</v>
      </c>
      <c r="J377" s="52"/>
      <c r="K377" s="52" t="s">
        <v>63</v>
      </c>
      <c r="L377" s="52" t="s">
        <v>64</v>
      </c>
      <c r="M377" s="52">
        <v>16</v>
      </c>
      <c r="N377" s="53">
        <f t="shared" si="127"/>
        <v>940500</v>
      </c>
      <c r="O377" s="53">
        <v>15048000</v>
      </c>
      <c r="P377" s="52"/>
      <c r="Q377" s="52"/>
      <c r="R377" s="52"/>
      <c r="S377" s="53">
        <f t="shared" si="124"/>
        <v>15048000</v>
      </c>
      <c r="T377" s="52">
        <v>5</v>
      </c>
      <c r="U377" s="53"/>
      <c r="V377" s="52">
        <v>0.5</v>
      </c>
      <c r="W377" s="53">
        <f t="shared" si="128"/>
        <v>0</v>
      </c>
      <c r="X377" s="24"/>
      <c r="Y377" s="41">
        <f t="shared" si="126"/>
        <v>0</v>
      </c>
      <c r="Z377" s="41">
        <f t="shared" si="129"/>
        <v>0</v>
      </c>
      <c r="AA377" s="24">
        <v>5</v>
      </c>
      <c r="AB377" s="41">
        <v>15048000</v>
      </c>
      <c r="AC377" s="41">
        <f t="shared" si="125"/>
        <v>0</v>
      </c>
      <c r="AD377" s="70" t="s">
        <v>354</v>
      </c>
      <c r="AE377" s="70"/>
      <c r="AF377" s="1">
        <v>15048000</v>
      </c>
      <c r="AG377" s="5">
        <f t="shared" si="107"/>
        <v>0</v>
      </c>
    </row>
    <row r="378" spans="1:33" s="1" customFormat="1" x14ac:dyDescent="0.25">
      <c r="A378" s="49"/>
      <c r="B378" s="22" t="s">
        <v>1686</v>
      </c>
      <c r="C378" s="50" t="s">
        <v>355</v>
      </c>
      <c r="D378" s="51" t="s">
        <v>356</v>
      </c>
      <c r="E378" s="52" t="s">
        <v>166</v>
      </c>
      <c r="F378" s="52"/>
      <c r="G378" s="52" t="s">
        <v>319</v>
      </c>
      <c r="H378" s="52" t="s">
        <v>62</v>
      </c>
      <c r="I378" s="52">
        <v>2012</v>
      </c>
      <c r="J378" s="52"/>
      <c r="K378" s="52" t="s">
        <v>63</v>
      </c>
      <c r="L378" s="52" t="s">
        <v>64</v>
      </c>
      <c r="M378" s="52">
        <v>40</v>
      </c>
      <c r="N378" s="53">
        <f t="shared" si="127"/>
        <v>1448775</v>
      </c>
      <c r="O378" s="53">
        <v>57951000</v>
      </c>
      <c r="P378" s="52"/>
      <c r="Q378" s="52"/>
      <c r="R378" s="52"/>
      <c r="S378" s="53">
        <f t="shared" si="124"/>
        <v>57951000</v>
      </c>
      <c r="T378" s="52">
        <v>5</v>
      </c>
      <c r="U378" s="53"/>
      <c r="V378" s="52">
        <v>0.5</v>
      </c>
      <c r="W378" s="53">
        <f t="shared" si="128"/>
        <v>0</v>
      </c>
      <c r="X378" s="24"/>
      <c r="Y378" s="41">
        <f t="shared" si="126"/>
        <v>0</v>
      </c>
      <c r="Z378" s="41">
        <f t="shared" si="129"/>
        <v>0</v>
      </c>
      <c r="AA378" s="24">
        <v>5</v>
      </c>
      <c r="AB378" s="41">
        <v>57951000</v>
      </c>
      <c r="AC378" s="41">
        <f t="shared" si="125"/>
        <v>0</v>
      </c>
      <c r="AD378" s="70" t="s">
        <v>357</v>
      </c>
      <c r="AE378" s="70"/>
      <c r="AF378" s="1">
        <v>57951000</v>
      </c>
      <c r="AG378" s="5">
        <f t="shared" si="107"/>
        <v>0</v>
      </c>
    </row>
    <row r="379" spans="1:33" s="1" customFormat="1" x14ac:dyDescent="0.25">
      <c r="A379" s="49"/>
      <c r="B379" s="22" t="s">
        <v>1686</v>
      </c>
      <c r="C379" s="50" t="s">
        <v>358</v>
      </c>
      <c r="D379" s="51" t="s">
        <v>356</v>
      </c>
      <c r="E379" s="52" t="s">
        <v>166</v>
      </c>
      <c r="F379" s="52"/>
      <c r="G379" s="52" t="s">
        <v>319</v>
      </c>
      <c r="H379" s="52" t="s">
        <v>62</v>
      </c>
      <c r="I379" s="52">
        <v>2012</v>
      </c>
      <c r="J379" s="52"/>
      <c r="K379" s="52" t="s">
        <v>63</v>
      </c>
      <c r="L379" s="52" t="s">
        <v>64</v>
      </c>
      <c r="M379" s="52">
        <v>42</v>
      </c>
      <c r="N379" s="53">
        <f t="shared" si="127"/>
        <v>1206775</v>
      </c>
      <c r="O379" s="53">
        <v>50684550</v>
      </c>
      <c r="P379" s="52"/>
      <c r="Q379" s="52"/>
      <c r="R379" s="52"/>
      <c r="S379" s="53">
        <f t="shared" si="124"/>
        <v>50684550</v>
      </c>
      <c r="T379" s="52">
        <v>5</v>
      </c>
      <c r="U379" s="53"/>
      <c r="V379" s="52">
        <v>0.5</v>
      </c>
      <c r="W379" s="53">
        <f t="shared" si="128"/>
        <v>0</v>
      </c>
      <c r="X379" s="24"/>
      <c r="Y379" s="41">
        <f t="shared" si="126"/>
        <v>0</v>
      </c>
      <c r="Z379" s="41">
        <f t="shared" si="129"/>
        <v>0</v>
      </c>
      <c r="AA379" s="24">
        <v>5</v>
      </c>
      <c r="AB379" s="41">
        <v>50684550</v>
      </c>
      <c r="AC379" s="41">
        <f t="shared" si="125"/>
        <v>0</v>
      </c>
      <c r="AD379" s="70" t="s">
        <v>288</v>
      </c>
      <c r="AE379" s="70"/>
      <c r="AF379" s="1">
        <v>50684550</v>
      </c>
      <c r="AG379" s="5">
        <f t="shared" si="107"/>
        <v>0</v>
      </c>
    </row>
    <row r="380" spans="1:33" s="1" customFormat="1" x14ac:dyDescent="0.25">
      <c r="A380" s="49"/>
      <c r="B380" s="22" t="s">
        <v>1686</v>
      </c>
      <c r="C380" s="50" t="s">
        <v>359</v>
      </c>
      <c r="D380" s="51" t="s">
        <v>347</v>
      </c>
      <c r="E380" s="52" t="s">
        <v>166</v>
      </c>
      <c r="F380" s="52"/>
      <c r="G380" s="52" t="s">
        <v>319</v>
      </c>
      <c r="H380" s="52" t="s">
        <v>62</v>
      </c>
      <c r="I380" s="52">
        <v>2015</v>
      </c>
      <c r="J380" s="52"/>
      <c r="K380" s="52" t="s">
        <v>63</v>
      </c>
      <c r="L380" s="52" t="s">
        <v>64</v>
      </c>
      <c r="M380" s="52">
        <v>40</v>
      </c>
      <c r="N380" s="53">
        <f t="shared" si="127"/>
        <v>1127500</v>
      </c>
      <c r="O380" s="53">
        <v>45100000</v>
      </c>
      <c r="P380" s="52"/>
      <c r="Q380" s="52"/>
      <c r="R380" s="52"/>
      <c r="S380" s="53">
        <f t="shared" si="124"/>
        <v>45100000</v>
      </c>
      <c r="T380" s="52">
        <v>5</v>
      </c>
      <c r="U380" s="53">
        <f t="shared" ref="U380:U386" si="130">SUM(S380/T380)</f>
        <v>9020000</v>
      </c>
      <c r="V380" s="52">
        <v>0.5</v>
      </c>
      <c r="W380" s="53"/>
      <c r="X380" s="24"/>
      <c r="Y380" s="41">
        <f t="shared" si="126"/>
        <v>0</v>
      </c>
      <c r="Z380" s="41"/>
      <c r="AA380" s="24">
        <v>5</v>
      </c>
      <c r="AB380" s="41">
        <f t="shared" ref="AB380:AB386" si="131">SUM(U380*AA380)</f>
        <v>45100000</v>
      </c>
      <c r="AC380" s="41">
        <f t="shared" si="125"/>
        <v>0</v>
      </c>
      <c r="AD380" s="70" t="s">
        <v>199</v>
      </c>
      <c r="AE380" s="70"/>
      <c r="AF380" s="1">
        <v>45100000</v>
      </c>
      <c r="AG380" s="5">
        <f t="shared" si="107"/>
        <v>0</v>
      </c>
    </row>
    <row r="381" spans="1:33" s="1" customFormat="1" x14ac:dyDescent="0.25">
      <c r="A381" s="49"/>
      <c r="B381" s="22" t="s">
        <v>1686</v>
      </c>
      <c r="C381" s="50" t="s">
        <v>360</v>
      </c>
      <c r="D381" s="51" t="s">
        <v>347</v>
      </c>
      <c r="E381" s="52" t="s">
        <v>166</v>
      </c>
      <c r="F381" s="52"/>
      <c r="G381" s="52" t="s">
        <v>319</v>
      </c>
      <c r="H381" s="52" t="s">
        <v>62</v>
      </c>
      <c r="I381" s="52">
        <v>2015</v>
      </c>
      <c r="J381" s="52"/>
      <c r="K381" s="52" t="s">
        <v>63</v>
      </c>
      <c r="L381" s="52" t="s">
        <v>64</v>
      </c>
      <c r="M381" s="52">
        <v>40</v>
      </c>
      <c r="N381" s="53">
        <f t="shared" si="127"/>
        <v>742500</v>
      </c>
      <c r="O381" s="53">
        <v>29700000</v>
      </c>
      <c r="P381" s="52"/>
      <c r="Q381" s="52"/>
      <c r="R381" s="52"/>
      <c r="S381" s="53">
        <f t="shared" si="124"/>
        <v>29700000</v>
      </c>
      <c r="T381" s="52">
        <v>5</v>
      </c>
      <c r="U381" s="53">
        <f t="shared" si="130"/>
        <v>5940000</v>
      </c>
      <c r="V381" s="52">
        <v>0.5</v>
      </c>
      <c r="W381" s="53"/>
      <c r="X381" s="24"/>
      <c r="Y381" s="41">
        <f t="shared" si="126"/>
        <v>0</v>
      </c>
      <c r="Z381" s="41"/>
      <c r="AA381" s="24">
        <v>5</v>
      </c>
      <c r="AB381" s="41">
        <f t="shared" si="131"/>
        <v>29700000</v>
      </c>
      <c r="AC381" s="41">
        <f t="shared" si="125"/>
        <v>0</v>
      </c>
      <c r="AD381" s="70" t="s">
        <v>361</v>
      </c>
      <c r="AE381" s="70"/>
      <c r="AF381" s="1">
        <v>29700000</v>
      </c>
      <c r="AG381" s="5">
        <f t="shared" ref="AG381:AG444" si="132">AF381+Z381-AB381</f>
        <v>0</v>
      </c>
    </row>
    <row r="382" spans="1:33" s="1" customFormat="1" x14ac:dyDescent="0.25">
      <c r="A382" s="49"/>
      <c r="B382" s="22" t="s">
        <v>1686</v>
      </c>
      <c r="C382" s="50" t="s">
        <v>362</v>
      </c>
      <c r="D382" s="51" t="s">
        <v>347</v>
      </c>
      <c r="E382" s="52" t="s">
        <v>166</v>
      </c>
      <c r="F382" s="52"/>
      <c r="G382" s="52" t="s">
        <v>319</v>
      </c>
      <c r="H382" s="52" t="s">
        <v>62</v>
      </c>
      <c r="I382" s="52">
        <v>2015</v>
      </c>
      <c r="J382" s="52"/>
      <c r="K382" s="52" t="s">
        <v>63</v>
      </c>
      <c r="L382" s="52" t="s">
        <v>64</v>
      </c>
      <c r="M382" s="52">
        <v>20</v>
      </c>
      <c r="N382" s="53">
        <f t="shared" si="127"/>
        <v>742500</v>
      </c>
      <c r="O382" s="53">
        <v>14850000</v>
      </c>
      <c r="P382" s="52"/>
      <c r="Q382" s="52"/>
      <c r="R382" s="52"/>
      <c r="S382" s="53">
        <f t="shared" si="124"/>
        <v>14850000</v>
      </c>
      <c r="T382" s="52">
        <v>5</v>
      </c>
      <c r="U382" s="53">
        <f t="shared" si="130"/>
        <v>2970000</v>
      </c>
      <c r="V382" s="52">
        <v>0.5</v>
      </c>
      <c r="W382" s="53"/>
      <c r="X382" s="24"/>
      <c r="Y382" s="41">
        <f t="shared" si="126"/>
        <v>0</v>
      </c>
      <c r="Z382" s="41"/>
      <c r="AA382" s="24">
        <v>5</v>
      </c>
      <c r="AB382" s="41">
        <f t="shared" si="131"/>
        <v>14850000</v>
      </c>
      <c r="AC382" s="41">
        <f t="shared" si="125"/>
        <v>0</v>
      </c>
      <c r="AD382" s="70" t="s">
        <v>363</v>
      </c>
      <c r="AE382" s="70"/>
      <c r="AF382" s="1">
        <v>14850000</v>
      </c>
      <c r="AG382" s="5">
        <f t="shared" si="132"/>
        <v>0</v>
      </c>
    </row>
    <row r="383" spans="1:33" s="1" customFormat="1" x14ac:dyDescent="0.25">
      <c r="A383" s="49"/>
      <c r="B383" s="22" t="s">
        <v>1686</v>
      </c>
      <c r="C383" s="50" t="s">
        <v>364</v>
      </c>
      <c r="D383" s="51" t="s">
        <v>347</v>
      </c>
      <c r="E383" s="52" t="s">
        <v>166</v>
      </c>
      <c r="F383" s="52"/>
      <c r="G383" s="52" t="s">
        <v>319</v>
      </c>
      <c r="H383" s="52" t="s">
        <v>62</v>
      </c>
      <c r="I383" s="52">
        <v>2017</v>
      </c>
      <c r="J383" s="52"/>
      <c r="K383" s="52" t="s">
        <v>63</v>
      </c>
      <c r="L383" s="52" t="s">
        <v>64</v>
      </c>
      <c r="M383" s="52">
        <v>20</v>
      </c>
      <c r="N383" s="53">
        <f t="shared" si="127"/>
        <v>1248500</v>
      </c>
      <c r="O383" s="53">
        <v>24970000</v>
      </c>
      <c r="P383" s="52"/>
      <c r="Q383" s="52"/>
      <c r="R383" s="52"/>
      <c r="S383" s="53">
        <f t="shared" si="124"/>
        <v>24970000</v>
      </c>
      <c r="T383" s="52">
        <v>5</v>
      </c>
      <c r="U383" s="53">
        <f t="shared" si="130"/>
        <v>4994000</v>
      </c>
      <c r="V383" s="52"/>
      <c r="W383" s="53"/>
      <c r="X383" s="24"/>
      <c r="Y383" s="41">
        <f t="shared" si="126"/>
        <v>0</v>
      </c>
      <c r="Z383" s="41"/>
      <c r="AA383" s="24">
        <v>5</v>
      </c>
      <c r="AB383" s="41">
        <v>24970000</v>
      </c>
      <c r="AC383" s="41">
        <f t="shared" si="125"/>
        <v>0</v>
      </c>
      <c r="AD383" s="70" t="s">
        <v>365</v>
      </c>
      <c r="AE383" s="70"/>
      <c r="AF383" s="1">
        <v>24970000</v>
      </c>
      <c r="AG383" s="5">
        <f t="shared" si="132"/>
        <v>0</v>
      </c>
    </row>
    <row r="384" spans="1:33" s="1" customFormat="1" x14ac:dyDescent="0.25">
      <c r="A384" s="49"/>
      <c r="B384" s="22" t="s">
        <v>1686</v>
      </c>
      <c r="C384" s="50" t="s">
        <v>366</v>
      </c>
      <c r="D384" s="51" t="s">
        <v>347</v>
      </c>
      <c r="E384" s="52" t="s">
        <v>166</v>
      </c>
      <c r="F384" s="52"/>
      <c r="G384" s="52" t="s">
        <v>319</v>
      </c>
      <c r="H384" s="52" t="s">
        <v>62</v>
      </c>
      <c r="I384" s="52">
        <v>2018</v>
      </c>
      <c r="J384" s="52"/>
      <c r="K384" s="52" t="s">
        <v>63</v>
      </c>
      <c r="L384" s="52" t="s">
        <v>64</v>
      </c>
      <c r="M384" s="52">
        <v>8</v>
      </c>
      <c r="N384" s="53">
        <f t="shared" si="127"/>
        <v>1485000</v>
      </c>
      <c r="O384" s="53">
        <v>11880000</v>
      </c>
      <c r="P384" s="52"/>
      <c r="Q384" s="52"/>
      <c r="R384" s="52"/>
      <c r="S384" s="53">
        <f t="shared" si="124"/>
        <v>11880000</v>
      </c>
      <c r="T384" s="52">
        <v>5</v>
      </c>
      <c r="U384" s="53">
        <f t="shared" si="130"/>
        <v>2376000</v>
      </c>
      <c r="V384" s="52">
        <v>0.5</v>
      </c>
      <c r="W384" s="53">
        <f>SUM(U384*V384)-198000</f>
        <v>990000</v>
      </c>
      <c r="X384" s="24"/>
      <c r="Y384" s="41">
        <f t="shared" si="126"/>
        <v>0</v>
      </c>
      <c r="Z384" s="41">
        <f>SUM(W384+Y384)</f>
        <v>990000</v>
      </c>
      <c r="AA384" s="24">
        <f>2023-I384+V384+X384-5/12-1/12</f>
        <v>5</v>
      </c>
      <c r="AB384" s="41">
        <f t="shared" si="131"/>
        <v>11880000</v>
      </c>
      <c r="AC384" s="41">
        <f t="shared" si="125"/>
        <v>0</v>
      </c>
      <c r="AD384" s="70" t="s">
        <v>367</v>
      </c>
      <c r="AE384" s="70"/>
      <c r="AF384" s="1">
        <v>10890000</v>
      </c>
      <c r="AG384" s="5">
        <f t="shared" si="132"/>
        <v>0</v>
      </c>
    </row>
    <row r="385" spans="1:34" s="1" customFormat="1" x14ac:dyDescent="0.25">
      <c r="A385" s="49"/>
      <c r="B385" s="22" t="s">
        <v>1686</v>
      </c>
      <c r="C385" s="50" t="s">
        <v>368</v>
      </c>
      <c r="D385" s="51" t="s">
        <v>369</v>
      </c>
      <c r="E385" s="52" t="s">
        <v>166</v>
      </c>
      <c r="F385" s="52"/>
      <c r="G385" s="52" t="s">
        <v>319</v>
      </c>
      <c r="H385" s="52" t="s">
        <v>62</v>
      </c>
      <c r="I385" s="52">
        <v>2018</v>
      </c>
      <c r="J385" s="52"/>
      <c r="K385" s="52" t="s">
        <v>63</v>
      </c>
      <c r="L385" s="52" t="s">
        <v>64</v>
      </c>
      <c r="M385" s="52">
        <v>8</v>
      </c>
      <c r="N385" s="53">
        <f t="shared" si="127"/>
        <v>1485000</v>
      </c>
      <c r="O385" s="53">
        <v>11880000</v>
      </c>
      <c r="P385" s="52"/>
      <c r="Q385" s="52"/>
      <c r="R385" s="52"/>
      <c r="S385" s="53">
        <f t="shared" si="124"/>
        <v>11880000</v>
      </c>
      <c r="T385" s="52">
        <v>5</v>
      </c>
      <c r="U385" s="53">
        <f t="shared" si="130"/>
        <v>2376000</v>
      </c>
      <c r="V385" s="52">
        <v>0.5</v>
      </c>
      <c r="W385" s="53">
        <f>SUM(U385*V385)-198000</f>
        <v>990000</v>
      </c>
      <c r="X385" s="24"/>
      <c r="Y385" s="41">
        <f t="shared" si="126"/>
        <v>0</v>
      </c>
      <c r="Z385" s="41">
        <f>SUM(W385+Y385)</f>
        <v>990000</v>
      </c>
      <c r="AA385" s="24">
        <f>2023-I385+V385+X385-5/12-1/12</f>
        <v>5</v>
      </c>
      <c r="AB385" s="41">
        <f t="shared" si="131"/>
        <v>11880000</v>
      </c>
      <c r="AC385" s="41">
        <f t="shared" si="125"/>
        <v>0</v>
      </c>
      <c r="AD385" s="70" t="s">
        <v>370</v>
      </c>
      <c r="AE385" s="70"/>
      <c r="AF385" s="1">
        <v>10890000</v>
      </c>
      <c r="AG385" s="5">
        <f t="shared" si="132"/>
        <v>0</v>
      </c>
    </row>
    <row r="386" spans="1:34" s="1" customFormat="1" x14ac:dyDescent="0.25">
      <c r="A386" s="49"/>
      <c r="B386" s="22" t="s">
        <v>1686</v>
      </c>
      <c r="C386" s="50" t="s">
        <v>371</v>
      </c>
      <c r="D386" s="51" t="s">
        <v>372</v>
      </c>
      <c r="E386" s="52" t="s">
        <v>166</v>
      </c>
      <c r="F386" s="52"/>
      <c r="G386" s="52" t="s">
        <v>319</v>
      </c>
      <c r="H386" s="52" t="s">
        <v>62</v>
      </c>
      <c r="I386" s="52">
        <v>2018</v>
      </c>
      <c r="J386" s="52"/>
      <c r="K386" s="52" t="s">
        <v>63</v>
      </c>
      <c r="L386" s="52" t="s">
        <v>64</v>
      </c>
      <c r="M386" s="52">
        <v>8</v>
      </c>
      <c r="N386" s="53">
        <f t="shared" si="127"/>
        <v>3960000</v>
      </c>
      <c r="O386" s="53">
        <v>31680000</v>
      </c>
      <c r="P386" s="52"/>
      <c r="Q386" s="52"/>
      <c r="R386" s="52"/>
      <c r="S386" s="53">
        <f t="shared" si="124"/>
        <v>31680000</v>
      </c>
      <c r="T386" s="52">
        <v>5</v>
      </c>
      <c r="U386" s="53">
        <f t="shared" si="130"/>
        <v>6336000</v>
      </c>
      <c r="V386" s="52">
        <v>0.5</v>
      </c>
      <c r="W386" s="53">
        <f>SUM(U386*V386)-528000</f>
        <v>2640000</v>
      </c>
      <c r="X386" s="24"/>
      <c r="Y386" s="41">
        <f t="shared" si="126"/>
        <v>0</v>
      </c>
      <c r="Z386" s="41">
        <f>SUM(W386+Y386)</f>
        <v>2640000</v>
      </c>
      <c r="AA386" s="24">
        <f>2023-I386+V386+X386-5/12-1/12</f>
        <v>5</v>
      </c>
      <c r="AB386" s="41">
        <f t="shared" si="131"/>
        <v>31680000</v>
      </c>
      <c r="AC386" s="41">
        <f t="shared" si="125"/>
        <v>0</v>
      </c>
      <c r="AD386" s="70" t="s">
        <v>373</v>
      </c>
      <c r="AE386" s="70"/>
      <c r="AF386" s="1">
        <v>29039999.999999996</v>
      </c>
      <c r="AG386" s="5">
        <f t="shared" si="132"/>
        <v>0</v>
      </c>
    </row>
    <row r="387" spans="1:34" s="1" customFormat="1" x14ac:dyDescent="0.25">
      <c r="A387" s="49"/>
      <c r="B387" s="22" t="s">
        <v>1686</v>
      </c>
      <c r="C387" s="22" t="s">
        <v>833</v>
      </c>
      <c r="D387" s="51" t="s">
        <v>834</v>
      </c>
      <c r="E387" s="24" t="s">
        <v>166</v>
      </c>
      <c r="F387" s="24"/>
      <c r="G387" s="24" t="s">
        <v>319</v>
      </c>
      <c r="H387" s="24" t="s">
        <v>62</v>
      </c>
      <c r="I387" s="24">
        <v>2004</v>
      </c>
      <c r="J387" s="24"/>
      <c r="K387" s="24" t="s">
        <v>63</v>
      </c>
      <c r="L387" s="24" t="s">
        <v>64</v>
      </c>
      <c r="M387" s="24">
        <v>6</v>
      </c>
      <c r="N387" s="41">
        <f t="shared" ref="N387:N390" si="133">SUM(O387/M387)</f>
        <v>400000</v>
      </c>
      <c r="O387" s="41">
        <v>2400000</v>
      </c>
      <c r="P387" s="24"/>
      <c r="Q387" s="24"/>
      <c r="R387" s="24"/>
      <c r="S387" s="41">
        <f t="shared" si="124"/>
        <v>2400000</v>
      </c>
      <c r="T387" s="24">
        <v>5</v>
      </c>
      <c r="U387" s="41"/>
      <c r="V387" s="24">
        <v>0.5</v>
      </c>
      <c r="W387" s="41">
        <f t="shared" ref="W387:W388" si="134">SUM(U387*V387)</f>
        <v>0</v>
      </c>
      <c r="X387" s="24"/>
      <c r="Y387" s="41">
        <f t="shared" si="126"/>
        <v>0</v>
      </c>
      <c r="Z387" s="41">
        <f t="shared" ref="Z387:Z391" si="135">SUM(W387+Y387)</f>
        <v>0</v>
      </c>
      <c r="AA387" s="24">
        <v>5</v>
      </c>
      <c r="AB387" s="41">
        <v>2400000</v>
      </c>
      <c r="AC387" s="41">
        <f t="shared" si="125"/>
        <v>0</v>
      </c>
      <c r="AD387" s="70" t="s">
        <v>287</v>
      </c>
      <c r="AE387" s="70"/>
      <c r="AF387" s="1">
        <v>2400000</v>
      </c>
      <c r="AG387" s="5">
        <f t="shared" si="132"/>
        <v>0</v>
      </c>
    </row>
    <row r="388" spans="1:34" s="1" customFormat="1" x14ac:dyDescent="0.25">
      <c r="A388" s="49"/>
      <c r="B388" s="22" t="s">
        <v>1686</v>
      </c>
      <c r="C388" s="22" t="s">
        <v>835</v>
      </c>
      <c r="D388" s="51" t="s">
        <v>834</v>
      </c>
      <c r="E388" s="24" t="s">
        <v>166</v>
      </c>
      <c r="F388" s="24"/>
      <c r="G388" s="24" t="s">
        <v>319</v>
      </c>
      <c r="H388" s="24" t="s">
        <v>62</v>
      </c>
      <c r="I388" s="24">
        <v>2004</v>
      </c>
      <c r="J388" s="24"/>
      <c r="K388" s="24" t="s">
        <v>63</v>
      </c>
      <c r="L388" s="24" t="s">
        <v>64</v>
      </c>
      <c r="M388" s="24">
        <v>1</v>
      </c>
      <c r="N388" s="41">
        <f t="shared" si="133"/>
        <v>365000</v>
      </c>
      <c r="O388" s="41">
        <v>365000</v>
      </c>
      <c r="P388" s="24"/>
      <c r="Q388" s="24"/>
      <c r="R388" s="24"/>
      <c r="S388" s="41">
        <f t="shared" si="124"/>
        <v>365000</v>
      </c>
      <c r="T388" s="24">
        <v>5</v>
      </c>
      <c r="U388" s="41"/>
      <c r="V388" s="24">
        <v>0.5</v>
      </c>
      <c r="W388" s="41">
        <f t="shared" si="134"/>
        <v>0</v>
      </c>
      <c r="X388" s="24"/>
      <c r="Y388" s="41">
        <f t="shared" si="126"/>
        <v>0</v>
      </c>
      <c r="Z388" s="41">
        <f t="shared" si="135"/>
        <v>0</v>
      </c>
      <c r="AA388" s="24">
        <v>5</v>
      </c>
      <c r="AB388" s="41">
        <v>365000</v>
      </c>
      <c r="AC388" s="41">
        <f t="shared" si="125"/>
        <v>0</v>
      </c>
      <c r="AD388" s="70" t="s">
        <v>287</v>
      </c>
      <c r="AE388" s="70"/>
      <c r="AF388" s="1">
        <v>365000</v>
      </c>
      <c r="AG388" s="5">
        <f t="shared" si="132"/>
        <v>0</v>
      </c>
    </row>
    <row r="389" spans="1:34" s="1" customFormat="1" x14ac:dyDescent="0.25">
      <c r="A389" s="49"/>
      <c r="B389" s="22" t="s">
        <v>1686</v>
      </c>
      <c r="C389" s="22" t="s">
        <v>58</v>
      </c>
      <c r="D389" s="51" t="s">
        <v>839</v>
      </c>
      <c r="E389" s="24" t="s">
        <v>166</v>
      </c>
      <c r="F389" s="24"/>
      <c r="G389" s="24" t="s">
        <v>319</v>
      </c>
      <c r="H389" s="24" t="s">
        <v>62</v>
      </c>
      <c r="I389" s="24">
        <v>2018</v>
      </c>
      <c r="J389" s="24"/>
      <c r="K389" s="24" t="s">
        <v>63</v>
      </c>
      <c r="L389" s="24" t="s">
        <v>64</v>
      </c>
      <c r="M389" s="24">
        <v>1</v>
      </c>
      <c r="N389" s="41">
        <f t="shared" si="133"/>
        <v>2475000</v>
      </c>
      <c r="O389" s="41">
        <v>2475000</v>
      </c>
      <c r="P389" s="24"/>
      <c r="Q389" s="24"/>
      <c r="R389" s="24"/>
      <c r="S389" s="41">
        <f t="shared" si="124"/>
        <v>2475000</v>
      </c>
      <c r="T389" s="24">
        <v>5</v>
      </c>
      <c r="U389" s="41">
        <f>SUM(S389/T389)</f>
        <v>495000</v>
      </c>
      <c r="V389" s="79">
        <v>0.5</v>
      </c>
      <c r="W389" s="41">
        <f>SUM(U389*V389)-41250</f>
        <v>206250</v>
      </c>
      <c r="X389" s="24"/>
      <c r="Y389" s="41">
        <f t="shared" si="126"/>
        <v>0</v>
      </c>
      <c r="Z389" s="41">
        <f t="shared" si="135"/>
        <v>206250</v>
      </c>
      <c r="AA389" s="24">
        <f>2023-I389+V389+X389-5/12-1/12</f>
        <v>5</v>
      </c>
      <c r="AB389" s="41">
        <f>SUM(U389*AA389)</f>
        <v>2475000</v>
      </c>
      <c r="AC389" s="41">
        <f t="shared" si="125"/>
        <v>0</v>
      </c>
      <c r="AD389" s="70" t="s">
        <v>365</v>
      </c>
      <c r="AE389" s="70"/>
      <c r="AF389" s="1">
        <v>2268750</v>
      </c>
      <c r="AG389" s="5">
        <f t="shared" si="132"/>
        <v>0</v>
      </c>
    </row>
    <row r="390" spans="1:34" s="1" customFormat="1" x14ac:dyDescent="0.25">
      <c r="A390" s="49"/>
      <c r="B390" s="22" t="s">
        <v>1686</v>
      </c>
      <c r="C390" s="22" t="s">
        <v>75</v>
      </c>
      <c r="D390" s="51" t="s">
        <v>839</v>
      </c>
      <c r="E390" s="24" t="s">
        <v>166</v>
      </c>
      <c r="F390" s="24"/>
      <c r="G390" s="24" t="s">
        <v>319</v>
      </c>
      <c r="H390" s="24" t="s">
        <v>62</v>
      </c>
      <c r="I390" s="24">
        <v>2018</v>
      </c>
      <c r="J390" s="24"/>
      <c r="K390" s="24" t="s">
        <v>63</v>
      </c>
      <c r="L390" s="24" t="s">
        <v>64</v>
      </c>
      <c r="M390" s="24">
        <v>1</v>
      </c>
      <c r="N390" s="41">
        <f t="shared" si="133"/>
        <v>2475000</v>
      </c>
      <c r="O390" s="41">
        <v>2475000</v>
      </c>
      <c r="P390" s="24"/>
      <c r="Q390" s="24"/>
      <c r="R390" s="24"/>
      <c r="S390" s="41">
        <f t="shared" si="124"/>
        <v>2475000</v>
      </c>
      <c r="T390" s="24">
        <v>5</v>
      </c>
      <c r="U390" s="41">
        <f>SUM(S390/T390)</f>
        <v>495000</v>
      </c>
      <c r="V390" s="79">
        <v>0.5</v>
      </c>
      <c r="W390" s="41">
        <f>SUM(U390*V390)-41250</f>
        <v>206250</v>
      </c>
      <c r="X390" s="24"/>
      <c r="Y390" s="41">
        <f t="shared" si="126"/>
        <v>0</v>
      </c>
      <c r="Z390" s="41">
        <f t="shared" si="135"/>
        <v>206250</v>
      </c>
      <c r="AA390" s="24">
        <f>2023-I390+V390+X390-5/12-1/12</f>
        <v>5</v>
      </c>
      <c r="AB390" s="41">
        <f>SUM(U390*AA390)</f>
        <v>2475000</v>
      </c>
      <c r="AC390" s="41">
        <f t="shared" si="125"/>
        <v>0</v>
      </c>
      <c r="AD390" s="70" t="s">
        <v>562</v>
      </c>
      <c r="AE390" s="70"/>
      <c r="AF390" s="1">
        <v>2268750</v>
      </c>
      <c r="AG390" s="5">
        <f t="shared" si="132"/>
        <v>0</v>
      </c>
    </row>
    <row r="391" spans="1:34" s="1" customFormat="1" x14ac:dyDescent="0.25">
      <c r="A391" s="49"/>
      <c r="B391" s="22" t="s">
        <v>1686</v>
      </c>
      <c r="C391" s="73" t="s">
        <v>58</v>
      </c>
      <c r="D391" s="51" t="s">
        <v>890</v>
      </c>
      <c r="E391" s="52" t="s">
        <v>166</v>
      </c>
      <c r="F391" s="52"/>
      <c r="G391" s="52" t="s">
        <v>319</v>
      </c>
      <c r="H391" s="52" t="s">
        <v>62</v>
      </c>
      <c r="I391" s="52">
        <v>2019</v>
      </c>
      <c r="J391" s="52"/>
      <c r="K391" s="52" t="s">
        <v>63</v>
      </c>
      <c r="L391" s="52" t="s">
        <v>64</v>
      </c>
      <c r="M391" s="52">
        <v>65</v>
      </c>
      <c r="N391" s="53">
        <v>146646500</v>
      </c>
      <c r="O391" s="53">
        <v>146646500</v>
      </c>
      <c r="P391" s="52"/>
      <c r="Q391" s="52"/>
      <c r="R391" s="52"/>
      <c r="S391" s="53">
        <f t="shared" si="124"/>
        <v>146646500</v>
      </c>
      <c r="T391" s="52">
        <v>5</v>
      </c>
      <c r="U391" s="53">
        <f t="shared" ref="U391" si="136">SUM(S391/T391)</f>
        <v>29329300</v>
      </c>
      <c r="V391" s="52">
        <v>0.5</v>
      </c>
      <c r="W391" s="53">
        <f t="shared" ref="W391" si="137">SUM(U391*V391)</f>
        <v>14664650</v>
      </c>
      <c r="X391" s="24"/>
      <c r="Y391" s="41">
        <f t="shared" si="126"/>
        <v>0</v>
      </c>
      <c r="Z391" s="41">
        <f t="shared" si="135"/>
        <v>14664650</v>
      </c>
      <c r="AA391" s="24">
        <f>2023-I391+V391+X391-9/12</f>
        <v>3.75</v>
      </c>
      <c r="AB391" s="41">
        <f t="shared" ref="AB391" si="138">SUM(U391*AA391)</f>
        <v>109984875</v>
      </c>
      <c r="AC391" s="41">
        <f t="shared" si="125"/>
        <v>36661625</v>
      </c>
      <c r="AD391" s="70"/>
      <c r="AE391" s="70"/>
      <c r="AF391" s="1">
        <v>95320225</v>
      </c>
      <c r="AG391" s="5">
        <f t="shared" si="132"/>
        <v>0</v>
      </c>
    </row>
    <row r="392" spans="1:34" s="1" customFormat="1" x14ac:dyDescent="0.25">
      <c r="A392" s="49"/>
      <c r="B392" s="22"/>
      <c r="C392" s="73"/>
      <c r="D392" s="51"/>
      <c r="E392" s="52"/>
      <c r="F392" s="52"/>
      <c r="G392" s="52"/>
      <c r="H392" s="52"/>
      <c r="I392" s="52"/>
      <c r="J392" s="52"/>
      <c r="K392" s="52"/>
      <c r="L392" s="52"/>
      <c r="M392" s="52"/>
      <c r="N392" s="53"/>
      <c r="O392" s="53"/>
      <c r="P392" s="52"/>
      <c r="Q392" s="52"/>
      <c r="R392" s="52"/>
      <c r="S392" s="53"/>
      <c r="T392" s="52"/>
      <c r="U392" s="53"/>
      <c r="V392" s="52"/>
      <c r="W392" s="53"/>
      <c r="X392" s="24"/>
      <c r="Y392" s="41"/>
      <c r="Z392" s="41"/>
      <c r="AA392" s="24"/>
      <c r="AB392" s="41"/>
      <c r="AC392" s="41"/>
      <c r="AD392" s="70"/>
      <c r="AE392" s="70"/>
      <c r="AG392" s="5">
        <f t="shared" si="132"/>
        <v>0</v>
      </c>
    </row>
    <row r="393" spans="1:34" s="1" customFormat="1" x14ac:dyDescent="0.25">
      <c r="A393" s="25"/>
      <c r="B393" s="26" t="s">
        <v>1687</v>
      </c>
      <c r="C393" s="26"/>
      <c r="D393" s="27" t="s">
        <v>1688</v>
      </c>
      <c r="E393" s="28"/>
      <c r="F393" s="28"/>
      <c r="G393" s="28"/>
      <c r="H393" s="28"/>
      <c r="I393" s="28"/>
      <c r="J393" s="28"/>
      <c r="K393" s="28"/>
      <c r="L393" s="28"/>
      <c r="M393" s="67">
        <f>SUM(M394:M508)</f>
        <v>318</v>
      </c>
      <c r="N393" s="67"/>
      <c r="O393" s="40">
        <f>SUM(O394:O508)</f>
        <v>1446717870.0146158</v>
      </c>
      <c r="P393" s="67"/>
      <c r="Q393" s="67"/>
      <c r="R393" s="67"/>
      <c r="S393" s="40">
        <f>SUM(S394:S508)</f>
        <v>1446717870.0146158</v>
      </c>
      <c r="T393" s="67"/>
      <c r="U393" s="40">
        <f>SUM(U394:U508)</f>
        <v>126513773.99999999</v>
      </c>
      <c r="V393" s="67"/>
      <c r="W393" s="40">
        <f>SUM(W394:W508)</f>
        <v>47337613.663333312</v>
      </c>
      <c r="X393" s="28"/>
      <c r="Y393" s="40">
        <f t="shared" ref="Y393:Y396" si="139">SUM(U393*X393)</f>
        <v>0</v>
      </c>
      <c r="Z393" s="40">
        <f>SUM(Z394:Z508)</f>
        <v>47337613.663333312</v>
      </c>
      <c r="AA393" s="28">
        <v>5</v>
      </c>
      <c r="AB393" s="40">
        <f>SUM(AB394:AB508)</f>
        <v>1234439008.681282</v>
      </c>
      <c r="AC393" s="40">
        <f>SUM(AC394:AC508)</f>
        <v>212278861.33333343</v>
      </c>
      <c r="AD393" s="167"/>
      <c r="AE393" s="167"/>
      <c r="AF393" s="1">
        <v>1187101395.0146155</v>
      </c>
      <c r="AG393" s="5">
        <f>AF393+Z393-AB393</f>
        <v>-3.3330917358398438E-3</v>
      </c>
    </row>
    <row r="394" spans="1:34" s="1" customFormat="1" x14ac:dyDescent="0.25">
      <c r="A394" s="49"/>
      <c r="B394" s="22" t="s">
        <v>1689</v>
      </c>
      <c r="C394" s="22" t="s">
        <v>58</v>
      </c>
      <c r="D394" s="51" t="s">
        <v>724</v>
      </c>
      <c r="E394" s="24" t="s">
        <v>725</v>
      </c>
      <c r="F394" s="24"/>
      <c r="G394" s="24"/>
      <c r="H394" s="24" t="s">
        <v>62</v>
      </c>
      <c r="I394" s="24">
        <v>2012</v>
      </c>
      <c r="J394" s="24"/>
      <c r="K394" s="24"/>
      <c r="L394" s="24" t="s">
        <v>64</v>
      </c>
      <c r="M394" s="24">
        <v>1</v>
      </c>
      <c r="N394" s="41">
        <f t="shared" ref="N394" si="140">SUM(O394/M394)</f>
        <v>2500000</v>
      </c>
      <c r="O394" s="41">
        <v>2500000</v>
      </c>
      <c r="P394" s="24"/>
      <c r="Q394" s="24"/>
      <c r="R394" s="24"/>
      <c r="S394" s="41">
        <f t="shared" ref="S394:S425" si="141">SUM(O394-R394)</f>
        <v>2500000</v>
      </c>
      <c r="T394" s="24">
        <v>5</v>
      </c>
      <c r="U394" s="41"/>
      <c r="V394" s="24">
        <v>0.5</v>
      </c>
      <c r="W394" s="41">
        <f t="shared" ref="W394:W396" si="142">SUM(U394*V394)</f>
        <v>0</v>
      </c>
      <c r="X394" s="166"/>
      <c r="Y394" s="53">
        <f t="shared" si="139"/>
        <v>0</v>
      </c>
      <c r="Z394" s="53">
        <f t="shared" ref="Z394:Z457" si="143">SUM(W394+Y394)</f>
        <v>0</v>
      </c>
      <c r="AA394" s="166">
        <v>5</v>
      </c>
      <c r="AB394" s="53">
        <v>2500000</v>
      </c>
      <c r="AC394" s="53">
        <f t="shared" ref="AC394:AC425" si="144">SUM(O394-AB394)</f>
        <v>0</v>
      </c>
      <c r="AD394" s="52" t="s">
        <v>608</v>
      </c>
      <c r="AE394" s="70"/>
      <c r="AF394" s="1">
        <v>2500000</v>
      </c>
      <c r="AG394" s="5">
        <f t="shared" si="132"/>
        <v>0</v>
      </c>
    </row>
    <row r="395" spans="1:34" s="1" customFormat="1" x14ac:dyDescent="0.25">
      <c r="A395" s="21">
        <v>89</v>
      </c>
      <c r="B395" s="22" t="s">
        <v>1690</v>
      </c>
      <c r="C395" s="73" t="s">
        <v>58</v>
      </c>
      <c r="D395" s="51" t="s">
        <v>583</v>
      </c>
      <c r="E395" s="52" t="s">
        <v>584</v>
      </c>
      <c r="F395" s="52"/>
      <c r="G395" s="52" t="s">
        <v>194</v>
      </c>
      <c r="H395" s="52" t="s">
        <v>62</v>
      </c>
      <c r="I395" s="52">
        <v>2019</v>
      </c>
      <c r="J395" s="52"/>
      <c r="K395" s="52" t="s">
        <v>63</v>
      </c>
      <c r="L395" s="52" t="s">
        <v>64</v>
      </c>
      <c r="M395" s="52">
        <v>1</v>
      </c>
      <c r="N395" s="53">
        <v>14999600</v>
      </c>
      <c r="O395" s="53">
        <v>14999600</v>
      </c>
      <c r="P395" s="52"/>
      <c r="Q395" s="52"/>
      <c r="R395" s="52"/>
      <c r="S395" s="53">
        <f t="shared" si="141"/>
        <v>14999600</v>
      </c>
      <c r="T395" s="52">
        <v>5</v>
      </c>
      <c r="U395" s="53">
        <f t="shared" ref="U395:U396" si="145">SUM(S395/T395)</f>
        <v>2999920</v>
      </c>
      <c r="V395" s="52">
        <v>0.5</v>
      </c>
      <c r="W395" s="53">
        <f t="shared" si="142"/>
        <v>1499960</v>
      </c>
      <c r="X395" s="24"/>
      <c r="Y395" s="41">
        <f t="shared" si="139"/>
        <v>0</v>
      </c>
      <c r="Z395" s="41">
        <f t="shared" si="143"/>
        <v>1499960</v>
      </c>
      <c r="AA395" s="72">
        <f>2023-I395+V395+X395-11/12</f>
        <v>3.5833333333333335</v>
      </c>
      <c r="AB395" s="41">
        <f t="shared" ref="AB395:AB396" si="146">SUM(U395*AA395)</f>
        <v>10749713.333333334</v>
      </c>
      <c r="AC395" s="41">
        <f t="shared" si="144"/>
        <v>4249886.666666666</v>
      </c>
      <c r="AD395" s="70"/>
      <c r="AE395" s="70"/>
      <c r="AF395" s="1">
        <v>9249753.333333334</v>
      </c>
      <c r="AG395" s="5">
        <f t="shared" si="132"/>
        <v>0</v>
      </c>
      <c r="AH395" s="5"/>
    </row>
    <row r="396" spans="1:34" s="1" customFormat="1" x14ac:dyDescent="0.25">
      <c r="A396" s="49"/>
      <c r="B396" s="50" t="s">
        <v>1690</v>
      </c>
      <c r="C396" s="73" t="s">
        <v>75</v>
      </c>
      <c r="D396" s="51" t="s">
        <v>583</v>
      </c>
      <c r="E396" s="52" t="s">
        <v>585</v>
      </c>
      <c r="F396" s="52"/>
      <c r="G396" s="52" t="s">
        <v>194</v>
      </c>
      <c r="H396" s="52" t="s">
        <v>62</v>
      </c>
      <c r="I396" s="52">
        <v>2021</v>
      </c>
      <c r="J396" s="52"/>
      <c r="K396" s="52" t="s">
        <v>63</v>
      </c>
      <c r="L396" s="52" t="s">
        <v>64</v>
      </c>
      <c r="M396" s="52">
        <v>1</v>
      </c>
      <c r="N396" s="53">
        <v>29700000</v>
      </c>
      <c r="O396" s="53">
        <v>29700000</v>
      </c>
      <c r="P396" s="52"/>
      <c r="Q396" s="52"/>
      <c r="R396" s="52"/>
      <c r="S396" s="53">
        <f t="shared" si="141"/>
        <v>29700000</v>
      </c>
      <c r="T396" s="52">
        <v>5</v>
      </c>
      <c r="U396" s="53">
        <f t="shared" si="145"/>
        <v>5940000</v>
      </c>
      <c r="V396" s="52">
        <v>0.5</v>
      </c>
      <c r="W396" s="53">
        <f t="shared" si="142"/>
        <v>2970000</v>
      </c>
      <c r="X396" s="24"/>
      <c r="Y396" s="41">
        <f t="shared" si="139"/>
        <v>0</v>
      </c>
      <c r="Z396" s="41">
        <f t="shared" si="143"/>
        <v>2970000</v>
      </c>
      <c r="AA396" s="72">
        <f>4/12+0.5+0.5+0.5+0.5</f>
        <v>2.333333333333333</v>
      </c>
      <c r="AB396" s="41">
        <f t="shared" si="146"/>
        <v>13859999.999999998</v>
      </c>
      <c r="AC396" s="41">
        <f t="shared" si="144"/>
        <v>15840000.000000002</v>
      </c>
      <c r="AD396" s="70" t="s">
        <v>586</v>
      </c>
      <c r="AE396" s="70"/>
      <c r="AF396" s="1">
        <v>10890000</v>
      </c>
      <c r="AG396" s="5">
        <f t="shared" si="132"/>
        <v>0</v>
      </c>
      <c r="AH396" s="5"/>
    </row>
    <row r="397" spans="1:34" s="1" customFormat="1" x14ac:dyDescent="0.25">
      <c r="A397" s="21">
        <v>1</v>
      </c>
      <c r="B397" s="22" t="s">
        <v>1691</v>
      </c>
      <c r="C397" s="22" t="s">
        <v>96</v>
      </c>
      <c r="D397" s="51" t="s">
        <v>470</v>
      </c>
      <c r="E397" s="24" t="s">
        <v>471</v>
      </c>
      <c r="F397" s="24"/>
      <c r="G397" s="24" t="s">
        <v>194</v>
      </c>
      <c r="H397" s="24" t="s">
        <v>62</v>
      </c>
      <c r="I397" s="24">
        <v>2005</v>
      </c>
      <c r="J397" s="24"/>
      <c r="K397" s="24" t="s">
        <v>63</v>
      </c>
      <c r="L397" s="24" t="s">
        <v>64</v>
      </c>
      <c r="M397" s="24">
        <v>1</v>
      </c>
      <c r="N397" s="41">
        <f>SUM(O397/M397)</f>
        <v>6000000</v>
      </c>
      <c r="O397" s="41">
        <v>6000000</v>
      </c>
      <c r="P397" s="24"/>
      <c r="Q397" s="24"/>
      <c r="R397" s="24"/>
      <c r="S397" s="41">
        <f t="shared" si="141"/>
        <v>6000000</v>
      </c>
      <c r="T397" s="24">
        <v>5</v>
      </c>
      <c r="U397" s="41"/>
      <c r="V397" s="24">
        <v>0.5</v>
      </c>
      <c r="W397" s="41">
        <f>SUM(U397*V397)</f>
        <v>0</v>
      </c>
      <c r="X397" s="24"/>
      <c r="Y397" s="41">
        <f>SUM(U397*X397)</f>
        <v>0</v>
      </c>
      <c r="Z397" s="41">
        <f t="shared" si="143"/>
        <v>0</v>
      </c>
      <c r="AA397" s="24">
        <v>5</v>
      </c>
      <c r="AB397" s="41">
        <v>6000000</v>
      </c>
      <c r="AC397" s="41">
        <f t="shared" si="144"/>
        <v>0</v>
      </c>
      <c r="AD397" s="70" t="s">
        <v>213</v>
      </c>
      <c r="AE397" s="70"/>
      <c r="AF397" s="1">
        <v>6000000</v>
      </c>
      <c r="AG397" s="5">
        <f t="shared" si="132"/>
        <v>0</v>
      </c>
      <c r="AH397" s="5"/>
    </row>
    <row r="398" spans="1:34" s="1" customFormat="1" x14ac:dyDescent="0.25">
      <c r="A398" s="21">
        <v>2</v>
      </c>
      <c r="B398" s="22" t="s">
        <v>1691</v>
      </c>
      <c r="C398" s="22" t="s">
        <v>472</v>
      </c>
      <c r="D398" s="51" t="s">
        <v>470</v>
      </c>
      <c r="E398" s="24" t="s">
        <v>471</v>
      </c>
      <c r="F398" s="24"/>
      <c r="G398" s="24" t="s">
        <v>194</v>
      </c>
      <c r="H398" s="24" t="s">
        <v>62</v>
      </c>
      <c r="I398" s="24">
        <v>2005</v>
      </c>
      <c r="J398" s="24"/>
      <c r="K398" s="24" t="s">
        <v>63</v>
      </c>
      <c r="L398" s="24" t="s">
        <v>64</v>
      </c>
      <c r="M398" s="24">
        <v>3</v>
      </c>
      <c r="N398" s="41">
        <f t="shared" ref="N398:N461" si="147">SUM(O398/M398)</f>
        <v>6450000</v>
      </c>
      <c r="O398" s="41">
        <v>19350000</v>
      </c>
      <c r="P398" s="24"/>
      <c r="Q398" s="24"/>
      <c r="R398" s="24"/>
      <c r="S398" s="41">
        <f t="shared" si="141"/>
        <v>19350000</v>
      </c>
      <c r="T398" s="24">
        <v>5</v>
      </c>
      <c r="U398" s="41"/>
      <c r="V398" s="24">
        <v>0.5</v>
      </c>
      <c r="W398" s="41">
        <f t="shared" ref="W398:W461" si="148">SUM(U398*V398)</f>
        <v>0</v>
      </c>
      <c r="X398" s="24"/>
      <c r="Y398" s="41">
        <f t="shared" ref="Y398:Y461" si="149">SUM(U398*X398)</f>
        <v>0</v>
      </c>
      <c r="Z398" s="41">
        <f t="shared" si="143"/>
        <v>0</v>
      </c>
      <c r="AA398" s="24">
        <v>5</v>
      </c>
      <c r="AB398" s="41">
        <v>19350000</v>
      </c>
      <c r="AC398" s="41">
        <f t="shared" si="144"/>
        <v>0</v>
      </c>
      <c r="AD398" s="70" t="s">
        <v>250</v>
      </c>
      <c r="AE398" s="70"/>
      <c r="AF398" s="1">
        <v>19350000</v>
      </c>
      <c r="AG398" s="5">
        <f t="shared" si="132"/>
        <v>0</v>
      </c>
      <c r="AH398" s="5"/>
    </row>
    <row r="399" spans="1:34" s="1" customFormat="1" x14ac:dyDescent="0.25">
      <c r="A399" s="21">
        <v>3</v>
      </c>
      <c r="B399" s="22" t="s">
        <v>1691</v>
      </c>
      <c r="C399" s="22" t="s">
        <v>135</v>
      </c>
      <c r="D399" s="51" t="s">
        <v>470</v>
      </c>
      <c r="E399" s="24" t="s">
        <v>471</v>
      </c>
      <c r="F399" s="24"/>
      <c r="G399" s="24" t="s">
        <v>194</v>
      </c>
      <c r="H399" s="24" t="s">
        <v>62</v>
      </c>
      <c r="I399" s="24">
        <v>2005</v>
      </c>
      <c r="J399" s="24"/>
      <c r="K399" s="24" t="s">
        <v>63</v>
      </c>
      <c r="L399" s="24" t="s">
        <v>64</v>
      </c>
      <c r="M399" s="24">
        <v>1</v>
      </c>
      <c r="N399" s="41">
        <f t="shared" si="147"/>
        <v>6450000</v>
      </c>
      <c r="O399" s="41">
        <v>6450000</v>
      </c>
      <c r="P399" s="24"/>
      <c r="Q399" s="24"/>
      <c r="R399" s="24"/>
      <c r="S399" s="41">
        <f t="shared" si="141"/>
        <v>6450000</v>
      </c>
      <c r="T399" s="24">
        <v>5</v>
      </c>
      <c r="U399" s="41"/>
      <c r="V399" s="24">
        <v>0.5</v>
      </c>
      <c r="W399" s="41">
        <f t="shared" si="148"/>
        <v>0</v>
      </c>
      <c r="X399" s="24"/>
      <c r="Y399" s="41">
        <f t="shared" si="149"/>
        <v>0</v>
      </c>
      <c r="Z399" s="41">
        <f t="shared" si="143"/>
        <v>0</v>
      </c>
      <c r="AA399" s="24">
        <v>5</v>
      </c>
      <c r="AB399" s="41">
        <v>6450000</v>
      </c>
      <c r="AC399" s="41">
        <f t="shared" si="144"/>
        <v>0</v>
      </c>
      <c r="AD399" s="70" t="s">
        <v>473</v>
      </c>
      <c r="AE399" s="70"/>
      <c r="AF399" s="1">
        <v>6450000</v>
      </c>
      <c r="AG399" s="5">
        <f t="shared" si="132"/>
        <v>0</v>
      </c>
      <c r="AH399" s="5"/>
    </row>
    <row r="400" spans="1:34" s="1" customFormat="1" x14ac:dyDescent="0.25">
      <c r="A400" s="21">
        <v>4</v>
      </c>
      <c r="B400" s="22" t="s">
        <v>1691</v>
      </c>
      <c r="C400" s="22" t="s">
        <v>340</v>
      </c>
      <c r="D400" s="51" t="s">
        <v>470</v>
      </c>
      <c r="E400" s="24" t="s">
        <v>474</v>
      </c>
      <c r="F400" s="24"/>
      <c r="G400" s="24" t="s">
        <v>194</v>
      </c>
      <c r="H400" s="24" t="s">
        <v>62</v>
      </c>
      <c r="I400" s="24">
        <v>2005</v>
      </c>
      <c r="J400" s="24"/>
      <c r="K400" s="24" t="s">
        <v>63</v>
      </c>
      <c r="L400" s="24" t="s">
        <v>64</v>
      </c>
      <c r="M400" s="24">
        <v>2</v>
      </c>
      <c r="N400" s="41">
        <f t="shared" si="147"/>
        <v>3575000</v>
      </c>
      <c r="O400" s="41">
        <v>7150000</v>
      </c>
      <c r="P400" s="24"/>
      <c r="Q400" s="24"/>
      <c r="R400" s="24"/>
      <c r="S400" s="41">
        <f t="shared" si="141"/>
        <v>7150000</v>
      </c>
      <c r="T400" s="24">
        <v>5</v>
      </c>
      <c r="U400" s="41"/>
      <c r="V400" s="24">
        <v>0.5</v>
      </c>
      <c r="W400" s="41">
        <f t="shared" si="148"/>
        <v>0</v>
      </c>
      <c r="X400" s="24"/>
      <c r="Y400" s="41">
        <f t="shared" si="149"/>
        <v>0</v>
      </c>
      <c r="Z400" s="41">
        <f t="shared" si="143"/>
        <v>0</v>
      </c>
      <c r="AA400" s="24">
        <v>5</v>
      </c>
      <c r="AB400" s="41">
        <v>7150000</v>
      </c>
      <c r="AC400" s="41">
        <f t="shared" si="144"/>
        <v>0</v>
      </c>
      <c r="AD400" s="70" t="s">
        <v>295</v>
      </c>
      <c r="AE400" s="70"/>
      <c r="AF400" s="1">
        <v>7150000</v>
      </c>
      <c r="AG400" s="5">
        <f t="shared" si="132"/>
        <v>0</v>
      </c>
      <c r="AH400" s="5"/>
    </row>
    <row r="401" spans="1:34" s="1" customFormat="1" x14ac:dyDescent="0.25">
      <c r="A401" s="21">
        <v>5</v>
      </c>
      <c r="B401" s="22" t="s">
        <v>1691</v>
      </c>
      <c r="C401" s="22" t="s">
        <v>475</v>
      </c>
      <c r="D401" s="51" t="s">
        <v>470</v>
      </c>
      <c r="E401" s="24" t="s">
        <v>474</v>
      </c>
      <c r="F401" s="24"/>
      <c r="G401" s="24" t="s">
        <v>194</v>
      </c>
      <c r="H401" s="24" t="s">
        <v>62</v>
      </c>
      <c r="I401" s="24">
        <v>2005</v>
      </c>
      <c r="J401" s="24"/>
      <c r="K401" s="24" t="s">
        <v>63</v>
      </c>
      <c r="L401" s="24" t="s">
        <v>64</v>
      </c>
      <c r="M401" s="24">
        <v>4</v>
      </c>
      <c r="N401" s="41">
        <f t="shared" si="147"/>
        <v>3575000</v>
      </c>
      <c r="O401" s="41">
        <v>14300000</v>
      </c>
      <c r="P401" s="24"/>
      <c r="Q401" s="24"/>
      <c r="R401" s="24"/>
      <c r="S401" s="41">
        <f t="shared" si="141"/>
        <v>14300000</v>
      </c>
      <c r="T401" s="24">
        <v>5</v>
      </c>
      <c r="U401" s="41"/>
      <c r="V401" s="24">
        <v>0.5</v>
      </c>
      <c r="W401" s="41">
        <f t="shared" si="148"/>
        <v>0</v>
      </c>
      <c r="X401" s="24"/>
      <c r="Y401" s="41">
        <f t="shared" si="149"/>
        <v>0</v>
      </c>
      <c r="Z401" s="41">
        <f t="shared" si="143"/>
        <v>0</v>
      </c>
      <c r="AA401" s="24">
        <v>5</v>
      </c>
      <c r="AB401" s="41">
        <v>14300000</v>
      </c>
      <c r="AC401" s="41">
        <f t="shared" si="144"/>
        <v>0</v>
      </c>
      <c r="AD401" s="70" t="s">
        <v>250</v>
      </c>
      <c r="AE401" s="70"/>
      <c r="AF401" s="1">
        <v>14300000</v>
      </c>
      <c r="AG401" s="5">
        <f t="shared" si="132"/>
        <v>0</v>
      </c>
      <c r="AH401" s="5"/>
    </row>
    <row r="402" spans="1:34" s="1" customFormat="1" x14ac:dyDescent="0.25">
      <c r="A402" s="21">
        <v>6</v>
      </c>
      <c r="B402" s="22" t="s">
        <v>1691</v>
      </c>
      <c r="C402" s="22" t="s">
        <v>476</v>
      </c>
      <c r="D402" s="51" t="s">
        <v>470</v>
      </c>
      <c r="E402" s="24" t="s">
        <v>474</v>
      </c>
      <c r="F402" s="24"/>
      <c r="G402" s="24" t="s">
        <v>194</v>
      </c>
      <c r="H402" s="24" t="s">
        <v>62</v>
      </c>
      <c r="I402" s="24">
        <v>2005</v>
      </c>
      <c r="J402" s="24"/>
      <c r="K402" s="24" t="s">
        <v>63</v>
      </c>
      <c r="L402" s="24" t="s">
        <v>64</v>
      </c>
      <c r="M402" s="24">
        <v>5</v>
      </c>
      <c r="N402" s="41">
        <f t="shared" si="147"/>
        <v>3575000</v>
      </c>
      <c r="O402" s="41">
        <v>17875000</v>
      </c>
      <c r="P402" s="24"/>
      <c r="Q402" s="24"/>
      <c r="R402" s="24"/>
      <c r="S402" s="41">
        <f t="shared" si="141"/>
        <v>17875000</v>
      </c>
      <c r="T402" s="24">
        <v>5</v>
      </c>
      <c r="U402" s="41"/>
      <c r="V402" s="24">
        <v>0.5</v>
      </c>
      <c r="W402" s="41">
        <f t="shared" si="148"/>
        <v>0</v>
      </c>
      <c r="X402" s="24"/>
      <c r="Y402" s="41">
        <f t="shared" si="149"/>
        <v>0</v>
      </c>
      <c r="Z402" s="41">
        <f t="shared" si="143"/>
        <v>0</v>
      </c>
      <c r="AA402" s="24">
        <v>5</v>
      </c>
      <c r="AB402" s="41">
        <v>17875000</v>
      </c>
      <c r="AC402" s="41">
        <f t="shared" si="144"/>
        <v>0</v>
      </c>
      <c r="AD402" s="70" t="s">
        <v>297</v>
      </c>
      <c r="AE402" s="70"/>
      <c r="AF402" s="1">
        <v>17875000</v>
      </c>
      <c r="AG402" s="5">
        <f t="shared" si="132"/>
        <v>0</v>
      </c>
      <c r="AH402" s="5"/>
    </row>
    <row r="403" spans="1:34" s="1" customFormat="1" x14ac:dyDescent="0.25">
      <c r="A403" s="21">
        <v>7</v>
      </c>
      <c r="B403" s="22" t="s">
        <v>1691</v>
      </c>
      <c r="C403" s="22" t="s">
        <v>314</v>
      </c>
      <c r="D403" s="51" t="s">
        <v>470</v>
      </c>
      <c r="E403" s="24" t="s">
        <v>474</v>
      </c>
      <c r="F403" s="24"/>
      <c r="G403" s="24" t="s">
        <v>194</v>
      </c>
      <c r="H403" s="24" t="s">
        <v>62</v>
      </c>
      <c r="I403" s="24">
        <v>2005</v>
      </c>
      <c r="J403" s="24"/>
      <c r="K403" s="24" t="s">
        <v>63</v>
      </c>
      <c r="L403" s="24" t="s">
        <v>64</v>
      </c>
      <c r="M403" s="24">
        <v>2</v>
      </c>
      <c r="N403" s="41">
        <f t="shared" si="147"/>
        <v>3575000</v>
      </c>
      <c r="O403" s="41">
        <v>7150000</v>
      </c>
      <c r="P403" s="24"/>
      <c r="Q403" s="24"/>
      <c r="R403" s="24"/>
      <c r="S403" s="41">
        <f t="shared" si="141"/>
        <v>7150000</v>
      </c>
      <c r="T403" s="24">
        <v>5</v>
      </c>
      <c r="U403" s="41"/>
      <c r="V403" s="24">
        <v>0.5</v>
      </c>
      <c r="W403" s="41">
        <f t="shared" si="148"/>
        <v>0</v>
      </c>
      <c r="X403" s="24"/>
      <c r="Y403" s="41">
        <f t="shared" si="149"/>
        <v>0</v>
      </c>
      <c r="Z403" s="41">
        <f t="shared" si="143"/>
        <v>0</v>
      </c>
      <c r="AA403" s="24">
        <v>5</v>
      </c>
      <c r="AB403" s="41">
        <v>7150000</v>
      </c>
      <c r="AC403" s="41">
        <f t="shared" si="144"/>
        <v>0</v>
      </c>
      <c r="AD403" s="70" t="s">
        <v>303</v>
      </c>
      <c r="AE403" s="70"/>
      <c r="AF403" s="1">
        <v>7150000</v>
      </c>
      <c r="AG403" s="5">
        <f t="shared" si="132"/>
        <v>0</v>
      </c>
      <c r="AH403" s="5"/>
    </row>
    <row r="404" spans="1:34" s="1" customFormat="1" x14ac:dyDescent="0.25">
      <c r="A404" s="21">
        <v>8</v>
      </c>
      <c r="B404" s="22" t="s">
        <v>1691</v>
      </c>
      <c r="C404" s="22" t="s">
        <v>316</v>
      </c>
      <c r="D404" s="51" t="s">
        <v>470</v>
      </c>
      <c r="E404" s="24" t="s">
        <v>474</v>
      </c>
      <c r="F404" s="24"/>
      <c r="G404" s="24" t="s">
        <v>194</v>
      </c>
      <c r="H404" s="24" t="s">
        <v>62</v>
      </c>
      <c r="I404" s="24">
        <v>2005</v>
      </c>
      <c r="J404" s="24"/>
      <c r="K404" s="24" t="s">
        <v>63</v>
      </c>
      <c r="L404" s="24" t="s">
        <v>64</v>
      </c>
      <c r="M404" s="24">
        <v>2</v>
      </c>
      <c r="N404" s="41">
        <f t="shared" si="147"/>
        <v>3575000</v>
      </c>
      <c r="O404" s="41">
        <v>7150000</v>
      </c>
      <c r="P404" s="24"/>
      <c r="Q404" s="24"/>
      <c r="R404" s="24"/>
      <c r="S404" s="41">
        <f t="shared" si="141"/>
        <v>7150000</v>
      </c>
      <c r="T404" s="24">
        <v>5</v>
      </c>
      <c r="U404" s="41"/>
      <c r="V404" s="24">
        <v>0.5</v>
      </c>
      <c r="W404" s="41">
        <f t="shared" si="148"/>
        <v>0</v>
      </c>
      <c r="X404" s="24"/>
      <c r="Y404" s="41">
        <f t="shared" si="149"/>
        <v>0</v>
      </c>
      <c r="Z404" s="41">
        <f t="shared" si="143"/>
        <v>0</v>
      </c>
      <c r="AA404" s="24">
        <v>5</v>
      </c>
      <c r="AB404" s="41">
        <v>7150000</v>
      </c>
      <c r="AC404" s="41">
        <f t="shared" si="144"/>
        <v>0</v>
      </c>
      <c r="AD404" s="70" t="s">
        <v>305</v>
      </c>
      <c r="AE404" s="70"/>
      <c r="AF404" s="1">
        <v>7150000</v>
      </c>
      <c r="AG404" s="5">
        <f t="shared" si="132"/>
        <v>0</v>
      </c>
      <c r="AH404" s="5"/>
    </row>
    <row r="405" spans="1:34" s="1" customFormat="1" x14ac:dyDescent="0.25">
      <c r="A405" s="21">
        <v>9</v>
      </c>
      <c r="B405" s="22" t="s">
        <v>1691</v>
      </c>
      <c r="C405" s="22" t="s">
        <v>230</v>
      </c>
      <c r="D405" s="51" t="s">
        <v>470</v>
      </c>
      <c r="E405" s="24" t="s">
        <v>474</v>
      </c>
      <c r="F405" s="24"/>
      <c r="G405" s="24" t="s">
        <v>194</v>
      </c>
      <c r="H405" s="24" t="s">
        <v>62</v>
      </c>
      <c r="I405" s="24">
        <v>2005</v>
      </c>
      <c r="J405" s="24"/>
      <c r="K405" s="24" t="s">
        <v>63</v>
      </c>
      <c r="L405" s="24" t="s">
        <v>64</v>
      </c>
      <c r="M405" s="24">
        <v>1</v>
      </c>
      <c r="N405" s="41">
        <f t="shared" si="147"/>
        <v>3575000</v>
      </c>
      <c r="O405" s="41">
        <v>3575000</v>
      </c>
      <c r="P405" s="24"/>
      <c r="Q405" s="24"/>
      <c r="R405" s="24"/>
      <c r="S405" s="41">
        <f t="shared" si="141"/>
        <v>3575000</v>
      </c>
      <c r="T405" s="24">
        <v>5</v>
      </c>
      <c r="U405" s="41"/>
      <c r="V405" s="24">
        <v>0.5</v>
      </c>
      <c r="W405" s="41">
        <f t="shared" si="148"/>
        <v>0</v>
      </c>
      <c r="X405" s="24"/>
      <c r="Y405" s="41">
        <f t="shared" si="149"/>
        <v>0</v>
      </c>
      <c r="Z405" s="41">
        <f t="shared" si="143"/>
        <v>0</v>
      </c>
      <c r="AA405" s="24">
        <v>5</v>
      </c>
      <c r="AB405" s="41">
        <v>3575000</v>
      </c>
      <c r="AC405" s="41">
        <f t="shared" si="144"/>
        <v>0</v>
      </c>
      <c r="AD405" s="70" t="s">
        <v>473</v>
      </c>
      <c r="AE405" s="70"/>
      <c r="AF405" s="1">
        <v>3575000</v>
      </c>
      <c r="AG405" s="5">
        <f t="shared" si="132"/>
        <v>0</v>
      </c>
      <c r="AH405" s="5"/>
    </row>
    <row r="406" spans="1:34" s="1" customFormat="1" x14ac:dyDescent="0.25">
      <c r="A406" s="21">
        <v>10</v>
      </c>
      <c r="B406" s="22" t="s">
        <v>1691</v>
      </c>
      <c r="C406" s="22" t="s">
        <v>232</v>
      </c>
      <c r="D406" s="51" t="s">
        <v>470</v>
      </c>
      <c r="E406" s="24" t="s">
        <v>474</v>
      </c>
      <c r="F406" s="24"/>
      <c r="G406" s="24" t="s">
        <v>194</v>
      </c>
      <c r="H406" s="24" t="s">
        <v>62</v>
      </c>
      <c r="I406" s="24">
        <v>2005</v>
      </c>
      <c r="J406" s="24"/>
      <c r="K406" s="24" t="s">
        <v>63</v>
      </c>
      <c r="L406" s="24" t="s">
        <v>64</v>
      </c>
      <c r="M406" s="24">
        <v>1</v>
      </c>
      <c r="N406" s="41">
        <f t="shared" si="147"/>
        <v>3575000</v>
      </c>
      <c r="O406" s="41">
        <v>3575000</v>
      </c>
      <c r="P406" s="24"/>
      <c r="Q406" s="24"/>
      <c r="R406" s="24"/>
      <c r="S406" s="41">
        <f t="shared" si="141"/>
        <v>3575000</v>
      </c>
      <c r="T406" s="24">
        <v>5</v>
      </c>
      <c r="U406" s="41"/>
      <c r="V406" s="24">
        <v>0.5</v>
      </c>
      <c r="W406" s="41">
        <f t="shared" si="148"/>
        <v>0</v>
      </c>
      <c r="X406" s="24"/>
      <c r="Y406" s="41">
        <f t="shared" si="149"/>
        <v>0</v>
      </c>
      <c r="Z406" s="41">
        <f t="shared" si="143"/>
        <v>0</v>
      </c>
      <c r="AA406" s="24">
        <v>5</v>
      </c>
      <c r="AB406" s="41">
        <v>3575000</v>
      </c>
      <c r="AC406" s="41">
        <f t="shared" si="144"/>
        <v>0</v>
      </c>
      <c r="AD406" s="70" t="s">
        <v>477</v>
      </c>
      <c r="AE406" s="70"/>
      <c r="AF406" s="1">
        <v>3575000</v>
      </c>
      <c r="AG406" s="5">
        <f t="shared" si="132"/>
        <v>0</v>
      </c>
      <c r="AH406" s="5"/>
    </row>
    <row r="407" spans="1:34" s="1" customFormat="1" x14ac:dyDescent="0.25">
      <c r="A407" s="21">
        <v>11</v>
      </c>
      <c r="B407" s="22" t="s">
        <v>1691</v>
      </c>
      <c r="C407" s="22" t="s">
        <v>478</v>
      </c>
      <c r="D407" s="51" t="s">
        <v>470</v>
      </c>
      <c r="E407" s="24" t="s">
        <v>474</v>
      </c>
      <c r="F407" s="24"/>
      <c r="G407" s="24" t="s">
        <v>194</v>
      </c>
      <c r="H407" s="24" t="s">
        <v>62</v>
      </c>
      <c r="I407" s="24">
        <v>2005</v>
      </c>
      <c r="J407" s="24"/>
      <c r="K407" s="24" t="s">
        <v>63</v>
      </c>
      <c r="L407" s="24" t="s">
        <v>64</v>
      </c>
      <c r="M407" s="24">
        <v>3</v>
      </c>
      <c r="N407" s="41">
        <f t="shared" si="147"/>
        <v>3575000</v>
      </c>
      <c r="O407" s="41">
        <v>10725000</v>
      </c>
      <c r="P407" s="24"/>
      <c r="Q407" s="24"/>
      <c r="R407" s="24"/>
      <c r="S407" s="41">
        <f t="shared" si="141"/>
        <v>10725000</v>
      </c>
      <c r="T407" s="24">
        <v>5</v>
      </c>
      <c r="U407" s="41"/>
      <c r="V407" s="24">
        <v>0.5</v>
      </c>
      <c r="W407" s="41">
        <f t="shared" si="148"/>
        <v>0</v>
      </c>
      <c r="X407" s="24"/>
      <c r="Y407" s="41">
        <f t="shared" si="149"/>
        <v>0</v>
      </c>
      <c r="Z407" s="41">
        <f t="shared" si="143"/>
        <v>0</v>
      </c>
      <c r="AA407" s="24">
        <v>5</v>
      </c>
      <c r="AB407" s="41">
        <v>10725000</v>
      </c>
      <c r="AC407" s="41">
        <f t="shared" si="144"/>
        <v>0</v>
      </c>
      <c r="AD407" s="70" t="s">
        <v>387</v>
      </c>
      <c r="AE407" s="70"/>
      <c r="AF407" s="1">
        <v>10725000</v>
      </c>
      <c r="AG407" s="5">
        <f t="shared" si="132"/>
        <v>0</v>
      </c>
      <c r="AH407" s="5"/>
    </row>
    <row r="408" spans="1:34" s="1" customFormat="1" x14ac:dyDescent="0.25">
      <c r="A408" s="21">
        <v>12</v>
      </c>
      <c r="B408" s="22" t="s">
        <v>1691</v>
      </c>
      <c r="C408" s="22" t="s">
        <v>240</v>
      </c>
      <c r="D408" s="51" t="s">
        <v>470</v>
      </c>
      <c r="E408" s="24" t="s">
        <v>474</v>
      </c>
      <c r="F408" s="24"/>
      <c r="G408" s="24" t="s">
        <v>194</v>
      </c>
      <c r="H408" s="24" t="s">
        <v>62</v>
      </c>
      <c r="I408" s="24">
        <v>2005</v>
      </c>
      <c r="J408" s="24"/>
      <c r="K408" s="24" t="s">
        <v>63</v>
      </c>
      <c r="L408" s="24" t="s">
        <v>64</v>
      </c>
      <c r="M408" s="24">
        <v>1</v>
      </c>
      <c r="N408" s="41">
        <f t="shared" si="147"/>
        <v>3575000</v>
      </c>
      <c r="O408" s="41">
        <v>3575000</v>
      </c>
      <c r="P408" s="24"/>
      <c r="Q408" s="24"/>
      <c r="R408" s="24"/>
      <c r="S408" s="41">
        <f t="shared" si="141"/>
        <v>3575000</v>
      </c>
      <c r="T408" s="24">
        <v>5</v>
      </c>
      <c r="U408" s="41"/>
      <c r="V408" s="24">
        <v>0.5</v>
      </c>
      <c r="W408" s="41">
        <f t="shared" si="148"/>
        <v>0</v>
      </c>
      <c r="X408" s="24"/>
      <c r="Y408" s="41">
        <f t="shared" si="149"/>
        <v>0</v>
      </c>
      <c r="Z408" s="41">
        <f t="shared" si="143"/>
        <v>0</v>
      </c>
      <c r="AA408" s="24">
        <v>5</v>
      </c>
      <c r="AB408" s="41">
        <v>3575000</v>
      </c>
      <c r="AC408" s="41">
        <f t="shared" si="144"/>
        <v>0</v>
      </c>
      <c r="AD408" s="70" t="s">
        <v>259</v>
      </c>
      <c r="AE408" s="70"/>
      <c r="AF408" s="1">
        <v>3575000</v>
      </c>
      <c r="AG408" s="5">
        <f t="shared" si="132"/>
        <v>0</v>
      </c>
      <c r="AH408" s="5"/>
    </row>
    <row r="409" spans="1:34" s="1" customFormat="1" x14ac:dyDescent="0.25">
      <c r="A409" s="21">
        <v>13</v>
      </c>
      <c r="B409" s="22" t="s">
        <v>1691</v>
      </c>
      <c r="C409" s="22" t="s">
        <v>242</v>
      </c>
      <c r="D409" s="51" t="s">
        <v>470</v>
      </c>
      <c r="E409" s="24" t="s">
        <v>474</v>
      </c>
      <c r="F409" s="24"/>
      <c r="G409" s="24" t="s">
        <v>194</v>
      </c>
      <c r="H409" s="24" t="s">
        <v>62</v>
      </c>
      <c r="I409" s="24">
        <v>2005</v>
      </c>
      <c r="J409" s="24"/>
      <c r="K409" s="24" t="s">
        <v>63</v>
      </c>
      <c r="L409" s="24" t="s">
        <v>64</v>
      </c>
      <c r="M409" s="24">
        <v>1</v>
      </c>
      <c r="N409" s="41">
        <f t="shared" si="147"/>
        <v>3575000</v>
      </c>
      <c r="O409" s="41">
        <v>3575000</v>
      </c>
      <c r="P409" s="24"/>
      <c r="Q409" s="24"/>
      <c r="R409" s="24"/>
      <c r="S409" s="41">
        <f t="shared" si="141"/>
        <v>3575000</v>
      </c>
      <c r="T409" s="24">
        <v>5</v>
      </c>
      <c r="U409" s="41"/>
      <c r="V409" s="24">
        <v>0.5</v>
      </c>
      <c r="W409" s="41">
        <f t="shared" si="148"/>
        <v>0</v>
      </c>
      <c r="X409" s="24"/>
      <c r="Y409" s="41">
        <f t="shared" si="149"/>
        <v>0</v>
      </c>
      <c r="Z409" s="41">
        <f t="shared" si="143"/>
        <v>0</v>
      </c>
      <c r="AA409" s="24">
        <v>5</v>
      </c>
      <c r="AB409" s="41">
        <v>3575000</v>
      </c>
      <c r="AC409" s="41">
        <f t="shared" si="144"/>
        <v>0</v>
      </c>
      <c r="AD409" s="70" t="s">
        <v>87</v>
      </c>
      <c r="AE409" s="70"/>
      <c r="AF409" s="1">
        <v>3575000</v>
      </c>
      <c r="AG409" s="5">
        <f t="shared" si="132"/>
        <v>0</v>
      </c>
      <c r="AH409" s="5"/>
    </row>
    <row r="410" spans="1:34" s="1" customFormat="1" x14ac:dyDescent="0.25">
      <c r="A410" s="21">
        <v>14</v>
      </c>
      <c r="B410" s="22" t="s">
        <v>1691</v>
      </c>
      <c r="C410" s="22" t="s">
        <v>244</v>
      </c>
      <c r="D410" s="51" t="s">
        <v>470</v>
      </c>
      <c r="E410" s="24" t="s">
        <v>474</v>
      </c>
      <c r="F410" s="24"/>
      <c r="G410" s="24" t="s">
        <v>194</v>
      </c>
      <c r="H410" s="24" t="s">
        <v>62</v>
      </c>
      <c r="I410" s="24">
        <v>2005</v>
      </c>
      <c r="J410" s="24"/>
      <c r="K410" s="24" t="s">
        <v>63</v>
      </c>
      <c r="L410" s="24" t="s">
        <v>64</v>
      </c>
      <c r="M410" s="24">
        <v>1</v>
      </c>
      <c r="N410" s="41">
        <f t="shared" si="147"/>
        <v>3575000</v>
      </c>
      <c r="O410" s="41">
        <v>3575000</v>
      </c>
      <c r="P410" s="24"/>
      <c r="Q410" s="24"/>
      <c r="R410" s="24"/>
      <c r="S410" s="41">
        <f t="shared" si="141"/>
        <v>3575000</v>
      </c>
      <c r="T410" s="24">
        <v>5</v>
      </c>
      <c r="U410" s="41"/>
      <c r="V410" s="24">
        <v>0.5</v>
      </c>
      <c r="W410" s="41">
        <f t="shared" si="148"/>
        <v>0</v>
      </c>
      <c r="X410" s="24"/>
      <c r="Y410" s="41">
        <f t="shared" si="149"/>
        <v>0</v>
      </c>
      <c r="Z410" s="41">
        <f t="shared" si="143"/>
        <v>0</v>
      </c>
      <c r="AA410" s="24">
        <v>5</v>
      </c>
      <c r="AB410" s="41">
        <v>3575000</v>
      </c>
      <c r="AC410" s="41">
        <f t="shared" si="144"/>
        <v>0</v>
      </c>
      <c r="AD410" s="70" t="s">
        <v>479</v>
      </c>
      <c r="AE410" s="70"/>
      <c r="AF410" s="1">
        <v>3575000</v>
      </c>
      <c r="AG410" s="5">
        <f t="shared" si="132"/>
        <v>0</v>
      </c>
      <c r="AH410" s="5"/>
    </row>
    <row r="411" spans="1:34" s="1" customFormat="1" x14ac:dyDescent="0.25">
      <c r="A411" s="21">
        <v>15</v>
      </c>
      <c r="B411" s="22" t="s">
        <v>1691</v>
      </c>
      <c r="C411" s="22" t="s">
        <v>246</v>
      </c>
      <c r="D411" s="51" t="s">
        <v>470</v>
      </c>
      <c r="E411" s="24" t="s">
        <v>474</v>
      </c>
      <c r="F411" s="24"/>
      <c r="G411" s="24" t="s">
        <v>194</v>
      </c>
      <c r="H411" s="24" t="s">
        <v>62</v>
      </c>
      <c r="I411" s="24">
        <v>2005</v>
      </c>
      <c r="J411" s="24"/>
      <c r="K411" s="24" t="s">
        <v>63</v>
      </c>
      <c r="L411" s="24" t="s">
        <v>64</v>
      </c>
      <c r="M411" s="24">
        <v>1</v>
      </c>
      <c r="N411" s="41">
        <f t="shared" si="147"/>
        <v>3575000</v>
      </c>
      <c r="O411" s="41">
        <v>3575000</v>
      </c>
      <c r="P411" s="24"/>
      <c r="Q411" s="24"/>
      <c r="R411" s="24"/>
      <c r="S411" s="41">
        <f t="shared" si="141"/>
        <v>3575000</v>
      </c>
      <c r="T411" s="24">
        <v>5</v>
      </c>
      <c r="U411" s="41"/>
      <c r="V411" s="24">
        <v>0.5</v>
      </c>
      <c r="W411" s="41">
        <f t="shared" si="148"/>
        <v>0</v>
      </c>
      <c r="X411" s="24"/>
      <c r="Y411" s="41">
        <f t="shared" si="149"/>
        <v>0</v>
      </c>
      <c r="Z411" s="41">
        <f t="shared" si="143"/>
        <v>0</v>
      </c>
      <c r="AA411" s="24">
        <v>5</v>
      </c>
      <c r="AB411" s="41">
        <v>3575000</v>
      </c>
      <c r="AC411" s="41">
        <f t="shared" si="144"/>
        <v>0</v>
      </c>
      <c r="AD411" s="70" t="s">
        <v>480</v>
      </c>
      <c r="AE411" s="70"/>
      <c r="AF411" s="1">
        <v>3575000</v>
      </c>
      <c r="AG411" s="5">
        <f t="shared" si="132"/>
        <v>0</v>
      </c>
      <c r="AH411" s="5"/>
    </row>
    <row r="412" spans="1:34" s="1" customFormat="1" x14ac:dyDescent="0.25">
      <c r="A412" s="21">
        <v>16</v>
      </c>
      <c r="B412" s="22" t="s">
        <v>1691</v>
      </c>
      <c r="C412" s="22" t="s">
        <v>407</v>
      </c>
      <c r="D412" s="51" t="s">
        <v>470</v>
      </c>
      <c r="E412" s="24" t="s">
        <v>474</v>
      </c>
      <c r="F412" s="24"/>
      <c r="G412" s="24" t="s">
        <v>194</v>
      </c>
      <c r="H412" s="24" t="s">
        <v>62</v>
      </c>
      <c r="I412" s="24">
        <v>2005</v>
      </c>
      <c r="J412" s="24"/>
      <c r="K412" s="24" t="s">
        <v>63</v>
      </c>
      <c r="L412" s="24" t="s">
        <v>64</v>
      </c>
      <c r="M412" s="24">
        <v>1</v>
      </c>
      <c r="N412" s="41">
        <f t="shared" si="147"/>
        <v>3575000</v>
      </c>
      <c r="O412" s="41">
        <v>3575000</v>
      </c>
      <c r="P412" s="24"/>
      <c r="Q412" s="24"/>
      <c r="R412" s="24"/>
      <c r="S412" s="41">
        <f t="shared" si="141"/>
        <v>3575000</v>
      </c>
      <c r="T412" s="24">
        <v>5</v>
      </c>
      <c r="U412" s="41"/>
      <c r="V412" s="24">
        <v>0.5</v>
      </c>
      <c r="W412" s="41">
        <f t="shared" si="148"/>
        <v>0</v>
      </c>
      <c r="X412" s="24"/>
      <c r="Y412" s="41">
        <f t="shared" si="149"/>
        <v>0</v>
      </c>
      <c r="Z412" s="41">
        <f t="shared" si="143"/>
        <v>0</v>
      </c>
      <c r="AA412" s="24">
        <v>5</v>
      </c>
      <c r="AB412" s="41">
        <v>3575000</v>
      </c>
      <c r="AC412" s="41">
        <f t="shared" si="144"/>
        <v>0</v>
      </c>
      <c r="AD412" s="70" t="s">
        <v>481</v>
      </c>
      <c r="AE412" s="70"/>
      <c r="AF412" s="1">
        <v>3575000</v>
      </c>
      <c r="AG412" s="5">
        <f t="shared" si="132"/>
        <v>0</v>
      </c>
      <c r="AH412" s="5"/>
    </row>
    <row r="413" spans="1:34" s="1" customFormat="1" x14ac:dyDescent="0.25">
      <c r="A413" s="21">
        <v>17</v>
      </c>
      <c r="B413" s="22" t="s">
        <v>1691</v>
      </c>
      <c r="C413" s="22" t="s">
        <v>408</v>
      </c>
      <c r="D413" s="51" t="s">
        <v>470</v>
      </c>
      <c r="E413" s="24" t="s">
        <v>474</v>
      </c>
      <c r="F413" s="24"/>
      <c r="G413" s="24" t="s">
        <v>194</v>
      </c>
      <c r="H413" s="24" t="s">
        <v>62</v>
      </c>
      <c r="I413" s="24">
        <v>2005</v>
      </c>
      <c r="J413" s="24"/>
      <c r="K413" s="24" t="s">
        <v>63</v>
      </c>
      <c r="L413" s="24" t="s">
        <v>64</v>
      </c>
      <c r="M413" s="24">
        <v>1</v>
      </c>
      <c r="N413" s="41">
        <f t="shared" si="147"/>
        <v>3575000</v>
      </c>
      <c r="O413" s="41">
        <v>3575000</v>
      </c>
      <c r="P413" s="24"/>
      <c r="Q413" s="24"/>
      <c r="R413" s="24"/>
      <c r="S413" s="41">
        <f t="shared" si="141"/>
        <v>3575000</v>
      </c>
      <c r="T413" s="24">
        <v>5</v>
      </c>
      <c r="U413" s="41"/>
      <c r="V413" s="24">
        <v>0.5</v>
      </c>
      <c r="W413" s="41">
        <f t="shared" si="148"/>
        <v>0</v>
      </c>
      <c r="X413" s="24"/>
      <c r="Y413" s="41">
        <f t="shared" si="149"/>
        <v>0</v>
      </c>
      <c r="Z413" s="41">
        <f t="shared" si="143"/>
        <v>0</v>
      </c>
      <c r="AA413" s="24">
        <v>5</v>
      </c>
      <c r="AB413" s="41">
        <v>3575000</v>
      </c>
      <c r="AC413" s="41">
        <f t="shared" si="144"/>
        <v>0</v>
      </c>
      <c r="AD413" s="70" t="s">
        <v>224</v>
      </c>
      <c r="AE413" s="70"/>
      <c r="AF413" s="1">
        <v>3575000</v>
      </c>
      <c r="AG413" s="5">
        <f t="shared" si="132"/>
        <v>0</v>
      </c>
      <c r="AH413" s="5"/>
    </row>
    <row r="414" spans="1:34" s="1" customFormat="1" x14ac:dyDescent="0.25">
      <c r="A414" s="21">
        <v>18</v>
      </c>
      <c r="B414" s="22" t="s">
        <v>1691</v>
      </c>
      <c r="C414" s="22" t="s">
        <v>482</v>
      </c>
      <c r="D414" s="51" t="s">
        <v>483</v>
      </c>
      <c r="E414" s="24" t="s">
        <v>484</v>
      </c>
      <c r="F414" s="24"/>
      <c r="G414" s="24" t="s">
        <v>194</v>
      </c>
      <c r="H414" s="24" t="s">
        <v>62</v>
      </c>
      <c r="I414" s="24">
        <v>2012</v>
      </c>
      <c r="J414" s="24"/>
      <c r="K414" s="24" t="s">
        <v>63</v>
      </c>
      <c r="L414" s="24" t="s">
        <v>64</v>
      </c>
      <c r="M414" s="24">
        <v>6</v>
      </c>
      <c r="N414" s="41">
        <f t="shared" si="147"/>
        <v>5967500</v>
      </c>
      <c r="O414" s="41">
        <v>35805000</v>
      </c>
      <c r="P414" s="24"/>
      <c r="Q414" s="24"/>
      <c r="R414" s="24"/>
      <c r="S414" s="41">
        <f t="shared" si="141"/>
        <v>35805000</v>
      </c>
      <c r="T414" s="24">
        <v>5</v>
      </c>
      <c r="U414" s="41"/>
      <c r="V414" s="24">
        <v>0.5</v>
      </c>
      <c r="W414" s="41">
        <f t="shared" si="148"/>
        <v>0</v>
      </c>
      <c r="X414" s="24"/>
      <c r="Y414" s="41">
        <f t="shared" si="149"/>
        <v>0</v>
      </c>
      <c r="Z414" s="41">
        <f t="shared" si="143"/>
        <v>0</v>
      </c>
      <c r="AA414" s="24">
        <v>5</v>
      </c>
      <c r="AB414" s="41">
        <v>35805000</v>
      </c>
      <c r="AC414" s="41">
        <f t="shared" si="144"/>
        <v>0</v>
      </c>
      <c r="AD414" s="70" t="s">
        <v>485</v>
      </c>
      <c r="AE414" s="70"/>
      <c r="AF414" s="1">
        <v>35805000</v>
      </c>
      <c r="AG414" s="5">
        <f t="shared" si="132"/>
        <v>0</v>
      </c>
      <c r="AH414" s="5"/>
    </row>
    <row r="415" spans="1:34" s="1" customFormat="1" x14ac:dyDescent="0.25">
      <c r="A415" s="21">
        <v>19</v>
      </c>
      <c r="B415" s="22" t="s">
        <v>1691</v>
      </c>
      <c r="C415" s="22" t="s">
        <v>486</v>
      </c>
      <c r="D415" s="51" t="s">
        <v>483</v>
      </c>
      <c r="E415" s="24" t="s">
        <v>484</v>
      </c>
      <c r="F415" s="24"/>
      <c r="G415" s="24" t="s">
        <v>194</v>
      </c>
      <c r="H415" s="24" t="s">
        <v>62</v>
      </c>
      <c r="I415" s="24">
        <v>2012</v>
      </c>
      <c r="J415" s="24"/>
      <c r="K415" s="24" t="s">
        <v>63</v>
      </c>
      <c r="L415" s="24" t="s">
        <v>64</v>
      </c>
      <c r="M415" s="24">
        <v>4</v>
      </c>
      <c r="N415" s="41">
        <f t="shared" si="147"/>
        <v>5967500</v>
      </c>
      <c r="O415" s="41">
        <v>23870000</v>
      </c>
      <c r="P415" s="24"/>
      <c r="Q415" s="24"/>
      <c r="R415" s="24"/>
      <c r="S415" s="41">
        <f t="shared" si="141"/>
        <v>23870000</v>
      </c>
      <c r="T415" s="24">
        <v>5</v>
      </c>
      <c r="U415" s="41"/>
      <c r="V415" s="24">
        <v>0.5</v>
      </c>
      <c r="W415" s="41">
        <f t="shared" si="148"/>
        <v>0</v>
      </c>
      <c r="X415" s="24"/>
      <c r="Y415" s="41">
        <f t="shared" si="149"/>
        <v>0</v>
      </c>
      <c r="Z415" s="41">
        <f t="shared" si="143"/>
        <v>0</v>
      </c>
      <c r="AA415" s="24">
        <v>5</v>
      </c>
      <c r="AB415" s="41">
        <v>23870000</v>
      </c>
      <c r="AC415" s="41">
        <f t="shared" si="144"/>
        <v>0</v>
      </c>
      <c r="AD415" s="70" t="s">
        <v>487</v>
      </c>
      <c r="AE415" s="70"/>
      <c r="AF415" s="1">
        <v>23870000</v>
      </c>
      <c r="AG415" s="5">
        <f t="shared" si="132"/>
        <v>0</v>
      </c>
      <c r="AH415" s="5"/>
    </row>
    <row r="416" spans="1:34" s="1" customFormat="1" x14ac:dyDescent="0.25">
      <c r="A416" s="21">
        <v>20</v>
      </c>
      <c r="B416" s="22" t="s">
        <v>1691</v>
      </c>
      <c r="C416" s="22" t="s">
        <v>488</v>
      </c>
      <c r="D416" s="51" t="s">
        <v>483</v>
      </c>
      <c r="E416" s="24" t="s">
        <v>484</v>
      </c>
      <c r="F416" s="24"/>
      <c r="G416" s="24" t="s">
        <v>194</v>
      </c>
      <c r="H416" s="24" t="s">
        <v>62</v>
      </c>
      <c r="I416" s="24">
        <v>2012</v>
      </c>
      <c r="J416" s="24"/>
      <c r="K416" s="24" t="s">
        <v>63</v>
      </c>
      <c r="L416" s="24" t="s">
        <v>64</v>
      </c>
      <c r="M416" s="24">
        <v>6</v>
      </c>
      <c r="N416" s="41">
        <f t="shared" si="147"/>
        <v>5967500</v>
      </c>
      <c r="O416" s="41">
        <v>35805000</v>
      </c>
      <c r="P416" s="24"/>
      <c r="Q416" s="24"/>
      <c r="R416" s="24"/>
      <c r="S416" s="41">
        <f t="shared" si="141"/>
        <v>35805000</v>
      </c>
      <c r="T416" s="24">
        <v>5</v>
      </c>
      <c r="U416" s="41"/>
      <c r="V416" s="24">
        <v>0.5</v>
      </c>
      <c r="W416" s="41">
        <f t="shared" si="148"/>
        <v>0</v>
      </c>
      <c r="X416" s="24"/>
      <c r="Y416" s="41">
        <f t="shared" si="149"/>
        <v>0</v>
      </c>
      <c r="Z416" s="41">
        <f t="shared" si="143"/>
        <v>0</v>
      </c>
      <c r="AA416" s="24">
        <v>5</v>
      </c>
      <c r="AB416" s="41">
        <v>35805000</v>
      </c>
      <c r="AC416" s="41">
        <f t="shared" si="144"/>
        <v>0</v>
      </c>
      <c r="AD416" s="70" t="s">
        <v>489</v>
      </c>
      <c r="AE416" s="70"/>
      <c r="AF416" s="1">
        <v>35805000</v>
      </c>
      <c r="AG416" s="5">
        <f t="shared" si="132"/>
        <v>0</v>
      </c>
      <c r="AH416" s="5"/>
    </row>
    <row r="417" spans="1:34" s="1" customFormat="1" x14ac:dyDescent="0.25">
      <c r="A417" s="21">
        <v>21</v>
      </c>
      <c r="B417" s="22" t="s">
        <v>1691</v>
      </c>
      <c r="C417" s="22" t="s">
        <v>490</v>
      </c>
      <c r="D417" s="51" t="s">
        <v>483</v>
      </c>
      <c r="E417" s="24" t="s">
        <v>491</v>
      </c>
      <c r="F417" s="24"/>
      <c r="G417" s="24" t="s">
        <v>194</v>
      </c>
      <c r="H417" s="24" t="s">
        <v>62</v>
      </c>
      <c r="I417" s="24">
        <v>2012</v>
      </c>
      <c r="J417" s="24"/>
      <c r="K417" s="24" t="s">
        <v>63</v>
      </c>
      <c r="L417" s="24" t="s">
        <v>64</v>
      </c>
      <c r="M417" s="24">
        <v>20</v>
      </c>
      <c r="N417" s="41">
        <f t="shared" si="147"/>
        <v>3135000</v>
      </c>
      <c r="O417" s="41">
        <v>62700000</v>
      </c>
      <c r="P417" s="24"/>
      <c r="Q417" s="24"/>
      <c r="R417" s="24"/>
      <c r="S417" s="41">
        <f t="shared" si="141"/>
        <v>62700000</v>
      </c>
      <c r="T417" s="24">
        <v>5</v>
      </c>
      <c r="U417" s="41"/>
      <c r="V417" s="24">
        <v>0.5</v>
      </c>
      <c r="W417" s="41">
        <f t="shared" si="148"/>
        <v>0</v>
      </c>
      <c r="X417" s="24"/>
      <c r="Y417" s="41">
        <f t="shared" si="149"/>
        <v>0</v>
      </c>
      <c r="Z417" s="41">
        <f t="shared" si="143"/>
        <v>0</v>
      </c>
      <c r="AA417" s="24">
        <v>5</v>
      </c>
      <c r="AB417" s="41">
        <v>62700000</v>
      </c>
      <c r="AC417" s="41">
        <f t="shared" si="144"/>
        <v>0</v>
      </c>
      <c r="AD417" s="70" t="s">
        <v>492</v>
      </c>
      <c r="AE417" s="70"/>
      <c r="AF417" s="1">
        <v>62700000</v>
      </c>
      <c r="AG417" s="5">
        <f t="shared" si="132"/>
        <v>0</v>
      </c>
      <c r="AH417" s="5"/>
    </row>
    <row r="418" spans="1:34" s="1" customFormat="1" x14ac:dyDescent="0.25">
      <c r="A418" s="21">
        <v>22</v>
      </c>
      <c r="B418" s="22" t="s">
        <v>1691</v>
      </c>
      <c r="C418" s="22" t="s">
        <v>437</v>
      </c>
      <c r="D418" s="51" t="s">
        <v>483</v>
      </c>
      <c r="E418" s="24" t="s">
        <v>493</v>
      </c>
      <c r="F418" s="24"/>
      <c r="G418" s="24" t="s">
        <v>194</v>
      </c>
      <c r="H418" s="24" t="s">
        <v>62</v>
      </c>
      <c r="I418" s="24">
        <v>2012</v>
      </c>
      <c r="J418" s="24"/>
      <c r="K418" s="24" t="s">
        <v>63</v>
      </c>
      <c r="L418" s="24" t="s">
        <v>64</v>
      </c>
      <c r="M418" s="24">
        <v>1</v>
      </c>
      <c r="N418" s="41">
        <f t="shared" si="147"/>
        <v>3430000</v>
      </c>
      <c r="O418" s="41">
        <v>3430000</v>
      </c>
      <c r="P418" s="24"/>
      <c r="Q418" s="24"/>
      <c r="R418" s="24"/>
      <c r="S418" s="41">
        <f t="shared" si="141"/>
        <v>3430000</v>
      </c>
      <c r="T418" s="24">
        <v>5</v>
      </c>
      <c r="U418" s="41"/>
      <c r="V418" s="24">
        <v>0.5</v>
      </c>
      <c r="W418" s="41">
        <f t="shared" si="148"/>
        <v>0</v>
      </c>
      <c r="X418" s="24"/>
      <c r="Y418" s="41">
        <f t="shared" si="149"/>
        <v>0</v>
      </c>
      <c r="Z418" s="41">
        <f t="shared" si="143"/>
        <v>0</v>
      </c>
      <c r="AA418" s="24">
        <v>5</v>
      </c>
      <c r="AB418" s="41">
        <v>3430000</v>
      </c>
      <c r="AC418" s="41">
        <f t="shared" si="144"/>
        <v>0</v>
      </c>
      <c r="AD418" s="70" t="s">
        <v>224</v>
      </c>
      <c r="AE418" s="70"/>
      <c r="AF418" s="1">
        <v>3430000</v>
      </c>
      <c r="AG418" s="5">
        <f t="shared" si="132"/>
        <v>0</v>
      </c>
      <c r="AH418" s="5"/>
    </row>
    <row r="419" spans="1:34" s="1" customFormat="1" x14ac:dyDescent="0.25">
      <c r="A419" s="21">
        <v>23</v>
      </c>
      <c r="B419" s="22" t="s">
        <v>1691</v>
      </c>
      <c r="C419" s="22" t="s">
        <v>494</v>
      </c>
      <c r="D419" s="51" t="s">
        <v>483</v>
      </c>
      <c r="E419" s="24" t="s">
        <v>493</v>
      </c>
      <c r="F419" s="24"/>
      <c r="G419" s="24" t="s">
        <v>194</v>
      </c>
      <c r="H419" s="24" t="s">
        <v>62</v>
      </c>
      <c r="I419" s="24">
        <v>2012</v>
      </c>
      <c r="J419" s="24"/>
      <c r="K419" s="24" t="s">
        <v>63</v>
      </c>
      <c r="L419" s="24" t="s">
        <v>64</v>
      </c>
      <c r="M419" s="24">
        <v>14</v>
      </c>
      <c r="N419" s="41">
        <f t="shared" si="147"/>
        <v>3430000</v>
      </c>
      <c r="O419" s="41">
        <v>48020000</v>
      </c>
      <c r="P419" s="24"/>
      <c r="Q419" s="24"/>
      <c r="R419" s="24"/>
      <c r="S419" s="41">
        <f t="shared" si="141"/>
        <v>48020000</v>
      </c>
      <c r="T419" s="24">
        <v>5</v>
      </c>
      <c r="U419" s="41"/>
      <c r="V419" s="24">
        <v>0.5</v>
      </c>
      <c r="W419" s="41">
        <f t="shared" si="148"/>
        <v>0</v>
      </c>
      <c r="X419" s="24"/>
      <c r="Y419" s="41">
        <f t="shared" si="149"/>
        <v>0</v>
      </c>
      <c r="Z419" s="41">
        <f t="shared" si="143"/>
        <v>0</v>
      </c>
      <c r="AA419" s="24">
        <v>5</v>
      </c>
      <c r="AB419" s="41">
        <v>48020000</v>
      </c>
      <c r="AC419" s="41">
        <f t="shared" si="144"/>
        <v>0</v>
      </c>
      <c r="AD419" s="70" t="s">
        <v>350</v>
      </c>
      <c r="AE419" s="70"/>
      <c r="AF419" s="1">
        <v>48020000</v>
      </c>
      <c r="AG419" s="5">
        <f t="shared" si="132"/>
        <v>0</v>
      </c>
      <c r="AH419" s="5"/>
    </row>
    <row r="420" spans="1:34" s="1" customFormat="1" x14ac:dyDescent="0.25">
      <c r="A420" s="21">
        <v>24</v>
      </c>
      <c r="B420" s="22" t="s">
        <v>1691</v>
      </c>
      <c r="C420" s="22" t="s">
        <v>495</v>
      </c>
      <c r="D420" s="51" t="s">
        <v>483</v>
      </c>
      <c r="E420" s="24" t="s">
        <v>493</v>
      </c>
      <c r="F420" s="24"/>
      <c r="G420" s="24" t="s">
        <v>194</v>
      </c>
      <c r="H420" s="24" t="s">
        <v>62</v>
      </c>
      <c r="I420" s="24">
        <v>2012</v>
      </c>
      <c r="J420" s="24"/>
      <c r="K420" s="24" t="s">
        <v>63</v>
      </c>
      <c r="L420" s="24" t="s">
        <v>64</v>
      </c>
      <c r="M420" s="24">
        <v>18</v>
      </c>
      <c r="N420" s="41">
        <f t="shared" si="147"/>
        <v>3430000</v>
      </c>
      <c r="O420" s="41">
        <v>61740000</v>
      </c>
      <c r="P420" s="24"/>
      <c r="Q420" s="24"/>
      <c r="R420" s="24"/>
      <c r="S420" s="41">
        <f t="shared" si="141"/>
        <v>61740000</v>
      </c>
      <c r="T420" s="24">
        <v>5</v>
      </c>
      <c r="U420" s="41"/>
      <c r="V420" s="24">
        <v>0.5</v>
      </c>
      <c r="W420" s="41">
        <f t="shared" si="148"/>
        <v>0</v>
      </c>
      <c r="X420" s="24"/>
      <c r="Y420" s="41">
        <f t="shared" si="149"/>
        <v>0</v>
      </c>
      <c r="Z420" s="41">
        <f t="shared" si="143"/>
        <v>0</v>
      </c>
      <c r="AA420" s="24">
        <v>5</v>
      </c>
      <c r="AB420" s="41">
        <v>61740000</v>
      </c>
      <c r="AC420" s="41">
        <f t="shared" si="144"/>
        <v>0</v>
      </c>
      <c r="AD420" s="70" t="s">
        <v>354</v>
      </c>
      <c r="AE420" s="70"/>
      <c r="AF420" s="1">
        <v>61740000</v>
      </c>
      <c r="AG420" s="5">
        <f t="shared" si="132"/>
        <v>0</v>
      </c>
      <c r="AH420" s="5"/>
    </row>
    <row r="421" spans="1:34" s="1" customFormat="1" x14ac:dyDescent="0.25">
      <c r="A421" s="21">
        <v>25</v>
      </c>
      <c r="B421" s="22" t="s">
        <v>1691</v>
      </c>
      <c r="C421" s="22" t="s">
        <v>496</v>
      </c>
      <c r="D421" s="51" t="s">
        <v>483</v>
      </c>
      <c r="E421" s="24" t="s">
        <v>493</v>
      </c>
      <c r="F421" s="24"/>
      <c r="G421" s="24" t="s">
        <v>194</v>
      </c>
      <c r="H421" s="24" t="s">
        <v>62</v>
      </c>
      <c r="I421" s="24">
        <v>2012</v>
      </c>
      <c r="J421" s="24"/>
      <c r="K421" s="24" t="s">
        <v>63</v>
      </c>
      <c r="L421" s="24" t="s">
        <v>64</v>
      </c>
      <c r="M421" s="24">
        <v>6</v>
      </c>
      <c r="N421" s="41">
        <f t="shared" si="147"/>
        <v>3430000</v>
      </c>
      <c r="O421" s="41">
        <v>20580000</v>
      </c>
      <c r="P421" s="24"/>
      <c r="Q421" s="24"/>
      <c r="R421" s="24"/>
      <c r="S421" s="41">
        <f t="shared" si="141"/>
        <v>20580000</v>
      </c>
      <c r="T421" s="24">
        <v>5</v>
      </c>
      <c r="U421" s="41"/>
      <c r="V421" s="24">
        <v>0.5</v>
      </c>
      <c r="W421" s="41">
        <f t="shared" si="148"/>
        <v>0</v>
      </c>
      <c r="X421" s="24"/>
      <c r="Y421" s="41">
        <f t="shared" si="149"/>
        <v>0</v>
      </c>
      <c r="Z421" s="41">
        <f t="shared" si="143"/>
        <v>0</v>
      </c>
      <c r="AA421" s="24">
        <v>5</v>
      </c>
      <c r="AB421" s="41">
        <v>20580000</v>
      </c>
      <c r="AC421" s="41">
        <f t="shared" si="144"/>
        <v>0</v>
      </c>
      <c r="AD421" s="70" t="s">
        <v>287</v>
      </c>
      <c r="AE421" s="70"/>
      <c r="AF421" s="1">
        <v>20580000</v>
      </c>
      <c r="AG421" s="5">
        <f t="shared" si="132"/>
        <v>0</v>
      </c>
      <c r="AH421" s="5"/>
    </row>
    <row r="422" spans="1:34" s="1" customFormat="1" x14ac:dyDescent="0.25">
      <c r="A422" s="21">
        <v>26</v>
      </c>
      <c r="B422" s="22" t="s">
        <v>1691</v>
      </c>
      <c r="C422" s="22" t="s">
        <v>497</v>
      </c>
      <c r="D422" s="51" t="s">
        <v>483</v>
      </c>
      <c r="E422" s="24" t="s">
        <v>493</v>
      </c>
      <c r="F422" s="24"/>
      <c r="G422" s="24" t="s">
        <v>194</v>
      </c>
      <c r="H422" s="24" t="s">
        <v>62</v>
      </c>
      <c r="I422" s="24">
        <v>2012</v>
      </c>
      <c r="J422" s="24"/>
      <c r="K422" s="24" t="s">
        <v>63</v>
      </c>
      <c r="L422" s="24" t="s">
        <v>64</v>
      </c>
      <c r="M422" s="24">
        <v>2</v>
      </c>
      <c r="N422" s="41">
        <f t="shared" si="147"/>
        <v>3430000</v>
      </c>
      <c r="O422" s="41">
        <v>6860000</v>
      </c>
      <c r="P422" s="24"/>
      <c r="Q422" s="24"/>
      <c r="R422" s="24"/>
      <c r="S422" s="41">
        <f t="shared" si="141"/>
        <v>6860000</v>
      </c>
      <c r="T422" s="24">
        <v>5</v>
      </c>
      <c r="U422" s="41"/>
      <c r="V422" s="24">
        <v>0.5</v>
      </c>
      <c r="W422" s="41">
        <f t="shared" si="148"/>
        <v>0</v>
      </c>
      <c r="X422" s="24"/>
      <c r="Y422" s="41">
        <f t="shared" si="149"/>
        <v>0</v>
      </c>
      <c r="Z422" s="41">
        <f t="shared" si="143"/>
        <v>0</v>
      </c>
      <c r="AA422" s="24">
        <v>5</v>
      </c>
      <c r="AB422" s="41">
        <v>6860000</v>
      </c>
      <c r="AC422" s="41">
        <f t="shared" si="144"/>
        <v>0</v>
      </c>
      <c r="AD422" s="70" t="s">
        <v>303</v>
      </c>
      <c r="AE422" s="70"/>
      <c r="AF422" s="1">
        <v>6860000</v>
      </c>
      <c r="AG422" s="5">
        <f t="shared" si="132"/>
        <v>0</v>
      </c>
      <c r="AH422" s="5"/>
    </row>
    <row r="423" spans="1:34" s="1" customFormat="1" x14ac:dyDescent="0.25">
      <c r="A423" s="21">
        <v>27</v>
      </c>
      <c r="B423" s="22" t="s">
        <v>1691</v>
      </c>
      <c r="C423" s="22" t="s">
        <v>498</v>
      </c>
      <c r="D423" s="51" t="s">
        <v>483</v>
      </c>
      <c r="E423" s="24" t="s">
        <v>493</v>
      </c>
      <c r="F423" s="24"/>
      <c r="G423" s="24" t="s">
        <v>194</v>
      </c>
      <c r="H423" s="24" t="s">
        <v>62</v>
      </c>
      <c r="I423" s="24">
        <v>2012</v>
      </c>
      <c r="J423" s="24"/>
      <c r="K423" s="24" t="s">
        <v>63</v>
      </c>
      <c r="L423" s="24" t="s">
        <v>64</v>
      </c>
      <c r="M423" s="24">
        <v>2</v>
      </c>
      <c r="N423" s="41">
        <f t="shared" si="147"/>
        <v>3430000</v>
      </c>
      <c r="O423" s="41">
        <v>6860000</v>
      </c>
      <c r="P423" s="24"/>
      <c r="Q423" s="24"/>
      <c r="R423" s="24"/>
      <c r="S423" s="41">
        <f t="shared" si="141"/>
        <v>6860000</v>
      </c>
      <c r="T423" s="24">
        <v>5</v>
      </c>
      <c r="U423" s="41"/>
      <c r="V423" s="24">
        <v>0.5</v>
      </c>
      <c r="W423" s="41">
        <f t="shared" si="148"/>
        <v>0</v>
      </c>
      <c r="X423" s="24"/>
      <c r="Y423" s="41">
        <f t="shared" si="149"/>
        <v>0</v>
      </c>
      <c r="Z423" s="41">
        <f t="shared" si="143"/>
        <v>0</v>
      </c>
      <c r="AA423" s="24">
        <v>5</v>
      </c>
      <c r="AB423" s="41">
        <v>6860000</v>
      </c>
      <c r="AC423" s="41">
        <f t="shared" si="144"/>
        <v>0</v>
      </c>
      <c r="AD423" s="70" t="s">
        <v>305</v>
      </c>
      <c r="AE423" s="70"/>
      <c r="AF423" s="1">
        <v>6860000</v>
      </c>
      <c r="AG423" s="5">
        <f t="shared" si="132"/>
        <v>0</v>
      </c>
      <c r="AH423" s="5"/>
    </row>
    <row r="424" spans="1:34" s="1" customFormat="1" x14ac:dyDescent="0.25">
      <c r="A424" s="21">
        <v>28</v>
      </c>
      <c r="B424" s="22" t="s">
        <v>1691</v>
      </c>
      <c r="C424" s="22" t="s">
        <v>499</v>
      </c>
      <c r="D424" s="51" t="s">
        <v>483</v>
      </c>
      <c r="E424" s="24" t="s">
        <v>493</v>
      </c>
      <c r="F424" s="24"/>
      <c r="G424" s="24" t="s">
        <v>194</v>
      </c>
      <c r="H424" s="24" t="s">
        <v>62</v>
      </c>
      <c r="I424" s="24">
        <v>2012</v>
      </c>
      <c r="J424" s="24"/>
      <c r="K424" s="24" t="s">
        <v>63</v>
      </c>
      <c r="L424" s="24" t="s">
        <v>64</v>
      </c>
      <c r="M424" s="24">
        <v>2</v>
      </c>
      <c r="N424" s="41">
        <f t="shared" si="147"/>
        <v>3430000</v>
      </c>
      <c r="O424" s="41">
        <v>6860000</v>
      </c>
      <c r="P424" s="24"/>
      <c r="Q424" s="24"/>
      <c r="R424" s="24"/>
      <c r="S424" s="41">
        <f t="shared" si="141"/>
        <v>6860000</v>
      </c>
      <c r="T424" s="24">
        <v>5</v>
      </c>
      <c r="U424" s="41"/>
      <c r="V424" s="24">
        <v>0.5</v>
      </c>
      <c r="W424" s="41">
        <f t="shared" si="148"/>
        <v>0</v>
      </c>
      <c r="X424" s="24"/>
      <c r="Y424" s="41">
        <f t="shared" si="149"/>
        <v>0</v>
      </c>
      <c r="Z424" s="41">
        <f t="shared" si="143"/>
        <v>0</v>
      </c>
      <c r="AA424" s="24">
        <v>5</v>
      </c>
      <c r="AB424" s="41">
        <v>6860000</v>
      </c>
      <c r="AC424" s="41">
        <f t="shared" si="144"/>
        <v>0</v>
      </c>
      <c r="AD424" s="70" t="s">
        <v>363</v>
      </c>
      <c r="AE424" s="70"/>
      <c r="AF424" s="1">
        <v>6860000</v>
      </c>
      <c r="AG424" s="5">
        <f t="shared" si="132"/>
        <v>0</v>
      </c>
      <c r="AH424" s="5"/>
    </row>
    <row r="425" spans="1:34" s="1" customFormat="1" x14ac:dyDescent="0.25">
      <c r="A425" s="21">
        <v>29</v>
      </c>
      <c r="B425" s="22" t="s">
        <v>1691</v>
      </c>
      <c r="C425" s="22" t="s">
        <v>500</v>
      </c>
      <c r="D425" s="51" t="s">
        <v>483</v>
      </c>
      <c r="E425" s="24" t="s">
        <v>493</v>
      </c>
      <c r="F425" s="24"/>
      <c r="G425" s="24" t="s">
        <v>194</v>
      </c>
      <c r="H425" s="24" t="s">
        <v>62</v>
      </c>
      <c r="I425" s="24">
        <v>2012</v>
      </c>
      <c r="J425" s="24"/>
      <c r="K425" s="24" t="s">
        <v>63</v>
      </c>
      <c r="L425" s="24" t="s">
        <v>64</v>
      </c>
      <c r="M425" s="24">
        <v>2</v>
      </c>
      <c r="N425" s="41">
        <f t="shared" si="147"/>
        <v>3430000</v>
      </c>
      <c r="O425" s="41">
        <v>6860000</v>
      </c>
      <c r="P425" s="24"/>
      <c r="Q425" s="24"/>
      <c r="R425" s="24"/>
      <c r="S425" s="41">
        <f t="shared" si="141"/>
        <v>6860000</v>
      </c>
      <c r="T425" s="24">
        <v>5</v>
      </c>
      <c r="U425" s="41"/>
      <c r="V425" s="24">
        <v>0.5</v>
      </c>
      <c r="W425" s="41">
        <f t="shared" si="148"/>
        <v>0</v>
      </c>
      <c r="X425" s="24"/>
      <c r="Y425" s="41">
        <f t="shared" si="149"/>
        <v>0</v>
      </c>
      <c r="Z425" s="41">
        <f t="shared" si="143"/>
        <v>0</v>
      </c>
      <c r="AA425" s="24">
        <v>5</v>
      </c>
      <c r="AB425" s="41">
        <v>6860000</v>
      </c>
      <c r="AC425" s="41">
        <f t="shared" si="144"/>
        <v>0</v>
      </c>
      <c r="AD425" s="70" t="s">
        <v>473</v>
      </c>
      <c r="AE425" s="70"/>
      <c r="AF425" s="1">
        <v>6860000</v>
      </c>
      <c r="AG425" s="5">
        <f t="shared" si="132"/>
        <v>0</v>
      </c>
      <c r="AH425" s="5"/>
    </row>
    <row r="426" spans="1:34" s="1" customFormat="1" x14ac:dyDescent="0.25">
      <c r="A426" s="21">
        <v>30</v>
      </c>
      <c r="B426" s="22" t="s">
        <v>1691</v>
      </c>
      <c r="C426" s="22" t="s">
        <v>501</v>
      </c>
      <c r="D426" s="51" t="s">
        <v>483</v>
      </c>
      <c r="E426" s="24" t="s">
        <v>493</v>
      </c>
      <c r="F426" s="24"/>
      <c r="G426" s="24" t="s">
        <v>194</v>
      </c>
      <c r="H426" s="24" t="s">
        <v>62</v>
      </c>
      <c r="I426" s="24">
        <v>2012</v>
      </c>
      <c r="J426" s="24"/>
      <c r="K426" s="24" t="s">
        <v>63</v>
      </c>
      <c r="L426" s="24" t="s">
        <v>64</v>
      </c>
      <c r="M426" s="24">
        <v>1</v>
      </c>
      <c r="N426" s="41">
        <f t="shared" si="147"/>
        <v>3430000</v>
      </c>
      <c r="O426" s="41">
        <v>3430000</v>
      </c>
      <c r="P426" s="24"/>
      <c r="Q426" s="24"/>
      <c r="R426" s="24"/>
      <c r="S426" s="41">
        <f t="shared" ref="S426:S489" si="150">SUM(O426-R426)</f>
        <v>3430000</v>
      </c>
      <c r="T426" s="24">
        <v>5</v>
      </c>
      <c r="U426" s="41"/>
      <c r="V426" s="24">
        <v>0.5</v>
      </c>
      <c r="W426" s="41">
        <f t="shared" si="148"/>
        <v>0</v>
      </c>
      <c r="X426" s="24"/>
      <c r="Y426" s="41">
        <f t="shared" si="149"/>
        <v>0</v>
      </c>
      <c r="Z426" s="41">
        <f t="shared" si="143"/>
        <v>0</v>
      </c>
      <c r="AA426" s="24">
        <v>5</v>
      </c>
      <c r="AB426" s="41">
        <v>3430000</v>
      </c>
      <c r="AC426" s="41">
        <f t="shared" ref="AC426:AC489" si="151">SUM(O426-AB426)</f>
        <v>0</v>
      </c>
      <c r="AD426" s="70" t="s">
        <v>477</v>
      </c>
      <c r="AE426" s="70"/>
      <c r="AF426" s="1">
        <v>3430000</v>
      </c>
      <c r="AG426" s="5">
        <f t="shared" si="132"/>
        <v>0</v>
      </c>
      <c r="AH426" s="5"/>
    </row>
    <row r="427" spans="1:34" s="1" customFormat="1" x14ac:dyDescent="0.25">
      <c r="A427" s="21">
        <v>31</v>
      </c>
      <c r="B427" s="22" t="s">
        <v>1691</v>
      </c>
      <c r="C427" s="22" t="s">
        <v>502</v>
      </c>
      <c r="D427" s="51" t="s">
        <v>483</v>
      </c>
      <c r="E427" s="24" t="s">
        <v>493</v>
      </c>
      <c r="F427" s="24"/>
      <c r="G427" s="24" t="s">
        <v>194</v>
      </c>
      <c r="H427" s="24" t="s">
        <v>62</v>
      </c>
      <c r="I427" s="24">
        <v>2012</v>
      </c>
      <c r="J427" s="24"/>
      <c r="K427" s="24" t="s">
        <v>63</v>
      </c>
      <c r="L427" s="24" t="s">
        <v>64</v>
      </c>
      <c r="M427" s="24">
        <v>2</v>
      </c>
      <c r="N427" s="41">
        <f t="shared" si="147"/>
        <v>3430000</v>
      </c>
      <c r="O427" s="41">
        <v>6860000</v>
      </c>
      <c r="P427" s="24"/>
      <c r="Q427" s="24"/>
      <c r="R427" s="24"/>
      <c r="S427" s="41">
        <f t="shared" si="150"/>
        <v>6860000</v>
      </c>
      <c r="T427" s="24">
        <v>5</v>
      </c>
      <c r="U427" s="41"/>
      <c r="V427" s="24">
        <v>0.5</v>
      </c>
      <c r="W427" s="41">
        <f t="shared" si="148"/>
        <v>0</v>
      </c>
      <c r="X427" s="24"/>
      <c r="Y427" s="41">
        <f t="shared" si="149"/>
        <v>0</v>
      </c>
      <c r="Z427" s="41">
        <f t="shared" si="143"/>
        <v>0</v>
      </c>
      <c r="AA427" s="24">
        <v>5</v>
      </c>
      <c r="AB427" s="41">
        <v>6860000</v>
      </c>
      <c r="AC427" s="41">
        <f t="shared" si="151"/>
        <v>0</v>
      </c>
      <c r="AD427" s="70" t="s">
        <v>226</v>
      </c>
      <c r="AE427" s="70"/>
      <c r="AF427" s="1">
        <v>6860000</v>
      </c>
      <c r="AG427" s="5">
        <f t="shared" si="132"/>
        <v>0</v>
      </c>
      <c r="AH427" s="5"/>
    </row>
    <row r="428" spans="1:34" s="1" customFormat="1" x14ac:dyDescent="0.25">
      <c r="A428" s="21">
        <v>32</v>
      </c>
      <c r="B428" s="22" t="s">
        <v>1691</v>
      </c>
      <c r="C428" s="22" t="s">
        <v>503</v>
      </c>
      <c r="D428" s="51" t="s">
        <v>483</v>
      </c>
      <c r="E428" s="24" t="s">
        <v>493</v>
      </c>
      <c r="F428" s="24"/>
      <c r="G428" s="24" t="s">
        <v>194</v>
      </c>
      <c r="H428" s="24" t="s">
        <v>62</v>
      </c>
      <c r="I428" s="24">
        <v>2012</v>
      </c>
      <c r="J428" s="24"/>
      <c r="K428" s="24" t="s">
        <v>63</v>
      </c>
      <c r="L428" s="24" t="s">
        <v>64</v>
      </c>
      <c r="M428" s="24">
        <v>2</v>
      </c>
      <c r="N428" s="41">
        <f t="shared" si="147"/>
        <v>3430000</v>
      </c>
      <c r="O428" s="41">
        <v>6860000</v>
      </c>
      <c r="P428" s="24"/>
      <c r="Q428" s="24"/>
      <c r="R428" s="24"/>
      <c r="S428" s="41">
        <f t="shared" si="150"/>
        <v>6860000</v>
      </c>
      <c r="T428" s="24">
        <v>5</v>
      </c>
      <c r="U428" s="41"/>
      <c r="V428" s="24">
        <v>0.5</v>
      </c>
      <c r="W428" s="41">
        <f t="shared" si="148"/>
        <v>0</v>
      </c>
      <c r="X428" s="24"/>
      <c r="Y428" s="41">
        <f t="shared" si="149"/>
        <v>0</v>
      </c>
      <c r="Z428" s="41">
        <f t="shared" si="143"/>
        <v>0</v>
      </c>
      <c r="AA428" s="24">
        <v>5</v>
      </c>
      <c r="AB428" s="41">
        <v>6860000</v>
      </c>
      <c r="AC428" s="41">
        <f t="shared" si="151"/>
        <v>0</v>
      </c>
      <c r="AD428" s="70" t="s">
        <v>504</v>
      </c>
      <c r="AE428" s="70"/>
      <c r="AF428" s="1">
        <v>6860000</v>
      </c>
      <c r="AG428" s="5">
        <f t="shared" si="132"/>
        <v>0</v>
      </c>
      <c r="AH428" s="5"/>
    </row>
    <row r="429" spans="1:34" s="1" customFormat="1" x14ac:dyDescent="0.25">
      <c r="A429" s="21">
        <v>33</v>
      </c>
      <c r="B429" s="22" t="s">
        <v>1691</v>
      </c>
      <c r="C429" s="22" t="s">
        <v>505</v>
      </c>
      <c r="D429" s="51" t="s">
        <v>483</v>
      </c>
      <c r="E429" s="24" t="s">
        <v>493</v>
      </c>
      <c r="F429" s="24"/>
      <c r="G429" s="24" t="s">
        <v>194</v>
      </c>
      <c r="H429" s="24" t="s">
        <v>62</v>
      </c>
      <c r="I429" s="24">
        <v>2012</v>
      </c>
      <c r="J429" s="24"/>
      <c r="K429" s="24" t="s">
        <v>63</v>
      </c>
      <c r="L429" s="24" t="s">
        <v>64</v>
      </c>
      <c r="M429" s="24">
        <v>2</v>
      </c>
      <c r="N429" s="41">
        <f t="shared" si="147"/>
        <v>3430000</v>
      </c>
      <c r="O429" s="41">
        <v>6860000</v>
      </c>
      <c r="P429" s="24"/>
      <c r="Q429" s="24"/>
      <c r="R429" s="24"/>
      <c r="S429" s="41">
        <f t="shared" si="150"/>
        <v>6860000</v>
      </c>
      <c r="T429" s="24">
        <v>5</v>
      </c>
      <c r="U429" s="41"/>
      <c r="V429" s="24">
        <v>0.5</v>
      </c>
      <c r="W429" s="41">
        <f t="shared" si="148"/>
        <v>0</v>
      </c>
      <c r="X429" s="24"/>
      <c r="Y429" s="41">
        <f t="shared" si="149"/>
        <v>0</v>
      </c>
      <c r="Z429" s="41">
        <f t="shared" si="143"/>
        <v>0</v>
      </c>
      <c r="AA429" s="24">
        <v>5</v>
      </c>
      <c r="AB429" s="41">
        <v>6860000</v>
      </c>
      <c r="AC429" s="41">
        <f t="shared" si="151"/>
        <v>0</v>
      </c>
      <c r="AD429" s="70" t="s">
        <v>388</v>
      </c>
      <c r="AE429" s="70"/>
      <c r="AF429" s="1">
        <v>6860000</v>
      </c>
      <c r="AG429" s="5">
        <f t="shared" si="132"/>
        <v>0</v>
      </c>
      <c r="AH429" s="5"/>
    </row>
    <row r="430" spans="1:34" s="1" customFormat="1" x14ac:dyDescent="0.25">
      <c r="A430" s="21">
        <v>34</v>
      </c>
      <c r="B430" s="22" t="s">
        <v>1691</v>
      </c>
      <c r="C430" s="22" t="s">
        <v>506</v>
      </c>
      <c r="D430" s="51" t="s">
        <v>483</v>
      </c>
      <c r="E430" s="24" t="s">
        <v>493</v>
      </c>
      <c r="F430" s="24"/>
      <c r="G430" s="24" t="s">
        <v>194</v>
      </c>
      <c r="H430" s="24" t="s">
        <v>62</v>
      </c>
      <c r="I430" s="24">
        <v>2012</v>
      </c>
      <c r="J430" s="24"/>
      <c r="K430" s="24" t="s">
        <v>63</v>
      </c>
      <c r="L430" s="24" t="s">
        <v>64</v>
      </c>
      <c r="M430" s="24">
        <v>1</v>
      </c>
      <c r="N430" s="41">
        <f t="shared" si="147"/>
        <v>3430000</v>
      </c>
      <c r="O430" s="41">
        <v>3430000</v>
      </c>
      <c r="P430" s="24"/>
      <c r="Q430" s="24"/>
      <c r="R430" s="24"/>
      <c r="S430" s="41">
        <f t="shared" si="150"/>
        <v>3430000</v>
      </c>
      <c r="T430" s="24">
        <v>5</v>
      </c>
      <c r="U430" s="41"/>
      <c r="V430" s="24">
        <v>0.5</v>
      </c>
      <c r="W430" s="41">
        <f t="shared" si="148"/>
        <v>0</v>
      </c>
      <c r="X430" s="24"/>
      <c r="Y430" s="41">
        <f t="shared" si="149"/>
        <v>0</v>
      </c>
      <c r="Z430" s="41">
        <f t="shared" si="143"/>
        <v>0</v>
      </c>
      <c r="AA430" s="24">
        <v>5</v>
      </c>
      <c r="AB430" s="41">
        <v>3430000</v>
      </c>
      <c r="AC430" s="41">
        <f t="shared" si="151"/>
        <v>0</v>
      </c>
      <c r="AD430" s="70" t="s">
        <v>385</v>
      </c>
      <c r="AE430" s="70"/>
      <c r="AF430" s="1">
        <v>3430000</v>
      </c>
      <c r="AG430" s="5">
        <f t="shared" si="132"/>
        <v>0</v>
      </c>
      <c r="AH430" s="5"/>
    </row>
    <row r="431" spans="1:34" s="1" customFormat="1" x14ac:dyDescent="0.25">
      <c r="A431" s="21">
        <v>35</v>
      </c>
      <c r="B431" s="22" t="s">
        <v>1691</v>
      </c>
      <c r="C431" s="22" t="s">
        <v>507</v>
      </c>
      <c r="D431" s="51" t="s">
        <v>483</v>
      </c>
      <c r="E431" s="24" t="s">
        <v>493</v>
      </c>
      <c r="F431" s="24"/>
      <c r="G431" s="24" t="s">
        <v>194</v>
      </c>
      <c r="H431" s="24" t="s">
        <v>62</v>
      </c>
      <c r="I431" s="24">
        <v>2012</v>
      </c>
      <c r="J431" s="24"/>
      <c r="K431" s="24" t="s">
        <v>63</v>
      </c>
      <c r="L431" s="24" t="s">
        <v>64</v>
      </c>
      <c r="M431" s="24">
        <v>1</v>
      </c>
      <c r="N431" s="41">
        <f t="shared" si="147"/>
        <v>3430000</v>
      </c>
      <c r="O431" s="41">
        <v>3430000</v>
      </c>
      <c r="P431" s="24"/>
      <c r="Q431" s="24"/>
      <c r="R431" s="24"/>
      <c r="S431" s="41">
        <f t="shared" si="150"/>
        <v>3430000</v>
      </c>
      <c r="T431" s="24">
        <v>5</v>
      </c>
      <c r="U431" s="41"/>
      <c r="V431" s="24">
        <v>0.5</v>
      </c>
      <c r="W431" s="41">
        <f t="shared" si="148"/>
        <v>0</v>
      </c>
      <c r="X431" s="24"/>
      <c r="Y431" s="41">
        <f t="shared" si="149"/>
        <v>0</v>
      </c>
      <c r="Z431" s="41">
        <f t="shared" si="143"/>
        <v>0</v>
      </c>
      <c r="AA431" s="24">
        <v>5</v>
      </c>
      <c r="AB431" s="41">
        <v>3430000</v>
      </c>
      <c r="AC431" s="41">
        <f t="shared" si="151"/>
        <v>0</v>
      </c>
      <c r="AD431" s="70" t="s">
        <v>311</v>
      </c>
      <c r="AE431" s="70"/>
      <c r="AF431" s="1">
        <v>3430000</v>
      </c>
      <c r="AG431" s="5">
        <f t="shared" si="132"/>
        <v>0</v>
      </c>
      <c r="AH431" s="5"/>
    </row>
    <row r="432" spans="1:34" s="1" customFormat="1" x14ac:dyDescent="0.25">
      <c r="A432" s="21">
        <v>36</v>
      </c>
      <c r="B432" s="22" t="s">
        <v>1691</v>
      </c>
      <c r="C432" s="22" t="s">
        <v>508</v>
      </c>
      <c r="D432" s="51" t="s">
        <v>483</v>
      </c>
      <c r="E432" s="24" t="s">
        <v>493</v>
      </c>
      <c r="F432" s="24"/>
      <c r="G432" s="24" t="s">
        <v>194</v>
      </c>
      <c r="H432" s="24" t="s">
        <v>62</v>
      </c>
      <c r="I432" s="24">
        <v>2012</v>
      </c>
      <c r="J432" s="24"/>
      <c r="K432" s="24" t="s">
        <v>63</v>
      </c>
      <c r="L432" s="24" t="s">
        <v>64</v>
      </c>
      <c r="M432" s="24">
        <v>1</v>
      </c>
      <c r="N432" s="41">
        <f t="shared" si="147"/>
        <v>3430000</v>
      </c>
      <c r="O432" s="41">
        <v>3430000</v>
      </c>
      <c r="P432" s="24"/>
      <c r="Q432" s="24"/>
      <c r="R432" s="24"/>
      <c r="S432" s="41">
        <f t="shared" si="150"/>
        <v>3430000</v>
      </c>
      <c r="T432" s="24">
        <v>5</v>
      </c>
      <c r="U432" s="41"/>
      <c r="V432" s="24">
        <v>0.5</v>
      </c>
      <c r="W432" s="41">
        <f t="shared" si="148"/>
        <v>0</v>
      </c>
      <c r="X432" s="24"/>
      <c r="Y432" s="41">
        <f t="shared" si="149"/>
        <v>0</v>
      </c>
      <c r="Z432" s="41">
        <f t="shared" si="143"/>
        <v>0</v>
      </c>
      <c r="AA432" s="24">
        <v>5</v>
      </c>
      <c r="AB432" s="41">
        <v>3430000</v>
      </c>
      <c r="AC432" s="41">
        <f t="shared" si="151"/>
        <v>0</v>
      </c>
      <c r="AD432" s="70" t="s">
        <v>217</v>
      </c>
      <c r="AE432" s="70"/>
      <c r="AF432" s="1">
        <v>3430000</v>
      </c>
      <c r="AG432" s="5">
        <f t="shared" si="132"/>
        <v>0</v>
      </c>
      <c r="AH432" s="5"/>
    </row>
    <row r="433" spans="1:34" s="1" customFormat="1" x14ac:dyDescent="0.25">
      <c r="A433" s="21">
        <v>37</v>
      </c>
      <c r="B433" s="22" t="s">
        <v>1691</v>
      </c>
      <c r="C433" s="22" t="s">
        <v>509</v>
      </c>
      <c r="D433" s="51" t="s">
        <v>483</v>
      </c>
      <c r="E433" s="24" t="s">
        <v>493</v>
      </c>
      <c r="F433" s="24"/>
      <c r="G433" s="24" t="s">
        <v>194</v>
      </c>
      <c r="H433" s="24" t="s">
        <v>62</v>
      </c>
      <c r="I433" s="24">
        <v>2012</v>
      </c>
      <c r="J433" s="24"/>
      <c r="K433" s="24" t="s">
        <v>63</v>
      </c>
      <c r="L433" s="24" t="s">
        <v>64</v>
      </c>
      <c r="M433" s="24">
        <v>4</v>
      </c>
      <c r="N433" s="41">
        <f t="shared" si="147"/>
        <v>3430000</v>
      </c>
      <c r="O433" s="41">
        <v>13720000</v>
      </c>
      <c r="P433" s="24"/>
      <c r="Q433" s="24"/>
      <c r="R433" s="24"/>
      <c r="S433" s="41">
        <f t="shared" si="150"/>
        <v>13720000</v>
      </c>
      <c r="T433" s="24">
        <v>5</v>
      </c>
      <c r="U433" s="41"/>
      <c r="V433" s="24">
        <v>0.5</v>
      </c>
      <c r="W433" s="41">
        <f t="shared" si="148"/>
        <v>0</v>
      </c>
      <c r="X433" s="24"/>
      <c r="Y433" s="41">
        <f t="shared" si="149"/>
        <v>0</v>
      </c>
      <c r="Z433" s="41">
        <f t="shared" si="143"/>
        <v>0</v>
      </c>
      <c r="AA433" s="24">
        <v>5</v>
      </c>
      <c r="AB433" s="41">
        <v>13720000</v>
      </c>
      <c r="AC433" s="41">
        <f t="shared" si="151"/>
        <v>0</v>
      </c>
      <c r="AD433" s="70" t="s">
        <v>301</v>
      </c>
      <c r="AE433" s="70"/>
      <c r="AF433" s="1">
        <v>13720000</v>
      </c>
      <c r="AG433" s="5">
        <f t="shared" si="132"/>
        <v>0</v>
      </c>
      <c r="AH433" s="5"/>
    </row>
    <row r="434" spans="1:34" s="1" customFormat="1" x14ac:dyDescent="0.25">
      <c r="A434" s="21">
        <v>38</v>
      </c>
      <c r="B434" s="22" t="s">
        <v>1691</v>
      </c>
      <c r="C434" s="22" t="s">
        <v>510</v>
      </c>
      <c r="D434" s="51" t="s">
        <v>511</v>
      </c>
      <c r="E434" s="24" t="s">
        <v>512</v>
      </c>
      <c r="F434" s="24"/>
      <c r="G434" s="24" t="s">
        <v>194</v>
      </c>
      <c r="H434" s="24" t="s">
        <v>62</v>
      </c>
      <c r="I434" s="24">
        <v>2013</v>
      </c>
      <c r="J434" s="24"/>
      <c r="K434" s="24" t="s">
        <v>63</v>
      </c>
      <c r="L434" s="24" t="s">
        <v>64</v>
      </c>
      <c r="M434" s="24">
        <v>1</v>
      </c>
      <c r="N434" s="41">
        <f t="shared" si="147"/>
        <v>5571200</v>
      </c>
      <c r="O434" s="41">
        <v>5571200</v>
      </c>
      <c r="P434" s="24"/>
      <c r="Q434" s="24"/>
      <c r="R434" s="24"/>
      <c r="S434" s="41">
        <f t="shared" si="150"/>
        <v>5571200</v>
      </c>
      <c r="T434" s="24">
        <v>5</v>
      </c>
      <c r="U434" s="41"/>
      <c r="V434" s="24">
        <v>0.5</v>
      </c>
      <c r="W434" s="41">
        <f t="shared" si="148"/>
        <v>0</v>
      </c>
      <c r="X434" s="24"/>
      <c r="Y434" s="41">
        <f t="shared" si="149"/>
        <v>0</v>
      </c>
      <c r="Z434" s="41">
        <f t="shared" si="143"/>
        <v>0</v>
      </c>
      <c r="AA434" s="24">
        <v>5</v>
      </c>
      <c r="AB434" s="41">
        <v>5571200</v>
      </c>
      <c r="AC434" s="41">
        <f t="shared" si="151"/>
        <v>0</v>
      </c>
      <c r="AD434" s="70" t="s">
        <v>218</v>
      </c>
      <c r="AE434" s="70"/>
      <c r="AF434" s="1">
        <v>5571200</v>
      </c>
      <c r="AG434" s="5">
        <f t="shared" si="132"/>
        <v>0</v>
      </c>
      <c r="AH434" s="5"/>
    </row>
    <row r="435" spans="1:34" s="1" customFormat="1" x14ac:dyDescent="0.25">
      <c r="A435" s="21">
        <v>39</v>
      </c>
      <c r="B435" s="22" t="s">
        <v>1691</v>
      </c>
      <c r="C435" s="22" t="s">
        <v>513</v>
      </c>
      <c r="D435" s="51" t="s">
        <v>511</v>
      </c>
      <c r="E435" s="24" t="s">
        <v>512</v>
      </c>
      <c r="F435" s="24"/>
      <c r="G435" s="24" t="s">
        <v>194</v>
      </c>
      <c r="H435" s="24" t="s">
        <v>62</v>
      </c>
      <c r="I435" s="24">
        <v>2013</v>
      </c>
      <c r="J435" s="24"/>
      <c r="K435" s="24" t="s">
        <v>63</v>
      </c>
      <c r="L435" s="24" t="s">
        <v>64</v>
      </c>
      <c r="M435" s="24">
        <v>1</v>
      </c>
      <c r="N435" s="41">
        <f t="shared" si="147"/>
        <v>5571200</v>
      </c>
      <c r="O435" s="41">
        <v>5571200</v>
      </c>
      <c r="P435" s="24"/>
      <c r="Q435" s="24"/>
      <c r="R435" s="24"/>
      <c r="S435" s="41">
        <f t="shared" si="150"/>
        <v>5571200</v>
      </c>
      <c r="T435" s="24">
        <v>5</v>
      </c>
      <c r="U435" s="41"/>
      <c r="V435" s="24">
        <v>0.5</v>
      </c>
      <c r="W435" s="41">
        <f t="shared" si="148"/>
        <v>0</v>
      </c>
      <c r="X435" s="24"/>
      <c r="Y435" s="41">
        <f t="shared" si="149"/>
        <v>0</v>
      </c>
      <c r="Z435" s="41">
        <f t="shared" si="143"/>
        <v>0</v>
      </c>
      <c r="AA435" s="24">
        <v>5</v>
      </c>
      <c r="AB435" s="41">
        <v>5571200</v>
      </c>
      <c r="AC435" s="41">
        <f t="shared" si="151"/>
        <v>0</v>
      </c>
      <c r="AD435" s="70" t="s">
        <v>219</v>
      </c>
      <c r="AE435" s="70"/>
      <c r="AF435" s="1">
        <v>5571200</v>
      </c>
      <c r="AG435" s="5">
        <f t="shared" si="132"/>
        <v>0</v>
      </c>
      <c r="AH435" s="5"/>
    </row>
    <row r="436" spans="1:34" s="1" customFormat="1" x14ac:dyDescent="0.25">
      <c r="A436" s="21">
        <v>40</v>
      </c>
      <c r="B436" s="22" t="s">
        <v>1691</v>
      </c>
      <c r="C436" s="22" t="s">
        <v>514</v>
      </c>
      <c r="D436" s="51" t="s">
        <v>511</v>
      </c>
      <c r="E436" s="24" t="s">
        <v>512</v>
      </c>
      <c r="F436" s="24"/>
      <c r="G436" s="24" t="s">
        <v>194</v>
      </c>
      <c r="H436" s="24" t="s">
        <v>62</v>
      </c>
      <c r="I436" s="24">
        <v>2013</v>
      </c>
      <c r="J436" s="24"/>
      <c r="K436" s="24" t="s">
        <v>63</v>
      </c>
      <c r="L436" s="24" t="s">
        <v>64</v>
      </c>
      <c r="M436" s="24">
        <v>1</v>
      </c>
      <c r="N436" s="41">
        <f t="shared" si="147"/>
        <v>5571200</v>
      </c>
      <c r="O436" s="41">
        <v>5571200</v>
      </c>
      <c r="P436" s="24"/>
      <c r="Q436" s="24"/>
      <c r="R436" s="24"/>
      <c r="S436" s="41">
        <f t="shared" si="150"/>
        <v>5571200</v>
      </c>
      <c r="T436" s="24">
        <v>5</v>
      </c>
      <c r="U436" s="41"/>
      <c r="V436" s="24">
        <v>0.5</v>
      </c>
      <c r="W436" s="41">
        <f t="shared" si="148"/>
        <v>0</v>
      </c>
      <c r="X436" s="24"/>
      <c r="Y436" s="41">
        <f t="shared" si="149"/>
        <v>0</v>
      </c>
      <c r="Z436" s="41">
        <f t="shared" si="143"/>
        <v>0</v>
      </c>
      <c r="AA436" s="24">
        <v>5</v>
      </c>
      <c r="AB436" s="41">
        <v>5571200</v>
      </c>
      <c r="AC436" s="41">
        <f t="shared" si="151"/>
        <v>0</v>
      </c>
      <c r="AD436" s="70" t="s">
        <v>220</v>
      </c>
      <c r="AE436" s="70"/>
      <c r="AF436" s="1">
        <v>5571200</v>
      </c>
      <c r="AG436" s="5">
        <f t="shared" si="132"/>
        <v>0</v>
      </c>
      <c r="AH436" s="5"/>
    </row>
    <row r="437" spans="1:34" s="1" customFormat="1" x14ac:dyDescent="0.25">
      <c r="A437" s="21">
        <v>41</v>
      </c>
      <c r="B437" s="22" t="s">
        <v>1691</v>
      </c>
      <c r="C437" s="22" t="s">
        <v>515</v>
      </c>
      <c r="D437" s="51" t="s">
        <v>511</v>
      </c>
      <c r="E437" s="24" t="s">
        <v>512</v>
      </c>
      <c r="F437" s="24"/>
      <c r="G437" s="24" t="s">
        <v>194</v>
      </c>
      <c r="H437" s="24" t="s">
        <v>62</v>
      </c>
      <c r="I437" s="24">
        <v>2013</v>
      </c>
      <c r="J437" s="24"/>
      <c r="K437" s="24" t="s">
        <v>63</v>
      </c>
      <c r="L437" s="24" t="s">
        <v>64</v>
      </c>
      <c r="M437" s="24">
        <v>1</v>
      </c>
      <c r="N437" s="41">
        <f t="shared" si="147"/>
        <v>5571200</v>
      </c>
      <c r="O437" s="41">
        <v>5571200</v>
      </c>
      <c r="P437" s="24"/>
      <c r="Q437" s="24"/>
      <c r="R437" s="24"/>
      <c r="S437" s="41">
        <f t="shared" si="150"/>
        <v>5571200</v>
      </c>
      <c r="T437" s="24">
        <v>5</v>
      </c>
      <c r="U437" s="41"/>
      <c r="V437" s="24">
        <v>0.5</v>
      </c>
      <c r="W437" s="41">
        <f t="shared" si="148"/>
        <v>0</v>
      </c>
      <c r="X437" s="24"/>
      <c r="Y437" s="41">
        <f t="shared" si="149"/>
        <v>0</v>
      </c>
      <c r="Z437" s="41">
        <f t="shared" si="143"/>
        <v>0</v>
      </c>
      <c r="AA437" s="24">
        <v>5</v>
      </c>
      <c r="AB437" s="41">
        <v>5571200</v>
      </c>
      <c r="AC437" s="41">
        <f t="shared" si="151"/>
        <v>0</v>
      </c>
      <c r="AD437" s="70" t="s">
        <v>221</v>
      </c>
      <c r="AE437" s="70"/>
      <c r="AF437" s="1">
        <v>5571200</v>
      </c>
      <c r="AG437" s="5">
        <f t="shared" si="132"/>
        <v>0</v>
      </c>
      <c r="AH437" s="5"/>
    </row>
    <row r="438" spans="1:34" s="1" customFormat="1" x14ac:dyDescent="0.25">
      <c r="A438" s="21">
        <v>42</v>
      </c>
      <c r="B438" s="22" t="s">
        <v>1691</v>
      </c>
      <c r="C438" s="22" t="s">
        <v>516</v>
      </c>
      <c r="D438" s="51" t="s">
        <v>517</v>
      </c>
      <c r="E438" s="24" t="s">
        <v>512</v>
      </c>
      <c r="F438" s="24"/>
      <c r="G438" s="24" t="s">
        <v>194</v>
      </c>
      <c r="H438" s="24" t="s">
        <v>62</v>
      </c>
      <c r="I438" s="24">
        <v>2013</v>
      </c>
      <c r="J438" s="24"/>
      <c r="K438" s="24" t="s">
        <v>63</v>
      </c>
      <c r="L438" s="24" t="s">
        <v>64</v>
      </c>
      <c r="M438" s="24">
        <v>1</v>
      </c>
      <c r="N438" s="41">
        <f t="shared" si="147"/>
        <v>4911100</v>
      </c>
      <c r="O438" s="41">
        <v>4911100</v>
      </c>
      <c r="P438" s="24"/>
      <c r="Q438" s="24"/>
      <c r="R438" s="24"/>
      <c r="S438" s="41">
        <f t="shared" si="150"/>
        <v>4911100</v>
      </c>
      <c r="T438" s="24">
        <v>5</v>
      </c>
      <c r="U438" s="41"/>
      <c r="V438" s="24">
        <v>0.5</v>
      </c>
      <c r="W438" s="41">
        <f t="shared" si="148"/>
        <v>0</v>
      </c>
      <c r="X438" s="24"/>
      <c r="Y438" s="41">
        <f t="shared" si="149"/>
        <v>0</v>
      </c>
      <c r="Z438" s="41">
        <f t="shared" si="143"/>
        <v>0</v>
      </c>
      <c r="AA438" s="24">
        <v>5</v>
      </c>
      <c r="AB438" s="41">
        <v>4911100</v>
      </c>
      <c r="AC438" s="41">
        <f t="shared" si="151"/>
        <v>0</v>
      </c>
      <c r="AD438" s="70" t="s">
        <v>218</v>
      </c>
      <c r="AE438" s="70"/>
      <c r="AF438" s="1">
        <v>4911100</v>
      </c>
      <c r="AG438" s="5">
        <f t="shared" si="132"/>
        <v>0</v>
      </c>
      <c r="AH438" s="5"/>
    </row>
    <row r="439" spans="1:34" s="1" customFormat="1" x14ac:dyDescent="0.25">
      <c r="A439" s="21">
        <v>43</v>
      </c>
      <c r="B439" s="22" t="s">
        <v>1691</v>
      </c>
      <c r="C439" s="22" t="s">
        <v>518</v>
      </c>
      <c r="D439" s="51" t="s">
        <v>517</v>
      </c>
      <c r="E439" s="24" t="s">
        <v>512</v>
      </c>
      <c r="F439" s="24"/>
      <c r="G439" s="24" t="s">
        <v>194</v>
      </c>
      <c r="H439" s="24" t="s">
        <v>62</v>
      </c>
      <c r="I439" s="24">
        <v>2013</v>
      </c>
      <c r="J439" s="24"/>
      <c r="K439" s="24" t="s">
        <v>63</v>
      </c>
      <c r="L439" s="24" t="s">
        <v>64</v>
      </c>
      <c r="M439" s="24">
        <v>1</v>
      </c>
      <c r="N439" s="41">
        <f t="shared" si="147"/>
        <v>4911100</v>
      </c>
      <c r="O439" s="41">
        <v>4911100</v>
      </c>
      <c r="P439" s="24"/>
      <c r="Q439" s="24"/>
      <c r="R439" s="24"/>
      <c r="S439" s="41">
        <f t="shared" si="150"/>
        <v>4911100</v>
      </c>
      <c r="T439" s="24">
        <v>5</v>
      </c>
      <c r="U439" s="41"/>
      <c r="V439" s="24">
        <v>0.5</v>
      </c>
      <c r="W439" s="41">
        <f t="shared" si="148"/>
        <v>0</v>
      </c>
      <c r="X439" s="24"/>
      <c r="Y439" s="41">
        <f t="shared" si="149"/>
        <v>0</v>
      </c>
      <c r="Z439" s="41">
        <f t="shared" si="143"/>
        <v>0</v>
      </c>
      <c r="AA439" s="24">
        <v>5</v>
      </c>
      <c r="AB439" s="41">
        <v>4911100</v>
      </c>
      <c r="AC439" s="41">
        <f t="shared" si="151"/>
        <v>0</v>
      </c>
      <c r="AD439" s="70" t="s">
        <v>219</v>
      </c>
      <c r="AE439" s="70"/>
      <c r="AF439" s="1">
        <v>4911100</v>
      </c>
      <c r="AG439" s="5">
        <f t="shared" si="132"/>
        <v>0</v>
      </c>
      <c r="AH439" s="5"/>
    </row>
    <row r="440" spans="1:34" s="1" customFormat="1" x14ac:dyDescent="0.25">
      <c r="A440" s="21">
        <v>44</v>
      </c>
      <c r="B440" s="22" t="s">
        <v>1691</v>
      </c>
      <c r="C440" s="22" t="s">
        <v>519</v>
      </c>
      <c r="D440" s="51" t="s">
        <v>517</v>
      </c>
      <c r="E440" s="24" t="s">
        <v>512</v>
      </c>
      <c r="F440" s="24"/>
      <c r="G440" s="24" t="s">
        <v>194</v>
      </c>
      <c r="H440" s="24" t="s">
        <v>62</v>
      </c>
      <c r="I440" s="24">
        <v>2013</v>
      </c>
      <c r="J440" s="24"/>
      <c r="K440" s="24" t="s">
        <v>63</v>
      </c>
      <c r="L440" s="24" t="s">
        <v>64</v>
      </c>
      <c r="M440" s="24">
        <v>1</v>
      </c>
      <c r="N440" s="41">
        <f t="shared" si="147"/>
        <v>4911100</v>
      </c>
      <c r="O440" s="41">
        <v>4911100</v>
      </c>
      <c r="P440" s="24"/>
      <c r="Q440" s="24"/>
      <c r="R440" s="24"/>
      <c r="S440" s="41">
        <f t="shared" si="150"/>
        <v>4911100</v>
      </c>
      <c r="T440" s="24">
        <v>5</v>
      </c>
      <c r="U440" s="41"/>
      <c r="V440" s="24">
        <v>0.5</v>
      </c>
      <c r="W440" s="41">
        <f t="shared" si="148"/>
        <v>0</v>
      </c>
      <c r="X440" s="24"/>
      <c r="Y440" s="41">
        <f t="shared" si="149"/>
        <v>0</v>
      </c>
      <c r="Z440" s="41">
        <f t="shared" si="143"/>
        <v>0</v>
      </c>
      <c r="AA440" s="24">
        <v>5</v>
      </c>
      <c r="AB440" s="41">
        <v>4911100</v>
      </c>
      <c r="AC440" s="41">
        <f t="shared" si="151"/>
        <v>0</v>
      </c>
      <c r="AD440" s="70" t="s">
        <v>220</v>
      </c>
      <c r="AE440" s="70"/>
      <c r="AF440" s="1">
        <v>4911100</v>
      </c>
      <c r="AG440" s="5">
        <f t="shared" si="132"/>
        <v>0</v>
      </c>
      <c r="AH440" s="5"/>
    </row>
    <row r="441" spans="1:34" s="1" customFormat="1" x14ac:dyDescent="0.25">
      <c r="A441" s="21">
        <v>45</v>
      </c>
      <c r="B441" s="22" t="s">
        <v>1691</v>
      </c>
      <c r="C441" s="22" t="s">
        <v>520</v>
      </c>
      <c r="D441" s="51" t="s">
        <v>517</v>
      </c>
      <c r="E441" s="24" t="s">
        <v>512</v>
      </c>
      <c r="F441" s="24"/>
      <c r="G441" s="24" t="s">
        <v>194</v>
      </c>
      <c r="H441" s="24" t="s">
        <v>62</v>
      </c>
      <c r="I441" s="24">
        <v>2013</v>
      </c>
      <c r="J441" s="24"/>
      <c r="K441" s="24" t="s">
        <v>63</v>
      </c>
      <c r="L441" s="24" t="s">
        <v>64</v>
      </c>
      <c r="M441" s="24">
        <v>1</v>
      </c>
      <c r="N441" s="41">
        <f t="shared" si="147"/>
        <v>4911100</v>
      </c>
      <c r="O441" s="41">
        <v>4911100</v>
      </c>
      <c r="P441" s="24"/>
      <c r="Q441" s="24"/>
      <c r="R441" s="24"/>
      <c r="S441" s="41">
        <f t="shared" si="150"/>
        <v>4911100</v>
      </c>
      <c r="T441" s="24">
        <v>5</v>
      </c>
      <c r="U441" s="41"/>
      <c r="V441" s="24">
        <v>0.5</v>
      </c>
      <c r="W441" s="41">
        <f t="shared" si="148"/>
        <v>0</v>
      </c>
      <c r="X441" s="24"/>
      <c r="Y441" s="41">
        <f t="shared" si="149"/>
        <v>0</v>
      </c>
      <c r="Z441" s="41">
        <f t="shared" si="143"/>
        <v>0</v>
      </c>
      <c r="AA441" s="24">
        <v>5</v>
      </c>
      <c r="AB441" s="41">
        <v>4911100</v>
      </c>
      <c r="AC441" s="41">
        <f t="shared" si="151"/>
        <v>0</v>
      </c>
      <c r="AD441" s="70" t="s">
        <v>221</v>
      </c>
      <c r="AE441" s="70"/>
      <c r="AF441" s="1">
        <v>4911100</v>
      </c>
      <c r="AG441" s="5">
        <f t="shared" si="132"/>
        <v>0</v>
      </c>
      <c r="AH441" s="5"/>
    </row>
    <row r="442" spans="1:34" s="1" customFormat="1" x14ac:dyDescent="0.25">
      <c r="A442" s="21">
        <v>46</v>
      </c>
      <c r="B442" s="22" t="s">
        <v>1691</v>
      </c>
      <c r="C442" s="22" t="s">
        <v>521</v>
      </c>
      <c r="D442" s="51" t="s">
        <v>522</v>
      </c>
      <c r="E442" s="24" t="s">
        <v>512</v>
      </c>
      <c r="F442" s="24"/>
      <c r="G442" s="24" t="s">
        <v>194</v>
      </c>
      <c r="H442" s="24" t="s">
        <v>62</v>
      </c>
      <c r="I442" s="24">
        <v>2013</v>
      </c>
      <c r="J442" s="24"/>
      <c r="K442" s="24" t="s">
        <v>63</v>
      </c>
      <c r="L442" s="24" t="s">
        <v>64</v>
      </c>
      <c r="M442" s="24">
        <v>2</v>
      </c>
      <c r="N442" s="41">
        <f t="shared" si="147"/>
        <v>4691200</v>
      </c>
      <c r="O442" s="41">
        <v>9382400</v>
      </c>
      <c r="P442" s="24"/>
      <c r="Q442" s="24"/>
      <c r="R442" s="24"/>
      <c r="S442" s="41">
        <f t="shared" si="150"/>
        <v>9382400</v>
      </c>
      <c r="T442" s="24">
        <v>5</v>
      </c>
      <c r="U442" s="41"/>
      <c r="V442" s="24">
        <v>0.5</v>
      </c>
      <c r="W442" s="41">
        <f t="shared" si="148"/>
        <v>0</v>
      </c>
      <c r="X442" s="24"/>
      <c r="Y442" s="41">
        <f t="shared" si="149"/>
        <v>0</v>
      </c>
      <c r="Z442" s="41">
        <f t="shared" si="143"/>
        <v>0</v>
      </c>
      <c r="AA442" s="24">
        <v>5</v>
      </c>
      <c r="AB442" s="41">
        <v>9382400</v>
      </c>
      <c r="AC442" s="41">
        <f t="shared" si="151"/>
        <v>0</v>
      </c>
      <c r="AD442" s="70" t="s">
        <v>218</v>
      </c>
      <c r="AE442" s="70"/>
      <c r="AF442" s="1">
        <v>9382400</v>
      </c>
      <c r="AG442" s="5">
        <f t="shared" si="132"/>
        <v>0</v>
      </c>
      <c r="AH442" s="5"/>
    </row>
    <row r="443" spans="1:34" s="1" customFormat="1" x14ac:dyDescent="0.25">
      <c r="A443" s="21">
        <v>47</v>
      </c>
      <c r="B443" s="22" t="s">
        <v>1691</v>
      </c>
      <c r="C443" s="22" t="s">
        <v>523</v>
      </c>
      <c r="D443" s="51" t="s">
        <v>522</v>
      </c>
      <c r="E443" s="24" t="s">
        <v>512</v>
      </c>
      <c r="F443" s="24"/>
      <c r="G443" s="24" t="s">
        <v>194</v>
      </c>
      <c r="H443" s="24" t="s">
        <v>62</v>
      </c>
      <c r="I443" s="24">
        <v>2013</v>
      </c>
      <c r="J443" s="24"/>
      <c r="K443" s="24" t="s">
        <v>63</v>
      </c>
      <c r="L443" s="24" t="s">
        <v>64</v>
      </c>
      <c r="M443" s="24">
        <v>2</v>
      </c>
      <c r="N443" s="41">
        <f t="shared" si="147"/>
        <v>4691200</v>
      </c>
      <c r="O443" s="41">
        <v>9382400</v>
      </c>
      <c r="P443" s="24"/>
      <c r="Q443" s="24"/>
      <c r="R443" s="24"/>
      <c r="S443" s="41">
        <f t="shared" si="150"/>
        <v>9382400</v>
      </c>
      <c r="T443" s="24">
        <v>5</v>
      </c>
      <c r="U443" s="41"/>
      <c r="V443" s="24">
        <v>0.5</v>
      </c>
      <c r="W443" s="41">
        <f t="shared" si="148"/>
        <v>0</v>
      </c>
      <c r="X443" s="24"/>
      <c r="Y443" s="41">
        <f t="shared" si="149"/>
        <v>0</v>
      </c>
      <c r="Z443" s="41">
        <f t="shared" si="143"/>
        <v>0</v>
      </c>
      <c r="AA443" s="24">
        <v>5</v>
      </c>
      <c r="AB443" s="41">
        <v>9382400</v>
      </c>
      <c r="AC443" s="41">
        <f t="shared" si="151"/>
        <v>0</v>
      </c>
      <c r="AD443" s="70" t="s">
        <v>219</v>
      </c>
      <c r="AE443" s="70"/>
      <c r="AF443" s="1">
        <v>9382400</v>
      </c>
      <c r="AG443" s="5">
        <f t="shared" si="132"/>
        <v>0</v>
      </c>
      <c r="AH443" s="5"/>
    </row>
    <row r="444" spans="1:34" s="1" customFormat="1" x14ac:dyDescent="0.25">
      <c r="A444" s="21">
        <v>48</v>
      </c>
      <c r="B444" s="22" t="s">
        <v>1691</v>
      </c>
      <c r="C444" s="22" t="s">
        <v>524</v>
      </c>
      <c r="D444" s="51" t="s">
        <v>522</v>
      </c>
      <c r="E444" s="24" t="s">
        <v>512</v>
      </c>
      <c r="F444" s="24"/>
      <c r="G444" s="24" t="s">
        <v>194</v>
      </c>
      <c r="H444" s="24" t="s">
        <v>62</v>
      </c>
      <c r="I444" s="24">
        <v>2013</v>
      </c>
      <c r="J444" s="24"/>
      <c r="K444" s="24" t="s">
        <v>63</v>
      </c>
      <c r="L444" s="24" t="s">
        <v>64</v>
      </c>
      <c r="M444" s="24">
        <v>2</v>
      </c>
      <c r="N444" s="41">
        <f t="shared" si="147"/>
        <v>4691200</v>
      </c>
      <c r="O444" s="41">
        <v>9382400</v>
      </c>
      <c r="P444" s="24"/>
      <c r="Q444" s="24"/>
      <c r="R444" s="24"/>
      <c r="S444" s="41">
        <f t="shared" si="150"/>
        <v>9382400</v>
      </c>
      <c r="T444" s="24">
        <v>5</v>
      </c>
      <c r="U444" s="41"/>
      <c r="V444" s="24">
        <v>0.5</v>
      </c>
      <c r="W444" s="41">
        <f t="shared" si="148"/>
        <v>0</v>
      </c>
      <c r="X444" s="24"/>
      <c r="Y444" s="41">
        <f t="shared" si="149"/>
        <v>0</v>
      </c>
      <c r="Z444" s="41">
        <f t="shared" si="143"/>
        <v>0</v>
      </c>
      <c r="AA444" s="24">
        <v>5</v>
      </c>
      <c r="AB444" s="41">
        <v>9382400</v>
      </c>
      <c r="AC444" s="41">
        <f t="shared" si="151"/>
        <v>0</v>
      </c>
      <c r="AD444" s="70" t="s">
        <v>220</v>
      </c>
      <c r="AE444" s="70"/>
      <c r="AF444" s="1">
        <v>9382400</v>
      </c>
      <c r="AG444" s="5">
        <f t="shared" si="132"/>
        <v>0</v>
      </c>
      <c r="AH444" s="5"/>
    </row>
    <row r="445" spans="1:34" s="1" customFormat="1" x14ac:dyDescent="0.25">
      <c r="A445" s="21">
        <v>49</v>
      </c>
      <c r="B445" s="22" t="s">
        <v>1691</v>
      </c>
      <c r="C445" s="22" t="s">
        <v>525</v>
      </c>
      <c r="D445" s="51" t="s">
        <v>522</v>
      </c>
      <c r="E445" s="24" t="s">
        <v>512</v>
      </c>
      <c r="F445" s="24"/>
      <c r="G445" s="24" t="s">
        <v>194</v>
      </c>
      <c r="H445" s="24" t="s">
        <v>62</v>
      </c>
      <c r="I445" s="24">
        <v>2013</v>
      </c>
      <c r="J445" s="24"/>
      <c r="K445" s="24" t="s">
        <v>63</v>
      </c>
      <c r="L445" s="24" t="s">
        <v>64</v>
      </c>
      <c r="M445" s="24">
        <v>2</v>
      </c>
      <c r="N445" s="41">
        <f t="shared" si="147"/>
        <v>4691200</v>
      </c>
      <c r="O445" s="41">
        <v>9382400</v>
      </c>
      <c r="P445" s="24"/>
      <c r="Q445" s="24"/>
      <c r="R445" s="24"/>
      <c r="S445" s="41">
        <f t="shared" si="150"/>
        <v>9382400</v>
      </c>
      <c r="T445" s="24">
        <v>5</v>
      </c>
      <c r="U445" s="41"/>
      <c r="V445" s="24">
        <v>0.5</v>
      </c>
      <c r="W445" s="41">
        <f t="shared" si="148"/>
        <v>0</v>
      </c>
      <c r="X445" s="24"/>
      <c r="Y445" s="41">
        <f t="shared" si="149"/>
        <v>0</v>
      </c>
      <c r="Z445" s="41">
        <f t="shared" si="143"/>
        <v>0</v>
      </c>
      <c r="AA445" s="24">
        <v>5</v>
      </c>
      <c r="AB445" s="41">
        <v>9382400</v>
      </c>
      <c r="AC445" s="78">
        <f t="shared" si="151"/>
        <v>0</v>
      </c>
      <c r="AD445" s="70" t="s">
        <v>221</v>
      </c>
      <c r="AE445" s="70"/>
      <c r="AF445" s="1">
        <v>9382400</v>
      </c>
      <c r="AG445" s="5">
        <f t="shared" ref="AG445:AG508" si="152">AF445+Z445-AB445</f>
        <v>0</v>
      </c>
      <c r="AH445" s="5"/>
    </row>
    <row r="446" spans="1:34" s="1" customFormat="1" x14ac:dyDescent="0.25">
      <c r="A446" s="21">
        <v>50</v>
      </c>
      <c r="B446" s="22" t="s">
        <v>1691</v>
      </c>
      <c r="C446" s="22" t="s">
        <v>526</v>
      </c>
      <c r="D446" s="51" t="s">
        <v>522</v>
      </c>
      <c r="E446" s="24" t="s">
        <v>512</v>
      </c>
      <c r="F446" s="24"/>
      <c r="G446" s="24" t="s">
        <v>194</v>
      </c>
      <c r="H446" s="24" t="s">
        <v>62</v>
      </c>
      <c r="I446" s="24">
        <v>2013</v>
      </c>
      <c r="J446" s="24"/>
      <c r="K446" s="24" t="s">
        <v>63</v>
      </c>
      <c r="L446" s="24" t="s">
        <v>64</v>
      </c>
      <c r="M446" s="24">
        <v>1</v>
      </c>
      <c r="N446" s="41">
        <f t="shared" si="147"/>
        <v>4691200</v>
      </c>
      <c r="O446" s="41">
        <v>4691200</v>
      </c>
      <c r="P446" s="24"/>
      <c r="Q446" s="24"/>
      <c r="R446" s="24"/>
      <c r="S446" s="41">
        <f t="shared" si="150"/>
        <v>4691200</v>
      </c>
      <c r="T446" s="24">
        <v>5</v>
      </c>
      <c r="U446" s="41"/>
      <c r="V446" s="24">
        <v>0.5</v>
      </c>
      <c r="W446" s="41">
        <f t="shared" si="148"/>
        <v>0</v>
      </c>
      <c r="X446" s="24"/>
      <c r="Y446" s="41">
        <f t="shared" si="149"/>
        <v>0</v>
      </c>
      <c r="Z446" s="41">
        <f t="shared" si="143"/>
        <v>0</v>
      </c>
      <c r="AA446" s="24">
        <v>5</v>
      </c>
      <c r="AB446" s="41">
        <v>4691200</v>
      </c>
      <c r="AC446" s="78">
        <f t="shared" si="151"/>
        <v>0</v>
      </c>
      <c r="AD446" s="70" t="s">
        <v>527</v>
      </c>
      <c r="AE446" s="70"/>
      <c r="AF446" s="1">
        <v>4691200</v>
      </c>
      <c r="AG446" s="5">
        <f t="shared" si="152"/>
        <v>0</v>
      </c>
      <c r="AH446" s="5"/>
    </row>
    <row r="447" spans="1:34" s="1" customFormat="1" x14ac:dyDescent="0.25">
      <c r="A447" s="21">
        <v>51</v>
      </c>
      <c r="B447" s="22" t="s">
        <v>1691</v>
      </c>
      <c r="C447" s="22" t="s">
        <v>528</v>
      </c>
      <c r="D447" s="51" t="s">
        <v>511</v>
      </c>
      <c r="E447" s="24" t="s">
        <v>512</v>
      </c>
      <c r="F447" s="24"/>
      <c r="G447" s="24" t="s">
        <v>194</v>
      </c>
      <c r="H447" s="24" t="s">
        <v>62</v>
      </c>
      <c r="I447" s="24">
        <v>2013</v>
      </c>
      <c r="J447" s="24"/>
      <c r="K447" s="24" t="s">
        <v>63</v>
      </c>
      <c r="L447" s="24" t="s">
        <v>64</v>
      </c>
      <c r="M447" s="24">
        <v>2</v>
      </c>
      <c r="N447" s="41">
        <f t="shared" si="147"/>
        <v>6016153.8449999997</v>
      </c>
      <c r="O447" s="41">
        <v>12032307.689999999</v>
      </c>
      <c r="P447" s="24"/>
      <c r="Q447" s="24"/>
      <c r="R447" s="24"/>
      <c r="S447" s="41">
        <f t="shared" si="150"/>
        <v>12032307.689999999</v>
      </c>
      <c r="T447" s="24">
        <v>5</v>
      </c>
      <c r="U447" s="41"/>
      <c r="V447" s="24">
        <v>0.5</v>
      </c>
      <c r="W447" s="41">
        <f t="shared" si="148"/>
        <v>0</v>
      </c>
      <c r="X447" s="24"/>
      <c r="Y447" s="41">
        <f t="shared" si="149"/>
        <v>0</v>
      </c>
      <c r="Z447" s="41">
        <f t="shared" si="143"/>
        <v>0</v>
      </c>
      <c r="AA447" s="24">
        <v>5</v>
      </c>
      <c r="AB447" s="41">
        <v>12032307.689999998</v>
      </c>
      <c r="AC447" s="41">
        <f t="shared" si="151"/>
        <v>1.862645149230957E-9</v>
      </c>
      <c r="AD447" s="70" t="s">
        <v>335</v>
      </c>
      <c r="AE447" s="70"/>
      <c r="AF447" s="1">
        <v>12032307.689999998</v>
      </c>
      <c r="AG447" s="5">
        <f t="shared" si="152"/>
        <v>0</v>
      </c>
      <c r="AH447" s="5"/>
    </row>
    <row r="448" spans="1:34" s="1" customFormat="1" x14ac:dyDescent="0.25">
      <c r="A448" s="21">
        <v>52</v>
      </c>
      <c r="B448" s="22" t="s">
        <v>1691</v>
      </c>
      <c r="C448" s="22" t="s">
        <v>529</v>
      </c>
      <c r="D448" s="51" t="s">
        <v>511</v>
      </c>
      <c r="E448" s="24" t="s">
        <v>512</v>
      </c>
      <c r="F448" s="24"/>
      <c r="G448" s="24" t="s">
        <v>194</v>
      </c>
      <c r="H448" s="24" t="s">
        <v>62</v>
      </c>
      <c r="I448" s="24">
        <v>2013</v>
      </c>
      <c r="J448" s="24"/>
      <c r="K448" s="24" t="s">
        <v>63</v>
      </c>
      <c r="L448" s="24" t="s">
        <v>64</v>
      </c>
      <c r="M448" s="24">
        <v>2</v>
      </c>
      <c r="N448" s="41">
        <f t="shared" si="147"/>
        <v>6016153.8449999997</v>
      </c>
      <c r="O448" s="41">
        <v>12032307.689999999</v>
      </c>
      <c r="P448" s="24"/>
      <c r="Q448" s="24"/>
      <c r="R448" s="24"/>
      <c r="S448" s="41">
        <f t="shared" si="150"/>
        <v>12032307.689999999</v>
      </c>
      <c r="T448" s="24">
        <v>5</v>
      </c>
      <c r="U448" s="41"/>
      <c r="V448" s="24">
        <v>0.5</v>
      </c>
      <c r="W448" s="41">
        <f t="shared" si="148"/>
        <v>0</v>
      </c>
      <c r="X448" s="24"/>
      <c r="Y448" s="41">
        <f t="shared" si="149"/>
        <v>0</v>
      </c>
      <c r="Z448" s="41">
        <f t="shared" si="143"/>
        <v>0</v>
      </c>
      <c r="AA448" s="24">
        <v>5</v>
      </c>
      <c r="AB448" s="41">
        <v>12032307.689999998</v>
      </c>
      <c r="AC448" s="41">
        <f t="shared" si="151"/>
        <v>1.862645149230957E-9</v>
      </c>
      <c r="AD448" s="70" t="s">
        <v>311</v>
      </c>
      <c r="AE448" s="70"/>
      <c r="AF448" s="1">
        <v>12032307.689999998</v>
      </c>
      <c r="AG448" s="5">
        <f t="shared" si="152"/>
        <v>0</v>
      </c>
      <c r="AH448" s="5"/>
    </row>
    <row r="449" spans="1:34" s="1" customFormat="1" x14ac:dyDescent="0.25">
      <c r="A449" s="21">
        <v>53</v>
      </c>
      <c r="B449" s="22" t="s">
        <v>1691</v>
      </c>
      <c r="C449" s="22" t="s">
        <v>530</v>
      </c>
      <c r="D449" s="51" t="s">
        <v>511</v>
      </c>
      <c r="E449" s="24" t="s">
        <v>512</v>
      </c>
      <c r="F449" s="24"/>
      <c r="G449" s="24" t="s">
        <v>194</v>
      </c>
      <c r="H449" s="24" t="s">
        <v>62</v>
      </c>
      <c r="I449" s="24">
        <v>2013</v>
      </c>
      <c r="J449" s="24"/>
      <c r="K449" s="24" t="s">
        <v>63</v>
      </c>
      <c r="L449" s="24" t="s">
        <v>64</v>
      </c>
      <c r="M449" s="24">
        <v>1</v>
      </c>
      <c r="N449" s="41">
        <f t="shared" si="147"/>
        <v>6016153.8499999996</v>
      </c>
      <c r="O449" s="41">
        <v>6016153.8499999996</v>
      </c>
      <c r="P449" s="24"/>
      <c r="Q449" s="24"/>
      <c r="R449" s="24"/>
      <c r="S449" s="41">
        <f t="shared" si="150"/>
        <v>6016153.8499999996</v>
      </c>
      <c r="T449" s="24">
        <v>5</v>
      </c>
      <c r="U449" s="41"/>
      <c r="V449" s="24">
        <v>0.5</v>
      </c>
      <c r="W449" s="41">
        <f t="shared" si="148"/>
        <v>0</v>
      </c>
      <c r="X449" s="24"/>
      <c r="Y449" s="41">
        <f t="shared" si="149"/>
        <v>0</v>
      </c>
      <c r="Z449" s="41">
        <f t="shared" si="143"/>
        <v>0</v>
      </c>
      <c r="AA449" s="24">
        <v>5</v>
      </c>
      <c r="AB449" s="41">
        <v>6016153.8499999996</v>
      </c>
      <c r="AC449" s="41">
        <f t="shared" si="151"/>
        <v>0</v>
      </c>
      <c r="AD449" s="70" t="s">
        <v>352</v>
      </c>
      <c r="AE449" s="70"/>
      <c r="AF449" s="1">
        <v>6016153.8499999996</v>
      </c>
      <c r="AG449" s="5">
        <f t="shared" si="152"/>
        <v>0</v>
      </c>
      <c r="AH449" s="5"/>
    </row>
    <row r="450" spans="1:34" s="1" customFormat="1" x14ac:dyDescent="0.25">
      <c r="A450" s="21">
        <v>54</v>
      </c>
      <c r="B450" s="22" t="s">
        <v>1691</v>
      </c>
      <c r="C450" s="22" t="s">
        <v>531</v>
      </c>
      <c r="D450" s="51" t="s">
        <v>511</v>
      </c>
      <c r="E450" s="24" t="s">
        <v>512</v>
      </c>
      <c r="F450" s="24"/>
      <c r="G450" s="24" t="s">
        <v>194</v>
      </c>
      <c r="H450" s="24" t="s">
        <v>62</v>
      </c>
      <c r="I450" s="24">
        <v>2013</v>
      </c>
      <c r="J450" s="24"/>
      <c r="K450" s="24" t="s">
        <v>63</v>
      </c>
      <c r="L450" s="24" t="s">
        <v>64</v>
      </c>
      <c r="M450" s="24">
        <v>1</v>
      </c>
      <c r="N450" s="41">
        <f t="shared" si="147"/>
        <v>6016153.8499999996</v>
      </c>
      <c r="O450" s="41">
        <v>6016153.8499999996</v>
      </c>
      <c r="P450" s="24"/>
      <c r="Q450" s="24"/>
      <c r="R450" s="24"/>
      <c r="S450" s="41">
        <f t="shared" si="150"/>
        <v>6016153.8499999996</v>
      </c>
      <c r="T450" s="24">
        <v>5</v>
      </c>
      <c r="U450" s="41"/>
      <c r="V450" s="24">
        <v>0.5</v>
      </c>
      <c r="W450" s="41">
        <f t="shared" si="148"/>
        <v>0</v>
      </c>
      <c r="X450" s="24"/>
      <c r="Y450" s="41">
        <f t="shared" si="149"/>
        <v>0</v>
      </c>
      <c r="Z450" s="41">
        <f t="shared" si="143"/>
        <v>0</v>
      </c>
      <c r="AA450" s="24">
        <v>5</v>
      </c>
      <c r="AB450" s="41">
        <v>6016153.8499999996</v>
      </c>
      <c r="AC450" s="41">
        <f t="shared" si="151"/>
        <v>0</v>
      </c>
      <c r="AD450" s="70" t="s">
        <v>328</v>
      </c>
      <c r="AE450" s="70"/>
      <c r="AF450" s="1">
        <v>6016153.8499999996</v>
      </c>
      <c r="AG450" s="5">
        <f t="shared" si="152"/>
        <v>0</v>
      </c>
      <c r="AH450" s="5"/>
    </row>
    <row r="451" spans="1:34" s="1" customFormat="1" x14ac:dyDescent="0.25">
      <c r="A451" s="21">
        <v>55</v>
      </c>
      <c r="B451" s="22" t="s">
        <v>1691</v>
      </c>
      <c r="C451" s="22" t="s">
        <v>532</v>
      </c>
      <c r="D451" s="51" t="s">
        <v>511</v>
      </c>
      <c r="E451" s="24" t="s">
        <v>512</v>
      </c>
      <c r="F451" s="24"/>
      <c r="G451" s="24" t="s">
        <v>194</v>
      </c>
      <c r="H451" s="24" t="s">
        <v>62</v>
      </c>
      <c r="I451" s="24">
        <v>2013</v>
      </c>
      <c r="J451" s="24"/>
      <c r="K451" s="24" t="s">
        <v>63</v>
      </c>
      <c r="L451" s="24" t="s">
        <v>64</v>
      </c>
      <c r="M451" s="24">
        <v>1</v>
      </c>
      <c r="N451" s="41">
        <f t="shared" si="147"/>
        <v>6016153.8499999996</v>
      </c>
      <c r="O451" s="41">
        <v>6016153.8499999996</v>
      </c>
      <c r="P451" s="24"/>
      <c r="Q451" s="24"/>
      <c r="R451" s="24"/>
      <c r="S451" s="41">
        <f t="shared" si="150"/>
        <v>6016153.8499999996</v>
      </c>
      <c r="T451" s="24">
        <v>5</v>
      </c>
      <c r="U451" s="41"/>
      <c r="V451" s="24">
        <v>0.5</v>
      </c>
      <c r="W451" s="41">
        <f t="shared" si="148"/>
        <v>0</v>
      </c>
      <c r="X451" s="24"/>
      <c r="Y451" s="41">
        <f t="shared" si="149"/>
        <v>0</v>
      </c>
      <c r="Z451" s="41">
        <f t="shared" si="143"/>
        <v>0</v>
      </c>
      <c r="AA451" s="24">
        <v>5</v>
      </c>
      <c r="AB451" s="41">
        <v>6016153.8499999996</v>
      </c>
      <c r="AC451" s="41">
        <f t="shared" si="151"/>
        <v>0</v>
      </c>
      <c r="AD451" s="70" t="s">
        <v>276</v>
      </c>
      <c r="AE451" s="70"/>
      <c r="AF451" s="1">
        <v>6016153.8499999996</v>
      </c>
      <c r="AG451" s="5">
        <f t="shared" si="152"/>
        <v>0</v>
      </c>
      <c r="AH451" s="5"/>
    </row>
    <row r="452" spans="1:34" s="1" customFormat="1" x14ac:dyDescent="0.25">
      <c r="A452" s="21">
        <v>56</v>
      </c>
      <c r="B452" s="22" t="s">
        <v>1691</v>
      </c>
      <c r="C452" s="22" t="s">
        <v>533</v>
      </c>
      <c r="D452" s="51" t="s">
        <v>511</v>
      </c>
      <c r="E452" s="24" t="s">
        <v>512</v>
      </c>
      <c r="F452" s="24"/>
      <c r="G452" s="24" t="s">
        <v>194</v>
      </c>
      <c r="H452" s="24" t="s">
        <v>62</v>
      </c>
      <c r="I452" s="24">
        <v>2013</v>
      </c>
      <c r="J452" s="24"/>
      <c r="K452" s="24" t="s">
        <v>63</v>
      </c>
      <c r="L452" s="24" t="s">
        <v>64</v>
      </c>
      <c r="M452" s="24">
        <v>1</v>
      </c>
      <c r="N452" s="41">
        <f t="shared" si="147"/>
        <v>6016153.8499999996</v>
      </c>
      <c r="O452" s="41">
        <v>6016153.8499999996</v>
      </c>
      <c r="P452" s="24"/>
      <c r="Q452" s="24"/>
      <c r="R452" s="24"/>
      <c r="S452" s="41">
        <f t="shared" si="150"/>
        <v>6016153.8499999996</v>
      </c>
      <c r="T452" s="24">
        <v>5</v>
      </c>
      <c r="U452" s="41"/>
      <c r="V452" s="24">
        <v>0.5</v>
      </c>
      <c r="W452" s="41">
        <f t="shared" si="148"/>
        <v>0</v>
      </c>
      <c r="X452" s="24"/>
      <c r="Y452" s="41">
        <f t="shared" si="149"/>
        <v>0</v>
      </c>
      <c r="Z452" s="41">
        <f t="shared" si="143"/>
        <v>0</v>
      </c>
      <c r="AA452" s="24">
        <v>5</v>
      </c>
      <c r="AB452" s="41">
        <v>6016153.8499999996</v>
      </c>
      <c r="AC452" s="41">
        <f t="shared" si="151"/>
        <v>0</v>
      </c>
      <c r="AD452" s="70" t="s">
        <v>333</v>
      </c>
      <c r="AE452" s="70"/>
      <c r="AF452" s="1">
        <v>6016153.8499999996</v>
      </c>
      <c r="AG452" s="5">
        <f t="shared" si="152"/>
        <v>0</v>
      </c>
      <c r="AH452" s="5"/>
    </row>
    <row r="453" spans="1:34" s="1" customFormat="1" x14ac:dyDescent="0.25">
      <c r="A453" s="21">
        <v>57</v>
      </c>
      <c r="B453" s="22" t="s">
        <v>1691</v>
      </c>
      <c r="C453" s="22" t="s">
        <v>534</v>
      </c>
      <c r="D453" s="51" t="s">
        <v>511</v>
      </c>
      <c r="E453" s="24" t="s">
        <v>512</v>
      </c>
      <c r="F453" s="24"/>
      <c r="G453" s="24" t="s">
        <v>194</v>
      </c>
      <c r="H453" s="24" t="s">
        <v>62</v>
      </c>
      <c r="I453" s="24">
        <v>2013</v>
      </c>
      <c r="J453" s="24"/>
      <c r="K453" s="24" t="s">
        <v>63</v>
      </c>
      <c r="L453" s="24" t="s">
        <v>64</v>
      </c>
      <c r="M453" s="24">
        <v>1</v>
      </c>
      <c r="N453" s="41">
        <f t="shared" si="147"/>
        <v>6016153.8499999996</v>
      </c>
      <c r="O453" s="41">
        <v>6016153.8499999996</v>
      </c>
      <c r="P453" s="24"/>
      <c r="Q453" s="24"/>
      <c r="R453" s="24"/>
      <c r="S453" s="41">
        <f t="shared" si="150"/>
        <v>6016153.8499999996</v>
      </c>
      <c r="T453" s="24">
        <v>5</v>
      </c>
      <c r="U453" s="41"/>
      <c r="V453" s="24">
        <v>0.5</v>
      </c>
      <c r="W453" s="41">
        <f t="shared" si="148"/>
        <v>0</v>
      </c>
      <c r="X453" s="24"/>
      <c r="Y453" s="41">
        <f t="shared" si="149"/>
        <v>0</v>
      </c>
      <c r="Z453" s="41">
        <f t="shared" si="143"/>
        <v>0</v>
      </c>
      <c r="AA453" s="24">
        <v>5</v>
      </c>
      <c r="AB453" s="41">
        <v>6016153.8499999996</v>
      </c>
      <c r="AC453" s="41">
        <f t="shared" si="151"/>
        <v>0</v>
      </c>
      <c r="AD453" s="70" t="s">
        <v>331</v>
      </c>
      <c r="AE453" s="70"/>
      <c r="AF453" s="1">
        <v>6016153.8499999996</v>
      </c>
      <c r="AG453" s="5">
        <f t="shared" si="152"/>
        <v>0</v>
      </c>
      <c r="AH453" s="5"/>
    </row>
    <row r="454" spans="1:34" s="1" customFormat="1" x14ac:dyDescent="0.25">
      <c r="A454" s="21">
        <v>58</v>
      </c>
      <c r="B454" s="22" t="s">
        <v>1691</v>
      </c>
      <c r="C454" s="22" t="s">
        <v>535</v>
      </c>
      <c r="D454" s="51" t="s">
        <v>522</v>
      </c>
      <c r="E454" s="24" t="s">
        <v>512</v>
      </c>
      <c r="F454" s="24"/>
      <c r="G454" s="24" t="s">
        <v>194</v>
      </c>
      <c r="H454" s="24" t="s">
        <v>62</v>
      </c>
      <c r="I454" s="24">
        <v>2013</v>
      </c>
      <c r="J454" s="24"/>
      <c r="K454" s="24" t="s">
        <v>63</v>
      </c>
      <c r="L454" s="24" t="s">
        <v>64</v>
      </c>
      <c r="M454" s="24">
        <v>1</v>
      </c>
      <c r="N454" s="41">
        <f t="shared" si="147"/>
        <v>5136153.846153846</v>
      </c>
      <c r="O454" s="41">
        <v>5136153.846153846</v>
      </c>
      <c r="P454" s="24"/>
      <c r="Q454" s="24"/>
      <c r="R454" s="24"/>
      <c r="S454" s="41">
        <f t="shared" si="150"/>
        <v>5136153.846153846</v>
      </c>
      <c r="T454" s="24">
        <v>5</v>
      </c>
      <c r="U454" s="41"/>
      <c r="V454" s="24">
        <v>0.5</v>
      </c>
      <c r="W454" s="41">
        <f t="shared" si="148"/>
        <v>0</v>
      </c>
      <c r="X454" s="24"/>
      <c r="Y454" s="41">
        <f t="shared" si="149"/>
        <v>0</v>
      </c>
      <c r="Z454" s="41">
        <f t="shared" si="143"/>
        <v>0</v>
      </c>
      <c r="AA454" s="24">
        <v>5</v>
      </c>
      <c r="AB454" s="41">
        <v>5136153.846153846</v>
      </c>
      <c r="AC454" s="41">
        <f t="shared" si="151"/>
        <v>0</v>
      </c>
      <c r="AD454" s="70" t="s">
        <v>335</v>
      </c>
      <c r="AE454" s="70"/>
      <c r="AF454" s="1">
        <v>5136153.846153846</v>
      </c>
      <c r="AG454" s="5">
        <f t="shared" si="152"/>
        <v>0</v>
      </c>
      <c r="AH454" s="5"/>
    </row>
    <row r="455" spans="1:34" s="1" customFormat="1" x14ac:dyDescent="0.25">
      <c r="A455" s="21">
        <v>59</v>
      </c>
      <c r="B455" s="22" t="s">
        <v>1691</v>
      </c>
      <c r="C455" s="22" t="s">
        <v>536</v>
      </c>
      <c r="D455" s="51" t="s">
        <v>522</v>
      </c>
      <c r="E455" s="24" t="s">
        <v>512</v>
      </c>
      <c r="F455" s="24"/>
      <c r="G455" s="24" t="s">
        <v>194</v>
      </c>
      <c r="H455" s="24" t="s">
        <v>62</v>
      </c>
      <c r="I455" s="24">
        <v>2013</v>
      </c>
      <c r="J455" s="24"/>
      <c r="K455" s="24" t="s">
        <v>63</v>
      </c>
      <c r="L455" s="24" t="s">
        <v>64</v>
      </c>
      <c r="M455" s="24">
        <v>1</v>
      </c>
      <c r="N455" s="41">
        <f t="shared" si="147"/>
        <v>5136153.846153846</v>
      </c>
      <c r="O455" s="41">
        <v>5136153.846153846</v>
      </c>
      <c r="P455" s="24"/>
      <c r="Q455" s="24"/>
      <c r="R455" s="24"/>
      <c r="S455" s="41">
        <f t="shared" si="150"/>
        <v>5136153.846153846</v>
      </c>
      <c r="T455" s="24">
        <v>5</v>
      </c>
      <c r="U455" s="41"/>
      <c r="V455" s="24">
        <v>0.5</v>
      </c>
      <c r="W455" s="41">
        <f t="shared" si="148"/>
        <v>0</v>
      </c>
      <c r="X455" s="24"/>
      <c r="Y455" s="41">
        <f t="shared" si="149"/>
        <v>0</v>
      </c>
      <c r="Z455" s="41">
        <f t="shared" si="143"/>
        <v>0</v>
      </c>
      <c r="AA455" s="24">
        <v>5</v>
      </c>
      <c r="AB455" s="41">
        <v>5136153.846153846</v>
      </c>
      <c r="AC455" s="41">
        <f t="shared" si="151"/>
        <v>0</v>
      </c>
      <c r="AD455" s="70" t="s">
        <v>328</v>
      </c>
      <c r="AE455" s="70"/>
      <c r="AF455" s="1">
        <v>5136153.846153846</v>
      </c>
      <c r="AG455" s="5">
        <f t="shared" si="152"/>
        <v>0</v>
      </c>
      <c r="AH455" s="5"/>
    </row>
    <row r="456" spans="1:34" s="1" customFormat="1" x14ac:dyDescent="0.25">
      <c r="A456" s="21">
        <v>60</v>
      </c>
      <c r="B456" s="22" t="s">
        <v>1691</v>
      </c>
      <c r="C456" s="22" t="s">
        <v>537</v>
      </c>
      <c r="D456" s="51" t="s">
        <v>522</v>
      </c>
      <c r="E456" s="24" t="s">
        <v>512</v>
      </c>
      <c r="F456" s="24"/>
      <c r="G456" s="24" t="s">
        <v>194</v>
      </c>
      <c r="H456" s="24" t="s">
        <v>62</v>
      </c>
      <c r="I456" s="24">
        <v>2013</v>
      </c>
      <c r="J456" s="24"/>
      <c r="K456" s="24" t="s">
        <v>63</v>
      </c>
      <c r="L456" s="24" t="s">
        <v>64</v>
      </c>
      <c r="M456" s="24">
        <v>1</v>
      </c>
      <c r="N456" s="41">
        <f t="shared" si="147"/>
        <v>5136153.846153846</v>
      </c>
      <c r="O456" s="41">
        <v>5136153.846153846</v>
      </c>
      <c r="P456" s="24"/>
      <c r="Q456" s="24"/>
      <c r="R456" s="24"/>
      <c r="S456" s="41">
        <f t="shared" si="150"/>
        <v>5136153.846153846</v>
      </c>
      <c r="T456" s="24">
        <v>5</v>
      </c>
      <c r="U456" s="41"/>
      <c r="V456" s="24">
        <v>0.5</v>
      </c>
      <c r="W456" s="41">
        <f t="shared" si="148"/>
        <v>0</v>
      </c>
      <c r="X456" s="24"/>
      <c r="Y456" s="41">
        <f t="shared" si="149"/>
        <v>0</v>
      </c>
      <c r="Z456" s="41">
        <f t="shared" si="143"/>
        <v>0</v>
      </c>
      <c r="AA456" s="24">
        <v>5</v>
      </c>
      <c r="AB456" s="41">
        <v>5136153.846153846</v>
      </c>
      <c r="AC456" s="41">
        <f t="shared" si="151"/>
        <v>0</v>
      </c>
      <c r="AD456" s="70" t="s">
        <v>276</v>
      </c>
      <c r="AE456" s="70"/>
      <c r="AF456" s="1">
        <v>5136153.846153846</v>
      </c>
      <c r="AG456" s="5">
        <f t="shared" si="152"/>
        <v>0</v>
      </c>
      <c r="AH456" s="5"/>
    </row>
    <row r="457" spans="1:34" s="1" customFormat="1" x14ac:dyDescent="0.25">
      <c r="A457" s="21">
        <v>61</v>
      </c>
      <c r="B457" s="22" t="s">
        <v>1691</v>
      </c>
      <c r="C457" s="22" t="s">
        <v>538</v>
      </c>
      <c r="D457" s="51" t="s">
        <v>522</v>
      </c>
      <c r="E457" s="24" t="s">
        <v>512</v>
      </c>
      <c r="F457" s="24"/>
      <c r="G457" s="24" t="s">
        <v>194</v>
      </c>
      <c r="H457" s="24" t="s">
        <v>62</v>
      </c>
      <c r="I457" s="24">
        <v>2013</v>
      </c>
      <c r="J457" s="24"/>
      <c r="K457" s="24" t="s">
        <v>63</v>
      </c>
      <c r="L457" s="24" t="s">
        <v>64</v>
      </c>
      <c r="M457" s="24">
        <v>1</v>
      </c>
      <c r="N457" s="41">
        <f t="shared" si="147"/>
        <v>5136153.846153846</v>
      </c>
      <c r="O457" s="41">
        <v>5136153.846153846</v>
      </c>
      <c r="P457" s="24"/>
      <c r="Q457" s="24"/>
      <c r="R457" s="24"/>
      <c r="S457" s="41">
        <f t="shared" si="150"/>
        <v>5136153.846153846</v>
      </c>
      <c r="T457" s="24">
        <v>5</v>
      </c>
      <c r="U457" s="41"/>
      <c r="V457" s="24">
        <v>0.5</v>
      </c>
      <c r="W457" s="41">
        <f t="shared" si="148"/>
        <v>0</v>
      </c>
      <c r="X457" s="57"/>
      <c r="Y457" s="53">
        <f t="shared" si="149"/>
        <v>0</v>
      </c>
      <c r="Z457" s="53">
        <f t="shared" si="143"/>
        <v>0</v>
      </c>
      <c r="AA457" s="57">
        <v>5</v>
      </c>
      <c r="AB457" s="53">
        <v>5136153.846153846</v>
      </c>
      <c r="AC457" s="53">
        <f t="shared" si="151"/>
        <v>0</v>
      </c>
      <c r="AD457" s="56" t="s">
        <v>331</v>
      </c>
      <c r="AE457" s="70"/>
      <c r="AF457" s="1">
        <v>5136153.846153846</v>
      </c>
      <c r="AG457" s="5">
        <f t="shared" si="152"/>
        <v>0</v>
      </c>
      <c r="AH457" s="5"/>
    </row>
    <row r="458" spans="1:34" s="1" customFormat="1" x14ac:dyDescent="0.25">
      <c r="A458" s="21">
        <v>62</v>
      </c>
      <c r="B458" s="22" t="s">
        <v>1691</v>
      </c>
      <c r="C458" s="22" t="s">
        <v>539</v>
      </c>
      <c r="D458" s="51" t="s">
        <v>511</v>
      </c>
      <c r="E458" s="24" t="s">
        <v>512</v>
      </c>
      <c r="F458" s="24"/>
      <c r="G458" s="24" t="s">
        <v>194</v>
      </c>
      <c r="H458" s="24" t="s">
        <v>62</v>
      </c>
      <c r="I458" s="24">
        <v>2013</v>
      </c>
      <c r="J458" s="24"/>
      <c r="K458" s="24" t="s">
        <v>63</v>
      </c>
      <c r="L458" s="24" t="s">
        <v>64</v>
      </c>
      <c r="M458" s="24">
        <v>2</v>
      </c>
      <c r="N458" s="41">
        <f t="shared" si="147"/>
        <v>4730000</v>
      </c>
      <c r="O458" s="41">
        <v>9460000</v>
      </c>
      <c r="P458" s="24"/>
      <c r="Q458" s="24"/>
      <c r="R458" s="24"/>
      <c r="S458" s="41">
        <f t="shared" si="150"/>
        <v>9460000</v>
      </c>
      <c r="T458" s="24">
        <v>5</v>
      </c>
      <c r="U458" s="41"/>
      <c r="V458" s="24">
        <v>0.5</v>
      </c>
      <c r="W458" s="41">
        <f t="shared" si="148"/>
        <v>0</v>
      </c>
      <c r="X458" s="57"/>
      <c r="Y458" s="53">
        <f t="shared" si="149"/>
        <v>0</v>
      </c>
      <c r="Z458" s="53">
        <f t="shared" ref="Z458" si="153">SUM(W458+Y458)</f>
        <v>0</v>
      </c>
      <c r="AA458" s="57">
        <v>5</v>
      </c>
      <c r="AB458" s="53">
        <v>9460000</v>
      </c>
      <c r="AC458" s="53">
        <f t="shared" si="151"/>
        <v>0</v>
      </c>
      <c r="AD458" s="56" t="s">
        <v>540</v>
      </c>
      <c r="AE458" s="70"/>
      <c r="AF458" s="1">
        <v>9460000</v>
      </c>
      <c r="AG458" s="5">
        <f t="shared" si="152"/>
        <v>0</v>
      </c>
      <c r="AH458" s="5"/>
    </row>
    <row r="459" spans="1:34" s="1" customFormat="1" x14ac:dyDescent="0.25">
      <c r="A459" s="21"/>
      <c r="B459" s="22" t="s">
        <v>1691</v>
      </c>
      <c r="C459" s="73" t="s">
        <v>541</v>
      </c>
      <c r="D459" s="51" t="s">
        <v>517</v>
      </c>
      <c r="E459" s="52"/>
      <c r="F459" s="52"/>
      <c r="G459" s="52" t="s">
        <v>194</v>
      </c>
      <c r="H459" s="52" t="s">
        <v>62</v>
      </c>
      <c r="I459" s="52">
        <v>2020</v>
      </c>
      <c r="J459" s="52"/>
      <c r="K459" s="52" t="s">
        <v>63</v>
      </c>
      <c r="L459" s="52" t="s">
        <v>64</v>
      </c>
      <c r="M459" s="52">
        <v>1</v>
      </c>
      <c r="N459" s="53">
        <f t="shared" si="147"/>
        <v>3500000</v>
      </c>
      <c r="O459" s="53">
        <v>3500000</v>
      </c>
      <c r="P459" s="52"/>
      <c r="Q459" s="52"/>
      <c r="R459" s="52"/>
      <c r="S459" s="53">
        <f t="shared" si="150"/>
        <v>3500000</v>
      </c>
      <c r="T459" s="52">
        <v>5</v>
      </c>
      <c r="U459" s="53">
        <f t="shared" ref="U459:U460" si="154">SUM(S459/T459)</f>
        <v>700000</v>
      </c>
      <c r="V459" s="52">
        <v>0.5</v>
      </c>
      <c r="W459" s="53">
        <f t="shared" si="148"/>
        <v>350000</v>
      </c>
      <c r="X459" s="52"/>
      <c r="Y459" s="53">
        <f t="shared" si="149"/>
        <v>0</v>
      </c>
      <c r="Z459" s="53">
        <f t="shared" ref="Z459:Z467" si="155">SUM(W459+Y459)</f>
        <v>350000</v>
      </c>
      <c r="AA459" s="57">
        <f>2023-I459+V459+X459-11/12</f>
        <v>2.5833333333333335</v>
      </c>
      <c r="AB459" s="53">
        <f t="shared" ref="AB459:AB460" si="156">SUM(U459*AA459)</f>
        <v>1808333.3333333335</v>
      </c>
      <c r="AC459" s="53">
        <f t="shared" si="151"/>
        <v>1691666.6666666665</v>
      </c>
      <c r="AD459" s="56"/>
      <c r="AE459" s="70"/>
      <c r="AF459" s="1">
        <v>1458333.3333333335</v>
      </c>
      <c r="AG459" s="5">
        <f t="shared" si="152"/>
        <v>0</v>
      </c>
      <c r="AH459" s="5"/>
    </row>
    <row r="460" spans="1:34" s="1" customFormat="1" x14ac:dyDescent="0.25">
      <c r="A460" s="21"/>
      <c r="B460" s="22" t="s">
        <v>1691</v>
      </c>
      <c r="C460" s="73" t="s">
        <v>542</v>
      </c>
      <c r="D460" s="51" t="s">
        <v>522</v>
      </c>
      <c r="E460" s="52"/>
      <c r="F460" s="52"/>
      <c r="G460" s="52" t="s">
        <v>194</v>
      </c>
      <c r="H460" s="52" t="s">
        <v>62</v>
      </c>
      <c r="I460" s="52">
        <v>2020</v>
      </c>
      <c r="J460" s="52"/>
      <c r="K460" s="52" t="s">
        <v>63</v>
      </c>
      <c r="L460" s="52" t="s">
        <v>64</v>
      </c>
      <c r="M460" s="52">
        <v>2</v>
      </c>
      <c r="N460" s="53">
        <f t="shared" si="147"/>
        <v>3250000</v>
      </c>
      <c r="O460" s="53">
        <v>6500000</v>
      </c>
      <c r="P460" s="52"/>
      <c r="Q460" s="52"/>
      <c r="R460" s="52"/>
      <c r="S460" s="53">
        <f t="shared" si="150"/>
        <v>6500000</v>
      </c>
      <c r="T460" s="52">
        <v>5</v>
      </c>
      <c r="U460" s="53">
        <f t="shared" si="154"/>
        <v>1300000</v>
      </c>
      <c r="V460" s="52">
        <v>0.5</v>
      </c>
      <c r="W460" s="53">
        <f t="shared" si="148"/>
        <v>650000</v>
      </c>
      <c r="X460" s="52"/>
      <c r="Y460" s="53">
        <f t="shared" si="149"/>
        <v>0</v>
      </c>
      <c r="Z460" s="53">
        <f t="shared" si="155"/>
        <v>650000</v>
      </c>
      <c r="AA460" s="57">
        <f>2023-I460+V460+X460-11/12</f>
        <v>2.5833333333333335</v>
      </c>
      <c r="AB460" s="53">
        <f t="shared" si="156"/>
        <v>3358333.3333333335</v>
      </c>
      <c r="AC460" s="53">
        <f t="shared" si="151"/>
        <v>3141666.6666666665</v>
      </c>
      <c r="AD460" s="56"/>
      <c r="AE460" s="70"/>
      <c r="AF460" s="1">
        <v>2708333.3333333335</v>
      </c>
      <c r="AG460" s="5">
        <f t="shared" si="152"/>
        <v>0</v>
      </c>
      <c r="AH460" s="5"/>
    </row>
    <row r="461" spans="1:34" s="1" customFormat="1" x14ac:dyDescent="0.25">
      <c r="A461" s="21">
        <v>63</v>
      </c>
      <c r="B461" s="22" t="s">
        <v>1691</v>
      </c>
      <c r="C461" s="50" t="s">
        <v>298</v>
      </c>
      <c r="D461" s="51" t="s">
        <v>543</v>
      </c>
      <c r="E461" s="52" t="s">
        <v>544</v>
      </c>
      <c r="F461" s="52"/>
      <c r="G461" s="52" t="s">
        <v>194</v>
      </c>
      <c r="H461" s="52" t="s">
        <v>62</v>
      </c>
      <c r="I461" s="52">
        <v>2014</v>
      </c>
      <c r="J461" s="52"/>
      <c r="K461" s="52" t="s">
        <v>63</v>
      </c>
      <c r="L461" s="52" t="s">
        <v>64</v>
      </c>
      <c r="M461" s="52">
        <v>2</v>
      </c>
      <c r="N461" s="53">
        <f t="shared" si="147"/>
        <v>20185000</v>
      </c>
      <c r="O461" s="53">
        <v>40370000</v>
      </c>
      <c r="P461" s="52"/>
      <c r="Q461" s="52"/>
      <c r="R461" s="52"/>
      <c r="S461" s="53">
        <f t="shared" si="150"/>
        <v>40370000</v>
      </c>
      <c r="T461" s="52">
        <v>5</v>
      </c>
      <c r="U461" s="53"/>
      <c r="V461" s="52">
        <v>0.5</v>
      </c>
      <c r="W461" s="53">
        <f t="shared" si="148"/>
        <v>0</v>
      </c>
      <c r="X461" s="52"/>
      <c r="Y461" s="53">
        <f t="shared" si="149"/>
        <v>0</v>
      </c>
      <c r="Z461" s="53">
        <f t="shared" si="155"/>
        <v>0</v>
      </c>
      <c r="AA461" s="52">
        <v>5</v>
      </c>
      <c r="AB461" s="53">
        <v>40370000</v>
      </c>
      <c r="AC461" s="53">
        <f t="shared" si="151"/>
        <v>0</v>
      </c>
      <c r="AD461" s="56" t="s">
        <v>295</v>
      </c>
      <c r="AE461" s="70"/>
      <c r="AF461" s="1">
        <v>40370000</v>
      </c>
      <c r="AG461" s="5">
        <f t="shared" si="152"/>
        <v>0</v>
      </c>
      <c r="AH461" s="5"/>
    </row>
    <row r="462" spans="1:34" s="1" customFormat="1" x14ac:dyDescent="0.25">
      <c r="A462" s="21">
        <v>64</v>
      </c>
      <c r="B462" s="22" t="s">
        <v>1691</v>
      </c>
      <c r="C462" s="50" t="s">
        <v>135</v>
      </c>
      <c r="D462" s="51" t="s">
        <v>543</v>
      </c>
      <c r="E462" s="52" t="s">
        <v>544</v>
      </c>
      <c r="F462" s="52"/>
      <c r="G462" s="52" t="s">
        <v>194</v>
      </c>
      <c r="H462" s="52" t="s">
        <v>62</v>
      </c>
      <c r="I462" s="52">
        <v>2014</v>
      </c>
      <c r="J462" s="52"/>
      <c r="K462" s="52" t="s">
        <v>63</v>
      </c>
      <c r="L462" s="52" t="s">
        <v>64</v>
      </c>
      <c r="M462" s="52">
        <v>1</v>
      </c>
      <c r="N462" s="53">
        <f t="shared" ref="N462:N504" si="157">SUM(O462/M462)</f>
        <v>20185000</v>
      </c>
      <c r="O462" s="53">
        <v>20185000</v>
      </c>
      <c r="P462" s="52"/>
      <c r="Q462" s="52"/>
      <c r="R462" s="52"/>
      <c r="S462" s="53">
        <f t="shared" si="150"/>
        <v>20185000</v>
      </c>
      <c r="T462" s="52">
        <v>5</v>
      </c>
      <c r="U462" s="53"/>
      <c r="V462" s="52">
        <v>0.5</v>
      </c>
      <c r="W462" s="53">
        <f t="shared" ref="W462:W467" si="158">SUM(U462*V462)</f>
        <v>0</v>
      </c>
      <c r="X462" s="52"/>
      <c r="Y462" s="53">
        <f t="shared" ref="Y462:Y467" si="159">SUM(U462*X462)</f>
        <v>0</v>
      </c>
      <c r="Z462" s="53">
        <f t="shared" si="155"/>
        <v>0</v>
      </c>
      <c r="AA462" s="52">
        <v>5</v>
      </c>
      <c r="AB462" s="53">
        <v>20185000</v>
      </c>
      <c r="AC462" s="53">
        <f t="shared" si="151"/>
        <v>0</v>
      </c>
      <c r="AD462" s="56" t="s">
        <v>303</v>
      </c>
      <c r="AE462" s="70"/>
      <c r="AF462" s="1">
        <v>20185000</v>
      </c>
      <c r="AG462" s="5">
        <f t="shared" si="152"/>
        <v>0</v>
      </c>
      <c r="AH462" s="5"/>
    </row>
    <row r="463" spans="1:34" s="1" customFormat="1" x14ac:dyDescent="0.25">
      <c r="A463" s="21">
        <v>65</v>
      </c>
      <c r="B463" s="22" t="s">
        <v>1691</v>
      </c>
      <c r="C463" s="50" t="s">
        <v>340</v>
      </c>
      <c r="D463" s="51" t="s">
        <v>543</v>
      </c>
      <c r="E463" s="52" t="s">
        <v>544</v>
      </c>
      <c r="F463" s="52"/>
      <c r="G463" s="52" t="s">
        <v>194</v>
      </c>
      <c r="H463" s="52" t="s">
        <v>62</v>
      </c>
      <c r="I463" s="52">
        <v>2014</v>
      </c>
      <c r="J463" s="52"/>
      <c r="K463" s="52" t="s">
        <v>63</v>
      </c>
      <c r="L463" s="52" t="s">
        <v>64</v>
      </c>
      <c r="M463" s="52">
        <v>2</v>
      </c>
      <c r="N463" s="53">
        <f t="shared" si="157"/>
        <v>20185000</v>
      </c>
      <c r="O463" s="53">
        <v>40370000</v>
      </c>
      <c r="P463" s="52"/>
      <c r="Q463" s="52"/>
      <c r="R463" s="52"/>
      <c r="S463" s="53">
        <f t="shared" si="150"/>
        <v>40370000</v>
      </c>
      <c r="T463" s="52">
        <v>5</v>
      </c>
      <c r="U463" s="53"/>
      <c r="V463" s="52">
        <v>0.5</v>
      </c>
      <c r="W463" s="53">
        <f t="shared" si="158"/>
        <v>0</v>
      </c>
      <c r="X463" s="52"/>
      <c r="Y463" s="53">
        <f t="shared" si="159"/>
        <v>0</v>
      </c>
      <c r="Z463" s="53">
        <f t="shared" si="155"/>
        <v>0</v>
      </c>
      <c r="AA463" s="169">
        <v>5</v>
      </c>
      <c r="AB463" s="53">
        <v>40370000</v>
      </c>
      <c r="AC463" s="53">
        <f t="shared" si="151"/>
        <v>0</v>
      </c>
      <c r="AD463" s="56" t="s">
        <v>297</v>
      </c>
      <c r="AE463" s="70"/>
      <c r="AF463" s="1">
        <v>40370000</v>
      </c>
      <c r="AG463" s="5">
        <f t="shared" si="152"/>
        <v>0</v>
      </c>
      <c r="AH463" s="5"/>
    </row>
    <row r="464" spans="1:34" s="1" customFormat="1" x14ac:dyDescent="0.25">
      <c r="A464" s="21">
        <v>66</v>
      </c>
      <c r="B464" s="22" t="s">
        <v>1691</v>
      </c>
      <c r="C464" s="50" t="s">
        <v>545</v>
      </c>
      <c r="D464" s="51" t="s">
        <v>543</v>
      </c>
      <c r="E464" s="52" t="s">
        <v>544</v>
      </c>
      <c r="F464" s="52"/>
      <c r="G464" s="52" t="s">
        <v>194</v>
      </c>
      <c r="H464" s="52" t="s">
        <v>62</v>
      </c>
      <c r="I464" s="52">
        <v>2014</v>
      </c>
      <c r="J464" s="52"/>
      <c r="K464" s="52" t="s">
        <v>63</v>
      </c>
      <c r="L464" s="52" t="s">
        <v>64</v>
      </c>
      <c r="M464" s="52">
        <v>2</v>
      </c>
      <c r="N464" s="53">
        <f t="shared" si="157"/>
        <v>20185000</v>
      </c>
      <c r="O464" s="53">
        <v>40370000</v>
      </c>
      <c r="P464" s="52"/>
      <c r="Q464" s="52"/>
      <c r="R464" s="52"/>
      <c r="S464" s="53">
        <f t="shared" si="150"/>
        <v>40370000</v>
      </c>
      <c r="T464" s="52">
        <v>5</v>
      </c>
      <c r="U464" s="53"/>
      <c r="V464" s="52">
        <v>0.5</v>
      </c>
      <c r="W464" s="53">
        <f t="shared" si="158"/>
        <v>0</v>
      </c>
      <c r="X464" s="54"/>
      <c r="Y464" s="53">
        <f t="shared" si="159"/>
        <v>0</v>
      </c>
      <c r="Z464" s="53">
        <f t="shared" si="155"/>
        <v>0</v>
      </c>
      <c r="AA464" s="169">
        <v>5</v>
      </c>
      <c r="AB464" s="53">
        <v>40370000</v>
      </c>
      <c r="AC464" s="53">
        <f t="shared" si="151"/>
        <v>0</v>
      </c>
      <c r="AD464" s="56" t="s">
        <v>287</v>
      </c>
      <c r="AE464" s="70"/>
      <c r="AF464" s="1">
        <v>40370000</v>
      </c>
      <c r="AG464" s="5">
        <f t="shared" si="152"/>
        <v>0</v>
      </c>
      <c r="AH464" s="5"/>
    </row>
    <row r="465" spans="1:34" s="1" customFormat="1" x14ac:dyDescent="0.25">
      <c r="A465" s="21">
        <v>67</v>
      </c>
      <c r="B465" s="22" t="s">
        <v>1691</v>
      </c>
      <c r="C465" s="50" t="s">
        <v>546</v>
      </c>
      <c r="D465" s="51" t="s">
        <v>543</v>
      </c>
      <c r="E465" s="52" t="s">
        <v>544</v>
      </c>
      <c r="F465" s="52"/>
      <c r="G465" s="52" t="s">
        <v>194</v>
      </c>
      <c r="H465" s="52" t="s">
        <v>62</v>
      </c>
      <c r="I465" s="52">
        <v>2018</v>
      </c>
      <c r="J465" s="52"/>
      <c r="K465" s="52" t="s">
        <v>63</v>
      </c>
      <c r="L465" s="52" t="s">
        <v>64</v>
      </c>
      <c r="M465" s="52">
        <v>4</v>
      </c>
      <c r="N465" s="53">
        <f t="shared" si="157"/>
        <v>21692000</v>
      </c>
      <c r="O465" s="53">
        <v>86768000</v>
      </c>
      <c r="P465" s="52"/>
      <c r="Q465" s="52"/>
      <c r="R465" s="52"/>
      <c r="S465" s="53">
        <f t="shared" si="150"/>
        <v>86768000</v>
      </c>
      <c r="T465" s="52">
        <v>5</v>
      </c>
      <c r="U465" s="53">
        <f t="shared" ref="U465:U503" si="160">SUM(S465/T465)</f>
        <v>17353600</v>
      </c>
      <c r="V465" s="52">
        <v>0.5</v>
      </c>
      <c r="W465" s="53">
        <f>SUM(U465*V465)-2892266.67</f>
        <v>5784533.3300000001</v>
      </c>
      <c r="X465" s="54"/>
      <c r="Y465" s="53">
        <f t="shared" si="159"/>
        <v>0</v>
      </c>
      <c r="Z465" s="53">
        <f t="shared" si="155"/>
        <v>5784533.3300000001</v>
      </c>
      <c r="AA465" s="169">
        <f>2023-I465+V465+X465-4/12-2/12</f>
        <v>5</v>
      </c>
      <c r="AB465" s="53">
        <f t="shared" ref="AB465:AB495" si="161">SUM(U465*AA465)</f>
        <v>86768000</v>
      </c>
      <c r="AC465" s="53">
        <f t="shared" si="151"/>
        <v>0</v>
      </c>
      <c r="AD465" s="56" t="s">
        <v>547</v>
      </c>
      <c r="AE465" s="56"/>
      <c r="AF465" s="1">
        <v>80983466.666666672</v>
      </c>
      <c r="AG465" s="5">
        <f t="shared" si="152"/>
        <v>-3.3333301544189453E-3</v>
      </c>
      <c r="AH465" s="5"/>
    </row>
    <row r="466" spans="1:34" s="1" customFormat="1" x14ac:dyDescent="0.25">
      <c r="A466" s="21"/>
      <c r="B466" s="22" t="s">
        <v>1691</v>
      </c>
      <c r="C466" s="73" t="s">
        <v>162</v>
      </c>
      <c r="D466" s="51" t="s">
        <v>543</v>
      </c>
      <c r="E466" s="52"/>
      <c r="F466" s="52"/>
      <c r="G466" s="52" t="s">
        <v>194</v>
      </c>
      <c r="H466" s="52" t="s">
        <v>62</v>
      </c>
      <c r="I466" s="52">
        <v>2020</v>
      </c>
      <c r="J466" s="52"/>
      <c r="K466" s="52" t="s">
        <v>63</v>
      </c>
      <c r="L466" s="52" t="s">
        <v>64</v>
      </c>
      <c r="M466" s="52">
        <v>1</v>
      </c>
      <c r="N466" s="53">
        <f t="shared" si="157"/>
        <v>25000000</v>
      </c>
      <c r="O466" s="53">
        <v>25000000</v>
      </c>
      <c r="P466" s="52"/>
      <c r="Q466" s="52"/>
      <c r="R466" s="52"/>
      <c r="S466" s="53">
        <f t="shared" si="150"/>
        <v>25000000</v>
      </c>
      <c r="T466" s="52">
        <v>5</v>
      </c>
      <c r="U466" s="53">
        <f t="shared" si="160"/>
        <v>5000000</v>
      </c>
      <c r="V466" s="52">
        <v>0.5</v>
      </c>
      <c r="W466" s="53">
        <f t="shared" si="158"/>
        <v>2500000</v>
      </c>
      <c r="X466" s="24"/>
      <c r="Y466" s="41">
        <f t="shared" si="159"/>
        <v>0</v>
      </c>
      <c r="Z466" s="41">
        <f t="shared" si="155"/>
        <v>2500000</v>
      </c>
      <c r="AA466" s="72">
        <f>2023-I466+V466+X466-11/12</f>
        <v>2.5833333333333335</v>
      </c>
      <c r="AB466" s="41">
        <f t="shared" si="161"/>
        <v>12916666.666666668</v>
      </c>
      <c r="AC466" s="41">
        <f t="shared" si="151"/>
        <v>12083333.333333332</v>
      </c>
      <c r="AD466" s="70" t="s">
        <v>199</v>
      </c>
      <c r="AE466" s="70"/>
      <c r="AF466" s="1">
        <v>10416666.666666668</v>
      </c>
      <c r="AG466" s="5">
        <f t="shared" si="152"/>
        <v>0</v>
      </c>
      <c r="AH466" s="5"/>
    </row>
    <row r="467" spans="1:34" s="1" customFormat="1" x14ac:dyDescent="0.25">
      <c r="A467" s="49"/>
      <c r="B467" s="50" t="s">
        <v>1691</v>
      </c>
      <c r="C467" s="73" t="s">
        <v>312</v>
      </c>
      <c r="D467" s="51" t="s">
        <v>548</v>
      </c>
      <c r="E467" s="52" t="s">
        <v>549</v>
      </c>
      <c r="F467" s="52"/>
      <c r="G467" s="52" t="s">
        <v>194</v>
      </c>
      <c r="H467" s="52" t="s">
        <v>62</v>
      </c>
      <c r="I467" s="52">
        <v>2022</v>
      </c>
      <c r="J467" s="52"/>
      <c r="K467" s="52" t="s">
        <v>63</v>
      </c>
      <c r="L467" s="52" t="s">
        <v>64</v>
      </c>
      <c r="M467" s="52">
        <v>1</v>
      </c>
      <c r="N467" s="53">
        <f t="shared" si="157"/>
        <v>28349400</v>
      </c>
      <c r="O467" s="53">
        <v>28349400</v>
      </c>
      <c r="P467" s="52"/>
      <c r="Q467" s="52"/>
      <c r="R467" s="52"/>
      <c r="S467" s="53">
        <f t="shared" si="150"/>
        <v>28349400</v>
      </c>
      <c r="T467" s="52">
        <v>5</v>
      </c>
      <c r="U467" s="53">
        <f t="shared" si="160"/>
        <v>5669880</v>
      </c>
      <c r="V467" s="54">
        <v>0.5</v>
      </c>
      <c r="W467" s="53">
        <f t="shared" si="158"/>
        <v>2834940</v>
      </c>
      <c r="X467" s="24"/>
      <c r="Y467" s="41">
        <f t="shared" si="159"/>
        <v>0</v>
      </c>
      <c r="Z467" s="41">
        <f t="shared" si="155"/>
        <v>2834940</v>
      </c>
      <c r="AA467" s="72">
        <f>4/12+0.5+0.5</f>
        <v>1.3333333333333333</v>
      </c>
      <c r="AB467" s="41">
        <f t="shared" si="161"/>
        <v>7559840</v>
      </c>
      <c r="AC467" s="41">
        <f t="shared" si="151"/>
        <v>20789560</v>
      </c>
      <c r="AD467" s="70" t="s">
        <v>199</v>
      </c>
      <c r="AE467" s="70"/>
      <c r="AF467" s="1">
        <v>4724900</v>
      </c>
      <c r="AG467" s="5">
        <f t="shared" si="152"/>
        <v>0</v>
      </c>
      <c r="AH467" s="5"/>
    </row>
    <row r="468" spans="1:34" s="1" customFormat="1" x14ac:dyDescent="0.25">
      <c r="A468" s="21">
        <v>68</v>
      </c>
      <c r="B468" s="22" t="s">
        <v>1691</v>
      </c>
      <c r="C468" s="22" t="s">
        <v>550</v>
      </c>
      <c r="D468" s="51" t="s">
        <v>551</v>
      </c>
      <c r="E468" s="24" t="s">
        <v>471</v>
      </c>
      <c r="F468" s="24"/>
      <c r="G468" s="24" t="s">
        <v>194</v>
      </c>
      <c r="H468" s="24" t="s">
        <v>62</v>
      </c>
      <c r="I468" s="24">
        <v>2015</v>
      </c>
      <c r="J468" s="24"/>
      <c r="K468" s="24" t="s">
        <v>63</v>
      </c>
      <c r="L468" s="24" t="s">
        <v>64</v>
      </c>
      <c r="M468" s="24">
        <v>2</v>
      </c>
      <c r="N468" s="41">
        <f t="shared" si="157"/>
        <v>7975000</v>
      </c>
      <c r="O468" s="41">
        <v>15950000</v>
      </c>
      <c r="P468" s="24"/>
      <c r="Q468" s="24"/>
      <c r="R468" s="24"/>
      <c r="S468" s="41">
        <f t="shared" si="150"/>
        <v>15950000</v>
      </c>
      <c r="T468" s="24">
        <v>5</v>
      </c>
      <c r="U468" s="41">
        <f t="shared" si="160"/>
        <v>3190000</v>
      </c>
      <c r="V468" s="24">
        <v>0.5</v>
      </c>
      <c r="W468" s="41"/>
      <c r="X468" s="24"/>
      <c r="Y468" s="41">
        <f>SUM(U468*X468)</f>
        <v>0</v>
      </c>
      <c r="Z468" s="41"/>
      <c r="AA468" s="72">
        <v>5</v>
      </c>
      <c r="AB468" s="41">
        <f t="shared" si="161"/>
        <v>15950000</v>
      </c>
      <c r="AC468" s="41">
        <f t="shared" si="151"/>
        <v>0</v>
      </c>
      <c r="AD468" s="70" t="s">
        <v>308</v>
      </c>
      <c r="AE468" s="70"/>
      <c r="AF468" s="1">
        <v>15950000</v>
      </c>
      <c r="AG468" s="5">
        <f t="shared" si="152"/>
        <v>0</v>
      </c>
      <c r="AH468" s="5"/>
    </row>
    <row r="469" spans="1:34" s="1" customFormat="1" x14ac:dyDescent="0.25">
      <c r="A469" s="21">
        <v>69</v>
      </c>
      <c r="B469" s="22" t="s">
        <v>1691</v>
      </c>
      <c r="C469" s="22" t="s">
        <v>156</v>
      </c>
      <c r="D469" s="51" t="s">
        <v>551</v>
      </c>
      <c r="E469" s="24" t="s">
        <v>471</v>
      </c>
      <c r="F469" s="24"/>
      <c r="G469" s="24" t="s">
        <v>194</v>
      </c>
      <c r="H469" s="24" t="s">
        <v>62</v>
      </c>
      <c r="I469" s="24">
        <v>2015</v>
      </c>
      <c r="J469" s="24"/>
      <c r="K469" s="24" t="s">
        <v>63</v>
      </c>
      <c r="L469" s="24" t="s">
        <v>64</v>
      </c>
      <c r="M469" s="24">
        <v>1</v>
      </c>
      <c r="N469" s="41">
        <f t="shared" si="157"/>
        <v>7975000</v>
      </c>
      <c r="O469" s="41">
        <v>7975000</v>
      </c>
      <c r="P469" s="24"/>
      <c r="Q469" s="24"/>
      <c r="R469" s="24"/>
      <c r="S469" s="41">
        <f t="shared" si="150"/>
        <v>7975000</v>
      </c>
      <c r="T469" s="24">
        <v>5</v>
      </c>
      <c r="U469" s="41">
        <f t="shared" si="160"/>
        <v>1595000</v>
      </c>
      <c r="V469" s="24">
        <v>0.5</v>
      </c>
      <c r="W469" s="41"/>
      <c r="X469" s="24"/>
      <c r="Y469" s="41">
        <f t="shared" ref="Y469:Y498" si="162">SUM(U469*X469)</f>
        <v>0</v>
      </c>
      <c r="Z469" s="41"/>
      <c r="AA469" s="72">
        <v>5</v>
      </c>
      <c r="AB469" s="41">
        <f t="shared" si="161"/>
        <v>7975000</v>
      </c>
      <c r="AC469" s="41">
        <f t="shared" si="151"/>
        <v>0</v>
      </c>
      <c r="AD469" s="70" t="s">
        <v>365</v>
      </c>
      <c r="AE469" s="70"/>
      <c r="AF469" s="1">
        <v>7975000</v>
      </c>
      <c r="AG469" s="5">
        <f t="shared" si="152"/>
        <v>0</v>
      </c>
      <c r="AH469" s="5"/>
    </row>
    <row r="470" spans="1:34" s="1" customFormat="1" x14ac:dyDescent="0.25">
      <c r="A470" s="21">
        <v>70</v>
      </c>
      <c r="B470" s="22" t="s">
        <v>1691</v>
      </c>
      <c r="C470" s="22" t="s">
        <v>159</v>
      </c>
      <c r="D470" s="51" t="s">
        <v>552</v>
      </c>
      <c r="E470" s="24" t="s">
        <v>471</v>
      </c>
      <c r="F470" s="24"/>
      <c r="G470" s="24" t="s">
        <v>194</v>
      </c>
      <c r="H470" s="24" t="s">
        <v>62</v>
      </c>
      <c r="I470" s="24">
        <v>2015</v>
      </c>
      <c r="J470" s="24"/>
      <c r="K470" s="24" t="s">
        <v>63</v>
      </c>
      <c r="L470" s="24" t="s">
        <v>64</v>
      </c>
      <c r="M470" s="24">
        <v>1</v>
      </c>
      <c r="N470" s="41">
        <f t="shared" si="157"/>
        <v>4499000</v>
      </c>
      <c r="O470" s="41">
        <v>4499000</v>
      </c>
      <c r="P470" s="24"/>
      <c r="Q470" s="24"/>
      <c r="R470" s="24"/>
      <c r="S470" s="41">
        <f t="shared" si="150"/>
        <v>4499000</v>
      </c>
      <c r="T470" s="24">
        <v>5</v>
      </c>
      <c r="U470" s="41">
        <f t="shared" si="160"/>
        <v>899800</v>
      </c>
      <c r="V470" s="24">
        <v>0.5</v>
      </c>
      <c r="W470" s="41"/>
      <c r="X470" s="24"/>
      <c r="Y470" s="41">
        <f t="shared" si="162"/>
        <v>0</v>
      </c>
      <c r="Z470" s="41"/>
      <c r="AA470" s="72">
        <v>5</v>
      </c>
      <c r="AB470" s="41">
        <f t="shared" si="161"/>
        <v>4499000</v>
      </c>
      <c r="AC470" s="41">
        <f t="shared" si="151"/>
        <v>0</v>
      </c>
      <c r="AD470" s="70" t="s">
        <v>553</v>
      </c>
      <c r="AE470" s="70"/>
      <c r="AF470" s="1">
        <v>4499000</v>
      </c>
      <c r="AG470" s="5">
        <f t="shared" si="152"/>
        <v>0</v>
      </c>
      <c r="AH470" s="5"/>
    </row>
    <row r="471" spans="1:34" s="1" customFormat="1" x14ac:dyDescent="0.25">
      <c r="A471" s="21">
        <v>71</v>
      </c>
      <c r="B471" s="22" t="s">
        <v>1691</v>
      </c>
      <c r="C471" s="22" t="s">
        <v>554</v>
      </c>
      <c r="D471" s="51" t="s">
        <v>555</v>
      </c>
      <c r="E471" s="24" t="s">
        <v>556</v>
      </c>
      <c r="F471" s="24"/>
      <c r="G471" s="24" t="s">
        <v>194</v>
      </c>
      <c r="H471" s="24" t="s">
        <v>62</v>
      </c>
      <c r="I471" s="24">
        <v>2017</v>
      </c>
      <c r="J471" s="24"/>
      <c r="K471" s="24" t="s">
        <v>63</v>
      </c>
      <c r="L471" s="24" t="s">
        <v>64</v>
      </c>
      <c r="M471" s="24">
        <v>2</v>
      </c>
      <c r="N471" s="41">
        <f t="shared" si="157"/>
        <v>7469000</v>
      </c>
      <c r="O471" s="41">
        <v>14938000</v>
      </c>
      <c r="P471" s="24"/>
      <c r="Q471" s="24"/>
      <c r="R471" s="24"/>
      <c r="S471" s="41">
        <f t="shared" si="150"/>
        <v>14938000</v>
      </c>
      <c r="T471" s="24">
        <v>5</v>
      </c>
      <c r="U471" s="41">
        <f t="shared" si="160"/>
        <v>2987600</v>
      </c>
      <c r="V471" s="24"/>
      <c r="W471" s="41">
        <f t="shared" ref="W471:W503" si="163">SUM(U471*V471)</f>
        <v>0</v>
      </c>
      <c r="X471" s="24"/>
      <c r="Y471" s="41"/>
      <c r="Z471" s="41">
        <f>SUM(W471+Y471)</f>
        <v>0</v>
      </c>
      <c r="AA471" s="72">
        <v>5</v>
      </c>
      <c r="AB471" s="41">
        <v>14938000</v>
      </c>
      <c r="AC471" s="41">
        <f t="shared" si="151"/>
        <v>0</v>
      </c>
      <c r="AD471" s="70" t="s">
        <v>226</v>
      </c>
      <c r="AE471" s="70"/>
      <c r="AF471" s="1">
        <v>14938000</v>
      </c>
      <c r="AG471" s="5">
        <f t="shared" si="152"/>
        <v>0</v>
      </c>
      <c r="AH471" s="5"/>
    </row>
    <row r="472" spans="1:34" s="1" customFormat="1" x14ac:dyDescent="0.25">
      <c r="A472" s="21">
        <v>72</v>
      </c>
      <c r="B472" s="22" t="s">
        <v>1691</v>
      </c>
      <c r="C472" s="22" t="s">
        <v>312</v>
      </c>
      <c r="D472" s="51" t="s">
        <v>555</v>
      </c>
      <c r="E472" s="24" t="s">
        <v>556</v>
      </c>
      <c r="F472" s="24"/>
      <c r="G472" s="24" t="s">
        <v>194</v>
      </c>
      <c r="H472" s="24" t="s">
        <v>62</v>
      </c>
      <c r="I472" s="24">
        <v>2017</v>
      </c>
      <c r="J472" s="24"/>
      <c r="K472" s="24" t="s">
        <v>63</v>
      </c>
      <c r="L472" s="24" t="s">
        <v>64</v>
      </c>
      <c r="M472" s="24">
        <v>1</v>
      </c>
      <c r="N472" s="41">
        <f t="shared" si="157"/>
        <v>7469000</v>
      </c>
      <c r="O472" s="41">
        <v>7469000</v>
      </c>
      <c r="P472" s="24"/>
      <c r="Q472" s="24"/>
      <c r="R472" s="24"/>
      <c r="S472" s="41">
        <f t="shared" si="150"/>
        <v>7469000</v>
      </c>
      <c r="T472" s="24">
        <v>5</v>
      </c>
      <c r="U472" s="41">
        <f t="shared" si="160"/>
        <v>1493800</v>
      </c>
      <c r="V472" s="24"/>
      <c r="W472" s="41">
        <f t="shared" si="163"/>
        <v>0</v>
      </c>
      <c r="X472" s="24"/>
      <c r="Y472" s="41"/>
      <c r="Z472" s="41">
        <f>SUM(W472+Y472)</f>
        <v>0</v>
      </c>
      <c r="AA472" s="72">
        <v>5</v>
      </c>
      <c r="AB472" s="41">
        <v>7469000</v>
      </c>
      <c r="AC472" s="41">
        <f t="shared" si="151"/>
        <v>0</v>
      </c>
      <c r="AD472" s="70" t="s">
        <v>557</v>
      </c>
      <c r="AE472" s="70"/>
      <c r="AF472" s="1">
        <v>7469000</v>
      </c>
      <c r="AG472" s="5">
        <f t="shared" si="152"/>
        <v>0</v>
      </c>
      <c r="AH472" s="5"/>
    </row>
    <row r="473" spans="1:34" s="1" customFormat="1" x14ac:dyDescent="0.25">
      <c r="A473" s="21">
        <v>73</v>
      </c>
      <c r="B473" s="22" t="s">
        <v>1691</v>
      </c>
      <c r="C473" s="22" t="s">
        <v>313</v>
      </c>
      <c r="D473" s="51" t="s">
        <v>555</v>
      </c>
      <c r="E473" s="24" t="s">
        <v>556</v>
      </c>
      <c r="F473" s="24"/>
      <c r="G473" s="24" t="s">
        <v>194</v>
      </c>
      <c r="H473" s="24" t="s">
        <v>62</v>
      </c>
      <c r="I473" s="24">
        <v>2017</v>
      </c>
      <c r="J473" s="24"/>
      <c r="K473" s="24" t="s">
        <v>63</v>
      </c>
      <c r="L473" s="24" t="s">
        <v>64</v>
      </c>
      <c r="M473" s="24">
        <v>1</v>
      </c>
      <c r="N473" s="41">
        <f t="shared" si="157"/>
        <v>7469000</v>
      </c>
      <c r="O473" s="41">
        <v>7469000</v>
      </c>
      <c r="P473" s="24"/>
      <c r="Q473" s="24"/>
      <c r="R473" s="24"/>
      <c r="S473" s="41">
        <f t="shared" si="150"/>
        <v>7469000</v>
      </c>
      <c r="T473" s="24">
        <v>5</v>
      </c>
      <c r="U473" s="41">
        <f t="shared" si="160"/>
        <v>1493800</v>
      </c>
      <c r="V473" s="24"/>
      <c r="W473" s="41">
        <f t="shared" si="163"/>
        <v>0</v>
      </c>
      <c r="X473" s="24"/>
      <c r="Y473" s="41"/>
      <c r="Z473" s="41">
        <f>SUM(W473+Y473)</f>
        <v>0</v>
      </c>
      <c r="AA473" s="72">
        <v>5</v>
      </c>
      <c r="AB473" s="41">
        <v>7469000</v>
      </c>
      <c r="AC473" s="41">
        <f t="shared" si="151"/>
        <v>0</v>
      </c>
      <c r="AD473" s="70" t="s">
        <v>558</v>
      </c>
      <c r="AE473" s="70"/>
      <c r="AF473" s="1">
        <v>7469000</v>
      </c>
      <c r="AG473" s="5">
        <f t="shared" si="152"/>
        <v>0</v>
      </c>
      <c r="AH473" s="5"/>
    </row>
    <row r="474" spans="1:34" s="1" customFormat="1" x14ac:dyDescent="0.25">
      <c r="A474" s="21">
        <v>74</v>
      </c>
      <c r="B474" s="22" t="s">
        <v>1691</v>
      </c>
      <c r="C474" s="22" t="s">
        <v>559</v>
      </c>
      <c r="D474" s="51" t="s">
        <v>555</v>
      </c>
      <c r="E474" s="24" t="s">
        <v>560</v>
      </c>
      <c r="F474" s="24"/>
      <c r="G474" s="24" t="s">
        <v>194</v>
      </c>
      <c r="H474" s="24" t="s">
        <v>62</v>
      </c>
      <c r="I474" s="24">
        <v>2018</v>
      </c>
      <c r="J474" s="24"/>
      <c r="K474" s="24" t="s">
        <v>63</v>
      </c>
      <c r="L474" s="24" t="s">
        <v>64</v>
      </c>
      <c r="M474" s="24">
        <v>1</v>
      </c>
      <c r="N474" s="41">
        <f t="shared" si="157"/>
        <v>5940000</v>
      </c>
      <c r="O474" s="41">
        <v>5940000</v>
      </c>
      <c r="P474" s="24"/>
      <c r="Q474" s="24"/>
      <c r="R474" s="24"/>
      <c r="S474" s="41">
        <f t="shared" si="150"/>
        <v>5940000</v>
      </c>
      <c r="T474" s="24">
        <v>5</v>
      </c>
      <c r="U474" s="41">
        <f t="shared" si="160"/>
        <v>1188000</v>
      </c>
      <c r="V474" s="24">
        <v>0.5</v>
      </c>
      <c r="W474" s="41">
        <f>SUM(U474*V474)-198000</f>
        <v>396000</v>
      </c>
      <c r="X474" s="24"/>
      <c r="Y474" s="41">
        <f t="shared" si="162"/>
        <v>0</v>
      </c>
      <c r="Z474" s="41">
        <f t="shared" ref="Z474:Z503" si="164">SUM(W474+Y474)</f>
        <v>396000</v>
      </c>
      <c r="AA474" s="72">
        <f t="shared" ref="AA474:AA482" si="165">2023-I474+V474+X474-4/12-2/12</f>
        <v>5</v>
      </c>
      <c r="AB474" s="41">
        <f t="shared" si="161"/>
        <v>5940000</v>
      </c>
      <c r="AC474" s="41">
        <f t="shared" si="151"/>
        <v>0</v>
      </c>
      <c r="AD474" s="70" t="s">
        <v>365</v>
      </c>
      <c r="AE474" s="70"/>
      <c r="AF474" s="1">
        <v>5544000</v>
      </c>
      <c r="AG474" s="5">
        <f t="shared" si="152"/>
        <v>0</v>
      </c>
      <c r="AH474" s="5"/>
    </row>
    <row r="475" spans="1:34" s="1" customFormat="1" x14ac:dyDescent="0.25">
      <c r="A475" s="21">
        <v>75</v>
      </c>
      <c r="B475" s="22" t="s">
        <v>1691</v>
      </c>
      <c r="C475" s="22" t="s">
        <v>561</v>
      </c>
      <c r="D475" s="51" t="s">
        <v>555</v>
      </c>
      <c r="E475" s="24" t="s">
        <v>560</v>
      </c>
      <c r="F475" s="24"/>
      <c r="G475" s="24" t="s">
        <v>194</v>
      </c>
      <c r="H475" s="24" t="s">
        <v>62</v>
      </c>
      <c r="I475" s="24">
        <v>2018</v>
      </c>
      <c r="J475" s="24"/>
      <c r="K475" s="24" t="s">
        <v>63</v>
      </c>
      <c r="L475" s="24" t="s">
        <v>64</v>
      </c>
      <c r="M475" s="24">
        <v>1</v>
      </c>
      <c r="N475" s="41">
        <f t="shared" si="157"/>
        <v>5940000</v>
      </c>
      <c r="O475" s="41">
        <v>5940000</v>
      </c>
      <c r="P475" s="24"/>
      <c r="Q475" s="24"/>
      <c r="R475" s="24"/>
      <c r="S475" s="41">
        <f t="shared" si="150"/>
        <v>5940000</v>
      </c>
      <c r="T475" s="24">
        <v>5</v>
      </c>
      <c r="U475" s="41">
        <f t="shared" si="160"/>
        <v>1188000</v>
      </c>
      <c r="V475" s="24">
        <v>0.5</v>
      </c>
      <c r="W475" s="41">
        <f>SUM(U475*V475)-198000</f>
        <v>396000</v>
      </c>
      <c r="X475" s="24"/>
      <c r="Y475" s="41">
        <f t="shared" si="162"/>
        <v>0</v>
      </c>
      <c r="Z475" s="41">
        <f t="shared" si="164"/>
        <v>396000</v>
      </c>
      <c r="AA475" s="72">
        <f t="shared" si="165"/>
        <v>5</v>
      </c>
      <c r="AB475" s="41">
        <f t="shared" si="161"/>
        <v>5940000</v>
      </c>
      <c r="AC475" s="41">
        <f t="shared" si="151"/>
        <v>0</v>
      </c>
      <c r="AD475" s="70" t="s">
        <v>562</v>
      </c>
      <c r="AE475" s="70"/>
      <c r="AF475" s="1">
        <v>5544000</v>
      </c>
      <c r="AG475" s="5">
        <f t="shared" si="152"/>
        <v>0</v>
      </c>
      <c r="AH475" s="5"/>
    </row>
    <row r="476" spans="1:34" s="1" customFormat="1" x14ac:dyDescent="0.25">
      <c r="A476" s="21">
        <v>76</v>
      </c>
      <c r="B476" s="22" t="s">
        <v>1691</v>
      </c>
      <c r="C476" s="22" t="s">
        <v>563</v>
      </c>
      <c r="D476" s="51" t="s">
        <v>555</v>
      </c>
      <c r="E476" s="24" t="s">
        <v>560</v>
      </c>
      <c r="F476" s="24"/>
      <c r="G476" s="24" t="s">
        <v>194</v>
      </c>
      <c r="H476" s="24" t="s">
        <v>62</v>
      </c>
      <c r="I476" s="24">
        <v>2018</v>
      </c>
      <c r="J476" s="24"/>
      <c r="K476" s="24" t="s">
        <v>63</v>
      </c>
      <c r="L476" s="24" t="s">
        <v>64</v>
      </c>
      <c r="M476" s="24">
        <v>2</v>
      </c>
      <c r="N476" s="41">
        <f t="shared" si="157"/>
        <v>5940000</v>
      </c>
      <c r="O476" s="41">
        <v>11880000</v>
      </c>
      <c r="P476" s="24"/>
      <c r="Q476" s="24"/>
      <c r="R476" s="24"/>
      <c r="S476" s="41">
        <f t="shared" si="150"/>
        <v>11880000</v>
      </c>
      <c r="T476" s="24">
        <v>5</v>
      </c>
      <c r="U476" s="41">
        <f t="shared" si="160"/>
        <v>2376000</v>
      </c>
      <c r="V476" s="24">
        <v>0.5</v>
      </c>
      <c r="W476" s="41">
        <f>SUM(U476*V476)-396000</f>
        <v>792000</v>
      </c>
      <c r="X476" s="24"/>
      <c r="Y476" s="41">
        <f t="shared" si="162"/>
        <v>0</v>
      </c>
      <c r="Z476" s="41">
        <f t="shared" si="164"/>
        <v>792000</v>
      </c>
      <c r="AA476" s="72">
        <f t="shared" si="165"/>
        <v>5</v>
      </c>
      <c r="AB476" s="41">
        <f t="shared" si="161"/>
        <v>11880000</v>
      </c>
      <c r="AC476" s="41">
        <f t="shared" si="151"/>
        <v>0</v>
      </c>
      <c r="AD476" s="70" t="s">
        <v>213</v>
      </c>
      <c r="AE476" s="70"/>
      <c r="AF476" s="1">
        <v>11088000</v>
      </c>
      <c r="AG476" s="5">
        <f t="shared" si="152"/>
        <v>0</v>
      </c>
      <c r="AH476" s="5"/>
    </row>
    <row r="477" spans="1:34" s="1" customFormat="1" x14ac:dyDescent="0.25">
      <c r="A477" s="21">
        <v>77</v>
      </c>
      <c r="B477" s="22" t="s">
        <v>1691</v>
      </c>
      <c r="C477" s="22" t="s">
        <v>227</v>
      </c>
      <c r="D477" s="51" t="s">
        <v>555</v>
      </c>
      <c r="E477" s="24" t="s">
        <v>560</v>
      </c>
      <c r="F477" s="24"/>
      <c r="G477" s="24" t="s">
        <v>194</v>
      </c>
      <c r="H477" s="24" t="s">
        <v>62</v>
      </c>
      <c r="I477" s="24">
        <v>2018</v>
      </c>
      <c r="J477" s="24"/>
      <c r="K477" s="24" t="s">
        <v>63</v>
      </c>
      <c r="L477" s="24" t="s">
        <v>64</v>
      </c>
      <c r="M477" s="24">
        <v>1</v>
      </c>
      <c r="N477" s="41">
        <f t="shared" si="157"/>
        <v>5940000</v>
      </c>
      <c r="O477" s="41">
        <v>5940000</v>
      </c>
      <c r="P477" s="24"/>
      <c r="Q477" s="24"/>
      <c r="R477" s="24"/>
      <c r="S477" s="41">
        <f t="shared" si="150"/>
        <v>5940000</v>
      </c>
      <c r="T477" s="24">
        <v>5</v>
      </c>
      <c r="U477" s="41">
        <f t="shared" si="160"/>
        <v>1188000</v>
      </c>
      <c r="V477" s="24">
        <v>0.5</v>
      </c>
      <c r="W477" s="41">
        <f t="shared" ref="W477:W482" si="166">SUM(U477*V477)-198000</f>
        <v>396000</v>
      </c>
      <c r="X477" s="24"/>
      <c r="Y477" s="41">
        <f t="shared" si="162"/>
        <v>0</v>
      </c>
      <c r="Z477" s="41">
        <f t="shared" si="164"/>
        <v>396000</v>
      </c>
      <c r="AA477" s="72">
        <f t="shared" si="165"/>
        <v>5</v>
      </c>
      <c r="AB477" s="41">
        <f t="shared" si="161"/>
        <v>5940000</v>
      </c>
      <c r="AC477" s="41">
        <f t="shared" si="151"/>
        <v>0</v>
      </c>
      <c r="AD477" s="70" t="s">
        <v>557</v>
      </c>
      <c r="AE477" s="70"/>
      <c r="AF477" s="1">
        <v>5544000</v>
      </c>
      <c r="AG477" s="5">
        <f t="shared" si="152"/>
        <v>0</v>
      </c>
      <c r="AH477" s="5"/>
    </row>
    <row r="478" spans="1:34" s="1" customFormat="1" x14ac:dyDescent="0.25">
      <c r="A478" s="21">
        <v>78</v>
      </c>
      <c r="B478" s="22" t="s">
        <v>1691</v>
      </c>
      <c r="C478" s="22" t="s">
        <v>230</v>
      </c>
      <c r="D478" s="51" t="s">
        <v>555</v>
      </c>
      <c r="E478" s="24" t="s">
        <v>560</v>
      </c>
      <c r="F478" s="24"/>
      <c r="G478" s="24" t="s">
        <v>194</v>
      </c>
      <c r="H478" s="24" t="s">
        <v>62</v>
      </c>
      <c r="I478" s="24">
        <v>2018</v>
      </c>
      <c r="J478" s="24"/>
      <c r="K478" s="24" t="s">
        <v>63</v>
      </c>
      <c r="L478" s="24" t="s">
        <v>64</v>
      </c>
      <c r="M478" s="24">
        <v>1</v>
      </c>
      <c r="N478" s="41">
        <f t="shared" si="157"/>
        <v>5940000</v>
      </c>
      <c r="O478" s="41">
        <v>5940000</v>
      </c>
      <c r="P478" s="24"/>
      <c r="Q478" s="24"/>
      <c r="R478" s="24"/>
      <c r="S478" s="41">
        <f t="shared" si="150"/>
        <v>5940000</v>
      </c>
      <c r="T478" s="24">
        <v>5</v>
      </c>
      <c r="U478" s="41">
        <f t="shared" si="160"/>
        <v>1188000</v>
      </c>
      <c r="V478" s="24">
        <v>0.5</v>
      </c>
      <c r="W478" s="41">
        <f t="shared" si="166"/>
        <v>396000</v>
      </c>
      <c r="X478" s="24"/>
      <c r="Y478" s="41">
        <f t="shared" si="162"/>
        <v>0</v>
      </c>
      <c r="Z478" s="41">
        <f t="shared" si="164"/>
        <v>396000</v>
      </c>
      <c r="AA478" s="72">
        <f t="shared" si="165"/>
        <v>5</v>
      </c>
      <c r="AB478" s="41">
        <f t="shared" si="161"/>
        <v>5940000</v>
      </c>
      <c r="AC478" s="41">
        <f t="shared" si="151"/>
        <v>0</v>
      </c>
      <c r="AD478" s="70" t="s">
        <v>373</v>
      </c>
      <c r="AE478" s="70"/>
      <c r="AF478" s="1">
        <v>5544000</v>
      </c>
      <c r="AG478" s="5">
        <f t="shared" si="152"/>
        <v>0</v>
      </c>
      <c r="AH478" s="5"/>
    </row>
    <row r="479" spans="1:34" s="1" customFormat="1" x14ac:dyDescent="0.25">
      <c r="A479" s="21">
        <v>79</v>
      </c>
      <c r="B479" s="22" t="s">
        <v>1691</v>
      </c>
      <c r="C479" s="22" t="s">
        <v>232</v>
      </c>
      <c r="D479" s="51" t="s">
        <v>555</v>
      </c>
      <c r="E479" s="24" t="s">
        <v>560</v>
      </c>
      <c r="F479" s="24"/>
      <c r="G479" s="24" t="s">
        <v>194</v>
      </c>
      <c r="H479" s="24" t="s">
        <v>62</v>
      </c>
      <c r="I479" s="24">
        <v>2018</v>
      </c>
      <c r="J479" s="24"/>
      <c r="K479" s="24" t="s">
        <v>63</v>
      </c>
      <c r="L479" s="24" t="s">
        <v>64</v>
      </c>
      <c r="M479" s="24">
        <v>1</v>
      </c>
      <c r="N479" s="41">
        <f t="shared" si="157"/>
        <v>5940000</v>
      </c>
      <c r="O479" s="41">
        <v>5940000</v>
      </c>
      <c r="P479" s="24"/>
      <c r="Q479" s="24"/>
      <c r="R479" s="24"/>
      <c r="S479" s="41">
        <f t="shared" si="150"/>
        <v>5940000</v>
      </c>
      <c r="T479" s="24">
        <v>5</v>
      </c>
      <c r="U479" s="41">
        <f t="shared" si="160"/>
        <v>1188000</v>
      </c>
      <c r="V479" s="24">
        <v>0.5</v>
      </c>
      <c r="W479" s="41">
        <f t="shared" si="166"/>
        <v>396000</v>
      </c>
      <c r="X479" s="24"/>
      <c r="Y479" s="41">
        <f t="shared" si="162"/>
        <v>0</v>
      </c>
      <c r="Z479" s="41">
        <f t="shared" si="164"/>
        <v>396000</v>
      </c>
      <c r="AA479" s="72">
        <f t="shared" si="165"/>
        <v>5</v>
      </c>
      <c r="AB479" s="41">
        <f t="shared" si="161"/>
        <v>5940000</v>
      </c>
      <c r="AC479" s="41">
        <f t="shared" si="151"/>
        <v>0</v>
      </c>
      <c r="AD479" s="70" t="s">
        <v>363</v>
      </c>
      <c r="AE479" s="70"/>
      <c r="AF479" s="1">
        <v>5544000</v>
      </c>
      <c r="AG479" s="5">
        <f t="shared" si="152"/>
        <v>0</v>
      </c>
      <c r="AH479" s="5"/>
    </row>
    <row r="480" spans="1:34" s="1" customFormat="1" x14ac:dyDescent="0.25">
      <c r="A480" s="21">
        <v>80</v>
      </c>
      <c r="B480" s="22" t="s">
        <v>1691</v>
      </c>
      <c r="C480" s="22" t="s">
        <v>234</v>
      </c>
      <c r="D480" s="51" t="s">
        <v>555</v>
      </c>
      <c r="E480" s="24" t="s">
        <v>560</v>
      </c>
      <c r="F480" s="24"/>
      <c r="G480" s="24" t="s">
        <v>194</v>
      </c>
      <c r="H480" s="24" t="s">
        <v>62</v>
      </c>
      <c r="I480" s="24">
        <v>2018</v>
      </c>
      <c r="J480" s="24"/>
      <c r="K480" s="24" t="s">
        <v>63</v>
      </c>
      <c r="L480" s="24" t="s">
        <v>64</v>
      </c>
      <c r="M480" s="24">
        <v>1</v>
      </c>
      <c r="N480" s="41">
        <f t="shared" si="157"/>
        <v>5940000</v>
      </c>
      <c r="O480" s="41">
        <v>5940000</v>
      </c>
      <c r="P480" s="24"/>
      <c r="Q480" s="24"/>
      <c r="R480" s="24"/>
      <c r="S480" s="41">
        <f t="shared" si="150"/>
        <v>5940000</v>
      </c>
      <c r="T480" s="24">
        <v>5</v>
      </c>
      <c r="U480" s="41">
        <f t="shared" si="160"/>
        <v>1188000</v>
      </c>
      <c r="V480" s="24">
        <v>0.5</v>
      </c>
      <c r="W480" s="41">
        <f t="shared" si="166"/>
        <v>396000</v>
      </c>
      <c r="X480" s="24"/>
      <c r="Y480" s="41">
        <f t="shared" si="162"/>
        <v>0</v>
      </c>
      <c r="Z480" s="41">
        <f t="shared" si="164"/>
        <v>396000</v>
      </c>
      <c r="AA480" s="72">
        <f t="shared" si="165"/>
        <v>5</v>
      </c>
      <c r="AB480" s="41">
        <f t="shared" si="161"/>
        <v>5940000</v>
      </c>
      <c r="AC480" s="41">
        <f t="shared" si="151"/>
        <v>0</v>
      </c>
      <c r="AD480" s="70" t="s">
        <v>564</v>
      </c>
      <c r="AE480" s="70"/>
      <c r="AF480" s="1">
        <v>5544000</v>
      </c>
      <c r="AG480" s="5">
        <f t="shared" si="152"/>
        <v>0</v>
      </c>
      <c r="AH480" s="5"/>
    </row>
    <row r="481" spans="1:34" s="1" customFormat="1" x14ac:dyDescent="0.25">
      <c r="A481" s="21">
        <v>81</v>
      </c>
      <c r="B481" s="22" t="s">
        <v>1691</v>
      </c>
      <c r="C481" s="22" t="s">
        <v>236</v>
      </c>
      <c r="D481" s="51" t="s">
        <v>555</v>
      </c>
      <c r="E481" s="24" t="s">
        <v>560</v>
      </c>
      <c r="F481" s="24"/>
      <c r="G481" s="24" t="s">
        <v>194</v>
      </c>
      <c r="H481" s="24" t="s">
        <v>62</v>
      </c>
      <c r="I481" s="24">
        <v>2018</v>
      </c>
      <c r="J481" s="24"/>
      <c r="K481" s="24" t="s">
        <v>63</v>
      </c>
      <c r="L481" s="24" t="s">
        <v>64</v>
      </c>
      <c r="M481" s="24">
        <v>1</v>
      </c>
      <c r="N481" s="41">
        <f t="shared" si="157"/>
        <v>5940000</v>
      </c>
      <c r="O481" s="41">
        <v>5940000</v>
      </c>
      <c r="P481" s="24"/>
      <c r="Q481" s="24"/>
      <c r="R481" s="24"/>
      <c r="S481" s="41">
        <f t="shared" si="150"/>
        <v>5940000</v>
      </c>
      <c r="T481" s="24">
        <v>5</v>
      </c>
      <c r="U481" s="41">
        <f t="shared" si="160"/>
        <v>1188000</v>
      </c>
      <c r="V481" s="24">
        <v>0.5</v>
      </c>
      <c r="W481" s="41">
        <f t="shared" si="166"/>
        <v>396000</v>
      </c>
      <c r="X481" s="24"/>
      <c r="Y481" s="53">
        <f t="shared" si="162"/>
        <v>0</v>
      </c>
      <c r="Z481" s="53">
        <f t="shared" si="164"/>
        <v>396000</v>
      </c>
      <c r="AA481" s="72">
        <f t="shared" si="165"/>
        <v>5</v>
      </c>
      <c r="AB481" s="53">
        <f t="shared" si="161"/>
        <v>5940000</v>
      </c>
      <c r="AC481" s="53">
        <f t="shared" si="151"/>
        <v>0</v>
      </c>
      <c r="AD481" s="70" t="s">
        <v>245</v>
      </c>
      <c r="AE481" s="70"/>
      <c r="AF481" s="1">
        <v>5544000</v>
      </c>
      <c r="AG481" s="5">
        <f t="shared" si="152"/>
        <v>0</v>
      </c>
      <c r="AH481" s="5"/>
    </row>
    <row r="482" spans="1:34" s="1" customFormat="1" x14ac:dyDescent="0.25">
      <c r="A482" s="21">
        <v>82</v>
      </c>
      <c r="B482" s="22" t="s">
        <v>1691</v>
      </c>
      <c r="C482" s="22" t="s">
        <v>238</v>
      </c>
      <c r="D482" s="51" t="s">
        <v>555</v>
      </c>
      <c r="E482" s="24" t="s">
        <v>560</v>
      </c>
      <c r="F482" s="24"/>
      <c r="G482" s="24" t="s">
        <v>194</v>
      </c>
      <c r="H482" s="24" t="s">
        <v>62</v>
      </c>
      <c r="I482" s="24">
        <v>2018</v>
      </c>
      <c r="J482" s="24"/>
      <c r="K482" s="24" t="s">
        <v>63</v>
      </c>
      <c r="L482" s="24" t="s">
        <v>64</v>
      </c>
      <c r="M482" s="24">
        <v>1</v>
      </c>
      <c r="N482" s="41">
        <f t="shared" si="157"/>
        <v>5940000</v>
      </c>
      <c r="O482" s="41">
        <v>5940000</v>
      </c>
      <c r="P482" s="24"/>
      <c r="Q482" s="24"/>
      <c r="R482" s="24"/>
      <c r="S482" s="41">
        <f t="shared" si="150"/>
        <v>5940000</v>
      </c>
      <c r="T482" s="24">
        <v>5</v>
      </c>
      <c r="U482" s="41">
        <f t="shared" si="160"/>
        <v>1188000</v>
      </c>
      <c r="V482" s="24">
        <v>0.5</v>
      </c>
      <c r="W482" s="41">
        <f t="shared" si="166"/>
        <v>396000</v>
      </c>
      <c r="X482" s="24"/>
      <c r="Y482" s="53">
        <f t="shared" si="162"/>
        <v>0</v>
      </c>
      <c r="Z482" s="53">
        <f t="shared" si="164"/>
        <v>396000</v>
      </c>
      <c r="AA482" s="72">
        <f t="shared" si="165"/>
        <v>5</v>
      </c>
      <c r="AB482" s="53">
        <f t="shared" si="161"/>
        <v>5940000</v>
      </c>
      <c r="AC482" s="53">
        <f t="shared" si="151"/>
        <v>0</v>
      </c>
      <c r="AD482" s="70" t="s">
        <v>565</v>
      </c>
      <c r="AE482" s="70"/>
      <c r="AF482" s="1">
        <v>5544000</v>
      </c>
      <c r="AG482" s="5">
        <f t="shared" si="152"/>
        <v>0</v>
      </c>
      <c r="AH482" s="5"/>
    </row>
    <row r="483" spans="1:34" s="1" customFormat="1" x14ac:dyDescent="0.25">
      <c r="A483" s="21">
        <v>83</v>
      </c>
      <c r="B483" s="22" t="s">
        <v>1691</v>
      </c>
      <c r="C483" s="50" t="s">
        <v>251</v>
      </c>
      <c r="D483" s="51" t="s">
        <v>555</v>
      </c>
      <c r="E483" s="52" t="s">
        <v>566</v>
      </c>
      <c r="F483" s="52"/>
      <c r="G483" s="52" t="s">
        <v>194</v>
      </c>
      <c r="H483" s="52" t="s">
        <v>62</v>
      </c>
      <c r="I483" s="52">
        <v>2019</v>
      </c>
      <c r="J483" s="52"/>
      <c r="K483" s="52" t="s">
        <v>63</v>
      </c>
      <c r="L483" s="52" t="s">
        <v>64</v>
      </c>
      <c r="M483" s="52">
        <v>5</v>
      </c>
      <c r="N483" s="53">
        <f t="shared" si="157"/>
        <v>4996200</v>
      </c>
      <c r="O483" s="53">
        <v>24981000</v>
      </c>
      <c r="P483" s="52"/>
      <c r="Q483" s="52"/>
      <c r="R483" s="52"/>
      <c r="S483" s="53">
        <f t="shared" si="150"/>
        <v>24981000</v>
      </c>
      <c r="T483" s="52">
        <v>5</v>
      </c>
      <c r="U483" s="53">
        <f t="shared" si="160"/>
        <v>4996200</v>
      </c>
      <c r="V483" s="52">
        <v>0.5</v>
      </c>
      <c r="W483" s="53">
        <f t="shared" si="163"/>
        <v>2498100</v>
      </c>
      <c r="X483" s="24"/>
      <c r="Y483" s="53">
        <f t="shared" si="162"/>
        <v>0</v>
      </c>
      <c r="Z483" s="53">
        <f t="shared" si="164"/>
        <v>2498100</v>
      </c>
      <c r="AA483" s="72">
        <f>2023-I483+V483+X483-4/12</f>
        <v>4.166666666666667</v>
      </c>
      <c r="AB483" s="53">
        <f t="shared" si="161"/>
        <v>20817500</v>
      </c>
      <c r="AC483" s="53">
        <f t="shared" si="151"/>
        <v>4163500</v>
      </c>
      <c r="AD483" s="70" t="s">
        <v>367</v>
      </c>
      <c r="AE483" s="70"/>
      <c r="AF483" s="1">
        <v>18319400</v>
      </c>
      <c r="AG483" s="5">
        <f t="shared" si="152"/>
        <v>0</v>
      </c>
      <c r="AH483" s="5"/>
    </row>
    <row r="484" spans="1:34" s="1" customFormat="1" x14ac:dyDescent="0.25">
      <c r="A484" s="21">
        <v>84</v>
      </c>
      <c r="B484" s="22" t="s">
        <v>1691</v>
      </c>
      <c r="C484" s="50" t="s">
        <v>567</v>
      </c>
      <c r="D484" s="51" t="s">
        <v>555</v>
      </c>
      <c r="E484" s="52" t="s">
        <v>566</v>
      </c>
      <c r="F484" s="52"/>
      <c r="G484" s="52" t="s">
        <v>194</v>
      </c>
      <c r="H484" s="52" t="s">
        <v>62</v>
      </c>
      <c r="I484" s="52">
        <v>2019</v>
      </c>
      <c r="J484" s="52"/>
      <c r="K484" s="52" t="s">
        <v>63</v>
      </c>
      <c r="L484" s="52" t="s">
        <v>64</v>
      </c>
      <c r="M484" s="52">
        <v>2</v>
      </c>
      <c r="N484" s="53">
        <f t="shared" si="157"/>
        <v>4996200</v>
      </c>
      <c r="O484" s="53">
        <v>9992400</v>
      </c>
      <c r="P484" s="52"/>
      <c r="Q484" s="52"/>
      <c r="R484" s="52"/>
      <c r="S484" s="53">
        <f t="shared" si="150"/>
        <v>9992400</v>
      </c>
      <c r="T484" s="52">
        <v>5</v>
      </c>
      <c r="U484" s="53">
        <f t="shared" si="160"/>
        <v>1998480</v>
      </c>
      <c r="V484" s="52">
        <v>0.5</v>
      </c>
      <c r="W484" s="53">
        <f t="shared" si="163"/>
        <v>999240</v>
      </c>
      <c r="X484" s="24"/>
      <c r="Y484" s="53">
        <f t="shared" si="162"/>
        <v>0</v>
      </c>
      <c r="Z484" s="53">
        <f t="shared" si="164"/>
        <v>999240</v>
      </c>
      <c r="AA484" s="72">
        <f>2023-I484+V484+X484-4/12</f>
        <v>4.166666666666667</v>
      </c>
      <c r="AB484" s="53">
        <f t="shared" si="161"/>
        <v>8327000.0000000009</v>
      </c>
      <c r="AC484" s="53">
        <f t="shared" si="151"/>
        <v>1665399.9999999991</v>
      </c>
      <c r="AD484" s="70" t="s">
        <v>370</v>
      </c>
      <c r="AE484" s="70"/>
      <c r="AF484" s="1">
        <v>7327760</v>
      </c>
      <c r="AG484" s="5">
        <f t="shared" si="152"/>
        <v>0</v>
      </c>
      <c r="AH484" s="5"/>
    </row>
    <row r="485" spans="1:34" s="1" customFormat="1" x14ac:dyDescent="0.25">
      <c r="A485" s="21">
        <v>85</v>
      </c>
      <c r="B485" s="22" t="s">
        <v>1691</v>
      </c>
      <c r="C485" s="50" t="s">
        <v>568</v>
      </c>
      <c r="D485" s="51" t="s">
        <v>555</v>
      </c>
      <c r="E485" s="52" t="s">
        <v>566</v>
      </c>
      <c r="F485" s="52"/>
      <c r="G485" s="52" t="s">
        <v>194</v>
      </c>
      <c r="H485" s="52" t="s">
        <v>62</v>
      </c>
      <c r="I485" s="52">
        <v>2019</v>
      </c>
      <c r="J485" s="52"/>
      <c r="K485" s="52" t="s">
        <v>63</v>
      </c>
      <c r="L485" s="52" t="s">
        <v>64</v>
      </c>
      <c r="M485" s="52">
        <v>13</v>
      </c>
      <c r="N485" s="53">
        <f t="shared" si="157"/>
        <v>4996200</v>
      </c>
      <c r="O485" s="53">
        <v>64950600</v>
      </c>
      <c r="P485" s="52"/>
      <c r="Q485" s="52"/>
      <c r="R485" s="52"/>
      <c r="S485" s="53">
        <f t="shared" si="150"/>
        <v>64950600</v>
      </c>
      <c r="T485" s="52">
        <v>5</v>
      </c>
      <c r="U485" s="53">
        <f t="shared" si="160"/>
        <v>12990120</v>
      </c>
      <c r="V485" s="52">
        <v>0.5</v>
      </c>
      <c r="W485" s="53">
        <f t="shared" si="163"/>
        <v>6495060</v>
      </c>
      <c r="X485" s="24"/>
      <c r="Y485" s="53">
        <f t="shared" si="162"/>
        <v>0</v>
      </c>
      <c r="Z485" s="53">
        <f t="shared" si="164"/>
        <v>6495060</v>
      </c>
      <c r="AA485" s="72">
        <f>2023-I485+V485+X485-4/12</f>
        <v>4.166666666666667</v>
      </c>
      <c r="AB485" s="53">
        <f t="shared" si="161"/>
        <v>54125500.000000007</v>
      </c>
      <c r="AC485" s="53">
        <f t="shared" si="151"/>
        <v>10825099.999999993</v>
      </c>
      <c r="AD485" s="70" t="s">
        <v>569</v>
      </c>
      <c r="AE485" s="70"/>
      <c r="AF485" s="1">
        <v>47630440</v>
      </c>
      <c r="AG485" s="5">
        <f t="shared" si="152"/>
        <v>0</v>
      </c>
      <c r="AH485" s="5"/>
    </row>
    <row r="486" spans="1:34" s="1" customFormat="1" x14ac:dyDescent="0.25">
      <c r="A486" s="21">
        <v>86</v>
      </c>
      <c r="B486" s="22" t="s">
        <v>1691</v>
      </c>
      <c r="C486" s="50" t="s">
        <v>570</v>
      </c>
      <c r="D486" s="51" t="s">
        <v>555</v>
      </c>
      <c r="E486" s="52" t="s">
        <v>571</v>
      </c>
      <c r="F486" s="52"/>
      <c r="G486" s="52" t="s">
        <v>194</v>
      </c>
      <c r="H486" s="52" t="s">
        <v>62</v>
      </c>
      <c r="I486" s="52">
        <v>2019</v>
      </c>
      <c r="J486" s="52"/>
      <c r="K486" s="52" t="s">
        <v>63</v>
      </c>
      <c r="L486" s="52" t="s">
        <v>64</v>
      </c>
      <c r="M486" s="52">
        <v>3</v>
      </c>
      <c r="N486" s="53">
        <v>4996200</v>
      </c>
      <c r="O486" s="53">
        <f>N486*M486</f>
        <v>14988600</v>
      </c>
      <c r="P486" s="52"/>
      <c r="Q486" s="52"/>
      <c r="R486" s="52"/>
      <c r="S486" s="53">
        <f t="shared" si="150"/>
        <v>14988600</v>
      </c>
      <c r="T486" s="52">
        <v>5</v>
      </c>
      <c r="U486" s="53">
        <f t="shared" si="160"/>
        <v>2997720</v>
      </c>
      <c r="V486" s="52">
        <v>0.5</v>
      </c>
      <c r="W486" s="53">
        <f t="shared" si="163"/>
        <v>1498860</v>
      </c>
      <c r="X486" s="24"/>
      <c r="Y486" s="53">
        <f t="shared" si="162"/>
        <v>0</v>
      </c>
      <c r="Z486" s="53">
        <f t="shared" si="164"/>
        <v>1498860</v>
      </c>
      <c r="AA486" s="72">
        <f>2023-I486+V486+X486-11/12</f>
        <v>3.5833333333333335</v>
      </c>
      <c r="AB486" s="53">
        <f t="shared" si="161"/>
        <v>10741830</v>
      </c>
      <c r="AC486" s="53">
        <f t="shared" si="151"/>
        <v>4246770</v>
      </c>
      <c r="AD486" s="70"/>
      <c r="AE486" s="70"/>
      <c r="AF486" s="1">
        <v>9242970</v>
      </c>
      <c r="AG486" s="5">
        <f t="shared" si="152"/>
        <v>0</v>
      </c>
      <c r="AH486" s="5"/>
    </row>
    <row r="487" spans="1:34" s="1" customFormat="1" x14ac:dyDescent="0.25">
      <c r="A487" s="21">
        <v>87</v>
      </c>
      <c r="B487" s="22" t="s">
        <v>1691</v>
      </c>
      <c r="C487" s="50" t="s">
        <v>572</v>
      </c>
      <c r="D487" s="51" t="s">
        <v>555</v>
      </c>
      <c r="E487" s="52" t="s">
        <v>571</v>
      </c>
      <c r="F487" s="52"/>
      <c r="G487" s="52" t="s">
        <v>194</v>
      </c>
      <c r="H487" s="52" t="s">
        <v>62</v>
      </c>
      <c r="I487" s="52">
        <v>2019</v>
      </c>
      <c r="J487" s="52"/>
      <c r="K487" s="52" t="s">
        <v>63</v>
      </c>
      <c r="L487" s="52" t="s">
        <v>64</v>
      </c>
      <c r="M487" s="52">
        <v>2</v>
      </c>
      <c r="N487" s="53">
        <v>4996200</v>
      </c>
      <c r="O487" s="53">
        <f>N487*M487</f>
        <v>9992400</v>
      </c>
      <c r="P487" s="52"/>
      <c r="Q487" s="52"/>
      <c r="R487" s="52"/>
      <c r="S487" s="53">
        <f t="shared" si="150"/>
        <v>9992400</v>
      </c>
      <c r="T487" s="52">
        <v>5</v>
      </c>
      <c r="U487" s="53">
        <f t="shared" si="160"/>
        <v>1998480</v>
      </c>
      <c r="V487" s="52">
        <v>0.5</v>
      </c>
      <c r="W487" s="53">
        <f t="shared" si="163"/>
        <v>999240</v>
      </c>
      <c r="X487" s="52"/>
      <c r="Y487" s="53">
        <f t="shared" si="162"/>
        <v>0</v>
      </c>
      <c r="Z487" s="53">
        <f t="shared" si="164"/>
        <v>999240</v>
      </c>
      <c r="AA487" s="57">
        <f>2023-I487+V487+X487-11/12</f>
        <v>3.5833333333333335</v>
      </c>
      <c r="AB487" s="53">
        <f t="shared" si="161"/>
        <v>7161220</v>
      </c>
      <c r="AC487" s="53">
        <f t="shared" si="151"/>
        <v>2831180</v>
      </c>
      <c r="AD487" s="56"/>
      <c r="AE487" s="70"/>
      <c r="AF487" s="1">
        <v>6161980</v>
      </c>
      <c r="AG487" s="5">
        <f t="shared" si="152"/>
        <v>0</v>
      </c>
      <c r="AH487" s="5"/>
    </row>
    <row r="488" spans="1:34" s="1" customFormat="1" x14ac:dyDescent="0.25">
      <c r="A488" s="21">
        <v>88</v>
      </c>
      <c r="B488" s="22" t="s">
        <v>1691</v>
      </c>
      <c r="C488" s="50" t="s">
        <v>573</v>
      </c>
      <c r="D488" s="51" t="s">
        <v>555</v>
      </c>
      <c r="E488" s="52" t="s">
        <v>571</v>
      </c>
      <c r="F488" s="52"/>
      <c r="G488" s="52" t="s">
        <v>194</v>
      </c>
      <c r="H488" s="52" t="s">
        <v>62</v>
      </c>
      <c r="I488" s="52">
        <v>2019</v>
      </c>
      <c r="J488" s="52"/>
      <c r="K488" s="52" t="s">
        <v>63</v>
      </c>
      <c r="L488" s="52" t="s">
        <v>64</v>
      </c>
      <c r="M488" s="52">
        <v>2</v>
      </c>
      <c r="N488" s="53">
        <v>4996200</v>
      </c>
      <c r="O488" s="53">
        <f>N488*M488</f>
        <v>9992400</v>
      </c>
      <c r="P488" s="52"/>
      <c r="Q488" s="52"/>
      <c r="R488" s="52"/>
      <c r="S488" s="53">
        <f t="shared" si="150"/>
        <v>9992400</v>
      </c>
      <c r="T488" s="52">
        <v>5</v>
      </c>
      <c r="U488" s="53">
        <f t="shared" si="160"/>
        <v>1998480</v>
      </c>
      <c r="V488" s="52">
        <v>0.5</v>
      </c>
      <c r="W488" s="53">
        <f t="shared" si="163"/>
        <v>999240</v>
      </c>
      <c r="X488" s="52"/>
      <c r="Y488" s="53">
        <f t="shared" si="162"/>
        <v>0</v>
      </c>
      <c r="Z488" s="53">
        <f t="shared" si="164"/>
        <v>999240</v>
      </c>
      <c r="AA488" s="57">
        <f>2023-I488+V488+X488-11/12</f>
        <v>3.5833333333333335</v>
      </c>
      <c r="AB488" s="53">
        <f t="shared" si="161"/>
        <v>7161220</v>
      </c>
      <c r="AC488" s="53">
        <f t="shared" si="151"/>
        <v>2831180</v>
      </c>
      <c r="AD488" s="56"/>
      <c r="AE488" s="70"/>
      <c r="AF488" s="1">
        <v>6161980</v>
      </c>
      <c r="AG488" s="5">
        <f t="shared" si="152"/>
        <v>0</v>
      </c>
      <c r="AH488" s="5"/>
    </row>
    <row r="489" spans="1:34" s="1" customFormat="1" x14ac:dyDescent="0.25">
      <c r="A489" s="49"/>
      <c r="B489" s="50" t="s">
        <v>1691</v>
      </c>
      <c r="C489" s="73" t="s">
        <v>422</v>
      </c>
      <c r="D489" s="51" t="s">
        <v>555</v>
      </c>
      <c r="E489" s="52" t="s">
        <v>574</v>
      </c>
      <c r="F489" s="52"/>
      <c r="G489" s="52" t="s">
        <v>194</v>
      </c>
      <c r="H489" s="52" t="s">
        <v>62</v>
      </c>
      <c r="I489" s="52">
        <v>2021</v>
      </c>
      <c r="J489" s="52"/>
      <c r="K489" s="52" t="s">
        <v>63</v>
      </c>
      <c r="L489" s="52" t="s">
        <v>64</v>
      </c>
      <c r="M489" s="52">
        <v>1</v>
      </c>
      <c r="N489" s="53">
        <v>6347000</v>
      </c>
      <c r="O489" s="53">
        <v>6347000</v>
      </c>
      <c r="P489" s="52"/>
      <c r="Q489" s="52"/>
      <c r="R489" s="52"/>
      <c r="S489" s="53">
        <f t="shared" si="150"/>
        <v>6347000</v>
      </c>
      <c r="T489" s="52">
        <v>5</v>
      </c>
      <c r="U489" s="53">
        <f t="shared" si="160"/>
        <v>1269400</v>
      </c>
      <c r="V489" s="52">
        <v>0.5</v>
      </c>
      <c r="W489" s="53">
        <f t="shared" si="163"/>
        <v>634700</v>
      </c>
      <c r="X489" s="52"/>
      <c r="Y489" s="53">
        <f t="shared" si="162"/>
        <v>0</v>
      </c>
      <c r="Z489" s="53">
        <f t="shared" si="164"/>
        <v>634700</v>
      </c>
      <c r="AA489" s="57">
        <f>4/12+0.5+0.5+0.5+0.5</f>
        <v>2.333333333333333</v>
      </c>
      <c r="AB489" s="53">
        <f t="shared" si="161"/>
        <v>2961933.333333333</v>
      </c>
      <c r="AC489" s="53">
        <f t="shared" si="151"/>
        <v>3385066.666666667</v>
      </c>
      <c r="AD489" s="56" t="s">
        <v>208</v>
      </c>
      <c r="AE489" s="70"/>
      <c r="AF489" s="1">
        <v>2327233.333333333</v>
      </c>
      <c r="AG489" s="5">
        <f t="shared" si="152"/>
        <v>0</v>
      </c>
      <c r="AH489" s="5"/>
    </row>
    <row r="490" spans="1:34" s="1" customFormat="1" x14ac:dyDescent="0.25">
      <c r="A490" s="49"/>
      <c r="B490" s="50" t="s">
        <v>1691</v>
      </c>
      <c r="C490" s="73" t="s">
        <v>423</v>
      </c>
      <c r="D490" s="51" t="s">
        <v>555</v>
      </c>
      <c r="E490" s="52" t="s">
        <v>574</v>
      </c>
      <c r="F490" s="52"/>
      <c r="G490" s="52" t="s">
        <v>194</v>
      </c>
      <c r="H490" s="52" t="s">
        <v>62</v>
      </c>
      <c r="I490" s="52">
        <v>2021</v>
      </c>
      <c r="J490" s="52"/>
      <c r="K490" s="52" t="s">
        <v>63</v>
      </c>
      <c r="L490" s="52" t="s">
        <v>64</v>
      </c>
      <c r="M490" s="52">
        <v>1</v>
      </c>
      <c r="N490" s="53">
        <v>6347000</v>
      </c>
      <c r="O490" s="53">
        <v>6347000</v>
      </c>
      <c r="P490" s="52"/>
      <c r="Q490" s="52"/>
      <c r="R490" s="52"/>
      <c r="S490" s="53">
        <f t="shared" ref="S490:S508" si="167">SUM(O490-R490)</f>
        <v>6347000</v>
      </c>
      <c r="T490" s="52">
        <v>5</v>
      </c>
      <c r="U490" s="53">
        <f t="shared" si="160"/>
        <v>1269400</v>
      </c>
      <c r="V490" s="52">
        <v>0.5</v>
      </c>
      <c r="W490" s="53">
        <f t="shared" si="163"/>
        <v>634700</v>
      </c>
      <c r="X490" s="52"/>
      <c r="Y490" s="53">
        <f t="shared" si="162"/>
        <v>0</v>
      </c>
      <c r="Z490" s="53">
        <f t="shared" si="164"/>
        <v>634700</v>
      </c>
      <c r="AA490" s="57">
        <f t="shared" ref="AA490:AA493" si="168">4/12+0.5+0.5+0.5+0.5</f>
        <v>2.333333333333333</v>
      </c>
      <c r="AB490" s="53">
        <f t="shared" si="161"/>
        <v>2961933.333333333</v>
      </c>
      <c r="AC490" s="53">
        <f t="shared" ref="AC490:AC508" si="169">SUM(O490-AB490)</f>
        <v>3385066.666666667</v>
      </c>
      <c r="AD490" s="56" t="s">
        <v>331</v>
      </c>
      <c r="AE490" s="70"/>
      <c r="AF490" s="1">
        <v>2327233.333333333</v>
      </c>
      <c r="AG490" s="5">
        <f t="shared" si="152"/>
        <v>0</v>
      </c>
      <c r="AH490" s="5"/>
    </row>
    <row r="491" spans="1:34" s="1" customFormat="1" x14ac:dyDescent="0.25">
      <c r="A491" s="49"/>
      <c r="B491" s="50" t="s">
        <v>1691</v>
      </c>
      <c r="C491" s="73" t="s">
        <v>575</v>
      </c>
      <c r="D491" s="51" t="s">
        <v>555</v>
      </c>
      <c r="E491" s="52" t="s">
        <v>574</v>
      </c>
      <c r="F491" s="52"/>
      <c r="G491" s="52" t="s">
        <v>194</v>
      </c>
      <c r="H491" s="52" t="s">
        <v>62</v>
      </c>
      <c r="I491" s="52">
        <v>2021</v>
      </c>
      <c r="J491" s="52"/>
      <c r="K491" s="52" t="s">
        <v>63</v>
      </c>
      <c r="L491" s="52" t="s">
        <v>64</v>
      </c>
      <c r="M491" s="52">
        <v>1</v>
      </c>
      <c r="N491" s="53">
        <v>6347000</v>
      </c>
      <c r="O491" s="53">
        <v>6347000</v>
      </c>
      <c r="P491" s="52"/>
      <c r="Q491" s="52"/>
      <c r="R491" s="52"/>
      <c r="S491" s="53">
        <f t="shared" si="167"/>
        <v>6347000</v>
      </c>
      <c r="T491" s="52">
        <v>5</v>
      </c>
      <c r="U491" s="53">
        <f t="shared" si="160"/>
        <v>1269400</v>
      </c>
      <c r="V491" s="52">
        <v>0.5</v>
      </c>
      <c r="W491" s="53">
        <f t="shared" si="163"/>
        <v>634700</v>
      </c>
      <c r="X491" s="52"/>
      <c r="Y491" s="53">
        <f t="shared" si="162"/>
        <v>0</v>
      </c>
      <c r="Z491" s="53">
        <f t="shared" si="164"/>
        <v>634700</v>
      </c>
      <c r="AA491" s="57">
        <f t="shared" si="168"/>
        <v>2.333333333333333</v>
      </c>
      <c r="AB491" s="53">
        <f t="shared" si="161"/>
        <v>2961933.333333333</v>
      </c>
      <c r="AC491" s="53">
        <f t="shared" si="169"/>
        <v>3385066.666666667</v>
      </c>
      <c r="AD491" s="56" t="s">
        <v>276</v>
      </c>
      <c r="AE491" s="70"/>
      <c r="AF491" s="1">
        <v>2327233.333333333</v>
      </c>
      <c r="AG491" s="5">
        <f t="shared" si="152"/>
        <v>0</v>
      </c>
      <c r="AH491" s="5"/>
    </row>
    <row r="492" spans="1:34" s="1" customFormat="1" x14ac:dyDescent="0.25">
      <c r="A492" s="49"/>
      <c r="B492" s="50" t="s">
        <v>1691</v>
      </c>
      <c r="C492" s="73" t="s">
        <v>576</v>
      </c>
      <c r="D492" s="51" t="s">
        <v>555</v>
      </c>
      <c r="E492" s="52" t="s">
        <v>574</v>
      </c>
      <c r="F492" s="52"/>
      <c r="G492" s="52" t="s">
        <v>194</v>
      </c>
      <c r="H492" s="52" t="s">
        <v>62</v>
      </c>
      <c r="I492" s="52">
        <v>2021</v>
      </c>
      <c r="J492" s="52"/>
      <c r="K492" s="52" t="s">
        <v>63</v>
      </c>
      <c r="L492" s="52" t="s">
        <v>64</v>
      </c>
      <c r="M492" s="52">
        <v>1</v>
      </c>
      <c r="N492" s="53">
        <v>6347000</v>
      </c>
      <c r="O492" s="53">
        <v>6347000</v>
      </c>
      <c r="P492" s="52"/>
      <c r="Q492" s="52"/>
      <c r="R492" s="52"/>
      <c r="S492" s="53">
        <f t="shared" si="167"/>
        <v>6347000</v>
      </c>
      <c r="T492" s="52">
        <v>5</v>
      </c>
      <c r="U492" s="53">
        <f t="shared" si="160"/>
        <v>1269400</v>
      </c>
      <c r="V492" s="52">
        <v>0.5</v>
      </c>
      <c r="W492" s="53">
        <f t="shared" si="163"/>
        <v>634700</v>
      </c>
      <c r="X492" s="52"/>
      <c r="Y492" s="53">
        <f t="shared" si="162"/>
        <v>0</v>
      </c>
      <c r="Z492" s="53">
        <f t="shared" si="164"/>
        <v>634700</v>
      </c>
      <c r="AA492" s="57">
        <f t="shared" si="168"/>
        <v>2.333333333333333</v>
      </c>
      <c r="AB492" s="53">
        <f t="shared" si="161"/>
        <v>2961933.333333333</v>
      </c>
      <c r="AC492" s="53">
        <f t="shared" si="169"/>
        <v>3385066.666666667</v>
      </c>
      <c r="AD492" s="56" t="s">
        <v>311</v>
      </c>
      <c r="AE492" s="70"/>
      <c r="AF492" s="1">
        <v>2327233.333333333</v>
      </c>
      <c r="AG492" s="5">
        <f t="shared" si="152"/>
        <v>0</v>
      </c>
      <c r="AH492" s="5"/>
    </row>
    <row r="493" spans="1:34" s="1" customFormat="1" x14ac:dyDescent="0.25">
      <c r="A493" s="49"/>
      <c r="B493" s="50" t="s">
        <v>1691</v>
      </c>
      <c r="C493" s="73" t="s">
        <v>577</v>
      </c>
      <c r="D493" s="51" t="s">
        <v>555</v>
      </c>
      <c r="E493" s="52" t="s">
        <v>574</v>
      </c>
      <c r="F493" s="52"/>
      <c r="G493" s="52" t="s">
        <v>194</v>
      </c>
      <c r="H493" s="52" t="s">
        <v>62</v>
      </c>
      <c r="I493" s="52">
        <v>2021</v>
      </c>
      <c r="J493" s="52"/>
      <c r="K493" s="52" t="s">
        <v>63</v>
      </c>
      <c r="L493" s="52" t="s">
        <v>64</v>
      </c>
      <c r="M493" s="52">
        <v>1</v>
      </c>
      <c r="N493" s="53">
        <v>6347000</v>
      </c>
      <c r="O493" s="53">
        <v>6347000</v>
      </c>
      <c r="P493" s="52"/>
      <c r="Q493" s="52"/>
      <c r="R493" s="52"/>
      <c r="S493" s="53">
        <f t="shared" si="167"/>
        <v>6347000</v>
      </c>
      <c r="T493" s="52">
        <v>5</v>
      </c>
      <c r="U493" s="53">
        <f t="shared" si="160"/>
        <v>1269400</v>
      </c>
      <c r="V493" s="52">
        <v>0.5</v>
      </c>
      <c r="W493" s="53">
        <f t="shared" si="163"/>
        <v>634700</v>
      </c>
      <c r="X493" s="52"/>
      <c r="Y493" s="53">
        <f t="shared" si="162"/>
        <v>0</v>
      </c>
      <c r="Z493" s="53">
        <f t="shared" si="164"/>
        <v>634700</v>
      </c>
      <c r="AA493" s="57">
        <f t="shared" si="168"/>
        <v>2.333333333333333</v>
      </c>
      <c r="AB493" s="53">
        <f t="shared" si="161"/>
        <v>2961933.333333333</v>
      </c>
      <c r="AC493" s="53">
        <f t="shared" si="169"/>
        <v>3385066.666666667</v>
      </c>
      <c r="AD493" s="56" t="s">
        <v>578</v>
      </c>
      <c r="AE493" s="70"/>
      <c r="AF493" s="1">
        <v>2327233.333333333</v>
      </c>
      <c r="AG493" s="5">
        <f t="shared" si="152"/>
        <v>0</v>
      </c>
      <c r="AH493" s="5"/>
    </row>
    <row r="494" spans="1:34" s="1" customFormat="1" x14ac:dyDescent="0.25">
      <c r="A494" s="49"/>
      <c r="B494" s="50" t="s">
        <v>1691</v>
      </c>
      <c r="C494" s="73" t="s">
        <v>579</v>
      </c>
      <c r="D494" s="51" t="s">
        <v>555</v>
      </c>
      <c r="E494" s="52" t="s">
        <v>574</v>
      </c>
      <c r="F494" s="52"/>
      <c r="G494" s="52" t="s">
        <v>194</v>
      </c>
      <c r="H494" s="52" t="s">
        <v>62</v>
      </c>
      <c r="I494" s="52">
        <v>2021</v>
      </c>
      <c r="J494" s="52"/>
      <c r="K494" s="52" t="s">
        <v>63</v>
      </c>
      <c r="L494" s="52" t="s">
        <v>64</v>
      </c>
      <c r="M494" s="52">
        <v>5</v>
      </c>
      <c r="N494" s="53">
        <f t="shared" si="157"/>
        <v>6413000</v>
      </c>
      <c r="O494" s="53">
        <v>32065000</v>
      </c>
      <c r="P494" s="52"/>
      <c r="Q494" s="52"/>
      <c r="R494" s="52"/>
      <c r="S494" s="53">
        <f t="shared" si="167"/>
        <v>32065000</v>
      </c>
      <c r="T494" s="52">
        <v>5</v>
      </c>
      <c r="U494" s="53">
        <f t="shared" si="160"/>
        <v>6413000</v>
      </c>
      <c r="V494" s="52">
        <v>0.5</v>
      </c>
      <c r="W494" s="53">
        <f t="shared" si="163"/>
        <v>3206500</v>
      </c>
      <c r="X494" s="57"/>
      <c r="Y494" s="53">
        <f t="shared" si="162"/>
        <v>0</v>
      </c>
      <c r="Z494" s="53">
        <f t="shared" si="164"/>
        <v>3206500</v>
      </c>
      <c r="AA494" s="57">
        <f>1/12+0.5+0.5+0.5</f>
        <v>1.5833333333333335</v>
      </c>
      <c r="AB494" s="53">
        <f t="shared" si="161"/>
        <v>10153916.666666668</v>
      </c>
      <c r="AC494" s="53">
        <f t="shared" si="169"/>
        <v>21911083.333333332</v>
      </c>
      <c r="AD494" s="56" t="s">
        <v>580</v>
      </c>
      <c r="AE494" s="70"/>
      <c r="AF494" s="1">
        <v>6947416.6666666679</v>
      </c>
      <c r="AG494" s="5">
        <f t="shared" si="152"/>
        <v>0</v>
      </c>
      <c r="AH494" s="5"/>
    </row>
    <row r="495" spans="1:34" s="1" customFormat="1" x14ac:dyDescent="0.25">
      <c r="A495" s="49"/>
      <c r="B495" s="50" t="s">
        <v>1691</v>
      </c>
      <c r="C495" s="73" t="s">
        <v>581</v>
      </c>
      <c r="D495" s="51" t="s">
        <v>555</v>
      </c>
      <c r="E495" s="52" t="s">
        <v>582</v>
      </c>
      <c r="F495" s="52"/>
      <c r="G495" s="52" t="s">
        <v>194</v>
      </c>
      <c r="H495" s="52" t="s">
        <v>62</v>
      </c>
      <c r="I495" s="52">
        <v>2022</v>
      </c>
      <c r="J495" s="52"/>
      <c r="K495" s="52" t="s">
        <v>63</v>
      </c>
      <c r="L495" s="52" t="s">
        <v>64</v>
      </c>
      <c r="M495" s="52">
        <v>5</v>
      </c>
      <c r="N495" s="53">
        <f t="shared" si="157"/>
        <v>7778214</v>
      </c>
      <c r="O495" s="53">
        <v>38891070</v>
      </c>
      <c r="P495" s="52"/>
      <c r="Q495" s="52"/>
      <c r="R495" s="52"/>
      <c r="S495" s="53">
        <f t="shared" si="167"/>
        <v>38891070</v>
      </c>
      <c r="T495" s="52">
        <v>5</v>
      </c>
      <c r="U495" s="53">
        <f t="shared" si="160"/>
        <v>7778214</v>
      </c>
      <c r="V495" s="175">
        <v>0.5</v>
      </c>
      <c r="W495" s="53">
        <f t="shared" si="163"/>
        <v>3889107</v>
      </c>
      <c r="X495" s="57"/>
      <c r="Y495" s="53">
        <f t="shared" si="162"/>
        <v>0</v>
      </c>
      <c r="Z495" s="53">
        <f t="shared" si="164"/>
        <v>3889107</v>
      </c>
      <c r="AA495" s="57">
        <f>4/12+0.5+0.5</f>
        <v>1.3333333333333333</v>
      </c>
      <c r="AB495" s="53">
        <f t="shared" si="161"/>
        <v>10370952</v>
      </c>
      <c r="AC495" s="53">
        <f t="shared" si="169"/>
        <v>28520118</v>
      </c>
      <c r="AD495" s="56"/>
      <c r="AE495" s="70"/>
      <c r="AF495" s="1">
        <v>6481844.9999999991</v>
      </c>
      <c r="AG495" s="5">
        <f t="shared" si="152"/>
        <v>0</v>
      </c>
      <c r="AH495" s="5"/>
    </row>
    <row r="496" spans="1:34" s="1" customFormat="1" x14ac:dyDescent="0.25">
      <c r="A496" s="49"/>
      <c r="B496" s="50" t="s">
        <v>1691</v>
      </c>
      <c r="C496" s="73" t="s">
        <v>438</v>
      </c>
      <c r="D496" s="51" t="s">
        <v>555</v>
      </c>
      <c r="E496" s="52" t="s">
        <v>471</v>
      </c>
      <c r="F496" s="52"/>
      <c r="G496" s="52" t="s">
        <v>194</v>
      </c>
      <c r="H496" s="52" t="s">
        <v>62</v>
      </c>
      <c r="I496" s="52">
        <v>2022</v>
      </c>
      <c r="J496" s="52"/>
      <c r="K496" s="52" t="s">
        <v>63</v>
      </c>
      <c r="L496" s="52" t="s">
        <v>64</v>
      </c>
      <c r="M496" s="52">
        <v>1</v>
      </c>
      <c r="N496" s="53">
        <f t="shared" si="157"/>
        <v>7851666.6666666698</v>
      </c>
      <c r="O496" s="53">
        <v>7851666.6666666698</v>
      </c>
      <c r="P496" s="52"/>
      <c r="Q496" s="52"/>
      <c r="R496" s="52"/>
      <c r="S496" s="53">
        <f t="shared" si="167"/>
        <v>7851666.6666666698</v>
      </c>
      <c r="T496" s="52">
        <v>5</v>
      </c>
      <c r="U496" s="53">
        <f t="shared" si="160"/>
        <v>1570333.333333334</v>
      </c>
      <c r="V496" s="175">
        <v>0.5</v>
      </c>
      <c r="W496" s="53">
        <f t="shared" si="163"/>
        <v>785166.66666666698</v>
      </c>
      <c r="X496" s="57"/>
      <c r="Y496" s="53">
        <f t="shared" si="162"/>
        <v>0</v>
      </c>
      <c r="Z496" s="53">
        <f t="shared" si="164"/>
        <v>785166.66666666698</v>
      </c>
      <c r="AA496" s="57">
        <f>1/12+0.5</f>
        <v>0.58333333333333337</v>
      </c>
      <c r="AB496" s="53">
        <f t="shared" ref="AB496:AB504" si="170">SUM(U496*AA496)</f>
        <v>916027.77777777822</v>
      </c>
      <c r="AC496" s="53">
        <f t="shared" si="169"/>
        <v>6935638.8888888918</v>
      </c>
      <c r="AD496" s="56" t="s">
        <v>245</v>
      </c>
      <c r="AE496" s="70"/>
      <c r="AF496" s="1">
        <v>130861.11111111115</v>
      </c>
      <c r="AG496" s="5">
        <f t="shared" si="152"/>
        <v>0</v>
      </c>
      <c r="AH496" s="5"/>
    </row>
    <row r="497" spans="1:34" s="170" customFormat="1" x14ac:dyDescent="0.25">
      <c r="A497" s="49"/>
      <c r="B497" s="50" t="s">
        <v>1691</v>
      </c>
      <c r="C497" s="73" t="s">
        <v>440</v>
      </c>
      <c r="D497" s="51" t="s">
        <v>555</v>
      </c>
      <c r="E497" s="52" t="s">
        <v>471</v>
      </c>
      <c r="F497" s="52"/>
      <c r="G497" s="52" t="s">
        <v>194</v>
      </c>
      <c r="H497" s="52" t="s">
        <v>62</v>
      </c>
      <c r="I497" s="52">
        <v>2022</v>
      </c>
      <c r="J497" s="52"/>
      <c r="K497" s="52" t="s">
        <v>63</v>
      </c>
      <c r="L497" s="52" t="s">
        <v>64</v>
      </c>
      <c r="M497" s="52">
        <v>1</v>
      </c>
      <c r="N497" s="53">
        <f t="shared" si="157"/>
        <v>7851666.6666666698</v>
      </c>
      <c r="O497" s="53">
        <v>7851666.6666666698</v>
      </c>
      <c r="P497" s="52"/>
      <c r="Q497" s="52"/>
      <c r="R497" s="52"/>
      <c r="S497" s="53">
        <f t="shared" si="167"/>
        <v>7851666.6666666698</v>
      </c>
      <c r="T497" s="52">
        <v>5</v>
      </c>
      <c r="U497" s="53">
        <f t="shared" si="160"/>
        <v>1570333.333333334</v>
      </c>
      <c r="V497" s="175">
        <v>0.5</v>
      </c>
      <c r="W497" s="53">
        <f t="shared" si="163"/>
        <v>785166.66666666698</v>
      </c>
      <c r="X497" s="57"/>
      <c r="Y497" s="53">
        <f t="shared" si="162"/>
        <v>0</v>
      </c>
      <c r="Z497" s="53">
        <f t="shared" si="164"/>
        <v>785166.66666666698</v>
      </c>
      <c r="AA497" s="57">
        <f t="shared" ref="AA497:AA498" si="171">1/12+0.5</f>
        <v>0.58333333333333337</v>
      </c>
      <c r="AB497" s="53">
        <f t="shared" si="170"/>
        <v>916027.77777777822</v>
      </c>
      <c r="AC497" s="53">
        <f t="shared" si="169"/>
        <v>6935638.8888888918</v>
      </c>
      <c r="AD497" s="56" t="s">
        <v>367</v>
      </c>
      <c r="AE497" s="56"/>
      <c r="AF497" s="170">
        <v>130861.11111111115</v>
      </c>
      <c r="AG497" s="5">
        <f t="shared" si="152"/>
        <v>0</v>
      </c>
      <c r="AH497" s="172"/>
    </row>
    <row r="498" spans="1:34" s="170" customFormat="1" x14ac:dyDescent="0.25">
      <c r="A498" s="49"/>
      <c r="B498" s="50" t="s">
        <v>1691</v>
      </c>
      <c r="C498" s="73" t="s">
        <v>441</v>
      </c>
      <c r="D498" s="51" t="s">
        <v>555</v>
      </c>
      <c r="E498" s="52" t="s">
        <v>471</v>
      </c>
      <c r="F498" s="52"/>
      <c r="G498" s="52" t="s">
        <v>194</v>
      </c>
      <c r="H498" s="52" t="s">
        <v>62</v>
      </c>
      <c r="I498" s="52">
        <v>2022</v>
      </c>
      <c r="J498" s="52"/>
      <c r="K498" s="52" t="s">
        <v>63</v>
      </c>
      <c r="L498" s="52" t="s">
        <v>64</v>
      </c>
      <c r="M498" s="52">
        <v>1</v>
      </c>
      <c r="N498" s="53">
        <f t="shared" si="157"/>
        <v>7851666.6666666698</v>
      </c>
      <c r="O498" s="53">
        <v>7851666.6666666698</v>
      </c>
      <c r="P498" s="52"/>
      <c r="Q498" s="52"/>
      <c r="R498" s="52"/>
      <c r="S498" s="53">
        <f t="shared" si="167"/>
        <v>7851666.6666666698</v>
      </c>
      <c r="T498" s="52">
        <v>5</v>
      </c>
      <c r="U498" s="53">
        <f t="shared" si="160"/>
        <v>1570333.333333334</v>
      </c>
      <c r="V498" s="175">
        <v>0.5</v>
      </c>
      <c r="W498" s="53">
        <f t="shared" si="163"/>
        <v>785166.66666666698</v>
      </c>
      <c r="X498" s="57"/>
      <c r="Y498" s="53">
        <f t="shared" si="162"/>
        <v>0</v>
      </c>
      <c r="Z498" s="53">
        <f t="shared" si="164"/>
        <v>785166.66666666698</v>
      </c>
      <c r="AA498" s="57">
        <f t="shared" si="171"/>
        <v>0.58333333333333337</v>
      </c>
      <c r="AB498" s="53">
        <f t="shared" si="170"/>
        <v>916027.77777777822</v>
      </c>
      <c r="AC498" s="53">
        <f t="shared" si="169"/>
        <v>6935638.8888888918</v>
      </c>
      <c r="AD498" s="56" t="s">
        <v>308</v>
      </c>
      <c r="AE498" s="56"/>
      <c r="AF498" s="170">
        <v>130861.11111111115</v>
      </c>
      <c r="AG498" s="5">
        <f t="shared" si="152"/>
        <v>0</v>
      </c>
      <c r="AH498" s="172"/>
    </row>
    <row r="499" spans="1:34" s="170" customFormat="1" x14ac:dyDescent="0.25">
      <c r="A499" s="315"/>
      <c r="B499" s="308" t="s">
        <v>1691</v>
      </c>
      <c r="C499" s="314" t="s">
        <v>442</v>
      </c>
      <c r="D499" s="309" t="s">
        <v>555</v>
      </c>
      <c r="E499" s="310"/>
      <c r="F499" s="310" t="s">
        <v>3701</v>
      </c>
      <c r="G499" s="310" t="s">
        <v>194</v>
      </c>
      <c r="H499" s="310" t="s">
        <v>62</v>
      </c>
      <c r="I499" s="310">
        <v>2023</v>
      </c>
      <c r="J499" s="310"/>
      <c r="K499" s="310" t="s">
        <v>63</v>
      </c>
      <c r="L499" s="310" t="s">
        <v>64</v>
      </c>
      <c r="M499" s="310">
        <v>1</v>
      </c>
      <c r="N499" s="311">
        <f t="shared" si="157"/>
        <v>8320000</v>
      </c>
      <c r="O499" s="311">
        <v>8320000</v>
      </c>
      <c r="P499" s="310"/>
      <c r="Q499" s="310"/>
      <c r="R499" s="310"/>
      <c r="S499" s="311">
        <f t="shared" si="167"/>
        <v>8320000</v>
      </c>
      <c r="T499" s="310">
        <v>5</v>
      </c>
      <c r="U499" s="311">
        <f t="shared" si="160"/>
        <v>1664000</v>
      </c>
      <c r="V499" s="362">
        <f>1/12</f>
        <v>8.3333333333333329E-2</v>
      </c>
      <c r="W499" s="311">
        <f t="shared" si="163"/>
        <v>138666.66666666666</v>
      </c>
      <c r="X499" s="312"/>
      <c r="Y499" s="311"/>
      <c r="Z499" s="311">
        <f t="shared" si="164"/>
        <v>138666.66666666666</v>
      </c>
      <c r="AA499" s="312">
        <f t="shared" ref="AA499:AA503" si="172">1/12</f>
        <v>8.3333333333333329E-2</v>
      </c>
      <c r="AB499" s="311">
        <f t="shared" si="170"/>
        <v>138666.66666666666</v>
      </c>
      <c r="AC499" s="311">
        <f t="shared" si="169"/>
        <v>8181333.333333333</v>
      </c>
      <c r="AD499" s="313"/>
      <c r="AE499" s="313"/>
      <c r="AF499" s="170">
        <v>832000</v>
      </c>
      <c r="AG499" s="5">
        <f t="shared" si="152"/>
        <v>832000</v>
      </c>
      <c r="AH499" s="172"/>
    </row>
    <row r="500" spans="1:34" s="170" customFormat="1" x14ac:dyDescent="0.25">
      <c r="A500" s="315"/>
      <c r="B500" s="308" t="s">
        <v>1691</v>
      </c>
      <c r="C500" s="314" t="s">
        <v>443</v>
      </c>
      <c r="D500" s="309" t="s">
        <v>555</v>
      </c>
      <c r="E500" s="310"/>
      <c r="F500" s="310" t="s">
        <v>3701</v>
      </c>
      <c r="G500" s="310" t="s">
        <v>194</v>
      </c>
      <c r="H500" s="310" t="s">
        <v>62</v>
      </c>
      <c r="I500" s="310">
        <v>2023</v>
      </c>
      <c r="J500" s="310"/>
      <c r="K500" s="310" t="s">
        <v>63</v>
      </c>
      <c r="L500" s="310" t="s">
        <v>64</v>
      </c>
      <c r="M500" s="310">
        <v>1</v>
      </c>
      <c r="N500" s="311">
        <f t="shared" si="157"/>
        <v>8320000</v>
      </c>
      <c r="O500" s="311">
        <v>8320000</v>
      </c>
      <c r="P500" s="310"/>
      <c r="Q500" s="310"/>
      <c r="R500" s="310"/>
      <c r="S500" s="311">
        <f t="shared" si="167"/>
        <v>8320000</v>
      </c>
      <c r="T500" s="310">
        <v>5</v>
      </c>
      <c r="U500" s="311">
        <f t="shared" si="160"/>
        <v>1664000</v>
      </c>
      <c r="V500" s="362">
        <f t="shared" ref="V500:V503" si="173">1/12</f>
        <v>8.3333333333333329E-2</v>
      </c>
      <c r="W500" s="311">
        <f t="shared" si="163"/>
        <v>138666.66666666666</v>
      </c>
      <c r="X500" s="312"/>
      <c r="Y500" s="311"/>
      <c r="Z500" s="311">
        <f t="shared" si="164"/>
        <v>138666.66666666666</v>
      </c>
      <c r="AA500" s="312">
        <f t="shared" si="172"/>
        <v>8.3333333333333329E-2</v>
      </c>
      <c r="AB500" s="311">
        <f t="shared" si="170"/>
        <v>138666.66666666666</v>
      </c>
      <c r="AC500" s="311">
        <f t="shared" si="169"/>
        <v>8181333.333333333</v>
      </c>
      <c r="AD500" s="313"/>
      <c r="AE500" s="313"/>
      <c r="AF500" s="170">
        <v>832000</v>
      </c>
      <c r="AG500" s="5">
        <f t="shared" si="152"/>
        <v>832000</v>
      </c>
      <c r="AH500" s="172"/>
    </row>
    <row r="501" spans="1:34" s="170" customFormat="1" x14ac:dyDescent="0.25">
      <c r="A501" s="315"/>
      <c r="B501" s="308" t="s">
        <v>1691</v>
      </c>
      <c r="C501" s="314" t="s">
        <v>3145</v>
      </c>
      <c r="D501" s="309" t="s">
        <v>555</v>
      </c>
      <c r="E501" s="310"/>
      <c r="F501" s="310" t="s">
        <v>3701</v>
      </c>
      <c r="G501" s="310" t="s">
        <v>194</v>
      </c>
      <c r="H501" s="310" t="s">
        <v>62</v>
      </c>
      <c r="I501" s="310">
        <v>2023</v>
      </c>
      <c r="J501" s="310"/>
      <c r="K501" s="310" t="s">
        <v>63</v>
      </c>
      <c r="L501" s="310" t="s">
        <v>64</v>
      </c>
      <c r="M501" s="310">
        <v>1</v>
      </c>
      <c r="N501" s="311">
        <f t="shared" si="157"/>
        <v>8320000</v>
      </c>
      <c r="O501" s="311">
        <v>8320000</v>
      </c>
      <c r="P501" s="310"/>
      <c r="Q501" s="310"/>
      <c r="R501" s="310"/>
      <c r="S501" s="311">
        <f t="shared" si="167"/>
        <v>8320000</v>
      </c>
      <c r="T501" s="310">
        <v>5</v>
      </c>
      <c r="U501" s="311">
        <f t="shared" si="160"/>
        <v>1664000</v>
      </c>
      <c r="V501" s="362">
        <f t="shared" si="173"/>
        <v>8.3333333333333329E-2</v>
      </c>
      <c r="W501" s="311">
        <f t="shared" si="163"/>
        <v>138666.66666666666</v>
      </c>
      <c r="X501" s="312"/>
      <c r="Y501" s="311"/>
      <c r="Z501" s="311">
        <f t="shared" si="164"/>
        <v>138666.66666666666</v>
      </c>
      <c r="AA501" s="312">
        <f t="shared" si="172"/>
        <v>8.3333333333333329E-2</v>
      </c>
      <c r="AB501" s="311">
        <f t="shared" si="170"/>
        <v>138666.66666666666</v>
      </c>
      <c r="AC501" s="311">
        <f t="shared" si="169"/>
        <v>8181333.333333333</v>
      </c>
      <c r="AD501" s="313"/>
      <c r="AE501" s="313"/>
      <c r="AF501" s="170">
        <v>832000</v>
      </c>
      <c r="AG501" s="5">
        <f t="shared" si="152"/>
        <v>832000</v>
      </c>
      <c r="AH501" s="172"/>
    </row>
    <row r="502" spans="1:34" s="1" customFormat="1" x14ac:dyDescent="0.25">
      <c r="A502" s="315"/>
      <c r="B502" s="308" t="s">
        <v>1691</v>
      </c>
      <c r="C502" s="314" t="s">
        <v>3147</v>
      </c>
      <c r="D502" s="309" t="s">
        <v>555</v>
      </c>
      <c r="E502" s="310"/>
      <c r="F502" s="310" t="s">
        <v>3702</v>
      </c>
      <c r="G502" s="310" t="s">
        <v>194</v>
      </c>
      <c r="H502" s="310" t="s">
        <v>62</v>
      </c>
      <c r="I502" s="310">
        <v>2023</v>
      </c>
      <c r="J502" s="310"/>
      <c r="K502" s="310" t="s">
        <v>63</v>
      </c>
      <c r="L502" s="310" t="s">
        <v>64</v>
      </c>
      <c r="M502" s="310">
        <v>1</v>
      </c>
      <c r="N502" s="311">
        <f t="shared" si="157"/>
        <v>7735000</v>
      </c>
      <c r="O502" s="311">
        <v>7735000</v>
      </c>
      <c r="P502" s="310"/>
      <c r="Q502" s="310"/>
      <c r="R502" s="310"/>
      <c r="S502" s="311">
        <f t="shared" si="167"/>
        <v>7735000</v>
      </c>
      <c r="T502" s="310">
        <v>5</v>
      </c>
      <c r="U502" s="311">
        <f t="shared" si="160"/>
        <v>1547000</v>
      </c>
      <c r="V502" s="362">
        <f t="shared" si="173"/>
        <v>8.3333333333333329E-2</v>
      </c>
      <c r="W502" s="311">
        <f t="shared" si="163"/>
        <v>128916.66666666666</v>
      </c>
      <c r="X502" s="310"/>
      <c r="Y502" s="311"/>
      <c r="Z502" s="311">
        <f t="shared" si="164"/>
        <v>128916.66666666666</v>
      </c>
      <c r="AA502" s="312">
        <f t="shared" si="172"/>
        <v>8.3333333333333329E-2</v>
      </c>
      <c r="AB502" s="311">
        <f t="shared" si="170"/>
        <v>128916.66666666666</v>
      </c>
      <c r="AC502" s="311">
        <f t="shared" si="169"/>
        <v>7606083.333333333</v>
      </c>
      <c r="AD502" s="313"/>
      <c r="AE502" s="313"/>
      <c r="AF502" s="1">
        <v>773500</v>
      </c>
      <c r="AG502" s="5">
        <f t="shared" si="152"/>
        <v>773500</v>
      </c>
      <c r="AH502" s="5"/>
    </row>
    <row r="503" spans="1:34" s="1" customFormat="1" x14ac:dyDescent="0.25">
      <c r="A503" s="315"/>
      <c r="B503" s="308" t="s">
        <v>1691</v>
      </c>
      <c r="C503" s="314" t="s">
        <v>3149</v>
      </c>
      <c r="D503" s="309" t="s">
        <v>555</v>
      </c>
      <c r="E503" s="310"/>
      <c r="F503" s="310" t="s">
        <v>3702</v>
      </c>
      <c r="G503" s="310" t="s">
        <v>194</v>
      </c>
      <c r="H503" s="310" t="s">
        <v>62</v>
      </c>
      <c r="I503" s="310">
        <v>2023</v>
      </c>
      <c r="J503" s="310"/>
      <c r="K503" s="310" t="s">
        <v>63</v>
      </c>
      <c r="L503" s="310" t="s">
        <v>64</v>
      </c>
      <c r="M503" s="310">
        <v>1</v>
      </c>
      <c r="N503" s="311">
        <f t="shared" si="157"/>
        <v>7735000</v>
      </c>
      <c r="O503" s="311">
        <v>7735000</v>
      </c>
      <c r="P503" s="310"/>
      <c r="Q503" s="310"/>
      <c r="R503" s="310"/>
      <c r="S503" s="311">
        <f t="shared" si="167"/>
        <v>7735000</v>
      </c>
      <c r="T503" s="310">
        <v>5</v>
      </c>
      <c r="U503" s="311">
        <f t="shared" si="160"/>
        <v>1547000</v>
      </c>
      <c r="V503" s="362">
        <f t="shared" si="173"/>
        <v>8.3333333333333329E-2</v>
      </c>
      <c r="W503" s="311">
        <f t="shared" si="163"/>
        <v>128916.66666666666</v>
      </c>
      <c r="X503" s="310"/>
      <c r="Y503" s="311"/>
      <c r="Z503" s="311">
        <f t="shared" si="164"/>
        <v>128916.66666666666</v>
      </c>
      <c r="AA503" s="312">
        <f t="shared" si="172"/>
        <v>8.3333333333333329E-2</v>
      </c>
      <c r="AB503" s="311">
        <f t="shared" si="170"/>
        <v>128916.66666666666</v>
      </c>
      <c r="AC503" s="311">
        <f t="shared" si="169"/>
        <v>7606083.333333333</v>
      </c>
      <c r="AD503" s="313"/>
      <c r="AE503" s="313"/>
      <c r="AF503" s="1">
        <v>773500</v>
      </c>
      <c r="AG503" s="5">
        <f t="shared" si="152"/>
        <v>773500</v>
      </c>
      <c r="AH503" s="5"/>
    </row>
    <row r="504" spans="1:34" s="1" customFormat="1" x14ac:dyDescent="0.25">
      <c r="A504" s="49"/>
      <c r="B504" s="50" t="s">
        <v>1692</v>
      </c>
      <c r="C504" s="73" t="s">
        <v>784</v>
      </c>
      <c r="D504" s="51" t="s">
        <v>785</v>
      </c>
      <c r="E504" s="52" t="s">
        <v>786</v>
      </c>
      <c r="F504" s="52"/>
      <c r="G504" s="52" t="s">
        <v>194</v>
      </c>
      <c r="H504" s="52" t="s">
        <v>62</v>
      </c>
      <c r="I504" s="52">
        <v>2015</v>
      </c>
      <c r="J504" s="52"/>
      <c r="K504" s="52" t="s">
        <v>63</v>
      </c>
      <c r="L504" s="52" t="s">
        <v>64</v>
      </c>
      <c r="M504" s="52">
        <v>36</v>
      </c>
      <c r="N504" s="53">
        <f t="shared" si="157"/>
        <v>499400</v>
      </c>
      <c r="O504" s="53">
        <v>17978400</v>
      </c>
      <c r="P504" s="52"/>
      <c r="Q504" s="52"/>
      <c r="R504" s="52"/>
      <c r="S504" s="53">
        <f t="shared" si="167"/>
        <v>17978400</v>
      </c>
      <c r="T504" s="52">
        <v>5</v>
      </c>
      <c r="U504" s="53">
        <f t="shared" ref="U504" si="174">SUM(S504/T504)</f>
        <v>3595680</v>
      </c>
      <c r="V504" s="175">
        <v>0.5</v>
      </c>
      <c r="W504" s="53"/>
      <c r="X504" s="52"/>
      <c r="Y504" s="53">
        <f>SUM(U504*X504)</f>
        <v>0</v>
      </c>
      <c r="Z504" s="53"/>
      <c r="AA504" s="57">
        <v>5</v>
      </c>
      <c r="AB504" s="53">
        <f t="shared" si="170"/>
        <v>17978400</v>
      </c>
      <c r="AC504" s="53">
        <f t="shared" si="169"/>
        <v>0</v>
      </c>
      <c r="AD504" s="56" t="s">
        <v>787</v>
      </c>
      <c r="AE504" s="56"/>
      <c r="AF504" s="1">
        <v>17978400</v>
      </c>
      <c r="AG504" s="5">
        <f t="shared" si="152"/>
        <v>0</v>
      </c>
      <c r="AH504" s="5"/>
    </row>
    <row r="505" spans="1:34" s="1" customFormat="1" x14ac:dyDescent="0.25">
      <c r="A505" s="21">
        <v>133</v>
      </c>
      <c r="B505" s="22" t="s">
        <v>1693</v>
      </c>
      <c r="C505" s="22" t="s">
        <v>652</v>
      </c>
      <c r="D505" s="51" t="s">
        <v>653</v>
      </c>
      <c r="E505" s="24" t="s">
        <v>654</v>
      </c>
      <c r="F505" s="24"/>
      <c r="G505" s="24" t="s">
        <v>194</v>
      </c>
      <c r="H505" s="24" t="s">
        <v>62</v>
      </c>
      <c r="I505" s="24">
        <v>2012</v>
      </c>
      <c r="J505" s="24"/>
      <c r="K505" s="24" t="s">
        <v>63</v>
      </c>
      <c r="L505" s="24" t="s">
        <v>64</v>
      </c>
      <c r="M505" s="24">
        <v>14</v>
      </c>
      <c r="N505" s="41">
        <f t="shared" ref="N505:N508" si="175">SUM(O505/M505)</f>
        <v>291000</v>
      </c>
      <c r="O505" s="41">
        <v>4074000</v>
      </c>
      <c r="P505" s="24"/>
      <c r="Q505" s="24"/>
      <c r="R505" s="24"/>
      <c r="S505" s="41">
        <f t="shared" si="167"/>
        <v>4074000</v>
      </c>
      <c r="T505" s="24">
        <v>5</v>
      </c>
      <c r="U505" s="41"/>
      <c r="V505" s="24">
        <v>0.5</v>
      </c>
      <c r="W505" s="41">
        <f t="shared" ref="W505:W507" si="176">SUM(U505*V505)</f>
        <v>0</v>
      </c>
      <c r="X505" s="52"/>
      <c r="Y505" s="53">
        <f t="shared" ref="Y505:Y508" si="177">SUM(U505*X505)</f>
        <v>0</v>
      </c>
      <c r="Z505" s="53">
        <f t="shared" ref="Z505:Z507" si="178">SUM(W505+Y505)</f>
        <v>0</v>
      </c>
      <c r="AA505" s="57">
        <v>5</v>
      </c>
      <c r="AB505" s="53">
        <v>4074000</v>
      </c>
      <c r="AC505" s="53">
        <f t="shared" si="169"/>
        <v>0</v>
      </c>
      <c r="AD505" s="56" t="s">
        <v>350</v>
      </c>
      <c r="AE505" s="56"/>
      <c r="AF505" s="1">
        <v>4074000</v>
      </c>
      <c r="AG505" s="5">
        <f t="shared" si="152"/>
        <v>0</v>
      </c>
      <c r="AH505" s="5"/>
    </row>
    <row r="506" spans="1:34" s="1" customFormat="1" x14ac:dyDescent="0.25">
      <c r="A506" s="21">
        <v>134</v>
      </c>
      <c r="B506" s="22" t="s">
        <v>1693</v>
      </c>
      <c r="C506" s="22" t="s">
        <v>655</v>
      </c>
      <c r="D506" s="51" t="s">
        <v>653</v>
      </c>
      <c r="E506" s="24" t="s">
        <v>654</v>
      </c>
      <c r="F506" s="24"/>
      <c r="G506" s="24" t="s">
        <v>194</v>
      </c>
      <c r="H506" s="24" t="s">
        <v>62</v>
      </c>
      <c r="I506" s="24">
        <v>2012</v>
      </c>
      <c r="J506" s="24"/>
      <c r="K506" s="24" t="s">
        <v>63</v>
      </c>
      <c r="L506" s="24" t="s">
        <v>64</v>
      </c>
      <c r="M506" s="24">
        <v>18</v>
      </c>
      <c r="N506" s="41">
        <f t="shared" si="175"/>
        <v>291000</v>
      </c>
      <c r="O506" s="41">
        <v>5238000</v>
      </c>
      <c r="P506" s="24"/>
      <c r="Q506" s="24"/>
      <c r="R506" s="24"/>
      <c r="S506" s="41">
        <f t="shared" si="167"/>
        <v>5238000</v>
      </c>
      <c r="T506" s="24">
        <v>5</v>
      </c>
      <c r="U506" s="41"/>
      <c r="V506" s="24">
        <v>0.5</v>
      </c>
      <c r="W506" s="41">
        <f t="shared" si="176"/>
        <v>0</v>
      </c>
      <c r="X506" s="24"/>
      <c r="Y506" s="41">
        <f t="shared" si="177"/>
        <v>0</v>
      </c>
      <c r="Z506" s="41">
        <f t="shared" si="178"/>
        <v>0</v>
      </c>
      <c r="AA506" s="69">
        <v>5</v>
      </c>
      <c r="AB506" s="41">
        <v>5238000</v>
      </c>
      <c r="AC506" s="41">
        <f t="shared" si="169"/>
        <v>0</v>
      </c>
      <c r="AD506" s="70" t="s">
        <v>354</v>
      </c>
      <c r="AE506" s="70"/>
      <c r="AF506" s="1">
        <v>5238000</v>
      </c>
      <c r="AG506" s="5">
        <f t="shared" si="152"/>
        <v>0</v>
      </c>
      <c r="AH506" s="5"/>
    </row>
    <row r="507" spans="1:34" s="1" customFormat="1" x14ac:dyDescent="0.25">
      <c r="A507" s="21">
        <v>135</v>
      </c>
      <c r="B507" s="22" t="s">
        <v>1693</v>
      </c>
      <c r="C507" s="22" t="s">
        <v>656</v>
      </c>
      <c r="D507" s="51" t="s">
        <v>653</v>
      </c>
      <c r="E507" s="24" t="s">
        <v>654</v>
      </c>
      <c r="F507" s="24"/>
      <c r="G507" s="24" t="s">
        <v>194</v>
      </c>
      <c r="H507" s="24" t="s">
        <v>62</v>
      </c>
      <c r="I507" s="24">
        <v>2012</v>
      </c>
      <c r="J507" s="24"/>
      <c r="K507" s="24" t="s">
        <v>63</v>
      </c>
      <c r="L507" s="24" t="s">
        <v>64</v>
      </c>
      <c r="M507" s="24">
        <v>2</v>
      </c>
      <c r="N507" s="41">
        <f t="shared" si="175"/>
        <v>291000</v>
      </c>
      <c r="O507" s="41">
        <v>582000</v>
      </c>
      <c r="P507" s="24"/>
      <c r="Q507" s="24"/>
      <c r="R507" s="24"/>
      <c r="S507" s="41">
        <f t="shared" si="167"/>
        <v>582000</v>
      </c>
      <c r="T507" s="24">
        <v>5</v>
      </c>
      <c r="U507" s="41"/>
      <c r="V507" s="24">
        <v>0.5</v>
      </c>
      <c r="W507" s="41">
        <f t="shared" si="176"/>
        <v>0</v>
      </c>
      <c r="X507" s="24"/>
      <c r="Y507" s="41">
        <f t="shared" si="177"/>
        <v>0</v>
      </c>
      <c r="Z507" s="41">
        <f t="shared" si="178"/>
        <v>0</v>
      </c>
      <c r="AA507" s="69">
        <v>5</v>
      </c>
      <c r="AB507" s="41">
        <v>582000</v>
      </c>
      <c r="AC507" s="41">
        <f t="shared" si="169"/>
        <v>0</v>
      </c>
      <c r="AD507" s="70" t="s">
        <v>243</v>
      </c>
      <c r="AE507" s="70"/>
      <c r="AF507" s="1">
        <v>582000</v>
      </c>
      <c r="AG507" s="5">
        <f t="shared" si="152"/>
        <v>0</v>
      </c>
      <c r="AH507" s="5"/>
    </row>
    <row r="508" spans="1:34" s="1" customFormat="1" x14ac:dyDescent="0.25">
      <c r="A508" s="21">
        <v>136</v>
      </c>
      <c r="B508" s="22" t="s">
        <v>1693</v>
      </c>
      <c r="C508" s="22" t="s">
        <v>429</v>
      </c>
      <c r="D508" s="51" t="s">
        <v>653</v>
      </c>
      <c r="E508" s="24" t="s">
        <v>471</v>
      </c>
      <c r="F508" s="24"/>
      <c r="G508" s="24" t="s">
        <v>194</v>
      </c>
      <c r="H508" s="24" t="s">
        <v>62</v>
      </c>
      <c r="I508" s="24">
        <v>2015</v>
      </c>
      <c r="J508" s="24"/>
      <c r="K508" s="24" t="s">
        <v>63</v>
      </c>
      <c r="L508" s="24" t="s">
        <v>64</v>
      </c>
      <c r="M508" s="24">
        <v>1</v>
      </c>
      <c r="N508" s="41">
        <f t="shared" si="175"/>
        <v>500000</v>
      </c>
      <c r="O508" s="41">
        <v>500000</v>
      </c>
      <c r="P508" s="24"/>
      <c r="Q508" s="24"/>
      <c r="R508" s="24"/>
      <c r="S508" s="41">
        <f t="shared" si="167"/>
        <v>500000</v>
      </c>
      <c r="T508" s="24">
        <v>5</v>
      </c>
      <c r="U508" s="41">
        <f>SUM(S508/T508)</f>
        <v>100000</v>
      </c>
      <c r="V508" s="24">
        <v>0.5</v>
      </c>
      <c r="W508" s="41"/>
      <c r="X508" s="24"/>
      <c r="Y508" s="41">
        <f t="shared" si="177"/>
        <v>0</v>
      </c>
      <c r="Z508" s="41"/>
      <c r="AA508" s="69">
        <v>5</v>
      </c>
      <c r="AB508" s="41">
        <f>SUM(U508*AA508)</f>
        <v>500000</v>
      </c>
      <c r="AC508" s="41">
        <f t="shared" si="169"/>
        <v>0</v>
      </c>
      <c r="AD508" s="70" t="s">
        <v>243</v>
      </c>
      <c r="AE508" s="70"/>
      <c r="AF508" s="1">
        <v>500000</v>
      </c>
      <c r="AG508" s="5">
        <f t="shared" si="152"/>
        <v>0</v>
      </c>
      <c r="AH508" s="5"/>
    </row>
    <row r="509" spans="1:34" s="1" customFormat="1" x14ac:dyDescent="0.25">
      <c r="A509" s="21"/>
      <c r="B509" s="22"/>
      <c r="C509" s="22"/>
      <c r="D509" s="51"/>
      <c r="E509" s="24"/>
      <c r="F509" s="24"/>
      <c r="G509" s="24"/>
      <c r="H509" s="24"/>
      <c r="I509" s="24"/>
      <c r="J509" s="24"/>
      <c r="K509" s="24"/>
      <c r="L509" s="24"/>
      <c r="M509" s="24"/>
      <c r="N509" s="41"/>
      <c r="O509" s="41"/>
      <c r="P509" s="24"/>
      <c r="Q509" s="24"/>
      <c r="R509" s="24"/>
      <c r="S509" s="41"/>
      <c r="T509" s="24"/>
      <c r="U509" s="41"/>
      <c r="V509" s="24"/>
      <c r="W509" s="41"/>
      <c r="X509" s="24"/>
      <c r="Y509" s="41"/>
      <c r="Z509" s="41"/>
      <c r="AA509" s="69"/>
      <c r="AB509" s="41"/>
      <c r="AC509" s="41"/>
      <c r="AD509" s="70"/>
      <c r="AE509" s="70"/>
      <c r="AG509" s="5">
        <f t="shared" ref="AG509:AG572" si="179">AF509+Z509-AB509</f>
        <v>0</v>
      </c>
      <c r="AH509" s="5"/>
    </row>
    <row r="510" spans="1:34" s="154" customFormat="1" x14ac:dyDescent="0.25">
      <c r="A510" s="25"/>
      <c r="B510" s="26" t="s">
        <v>1694</v>
      </c>
      <c r="C510" s="26"/>
      <c r="D510" s="27" t="s">
        <v>1695</v>
      </c>
      <c r="E510" s="28"/>
      <c r="F510" s="28"/>
      <c r="G510" s="28"/>
      <c r="H510" s="28"/>
      <c r="I510" s="28"/>
      <c r="J510" s="28"/>
      <c r="K510" s="28"/>
      <c r="L510" s="28"/>
      <c r="M510" s="28">
        <f>SUM(M511:M523)</f>
        <v>21</v>
      </c>
      <c r="N510" s="40"/>
      <c r="O510" s="40">
        <f>SUM(O511:O523)</f>
        <v>88055900</v>
      </c>
      <c r="P510" s="28"/>
      <c r="Q510" s="28"/>
      <c r="R510" s="28"/>
      <c r="S510" s="40">
        <f>SUM(S511:S523)</f>
        <v>88055900</v>
      </c>
      <c r="T510" s="28"/>
      <c r="U510" s="40">
        <f>SUM(U511:U523)</f>
        <v>15509680</v>
      </c>
      <c r="V510" s="28"/>
      <c r="W510" s="40">
        <f>SUM(W511:W523)</f>
        <v>5361840</v>
      </c>
      <c r="X510" s="28"/>
      <c r="Y510" s="40"/>
      <c r="Z510" s="40">
        <f>SUM(Z511:Z523)</f>
        <v>5361840</v>
      </c>
      <c r="AA510" s="176"/>
      <c r="AB510" s="40">
        <f>SUM(AB511:AB523)</f>
        <v>74273120.000000015</v>
      </c>
      <c r="AC510" s="40">
        <f>SUM(AC511:AC523)</f>
        <v>13782780</v>
      </c>
      <c r="AD510" s="167"/>
      <c r="AE510" s="167"/>
      <c r="AG510" s="5">
        <f t="shared" si="179"/>
        <v>-68911280.000000015</v>
      </c>
      <c r="AH510" s="155"/>
    </row>
    <row r="511" spans="1:34" s="154" customFormat="1" x14ac:dyDescent="0.25">
      <c r="A511" s="49"/>
      <c r="B511" s="50" t="s">
        <v>1696</v>
      </c>
      <c r="C511" s="50" t="s">
        <v>209</v>
      </c>
      <c r="D511" s="51" t="s">
        <v>1058</v>
      </c>
      <c r="E511" s="52" t="s">
        <v>166</v>
      </c>
      <c r="F511" s="52"/>
      <c r="G511" s="52" t="s">
        <v>903</v>
      </c>
      <c r="H511" s="52" t="s">
        <v>62</v>
      </c>
      <c r="I511" s="52">
        <v>2020</v>
      </c>
      <c r="J511" s="52"/>
      <c r="K511" s="52" t="s">
        <v>63</v>
      </c>
      <c r="L511" s="52" t="s">
        <v>64</v>
      </c>
      <c r="M511" s="52">
        <v>2</v>
      </c>
      <c r="N511" s="53">
        <f t="shared" ref="N511:N512" si="180">SUM(O511/M511)</f>
        <v>2300000</v>
      </c>
      <c r="O511" s="53">
        <v>4600000</v>
      </c>
      <c r="P511" s="52"/>
      <c r="Q511" s="52"/>
      <c r="R511" s="52"/>
      <c r="S511" s="53">
        <f t="shared" ref="S511:S523" si="181">SUM(O511-R511)</f>
        <v>4600000</v>
      </c>
      <c r="T511" s="52">
        <v>5</v>
      </c>
      <c r="U511" s="53">
        <f t="shared" ref="U511:U512" si="182">SUM(S511/T511)</f>
        <v>920000</v>
      </c>
      <c r="V511" s="52">
        <v>0.5</v>
      </c>
      <c r="W511" s="53">
        <f>SUM(U511*V511)</f>
        <v>460000</v>
      </c>
      <c r="X511" s="52"/>
      <c r="Y511" s="53">
        <f t="shared" ref="Y511:Y512" si="183">SUM(U511*X511)</f>
        <v>0</v>
      </c>
      <c r="Z511" s="53">
        <f t="shared" ref="Z511:Z512" si="184">SUM(W511+Y511)</f>
        <v>460000</v>
      </c>
      <c r="AA511" s="169">
        <f>2023-I511+V511+X511-11/12</f>
        <v>2.5833333333333335</v>
      </c>
      <c r="AB511" s="53">
        <f t="shared" ref="AB511:AB512" si="185">SUM(U511*AA511)</f>
        <v>2376666.666666667</v>
      </c>
      <c r="AC511" s="53">
        <f t="shared" ref="AC511:AC523" si="186">SUM(O511-AB511)</f>
        <v>2223333.333333333</v>
      </c>
      <c r="AD511" s="56" t="s">
        <v>1059</v>
      </c>
      <c r="AE511" s="56"/>
      <c r="AF511" s="1">
        <v>1916666.6666666667</v>
      </c>
      <c r="AG511" s="5">
        <f t="shared" si="179"/>
        <v>0</v>
      </c>
      <c r="AH511" s="155"/>
    </row>
    <row r="512" spans="1:34" s="154" customFormat="1" x14ac:dyDescent="0.25">
      <c r="A512" s="49"/>
      <c r="B512" s="50" t="s">
        <v>1696</v>
      </c>
      <c r="C512" s="50" t="s">
        <v>291</v>
      </c>
      <c r="D512" s="51" t="s">
        <v>1060</v>
      </c>
      <c r="E512" s="52" t="s">
        <v>166</v>
      </c>
      <c r="F512" s="52"/>
      <c r="G512" s="52" t="s">
        <v>1061</v>
      </c>
      <c r="H512" s="52" t="s">
        <v>62</v>
      </c>
      <c r="I512" s="52">
        <v>2020</v>
      </c>
      <c r="J512" s="52"/>
      <c r="K512" s="52" t="s">
        <v>63</v>
      </c>
      <c r="L512" s="52" t="s">
        <v>64</v>
      </c>
      <c r="M512" s="52">
        <v>4</v>
      </c>
      <c r="N512" s="53">
        <f t="shared" si="180"/>
        <v>1300000</v>
      </c>
      <c r="O512" s="53">
        <v>5200000</v>
      </c>
      <c r="P512" s="52"/>
      <c r="Q512" s="52"/>
      <c r="R512" s="52"/>
      <c r="S512" s="53">
        <f t="shared" si="181"/>
        <v>5200000</v>
      </c>
      <c r="T512" s="52">
        <v>5</v>
      </c>
      <c r="U512" s="53">
        <f t="shared" si="182"/>
        <v>1040000</v>
      </c>
      <c r="V512" s="52">
        <v>0.5</v>
      </c>
      <c r="W512" s="53">
        <f>SUM(U512*V512)</f>
        <v>520000</v>
      </c>
      <c r="X512" s="52"/>
      <c r="Y512" s="53">
        <f t="shared" si="183"/>
        <v>0</v>
      </c>
      <c r="Z512" s="53">
        <f t="shared" si="184"/>
        <v>520000</v>
      </c>
      <c r="AA512" s="169">
        <f>2023-I512+V512+X512-11/12</f>
        <v>2.5833333333333335</v>
      </c>
      <c r="AB512" s="53">
        <f t="shared" si="185"/>
        <v>2686666.666666667</v>
      </c>
      <c r="AC512" s="53">
        <f t="shared" si="186"/>
        <v>2513333.333333333</v>
      </c>
      <c r="AD512" s="56" t="s">
        <v>778</v>
      </c>
      <c r="AE512" s="56"/>
      <c r="AF512" s="1">
        <v>2166666.666666667</v>
      </c>
      <c r="AG512" s="5">
        <f t="shared" si="179"/>
        <v>0</v>
      </c>
      <c r="AH512" s="155"/>
    </row>
    <row r="513" spans="1:34" s="1" customFormat="1" x14ac:dyDescent="0.25">
      <c r="A513" s="49"/>
      <c r="B513" s="50" t="s">
        <v>1697</v>
      </c>
      <c r="C513" s="50" t="s">
        <v>58</v>
      </c>
      <c r="D513" s="51" t="s">
        <v>841</v>
      </c>
      <c r="E513" s="52" t="s">
        <v>842</v>
      </c>
      <c r="F513" s="52"/>
      <c r="G513" s="52" t="s">
        <v>61</v>
      </c>
      <c r="H513" s="52" t="s">
        <v>62</v>
      </c>
      <c r="I513" s="52">
        <v>2012</v>
      </c>
      <c r="J513" s="52"/>
      <c r="K513" s="52" t="s">
        <v>63</v>
      </c>
      <c r="L513" s="52" t="s">
        <v>64</v>
      </c>
      <c r="M513" s="52">
        <v>1</v>
      </c>
      <c r="N513" s="53">
        <f t="shared" ref="N513:N523" si="187">SUM(O513/M513)</f>
        <v>700000</v>
      </c>
      <c r="O513" s="53">
        <v>700000</v>
      </c>
      <c r="P513" s="52"/>
      <c r="Q513" s="52"/>
      <c r="R513" s="52"/>
      <c r="S513" s="53">
        <f t="shared" si="181"/>
        <v>700000</v>
      </c>
      <c r="T513" s="52">
        <v>5</v>
      </c>
      <c r="U513" s="53"/>
      <c r="V513" s="52">
        <v>0.5</v>
      </c>
      <c r="W513" s="53">
        <f t="shared" ref="W513:W523" si="188">SUM(U513*V513)</f>
        <v>0</v>
      </c>
      <c r="X513" s="52"/>
      <c r="Y513" s="53">
        <f t="shared" ref="Y513:Y523" si="189">SUM(U513*X513)</f>
        <v>0</v>
      </c>
      <c r="Z513" s="53">
        <f t="shared" ref="Z513:Z523" si="190">SUM(W513+Y513)</f>
        <v>0</v>
      </c>
      <c r="AA513" s="169">
        <v>5</v>
      </c>
      <c r="AB513" s="53">
        <v>700000</v>
      </c>
      <c r="AC513" s="53">
        <f t="shared" si="186"/>
        <v>0</v>
      </c>
      <c r="AD513" s="56" t="s">
        <v>350</v>
      </c>
      <c r="AE513" s="56"/>
      <c r="AF513" s="1">
        <v>700000</v>
      </c>
      <c r="AG513" s="5">
        <f t="shared" si="179"/>
        <v>0</v>
      </c>
      <c r="AH513" s="5"/>
    </row>
    <row r="514" spans="1:34" s="1" customFormat="1" x14ac:dyDescent="0.25">
      <c r="A514" s="49"/>
      <c r="B514" s="50" t="s">
        <v>1697</v>
      </c>
      <c r="C514" s="50" t="s">
        <v>75</v>
      </c>
      <c r="D514" s="51" t="s">
        <v>841</v>
      </c>
      <c r="E514" s="52" t="s">
        <v>842</v>
      </c>
      <c r="F514" s="52"/>
      <c r="G514" s="52" t="s">
        <v>61</v>
      </c>
      <c r="H514" s="52" t="s">
        <v>62</v>
      </c>
      <c r="I514" s="52">
        <v>2012</v>
      </c>
      <c r="J514" s="52"/>
      <c r="K514" s="52" t="s">
        <v>63</v>
      </c>
      <c r="L514" s="52" t="s">
        <v>64</v>
      </c>
      <c r="M514" s="52">
        <v>1</v>
      </c>
      <c r="N514" s="53">
        <f t="shared" si="187"/>
        <v>700000</v>
      </c>
      <c r="O514" s="53">
        <v>700000</v>
      </c>
      <c r="P514" s="52"/>
      <c r="Q514" s="52"/>
      <c r="R514" s="52"/>
      <c r="S514" s="53">
        <f t="shared" si="181"/>
        <v>700000</v>
      </c>
      <c r="T514" s="52">
        <v>5</v>
      </c>
      <c r="U514" s="53"/>
      <c r="V514" s="52">
        <v>0.5</v>
      </c>
      <c r="W514" s="53">
        <f t="shared" si="188"/>
        <v>0</v>
      </c>
      <c r="X514" s="52"/>
      <c r="Y514" s="53">
        <f t="shared" si="189"/>
        <v>0</v>
      </c>
      <c r="Z514" s="53">
        <f t="shared" si="190"/>
        <v>0</v>
      </c>
      <c r="AA514" s="169">
        <v>5</v>
      </c>
      <c r="AB514" s="53">
        <v>700000</v>
      </c>
      <c r="AC514" s="53">
        <f t="shared" si="186"/>
        <v>0</v>
      </c>
      <c r="AD514" s="56" t="s">
        <v>354</v>
      </c>
      <c r="AE514" s="56"/>
      <c r="AF514" s="1">
        <v>700000</v>
      </c>
      <c r="AG514" s="5">
        <f t="shared" si="179"/>
        <v>0</v>
      </c>
      <c r="AH514" s="5"/>
    </row>
    <row r="515" spans="1:34" s="1" customFormat="1" x14ac:dyDescent="0.25">
      <c r="A515" s="49"/>
      <c r="B515" s="50" t="s">
        <v>1697</v>
      </c>
      <c r="C515" s="50" t="s">
        <v>79</v>
      </c>
      <c r="D515" s="51" t="s">
        <v>841</v>
      </c>
      <c r="E515" s="52" t="s">
        <v>843</v>
      </c>
      <c r="F515" s="52"/>
      <c r="G515" s="52" t="s">
        <v>61</v>
      </c>
      <c r="H515" s="52" t="s">
        <v>62</v>
      </c>
      <c r="I515" s="52">
        <v>2012</v>
      </c>
      <c r="J515" s="52"/>
      <c r="K515" s="52" t="s">
        <v>63</v>
      </c>
      <c r="L515" s="52" t="s">
        <v>64</v>
      </c>
      <c r="M515" s="52">
        <v>1</v>
      </c>
      <c r="N515" s="53">
        <f t="shared" si="187"/>
        <v>1845000</v>
      </c>
      <c r="O515" s="53">
        <v>1845000</v>
      </c>
      <c r="P515" s="52"/>
      <c r="Q515" s="52"/>
      <c r="R515" s="52"/>
      <c r="S515" s="53">
        <f t="shared" si="181"/>
        <v>1845000</v>
      </c>
      <c r="T515" s="52">
        <v>5</v>
      </c>
      <c r="U515" s="53"/>
      <c r="V515" s="52">
        <v>0.5</v>
      </c>
      <c r="W515" s="53">
        <f t="shared" si="188"/>
        <v>0</v>
      </c>
      <c r="X515" s="52"/>
      <c r="Y515" s="53">
        <f t="shared" si="189"/>
        <v>0</v>
      </c>
      <c r="Z515" s="53">
        <f t="shared" si="190"/>
        <v>0</v>
      </c>
      <c r="AA515" s="169">
        <v>5</v>
      </c>
      <c r="AB515" s="53">
        <v>1845000</v>
      </c>
      <c r="AC515" s="53">
        <f t="shared" si="186"/>
        <v>0</v>
      </c>
      <c r="AD515" s="56" t="s">
        <v>350</v>
      </c>
      <c r="AE515" s="56"/>
      <c r="AF515" s="1">
        <v>1845000</v>
      </c>
      <c r="AG515" s="5">
        <f t="shared" si="179"/>
        <v>0</v>
      </c>
      <c r="AH515" s="5"/>
    </row>
    <row r="516" spans="1:34" s="1" customFormat="1" x14ac:dyDescent="0.25">
      <c r="A516" s="49"/>
      <c r="B516" s="50" t="s">
        <v>1697</v>
      </c>
      <c r="C516" s="50" t="s">
        <v>84</v>
      </c>
      <c r="D516" s="51" t="s">
        <v>841</v>
      </c>
      <c r="E516" s="52" t="s">
        <v>843</v>
      </c>
      <c r="F516" s="52"/>
      <c r="G516" s="52" t="s">
        <v>61</v>
      </c>
      <c r="H516" s="52" t="s">
        <v>62</v>
      </c>
      <c r="I516" s="52">
        <v>2012</v>
      </c>
      <c r="J516" s="52"/>
      <c r="K516" s="52" t="s">
        <v>63</v>
      </c>
      <c r="L516" s="52" t="s">
        <v>64</v>
      </c>
      <c r="M516" s="52">
        <v>1</v>
      </c>
      <c r="N516" s="53">
        <f t="shared" si="187"/>
        <v>1845000</v>
      </c>
      <c r="O516" s="53">
        <v>1845000</v>
      </c>
      <c r="P516" s="52"/>
      <c r="Q516" s="52"/>
      <c r="R516" s="52"/>
      <c r="S516" s="53">
        <f t="shared" si="181"/>
        <v>1845000</v>
      </c>
      <c r="T516" s="52">
        <v>5</v>
      </c>
      <c r="U516" s="53"/>
      <c r="V516" s="52">
        <v>0.5</v>
      </c>
      <c r="W516" s="53">
        <f t="shared" si="188"/>
        <v>0</v>
      </c>
      <c r="X516" s="52"/>
      <c r="Y516" s="53">
        <f t="shared" si="189"/>
        <v>0</v>
      </c>
      <c r="Z516" s="53">
        <f t="shared" si="190"/>
        <v>0</v>
      </c>
      <c r="AA516" s="169">
        <v>5</v>
      </c>
      <c r="AB516" s="53">
        <v>1845000</v>
      </c>
      <c r="AC516" s="53">
        <f t="shared" si="186"/>
        <v>0</v>
      </c>
      <c r="AD516" s="56" t="s">
        <v>354</v>
      </c>
      <c r="AE516" s="56"/>
      <c r="AF516" s="1">
        <v>1845000</v>
      </c>
      <c r="AG516" s="5">
        <f t="shared" si="179"/>
        <v>0</v>
      </c>
      <c r="AH516" s="5"/>
    </row>
    <row r="517" spans="1:34" s="1" customFormat="1" x14ac:dyDescent="0.25">
      <c r="A517" s="49"/>
      <c r="B517" s="50" t="s">
        <v>1697</v>
      </c>
      <c r="C517" s="50" t="s">
        <v>88</v>
      </c>
      <c r="D517" s="51" t="s">
        <v>841</v>
      </c>
      <c r="E517" s="52" t="s">
        <v>844</v>
      </c>
      <c r="F517" s="52"/>
      <c r="G517" s="52" t="s">
        <v>61</v>
      </c>
      <c r="H517" s="52" t="s">
        <v>62</v>
      </c>
      <c r="I517" s="52">
        <v>2014</v>
      </c>
      <c r="J517" s="52"/>
      <c r="K517" s="52" t="s">
        <v>63</v>
      </c>
      <c r="L517" s="52" t="s">
        <v>64</v>
      </c>
      <c r="M517" s="52">
        <v>1</v>
      </c>
      <c r="N517" s="53">
        <f t="shared" si="187"/>
        <v>3630000</v>
      </c>
      <c r="O517" s="53">
        <v>3630000</v>
      </c>
      <c r="P517" s="52"/>
      <c r="Q517" s="52"/>
      <c r="R517" s="52"/>
      <c r="S517" s="53">
        <f t="shared" si="181"/>
        <v>3630000</v>
      </c>
      <c r="T517" s="52">
        <v>5</v>
      </c>
      <c r="U517" s="53"/>
      <c r="V517" s="52">
        <v>0.5</v>
      </c>
      <c r="W517" s="53">
        <f t="shared" si="188"/>
        <v>0</v>
      </c>
      <c r="X517" s="52"/>
      <c r="Y517" s="53">
        <f t="shared" si="189"/>
        <v>0</v>
      </c>
      <c r="Z517" s="53">
        <f t="shared" si="190"/>
        <v>0</v>
      </c>
      <c r="AA517" s="169">
        <v>5</v>
      </c>
      <c r="AB517" s="53">
        <v>3630000</v>
      </c>
      <c r="AC517" s="53">
        <f t="shared" si="186"/>
        <v>0</v>
      </c>
      <c r="AD517" s="56" t="s">
        <v>845</v>
      </c>
      <c r="AE517" s="56"/>
      <c r="AF517" s="1">
        <v>3630000</v>
      </c>
      <c r="AG517" s="5">
        <f t="shared" si="179"/>
        <v>0</v>
      </c>
      <c r="AH517" s="5"/>
    </row>
    <row r="518" spans="1:34" s="1" customFormat="1" x14ac:dyDescent="0.25">
      <c r="A518" s="49"/>
      <c r="B518" s="50" t="s">
        <v>1697</v>
      </c>
      <c r="C518" s="50" t="s">
        <v>92</v>
      </c>
      <c r="D518" s="51" t="s">
        <v>841</v>
      </c>
      <c r="E518" s="52" t="s">
        <v>846</v>
      </c>
      <c r="F518" s="52"/>
      <c r="G518" s="52" t="s">
        <v>61</v>
      </c>
      <c r="H518" s="52" t="s">
        <v>62</v>
      </c>
      <c r="I518" s="52">
        <v>2014</v>
      </c>
      <c r="J518" s="52"/>
      <c r="K518" s="52" t="s">
        <v>63</v>
      </c>
      <c r="L518" s="52" t="s">
        <v>64</v>
      </c>
      <c r="M518" s="52">
        <v>2</v>
      </c>
      <c r="N518" s="53">
        <f t="shared" si="187"/>
        <v>893750</v>
      </c>
      <c r="O518" s="53">
        <v>1787500</v>
      </c>
      <c r="P518" s="52"/>
      <c r="Q518" s="52"/>
      <c r="R518" s="52"/>
      <c r="S518" s="53">
        <f t="shared" si="181"/>
        <v>1787500</v>
      </c>
      <c r="T518" s="52">
        <v>5</v>
      </c>
      <c r="U518" s="53"/>
      <c r="V518" s="52">
        <v>0.5</v>
      </c>
      <c r="W518" s="53">
        <f t="shared" si="188"/>
        <v>0</v>
      </c>
      <c r="X518" s="52"/>
      <c r="Y518" s="53">
        <f t="shared" si="189"/>
        <v>0</v>
      </c>
      <c r="Z518" s="53">
        <f t="shared" si="190"/>
        <v>0</v>
      </c>
      <c r="AA518" s="169">
        <v>5</v>
      </c>
      <c r="AB518" s="53">
        <v>1787500</v>
      </c>
      <c r="AC518" s="53">
        <f t="shared" si="186"/>
        <v>0</v>
      </c>
      <c r="AD518" s="56" t="s">
        <v>845</v>
      </c>
      <c r="AE518" s="56"/>
      <c r="AF518" s="1">
        <v>1787500</v>
      </c>
      <c r="AG518" s="5">
        <f t="shared" si="179"/>
        <v>0</v>
      </c>
      <c r="AH518" s="5"/>
    </row>
    <row r="519" spans="1:34" s="1" customFormat="1" x14ac:dyDescent="0.25">
      <c r="A519" s="49"/>
      <c r="B519" s="50" t="s">
        <v>1697</v>
      </c>
      <c r="C519" s="50" t="s">
        <v>847</v>
      </c>
      <c r="D519" s="51" t="s">
        <v>848</v>
      </c>
      <c r="E519" s="52" t="s">
        <v>849</v>
      </c>
      <c r="F519" s="52"/>
      <c r="G519" s="52" t="s">
        <v>61</v>
      </c>
      <c r="H519" s="52" t="s">
        <v>62</v>
      </c>
      <c r="I519" s="52">
        <v>2016</v>
      </c>
      <c r="J519" s="52"/>
      <c r="K519" s="52" t="s">
        <v>63</v>
      </c>
      <c r="L519" s="52" t="s">
        <v>64</v>
      </c>
      <c r="M519" s="52">
        <v>2</v>
      </c>
      <c r="N519" s="53">
        <f t="shared" si="187"/>
        <v>6975000</v>
      </c>
      <c r="O519" s="53">
        <v>13950000</v>
      </c>
      <c r="P519" s="52"/>
      <c r="Q519" s="52"/>
      <c r="R519" s="52"/>
      <c r="S519" s="53">
        <f t="shared" si="181"/>
        <v>13950000</v>
      </c>
      <c r="T519" s="52">
        <v>5</v>
      </c>
      <c r="U519" s="53">
        <f>SUM(S519/T519)</f>
        <v>2790000</v>
      </c>
      <c r="V519" s="52"/>
      <c r="W519" s="53"/>
      <c r="X519" s="52"/>
      <c r="Y519" s="53">
        <f t="shared" si="189"/>
        <v>0</v>
      </c>
      <c r="Z519" s="53">
        <f t="shared" si="190"/>
        <v>0</v>
      </c>
      <c r="AA519" s="169">
        <v>5</v>
      </c>
      <c r="AB519" s="53">
        <f>SUM(U519*AA519)</f>
        <v>13950000</v>
      </c>
      <c r="AC519" s="53">
        <f t="shared" si="186"/>
        <v>0</v>
      </c>
      <c r="AD519" s="56" t="s">
        <v>434</v>
      </c>
      <c r="AE519" s="56"/>
      <c r="AF519" s="1">
        <v>13950000</v>
      </c>
      <c r="AG519" s="5">
        <f t="shared" si="179"/>
        <v>0</v>
      </c>
      <c r="AH519" s="5"/>
    </row>
    <row r="520" spans="1:34" s="1" customFormat="1" x14ac:dyDescent="0.25">
      <c r="A520" s="49"/>
      <c r="B520" s="50" t="s">
        <v>1697</v>
      </c>
      <c r="C520" s="50" t="s">
        <v>105</v>
      </c>
      <c r="D520" s="51" t="s">
        <v>841</v>
      </c>
      <c r="E520" s="52"/>
      <c r="F520" s="52"/>
      <c r="G520" s="52" t="s">
        <v>61</v>
      </c>
      <c r="H520" s="52" t="s">
        <v>62</v>
      </c>
      <c r="I520" s="52">
        <v>2016</v>
      </c>
      <c r="J520" s="52"/>
      <c r="K520" s="52" t="s">
        <v>63</v>
      </c>
      <c r="L520" s="52" t="s">
        <v>64</v>
      </c>
      <c r="M520" s="52">
        <v>1</v>
      </c>
      <c r="N520" s="53">
        <f t="shared" si="187"/>
        <v>9980000</v>
      </c>
      <c r="O520" s="53">
        <v>9980000</v>
      </c>
      <c r="P520" s="52"/>
      <c r="Q520" s="52"/>
      <c r="R520" s="52"/>
      <c r="S520" s="53">
        <f t="shared" si="181"/>
        <v>9980000</v>
      </c>
      <c r="T520" s="52">
        <v>5</v>
      </c>
      <c r="U520" s="53">
        <f>SUM(S520/T520)</f>
        <v>1996000</v>
      </c>
      <c r="V520" s="52"/>
      <c r="W520" s="53"/>
      <c r="X520" s="52"/>
      <c r="Y520" s="53"/>
      <c r="Z520" s="53"/>
      <c r="AA520" s="169">
        <v>5</v>
      </c>
      <c r="AB520" s="53">
        <f>SUM(U520*AA520)</f>
        <v>9980000</v>
      </c>
      <c r="AC520" s="53">
        <f t="shared" si="186"/>
        <v>0</v>
      </c>
      <c r="AD520" s="56" t="s">
        <v>850</v>
      </c>
      <c r="AE520" s="56"/>
      <c r="AF520" s="1">
        <v>9980000</v>
      </c>
      <c r="AG520" s="5">
        <f t="shared" si="179"/>
        <v>0</v>
      </c>
      <c r="AH520" s="5"/>
    </row>
    <row r="521" spans="1:34" s="1" customFormat="1" x14ac:dyDescent="0.25">
      <c r="A521" s="49"/>
      <c r="B521" s="50" t="s">
        <v>1697</v>
      </c>
      <c r="C521" s="50" t="s">
        <v>339</v>
      </c>
      <c r="D521" s="51" t="s">
        <v>848</v>
      </c>
      <c r="E521" s="52" t="s">
        <v>851</v>
      </c>
      <c r="F521" s="52"/>
      <c r="G521" s="52" t="s">
        <v>61</v>
      </c>
      <c r="H521" s="52" t="s">
        <v>62</v>
      </c>
      <c r="I521" s="52">
        <v>2018</v>
      </c>
      <c r="J521" s="52"/>
      <c r="K521" s="52" t="s">
        <v>63</v>
      </c>
      <c r="L521" s="52" t="s">
        <v>64</v>
      </c>
      <c r="M521" s="52">
        <v>2</v>
      </c>
      <c r="N521" s="53">
        <f t="shared" si="187"/>
        <v>8494200</v>
      </c>
      <c r="O521" s="53">
        <v>16988400</v>
      </c>
      <c r="P521" s="52"/>
      <c r="Q521" s="52"/>
      <c r="R521" s="52"/>
      <c r="S521" s="53">
        <f t="shared" si="181"/>
        <v>16988400</v>
      </c>
      <c r="T521" s="52">
        <v>5</v>
      </c>
      <c r="U521" s="53">
        <f>SUM(S521/T521)</f>
        <v>3397680</v>
      </c>
      <c r="V521" s="52">
        <v>0.5</v>
      </c>
      <c r="W521" s="53">
        <f t="shared" si="188"/>
        <v>1698840</v>
      </c>
      <c r="X521" s="52"/>
      <c r="Y521" s="53">
        <f t="shared" si="189"/>
        <v>0</v>
      </c>
      <c r="Z521" s="53">
        <f t="shared" si="190"/>
        <v>1698840</v>
      </c>
      <c r="AA521" s="169">
        <f>2023-I521+V521+X521-8/12</f>
        <v>4.833333333333333</v>
      </c>
      <c r="AB521" s="53">
        <f>SUM(U521*AA521)</f>
        <v>16422119.999999998</v>
      </c>
      <c r="AC521" s="53">
        <f t="shared" si="186"/>
        <v>566280.00000000186</v>
      </c>
      <c r="AD521" s="56"/>
      <c r="AE521" s="56"/>
      <c r="AF521" s="1">
        <v>14723279.999999998</v>
      </c>
      <c r="AG521" s="5">
        <f t="shared" si="179"/>
        <v>0</v>
      </c>
      <c r="AH521" s="5"/>
    </row>
    <row r="522" spans="1:34" s="1" customFormat="1" x14ac:dyDescent="0.25">
      <c r="A522" s="49"/>
      <c r="B522" s="50" t="s">
        <v>1697</v>
      </c>
      <c r="C522" s="50" t="s">
        <v>138</v>
      </c>
      <c r="D522" s="51" t="s">
        <v>852</v>
      </c>
      <c r="E522" s="52" t="s">
        <v>853</v>
      </c>
      <c r="F522" s="52"/>
      <c r="G522" s="52" t="s">
        <v>61</v>
      </c>
      <c r="H522" s="52" t="s">
        <v>62</v>
      </c>
      <c r="I522" s="52">
        <v>2019</v>
      </c>
      <c r="J522" s="52"/>
      <c r="K522" s="52" t="s">
        <v>63</v>
      </c>
      <c r="L522" s="52" t="s">
        <v>64</v>
      </c>
      <c r="M522" s="52">
        <v>2</v>
      </c>
      <c r="N522" s="53">
        <v>16830000</v>
      </c>
      <c r="O522" s="53">
        <v>16830000</v>
      </c>
      <c r="P522" s="52"/>
      <c r="Q522" s="52"/>
      <c r="R522" s="52"/>
      <c r="S522" s="53">
        <f t="shared" si="181"/>
        <v>16830000</v>
      </c>
      <c r="T522" s="52">
        <v>5</v>
      </c>
      <c r="U522" s="53">
        <f>SUM(S522/T522)</f>
        <v>3366000</v>
      </c>
      <c r="V522" s="52">
        <v>0.5</v>
      </c>
      <c r="W522" s="53">
        <f t="shared" si="188"/>
        <v>1683000</v>
      </c>
      <c r="X522" s="52"/>
      <c r="Y522" s="53">
        <f t="shared" si="189"/>
        <v>0</v>
      </c>
      <c r="Z522" s="53">
        <f t="shared" si="190"/>
        <v>1683000</v>
      </c>
      <c r="AA522" s="169">
        <f>2023-I522+V522+X522-7/12</f>
        <v>3.9166666666666665</v>
      </c>
      <c r="AB522" s="53">
        <f>SUM(U522*AA522)</f>
        <v>13183500</v>
      </c>
      <c r="AC522" s="53">
        <f t="shared" si="186"/>
        <v>3646500</v>
      </c>
      <c r="AD522" s="56"/>
      <c r="AE522" s="56"/>
      <c r="AF522" s="1">
        <v>11500500</v>
      </c>
      <c r="AG522" s="5">
        <f t="shared" si="179"/>
        <v>0</v>
      </c>
      <c r="AH522" s="5"/>
    </row>
    <row r="523" spans="1:34" s="1" customFormat="1" x14ac:dyDescent="0.25">
      <c r="A523" s="49"/>
      <c r="B523" s="50" t="s">
        <v>1697</v>
      </c>
      <c r="C523" s="50" t="s">
        <v>140</v>
      </c>
      <c r="D523" s="51" t="s">
        <v>848</v>
      </c>
      <c r="E523" s="52"/>
      <c r="F523" s="52"/>
      <c r="G523" s="52" t="s">
        <v>61</v>
      </c>
      <c r="H523" s="52" t="s">
        <v>62</v>
      </c>
      <c r="I523" s="52">
        <v>2020</v>
      </c>
      <c r="J523" s="52"/>
      <c r="K523" s="52" t="s">
        <v>63</v>
      </c>
      <c r="L523" s="52" t="s">
        <v>64</v>
      </c>
      <c r="M523" s="52">
        <v>1</v>
      </c>
      <c r="N523" s="53">
        <f t="shared" si="187"/>
        <v>10000000</v>
      </c>
      <c r="O523" s="53">
        <v>10000000</v>
      </c>
      <c r="P523" s="52"/>
      <c r="Q523" s="52"/>
      <c r="R523" s="52"/>
      <c r="S523" s="53">
        <f t="shared" si="181"/>
        <v>10000000</v>
      </c>
      <c r="T523" s="52">
        <v>5</v>
      </c>
      <c r="U523" s="53">
        <f>SUM(S523/T523)</f>
        <v>2000000</v>
      </c>
      <c r="V523" s="52">
        <v>0.5</v>
      </c>
      <c r="W523" s="53">
        <f t="shared" si="188"/>
        <v>1000000</v>
      </c>
      <c r="X523" s="52"/>
      <c r="Y523" s="53">
        <f t="shared" si="189"/>
        <v>0</v>
      </c>
      <c r="Z523" s="53">
        <f t="shared" si="190"/>
        <v>1000000</v>
      </c>
      <c r="AA523" s="169">
        <f>2023-I523+V523+X523-11/12</f>
        <v>2.5833333333333335</v>
      </c>
      <c r="AB523" s="53">
        <f>SUM(U523*AA523)</f>
        <v>5166666.666666667</v>
      </c>
      <c r="AC523" s="53">
        <f t="shared" si="186"/>
        <v>4833333.333333333</v>
      </c>
      <c r="AD523" s="56" t="s">
        <v>854</v>
      </c>
      <c r="AE523" s="56"/>
      <c r="AF523" s="1">
        <v>4166666.666666667</v>
      </c>
      <c r="AG523" s="5">
        <f t="shared" si="179"/>
        <v>0</v>
      </c>
      <c r="AH523" s="5"/>
    </row>
    <row r="524" spans="1:34" s="1" customFormat="1" x14ac:dyDescent="0.25">
      <c r="A524" s="49"/>
      <c r="B524" s="50"/>
      <c r="C524" s="50"/>
      <c r="D524" s="51"/>
      <c r="E524" s="52"/>
      <c r="F524" s="52"/>
      <c r="G524" s="52"/>
      <c r="H524" s="52"/>
      <c r="I524" s="52"/>
      <c r="J524" s="52"/>
      <c r="K524" s="52"/>
      <c r="L524" s="52"/>
      <c r="M524" s="52"/>
      <c r="N524" s="53"/>
      <c r="O524" s="53"/>
      <c r="P524" s="52"/>
      <c r="Q524" s="52"/>
      <c r="R524" s="52"/>
      <c r="S524" s="53"/>
      <c r="T524" s="52"/>
      <c r="U524" s="53"/>
      <c r="V524" s="52"/>
      <c r="W524" s="53"/>
      <c r="X524" s="52"/>
      <c r="Y524" s="53"/>
      <c r="Z524" s="53"/>
      <c r="AA524" s="169"/>
      <c r="AB524" s="53"/>
      <c r="AC524" s="53"/>
      <c r="AD524" s="56"/>
      <c r="AE524" s="56"/>
      <c r="AG524" s="5">
        <f t="shared" si="179"/>
        <v>0</v>
      </c>
      <c r="AH524" s="5"/>
    </row>
    <row r="525" spans="1:34" s="1" customFormat="1" x14ac:dyDescent="0.25">
      <c r="A525" s="25"/>
      <c r="B525" s="26" t="s">
        <v>1698</v>
      </c>
      <c r="C525" s="174"/>
      <c r="D525" s="26" t="s">
        <v>1699</v>
      </c>
      <c r="E525" s="28"/>
      <c r="F525" s="28"/>
      <c r="G525" s="28"/>
      <c r="H525" s="28"/>
      <c r="I525" s="28"/>
      <c r="J525" s="28"/>
      <c r="K525" s="28"/>
      <c r="L525" s="28"/>
      <c r="M525" s="67">
        <f>SUM(M526:M702)</f>
        <v>1676</v>
      </c>
      <c r="N525" s="40"/>
      <c r="O525" s="40">
        <f>SUM(O526:O702)</f>
        <v>1999571263</v>
      </c>
      <c r="P525" s="28"/>
      <c r="Q525" s="28"/>
      <c r="R525" s="28"/>
      <c r="S525" s="40">
        <f>SUM(S526:S702)</f>
        <v>1999571263</v>
      </c>
      <c r="T525" s="28"/>
      <c r="U525" s="40">
        <f>SUM(U526:U702)</f>
        <v>111859042.59999999</v>
      </c>
      <c r="V525" s="28"/>
      <c r="W525" s="40">
        <f>SUM(W526:W702)</f>
        <v>22197790.5</v>
      </c>
      <c r="X525" s="28"/>
      <c r="Y525" s="40"/>
      <c r="Z525" s="40">
        <f>SUM(Z526:Z702)</f>
        <v>22197790.5</v>
      </c>
      <c r="AA525" s="153"/>
      <c r="AB525" s="40">
        <f>SUM(AB526:AB702)</f>
        <v>1923316648.7500007</v>
      </c>
      <c r="AC525" s="40">
        <f>SUM(AC526:AC702)</f>
        <v>76254614.24999997</v>
      </c>
      <c r="AD525" s="167"/>
      <c r="AE525" s="167"/>
      <c r="AG525" s="5">
        <f t="shared" si="179"/>
        <v>-1901118858.2500007</v>
      </c>
      <c r="AH525" s="5"/>
    </row>
    <row r="526" spans="1:34" s="1" customFormat="1" x14ac:dyDescent="0.25">
      <c r="A526" s="49">
        <v>1</v>
      </c>
      <c r="B526" s="50" t="s">
        <v>1700</v>
      </c>
      <c r="C526" s="50" t="s">
        <v>108</v>
      </c>
      <c r="D526" s="51" t="s">
        <v>1008</v>
      </c>
      <c r="E526" s="52" t="s">
        <v>1009</v>
      </c>
      <c r="F526" s="52"/>
      <c r="G526" s="52" t="s">
        <v>194</v>
      </c>
      <c r="H526" s="52" t="s">
        <v>62</v>
      </c>
      <c r="I526" s="52">
        <v>2011</v>
      </c>
      <c r="J526" s="52"/>
      <c r="K526" s="52" t="s">
        <v>63</v>
      </c>
      <c r="L526" s="52" t="s">
        <v>64</v>
      </c>
      <c r="M526" s="52">
        <v>1</v>
      </c>
      <c r="N526" s="53">
        <f t="shared" ref="N526:N549" si="191">SUM(O526/M526)</f>
        <v>9950000</v>
      </c>
      <c r="O526" s="53">
        <v>9950000</v>
      </c>
      <c r="P526" s="52"/>
      <c r="Q526" s="52"/>
      <c r="R526" s="52"/>
      <c r="S526" s="53">
        <f t="shared" ref="S526:S557" si="192">SUM(O526-R526)</f>
        <v>9950000</v>
      </c>
      <c r="T526" s="52">
        <v>5</v>
      </c>
      <c r="U526" s="53"/>
      <c r="V526" s="52">
        <v>0.5</v>
      </c>
      <c r="W526" s="53">
        <f t="shared" ref="W526:W539" si="193">SUM(U526*V526)</f>
        <v>0</v>
      </c>
      <c r="X526" s="24"/>
      <c r="Y526" s="41">
        <f t="shared" ref="Y526:Y539" si="194">SUM(U526*X526)</f>
        <v>0</v>
      </c>
      <c r="Z526" s="41">
        <f t="shared" ref="Z526:Z539" si="195">SUM(W526+Y526)</f>
        <v>0</v>
      </c>
      <c r="AA526" s="24">
        <v>5</v>
      </c>
      <c r="AB526" s="41">
        <v>9950000</v>
      </c>
      <c r="AC526" s="41">
        <f t="shared" ref="AC526:AC557" si="196">SUM(O526-AB526)</f>
        <v>0</v>
      </c>
      <c r="AD526" s="70" t="s">
        <v>352</v>
      </c>
      <c r="AE526" s="70"/>
      <c r="AF526" s="1">
        <v>9950000</v>
      </c>
      <c r="AG526" s="5">
        <f t="shared" si="179"/>
        <v>0</v>
      </c>
      <c r="AH526" s="5"/>
    </row>
    <row r="527" spans="1:34" s="1" customFormat="1" x14ac:dyDescent="0.25">
      <c r="A527" s="49">
        <v>2</v>
      </c>
      <c r="B527" s="50" t="s">
        <v>1700</v>
      </c>
      <c r="C527" s="50" t="s">
        <v>1010</v>
      </c>
      <c r="D527" s="51" t="s">
        <v>1008</v>
      </c>
      <c r="E527" s="52" t="s">
        <v>1011</v>
      </c>
      <c r="F527" s="52"/>
      <c r="G527" s="52" t="s">
        <v>194</v>
      </c>
      <c r="H527" s="52" t="s">
        <v>62</v>
      </c>
      <c r="I527" s="52">
        <v>2012</v>
      </c>
      <c r="J527" s="52"/>
      <c r="K527" s="52" t="s">
        <v>63</v>
      </c>
      <c r="L527" s="52" t="s">
        <v>64</v>
      </c>
      <c r="M527" s="52">
        <v>20</v>
      </c>
      <c r="N527" s="53">
        <f t="shared" si="191"/>
        <v>3740000</v>
      </c>
      <c r="O527" s="53">
        <v>74800000</v>
      </c>
      <c r="P527" s="52"/>
      <c r="Q527" s="52"/>
      <c r="R527" s="52"/>
      <c r="S527" s="53">
        <f t="shared" si="192"/>
        <v>74800000</v>
      </c>
      <c r="T527" s="52">
        <v>5</v>
      </c>
      <c r="U527" s="53"/>
      <c r="V527" s="52">
        <v>0.5</v>
      </c>
      <c r="W527" s="53">
        <f t="shared" si="193"/>
        <v>0</v>
      </c>
      <c r="X527" s="24"/>
      <c r="Y527" s="41">
        <f t="shared" si="194"/>
        <v>0</v>
      </c>
      <c r="Z527" s="41">
        <f t="shared" si="195"/>
        <v>0</v>
      </c>
      <c r="AA527" s="24">
        <v>5</v>
      </c>
      <c r="AB527" s="41">
        <v>74800000</v>
      </c>
      <c r="AC527" s="41">
        <f t="shared" si="196"/>
        <v>0</v>
      </c>
      <c r="AD527" s="70" t="s">
        <v>1012</v>
      </c>
      <c r="AE527" s="70"/>
      <c r="AF527" s="1">
        <v>74800000</v>
      </c>
      <c r="AG527" s="5">
        <f t="shared" si="179"/>
        <v>0</v>
      </c>
      <c r="AH527" s="5"/>
    </row>
    <row r="528" spans="1:34" s="1" customFormat="1" x14ac:dyDescent="0.25">
      <c r="A528" s="49">
        <v>3</v>
      </c>
      <c r="B528" s="50" t="s">
        <v>1700</v>
      </c>
      <c r="C528" s="50" t="s">
        <v>312</v>
      </c>
      <c r="D528" s="51" t="s">
        <v>1008</v>
      </c>
      <c r="E528" s="52" t="s">
        <v>1013</v>
      </c>
      <c r="F528" s="52"/>
      <c r="G528" s="52" t="s">
        <v>194</v>
      </c>
      <c r="H528" s="52" t="s">
        <v>62</v>
      </c>
      <c r="I528" s="52">
        <v>2012</v>
      </c>
      <c r="J528" s="52"/>
      <c r="K528" s="52" t="s">
        <v>63</v>
      </c>
      <c r="L528" s="52" t="s">
        <v>64</v>
      </c>
      <c r="M528" s="52">
        <v>1</v>
      </c>
      <c r="N528" s="53">
        <f t="shared" si="191"/>
        <v>6325000</v>
      </c>
      <c r="O528" s="53">
        <v>6325000</v>
      </c>
      <c r="P528" s="52"/>
      <c r="Q528" s="52"/>
      <c r="R528" s="52"/>
      <c r="S528" s="53">
        <f t="shared" si="192"/>
        <v>6325000</v>
      </c>
      <c r="T528" s="52">
        <v>5</v>
      </c>
      <c r="U528" s="53"/>
      <c r="V528" s="52">
        <v>0.5</v>
      </c>
      <c r="W528" s="53">
        <f t="shared" si="193"/>
        <v>0</v>
      </c>
      <c r="X528" s="24"/>
      <c r="Y528" s="41">
        <f t="shared" si="194"/>
        <v>0</v>
      </c>
      <c r="Z528" s="41">
        <f t="shared" si="195"/>
        <v>0</v>
      </c>
      <c r="AA528" s="24">
        <v>5</v>
      </c>
      <c r="AB528" s="41">
        <v>6325000</v>
      </c>
      <c r="AC528" s="41">
        <f t="shared" si="196"/>
        <v>0</v>
      </c>
      <c r="AD528" s="70" t="s">
        <v>942</v>
      </c>
      <c r="AE528" s="70"/>
      <c r="AF528" s="1">
        <v>6325000</v>
      </c>
      <c r="AG528" s="5">
        <f t="shared" si="179"/>
        <v>0</v>
      </c>
      <c r="AH528" s="5"/>
    </row>
    <row r="529" spans="1:34" s="1" customFormat="1" x14ac:dyDescent="0.25">
      <c r="A529" s="49">
        <v>4</v>
      </c>
      <c r="B529" s="50" t="s">
        <v>1700</v>
      </c>
      <c r="C529" s="50" t="s">
        <v>313</v>
      </c>
      <c r="D529" s="51" t="s">
        <v>1008</v>
      </c>
      <c r="E529" s="52" t="s">
        <v>1013</v>
      </c>
      <c r="F529" s="52"/>
      <c r="G529" s="52" t="s">
        <v>194</v>
      </c>
      <c r="H529" s="52" t="s">
        <v>62</v>
      </c>
      <c r="I529" s="52">
        <v>2012</v>
      </c>
      <c r="J529" s="52"/>
      <c r="K529" s="52" t="s">
        <v>63</v>
      </c>
      <c r="L529" s="52" t="s">
        <v>64</v>
      </c>
      <c r="M529" s="52">
        <v>1</v>
      </c>
      <c r="N529" s="53">
        <f t="shared" si="191"/>
        <v>6325000</v>
      </c>
      <c r="O529" s="53">
        <v>6325000</v>
      </c>
      <c r="P529" s="52"/>
      <c r="Q529" s="52"/>
      <c r="R529" s="52"/>
      <c r="S529" s="53">
        <f t="shared" si="192"/>
        <v>6325000</v>
      </c>
      <c r="T529" s="52">
        <v>5</v>
      </c>
      <c r="U529" s="53"/>
      <c r="V529" s="52">
        <v>0.5</v>
      </c>
      <c r="W529" s="53">
        <f t="shared" si="193"/>
        <v>0</v>
      </c>
      <c r="X529" s="24"/>
      <c r="Y529" s="41">
        <f t="shared" si="194"/>
        <v>0</v>
      </c>
      <c r="Z529" s="41">
        <f t="shared" si="195"/>
        <v>0</v>
      </c>
      <c r="AA529" s="24">
        <v>5</v>
      </c>
      <c r="AB529" s="41">
        <v>6325000</v>
      </c>
      <c r="AC529" s="41">
        <f t="shared" si="196"/>
        <v>0</v>
      </c>
      <c r="AD529" s="70" t="s">
        <v>354</v>
      </c>
      <c r="AE529" s="70"/>
      <c r="AF529" s="1">
        <v>6325000</v>
      </c>
      <c r="AG529" s="5">
        <f t="shared" si="179"/>
        <v>0</v>
      </c>
      <c r="AH529" s="5"/>
    </row>
    <row r="530" spans="1:34" s="1" customFormat="1" x14ac:dyDescent="0.25">
      <c r="A530" s="49">
        <v>5</v>
      </c>
      <c r="B530" s="50" t="s">
        <v>1700</v>
      </c>
      <c r="C530" s="50" t="s">
        <v>559</v>
      </c>
      <c r="D530" s="51" t="s">
        <v>1008</v>
      </c>
      <c r="E530" s="52" t="s">
        <v>1013</v>
      </c>
      <c r="F530" s="52"/>
      <c r="G530" s="52" t="s">
        <v>194</v>
      </c>
      <c r="H530" s="52" t="s">
        <v>62</v>
      </c>
      <c r="I530" s="52">
        <v>2012</v>
      </c>
      <c r="J530" s="52"/>
      <c r="K530" s="52" t="s">
        <v>63</v>
      </c>
      <c r="L530" s="52" t="s">
        <v>64</v>
      </c>
      <c r="M530" s="52">
        <v>1</v>
      </c>
      <c r="N530" s="53">
        <f t="shared" si="191"/>
        <v>6325000</v>
      </c>
      <c r="O530" s="53">
        <v>6325000</v>
      </c>
      <c r="P530" s="52"/>
      <c r="Q530" s="52"/>
      <c r="R530" s="52"/>
      <c r="S530" s="53">
        <f t="shared" si="192"/>
        <v>6325000</v>
      </c>
      <c r="T530" s="52">
        <v>5</v>
      </c>
      <c r="U530" s="53"/>
      <c r="V530" s="52">
        <v>0.5</v>
      </c>
      <c r="W530" s="53">
        <f t="shared" si="193"/>
        <v>0</v>
      </c>
      <c r="X530" s="24"/>
      <c r="Y530" s="41">
        <f t="shared" si="194"/>
        <v>0</v>
      </c>
      <c r="Z530" s="41">
        <f t="shared" si="195"/>
        <v>0</v>
      </c>
      <c r="AA530" s="24">
        <v>5</v>
      </c>
      <c r="AB530" s="41">
        <v>6325000</v>
      </c>
      <c r="AC530" s="41">
        <f t="shared" si="196"/>
        <v>0</v>
      </c>
      <c r="AD530" s="70" t="s">
        <v>1014</v>
      </c>
      <c r="AE530" s="70"/>
      <c r="AF530" s="1">
        <v>6325000</v>
      </c>
      <c r="AG530" s="5">
        <f t="shared" si="179"/>
        <v>0</v>
      </c>
      <c r="AH530" s="5"/>
    </row>
    <row r="531" spans="1:34" s="1" customFormat="1" x14ac:dyDescent="0.25">
      <c r="A531" s="49">
        <v>6</v>
      </c>
      <c r="B531" s="50" t="s">
        <v>1700</v>
      </c>
      <c r="C531" s="50" t="s">
        <v>561</v>
      </c>
      <c r="D531" s="51" t="s">
        <v>1008</v>
      </c>
      <c r="E531" s="52" t="s">
        <v>1013</v>
      </c>
      <c r="F531" s="52"/>
      <c r="G531" s="52" t="s">
        <v>194</v>
      </c>
      <c r="H531" s="52" t="s">
        <v>62</v>
      </c>
      <c r="I531" s="52">
        <v>2012</v>
      </c>
      <c r="J531" s="52"/>
      <c r="K531" s="52" t="s">
        <v>63</v>
      </c>
      <c r="L531" s="52" t="s">
        <v>64</v>
      </c>
      <c r="M531" s="52">
        <v>1</v>
      </c>
      <c r="N531" s="53">
        <f t="shared" si="191"/>
        <v>6325000</v>
      </c>
      <c r="O531" s="53">
        <v>6325000</v>
      </c>
      <c r="P531" s="52"/>
      <c r="Q531" s="52"/>
      <c r="R531" s="52"/>
      <c r="S531" s="53">
        <f t="shared" si="192"/>
        <v>6325000</v>
      </c>
      <c r="T531" s="52">
        <v>5</v>
      </c>
      <c r="U531" s="53"/>
      <c r="V531" s="52">
        <v>0.5</v>
      </c>
      <c r="W531" s="53">
        <f t="shared" si="193"/>
        <v>0</v>
      </c>
      <c r="X531" s="24"/>
      <c r="Y531" s="41">
        <f t="shared" si="194"/>
        <v>0</v>
      </c>
      <c r="Z531" s="41">
        <f t="shared" si="195"/>
        <v>0</v>
      </c>
      <c r="AA531" s="24">
        <v>5</v>
      </c>
      <c r="AB531" s="41">
        <v>6325000</v>
      </c>
      <c r="AC531" s="41">
        <f t="shared" si="196"/>
        <v>0</v>
      </c>
      <c r="AD531" s="70" t="s">
        <v>1015</v>
      </c>
      <c r="AE531" s="70"/>
      <c r="AF531" s="1">
        <v>6325000</v>
      </c>
      <c r="AG531" s="5">
        <f t="shared" si="179"/>
        <v>0</v>
      </c>
      <c r="AH531" s="5"/>
    </row>
    <row r="532" spans="1:34" s="1" customFormat="1" x14ac:dyDescent="0.25">
      <c r="A532" s="49">
        <v>7</v>
      </c>
      <c r="B532" s="50" t="s">
        <v>1700</v>
      </c>
      <c r="C532" s="50" t="s">
        <v>563</v>
      </c>
      <c r="D532" s="51" t="s">
        <v>1008</v>
      </c>
      <c r="E532" s="52" t="s">
        <v>1011</v>
      </c>
      <c r="F532" s="52"/>
      <c r="G532" s="52" t="s">
        <v>194</v>
      </c>
      <c r="H532" s="52" t="s">
        <v>62</v>
      </c>
      <c r="I532" s="52">
        <v>2012</v>
      </c>
      <c r="J532" s="52"/>
      <c r="K532" s="52" t="s">
        <v>63</v>
      </c>
      <c r="L532" s="52" t="s">
        <v>64</v>
      </c>
      <c r="M532" s="52">
        <v>1</v>
      </c>
      <c r="N532" s="53">
        <f t="shared" si="191"/>
        <v>3465000</v>
      </c>
      <c r="O532" s="53">
        <v>3465000</v>
      </c>
      <c r="P532" s="52"/>
      <c r="Q532" s="52"/>
      <c r="R532" s="52"/>
      <c r="S532" s="53">
        <f t="shared" si="192"/>
        <v>3465000</v>
      </c>
      <c r="T532" s="52">
        <v>5</v>
      </c>
      <c r="U532" s="53"/>
      <c r="V532" s="52">
        <v>0.5</v>
      </c>
      <c r="W532" s="53">
        <f t="shared" si="193"/>
        <v>0</v>
      </c>
      <c r="X532" s="24"/>
      <c r="Y532" s="41">
        <f t="shared" si="194"/>
        <v>0</v>
      </c>
      <c r="Z532" s="41">
        <f t="shared" si="195"/>
        <v>0</v>
      </c>
      <c r="AA532" s="24">
        <v>5</v>
      </c>
      <c r="AB532" s="41">
        <v>3465000</v>
      </c>
      <c r="AC532" s="41">
        <f t="shared" si="196"/>
        <v>0</v>
      </c>
      <c r="AD532" s="70" t="s">
        <v>348</v>
      </c>
      <c r="AE532" s="70"/>
      <c r="AF532" s="1">
        <v>3465000</v>
      </c>
      <c r="AG532" s="5">
        <f t="shared" si="179"/>
        <v>0</v>
      </c>
      <c r="AH532" s="5"/>
    </row>
    <row r="533" spans="1:34" s="1" customFormat="1" x14ac:dyDescent="0.25">
      <c r="A533" s="49">
        <v>8</v>
      </c>
      <c r="B533" s="50" t="s">
        <v>1700</v>
      </c>
      <c r="C533" s="50" t="s">
        <v>1016</v>
      </c>
      <c r="D533" s="51" t="s">
        <v>1008</v>
      </c>
      <c r="E533" s="52" t="s">
        <v>1011</v>
      </c>
      <c r="F533" s="52"/>
      <c r="G533" s="52" t="s">
        <v>194</v>
      </c>
      <c r="H533" s="52" t="s">
        <v>62</v>
      </c>
      <c r="I533" s="52">
        <v>2012</v>
      </c>
      <c r="J533" s="52"/>
      <c r="K533" s="52" t="s">
        <v>63</v>
      </c>
      <c r="L533" s="52" t="s">
        <v>64</v>
      </c>
      <c r="M533" s="52">
        <v>14</v>
      </c>
      <c r="N533" s="53">
        <f t="shared" si="191"/>
        <v>3465000</v>
      </c>
      <c r="O533" s="53">
        <v>48510000</v>
      </c>
      <c r="P533" s="52"/>
      <c r="Q533" s="52"/>
      <c r="R533" s="52"/>
      <c r="S533" s="53">
        <f t="shared" si="192"/>
        <v>48510000</v>
      </c>
      <c r="T533" s="52">
        <v>5</v>
      </c>
      <c r="U533" s="53"/>
      <c r="V533" s="52">
        <v>0.5</v>
      </c>
      <c r="W533" s="53">
        <f t="shared" si="193"/>
        <v>0</v>
      </c>
      <c r="X533" s="24"/>
      <c r="Y533" s="41">
        <f t="shared" si="194"/>
        <v>0</v>
      </c>
      <c r="Z533" s="41">
        <f t="shared" si="195"/>
        <v>0</v>
      </c>
      <c r="AA533" s="24">
        <v>5</v>
      </c>
      <c r="AB533" s="41">
        <v>48510000</v>
      </c>
      <c r="AC533" s="41">
        <f t="shared" si="196"/>
        <v>0</v>
      </c>
      <c r="AD533" s="70" t="s">
        <v>942</v>
      </c>
      <c r="AE533" s="70"/>
      <c r="AF533" s="1">
        <v>48510000</v>
      </c>
      <c r="AG533" s="5">
        <f t="shared" si="179"/>
        <v>0</v>
      </c>
      <c r="AH533" s="5"/>
    </row>
    <row r="534" spans="1:34" s="1" customFormat="1" x14ac:dyDescent="0.25">
      <c r="A534" s="49">
        <v>9</v>
      </c>
      <c r="B534" s="50" t="s">
        <v>1700</v>
      </c>
      <c r="C534" s="50" t="s">
        <v>1017</v>
      </c>
      <c r="D534" s="51" t="s">
        <v>1008</v>
      </c>
      <c r="E534" s="52" t="s">
        <v>1011</v>
      </c>
      <c r="F534" s="52"/>
      <c r="G534" s="52" t="s">
        <v>194</v>
      </c>
      <c r="H534" s="52" t="s">
        <v>62</v>
      </c>
      <c r="I534" s="52">
        <v>2012</v>
      </c>
      <c r="J534" s="52"/>
      <c r="K534" s="52" t="s">
        <v>63</v>
      </c>
      <c r="L534" s="52" t="s">
        <v>64</v>
      </c>
      <c r="M534" s="52">
        <v>18</v>
      </c>
      <c r="N534" s="53">
        <f t="shared" si="191"/>
        <v>3465000</v>
      </c>
      <c r="O534" s="53">
        <v>62370000</v>
      </c>
      <c r="P534" s="52"/>
      <c r="Q534" s="52"/>
      <c r="R534" s="52"/>
      <c r="S534" s="53">
        <f t="shared" si="192"/>
        <v>62370000</v>
      </c>
      <c r="T534" s="52">
        <v>5</v>
      </c>
      <c r="U534" s="53"/>
      <c r="V534" s="52">
        <v>0.5</v>
      </c>
      <c r="W534" s="53">
        <f t="shared" si="193"/>
        <v>0</v>
      </c>
      <c r="X534" s="24"/>
      <c r="Y534" s="41">
        <f t="shared" si="194"/>
        <v>0</v>
      </c>
      <c r="Z534" s="41">
        <f t="shared" si="195"/>
        <v>0</v>
      </c>
      <c r="AA534" s="24">
        <v>5</v>
      </c>
      <c r="AB534" s="41">
        <v>62370000</v>
      </c>
      <c r="AC534" s="41">
        <f t="shared" si="196"/>
        <v>0</v>
      </c>
      <c r="AD534" s="70" t="s">
        <v>354</v>
      </c>
      <c r="AE534" s="70"/>
      <c r="AF534" s="1">
        <v>62370000</v>
      </c>
      <c r="AG534" s="5">
        <f t="shared" si="179"/>
        <v>0</v>
      </c>
      <c r="AH534" s="5"/>
    </row>
    <row r="535" spans="1:34" s="1" customFormat="1" x14ac:dyDescent="0.25">
      <c r="A535" s="49">
        <v>10</v>
      </c>
      <c r="B535" s="50" t="s">
        <v>1700</v>
      </c>
      <c r="C535" s="50" t="s">
        <v>411</v>
      </c>
      <c r="D535" s="51" t="s">
        <v>1008</v>
      </c>
      <c r="E535" s="52" t="s">
        <v>1011</v>
      </c>
      <c r="F535" s="52"/>
      <c r="G535" s="52" t="s">
        <v>194</v>
      </c>
      <c r="H535" s="52" t="s">
        <v>62</v>
      </c>
      <c r="I535" s="52">
        <v>2012</v>
      </c>
      <c r="J535" s="52"/>
      <c r="K535" s="52" t="s">
        <v>63</v>
      </c>
      <c r="L535" s="52" t="s">
        <v>64</v>
      </c>
      <c r="M535" s="52">
        <v>1</v>
      </c>
      <c r="N535" s="53">
        <f t="shared" si="191"/>
        <v>3465000</v>
      </c>
      <c r="O535" s="53">
        <v>3465000</v>
      </c>
      <c r="P535" s="52"/>
      <c r="Q535" s="52"/>
      <c r="R535" s="52"/>
      <c r="S535" s="53">
        <f t="shared" si="192"/>
        <v>3465000</v>
      </c>
      <c r="T535" s="52">
        <v>5</v>
      </c>
      <c r="U535" s="53"/>
      <c r="V535" s="52">
        <v>0.5</v>
      </c>
      <c r="W535" s="53">
        <f t="shared" si="193"/>
        <v>0</v>
      </c>
      <c r="X535" s="24"/>
      <c r="Y535" s="41">
        <f t="shared" si="194"/>
        <v>0</v>
      </c>
      <c r="Z535" s="41">
        <f t="shared" si="195"/>
        <v>0</v>
      </c>
      <c r="AA535" s="24">
        <v>5</v>
      </c>
      <c r="AB535" s="41">
        <v>3465000</v>
      </c>
      <c r="AC535" s="41">
        <f t="shared" si="196"/>
        <v>0</v>
      </c>
      <c r="AD535" s="70" t="s">
        <v>333</v>
      </c>
      <c r="AE535" s="70"/>
      <c r="AF535" s="1">
        <v>3465000</v>
      </c>
      <c r="AG535" s="5">
        <f t="shared" si="179"/>
        <v>0</v>
      </c>
      <c r="AH535" s="5"/>
    </row>
    <row r="536" spans="1:34" s="1" customFormat="1" x14ac:dyDescent="0.25">
      <c r="A536" s="49">
        <v>11</v>
      </c>
      <c r="B536" s="50" t="s">
        <v>1700</v>
      </c>
      <c r="C536" s="50" t="s">
        <v>247</v>
      </c>
      <c r="D536" s="51" t="s">
        <v>1008</v>
      </c>
      <c r="E536" s="52" t="s">
        <v>1018</v>
      </c>
      <c r="F536" s="52"/>
      <c r="G536" s="52" t="s">
        <v>194</v>
      </c>
      <c r="H536" s="52" t="s">
        <v>62</v>
      </c>
      <c r="I536" s="52">
        <v>2012</v>
      </c>
      <c r="J536" s="52"/>
      <c r="K536" s="52" t="s">
        <v>63</v>
      </c>
      <c r="L536" s="52" t="s">
        <v>64</v>
      </c>
      <c r="M536" s="52">
        <v>1</v>
      </c>
      <c r="N536" s="53">
        <f t="shared" si="191"/>
        <v>11990000</v>
      </c>
      <c r="O536" s="53">
        <v>11990000</v>
      </c>
      <c r="P536" s="52"/>
      <c r="Q536" s="52"/>
      <c r="R536" s="52"/>
      <c r="S536" s="53">
        <f t="shared" si="192"/>
        <v>11990000</v>
      </c>
      <c r="T536" s="52">
        <v>5</v>
      </c>
      <c r="U536" s="53"/>
      <c r="V536" s="52">
        <v>0.5</v>
      </c>
      <c r="W536" s="53">
        <f t="shared" si="193"/>
        <v>0</v>
      </c>
      <c r="X536" s="24"/>
      <c r="Y536" s="41">
        <f t="shared" si="194"/>
        <v>0</v>
      </c>
      <c r="Z536" s="41">
        <f t="shared" si="195"/>
        <v>0</v>
      </c>
      <c r="AA536" s="24">
        <v>5</v>
      </c>
      <c r="AB536" s="41">
        <v>11990000</v>
      </c>
      <c r="AC536" s="41">
        <f t="shared" si="196"/>
        <v>0</v>
      </c>
      <c r="AD536" s="70" t="s">
        <v>985</v>
      </c>
      <c r="AE536" s="70"/>
      <c r="AF536" s="1">
        <v>11990000</v>
      </c>
      <c r="AG536" s="5">
        <f t="shared" si="179"/>
        <v>0</v>
      </c>
      <c r="AH536" s="5"/>
    </row>
    <row r="537" spans="1:34" s="1" customFormat="1" x14ac:dyDescent="0.25">
      <c r="A537" s="49">
        <v>12</v>
      </c>
      <c r="B537" s="50" t="s">
        <v>1700</v>
      </c>
      <c r="C537" s="50" t="s">
        <v>1019</v>
      </c>
      <c r="D537" s="51" t="s">
        <v>1008</v>
      </c>
      <c r="E537" s="52" t="s">
        <v>1020</v>
      </c>
      <c r="F537" s="52"/>
      <c r="G537" s="52" t="s">
        <v>194</v>
      </c>
      <c r="H537" s="52" t="s">
        <v>62</v>
      </c>
      <c r="I537" s="52">
        <v>2012</v>
      </c>
      <c r="J537" s="52"/>
      <c r="K537" s="52" t="s">
        <v>63</v>
      </c>
      <c r="L537" s="52" t="s">
        <v>64</v>
      </c>
      <c r="M537" s="52">
        <v>1</v>
      </c>
      <c r="N537" s="53">
        <f t="shared" si="191"/>
        <v>6050000</v>
      </c>
      <c r="O537" s="53">
        <v>6050000</v>
      </c>
      <c r="P537" s="52"/>
      <c r="Q537" s="52"/>
      <c r="R537" s="52"/>
      <c r="S537" s="53">
        <f t="shared" si="192"/>
        <v>6050000</v>
      </c>
      <c r="T537" s="52">
        <v>5</v>
      </c>
      <c r="U537" s="53"/>
      <c r="V537" s="52">
        <v>0.5</v>
      </c>
      <c r="W537" s="53">
        <f t="shared" si="193"/>
        <v>0</v>
      </c>
      <c r="X537" s="24"/>
      <c r="Y537" s="41">
        <f t="shared" si="194"/>
        <v>0</v>
      </c>
      <c r="Z537" s="41">
        <f t="shared" si="195"/>
        <v>0</v>
      </c>
      <c r="AA537" s="24">
        <v>5</v>
      </c>
      <c r="AB537" s="41">
        <v>6050000</v>
      </c>
      <c r="AC537" s="41">
        <f t="shared" si="196"/>
        <v>0</v>
      </c>
      <c r="AD537" s="70" t="s">
        <v>1021</v>
      </c>
      <c r="AE537" s="70"/>
      <c r="AF537" s="1">
        <v>6050000</v>
      </c>
      <c r="AG537" s="5">
        <f t="shared" si="179"/>
        <v>0</v>
      </c>
      <c r="AH537" s="5"/>
    </row>
    <row r="538" spans="1:34" s="1" customFormat="1" x14ac:dyDescent="0.25">
      <c r="A538" s="49">
        <v>13</v>
      </c>
      <c r="B538" s="50" t="s">
        <v>1700</v>
      </c>
      <c r="C538" s="50" t="s">
        <v>1022</v>
      </c>
      <c r="D538" s="51" t="s">
        <v>1008</v>
      </c>
      <c r="E538" s="52" t="s">
        <v>1023</v>
      </c>
      <c r="F538" s="52"/>
      <c r="G538" s="52" t="s">
        <v>194</v>
      </c>
      <c r="H538" s="52" t="s">
        <v>62</v>
      </c>
      <c r="I538" s="52">
        <v>2013</v>
      </c>
      <c r="J538" s="52"/>
      <c r="K538" s="52" t="s">
        <v>63</v>
      </c>
      <c r="L538" s="52" t="s">
        <v>64</v>
      </c>
      <c r="M538" s="52">
        <v>1</v>
      </c>
      <c r="N538" s="53">
        <f t="shared" si="191"/>
        <v>3750000</v>
      </c>
      <c r="O538" s="53">
        <v>3750000</v>
      </c>
      <c r="P538" s="52"/>
      <c r="Q538" s="52"/>
      <c r="R538" s="52"/>
      <c r="S538" s="53">
        <f t="shared" si="192"/>
        <v>3750000</v>
      </c>
      <c r="T538" s="52">
        <v>5</v>
      </c>
      <c r="U538" s="53"/>
      <c r="V538" s="52">
        <v>0.5</v>
      </c>
      <c r="W538" s="53">
        <f t="shared" si="193"/>
        <v>0</v>
      </c>
      <c r="X538" s="24"/>
      <c r="Y538" s="41">
        <f t="shared" si="194"/>
        <v>0</v>
      </c>
      <c r="Z538" s="41">
        <f t="shared" si="195"/>
        <v>0</v>
      </c>
      <c r="AA538" s="24">
        <v>5</v>
      </c>
      <c r="AB538" s="41">
        <v>3750000</v>
      </c>
      <c r="AC538" s="41">
        <f t="shared" si="196"/>
        <v>0</v>
      </c>
      <c r="AD538" s="70" t="s">
        <v>1012</v>
      </c>
      <c r="AE538" s="70"/>
      <c r="AF538" s="1">
        <v>3750000</v>
      </c>
      <c r="AG538" s="5">
        <f t="shared" si="179"/>
        <v>0</v>
      </c>
      <c r="AH538" s="5"/>
    </row>
    <row r="539" spans="1:34" s="1" customFormat="1" x14ac:dyDescent="0.25">
      <c r="A539" s="49">
        <v>14</v>
      </c>
      <c r="B539" s="50" t="s">
        <v>1700</v>
      </c>
      <c r="C539" s="50" t="s">
        <v>1024</v>
      </c>
      <c r="D539" s="51" t="s">
        <v>1008</v>
      </c>
      <c r="E539" s="52" t="s">
        <v>1025</v>
      </c>
      <c r="F539" s="52"/>
      <c r="G539" s="52" t="s">
        <v>194</v>
      </c>
      <c r="H539" s="52" t="s">
        <v>62</v>
      </c>
      <c r="I539" s="52">
        <v>2014</v>
      </c>
      <c r="J539" s="52"/>
      <c r="K539" s="52" t="s">
        <v>63</v>
      </c>
      <c r="L539" s="52" t="s">
        <v>64</v>
      </c>
      <c r="M539" s="52">
        <v>1</v>
      </c>
      <c r="N539" s="53">
        <f t="shared" si="191"/>
        <v>6462500</v>
      </c>
      <c r="O539" s="53">
        <v>6462500</v>
      </c>
      <c r="P539" s="52"/>
      <c r="Q539" s="52"/>
      <c r="R539" s="52"/>
      <c r="S539" s="53">
        <f t="shared" si="192"/>
        <v>6462500</v>
      </c>
      <c r="T539" s="52">
        <v>5</v>
      </c>
      <c r="U539" s="53"/>
      <c r="V539" s="52">
        <v>0.5</v>
      </c>
      <c r="W539" s="53">
        <f t="shared" si="193"/>
        <v>0</v>
      </c>
      <c r="X539" s="24"/>
      <c r="Y539" s="41">
        <f t="shared" si="194"/>
        <v>0</v>
      </c>
      <c r="Z539" s="41">
        <f t="shared" si="195"/>
        <v>0</v>
      </c>
      <c r="AA539" s="24">
        <v>5</v>
      </c>
      <c r="AB539" s="41">
        <v>6462500</v>
      </c>
      <c r="AC539" s="41">
        <f t="shared" si="196"/>
        <v>0</v>
      </c>
      <c r="AD539" s="70" t="s">
        <v>940</v>
      </c>
      <c r="AE539" s="70"/>
      <c r="AF539" s="1">
        <v>6462500</v>
      </c>
      <c r="AG539" s="5">
        <f t="shared" si="179"/>
        <v>0</v>
      </c>
      <c r="AH539" s="5"/>
    </row>
    <row r="540" spans="1:34" s="1" customFormat="1" x14ac:dyDescent="0.25">
      <c r="A540" s="49">
        <v>15</v>
      </c>
      <c r="B540" s="50" t="s">
        <v>1700</v>
      </c>
      <c r="C540" s="50" t="s">
        <v>1026</v>
      </c>
      <c r="D540" s="51" t="s">
        <v>1008</v>
      </c>
      <c r="E540" s="52" t="s">
        <v>1027</v>
      </c>
      <c r="F540" s="52"/>
      <c r="G540" s="52" t="s">
        <v>194</v>
      </c>
      <c r="H540" s="52" t="s">
        <v>62</v>
      </c>
      <c r="I540" s="52">
        <v>2015</v>
      </c>
      <c r="J540" s="52"/>
      <c r="K540" s="52" t="s">
        <v>63</v>
      </c>
      <c r="L540" s="52" t="s">
        <v>64</v>
      </c>
      <c r="M540" s="52">
        <v>1</v>
      </c>
      <c r="N540" s="53">
        <f t="shared" si="191"/>
        <v>5940000</v>
      </c>
      <c r="O540" s="53">
        <v>5940000</v>
      </c>
      <c r="P540" s="52"/>
      <c r="Q540" s="52"/>
      <c r="R540" s="52"/>
      <c r="S540" s="53">
        <f t="shared" si="192"/>
        <v>5940000</v>
      </c>
      <c r="T540" s="52">
        <v>5</v>
      </c>
      <c r="U540" s="53">
        <f t="shared" ref="U540:U549" si="197">SUM(S540/T540)</f>
        <v>1188000</v>
      </c>
      <c r="V540" s="52">
        <v>0.5</v>
      </c>
      <c r="W540" s="53"/>
      <c r="X540" s="24"/>
      <c r="Y540" s="41">
        <f>SUM(U540*X540)</f>
        <v>0</v>
      </c>
      <c r="Z540" s="41"/>
      <c r="AA540" s="24">
        <v>5</v>
      </c>
      <c r="AB540" s="41">
        <f t="shared" ref="AB540:AB549" si="198">SUM(U540*AA540)</f>
        <v>5940000</v>
      </c>
      <c r="AC540" s="41">
        <f t="shared" si="196"/>
        <v>0</v>
      </c>
      <c r="AD540" s="70" t="s">
        <v>229</v>
      </c>
      <c r="AE540" s="70"/>
      <c r="AF540" s="1">
        <v>5940000</v>
      </c>
      <c r="AG540" s="5">
        <f t="shared" si="179"/>
        <v>0</v>
      </c>
      <c r="AH540" s="5"/>
    </row>
    <row r="541" spans="1:34" s="1" customFormat="1" x14ac:dyDescent="0.25">
      <c r="A541" s="49">
        <v>16</v>
      </c>
      <c r="B541" s="50" t="s">
        <v>1700</v>
      </c>
      <c r="C541" s="50" t="s">
        <v>416</v>
      </c>
      <c r="D541" s="51" t="s">
        <v>1008</v>
      </c>
      <c r="E541" s="52" t="s">
        <v>1027</v>
      </c>
      <c r="F541" s="52"/>
      <c r="G541" s="52" t="s">
        <v>194</v>
      </c>
      <c r="H541" s="52" t="s">
        <v>62</v>
      </c>
      <c r="I541" s="52">
        <v>2015</v>
      </c>
      <c r="J541" s="52"/>
      <c r="K541" s="52" t="s">
        <v>63</v>
      </c>
      <c r="L541" s="52" t="s">
        <v>64</v>
      </c>
      <c r="M541" s="52">
        <v>1</v>
      </c>
      <c r="N541" s="53">
        <f t="shared" si="191"/>
        <v>5940000</v>
      </c>
      <c r="O541" s="53">
        <v>5940000</v>
      </c>
      <c r="P541" s="52"/>
      <c r="Q541" s="52"/>
      <c r="R541" s="52"/>
      <c r="S541" s="53">
        <f t="shared" si="192"/>
        <v>5940000</v>
      </c>
      <c r="T541" s="52">
        <v>5</v>
      </c>
      <c r="U541" s="53">
        <f t="shared" si="197"/>
        <v>1188000</v>
      </c>
      <c r="V541" s="52">
        <v>0.5</v>
      </c>
      <c r="W541" s="53"/>
      <c r="X541" s="24"/>
      <c r="Y541" s="41">
        <f t="shared" ref="Y541:Y547" si="199">SUM(U541*X541)</f>
        <v>0</v>
      </c>
      <c r="Z541" s="41"/>
      <c r="AA541" s="24">
        <v>5</v>
      </c>
      <c r="AB541" s="41">
        <f t="shared" si="198"/>
        <v>5940000</v>
      </c>
      <c r="AC541" s="41">
        <f t="shared" si="196"/>
        <v>0</v>
      </c>
      <c r="AD541" s="70" t="s">
        <v>231</v>
      </c>
      <c r="AE541" s="70"/>
      <c r="AF541" s="1">
        <v>5940000</v>
      </c>
      <c r="AG541" s="5">
        <f t="shared" si="179"/>
        <v>0</v>
      </c>
      <c r="AH541" s="5"/>
    </row>
    <row r="542" spans="1:34" s="1" customFormat="1" x14ac:dyDescent="0.25">
      <c r="A542" s="49">
        <v>17</v>
      </c>
      <c r="B542" s="50" t="s">
        <v>1700</v>
      </c>
      <c r="C542" s="50" t="s">
        <v>417</v>
      </c>
      <c r="D542" s="51" t="s">
        <v>1008</v>
      </c>
      <c r="E542" s="52" t="s">
        <v>1027</v>
      </c>
      <c r="F542" s="52"/>
      <c r="G542" s="52" t="s">
        <v>194</v>
      </c>
      <c r="H542" s="52" t="s">
        <v>62</v>
      </c>
      <c r="I542" s="52">
        <v>2015</v>
      </c>
      <c r="J542" s="52"/>
      <c r="K542" s="52" t="s">
        <v>63</v>
      </c>
      <c r="L542" s="52" t="s">
        <v>64</v>
      </c>
      <c r="M542" s="52">
        <v>1</v>
      </c>
      <c r="N542" s="53">
        <f t="shared" si="191"/>
        <v>5940000</v>
      </c>
      <c r="O542" s="53">
        <v>5940000</v>
      </c>
      <c r="P542" s="52"/>
      <c r="Q542" s="52"/>
      <c r="R542" s="52"/>
      <c r="S542" s="53">
        <f t="shared" si="192"/>
        <v>5940000</v>
      </c>
      <c r="T542" s="52">
        <v>5</v>
      </c>
      <c r="U542" s="53">
        <f t="shared" si="197"/>
        <v>1188000</v>
      </c>
      <c r="V542" s="52">
        <v>0.5</v>
      </c>
      <c r="W542" s="53"/>
      <c r="X542" s="24"/>
      <c r="Y542" s="41">
        <f t="shared" si="199"/>
        <v>0</v>
      </c>
      <c r="Z542" s="41"/>
      <c r="AA542" s="24">
        <v>5</v>
      </c>
      <c r="AB542" s="41">
        <f t="shared" si="198"/>
        <v>5940000</v>
      </c>
      <c r="AC542" s="41">
        <f t="shared" si="196"/>
        <v>0</v>
      </c>
      <c r="AD542" s="70" t="s">
        <v>235</v>
      </c>
      <c r="AE542" s="70"/>
      <c r="AF542" s="1">
        <v>5940000</v>
      </c>
      <c r="AG542" s="5">
        <f t="shared" si="179"/>
        <v>0</v>
      </c>
      <c r="AH542" s="5"/>
    </row>
    <row r="543" spans="1:34" s="1" customFormat="1" x14ac:dyDescent="0.25">
      <c r="A543" s="49">
        <v>18</v>
      </c>
      <c r="B543" s="50" t="s">
        <v>1700</v>
      </c>
      <c r="C543" s="50" t="s">
        <v>1028</v>
      </c>
      <c r="D543" s="51" t="s">
        <v>1008</v>
      </c>
      <c r="E543" s="52" t="s">
        <v>1027</v>
      </c>
      <c r="F543" s="52"/>
      <c r="G543" s="52" t="s">
        <v>194</v>
      </c>
      <c r="H543" s="52" t="s">
        <v>62</v>
      </c>
      <c r="I543" s="52">
        <v>2015</v>
      </c>
      <c r="J543" s="52"/>
      <c r="K543" s="52" t="s">
        <v>63</v>
      </c>
      <c r="L543" s="52" t="s">
        <v>64</v>
      </c>
      <c r="M543" s="52">
        <v>1</v>
      </c>
      <c r="N543" s="53">
        <f t="shared" si="191"/>
        <v>5940000</v>
      </c>
      <c r="O543" s="53">
        <v>5940000</v>
      </c>
      <c r="P543" s="52"/>
      <c r="Q543" s="52"/>
      <c r="R543" s="52"/>
      <c r="S543" s="53">
        <f t="shared" si="192"/>
        <v>5940000</v>
      </c>
      <c r="T543" s="52">
        <v>5</v>
      </c>
      <c r="U543" s="53">
        <f t="shared" si="197"/>
        <v>1188000</v>
      </c>
      <c r="V543" s="52">
        <v>0.5</v>
      </c>
      <c r="W543" s="53"/>
      <c r="X543" s="24"/>
      <c r="Y543" s="41">
        <f t="shared" si="199"/>
        <v>0</v>
      </c>
      <c r="Z543" s="41"/>
      <c r="AA543" s="24">
        <v>5</v>
      </c>
      <c r="AB543" s="41">
        <f t="shared" si="198"/>
        <v>5940000</v>
      </c>
      <c r="AC543" s="41">
        <f t="shared" si="196"/>
        <v>0</v>
      </c>
      <c r="AD543" s="70" t="s">
        <v>245</v>
      </c>
      <c r="AE543" s="70"/>
      <c r="AF543" s="1">
        <v>5940000</v>
      </c>
      <c r="AG543" s="5">
        <f t="shared" si="179"/>
        <v>0</v>
      </c>
      <c r="AH543" s="5"/>
    </row>
    <row r="544" spans="1:34" s="1" customFormat="1" x14ac:dyDescent="0.25">
      <c r="A544" s="49">
        <v>19</v>
      </c>
      <c r="B544" s="50" t="s">
        <v>1700</v>
      </c>
      <c r="C544" s="50" t="s">
        <v>1029</v>
      </c>
      <c r="D544" s="51" t="s">
        <v>1008</v>
      </c>
      <c r="E544" s="52" t="s">
        <v>1027</v>
      </c>
      <c r="F544" s="52"/>
      <c r="G544" s="52" t="s">
        <v>194</v>
      </c>
      <c r="H544" s="52" t="s">
        <v>62</v>
      </c>
      <c r="I544" s="52">
        <v>2015</v>
      </c>
      <c r="J544" s="52"/>
      <c r="K544" s="52" t="s">
        <v>63</v>
      </c>
      <c r="L544" s="52" t="s">
        <v>64</v>
      </c>
      <c r="M544" s="52">
        <v>1</v>
      </c>
      <c r="N544" s="53">
        <f t="shared" si="191"/>
        <v>5940000</v>
      </c>
      <c r="O544" s="53">
        <v>5940000</v>
      </c>
      <c r="P544" s="52"/>
      <c r="Q544" s="52"/>
      <c r="R544" s="52"/>
      <c r="S544" s="53">
        <f t="shared" si="192"/>
        <v>5940000</v>
      </c>
      <c r="T544" s="52">
        <v>5</v>
      </c>
      <c r="U544" s="53">
        <f t="shared" si="197"/>
        <v>1188000</v>
      </c>
      <c r="V544" s="52">
        <v>0.5</v>
      </c>
      <c r="W544" s="53"/>
      <c r="X544" s="24"/>
      <c r="Y544" s="41">
        <f t="shared" si="199"/>
        <v>0</v>
      </c>
      <c r="Z544" s="41"/>
      <c r="AA544" s="24">
        <v>5</v>
      </c>
      <c r="AB544" s="41">
        <f t="shared" si="198"/>
        <v>5940000</v>
      </c>
      <c r="AC544" s="41">
        <f t="shared" si="196"/>
        <v>0</v>
      </c>
      <c r="AD544" s="70" t="s">
        <v>940</v>
      </c>
      <c r="AE544" s="70"/>
      <c r="AF544" s="1">
        <v>5940000</v>
      </c>
      <c r="AG544" s="5">
        <f t="shared" si="179"/>
        <v>0</v>
      </c>
      <c r="AH544" s="5"/>
    </row>
    <row r="545" spans="1:34" s="1" customFormat="1" x14ac:dyDescent="0.25">
      <c r="A545" s="49">
        <v>20</v>
      </c>
      <c r="B545" s="50" t="s">
        <v>1700</v>
      </c>
      <c r="C545" s="50" t="s">
        <v>1030</v>
      </c>
      <c r="D545" s="51" t="s">
        <v>1008</v>
      </c>
      <c r="E545" s="52" t="s">
        <v>1031</v>
      </c>
      <c r="F545" s="52"/>
      <c r="G545" s="52" t="s">
        <v>194</v>
      </c>
      <c r="H545" s="52" t="s">
        <v>62</v>
      </c>
      <c r="I545" s="52">
        <v>2015</v>
      </c>
      <c r="J545" s="52"/>
      <c r="K545" s="52" t="s">
        <v>63</v>
      </c>
      <c r="L545" s="52" t="s">
        <v>64</v>
      </c>
      <c r="M545" s="52">
        <v>7</v>
      </c>
      <c r="N545" s="53">
        <f t="shared" si="191"/>
        <v>3960000</v>
      </c>
      <c r="O545" s="53">
        <v>27720000</v>
      </c>
      <c r="P545" s="52"/>
      <c r="Q545" s="52"/>
      <c r="R545" s="52"/>
      <c r="S545" s="53">
        <f t="shared" si="192"/>
        <v>27720000</v>
      </c>
      <c r="T545" s="52">
        <v>5</v>
      </c>
      <c r="U545" s="53">
        <f t="shared" si="197"/>
        <v>5544000</v>
      </c>
      <c r="V545" s="52">
        <v>0.5</v>
      </c>
      <c r="W545" s="53"/>
      <c r="X545" s="24"/>
      <c r="Y545" s="41">
        <f t="shared" si="199"/>
        <v>0</v>
      </c>
      <c r="Z545" s="41"/>
      <c r="AA545" s="24">
        <v>5</v>
      </c>
      <c r="AB545" s="41">
        <f t="shared" si="198"/>
        <v>27720000</v>
      </c>
      <c r="AC545" s="41">
        <f t="shared" si="196"/>
        <v>0</v>
      </c>
      <c r="AD545" s="70" t="s">
        <v>350</v>
      </c>
      <c r="AE545" s="70"/>
      <c r="AF545" s="1">
        <v>27720000</v>
      </c>
      <c r="AG545" s="5">
        <f t="shared" si="179"/>
        <v>0</v>
      </c>
      <c r="AH545" s="5"/>
    </row>
    <row r="546" spans="1:34" s="1" customFormat="1" x14ac:dyDescent="0.25">
      <c r="A546" s="49">
        <v>21</v>
      </c>
      <c r="B546" s="50" t="s">
        <v>1700</v>
      </c>
      <c r="C546" s="50" t="s">
        <v>1032</v>
      </c>
      <c r="D546" s="51" t="s">
        <v>1008</v>
      </c>
      <c r="E546" s="52"/>
      <c r="F546" s="52"/>
      <c r="G546" s="52" t="s">
        <v>194</v>
      </c>
      <c r="H546" s="52" t="s">
        <v>62</v>
      </c>
      <c r="I546" s="52">
        <v>2017</v>
      </c>
      <c r="J546" s="52"/>
      <c r="K546" s="52" t="s">
        <v>63</v>
      </c>
      <c r="L546" s="52" t="s">
        <v>64</v>
      </c>
      <c r="M546" s="52">
        <v>1</v>
      </c>
      <c r="N546" s="53">
        <f t="shared" si="191"/>
        <v>7029000</v>
      </c>
      <c r="O546" s="53">
        <v>7029000</v>
      </c>
      <c r="P546" s="52"/>
      <c r="Q546" s="52"/>
      <c r="R546" s="52"/>
      <c r="S546" s="53">
        <f t="shared" si="192"/>
        <v>7029000</v>
      </c>
      <c r="T546" s="52">
        <v>5</v>
      </c>
      <c r="U546" s="53">
        <f t="shared" si="197"/>
        <v>1405800</v>
      </c>
      <c r="V546" s="52"/>
      <c r="W546" s="53">
        <f t="shared" ref="W546:W549" si="200">SUM(U546*V546)</f>
        <v>0</v>
      </c>
      <c r="X546" s="24"/>
      <c r="Y546" s="41"/>
      <c r="Z546" s="41">
        <f t="shared" ref="Z546:Z549" si="201">SUM(W546+Y546)</f>
        <v>0</v>
      </c>
      <c r="AA546" s="72">
        <v>5</v>
      </c>
      <c r="AB546" s="41">
        <v>7029000</v>
      </c>
      <c r="AC546" s="41">
        <f t="shared" si="196"/>
        <v>0</v>
      </c>
      <c r="AD546" s="70"/>
      <c r="AE546" s="70"/>
      <c r="AF546" s="1">
        <v>7029000</v>
      </c>
      <c r="AG546" s="5">
        <f t="shared" si="179"/>
        <v>0</v>
      </c>
      <c r="AH546" s="5"/>
    </row>
    <row r="547" spans="1:34" s="1" customFormat="1" x14ac:dyDescent="0.25">
      <c r="A547" s="49">
        <v>22</v>
      </c>
      <c r="B547" s="50" t="s">
        <v>1700</v>
      </c>
      <c r="C547" s="73" t="s">
        <v>1033</v>
      </c>
      <c r="D547" s="51" t="s">
        <v>1008</v>
      </c>
      <c r="E547" s="52" t="s">
        <v>211</v>
      </c>
      <c r="F547" s="52"/>
      <c r="G547" s="52" t="s">
        <v>194</v>
      </c>
      <c r="H547" s="52" t="s">
        <v>62</v>
      </c>
      <c r="I547" s="52">
        <v>2020</v>
      </c>
      <c r="J547" s="52"/>
      <c r="K547" s="52" t="s">
        <v>63</v>
      </c>
      <c r="L547" s="52" t="s">
        <v>64</v>
      </c>
      <c r="M547" s="52">
        <v>3</v>
      </c>
      <c r="N547" s="53">
        <f t="shared" si="191"/>
        <v>3333333.3333333335</v>
      </c>
      <c r="O547" s="53">
        <v>10000000</v>
      </c>
      <c r="P547" s="52"/>
      <c r="Q547" s="52"/>
      <c r="R547" s="52"/>
      <c r="S547" s="53">
        <f t="shared" si="192"/>
        <v>10000000</v>
      </c>
      <c r="T547" s="52">
        <v>5</v>
      </c>
      <c r="U547" s="53">
        <f t="shared" si="197"/>
        <v>2000000</v>
      </c>
      <c r="V547" s="52">
        <v>0.5</v>
      </c>
      <c r="W547" s="53">
        <f t="shared" si="200"/>
        <v>1000000</v>
      </c>
      <c r="X547" s="52"/>
      <c r="Y547" s="53">
        <f t="shared" si="199"/>
        <v>0</v>
      </c>
      <c r="Z547" s="53">
        <f t="shared" si="201"/>
        <v>1000000</v>
      </c>
      <c r="AA547" s="57">
        <f>2023-I547+V547+X547-11/12</f>
        <v>2.5833333333333335</v>
      </c>
      <c r="AB547" s="53">
        <f t="shared" si="198"/>
        <v>5166666.666666667</v>
      </c>
      <c r="AC547" s="53">
        <f t="shared" si="196"/>
        <v>4833333.333333333</v>
      </c>
      <c r="AD547" s="56"/>
      <c r="AE547" s="70"/>
      <c r="AF547" s="1">
        <v>4166666.666666667</v>
      </c>
      <c r="AG547" s="5">
        <f t="shared" si="179"/>
        <v>0</v>
      </c>
      <c r="AH547" s="5"/>
    </row>
    <row r="548" spans="1:34" s="1" customFormat="1" x14ac:dyDescent="0.25">
      <c r="A548" s="49">
        <v>23</v>
      </c>
      <c r="B548" s="50" t="s">
        <v>1700</v>
      </c>
      <c r="C548" s="73" t="s">
        <v>1034</v>
      </c>
      <c r="D548" s="51" t="s">
        <v>1008</v>
      </c>
      <c r="E548" s="52" t="s">
        <v>1035</v>
      </c>
      <c r="F548" s="52"/>
      <c r="G548" s="52" t="s">
        <v>194</v>
      </c>
      <c r="H548" s="52" t="s">
        <v>62</v>
      </c>
      <c r="I548" s="52">
        <v>2021</v>
      </c>
      <c r="J548" s="52"/>
      <c r="K548" s="52" t="s">
        <v>63</v>
      </c>
      <c r="L548" s="52" t="s">
        <v>64</v>
      </c>
      <c r="M548" s="52">
        <v>4</v>
      </c>
      <c r="N548" s="53">
        <f t="shared" si="191"/>
        <v>5700000</v>
      </c>
      <c r="O548" s="53">
        <v>22800000</v>
      </c>
      <c r="P548" s="52"/>
      <c r="Q548" s="52"/>
      <c r="R548" s="52"/>
      <c r="S548" s="53">
        <f t="shared" si="192"/>
        <v>22800000</v>
      </c>
      <c r="T548" s="52">
        <v>5</v>
      </c>
      <c r="U548" s="53">
        <f t="shared" si="197"/>
        <v>4560000</v>
      </c>
      <c r="V548" s="52">
        <v>0.5</v>
      </c>
      <c r="W548" s="53">
        <f t="shared" si="200"/>
        <v>2280000</v>
      </c>
      <c r="X548" s="52"/>
      <c r="Y548" s="53">
        <f t="shared" ref="Y548" si="202">SUM(U548*X548)</f>
        <v>0</v>
      </c>
      <c r="Z548" s="53">
        <f t="shared" si="201"/>
        <v>2280000</v>
      </c>
      <c r="AA548" s="57">
        <f>1/12+0.5+0.5+0.5</f>
        <v>1.5833333333333335</v>
      </c>
      <c r="AB548" s="53">
        <f t="shared" si="198"/>
        <v>7220000.0000000009</v>
      </c>
      <c r="AC548" s="53">
        <f t="shared" si="196"/>
        <v>15580000</v>
      </c>
      <c r="AD548" s="56"/>
      <c r="AE548" s="70"/>
      <c r="AF548" s="1">
        <v>4940000.0000000009</v>
      </c>
      <c r="AG548" s="5">
        <f t="shared" si="179"/>
        <v>0</v>
      </c>
      <c r="AH548" s="5"/>
    </row>
    <row r="549" spans="1:34" s="1" customFormat="1" x14ac:dyDescent="0.25">
      <c r="A549" s="49">
        <v>24</v>
      </c>
      <c r="B549" s="50" t="s">
        <v>1700</v>
      </c>
      <c r="C549" s="73" t="s">
        <v>422</v>
      </c>
      <c r="D549" s="51" t="s">
        <v>1008</v>
      </c>
      <c r="E549" s="52" t="s">
        <v>1036</v>
      </c>
      <c r="F549" s="52"/>
      <c r="G549" s="52" t="s">
        <v>194</v>
      </c>
      <c r="H549" s="52" t="s">
        <v>62</v>
      </c>
      <c r="I549" s="52">
        <v>2022</v>
      </c>
      <c r="J549" s="52"/>
      <c r="K549" s="52" t="s">
        <v>63</v>
      </c>
      <c r="L549" s="52" t="s">
        <v>64</v>
      </c>
      <c r="M549" s="52">
        <v>1</v>
      </c>
      <c r="N549" s="53">
        <f t="shared" si="191"/>
        <v>18850000</v>
      </c>
      <c r="O549" s="53">
        <v>18850000</v>
      </c>
      <c r="P549" s="52"/>
      <c r="Q549" s="52"/>
      <c r="R549" s="52"/>
      <c r="S549" s="53">
        <f t="shared" si="192"/>
        <v>18850000</v>
      </c>
      <c r="T549" s="52">
        <v>5</v>
      </c>
      <c r="U549" s="53">
        <f t="shared" si="197"/>
        <v>3770000</v>
      </c>
      <c r="V549" s="52">
        <v>0.5</v>
      </c>
      <c r="W549" s="53">
        <f t="shared" si="200"/>
        <v>1885000</v>
      </c>
      <c r="X549" s="52"/>
      <c r="Y549" s="53">
        <f t="shared" ref="Y549:Y555" si="203">SUM(U549*X549)</f>
        <v>0</v>
      </c>
      <c r="Z549" s="53">
        <f t="shared" si="201"/>
        <v>1885000</v>
      </c>
      <c r="AA549" s="57">
        <f>1/12+0.5+0.5+0.5</f>
        <v>1.5833333333333335</v>
      </c>
      <c r="AB549" s="53">
        <f t="shared" si="198"/>
        <v>5969166.666666667</v>
      </c>
      <c r="AC549" s="53">
        <f t="shared" si="196"/>
        <v>12880833.333333332</v>
      </c>
      <c r="AD549" s="56" t="s">
        <v>1037</v>
      </c>
      <c r="AE549" s="70"/>
      <c r="AF549" s="1">
        <v>4084166.6666666674</v>
      </c>
      <c r="AG549" s="5">
        <f t="shared" si="179"/>
        <v>0</v>
      </c>
      <c r="AH549" s="5"/>
    </row>
    <row r="550" spans="1:34" s="1" customFormat="1" x14ac:dyDescent="0.25">
      <c r="A550" s="49">
        <v>25</v>
      </c>
      <c r="B550" s="22" t="s">
        <v>1701</v>
      </c>
      <c r="C550" s="22" t="s">
        <v>58</v>
      </c>
      <c r="D550" s="51" t="s">
        <v>918</v>
      </c>
      <c r="E550" s="24" t="s">
        <v>919</v>
      </c>
      <c r="F550" s="24"/>
      <c r="G550" s="24" t="s">
        <v>194</v>
      </c>
      <c r="H550" s="24" t="s">
        <v>62</v>
      </c>
      <c r="I550" s="24">
        <v>2011</v>
      </c>
      <c r="J550" s="24"/>
      <c r="K550" s="24" t="s">
        <v>920</v>
      </c>
      <c r="L550" s="24" t="s">
        <v>64</v>
      </c>
      <c r="M550" s="24">
        <v>1</v>
      </c>
      <c r="N550" s="41">
        <f t="shared" ref="N550:N559" si="204">SUM(O550/M550)</f>
        <v>7500000</v>
      </c>
      <c r="O550" s="41">
        <v>7500000</v>
      </c>
      <c r="P550" s="24"/>
      <c r="Q550" s="24"/>
      <c r="R550" s="24"/>
      <c r="S550" s="41">
        <f t="shared" si="192"/>
        <v>7500000</v>
      </c>
      <c r="T550" s="24">
        <v>5</v>
      </c>
      <c r="U550" s="41"/>
      <c r="V550" s="24">
        <v>0.5</v>
      </c>
      <c r="W550" s="41">
        <f t="shared" ref="W550:W555" si="205">SUM(U550*V550)</f>
        <v>0</v>
      </c>
      <c r="X550" s="24"/>
      <c r="Y550" s="41">
        <f t="shared" si="203"/>
        <v>0</v>
      </c>
      <c r="Z550" s="41">
        <f t="shared" ref="Z550:Z555" si="206">SUM(W550+Y550)</f>
        <v>0</v>
      </c>
      <c r="AA550" s="72">
        <v>5</v>
      </c>
      <c r="AB550" s="41">
        <v>7500000</v>
      </c>
      <c r="AC550" s="41">
        <f t="shared" si="196"/>
        <v>0</v>
      </c>
      <c r="AD550" s="70" t="s">
        <v>287</v>
      </c>
      <c r="AE550" s="70"/>
      <c r="AF550" s="1">
        <v>7500000</v>
      </c>
      <c r="AG550" s="5">
        <f t="shared" si="179"/>
        <v>0</v>
      </c>
      <c r="AH550" s="5"/>
    </row>
    <row r="551" spans="1:34" s="1" customFormat="1" x14ac:dyDescent="0.25">
      <c r="A551" s="49">
        <v>26</v>
      </c>
      <c r="B551" s="22" t="s">
        <v>1701</v>
      </c>
      <c r="C551" s="22" t="s">
        <v>58</v>
      </c>
      <c r="D551" s="51" t="s">
        <v>921</v>
      </c>
      <c r="E551" s="24" t="s">
        <v>922</v>
      </c>
      <c r="F551" s="24"/>
      <c r="G551" s="24" t="s">
        <v>194</v>
      </c>
      <c r="H551" s="24" t="s">
        <v>62</v>
      </c>
      <c r="I551" s="24">
        <v>2011</v>
      </c>
      <c r="J551" s="24"/>
      <c r="K551" s="24" t="s">
        <v>920</v>
      </c>
      <c r="L551" s="24" t="s">
        <v>64</v>
      </c>
      <c r="M551" s="24">
        <v>1</v>
      </c>
      <c r="N551" s="41">
        <f t="shared" si="204"/>
        <v>6500000</v>
      </c>
      <c r="O551" s="41">
        <v>6500000</v>
      </c>
      <c r="P551" s="24"/>
      <c r="Q551" s="24"/>
      <c r="R551" s="24"/>
      <c r="S551" s="41">
        <f t="shared" si="192"/>
        <v>6500000</v>
      </c>
      <c r="T551" s="24">
        <v>5</v>
      </c>
      <c r="U551" s="41"/>
      <c r="V551" s="24">
        <v>0.5</v>
      </c>
      <c r="W551" s="41">
        <f t="shared" si="205"/>
        <v>0</v>
      </c>
      <c r="X551" s="24"/>
      <c r="Y551" s="41">
        <f t="shared" si="203"/>
        <v>0</v>
      </c>
      <c r="Z551" s="41">
        <f t="shared" si="206"/>
        <v>0</v>
      </c>
      <c r="AA551" s="72">
        <v>5</v>
      </c>
      <c r="AB551" s="41">
        <v>6500000</v>
      </c>
      <c r="AC551" s="41">
        <f t="shared" si="196"/>
        <v>0</v>
      </c>
      <c r="AD551" s="70" t="s">
        <v>295</v>
      </c>
      <c r="AE551" s="70"/>
      <c r="AF551" s="1">
        <v>6500000</v>
      </c>
      <c r="AG551" s="5">
        <f t="shared" si="179"/>
        <v>0</v>
      </c>
      <c r="AH551" s="5"/>
    </row>
    <row r="552" spans="1:34" s="1" customFormat="1" x14ac:dyDescent="0.25">
      <c r="A552" s="49">
        <v>27</v>
      </c>
      <c r="B552" s="22" t="s">
        <v>1701</v>
      </c>
      <c r="C552" s="22" t="s">
        <v>75</v>
      </c>
      <c r="D552" s="51" t="s">
        <v>923</v>
      </c>
      <c r="E552" s="24" t="s">
        <v>922</v>
      </c>
      <c r="F552" s="24"/>
      <c r="G552" s="24" t="s">
        <v>194</v>
      </c>
      <c r="H552" s="24" t="s">
        <v>62</v>
      </c>
      <c r="I552" s="24">
        <v>2011</v>
      </c>
      <c r="J552" s="24"/>
      <c r="K552" s="24" t="s">
        <v>920</v>
      </c>
      <c r="L552" s="24" t="s">
        <v>64</v>
      </c>
      <c r="M552" s="24">
        <v>1</v>
      </c>
      <c r="N552" s="41">
        <f t="shared" si="204"/>
        <v>6500000</v>
      </c>
      <c r="O552" s="41">
        <v>6500000</v>
      </c>
      <c r="P552" s="24"/>
      <c r="Q552" s="24"/>
      <c r="R552" s="24"/>
      <c r="S552" s="41">
        <f t="shared" si="192"/>
        <v>6500000</v>
      </c>
      <c r="T552" s="24">
        <v>5</v>
      </c>
      <c r="U552" s="41"/>
      <c r="V552" s="24">
        <v>0.5</v>
      </c>
      <c r="W552" s="41">
        <f t="shared" si="205"/>
        <v>0</v>
      </c>
      <c r="X552" s="24"/>
      <c r="Y552" s="41">
        <f t="shared" si="203"/>
        <v>0</v>
      </c>
      <c r="Z552" s="41">
        <f t="shared" si="206"/>
        <v>0</v>
      </c>
      <c r="AA552" s="72">
        <v>5</v>
      </c>
      <c r="AB552" s="41">
        <v>6500000</v>
      </c>
      <c r="AC552" s="41">
        <f t="shared" si="196"/>
        <v>0</v>
      </c>
      <c r="AD552" s="70" t="s">
        <v>297</v>
      </c>
      <c r="AE552" s="70"/>
      <c r="AF552" s="1">
        <v>6500000</v>
      </c>
      <c r="AG552" s="5">
        <f t="shared" si="179"/>
        <v>0</v>
      </c>
      <c r="AH552" s="5"/>
    </row>
    <row r="553" spans="1:34" s="1" customFormat="1" x14ac:dyDescent="0.25">
      <c r="A553" s="49">
        <v>28</v>
      </c>
      <c r="B553" s="22" t="s">
        <v>1701</v>
      </c>
      <c r="C553" s="22" t="s">
        <v>79</v>
      </c>
      <c r="D553" s="51" t="s">
        <v>923</v>
      </c>
      <c r="E553" s="24" t="s">
        <v>924</v>
      </c>
      <c r="F553" s="24"/>
      <c r="G553" s="24" t="s">
        <v>194</v>
      </c>
      <c r="H553" s="24" t="s">
        <v>62</v>
      </c>
      <c r="I553" s="24">
        <v>2012</v>
      </c>
      <c r="J553" s="24"/>
      <c r="K553" s="24" t="s">
        <v>63</v>
      </c>
      <c r="L553" s="24" t="s">
        <v>64</v>
      </c>
      <c r="M553" s="24">
        <v>1</v>
      </c>
      <c r="N553" s="41">
        <f t="shared" si="204"/>
        <v>7000000</v>
      </c>
      <c r="O553" s="41">
        <v>7000000</v>
      </c>
      <c r="P553" s="24"/>
      <c r="Q553" s="24"/>
      <c r="R553" s="24"/>
      <c r="S553" s="41">
        <f t="shared" si="192"/>
        <v>7000000</v>
      </c>
      <c r="T553" s="24">
        <v>5</v>
      </c>
      <c r="U553" s="41"/>
      <c r="V553" s="24">
        <v>0.5</v>
      </c>
      <c r="W553" s="41">
        <f t="shared" si="205"/>
        <v>0</v>
      </c>
      <c r="X553" s="24"/>
      <c r="Y553" s="41">
        <f t="shared" si="203"/>
        <v>0</v>
      </c>
      <c r="Z553" s="41">
        <f t="shared" si="206"/>
        <v>0</v>
      </c>
      <c r="AA553" s="72">
        <v>5</v>
      </c>
      <c r="AB553" s="41">
        <v>7000000</v>
      </c>
      <c r="AC553" s="41">
        <f t="shared" si="196"/>
        <v>0</v>
      </c>
      <c r="AD553" s="70" t="s">
        <v>295</v>
      </c>
      <c r="AE553" s="70"/>
      <c r="AF553" s="1">
        <v>7000000</v>
      </c>
      <c r="AG553" s="5">
        <f t="shared" si="179"/>
        <v>0</v>
      </c>
      <c r="AH553" s="5"/>
    </row>
    <row r="554" spans="1:34" s="1" customFormat="1" x14ac:dyDescent="0.25">
      <c r="A554" s="49">
        <v>29</v>
      </c>
      <c r="B554" s="22" t="s">
        <v>1701</v>
      </c>
      <c r="C554" s="22" t="s">
        <v>84</v>
      </c>
      <c r="D554" s="51" t="s">
        <v>921</v>
      </c>
      <c r="E554" s="24" t="s">
        <v>924</v>
      </c>
      <c r="F554" s="24"/>
      <c r="G554" s="24" t="s">
        <v>194</v>
      </c>
      <c r="H554" s="24" t="s">
        <v>62</v>
      </c>
      <c r="I554" s="24">
        <v>2012</v>
      </c>
      <c r="J554" s="24"/>
      <c r="K554" s="24" t="s">
        <v>63</v>
      </c>
      <c r="L554" s="24" t="s">
        <v>64</v>
      </c>
      <c r="M554" s="24">
        <v>1</v>
      </c>
      <c r="N554" s="41">
        <f t="shared" si="204"/>
        <v>7000000</v>
      </c>
      <c r="O554" s="41">
        <v>7000000</v>
      </c>
      <c r="P554" s="24"/>
      <c r="Q554" s="24"/>
      <c r="R554" s="24"/>
      <c r="S554" s="41">
        <f t="shared" si="192"/>
        <v>7000000</v>
      </c>
      <c r="T554" s="24">
        <v>5</v>
      </c>
      <c r="U554" s="41"/>
      <c r="V554" s="24">
        <v>0.5</v>
      </c>
      <c r="W554" s="41">
        <f t="shared" si="205"/>
        <v>0</v>
      </c>
      <c r="X554" s="24"/>
      <c r="Y554" s="41">
        <f t="shared" si="203"/>
        <v>0</v>
      </c>
      <c r="Z554" s="41">
        <f t="shared" si="206"/>
        <v>0</v>
      </c>
      <c r="AA554" s="72">
        <v>5</v>
      </c>
      <c r="AB554" s="41">
        <v>7000000</v>
      </c>
      <c r="AC554" s="41">
        <f t="shared" si="196"/>
        <v>0</v>
      </c>
      <c r="AD554" s="70" t="s">
        <v>925</v>
      </c>
      <c r="AE554" s="70"/>
      <c r="AF554" s="1">
        <v>7000000</v>
      </c>
      <c r="AG554" s="5">
        <f t="shared" si="179"/>
        <v>0</v>
      </c>
      <c r="AH554" s="5"/>
    </row>
    <row r="555" spans="1:34" s="1" customFormat="1" x14ac:dyDescent="0.25">
      <c r="A555" s="49">
        <v>30</v>
      </c>
      <c r="B555" s="22" t="s">
        <v>1701</v>
      </c>
      <c r="C555" s="22" t="s">
        <v>88</v>
      </c>
      <c r="D555" s="51" t="s">
        <v>923</v>
      </c>
      <c r="E555" s="24" t="s">
        <v>924</v>
      </c>
      <c r="F555" s="24"/>
      <c r="G555" s="24" t="s">
        <v>194</v>
      </c>
      <c r="H555" s="24" t="s">
        <v>62</v>
      </c>
      <c r="I555" s="24">
        <v>2012</v>
      </c>
      <c r="J555" s="24"/>
      <c r="K555" s="24" t="s">
        <v>63</v>
      </c>
      <c r="L555" s="24" t="s">
        <v>64</v>
      </c>
      <c r="M555" s="24">
        <v>1</v>
      </c>
      <c r="N555" s="41">
        <f t="shared" si="204"/>
        <v>7000000</v>
      </c>
      <c r="O555" s="41">
        <v>7000000</v>
      </c>
      <c r="P555" s="24"/>
      <c r="Q555" s="24"/>
      <c r="R555" s="24"/>
      <c r="S555" s="41">
        <f t="shared" si="192"/>
        <v>7000000</v>
      </c>
      <c r="T555" s="24">
        <v>5</v>
      </c>
      <c r="U555" s="41"/>
      <c r="V555" s="24">
        <v>0.5</v>
      </c>
      <c r="W555" s="41">
        <f t="shared" si="205"/>
        <v>0</v>
      </c>
      <c r="X555" s="24"/>
      <c r="Y555" s="41">
        <f t="shared" si="203"/>
        <v>0</v>
      </c>
      <c r="Z555" s="41">
        <f t="shared" si="206"/>
        <v>0</v>
      </c>
      <c r="AA555" s="72">
        <v>5</v>
      </c>
      <c r="AB555" s="41">
        <v>7000000</v>
      </c>
      <c r="AC555" s="41">
        <f t="shared" si="196"/>
        <v>0</v>
      </c>
      <c r="AD555" s="70" t="s">
        <v>926</v>
      </c>
      <c r="AE555" s="70"/>
      <c r="AF555" s="1">
        <v>7000000</v>
      </c>
      <c r="AG555" s="5">
        <f t="shared" si="179"/>
        <v>0</v>
      </c>
      <c r="AH555" s="5"/>
    </row>
    <row r="556" spans="1:34" s="1" customFormat="1" x14ac:dyDescent="0.25">
      <c r="A556" s="49">
        <v>31</v>
      </c>
      <c r="B556" s="22" t="s">
        <v>1701</v>
      </c>
      <c r="C556" s="22" t="s">
        <v>58</v>
      </c>
      <c r="D556" s="51" t="s">
        <v>589</v>
      </c>
      <c r="E556" s="24" t="s">
        <v>590</v>
      </c>
      <c r="F556" s="24"/>
      <c r="G556" s="24" t="s">
        <v>194</v>
      </c>
      <c r="H556" s="24" t="s">
        <v>62</v>
      </c>
      <c r="I556" s="24">
        <v>2015</v>
      </c>
      <c r="J556" s="24"/>
      <c r="K556" s="24" t="s">
        <v>63</v>
      </c>
      <c r="L556" s="24" t="s">
        <v>64</v>
      </c>
      <c r="M556" s="24">
        <v>1</v>
      </c>
      <c r="N556" s="41">
        <f t="shared" si="204"/>
        <v>2125000</v>
      </c>
      <c r="O556" s="41">
        <v>2125000</v>
      </c>
      <c r="P556" s="24"/>
      <c r="Q556" s="24"/>
      <c r="R556" s="24"/>
      <c r="S556" s="41">
        <f t="shared" si="192"/>
        <v>2125000</v>
      </c>
      <c r="T556" s="24">
        <v>5</v>
      </c>
      <c r="U556" s="41">
        <f t="shared" ref="U556" si="207">SUM(S556/T556)</f>
        <v>425000</v>
      </c>
      <c r="V556" s="24">
        <v>0.5</v>
      </c>
      <c r="W556" s="41"/>
      <c r="X556" s="166"/>
      <c r="Y556" s="53">
        <f>SUM(U556*X556)</f>
        <v>0</v>
      </c>
      <c r="Z556" s="53"/>
      <c r="AA556" s="166">
        <v>5</v>
      </c>
      <c r="AB556" s="53">
        <f t="shared" ref="AB556" si="208">SUM(U556*AA556)</f>
        <v>2125000</v>
      </c>
      <c r="AC556" s="53">
        <f t="shared" si="196"/>
        <v>0</v>
      </c>
      <c r="AD556" s="52" t="s">
        <v>591</v>
      </c>
      <c r="AE556" s="70"/>
      <c r="AF556" s="1">
        <v>2125000</v>
      </c>
      <c r="AG556" s="5">
        <f t="shared" si="179"/>
        <v>0</v>
      </c>
      <c r="AH556" s="5"/>
    </row>
    <row r="557" spans="1:34" s="1" customFormat="1" x14ac:dyDescent="0.25">
      <c r="A557" s="49">
        <v>32</v>
      </c>
      <c r="B557" s="22" t="s">
        <v>1701</v>
      </c>
      <c r="C557" s="22" t="s">
        <v>58</v>
      </c>
      <c r="D557" s="51" t="s">
        <v>878</v>
      </c>
      <c r="E557" s="24" t="s">
        <v>879</v>
      </c>
      <c r="F557" s="24"/>
      <c r="G557" s="24" t="s">
        <v>194</v>
      </c>
      <c r="H557" s="24" t="s">
        <v>62</v>
      </c>
      <c r="I557" s="24">
        <v>2012</v>
      </c>
      <c r="J557" s="24"/>
      <c r="K557" s="24" t="s">
        <v>63</v>
      </c>
      <c r="L557" s="24" t="s">
        <v>64</v>
      </c>
      <c r="M557" s="24">
        <v>1</v>
      </c>
      <c r="N557" s="41">
        <f t="shared" si="204"/>
        <v>5005000</v>
      </c>
      <c r="O557" s="41">
        <v>5005000</v>
      </c>
      <c r="P557" s="24"/>
      <c r="Q557" s="24"/>
      <c r="R557" s="24"/>
      <c r="S557" s="41">
        <f t="shared" si="192"/>
        <v>5005000</v>
      </c>
      <c r="T557" s="24">
        <v>5</v>
      </c>
      <c r="U557" s="41"/>
      <c r="V557" s="24">
        <v>0.5</v>
      </c>
      <c r="W557" s="41">
        <f t="shared" ref="W557:W559" si="209">SUM(U557*V557)</f>
        <v>0</v>
      </c>
      <c r="X557" s="24"/>
      <c r="Y557" s="41">
        <f t="shared" ref="Y557:Y559" si="210">SUM(U557*X557)</f>
        <v>0</v>
      </c>
      <c r="Z557" s="41">
        <f t="shared" ref="Z557:Z559" si="211">SUM(W557+Y557)</f>
        <v>0</v>
      </c>
      <c r="AA557" s="24">
        <v>5</v>
      </c>
      <c r="AB557" s="41">
        <v>5005000</v>
      </c>
      <c r="AC557" s="41">
        <f t="shared" si="196"/>
        <v>0</v>
      </c>
      <c r="AD557" s="70" t="s">
        <v>630</v>
      </c>
      <c r="AE557" s="70"/>
      <c r="AF557" s="1">
        <v>5005000</v>
      </c>
      <c r="AG557" s="5">
        <f t="shared" si="179"/>
        <v>0</v>
      </c>
      <c r="AH557" s="5"/>
    </row>
    <row r="558" spans="1:34" s="1" customFormat="1" x14ac:dyDescent="0.25">
      <c r="A558" s="49">
        <v>33</v>
      </c>
      <c r="B558" s="22" t="s">
        <v>1701</v>
      </c>
      <c r="C558" s="22" t="s">
        <v>277</v>
      </c>
      <c r="D558" s="51" t="s">
        <v>880</v>
      </c>
      <c r="E558" s="24" t="s">
        <v>881</v>
      </c>
      <c r="F558" s="24"/>
      <c r="G558" s="24" t="s">
        <v>61</v>
      </c>
      <c r="H558" s="24" t="s">
        <v>62</v>
      </c>
      <c r="I558" s="24">
        <v>2011</v>
      </c>
      <c r="J558" s="24"/>
      <c r="K558" s="24" t="s">
        <v>63</v>
      </c>
      <c r="L558" s="24" t="s">
        <v>64</v>
      </c>
      <c r="M558" s="24">
        <v>2</v>
      </c>
      <c r="N558" s="41">
        <f t="shared" si="204"/>
        <v>4800000</v>
      </c>
      <c r="O558" s="41">
        <v>9600000</v>
      </c>
      <c r="P558" s="24"/>
      <c r="Q558" s="24"/>
      <c r="R558" s="24"/>
      <c r="S558" s="41">
        <f t="shared" ref="S558:S589" si="212">SUM(O558-R558)</f>
        <v>9600000</v>
      </c>
      <c r="T558" s="24">
        <v>5</v>
      </c>
      <c r="U558" s="41"/>
      <c r="V558" s="24">
        <v>0.5</v>
      </c>
      <c r="W558" s="41">
        <f t="shared" si="209"/>
        <v>0</v>
      </c>
      <c r="X558" s="24"/>
      <c r="Y558" s="41">
        <f t="shared" si="210"/>
        <v>0</v>
      </c>
      <c r="Z558" s="41">
        <f t="shared" si="211"/>
        <v>0</v>
      </c>
      <c r="AA558" s="24">
        <v>5</v>
      </c>
      <c r="AB558" s="41">
        <v>9600000</v>
      </c>
      <c r="AC558" s="41">
        <f t="shared" ref="AC558:AC589" si="213">SUM(O558-AB558)</f>
        <v>0</v>
      </c>
      <c r="AD558" s="70" t="s">
        <v>875</v>
      </c>
      <c r="AE558" s="70"/>
      <c r="AF558" s="1">
        <v>9600000</v>
      </c>
      <c r="AG558" s="5">
        <f t="shared" si="179"/>
        <v>0</v>
      </c>
      <c r="AH558" s="5"/>
    </row>
    <row r="559" spans="1:34" s="1" customFormat="1" x14ac:dyDescent="0.25">
      <c r="A559" s="49">
        <v>34</v>
      </c>
      <c r="B559" s="22" t="s">
        <v>1701</v>
      </c>
      <c r="C559" s="22" t="s">
        <v>882</v>
      </c>
      <c r="D559" s="51" t="s">
        <v>883</v>
      </c>
      <c r="E559" s="24" t="s">
        <v>884</v>
      </c>
      <c r="F559" s="24"/>
      <c r="G559" s="24" t="s">
        <v>61</v>
      </c>
      <c r="H559" s="24" t="s">
        <v>62</v>
      </c>
      <c r="I559" s="24">
        <v>2018</v>
      </c>
      <c r="J559" s="24"/>
      <c r="K559" s="24" t="s">
        <v>63</v>
      </c>
      <c r="L559" s="24" t="s">
        <v>64</v>
      </c>
      <c r="M559" s="24">
        <v>5</v>
      </c>
      <c r="N559" s="41">
        <f t="shared" si="204"/>
        <v>2970000</v>
      </c>
      <c r="O559" s="41">
        <v>14850000</v>
      </c>
      <c r="P559" s="24"/>
      <c r="Q559" s="24"/>
      <c r="R559" s="24"/>
      <c r="S559" s="41">
        <f t="shared" si="212"/>
        <v>14850000</v>
      </c>
      <c r="T559" s="24">
        <v>5</v>
      </c>
      <c r="U559" s="41">
        <f t="shared" ref="U559" si="214">SUM(S559/T559)</f>
        <v>2970000</v>
      </c>
      <c r="V559" s="24">
        <v>0.5</v>
      </c>
      <c r="W559" s="41">
        <f t="shared" si="209"/>
        <v>1485000</v>
      </c>
      <c r="X559" s="24"/>
      <c r="Y559" s="24">
        <f t="shared" si="210"/>
        <v>0</v>
      </c>
      <c r="Z559" s="41">
        <f t="shared" si="211"/>
        <v>1485000</v>
      </c>
      <c r="AA559" s="24">
        <f>2023-I559+V559+X559-9/12</f>
        <v>4.75</v>
      </c>
      <c r="AB559" s="41">
        <f t="shared" ref="AB559" si="215">SUM(U559*AA559)</f>
        <v>14107500</v>
      </c>
      <c r="AC559" s="41">
        <f t="shared" si="213"/>
        <v>742500</v>
      </c>
      <c r="AD559" s="70"/>
      <c r="AE559" s="70"/>
      <c r="AF559" s="1">
        <v>12622500</v>
      </c>
      <c r="AG559" s="5">
        <f t="shared" si="179"/>
        <v>0</v>
      </c>
      <c r="AH559" s="5"/>
    </row>
    <row r="560" spans="1:34" s="1" customFormat="1" x14ac:dyDescent="0.25">
      <c r="A560" s="49">
        <v>35</v>
      </c>
      <c r="B560" s="22" t="s">
        <v>1702</v>
      </c>
      <c r="C560" s="22" t="s">
        <v>58</v>
      </c>
      <c r="D560" s="51" t="s">
        <v>649</v>
      </c>
      <c r="E560" s="24" t="s">
        <v>650</v>
      </c>
      <c r="F560" s="24"/>
      <c r="G560" s="24" t="s">
        <v>61</v>
      </c>
      <c r="H560" s="24" t="s">
        <v>62</v>
      </c>
      <c r="I560" s="24">
        <v>2011</v>
      </c>
      <c r="J560" s="24"/>
      <c r="K560" s="24" t="s">
        <v>63</v>
      </c>
      <c r="L560" s="24" t="s">
        <v>64</v>
      </c>
      <c r="M560" s="24">
        <v>1</v>
      </c>
      <c r="N560" s="41">
        <f t="shared" ref="N560:N580" si="216">SUM(O560/M560)</f>
        <v>1700000</v>
      </c>
      <c r="O560" s="41">
        <v>1700000</v>
      </c>
      <c r="P560" s="24"/>
      <c r="Q560" s="24"/>
      <c r="R560" s="24"/>
      <c r="S560" s="41">
        <f t="shared" si="212"/>
        <v>1700000</v>
      </c>
      <c r="T560" s="24">
        <v>5</v>
      </c>
      <c r="U560" s="41"/>
      <c r="V560" s="24">
        <v>0.5</v>
      </c>
      <c r="W560" s="41">
        <f t="shared" ref="W560:W589" si="217">SUM(U560*V560)</f>
        <v>0</v>
      </c>
      <c r="X560" s="177"/>
      <c r="Y560" s="53">
        <f t="shared" ref="Y560:Y589" si="218">SUM(U560*X560)</f>
        <v>0</v>
      </c>
      <c r="Z560" s="53">
        <f t="shared" ref="Z560:Z589" si="219">SUM(W560+Y560)</f>
        <v>0</v>
      </c>
      <c r="AA560" s="53">
        <v>5</v>
      </c>
      <c r="AB560" s="53">
        <v>1700000</v>
      </c>
      <c r="AC560" s="53">
        <f t="shared" si="213"/>
        <v>0</v>
      </c>
      <c r="AD560" s="52" t="s">
        <v>295</v>
      </c>
      <c r="AE560" s="70"/>
      <c r="AF560" s="1">
        <v>1700000</v>
      </c>
      <c r="AG560" s="5">
        <f t="shared" si="179"/>
        <v>0</v>
      </c>
      <c r="AH560" s="5"/>
    </row>
    <row r="561" spans="1:34" s="1" customFormat="1" x14ac:dyDescent="0.25">
      <c r="A561" s="49">
        <v>36</v>
      </c>
      <c r="B561" s="22" t="s">
        <v>1702</v>
      </c>
      <c r="C561" s="22" t="s">
        <v>75</v>
      </c>
      <c r="D561" s="51" t="s">
        <v>651</v>
      </c>
      <c r="E561" s="24" t="s">
        <v>650</v>
      </c>
      <c r="F561" s="24"/>
      <c r="G561" s="24" t="s">
        <v>61</v>
      </c>
      <c r="H561" s="24" t="s">
        <v>62</v>
      </c>
      <c r="I561" s="24">
        <v>2011</v>
      </c>
      <c r="J561" s="24"/>
      <c r="K561" s="24" t="s">
        <v>63</v>
      </c>
      <c r="L561" s="24" t="s">
        <v>64</v>
      </c>
      <c r="M561" s="24">
        <v>1</v>
      </c>
      <c r="N561" s="41">
        <f t="shared" si="216"/>
        <v>1700000</v>
      </c>
      <c r="O561" s="41">
        <v>1700000</v>
      </c>
      <c r="P561" s="24"/>
      <c r="Q561" s="24"/>
      <c r="R561" s="24"/>
      <c r="S561" s="41">
        <f t="shared" si="212"/>
        <v>1700000</v>
      </c>
      <c r="T561" s="24">
        <v>5</v>
      </c>
      <c r="U561" s="41"/>
      <c r="V561" s="24">
        <v>0.5</v>
      </c>
      <c r="W561" s="41">
        <f t="shared" si="217"/>
        <v>0</v>
      </c>
      <c r="X561" s="24"/>
      <c r="Y561" s="41">
        <f t="shared" si="218"/>
        <v>0</v>
      </c>
      <c r="Z561" s="41">
        <f t="shared" si="219"/>
        <v>0</v>
      </c>
      <c r="AA561" s="69">
        <v>5</v>
      </c>
      <c r="AB561" s="41">
        <v>1700000</v>
      </c>
      <c r="AC561" s="41">
        <f t="shared" si="213"/>
        <v>0</v>
      </c>
      <c r="AD561" s="70" t="s">
        <v>297</v>
      </c>
      <c r="AE561" s="70"/>
      <c r="AF561" s="1">
        <v>1700000</v>
      </c>
      <c r="AG561" s="5">
        <f t="shared" si="179"/>
        <v>0</v>
      </c>
      <c r="AH561" s="5"/>
    </row>
    <row r="562" spans="1:34" s="1" customFormat="1" x14ac:dyDescent="0.25">
      <c r="A562" s="49">
        <v>37</v>
      </c>
      <c r="B562" s="22" t="s">
        <v>1703</v>
      </c>
      <c r="C562" s="22" t="s">
        <v>58</v>
      </c>
      <c r="D562" s="51" t="s">
        <v>947</v>
      </c>
      <c r="E562" s="24" t="s">
        <v>948</v>
      </c>
      <c r="F562" s="24"/>
      <c r="G562" s="24" t="s">
        <v>194</v>
      </c>
      <c r="H562" s="24" t="s">
        <v>62</v>
      </c>
      <c r="I562" s="24">
        <v>2009</v>
      </c>
      <c r="J562" s="24"/>
      <c r="K562" s="24" t="s">
        <v>63</v>
      </c>
      <c r="L562" s="24" t="s">
        <v>64</v>
      </c>
      <c r="M562" s="24">
        <v>1</v>
      </c>
      <c r="N562" s="41">
        <f t="shared" si="216"/>
        <v>6850000</v>
      </c>
      <c r="O562" s="41">
        <v>6850000</v>
      </c>
      <c r="P562" s="24"/>
      <c r="Q562" s="24"/>
      <c r="R562" s="24"/>
      <c r="S562" s="41">
        <f t="shared" si="212"/>
        <v>6850000</v>
      </c>
      <c r="T562" s="24">
        <v>5</v>
      </c>
      <c r="U562" s="41"/>
      <c r="V562" s="24">
        <v>0.5</v>
      </c>
      <c r="W562" s="41">
        <f t="shared" si="217"/>
        <v>0</v>
      </c>
      <c r="X562" s="24"/>
      <c r="Y562" s="41">
        <f t="shared" si="218"/>
        <v>0</v>
      </c>
      <c r="Z562" s="41">
        <f t="shared" si="219"/>
        <v>0</v>
      </c>
      <c r="AA562" s="24">
        <v>5</v>
      </c>
      <c r="AB562" s="41">
        <v>6850000</v>
      </c>
      <c r="AC562" s="41">
        <f t="shared" si="213"/>
        <v>0</v>
      </c>
      <c r="AD562" s="70" t="s">
        <v>949</v>
      </c>
      <c r="AE562" s="70"/>
      <c r="AF562" s="1">
        <v>6850000</v>
      </c>
      <c r="AG562" s="5">
        <f t="shared" si="179"/>
        <v>0</v>
      </c>
      <c r="AH562" s="5"/>
    </row>
    <row r="563" spans="1:34" s="1" customFormat="1" x14ac:dyDescent="0.25">
      <c r="A563" s="49">
        <v>38</v>
      </c>
      <c r="B563" s="22" t="s">
        <v>1703</v>
      </c>
      <c r="C563" s="22" t="s">
        <v>209</v>
      </c>
      <c r="D563" s="51" t="s">
        <v>950</v>
      </c>
      <c r="E563" s="24" t="s">
        <v>951</v>
      </c>
      <c r="F563" s="24"/>
      <c r="G563" s="24" t="s">
        <v>194</v>
      </c>
      <c r="H563" s="24" t="s">
        <v>62</v>
      </c>
      <c r="I563" s="24">
        <v>2011</v>
      </c>
      <c r="J563" s="24"/>
      <c r="K563" s="24" t="s">
        <v>63</v>
      </c>
      <c r="L563" s="24" t="s">
        <v>64</v>
      </c>
      <c r="M563" s="24">
        <v>2</v>
      </c>
      <c r="N563" s="41">
        <f t="shared" si="216"/>
        <v>2750000</v>
      </c>
      <c r="O563" s="41">
        <v>5500000</v>
      </c>
      <c r="P563" s="24"/>
      <c r="Q563" s="24"/>
      <c r="R563" s="24"/>
      <c r="S563" s="41">
        <f t="shared" si="212"/>
        <v>5500000</v>
      </c>
      <c r="T563" s="24">
        <v>5</v>
      </c>
      <c r="U563" s="41"/>
      <c r="V563" s="24">
        <v>0.5</v>
      </c>
      <c r="W563" s="41">
        <f t="shared" si="217"/>
        <v>0</v>
      </c>
      <c r="X563" s="24"/>
      <c r="Y563" s="41">
        <f t="shared" si="218"/>
        <v>0</v>
      </c>
      <c r="Z563" s="41">
        <f t="shared" si="219"/>
        <v>0</v>
      </c>
      <c r="AA563" s="24">
        <v>5</v>
      </c>
      <c r="AB563" s="41">
        <v>5500000</v>
      </c>
      <c r="AC563" s="41">
        <f t="shared" si="213"/>
        <v>0</v>
      </c>
      <c r="AD563" s="70" t="s">
        <v>287</v>
      </c>
      <c r="AE563" s="70"/>
      <c r="AF563" s="1">
        <v>5500000</v>
      </c>
      <c r="AG563" s="5">
        <f t="shared" si="179"/>
        <v>0</v>
      </c>
      <c r="AH563" s="5"/>
    </row>
    <row r="564" spans="1:34" s="1" customFormat="1" x14ac:dyDescent="0.25">
      <c r="A564" s="49">
        <v>39</v>
      </c>
      <c r="B564" s="22" t="s">
        <v>1703</v>
      </c>
      <c r="C564" s="22" t="s">
        <v>633</v>
      </c>
      <c r="D564" s="51" t="s">
        <v>950</v>
      </c>
      <c r="E564" s="24" t="s">
        <v>951</v>
      </c>
      <c r="F564" s="24"/>
      <c r="G564" s="24" t="s">
        <v>194</v>
      </c>
      <c r="H564" s="24" t="s">
        <v>62</v>
      </c>
      <c r="I564" s="24">
        <v>2011</v>
      </c>
      <c r="J564" s="24"/>
      <c r="K564" s="24" t="s">
        <v>63</v>
      </c>
      <c r="L564" s="24" t="s">
        <v>64</v>
      </c>
      <c r="M564" s="24">
        <v>2</v>
      </c>
      <c r="N564" s="41">
        <f t="shared" si="216"/>
        <v>2750000</v>
      </c>
      <c r="O564" s="41">
        <v>5500000</v>
      </c>
      <c r="P564" s="24"/>
      <c r="Q564" s="24"/>
      <c r="R564" s="24"/>
      <c r="S564" s="41">
        <f t="shared" si="212"/>
        <v>5500000</v>
      </c>
      <c r="T564" s="24">
        <v>5</v>
      </c>
      <c r="U564" s="41"/>
      <c r="V564" s="24">
        <v>0.5</v>
      </c>
      <c r="W564" s="41">
        <f t="shared" si="217"/>
        <v>0</v>
      </c>
      <c r="X564" s="24"/>
      <c r="Y564" s="41">
        <f t="shared" si="218"/>
        <v>0</v>
      </c>
      <c r="Z564" s="41">
        <f t="shared" si="219"/>
        <v>0</v>
      </c>
      <c r="AA564" s="24">
        <v>5</v>
      </c>
      <c r="AB564" s="41">
        <v>5500000</v>
      </c>
      <c r="AC564" s="41">
        <f t="shared" si="213"/>
        <v>0</v>
      </c>
      <c r="AD564" s="70" t="s">
        <v>303</v>
      </c>
      <c r="AE564" s="70"/>
      <c r="AF564" s="1">
        <v>5500000</v>
      </c>
      <c r="AG564" s="5">
        <f t="shared" si="179"/>
        <v>0</v>
      </c>
      <c r="AH564" s="5"/>
    </row>
    <row r="565" spans="1:34" s="1" customFormat="1" x14ac:dyDescent="0.25">
      <c r="A565" s="49">
        <v>40</v>
      </c>
      <c r="B565" s="22" t="s">
        <v>1703</v>
      </c>
      <c r="C565" s="22" t="s">
        <v>952</v>
      </c>
      <c r="D565" s="51" t="s">
        <v>950</v>
      </c>
      <c r="E565" s="24" t="s">
        <v>953</v>
      </c>
      <c r="F565" s="24"/>
      <c r="G565" s="24" t="s">
        <v>194</v>
      </c>
      <c r="H565" s="24" t="s">
        <v>62</v>
      </c>
      <c r="I565" s="24">
        <v>2011</v>
      </c>
      <c r="J565" s="24"/>
      <c r="K565" s="24" t="s">
        <v>63</v>
      </c>
      <c r="L565" s="24" t="s">
        <v>64</v>
      </c>
      <c r="M565" s="24">
        <v>4</v>
      </c>
      <c r="N565" s="41">
        <f t="shared" si="216"/>
        <v>3000000</v>
      </c>
      <c r="O565" s="41">
        <v>12000000</v>
      </c>
      <c r="P565" s="24"/>
      <c r="Q565" s="24"/>
      <c r="R565" s="24"/>
      <c r="S565" s="41">
        <f t="shared" si="212"/>
        <v>12000000</v>
      </c>
      <c r="T565" s="24">
        <v>5</v>
      </c>
      <c r="U565" s="41"/>
      <c r="V565" s="24">
        <v>0.5</v>
      </c>
      <c r="W565" s="41">
        <f t="shared" si="217"/>
        <v>0</v>
      </c>
      <c r="X565" s="24"/>
      <c r="Y565" s="41">
        <f t="shared" si="218"/>
        <v>0</v>
      </c>
      <c r="Z565" s="41">
        <f t="shared" si="219"/>
        <v>0</v>
      </c>
      <c r="AA565" s="24">
        <v>5</v>
      </c>
      <c r="AB565" s="41">
        <v>12000000</v>
      </c>
      <c r="AC565" s="41">
        <f t="shared" si="213"/>
        <v>0</v>
      </c>
      <c r="AD565" s="70" t="s">
        <v>295</v>
      </c>
      <c r="AE565" s="70"/>
      <c r="AF565" s="1">
        <v>12000000</v>
      </c>
      <c r="AG565" s="5">
        <f t="shared" si="179"/>
        <v>0</v>
      </c>
      <c r="AH565" s="5"/>
    </row>
    <row r="566" spans="1:34" s="1" customFormat="1" x14ac:dyDescent="0.25">
      <c r="A566" s="49">
        <v>41</v>
      </c>
      <c r="B566" s="22" t="s">
        <v>1703</v>
      </c>
      <c r="C566" s="22" t="s">
        <v>954</v>
      </c>
      <c r="D566" s="51" t="s">
        <v>950</v>
      </c>
      <c r="E566" s="24" t="s">
        <v>953</v>
      </c>
      <c r="F566" s="24"/>
      <c r="G566" s="24" t="s">
        <v>194</v>
      </c>
      <c r="H566" s="24" t="s">
        <v>62</v>
      </c>
      <c r="I566" s="24">
        <v>2011</v>
      </c>
      <c r="J566" s="24"/>
      <c r="K566" s="24" t="s">
        <v>63</v>
      </c>
      <c r="L566" s="24" t="s">
        <v>64</v>
      </c>
      <c r="M566" s="24">
        <v>4</v>
      </c>
      <c r="N566" s="41">
        <f t="shared" si="216"/>
        <v>3000000</v>
      </c>
      <c r="O566" s="41">
        <v>12000000</v>
      </c>
      <c r="P566" s="24"/>
      <c r="Q566" s="24"/>
      <c r="R566" s="24"/>
      <c r="S566" s="41">
        <f t="shared" si="212"/>
        <v>12000000</v>
      </c>
      <c r="T566" s="24">
        <v>5</v>
      </c>
      <c r="U566" s="41"/>
      <c r="V566" s="24">
        <v>0.5</v>
      </c>
      <c r="W566" s="41">
        <f t="shared" si="217"/>
        <v>0</v>
      </c>
      <c r="X566" s="24"/>
      <c r="Y566" s="41">
        <f t="shared" si="218"/>
        <v>0</v>
      </c>
      <c r="Z566" s="41">
        <f t="shared" si="219"/>
        <v>0</v>
      </c>
      <c r="AA566" s="24">
        <v>5</v>
      </c>
      <c r="AB566" s="41">
        <v>12000000</v>
      </c>
      <c r="AC566" s="41">
        <f t="shared" si="213"/>
        <v>0</v>
      </c>
      <c r="AD566" s="70" t="s">
        <v>297</v>
      </c>
      <c r="AE566" s="70"/>
      <c r="AF566" s="1">
        <v>12000000</v>
      </c>
      <c r="AG566" s="5">
        <f t="shared" si="179"/>
        <v>0</v>
      </c>
      <c r="AH566" s="5"/>
    </row>
    <row r="567" spans="1:34" s="1" customFormat="1" x14ac:dyDescent="0.25">
      <c r="A567" s="49">
        <v>42</v>
      </c>
      <c r="B567" s="22" t="s">
        <v>1703</v>
      </c>
      <c r="C567" s="22" t="s">
        <v>955</v>
      </c>
      <c r="D567" s="51" t="s">
        <v>950</v>
      </c>
      <c r="E567" s="24" t="s">
        <v>956</v>
      </c>
      <c r="F567" s="24"/>
      <c r="G567" s="24" t="s">
        <v>194</v>
      </c>
      <c r="H567" s="24" t="s">
        <v>62</v>
      </c>
      <c r="I567" s="24">
        <v>2012</v>
      </c>
      <c r="J567" s="24"/>
      <c r="K567" s="24" t="s">
        <v>63</v>
      </c>
      <c r="L567" s="24" t="s">
        <v>64</v>
      </c>
      <c r="M567" s="24">
        <v>4</v>
      </c>
      <c r="N567" s="41">
        <f t="shared" si="216"/>
        <v>5700000</v>
      </c>
      <c r="O567" s="41">
        <v>22800000</v>
      </c>
      <c r="P567" s="24"/>
      <c r="Q567" s="24"/>
      <c r="R567" s="24"/>
      <c r="S567" s="41">
        <f t="shared" si="212"/>
        <v>22800000</v>
      </c>
      <c r="T567" s="24">
        <v>5</v>
      </c>
      <c r="U567" s="41"/>
      <c r="V567" s="24">
        <v>0.5</v>
      </c>
      <c r="W567" s="41">
        <f t="shared" si="217"/>
        <v>0</v>
      </c>
      <c r="X567" s="24"/>
      <c r="Y567" s="41">
        <f t="shared" si="218"/>
        <v>0</v>
      </c>
      <c r="Z567" s="41">
        <f t="shared" si="219"/>
        <v>0</v>
      </c>
      <c r="AA567" s="24">
        <v>5</v>
      </c>
      <c r="AB567" s="41">
        <v>22800000</v>
      </c>
      <c r="AC567" s="41">
        <f t="shared" si="213"/>
        <v>0</v>
      </c>
      <c r="AD567" s="70" t="s">
        <v>957</v>
      </c>
      <c r="AE567" s="70"/>
      <c r="AF567" s="1">
        <v>22800000</v>
      </c>
      <c r="AG567" s="5">
        <f t="shared" si="179"/>
        <v>0</v>
      </c>
      <c r="AH567" s="5"/>
    </row>
    <row r="568" spans="1:34" s="1" customFormat="1" x14ac:dyDescent="0.25">
      <c r="A568" s="49">
        <v>43</v>
      </c>
      <c r="B568" s="22" t="s">
        <v>1703</v>
      </c>
      <c r="C568" s="22" t="s">
        <v>153</v>
      </c>
      <c r="D568" s="51" t="s">
        <v>958</v>
      </c>
      <c r="E568" s="24" t="s">
        <v>959</v>
      </c>
      <c r="F568" s="24"/>
      <c r="G568" s="24" t="s">
        <v>194</v>
      </c>
      <c r="H568" s="24" t="s">
        <v>62</v>
      </c>
      <c r="I568" s="24">
        <v>2012</v>
      </c>
      <c r="J568" s="24"/>
      <c r="K568" s="24" t="s">
        <v>63</v>
      </c>
      <c r="L568" s="24" t="s">
        <v>64</v>
      </c>
      <c r="M568" s="24">
        <v>1</v>
      </c>
      <c r="N568" s="41">
        <f t="shared" si="216"/>
        <v>10075000</v>
      </c>
      <c r="O568" s="41">
        <v>10075000</v>
      </c>
      <c r="P568" s="24"/>
      <c r="Q568" s="24"/>
      <c r="R568" s="24"/>
      <c r="S568" s="41">
        <f t="shared" si="212"/>
        <v>10075000</v>
      </c>
      <c r="T568" s="24">
        <v>5</v>
      </c>
      <c r="U568" s="41"/>
      <c r="V568" s="24">
        <v>0.5</v>
      </c>
      <c r="W568" s="41">
        <f t="shared" si="217"/>
        <v>0</v>
      </c>
      <c r="X568" s="24"/>
      <c r="Y568" s="41">
        <f t="shared" si="218"/>
        <v>0</v>
      </c>
      <c r="Z568" s="41">
        <f t="shared" si="219"/>
        <v>0</v>
      </c>
      <c r="AA568" s="24">
        <v>5</v>
      </c>
      <c r="AB568" s="41">
        <v>10075000</v>
      </c>
      <c r="AC568" s="41">
        <f t="shared" si="213"/>
        <v>0</v>
      </c>
      <c r="AD568" s="70" t="s">
        <v>939</v>
      </c>
      <c r="AE568" s="70"/>
      <c r="AF568" s="1">
        <v>10075000</v>
      </c>
      <c r="AG568" s="5">
        <f t="shared" si="179"/>
        <v>0</v>
      </c>
      <c r="AH568" s="5"/>
    </row>
    <row r="569" spans="1:34" s="1" customFormat="1" x14ac:dyDescent="0.25">
      <c r="A569" s="49">
        <v>44</v>
      </c>
      <c r="B569" s="22" t="s">
        <v>1703</v>
      </c>
      <c r="C569" s="22" t="s">
        <v>209</v>
      </c>
      <c r="D569" s="51" t="s">
        <v>990</v>
      </c>
      <c r="E569" s="24" t="s">
        <v>991</v>
      </c>
      <c r="F569" s="24"/>
      <c r="G569" s="24" t="s">
        <v>194</v>
      </c>
      <c r="H569" s="24" t="s">
        <v>62</v>
      </c>
      <c r="I569" s="24">
        <v>2011</v>
      </c>
      <c r="J569" s="24"/>
      <c r="K569" s="24" t="s">
        <v>63</v>
      </c>
      <c r="L569" s="24" t="s">
        <v>64</v>
      </c>
      <c r="M569" s="24">
        <v>2</v>
      </c>
      <c r="N569" s="41">
        <f t="shared" si="216"/>
        <v>14750000</v>
      </c>
      <c r="O569" s="41">
        <v>29500000</v>
      </c>
      <c r="P569" s="24"/>
      <c r="Q569" s="24"/>
      <c r="R569" s="24"/>
      <c r="S569" s="41">
        <f t="shared" si="212"/>
        <v>29500000</v>
      </c>
      <c r="T569" s="24">
        <v>5</v>
      </c>
      <c r="U569" s="41"/>
      <c r="V569" s="24">
        <v>0.5</v>
      </c>
      <c r="W569" s="41">
        <f t="shared" si="217"/>
        <v>0</v>
      </c>
      <c r="X569" s="24"/>
      <c r="Y569" s="41">
        <f t="shared" si="218"/>
        <v>0</v>
      </c>
      <c r="Z569" s="41">
        <f t="shared" si="219"/>
        <v>0</v>
      </c>
      <c r="AA569" s="24">
        <v>5</v>
      </c>
      <c r="AB569" s="41">
        <v>29500000</v>
      </c>
      <c r="AC569" s="41">
        <f t="shared" si="213"/>
        <v>0</v>
      </c>
      <c r="AD569" s="70" t="s">
        <v>295</v>
      </c>
      <c r="AE569" s="70"/>
      <c r="AF569" s="1">
        <v>29500000</v>
      </c>
      <c r="AG569" s="5">
        <f t="shared" si="179"/>
        <v>0</v>
      </c>
      <c r="AH569" s="5"/>
    </row>
    <row r="570" spans="1:34" s="1" customFormat="1" x14ac:dyDescent="0.25">
      <c r="A570" s="49">
        <v>45</v>
      </c>
      <c r="B570" s="22" t="s">
        <v>1703</v>
      </c>
      <c r="C570" s="22" t="s">
        <v>633</v>
      </c>
      <c r="D570" s="51" t="s">
        <v>992</v>
      </c>
      <c r="E570" s="24" t="s">
        <v>993</v>
      </c>
      <c r="F570" s="24"/>
      <c r="G570" s="24" t="s">
        <v>194</v>
      </c>
      <c r="H570" s="24" t="s">
        <v>62</v>
      </c>
      <c r="I570" s="24">
        <v>2012</v>
      </c>
      <c r="J570" s="24"/>
      <c r="K570" s="24" t="s">
        <v>63</v>
      </c>
      <c r="L570" s="24" t="s">
        <v>64</v>
      </c>
      <c r="M570" s="24">
        <v>2</v>
      </c>
      <c r="N570" s="41">
        <f t="shared" si="216"/>
        <v>7800000</v>
      </c>
      <c r="O570" s="41">
        <v>15600000</v>
      </c>
      <c r="P570" s="24"/>
      <c r="Q570" s="24"/>
      <c r="R570" s="24"/>
      <c r="S570" s="41">
        <f t="shared" si="212"/>
        <v>15600000</v>
      </c>
      <c r="T570" s="24">
        <v>5</v>
      </c>
      <c r="U570" s="41"/>
      <c r="V570" s="24">
        <v>0.5</v>
      </c>
      <c r="W570" s="41">
        <f t="shared" si="217"/>
        <v>0</v>
      </c>
      <c r="X570" s="24"/>
      <c r="Y570" s="41">
        <f t="shared" si="218"/>
        <v>0</v>
      </c>
      <c r="Z570" s="41">
        <f t="shared" si="219"/>
        <v>0</v>
      </c>
      <c r="AA570" s="24">
        <v>5</v>
      </c>
      <c r="AB570" s="41">
        <v>15600000</v>
      </c>
      <c r="AC570" s="41">
        <f t="shared" si="213"/>
        <v>0</v>
      </c>
      <c r="AD570" s="70" t="s">
        <v>985</v>
      </c>
      <c r="AE570" s="70"/>
      <c r="AF570" s="1">
        <v>15600000</v>
      </c>
      <c r="AG570" s="5">
        <f t="shared" si="179"/>
        <v>0</v>
      </c>
      <c r="AH570" s="5"/>
    </row>
    <row r="571" spans="1:34" s="1" customFormat="1" x14ac:dyDescent="0.25">
      <c r="A571" s="49">
        <v>46</v>
      </c>
      <c r="B571" s="22" t="s">
        <v>1703</v>
      </c>
      <c r="C571" s="22" t="s">
        <v>58</v>
      </c>
      <c r="D571" s="51" t="s">
        <v>998</v>
      </c>
      <c r="E571" s="24" t="s">
        <v>999</v>
      </c>
      <c r="F571" s="24" t="s">
        <v>1000</v>
      </c>
      <c r="G571" s="24" t="s">
        <v>194</v>
      </c>
      <c r="H571" s="24" t="s">
        <v>62</v>
      </c>
      <c r="I571" s="24">
        <v>2015</v>
      </c>
      <c r="J571" s="24"/>
      <c r="K571" s="24" t="s">
        <v>63</v>
      </c>
      <c r="L571" s="24" t="s">
        <v>64</v>
      </c>
      <c r="M571" s="24">
        <v>1</v>
      </c>
      <c r="N571" s="41">
        <f t="shared" si="216"/>
        <v>10950000</v>
      </c>
      <c r="O571" s="41">
        <v>10950000</v>
      </c>
      <c r="P571" s="24"/>
      <c r="Q571" s="24"/>
      <c r="R571" s="24"/>
      <c r="S571" s="41">
        <f t="shared" si="212"/>
        <v>10950000</v>
      </c>
      <c r="T571" s="24">
        <v>5</v>
      </c>
      <c r="U571" s="41">
        <f t="shared" ref="U571:U580" si="220">SUM(S571/T571)</f>
        <v>2190000</v>
      </c>
      <c r="V571" s="24">
        <v>0.5</v>
      </c>
      <c r="W571" s="41"/>
      <c r="X571" s="24"/>
      <c r="Y571" s="41">
        <f t="shared" si="218"/>
        <v>0</v>
      </c>
      <c r="Z571" s="41"/>
      <c r="AA571" s="24">
        <v>5</v>
      </c>
      <c r="AB571" s="41">
        <f t="shared" ref="AB571:AB580" si="221">SUM(U571*AA571)</f>
        <v>10950000</v>
      </c>
      <c r="AC571" s="41">
        <f t="shared" si="213"/>
        <v>0</v>
      </c>
      <c r="AD571" s="70" t="s">
        <v>213</v>
      </c>
      <c r="AE571" s="70"/>
      <c r="AF571" s="1">
        <v>10950000</v>
      </c>
      <c r="AG571" s="5">
        <f t="shared" si="179"/>
        <v>0</v>
      </c>
      <c r="AH571" s="5"/>
    </row>
    <row r="572" spans="1:34" s="1" customFormat="1" x14ac:dyDescent="0.25">
      <c r="A572" s="49">
        <v>47</v>
      </c>
      <c r="B572" s="22" t="s">
        <v>1703</v>
      </c>
      <c r="C572" s="22" t="s">
        <v>58</v>
      </c>
      <c r="D572" s="51" t="s">
        <v>1001</v>
      </c>
      <c r="E572" s="24" t="s">
        <v>654</v>
      </c>
      <c r="F572" s="24"/>
      <c r="G572" s="24" t="s">
        <v>194</v>
      </c>
      <c r="H572" s="24" t="s">
        <v>62</v>
      </c>
      <c r="I572" s="24">
        <v>2015</v>
      </c>
      <c r="J572" s="24"/>
      <c r="K572" s="24" t="s">
        <v>63</v>
      </c>
      <c r="L572" s="24" t="s">
        <v>64</v>
      </c>
      <c r="M572" s="24">
        <v>1</v>
      </c>
      <c r="N572" s="41">
        <f t="shared" si="216"/>
        <v>775000</v>
      </c>
      <c r="O572" s="41">
        <v>775000</v>
      </c>
      <c r="P572" s="24"/>
      <c r="Q572" s="24"/>
      <c r="R572" s="24"/>
      <c r="S572" s="41">
        <f t="shared" si="212"/>
        <v>775000</v>
      </c>
      <c r="T572" s="24">
        <v>5</v>
      </c>
      <c r="U572" s="41">
        <f t="shared" si="220"/>
        <v>155000</v>
      </c>
      <c r="V572" s="24">
        <v>0.5</v>
      </c>
      <c r="W572" s="41"/>
      <c r="X572" s="24"/>
      <c r="Y572" s="41">
        <f>SUM(U572*X572)</f>
        <v>0</v>
      </c>
      <c r="Z572" s="41"/>
      <c r="AA572" s="72">
        <v>5</v>
      </c>
      <c r="AB572" s="41">
        <f t="shared" si="221"/>
        <v>775000</v>
      </c>
      <c r="AC572" s="41">
        <f t="shared" si="213"/>
        <v>0</v>
      </c>
      <c r="AD572" s="70" t="s">
        <v>243</v>
      </c>
      <c r="AE572" s="70"/>
      <c r="AF572" s="1">
        <v>775000</v>
      </c>
      <c r="AG572" s="5">
        <f t="shared" si="179"/>
        <v>0</v>
      </c>
      <c r="AH572" s="5"/>
    </row>
    <row r="573" spans="1:34" s="1" customFormat="1" x14ac:dyDescent="0.25">
      <c r="A573" s="49">
        <v>48</v>
      </c>
      <c r="B573" s="22" t="s">
        <v>1703</v>
      </c>
      <c r="C573" s="22" t="s">
        <v>75</v>
      </c>
      <c r="D573" s="51" t="s">
        <v>1001</v>
      </c>
      <c r="E573" s="24" t="s">
        <v>654</v>
      </c>
      <c r="F573" s="24"/>
      <c r="G573" s="24" t="s">
        <v>194</v>
      </c>
      <c r="H573" s="24" t="s">
        <v>62</v>
      </c>
      <c r="I573" s="24">
        <v>2015</v>
      </c>
      <c r="J573" s="24"/>
      <c r="K573" s="24" t="s">
        <v>63</v>
      </c>
      <c r="L573" s="24" t="s">
        <v>64</v>
      </c>
      <c r="M573" s="24">
        <v>1</v>
      </c>
      <c r="N573" s="41">
        <f t="shared" si="216"/>
        <v>775000</v>
      </c>
      <c r="O573" s="41">
        <v>775000</v>
      </c>
      <c r="P573" s="24"/>
      <c r="Q573" s="24"/>
      <c r="R573" s="24"/>
      <c r="S573" s="41">
        <f t="shared" si="212"/>
        <v>775000</v>
      </c>
      <c r="T573" s="24">
        <v>5</v>
      </c>
      <c r="U573" s="41">
        <f t="shared" si="220"/>
        <v>155000</v>
      </c>
      <c r="V573" s="24">
        <v>0.5</v>
      </c>
      <c r="W573" s="41"/>
      <c r="X573" s="24"/>
      <c r="Y573" s="41">
        <f>SUM(U573*X573)</f>
        <v>0</v>
      </c>
      <c r="Z573" s="41"/>
      <c r="AA573" s="72">
        <v>5</v>
      </c>
      <c r="AB573" s="41">
        <f t="shared" si="221"/>
        <v>775000</v>
      </c>
      <c r="AC573" s="41">
        <f t="shared" si="213"/>
        <v>0</v>
      </c>
      <c r="AD573" s="70" t="s">
        <v>562</v>
      </c>
      <c r="AE573" s="70"/>
      <c r="AF573" s="1">
        <v>775000</v>
      </c>
      <c r="AG573" s="5">
        <f t="shared" ref="AG573:AG636" si="222">AF573+Z573-AB573</f>
        <v>0</v>
      </c>
      <c r="AH573" s="5"/>
    </row>
    <row r="574" spans="1:34" s="1" customFormat="1" x14ac:dyDescent="0.25">
      <c r="A574" s="49">
        <v>49</v>
      </c>
      <c r="B574" s="22" t="s">
        <v>1703</v>
      </c>
      <c r="C574" s="22" t="s">
        <v>79</v>
      </c>
      <c r="D574" s="51" t="s">
        <v>1001</v>
      </c>
      <c r="E574" s="24" t="s">
        <v>654</v>
      </c>
      <c r="F574" s="24"/>
      <c r="G574" s="24" t="s">
        <v>194</v>
      </c>
      <c r="H574" s="24" t="s">
        <v>62</v>
      </c>
      <c r="I574" s="24">
        <v>2015</v>
      </c>
      <c r="J574" s="24"/>
      <c r="K574" s="24" t="s">
        <v>63</v>
      </c>
      <c r="L574" s="24" t="s">
        <v>64</v>
      </c>
      <c r="M574" s="24">
        <v>1</v>
      </c>
      <c r="N574" s="41">
        <f t="shared" si="216"/>
        <v>775000</v>
      </c>
      <c r="O574" s="41">
        <v>775000</v>
      </c>
      <c r="P574" s="24"/>
      <c r="Q574" s="24"/>
      <c r="R574" s="24"/>
      <c r="S574" s="41">
        <f t="shared" si="212"/>
        <v>775000</v>
      </c>
      <c r="T574" s="24">
        <v>5</v>
      </c>
      <c r="U574" s="41">
        <f t="shared" si="220"/>
        <v>155000</v>
      </c>
      <c r="V574" s="24">
        <v>0.5</v>
      </c>
      <c r="W574" s="41"/>
      <c r="X574" s="24"/>
      <c r="Y574" s="41">
        <f t="shared" ref="Y574:Y575" si="223">SUM(U574*X574)</f>
        <v>0</v>
      </c>
      <c r="Z574" s="41"/>
      <c r="AA574" s="72">
        <v>5</v>
      </c>
      <c r="AB574" s="41">
        <f t="shared" si="221"/>
        <v>775000</v>
      </c>
      <c r="AC574" s="41">
        <f t="shared" si="213"/>
        <v>0</v>
      </c>
      <c r="AD574" s="70" t="s">
        <v>363</v>
      </c>
      <c r="AE574" s="70"/>
      <c r="AF574" s="1">
        <v>775000</v>
      </c>
      <c r="AG574" s="5">
        <f t="shared" si="222"/>
        <v>0</v>
      </c>
      <c r="AH574" s="5"/>
    </row>
    <row r="575" spans="1:34" s="1" customFormat="1" x14ac:dyDescent="0.25">
      <c r="A575" s="49">
        <v>50</v>
      </c>
      <c r="B575" s="22" t="s">
        <v>1703</v>
      </c>
      <c r="C575" s="22" t="s">
        <v>84</v>
      </c>
      <c r="D575" s="51" t="s">
        <v>1001</v>
      </c>
      <c r="E575" s="24" t="s">
        <v>654</v>
      </c>
      <c r="F575" s="24"/>
      <c r="G575" s="24" t="s">
        <v>194</v>
      </c>
      <c r="H575" s="24" t="s">
        <v>62</v>
      </c>
      <c r="I575" s="24">
        <v>2015</v>
      </c>
      <c r="J575" s="24"/>
      <c r="K575" s="24" t="s">
        <v>63</v>
      </c>
      <c r="L575" s="24" t="s">
        <v>64</v>
      </c>
      <c r="M575" s="24">
        <v>1</v>
      </c>
      <c r="N575" s="41">
        <f t="shared" si="216"/>
        <v>775000</v>
      </c>
      <c r="O575" s="41">
        <v>775000</v>
      </c>
      <c r="P575" s="24"/>
      <c r="Q575" s="24"/>
      <c r="R575" s="24"/>
      <c r="S575" s="41">
        <f t="shared" si="212"/>
        <v>775000</v>
      </c>
      <c r="T575" s="24">
        <v>5</v>
      </c>
      <c r="U575" s="41">
        <f t="shared" si="220"/>
        <v>155000</v>
      </c>
      <c r="V575" s="24">
        <v>0.5</v>
      </c>
      <c r="W575" s="41"/>
      <c r="X575" s="24"/>
      <c r="Y575" s="41">
        <f t="shared" si="223"/>
        <v>0</v>
      </c>
      <c r="Z575" s="41"/>
      <c r="AA575" s="72">
        <v>5</v>
      </c>
      <c r="AB575" s="41">
        <f t="shared" si="221"/>
        <v>775000</v>
      </c>
      <c r="AC575" s="41">
        <f t="shared" si="213"/>
        <v>0</v>
      </c>
      <c r="AD575" s="70" t="s">
        <v>1002</v>
      </c>
      <c r="AE575" s="70"/>
      <c r="AF575" s="1">
        <v>775000</v>
      </c>
      <c r="AG575" s="5">
        <f t="shared" si="222"/>
        <v>0</v>
      </c>
      <c r="AH575" s="5"/>
    </row>
    <row r="576" spans="1:34" s="1" customFormat="1" x14ac:dyDescent="0.25">
      <c r="A576" s="49">
        <v>51</v>
      </c>
      <c r="B576" s="22" t="s">
        <v>1703</v>
      </c>
      <c r="C576" s="22" t="s">
        <v>88</v>
      </c>
      <c r="D576" s="51" t="s">
        <v>1001</v>
      </c>
      <c r="E576" s="24" t="s">
        <v>654</v>
      </c>
      <c r="F576" s="24"/>
      <c r="G576" s="24" t="s">
        <v>194</v>
      </c>
      <c r="H576" s="24" t="s">
        <v>62</v>
      </c>
      <c r="I576" s="24">
        <v>2016</v>
      </c>
      <c r="J576" s="24"/>
      <c r="K576" s="24" t="s">
        <v>63</v>
      </c>
      <c r="L576" s="24" t="s">
        <v>64</v>
      </c>
      <c r="M576" s="24">
        <v>1</v>
      </c>
      <c r="N576" s="41">
        <f t="shared" si="216"/>
        <v>790000</v>
      </c>
      <c r="O576" s="41">
        <v>790000</v>
      </c>
      <c r="P576" s="24"/>
      <c r="Q576" s="24"/>
      <c r="R576" s="24"/>
      <c r="S576" s="41">
        <f t="shared" si="212"/>
        <v>790000</v>
      </c>
      <c r="T576" s="24">
        <v>5</v>
      </c>
      <c r="U576" s="41">
        <f t="shared" si="220"/>
        <v>158000</v>
      </c>
      <c r="V576" s="24"/>
      <c r="W576" s="41"/>
      <c r="X576" s="24"/>
      <c r="Y576" s="41">
        <f t="shared" si="218"/>
        <v>0</v>
      </c>
      <c r="Z576" s="41">
        <f t="shared" si="219"/>
        <v>0</v>
      </c>
      <c r="AA576" s="24">
        <v>5</v>
      </c>
      <c r="AB576" s="41">
        <f t="shared" si="221"/>
        <v>790000</v>
      </c>
      <c r="AC576" s="41">
        <f t="shared" si="213"/>
        <v>0</v>
      </c>
      <c r="AD576" s="70" t="s">
        <v>365</v>
      </c>
      <c r="AE576" s="70"/>
      <c r="AF576" s="1">
        <v>790000</v>
      </c>
      <c r="AG576" s="5">
        <f t="shared" si="222"/>
        <v>0</v>
      </c>
      <c r="AH576" s="5"/>
    </row>
    <row r="577" spans="1:34" s="1" customFormat="1" x14ac:dyDescent="0.25">
      <c r="A577" s="49">
        <v>52</v>
      </c>
      <c r="B577" s="22" t="s">
        <v>1703</v>
      </c>
      <c r="C577" s="22" t="s">
        <v>92</v>
      </c>
      <c r="D577" s="51" t="s">
        <v>1001</v>
      </c>
      <c r="E577" s="24" t="s">
        <v>654</v>
      </c>
      <c r="F577" s="24"/>
      <c r="G577" s="24" t="s">
        <v>194</v>
      </c>
      <c r="H577" s="24" t="s">
        <v>62</v>
      </c>
      <c r="I577" s="24">
        <v>2016</v>
      </c>
      <c r="J577" s="24"/>
      <c r="K577" s="24" t="s">
        <v>63</v>
      </c>
      <c r="L577" s="24" t="s">
        <v>64</v>
      </c>
      <c r="M577" s="24">
        <v>1</v>
      </c>
      <c r="N577" s="41">
        <f t="shared" si="216"/>
        <v>790000</v>
      </c>
      <c r="O577" s="41">
        <v>790000</v>
      </c>
      <c r="P577" s="24"/>
      <c r="Q577" s="24"/>
      <c r="R577" s="24"/>
      <c r="S577" s="41">
        <f t="shared" si="212"/>
        <v>790000</v>
      </c>
      <c r="T577" s="24">
        <v>5</v>
      </c>
      <c r="U577" s="41">
        <f t="shared" si="220"/>
        <v>158000</v>
      </c>
      <c r="V577" s="24"/>
      <c r="W577" s="41"/>
      <c r="X577" s="24"/>
      <c r="Y577" s="41">
        <f t="shared" si="218"/>
        <v>0</v>
      </c>
      <c r="Z577" s="41">
        <f t="shared" si="219"/>
        <v>0</v>
      </c>
      <c r="AA577" s="24">
        <v>5</v>
      </c>
      <c r="AB577" s="41">
        <f t="shared" si="221"/>
        <v>790000</v>
      </c>
      <c r="AC577" s="41">
        <f t="shared" si="213"/>
        <v>0</v>
      </c>
      <c r="AD577" s="70" t="s">
        <v>562</v>
      </c>
      <c r="AE577" s="70"/>
      <c r="AF577" s="1">
        <v>790000</v>
      </c>
      <c r="AG577" s="5">
        <f t="shared" si="222"/>
        <v>0</v>
      </c>
      <c r="AH577" s="5"/>
    </row>
    <row r="578" spans="1:34" s="1" customFormat="1" x14ac:dyDescent="0.25">
      <c r="A578" s="49">
        <v>53</v>
      </c>
      <c r="B578" s="22" t="s">
        <v>1703</v>
      </c>
      <c r="C578" s="22" t="s">
        <v>96</v>
      </c>
      <c r="D578" s="51" t="s">
        <v>1001</v>
      </c>
      <c r="E578" s="24" t="s">
        <v>654</v>
      </c>
      <c r="F578" s="24"/>
      <c r="G578" s="24" t="s">
        <v>194</v>
      </c>
      <c r="H578" s="24" t="s">
        <v>62</v>
      </c>
      <c r="I578" s="24">
        <v>2016</v>
      </c>
      <c r="J578" s="24"/>
      <c r="K578" s="24" t="s">
        <v>63</v>
      </c>
      <c r="L578" s="24" t="s">
        <v>64</v>
      </c>
      <c r="M578" s="24">
        <v>1</v>
      </c>
      <c r="N578" s="41">
        <f t="shared" si="216"/>
        <v>790000</v>
      </c>
      <c r="O578" s="41">
        <v>790000</v>
      </c>
      <c r="P578" s="24"/>
      <c r="Q578" s="24"/>
      <c r="R578" s="24"/>
      <c r="S578" s="41">
        <f t="shared" si="212"/>
        <v>790000</v>
      </c>
      <c r="T578" s="24">
        <v>5</v>
      </c>
      <c r="U578" s="41">
        <f t="shared" si="220"/>
        <v>158000</v>
      </c>
      <c r="V578" s="24"/>
      <c r="W578" s="41"/>
      <c r="X578" s="24"/>
      <c r="Y578" s="41">
        <f t="shared" si="218"/>
        <v>0</v>
      </c>
      <c r="Z578" s="41">
        <f t="shared" si="219"/>
        <v>0</v>
      </c>
      <c r="AA578" s="24">
        <v>5</v>
      </c>
      <c r="AB578" s="41">
        <f t="shared" si="221"/>
        <v>790000</v>
      </c>
      <c r="AC578" s="41">
        <f t="shared" si="213"/>
        <v>0</v>
      </c>
      <c r="AD578" s="70" t="s">
        <v>557</v>
      </c>
      <c r="AE578" s="70"/>
      <c r="AF578" s="1">
        <v>790000</v>
      </c>
      <c r="AG578" s="5">
        <f t="shared" si="222"/>
        <v>0</v>
      </c>
      <c r="AH578" s="5"/>
    </row>
    <row r="579" spans="1:34" s="1" customFormat="1" x14ac:dyDescent="0.25">
      <c r="A579" s="49">
        <v>54</v>
      </c>
      <c r="B579" s="22" t="s">
        <v>1703</v>
      </c>
      <c r="C579" s="22" t="s">
        <v>100</v>
      </c>
      <c r="D579" s="51" t="s">
        <v>1001</v>
      </c>
      <c r="E579" s="24" t="s">
        <v>654</v>
      </c>
      <c r="F579" s="24"/>
      <c r="G579" s="24" t="s">
        <v>194</v>
      </c>
      <c r="H579" s="24" t="s">
        <v>62</v>
      </c>
      <c r="I579" s="24">
        <v>2016</v>
      </c>
      <c r="J579" s="24"/>
      <c r="K579" s="24" t="s">
        <v>63</v>
      </c>
      <c r="L579" s="24" t="s">
        <v>64</v>
      </c>
      <c r="M579" s="24">
        <v>1</v>
      </c>
      <c r="N579" s="41">
        <f t="shared" si="216"/>
        <v>790000</v>
      </c>
      <c r="O579" s="41">
        <v>790000</v>
      </c>
      <c r="P579" s="24"/>
      <c r="Q579" s="24"/>
      <c r="R579" s="24"/>
      <c r="S579" s="41">
        <f t="shared" si="212"/>
        <v>790000</v>
      </c>
      <c r="T579" s="24">
        <v>5</v>
      </c>
      <c r="U579" s="41">
        <f t="shared" si="220"/>
        <v>158000</v>
      </c>
      <c r="V579" s="24"/>
      <c r="W579" s="41"/>
      <c r="X579" s="24"/>
      <c r="Y579" s="41">
        <f t="shared" si="218"/>
        <v>0</v>
      </c>
      <c r="Z579" s="41">
        <f t="shared" si="219"/>
        <v>0</v>
      </c>
      <c r="AA579" s="24">
        <v>5</v>
      </c>
      <c r="AB579" s="41">
        <f t="shared" si="221"/>
        <v>790000</v>
      </c>
      <c r="AC579" s="41">
        <f t="shared" si="213"/>
        <v>0</v>
      </c>
      <c r="AD579" s="70" t="s">
        <v>373</v>
      </c>
      <c r="AE579" s="70"/>
      <c r="AF579" s="1">
        <v>790000</v>
      </c>
      <c r="AG579" s="5">
        <f t="shared" si="222"/>
        <v>0</v>
      </c>
      <c r="AH579" s="5"/>
    </row>
    <row r="580" spans="1:34" s="1" customFormat="1" x14ac:dyDescent="0.25">
      <c r="A580" s="49">
        <v>55</v>
      </c>
      <c r="B580" s="22" t="s">
        <v>1703</v>
      </c>
      <c r="C580" s="22" t="s">
        <v>1003</v>
      </c>
      <c r="D580" s="51" t="s">
        <v>1001</v>
      </c>
      <c r="E580" s="24" t="s">
        <v>1004</v>
      </c>
      <c r="F580" s="24"/>
      <c r="G580" s="24" t="s">
        <v>194</v>
      </c>
      <c r="H580" s="24" t="s">
        <v>62</v>
      </c>
      <c r="I580" s="24">
        <v>2018</v>
      </c>
      <c r="J580" s="24"/>
      <c r="K580" s="24" t="s">
        <v>63</v>
      </c>
      <c r="L580" s="24" t="s">
        <v>64</v>
      </c>
      <c r="M580" s="24">
        <v>5</v>
      </c>
      <c r="N580" s="41">
        <f t="shared" si="216"/>
        <v>7491000</v>
      </c>
      <c r="O580" s="41">
        <v>37455000</v>
      </c>
      <c r="P580" s="24"/>
      <c r="Q580" s="24"/>
      <c r="R580" s="24"/>
      <c r="S580" s="41">
        <f t="shared" si="212"/>
        <v>37455000</v>
      </c>
      <c r="T580" s="24">
        <v>5</v>
      </c>
      <c r="U580" s="41">
        <f t="shared" si="220"/>
        <v>7491000</v>
      </c>
      <c r="V580" s="24">
        <v>0.5</v>
      </c>
      <c r="W580" s="41">
        <f t="shared" si="217"/>
        <v>3745500</v>
      </c>
      <c r="X580" s="24"/>
      <c r="Y580" s="41">
        <f t="shared" si="218"/>
        <v>0</v>
      </c>
      <c r="Z580" s="41">
        <f t="shared" si="219"/>
        <v>3745500</v>
      </c>
      <c r="AA580" s="24">
        <f>2023-I580+V580+X580-9/12</f>
        <v>4.75</v>
      </c>
      <c r="AB580" s="41">
        <f t="shared" si="221"/>
        <v>35582250</v>
      </c>
      <c r="AC580" s="41">
        <f t="shared" si="213"/>
        <v>1872750</v>
      </c>
      <c r="AD580" s="70"/>
      <c r="AE580" s="70"/>
      <c r="AF580" s="1">
        <v>31836750</v>
      </c>
      <c r="AG580" s="5">
        <f t="shared" si="222"/>
        <v>0</v>
      </c>
      <c r="AH580" s="5"/>
    </row>
    <row r="581" spans="1:34" s="1" customFormat="1" x14ac:dyDescent="0.25">
      <c r="A581" s="49">
        <v>56</v>
      </c>
      <c r="B581" s="22" t="s">
        <v>1704</v>
      </c>
      <c r="C581" s="22" t="s">
        <v>75</v>
      </c>
      <c r="D581" s="51" t="s">
        <v>944</v>
      </c>
      <c r="E581" s="24" t="s">
        <v>945</v>
      </c>
      <c r="F581" s="24"/>
      <c r="G581" s="24" t="s">
        <v>194</v>
      </c>
      <c r="H581" s="24" t="s">
        <v>62</v>
      </c>
      <c r="I581" s="24">
        <v>2008</v>
      </c>
      <c r="J581" s="24"/>
      <c r="K581" s="24" t="s">
        <v>63</v>
      </c>
      <c r="L581" s="24" t="s">
        <v>64</v>
      </c>
      <c r="M581" s="24">
        <v>1</v>
      </c>
      <c r="N581" s="41">
        <f t="shared" ref="N581:N588" si="224">SUM(O581/M581)</f>
        <v>47600000</v>
      </c>
      <c r="O581" s="41">
        <v>47600000</v>
      </c>
      <c r="P581" s="24"/>
      <c r="Q581" s="24"/>
      <c r="R581" s="24"/>
      <c r="S581" s="41">
        <f t="shared" si="212"/>
        <v>47600000</v>
      </c>
      <c r="T581" s="24">
        <v>5</v>
      </c>
      <c r="U581" s="41"/>
      <c r="V581" s="24">
        <v>0.5</v>
      </c>
      <c r="W581" s="41">
        <f t="shared" si="217"/>
        <v>0</v>
      </c>
      <c r="X581" s="24"/>
      <c r="Y581" s="41">
        <f t="shared" si="218"/>
        <v>0</v>
      </c>
      <c r="Z581" s="41">
        <f t="shared" si="219"/>
        <v>0</v>
      </c>
      <c r="AA581" s="24">
        <v>5</v>
      </c>
      <c r="AB581" s="41">
        <v>47600000</v>
      </c>
      <c r="AC581" s="41">
        <f t="shared" si="213"/>
        <v>0</v>
      </c>
      <c r="AD581" s="70" t="s">
        <v>295</v>
      </c>
      <c r="AE581" s="70"/>
      <c r="AF581" s="1">
        <v>47600000</v>
      </c>
      <c r="AG581" s="5">
        <f t="shared" si="222"/>
        <v>0</v>
      </c>
      <c r="AH581" s="5"/>
    </row>
    <row r="582" spans="1:34" s="1" customFormat="1" x14ac:dyDescent="0.25">
      <c r="A582" s="49">
        <v>57</v>
      </c>
      <c r="B582" s="22" t="s">
        <v>1704</v>
      </c>
      <c r="C582" s="22" t="s">
        <v>79</v>
      </c>
      <c r="D582" s="51" t="s">
        <v>944</v>
      </c>
      <c r="E582" s="24" t="s">
        <v>945</v>
      </c>
      <c r="F582" s="24"/>
      <c r="G582" s="24" t="s">
        <v>194</v>
      </c>
      <c r="H582" s="24" t="s">
        <v>62</v>
      </c>
      <c r="I582" s="24">
        <v>2009</v>
      </c>
      <c r="J582" s="24"/>
      <c r="K582" s="24" t="s">
        <v>63</v>
      </c>
      <c r="L582" s="24" t="s">
        <v>64</v>
      </c>
      <c r="M582" s="24">
        <v>1</v>
      </c>
      <c r="N582" s="41">
        <f t="shared" si="224"/>
        <v>5450000</v>
      </c>
      <c r="O582" s="41">
        <v>5450000</v>
      </c>
      <c r="P582" s="24"/>
      <c r="Q582" s="24"/>
      <c r="R582" s="24"/>
      <c r="S582" s="41">
        <f t="shared" si="212"/>
        <v>5450000</v>
      </c>
      <c r="T582" s="24">
        <v>5</v>
      </c>
      <c r="U582" s="41"/>
      <c r="V582" s="24">
        <v>0.5</v>
      </c>
      <c r="W582" s="41">
        <f t="shared" si="217"/>
        <v>0</v>
      </c>
      <c r="X582" s="24"/>
      <c r="Y582" s="41">
        <f t="shared" si="218"/>
        <v>0</v>
      </c>
      <c r="Z582" s="41">
        <f t="shared" si="219"/>
        <v>0</v>
      </c>
      <c r="AA582" s="24">
        <v>5</v>
      </c>
      <c r="AB582" s="41">
        <v>5450000</v>
      </c>
      <c r="AC582" s="41">
        <f t="shared" si="213"/>
        <v>0</v>
      </c>
      <c r="AD582" s="70" t="s">
        <v>250</v>
      </c>
      <c r="AE582" s="70"/>
      <c r="AF582" s="1">
        <v>5450000</v>
      </c>
      <c r="AG582" s="5">
        <f t="shared" si="222"/>
        <v>0</v>
      </c>
      <c r="AH582" s="5"/>
    </row>
    <row r="583" spans="1:34" s="1" customFormat="1" x14ac:dyDescent="0.25">
      <c r="A583" s="49">
        <v>58</v>
      </c>
      <c r="B583" s="22" t="s">
        <v>1704</v>
      </c>
      <c r="C583" s="22" t="s">
        <v>84</v>
      </c>
      <c r="D583" s="51" t="s">
        <v>944</v>
      </c>
      <c r="E583" s="24" t="s">
        <v>945</v>
      </c>
      <c r="F583" s="24"/>
      <c r="G583" s="24" t="s">
        <v>194</v>
      </c>
      <c r="H583" s="24" t="s">
        <v>62</v>
      </c>
      <c r="I583" s="24">
        <v>2009</v>
      </c>
      <c r="J583" s="24"/>
      <c r="K583" s="24" t="s">
        <v>63</v>
      </c>
      <c r="L583" s="24" t="s">
        <v>64</v>
      </c>
      <c r="M583" s="24">
        <v>1</v>
      </c>
      <c r="N583" s="41">
        <f t="shared" si="224"/>
        <v>5450000</v>
      </c>
      <c r="O583" s="41">
        <v>5450000</v>
      </c>
      <c r="P583" s="24"/>
      <c r="Q583" s="24"/>
      <c r="R583" s="24"/>
      <c r="S583" s="41">
        <f t="shared" si="212"/>
        <v>5450000</v>
      </c>
      <c r="T583" s="24">
        <v>5</v>
      </c>
      <c r="U583" s="41"/>
      <c r="V583" s="24">
        <v>0.5</v>
      </c>
      <c r="W583" s="41">
        <f t="shared" si="217"/>
        <v>0</v>
      </c>
      <c r="X583" s="24"/>
      <c r="Y583" s="41">
        <f t="shared" si="218"/>
        <v>0</v>
      </c>
      <c r="Z583" s="41">
        <f t="shared" si="219"/>
        <v>0</v>
      </c>
      <c r="AA583" s="24">
        <v>5</v>
      </c>
      <c r="AB583" s="41">
        <v>5450000</v>
      </c>
      <c r="AC583" s="41">
        <f t="shared" si="213"/>
        <v>0</v>
      </c>
      <c r="AD583" s="70" t="s">
        <v>297</v>
      </c>
      <c r="AE583" s="70"/>
      <c r="AF583" s="1">
        <v>5450000</v>
      </c>
      <c r="AG583" s="5">
        <f t="shared" si="222"/>
        <v>0</v>
      </c>
      <c r="AH583" s="5"/>
    </row>
    <row r="584" spans="1:34" s="1" customFormat="1" x14ac:dyDescent="0.25">
      <c r="A584" s="49">
        <v>59</v>
      </c>
      <c r="B584" s="22" t="s">
        <v>1704</v>
      </c>
      <c r="C584" s="22" t="s">
        <v>88</v>
      </c>
      <c r="D584" s="51" t="s">
        <v>944</v>
      </c>
      <c r="E584" s="24" t="s">
        <v>945</v>
      </c>
      <c r="F584" s="24"/>
      <c r="G584" s="24" t="s">
        <v>194</v>
      </c>
      <c r="H584" s="24" t="s">
        <v>62</v>
      </c>
      <c r="I584" s="24">
        <v>2009</v>
      </c>
      <c r="J584" s="24"/>
      <c r="K584" s="24" t="s">
        <v>63</v>
      </c>
      <c r="L584" s="24" t="s">
        <v>64</v>
      </c>
      <c r="M584" s="24">
        <v>1</v>
      </c>
      <c r="N584" s="41">
        <f t="shared" si="224"/>
        <v>5450000</v>
      </c>
      <c r="O584" s="41">
        <v>5450000</v>
      </c>
      <c r="P584" s="24"/>
      <c r="Q584" s="24"/>
      <c r="R584" s="24"/>
      <c r="S584" s="41">
        <f t="shared" si="212"/>
        <v>5450000</v>
      </c>
      <c r="T584" s="24">
        <v>5</v>
      </c>
      <c r="U584" s="41"/>
      <c r="V584" s="24">
        <v>0.5</v>
      </c>
      <c r="W584" s="41">
        <f t="shared" si="217"/>
        <v>0</v>
      </c>
      <c r="X584" s="24"/>
      <c r="Y584" s="41">
        <f t="shared" si="218"/>
        <v>0</v>
      </c>
      <c r="Z584" s="41">
        <f t="shared" si="219"/>
        <v>0</v>
      </c>
      <c r="AA584" s="24">
        <v>5</v>
      </c>
      <c r="AB584" s="41">
        <v>5450000</v>
      </c>
      <c r="AC584" s="41">
        <f t="shared" si="213"/>
        <v>0</v>
      </c>
      <c r="AD584" s="70" t="s">
        <v>287</v>
      </c>
      <c r="AE584" s="70"/>
      <c r="AF584" s="1">
        <v>5450000</v>
      </c>
      <c r="AG584" s="5">
        <f t="shared" si="222"/>
        <v>0</v>
      </c>
      <c r="AH584" s="5"/>
    </row>
    <row r="585" spans="1:34" s="1" customFormat="1" x14ac:dyDescent="0.25">
      <c r="A585" s="49">
        <v>60</v>
      </c>
      <c r="B585" s="22" t="s">
        <v>1704</v>
      </c>
      <c r="C585" s="22" t="s">
        <v>92</v>
      </c>
      <c r="D585" s="51" t="s">
        <v>944</v>
      </c>
      <c r="E585" s="24" t="s">
        <v>945</v>
      </c>
      <c r="F585" s="24"/>
      <c r="G585" s="24" t="s">
        <v>194</v>
      </c>
      <c r="H585" s="24" t="s">
        <v>62</v>
      </c>
      <c r="I585" s="24">
        <v>2009</v>
      </c>
      <c r="J585" s="24"/>
      <c r="K585" s="24" t="s">
        <v>63</v>
      </c>
      <c r="L585" s="24" t="s">
        <v>64</v>
      </c>
      <c r="M585" s="24">
        <v>1</v>
      </c>
      <c r="N585" s="41">
        <f t="shared" si="224"/>
        <v>5450000</v>
      </c>
      <c r="O585" s="41">
        <v>5450000</v>
      </c>
      <c r="P585" s="24"/>
      <c r="Q585" s="24"/>
      <c r="R585" s="24"/>
      <c r="S585" s="41">
        <f t="shared" si="212"/>
        <v>5450000</v>
      </c>
      <c r="T585" s="24">
        <v>5</v>
      </c>
      <c r="U585" s="41"/>
      <c r="V585" s="24">
        <v>0.5</v>
      </c>
      <c r="W585" s="41">
        <f t="shared" si="217"/>
        <v>0</v>
      </c>
      <c r="X585" s="24"/>
      <c r="Y585" s="41">
        <f t="shared" si="218"/>
        <v>0</v>
      </c>
      <c r="Z585" s="41">
        <f t="shared" si="219"/>
        <v>0</v>
      </c>
      <c r="AA585" s="24">
        <v>5</v>
      </c>
      <c r="AB585" s="41">
        <v>5450000</v>
      </c>
      <c r="AC585" s="41">
        <f t="shared" si="213"/>
        <v>0</v>
      </c>
      <c r="AD585" s="70" t="s">
        <v>303</v>
      </c>
      <c r="AE585" s="70"/>
      <c r="AF585" s="1">
        <v>5450000</v>
      </c>
      <c r="AG585" s="5">
        <f t="shared" si="222"/>
        <v>0</v>
      </c>
      <c r="AH585" s="5"/>
    </row>
    <row r="586" spans="1:34" s="1" customFormat="1" x14ac:dyDescent="0.25">
      <c r="A586" s="49">
        <v>61</v>
      </c>
      <c r="B586" s="22" t="s">
        <v>1704</v>
      </c>
      <c r="C586" s="22" t="s">
        <v>96</v>
      </c>
      <c r="D586" s="51" t="s">
        <v>944</v>
      </c>
      <c r="E586" s="24" t="s">
        <v>945</v>
      </c>
      <c r="F586" s="24"/>
      <c r="G586" s="24" t="s">
        <v>194</v>
      </c>
      <c r="H586" s="24" t="s">
        <v>62</v>
      </c>
      <c r="I586" s="24">
        <v>2009</v>
      </c>
      <c r="J586" s="24"/>
      <c r="K586" s="24" t="s">
        <v>63</v>
      </c>
      <c r="L586" s="24" t="s">
        <v>64</v>
      </c>
      <c r="M586" s="24">
        <v>1</v>
      </c>
      <c r="N586" s="41">
        <f t="shared" si="224"/>
        <v>5450000</v>
      </c>
      <c r="O586" s="41">
        <v>5450000</v>
      </c>
      <c r="P586" s="24"/>
      <c r="Q586" s="24"/>
      <c r="R586" s="24"/>
      <c r="S586" s="41">
        <f t="shared" si="212"/>
        <v>5450000</v>
      </c>
      <c r="T586" s="24">
        <v>5</v>
      </c>
      <c r="U586" s="41"/>
      <c r="V586" s="24">
        <v>0.5</v>
      </c>
      <c r="W586" s="41">
        <f t="shared" si="217"/>
        <v>0</v>
      </c>
      <c r="X586" s="24"/>
      <c r="Y586" s="41">
        <f t="shared" si="218"/>
        <v>0</v>
      </c>
      <c r="Z586" s="41">
        <f t="shared" si="219"/>
        <v>0</v>
      </c>
      <c r="AA586" s="24">
        <v>5</v>
      </c>
      <c r="AB586" s="41">
        <v>5450000</v>
      </c>
      <c r="AC586" s="41">
        <f t="shared" si="213"/>
        <v>0</v>
      </c>
      <c r="AD586" s="70" t="s">
        <v>305</v>
      </c>
      <c r="AE586" s="70"/>
      <c r="AF586" s="1">
        <v>5450000</v>
      </c>
      <c r="AG586" s="5">
        <f t="shared" si="222"/>
        <v>0</v>
      </c>
      <c r="AH586" s="5"/>
    </row>
    <row r="587" spans="1:34" s="1" customFormat="1" x14ac:dyDescent="0.25">
      <c r="A587" s="49">
        <v>62</v>
      </c>
      <c r="B587" s="22" t="s">
        <v>1704</v>
      </c>
      <c r="C587" s="22" t="s">
        <v>100</v>
      </c>
      <c r="D587" s="51" t="s">
        <v>944</v>
      </c>
      <c r="E587" s="24" t="s">
        <v>945</v>
      </c>
      <c r="F587" s="24"/>
      <c r="G587" s="24" t="s">
        <v>194</v>
      </c>
      <c r="H587" s="24" t="s">
        <v>62</v>
      </c>
      <c r="I587" s="24">
        <v>2009</v>
      </c>
      <c r="J587" s="24"/>
      <c r="K587" s="24" t="s">
        <v>63</v>
      </c>
      <c r="L587" s="24" t="s">
        <v>64</v>
      </c>
      <c r="M587" s="24">
        <v>1</v>
      </c>
      <c r="N587" s="41">
        <f t="shared" si="224"/>
        <v>5450000</v>
      </c>
      <c r="O587" s="41">
        <v>5450000</v>
      </c>
      <c r="P587" s="24"/>
      <c r="Q587" s="24"/>
      <c r="R587" s="24"/>
      <c r="S587" s="41">
        <f t="shared" si="212"/>
        <v>5450000</v>
      </c>
      <c r="T587" s="24">
        <v>5</v>
      </c>
      <c r="U587" s="41"/>
      <c r="V587" s="24">
        <v>0.5</v>
      </c>
      <c r="W587" s="41">
        <f t="shared" si="217"/>
        <v>0</v>
      </c>
      <c r="X587" s="24"/>
      <c r="Y587" s="41">
        <f t="shared" si="218"/>
        <v>0</v>
      </c>
      <c r="Z587" s="41">
        <f t="shared" si="219"/>
        <v>0</v>
      </c>
      <c r="AA587" s="24">
        <v>5</v>
      </c>
      <c r="AB587" s="41">
        <v>5450000</v>
      </c>
      <c r="AC587" s="41">
        <f t="shared" si="213"/>
        <v>0</v>
      </c>
      <c r="AD587" s="70" t="s">
        <v>473</v>
      </c>
      <c r="AE587" s="70"/>
      <c r="AF587" s="1">
        <v>5450000</v>
      </c>
      <c r="AG587" s="5">
        <f t="shared" si="222"/>
        <v>0</v>
      </c>
      <c r="AH587" s="5"/>
    </row>
    <row r="588" spans="1:34" s="1" customFormat="1" x14ac:dyDescent="0.25">
      <c r="A588" s="49">
        <v>63</v>
      </c>
      <c r="B588" s="22" t="s">
        <v>1704</v>
      </c>
      <c r="C588" s="22" t="s">
        <v>105</v>
      </c>
      <c r="D588" s="51" t="s">
        <v>944</v>
      </c>
      <c r="E588" s="24" t="s">
        <v>945</v>
      </c>
      <c r="F588" s="24"/>
      <c r="G588" s="24" t="s">
        <v>194</v>
      </c>
      <c r="H588" s="24" t="s">
        <v>62</v>
      </c>
      <c r="I588" s="24">
        <v>2009</v>
      </c>
      <c r="J588" s="24"/>
      <c r="K588" s="24" t="s">
        <v>63</v>
      </c>
      <c r="L588" s="24" t="s">
        <v>64</v>
      </c>
      <c r="M588" s="24">
        <v>1</v>
      </c>
      <c r="N588" s="41">
        <f t="shared" si="224"/>
        <v>5450000</v>
      </c>
      <c r="O588" s="41">
        <v>5450000</v>
      </c>
      <c r="P588" s="24"/>
      <c r="Q588" s="24"/>
      <c r="R588" s="24"/>
      <c r="S588" s="41">
        <f t="shared" si="212"/>
        <v>5450000</v>
      </c>
      <c r="T588" s="24">
        <v>5</v>
      </c>
      <c r="U588" s="41"/>
      <c r="V588" s="24">
        <v>0.5</v>
      </c>
      <c r="W588" s="41">
        <f t="shared" si="217"/>
        <v>0</v>
      </c>
      <c r="X588" s="24"/>
      <c r="Y588" s="41">
        <f t="shared" si="218"/>
        <v>0</v>
      </c>
      <c r="Z588" s="41">
        <f t="shared" si="219"/>
        <v>0</v>
      </c>
      <c r="AA588" s="24">
        <v>5</v>
      </c>
      <c r="AB588" s="41">
        <v>5450000</v>
      </c>
      <c r="AC588" s="41">
        <f t="shared" si="213"/>
        <v>0</v>
      </c>
      <c r="AD588" s="70" t="s">
        <v>477</v>
      </c>
      <c r="AE588" s="70"/>
      <c r="AF588" s="1">
        <v>5450000</v>
      </c>
      <c r="AG588" s="5">
        <f t="shared" si="222"/>
        <v>0</v>
      </c>
      <c r="AH588" s="5"/>
    </row>
    <row r="589" spans="1:34" s="1" customFormat="1" x14ac:dyDescent="0.25">
      <c r="A589" s="49">
        <v>64</v>
      </c>
      <c r="B589" s="22" t="s">
        <v>1704</v>
      </c>
      <c r="C589" s="22" t="s">
        <v>108</v>
      </c>
      <c r="D589" s="51" t="s">
        <v>944</v>
      </c>
      <c r="E589" s="24" t="s">
        <v>945</v>
      </c>
      <c r="F589" s="24"/>
      <c r="G589" s="24" t="s">
        <v>194</v>
      </c>
      <c r="H589" s="24" t="s">
        <v>62</v>
      </c>
      <c r="I589" s="24">
        <v>2011</v>
      </c>
      <c r="J589" s="24"/>
      <c r="K589" s="24" t="s">
        <v>63</v>
      </c>
      <c r="L589" s="24" t="s">
        <v>64</v>
      </c>
      <c r="M589" s="24">
        <v>1</v>
      </c>
      <c r="N589" s="41">
        <f t="shared" ref="N589:N600" si="225">SUM(O589/M589)</f>
        <v>6000000</v>
      </c>
      <c r="O589" s="41">
        <v>6000000</v>
      </c>
      <c r="P589" s="24"/>
      <c r="Q589" s="24"/>
      <c r="R589" s="24"/>
      <c r="S589" s="41">
        <f t="shared" si="212"/>
        <v>6000000</v>
      </c>
      <c r="T589" s="24">
        <v>5</v>
      </c>
      <c r="U589" s="41"/>
      <c r="V589" s="24">
        <v>0.5</v>
      </c>
      <c r="W589" s="41">
        <f t="shared" si="217"/>
        <v>0</v>
      </c>
      <c r="X589" s="24"/>
      <c r="Y589" s="41">
        <f t="shared" si="218"/>
        <v>0</v>
      </c>
      <c r="Z589" s="41">
        <f t="shared" si="219"/>
        <v>0</v>
      </c>
      <c r="AA589" s="24">
        <v>5</v>
      </c>
      <c r="AB589" s="41">
        <v>6000000</v>
      </c>
      <c r="AC589" s="41">
        <f t="shared" si="213"/>
        <v>0</v>
      </c>
      <c r="AD589" s="70" t="s">
        <v>250</v>
      </c>
      <c r="AE589" s="70"/>
      <c r="AF589" s="1">
        <v>6000000</v>
      </c>
      <c r="AG589" s="5">
        <f t="shared" si="222"/>
        <v>0</v>
      </c>
      <c r="AH589" s="5"/>
    </row>
    <row r="590" spans="1:34" s="1" customFormat="1" x14ac:dyDescent="0.25">
      <c r="A590" s="49">
        <v>65</v>
      </c>
      <c r="B590" s="22" t="s">
        <v>1704</v>
      </c>
      <c r="C590" s="22" t="s">
        <v>135</v>
      </c>
      <c r="D590" s="51" t="s">
        <v>944</v>
      </c>
      <c r="E590" s="24" t="s">
        <v>946</v>
      </c>
      <c r="F590" s="24"/>
      <c r="G590" s="24" t="s">
        <v>194</v>
      </c>
      <c r="H590" s="24" t="s">
        <v>62</v>
      </c>
      <c r="I590" s="24">
        <v>2015</v>
      </c>
      <c r="J590" s="24"/>
      <c r="K590" s="24" t="s">
        <v>63</v>
      </c>
      <c r="L590" s="24" t="s">
        <v>64</v>
      </c>
      <c r="M590" s="24">
        <v>1</v>
      </c>
      <c r="N590" s="41">
        <f t="shared" si="225"/>
        <v>73216000</v>
      </c>
      <c r="O590" s="41">
        <v>73216000</v>
      </c>
      <c r="P590" s="24"/>
      <c r="Q590" s="24"/>
      <c r="R590" s="24"/>
      <c r="S590" s="41">
        <f t="shared" ref="S590:S621" si="226">SUM(O590-R590)</f>
        <v>73216000</v>
      </c>
      <c r="T590" s="24">
        <v>5</v>
      </c>
      <c r="U590" s="41">
        <f>SUM(S590/T590)</f>
        <v>14643200</v>
      </c>
      <c r="V590" s="24">
        <v>0.5</v>
      </c>
      <c r="W590" s="41"/>
      <c r="X590" s="24"/>
      <c r="Y590" s="41">
        <f>SUM(U590*X590)</f>
        <v>0</v>
      </c>
      <c r="Z590" s="41"/>
      <c r="AA590" s="72">
        <v>5</v>
      </c>
      <c r="AB590" s="41">
        <f>SUM(U590*AA590)</f>
        <v>73216000</v>
      </c>
      <c r="AC590" s="41">
        <f t="shared" ref="AC590:AC621" si="227">SUM(O590-AB590)</f>
        <v>0</v>
      </c>
      <c r="AD590" s="70" t="s">
        <v>199</v>
      </c>
      <c r="AE590" s="70"/>
      <c r="AF590" s="1">
        <v>73216000</v>
      </c>
      <c r="AG590" s="5">
        <f t="shared" si="222"/>
        <v>0</v>
      </c>
      <c r="AH590" s="5"/>
    </row>
    <row r="591" spans="1:34" s="1" customFormat="1" x14ac:dyDescent="0.25">
      <c r="A591" s="49">
        <v>66</v>
      </c>
      <c r="B591" s="22" t="s">
        <v>1705</v>
      </c>
      <c r="C591" s="22" t="s">
        <v>209</v>
      </c>
      <c r="D591" s="51" t="s">
        <v>855</v>
      </c>
      <c r="E591" s="24" t="s">
        <v>856</v>
      </c>
      <c r="F591" s="24"/>
      <c r="G591" s="24" t="s">
        <v>194</v>
      </c>
      <c r="H591" s="24" t="s">
        <v>62</v>
      </c>
      <c r="I591" s="24">
        <v>2012</v>
      </c>
      <c r="J591" s="24"/>
      <c r="K591" s="24" t="s">
        <v>63</v>
      </c>
      <c r="L591" s="24" t="s">
        <v>64</v>
      </c>
      <c r="M591" s="24">
        <v>2</v>
      </c>
      <c r="N591" s="41">
        <f t="shared" si="225"/>
        <v>1875000</v>
      </c>
      <c r="O591" s="41">
        <v>3750000</v>
      </c>
      <c r="P591" s="24"/>
      <c r="Q591" s="24"/>
      <c r="R591" s="24"/>
      <c r="S591" s="41">
        <f t="shared" si="226"/>
        <v>3750000</v>
      </c>
      <c r="T591" s="24">
        <v>5</v>
      </c>
      <c r="U591" s="41"/>
      <c r="V591" s="24">
        <v>0.5</v>
      </c>
      <c r="W591" s="41">
        <f t="shared" ref="W591:W599" si="228">SUM(U591*V591)</f>
        <v>0</v>
      </c>
      <c r="X591" s="24"/>
      <c r="Y591" s="41">
        <f t="shared" ref="Y591:Y601" si="229">SUM(U591*X591)</f>
        <v>0</v>
      </c>
      <c r="Z591" s="41">
        <f t="shared" ref="Z591:Z599" si="230">SUM(W591+Y591)</f>
        <v>0</v>
      </c>
      <c r="AA591" s="24">
        <v>5</v>
      </c>
      <c r="AB591" s="41">
        <v>3750000</v>
      </c>
      <c r="AC591" s="41">
        <f t="shared" si="227"/>
        <v>0</v>
      </c>
      <c r="AD591" s="70" t="s">
        <v>288</v>
      </c>
      <c r="AE591" s="70"/>
      <c r="AF591" s="1">
        <v>3750000</v>
      </c>
      <c r="AG591" s="5">
        <f t="shared" si="222"/>
        <v>0</v>
      </c>
      <c r="AH591" s="5"/>
    </row>
    <row r="592" spans="1:34" s="1" customFormat="1" x14ac:dyDescent="0.25">
      <c r="A592" s="49">
        <v>67</v>
      </c>
      <c r="B592" s="22" t="s">
        <v>1705</v>
      </c>
      <c r="C592" s="22" t="s">
        <v>79</v>
      </c>
      <c r="D592" s="51" t="s">
        <v>855</v>
      </c>
      <c r="E592" s="24" t="s">
        <v>857</v>
      </c>
      <c r="F592" s="24"/>
      <c r="G592" s="24" t="s">
        <v>194</v>
      </c>
      <c r="H592" s="24" t="s">
        <v>62</v>
      </c>
      <c r="I592" s="24">
        <v>2012</v>
      </c>
      <c r="J592" s="24"/>
      <c r="K592" s="24" t="s">
        <v>63</v>
      </c>
      <c r="L592" s="24" t="s">
        <v>64</v>
      </c>
      <c r="M592" s="24">
        <v>1</v>
      </c>
      <c r="N592" s="41">
        <f t="shared" si="225"/>
        <v>1495000</v>
      </c>
      <c r="O592" s="41">
        <v>1495000</v>
      </c>
      <c r="P592" s="24"/>
      <c r="Q592" s="24"/>
      <c r="R592" s="24"/>
      <c r="S592" s="41">
        <f t="shared" si="226"/>
        <v>1495000</v>
      </c>
      <c r="T592" s="24">
        <v>5</v>
      </c>
      <c r="U592" s="41"/>
      <c r="V592" s="24">
        <v>0.5</v>
      </c>
      <c r="W592" s="41">
        <f t="shared" si="228"/>
        <v>0</v>
      </c>
      <c r="X592" s="24"/>
      <c r="Y592" s="41">
        <f t="shared" si="229"/>
        <v>0</v>
      </c>
      <c r="Z592" s="41">
        <f t="shared" si="230"/>
        <v>0</v>
      </c>
      <c r="AA592" s="24">
        <v>5</v>
      </c>
      <c r="AB592" s="41">
        <v>1495000</v>
      </c>
      <c r="AC592" s="41">
        <f t="shared" si="227"/>
        <v>0</v>
      </c>
      <c r="AD592" s="70" t="s">
        <v>630</v>
      </c>
      <c r="AE592" s="70"/>
      <c r="AF592" s="1">
        <v>1495000</v>
      </c>
      <c r="AG592" s="5">
        <f t="shared" si="222"/>
        <v>0</v>
      </c>
      <c r="AH592" s="5"/>
    </row>
    <row r="593" spans="1:34" s="1" customFormat="1" x14ac:dyDescent="0.25">
      <c r="A593" s="49">
        <v>68</v>
      </c>
      <c r="B593" s="22" t="s">
        <v>1705</v>
      </c>
      <c r="C593" s="22" t="s">
        <v>657</v>
      </c>
      <c r="D593" s="51" t="s">
        <v>861</v>
      </c>
      <c r="E593" s="24" t="s">
        <v>862</v>
      </c>
      <c r="F593" s="24"/>
      <c r="G593" s="24" t="s">
        <v>194</v>
      </c>
      <c r="H593" s="24" t="s">
        <v>62</v>
      </c>
      <c r="I593" s="24">
        <v>2011</v>
      </c>
      <c r="J593" s="24"/>
      <c r="K593" s="24" t="s">
        <v>202</v>
      </c>
      <c r="L593" s="24" t="s">
        <v>64</v>
      </c>
      <c r="M593" s="24">
        <v>3</v>
      </c>
      <c r="N593" s="41">
        <f t="shared" si="225"/>
        <v>2500000</v>
      </c>
      <c r="O593" s="41">
        <v>7500000</v>
      </c>
      <c r="P593" s="24"/>
      <c r="Q593" s="24"/>
      <c r="R593" s="24"/>
      <c r="S593" s="41">
        <f t="shared" si="226"/>
        <v>7500000</v>
      </c>
      <c r="T593" s="24">
        <v>5</v>
      </c>
      <c r="U593" s="41"/>
      <c r="V593" s="24">
        <v>0.5</v>
      </c>
      <c r="W593" s="41">
        <f t="shared" si="228"/>
        <v>0</v>
      </c>
      <c r="X593" s="24"/>
      <c r="Y593" s="41">
        <f t="shared" si="229"/>
        <v>0</v>
      </c>
      <c r="Z593" s="41">
        <f t="shared" si="230"/>
        <v>0</v>
      </c>
      <c r="AA593" s="24">
        <v>5</v>
      </c>
      <c r="AB593" s="41">
        <v>7500000</v>
      </c>
      <c r="AC593" s="41">
        <f t="shared" si="227"/>
        <v>0</v>
      </c>
      <c r="AD593" s="70" t="s">
        <v>863</v>
      </c>
      <c r="AE593" s="70"/>
      <c r="AF593" s="1">
        <v>7500000</v>
      </c>
      <c r="AG593" s="5">
        <f t="shared" si="222"/>
        <v>0</v>
      </c>
      <c r="AH593" s="5"/>
    </row>
    <row r="594" spans="1:34" s="1" customFormat="1" x14ac:dyDescent="0.25">
      <c r="A594" s="49">
        <v>69</v>
      </c>
      <c r="B594" s="22" t="s">
        <v>1705</v>
      </c>
      <c r="C594" s="22" t="s">
        <v>84</v>
      </c>
      <c r="D594" s="51" t="s">
        <v>855</v>
      </c>
      <c r="E594" s="24" t="s">
        <v>864</v>
      </c>
      <c r="F594" s="24"/>
      <c r="G594" s="24" t="s">
        <v>194</v>
      </c>
      <c r="H594" s="24" t="s">
        <v>62</v>
      </c>
      <c r="I594" s="24">
        <v>2012</v>
      </c>
      <c r="J594" s="24"/>
      <c r="K594" s="24" t="s">
        <v>63</v>
      </c>
      <c r="L594" s="24" t="s">
        <v>64</v>
      </c>
      <c r="M594" s="24">
        <v>1</v>
      </c>
      <c r="N594" s="41">
        <f t="shared" si="225"/>
        <v>4875000</v>
      </c>
      <c r="O594" s="41">
        <v>4875000</v>
      </c>
      <c r="P594" s="24"/>
      <c r="Q594" s="24"/>
      <c r="R594" s="24"/>
      <c r="S594" s="41">
        <f t="shared" si="226"/>
        <v>4875000</v>
      </c>
      <c r="T594" s="24">
        <v>5</v>
      </c>
      <c r="U594" s="41"/>
      <c r="V594" s="24">
        <v>0.5</v>
      </c>
      <c r="W594" s="41">
        <f t="shared" si="228"/>
        <v>0</v>
      </c>
      <c r="X594" s="24"/>
      <c r="Y594" s="41">
        <f t="shared" si="229"/>
        <v>0</v>
      </c>
      <c r="Z594" s="41">
        <f t="shared" si="230"/>
        <v>0</v>
      </c>
      <c r="AA594" s="24">
        <v>5</v>
      </c>
      <c r="AB594" s="41">
        <v>4875000</v>
      </c>
      <c r="AC594" s="41">
        <f t="shared" si="227"/>
        <v>0</v>
      </c>
      <c r="AD594" s="70" t="s">
        <v>630</v>
      </c>
      <c r="AE594" s="70"/>
      <c r="AF594" s="1">
        <v>4875000</v>
      </c>
      <c r="AG594" s="5">
        <f t="shared" si="222"/>
        <v>0</v>
      </c>
      <c r="AH594" s="5"/>
    </row>
    <row r="595" spans="1:34" s="1" customFormat="1" x14ac:dyDescent="0.25">
      <c r="A595" s="49">
        <v>70</v>
      </c>
      <c r="B595" s="22" t="s">
        <v>1705</v>
      </c>
      <c r="C595" s="22" t="s">
        <v>634</v>
      </c>
      <c r="D595" s="51" t="s">
        <v>865</v>
      </c>
      <c r="E595" s="24" t="s">
        <v>866</v>
      </c>
      <c r="F595" s="24"/>
      <c r="G595" s="24" t="s">
        <v>194</v>
      </c>
      <c r="H595" s="24" t="s">
        <v>62</v>
      </c>
      <c r="I595" s="24">
        <v>2012</v>
      </c>
      <c r="J595" s="24"/>
      <c r="K595" s="24" t="s">
        <v>63</v>
      </c>
      <c r="L595" s="24" t="s">
        <v>64</v>
      </c>
      <c r="M595" s="24">
        <v>2</v>
      </c>
      <c r="N595" s="41">
        <f t="shared" si="225"/>
        <v>5100000</v>
      </c>
      <c r="O595" s="41">
        <v>10200000</v>
      </c>
      <c r="P595" s="24"/>
      <c r="Q595" s="24"/>
      <c r="R595" s="24"/>
      <c r="S595" s="41">
        <f t="shared" si="226"/>
        <v>10200000</v>
      </c>
      <c r="T595" s="24">
        <v>5</v>
      </c>
      <c r="U595" s="41"/>
      <c r="V595" s="24">
        <v>0.5</v>
      </c>
      <c r="W595" s="41">
        <f t="shared" si="228"/>
        <v>0</v>
      </c>
      <c r="X595" s="24"/>
      <c r="Y595" s="41">
        <f t="shared" si="229"/>
        <v>0</v>
      </c>
      <c r="Z595" s="41">
        <f t="shared" si="230"/>
        <v>0</v>
      </c>
      <c r="AA595" s="24">
        <v>5</v>
      </c>
      <c r="AB595" s="41">
        <v>10200000</v>
      </c>
      <c r="AC595" s="41">
        <f t="shared" si="227"/>
        <v>0</v>
      </c>
      <c r="AD595" s="70" t="s">
        <v>867</v>
      </c>
      <c r="AE595" s="70"/>
      <c r="AF595" s="1">
        <v>10200000</v>
      </c>
      <c r="AG595" s="5">
        <f t="shared" si="222"/>
        <v>0</v>
      </c>
      <c r="AH595" s="5"/>
    </row>
    <row r="596" spans="1:34" s="1" customFormat="1" x14ac:dyDescent="0.25">
      <c r="A596" s="49">
        <v>71</v>
      </c>
      <c r="B596" s="22" t="s">
        <v>1705</v>
      </c>
      <c r="C596" s="22" t="s">
        <v>868</v>
      </c>
      <c r="D596" s="51" t="s">
        <v>869</v>
      </c>
      <c r="E596" s="24" t="s">
        <v>870</v>
      </c>
      <c r="F596" s="24"/>
      <c r="G596" s="24" t="s">
        <v>194</v>
      </c>
      <c r="H596" s="24" t="s">
        <v>62</v>
      </c>
      <c r="I596" s="24">
        <v>2012</v>
      </c>
      <c r="J596" s="24"/>
      <c r="K596" s="24" t="s">
        <v>63</v>
      </c>
      <c r="L596" s="24" t="s">
        <v>64</v>
      </c>
      <c r="M596" s="24">
        <v>4</v>
      </c>
      <c r="N596" s="41">
        <f t="shared" si="225"/>
        <v>3350000</v>
      </c>
      <c r="O596" s="41">
        <v>13400000</v>
      </c>
      <c r="P596" s="24"/>
      <c r="Q596" s="24"/>
      <c r="R596" s="24"/>
      <c r="S596" s="41">
        <f t="shared" si="226"/>
        <v>13400000</v>
      </c>
      <c r="T596" s="24">
        <v>5</v>
      </c>
      <c r="U596" s="41"/>
      <c r="V596" s="24">
        <v>0.5</v>
      </c>
      <c r="W596" s="41">
        <f t="shared" si="228"/>
        <v>0</v>
      </c>
      <c r="X596" s="24"/>
      <c r="Y596" s="41">
        <f t="shared" si="229"/>
        <v>0</v>
      </c>
      <c r="Z596" s="41">
        <f t="shared" si="230"/>
        <v>0</v>
      </c>
      <c r="AA596" s="24">
        <v>5</v>
      </c>
      <c r="AB596" s="41">
        <v>13400000</v>
      </c>
      <c r="AC596" s="41">
        <f t="shared" si="227"/>
        <v>0</v>
      </c>
      <c r="AD596" s="70" t="s">
        <v>871</v>
      </c>
      <c r="AE596" s="70"/>
      <c r="AF596" s="1">
        <v>13400000</v>
      </c>
      <c r="AG596" s="5">
        <f t="shared" si="222"/>
        <v>0</v>
      </c>
      <c r="AH596" s="5"/>
    </row>
    <row r="597" spans="1:34" s="1" customFormat="1" x14ac:dyDescent="0.25">
      <c r="A597" s="49">
        <v>72</v>
      </c>
      <c r="B597" s="22" t="s">
        <v>1705</v>
      </c>
      <c r="C597" s="22" t="s">
        <v>872</v>
      </c>
      <c r="D597" s="51" t="s">
        <v>869</v>
      </c>
      <c r="E597" s="24" t="s">
        <v>870</v>
      </c>
      <c r="F597" s="24"/>
      <c r="G597" s="24" t="s">
        <v>194</v>
      </c>
      <c r="H597" s="24" t="s">
        <v>62</v>
      </c>
      <c r="I597" s="24">
        <v>2012</v>
      </c>
      <c r="J597" s="24"/>
      <c r="K597" s="24" t="s">
        <v>63</v>
      </c>
      <c r="L597" s="24" t="s">
        <v>64</v>
      </c>
      <c r="M597" s="24">
        <v>3</v>
      </c>
      <c r="N597" s="41">
        <f t="shared" si="225"/>
        <v>3350000</v>
      </c>
      <c r="O597" s="41">
        <v>10050000</v>
      </c>
      <c r="P597" s="24"/>
      <c r="Q597" s="24"/>
      <c r="R597" s="24"/>
      <c r="S597" s="41">
        <f t="shared" si="226"/>
        <v>10050000</v>
      </c>
      <c r="T597" s="24">
        <v>5</v>
      </c>
      <c r="U597" s="41"/>
      <c r="V597" s="24">
        <v>0.5</v>
      </c>
      <c r="W597" s="41">
        <f t="shared" si="228"/>
        <v>0</v>
      </c>
      <c r="X597" s="24"/>
      <c r="Y597" s="41">
        <f t="shared" si="229"/>
        <v>0</v>
      </c>
      <c r="Z597" s="41">
        <f t="shared" si="230"/>
        <v>0</v>
      </c>
      <c r="AA597" s="24">
        <v>5</v>
      </c>
      <c r="AB597" s="41">
        <v>10050000</v>
      </c>
      <c r="AC597" s="41">
        <f t="shared" si="227"/>
        <v>0</v>
      </c>
      <c r="AD597" s="70" t="s">
        <v>873</v>
      </c>
      <c r="AE597" s="70"/>
      <c r="AF597" s="1">
        <v>10050000</v>
      </c>
      <c r="AG597" s="5">
        <f t="shared" si="222"/>
        <v>0</v>
      </c>
      <c r="AH597" s="5"/>
    </row>
    <row r="598" spans="1:34" s="1" customFormat="1" x14ac:dyDescent="0.25">
      <c r="A598" s="49">
        <v>73</v>
      </c>
      <c r="B598" s="22" t="s">
        <v>1705</v>
      </c>
      <c r="C598" s="22" t="s">
        <v>338</v>
      </c>
      <c r="D598" s="51" t="s">
        <v>869</v>
      </c>
      <c r="E598" s="24" t="s">
        <v>874</v>
      </c>
      <c r="F598" s="24"/>
      <c r="G598" s="24" t="s">
        <v>194</v>
      </c>
      <c r="H598" s="24" t="s">
        <v>62</v>
      </c>
      <c r="I598" s="24">
        <v>2014</v>
      </c>
      <c r="J598" s="24"/>
      <c r="K598" s="24" t="s">
        <v>63</v>
      </c>
      <c r="L598" s="24" t="s">
        <v>64</v>
      </c>
      <c r="M598" s="24">
        <v>2</v>
      </c>
      <c r="N598" s="41">
        <f t="shared" si="225"/>
        <v>3707000</v>
      </c>
      <c r="O598" s="41">
        <v>7414000</v>
      </c>
      <c r="P598" s="24"/>
      <c r="Q598" s="24"/>
      <c r="R598" s="24"/>
      <c r="S598" s="41">
        <f t="shared" si="226"/>
        <v>7414000</v>
      </c>
      <c r="T598" s="24">
        <v>5</v>
      </c>
      <c r="U598" s="41"/>
      <c r="V598" s="24">
        <v>0.5</v>
      </c>
      <c r="W598" s="41">
        <f t="shared" si="228"/>
        <v>0</v>
      </c>
      <c r="X598" s="24"/>
      <c r="Y598" s="41">
        <f t="shared" si="229"/>
        <v>0</v>
      </c>
      <c r="Z598" s="41">
        <f t="shared" si="230"/>
        <v>0</v>
      </c>
      <c r="AA598" s="24">
        <v>5</v>
      </c>
      <c r="AB598" s="41">
        <v>7414000</v>
      </c>
      <c r="AC598" s="41">
        <f t="shared" si="227"/>
        <v>0</v>
      </c>
      <c r="AD598" s="70" t="s">
        <v>875</v>
      </c>
      <c r="AE598" s="70"/>
      <c r="AF598" s="1">
        <v>7414000</v>
      </c>
      <c r="AG598" s="5">
        <f t="shared" si="222"/>
        <v>0</v>
      </c>
      <c r="AH598" s="5"/>
    </row>
    <row r="599" spans="1:34" s="1" customFormat="1" x14ac:dyDescent="0.25">
      <c r="A599" s="49">
        <v>74</v>
      </c>
      <c r="B599" s="22" t="s">
        <v>1705</v>
      </c>
      <c r="C599" s="50" t="s">
        <v>832</v>
      </c>
      <c r="D599" s="51" t="s">
        <v>869</v>
      </c>
      <c r="E599" s="52" t="s">
        <v>876</v>
      </c>
      <c r="F599" s="52"/>
      <c r="G599" s="52" t="s">
        <v>194</v>
      </c>
      <c r="H599" s="52" t="s">
        <v>62</v>
      </c>
      <c r="I599" s="52">
        <v>2021</v>
      </c>
      <c r="J599" s="52"/>
      <c r="K599" s="52" t="s">
        <v>63</v>
      </c>
      <c r="L599" s="52" t="s">
        <v>64</v>
      </c>
      <c r="M599" s="52">
        <v>4</v>
      </c>
      <c r="N599" s="53">
        <f t="shared" si="225"/>
        <v>2450000</v>
      </c>
      <c r="O599" s="53">
        <v>9800000</v>
      </c>
      <c r="P599" s="52"/>
      <c r="Q599" s="52"/>
      <c r="R599" s="52"/>
      <c r="S599" s="53">
        <f t="shared" si="226"/>
        <v>9800000</v>
      </c>
      <c r="T599" s="52">
        <v>5</v>
      </c>
      <c r="U599" s="53">
        <f>SUM(S599/T599)</f>
        <v>1960000</v>
      </c>
      <c r="V599" s="52">
        <v>0.5</v>
      </c>
      <c r="W599" s="53">
        <f t="shared" si="228"/>
        <v>980000</v>
      </c>
      <c r="X599" s="52"/>
      <c r="Y599" s="53">
        <f t="shared" si="229"/>
        <v>0</v>
      </c>
      <c r="Z599" s="53">
        <f t="shared" si="230"/>
        <v>980000</v>
      </c>
      <c r="AA599" s="57">
        <f>1/12+0.5+0.5+0.5</f>
        <v>1.5833333333333335</v>
      </c>
      <c r="AB599" s="53">
        <f>SUM(U599*AA599)</f>
        <v>3103333.3333333335</v>
      </c>
      <c r="AC599" s="53">
        <f t="shared" si="227"/>
        <v>6696666.666666666</v>
      </c>
      <c r="AD599" s="56" t="s">
        <v>877</v>
      </c>
      <c r="AE599" s="70"/>
      <c r="AF599" s="1">
        <v>2123333.3333333335</v>
      </c>
      <c r="AG599" s="5">
        <f t="shared" si="222"/>
        <v>0</v>
      </c>
      <c r="AH599" s="5"/>
    </row>
    <row r="600" spans="1:34" s="1" customFormat="1" x14ac:dyDescent="0.25">
      <c r="A600" s="49">
        <v>75</v>
      </c>
      <c r="B600" s="22" t="s">
        <v>1705</v>
      </c>
      <c r="C600" s="22" t="s">
        <v>108</v>
      </c>
      <c r="D600" s="51" t="s">
        <v>887</v>
      </c>
      <c r="E600" s="24" t="s">
        <v>888</v>
      </c>
      <c r="F600" s="24"/>
      <c r="G600" s="24" t="s">
        <v>194</v>
      </c>
      <c r="H600" s="24" t="s">
        <v>62</v>
      </c>
      <c r="I600" s="24">
        <v>2015</v>
      </c>
      <c r="J600" s="24"/>
      <c r="K600" s="24" t="s">
        <v>63</v>
      </c>
      <c r="L600" s="24" t="s">
        <v>64</v>
      </c>
      <c r="M600" s="24">
        <v>1</v>
      </c>
      <c r="N600" s="41">
        <f t="shared" si="225"/>
        <v>3600000</v>
      </c>
      <c r="O600" s="41">
        <v>3600000</v>
      </c>
      <c r="P600" s="24"/>
      <c r="Q600" s="24"/>
      <c r="R600" s="24"/>
      <c r="S600" s="41">
        <f t="shared" si="226"/>
        <v>3600000</v>
      </c>
      <c r="T600" s="24">
        <v>5</v>
      </c>
      <c r="U600" s="41">
        <f t="shared" ref="U600:U603" si="231">SUM(S600/T600)</f>
        <v>720000</v>
      </c>
      <c r="V600" s="24">
        <v>0.5</v>
      </c>
      <c r="W600" s="41"/>
      <c r="X600" s="24"/>
      <c r="Y600" s="41">
        <f t="shared" si="229"/>
        <v>0</v>
      </c>
      <c r="Z600" s="41"/>
      <c r="AA600" s="24">
        <v>5</v>
      </c>
      <c r="AB600" s="41">
        <f t="shared" ref="AB600:AB602" si="232">SUM(U600*AA600)</f>
        <v>3600000</v>
      </c>
      <c r="AC600" s="41">
        <f t="shared" si="227"/>
        <v>0</v>
      </c>
      <c r="AD600" s="70" t="s">
        <v>889</v>
      </c>
      <c r="AE600" s="70"/>
      <c r="AF600" s="1">
        <v>3600000</v>
      </c>
      <c r="AG600" s="5">
        <f t="shared" si="222"/>
        <v>0</v>
      </c>
      <c r="AH600" s="5"/>
    </row>
    <row r="601" spans="1:34" s="1" customFormat="1" x14ac:dyDescent="0.25">
      <c r="A601" s="49">
        <v>76</v>
      </c>
      <c r="B601" s="22" t="s">
        <v>1705</v>
      </c>
      <c r="C601" s="22" t="s">
        <v>135</v>
      </c>
      <c r="D601" s="51" t="s">
        <v>891</v>
      </c>
      <c r="E601" s="24" t="s">
        <v>892</v>
      </c>
      <c r="F601" s="24"/>
      <c r="G601" s="24" t="s">
        <v>194</v>
      </c>
      <c r="H601" s="24" t="s">
        <v>62</v>
      </c>
      <c r="I601" s="24">
        <v>2015</v>
      </c>
      <c r="J601" s="24"/>
      <c r="K601" s="24" t="s">
        <v>63</v>
      </c>
      <c r="L601" s="24" t="s">
        <v>64</v>
      </c>
      <c r="M601" s="24">
        <v>1</v>
      </c>
      <c r="N601" s="41">
        <f t="shared" ref="N601:N612" si="233">SUM(O601/M601)</f>
        <v>3150000</v>
      </c>
      <c r="O601" s="41">
        <v>3150000</v>
      </c>
      <c r="P601" s="24"/>
      <c r="Q601" s="24"/>
      <c r="R601" s="24"/>
      <c r="S601" s="41">
        <f t="shared" si="226"/>
        <v>3150000</v>
      </c>
      <c r="T601" s="24">
        <v>5</v>
      </c>
      <c r="U601" s="41">
        <f t="shared" si="231"/>
        <v>630000</v>
      </c>
      <c r="V601" s="24">
        <v>0.5</v>
      </c>
      <c r="W601" s="41"/>
      <c r="X601" s="24"/>
      <c r="Y601" s="41">
        <f t="shared" si="229"/>
        <v>0</v>
      </c>
      <c r="Z601" s="41"/>
      <c r="AA601" s="24">
        <v>5</v>
      </c>
      <c r="AB601" s="41">
        <f t="shared" si="232"/>
        <v>3150000</v>
      </c>
      <c r="AC601" s="41">
        <f t="shared" si="227"/>
        <v>0</v>
      </c>
      <c r="AD601" s="70" t="s">
        <v>199</v>
      </c>
      <c r="AE601" s="70"/>
      <c r="AF601" s="1">
        <v>3150000</v>
      </c>
      <c r="AG601" s="5">
        <f t="shared" si="222"/>
        <v>0</v>
      </c>
      <c r="AH601" s="5"/>
    </row>
    <row r="602" spans="1:34" s="1" customFormat="1" x14ac:dyDescent="0.25">
      <c r="A602" s="49">
        <v>77</v>
      </c>
      <c r="B602" s="22" t="s">
        <v>1705</v>
      </c>
      <c r="C602" s="22" t="s">
        <v>472</v>
      </c>
      <c r="D602" s="51" t="s">
        <v>869</v>
      </c>
      <c r="E602" s="24" t="s">
        <v>893</v>
      </c>
      <c r="F602" s="24"/>
      <c r="G602" s="24" t="s">
        <v>194</v>
      </c>
      <c r="H602" s="24" t="s">
        <v>62</v>
      </c>
      <c r="I602" s="24">
        <v>2016</v>
      </c>
      <c r="J602" s="24"/>
      <c r="K602" s="24" t="s">
        <v>63</v>
      </c>
      <c r="L602" s="24" t="s">
        <v>64</v>
      </c>
      <c r="M602" s="24">
        <v>3</v>
      </c>
      <c r="N602" s="41">
        <f t="shared" si="233"/>
        <v>6985000</v>
      </c>
      <c r="O602" s="41">
        <v>20955000</v>
      </c>
      <c r="P602" s="24"/>
      <c r="Q602" s="24"/>
      <c r="R602" s="24"/>
      <c r="S602" s="41">
        <f t="shared" si="226"/>
        <v>20955000</v>
      </c>
      <c r="T602" s="24">
        <v>5</v>
      </c>
      <c r="U602" s="41">
        <f t="shared" si="231"/>
        <v>4191000</v>
      </c>
      <c r="V602" s="24"/>
      <c r="W602" s="41"/>
      <c r="X602" s="24"/>
      <c r="Y602" s="41"/>
      <c r="Z602" s="53"/>
      <c r="AA602" s="24">
        <v>5</v>
      </c>
      <c r="AB602" s="41">
        <f t="shared" si="232"/>
        <v>20955000</v>
      </c>
      <c r="AC602" s="41">
        <f t="shared" si="227"/>
        <v>0</v>
      </c>
      <c r="AD602" s="70" t="s">
        <v>894</v>
      </c>
      <c r="AE602" s="70"/>
      <c r="AF602" s="1">
        <v>20955000</v>
      </c>
      <c r="AG602" s="5">
        <f t="shared" si="222"/>
        <v>0</v>
      </c>
      <c r="AH602" s="5"/>
    </row>
    <row r="603" spans="1:34" s="1" customFormat="1" x14ac:dyDescent="0.25">
      <c r="A603" s="49">
        <v>78</v>
      </c>
      <c r="B603" s="22" t="s">
        <v>1705</v>
      </c>
      <c r="C603" s="22" t="s">
        <v>159</v>
      </c>
      <c r="D603" s="51" t="s">
        <v>869</v>
      </c>
      <c r="E603" s="24" t="s">
        <v>895</v>
      </c>
      <c r="F603" s="24"/>
      <c r="G603" s="24" t="s">
        <v>194</v>
      </c>
      <c r="H603" s="24" t="s">
        <v>62</v>
      </c>
      <c r="I603" s="24">
        <v>2017</v>
      </c>
      <c r="J603" s="24"/>
      <c r="K603" s="24" t="s">
        <v>63</v>
      </c>
      <c r="L603" s="24" t="s">
        <v>64</v>
      </c>
      <c r="M603" s="24">
        <v>2</v>
      </c>
      <c r="N603" s="41">
        <f t="shared" si="233"/>
        <v>7490000</v>
      </c>
      <c r="O603" s="41">
        <v>14980000</v>
      </c>
      <c r="P603" s="24"/>
      <c r="Q603" s="24"/>
      <c r="R603" s="24"/>
      <c r="S603" s="41">
        <f t="shared" si="226"/>
        <v>14980000</v>
      </c>
      <c r="T603" s="24">
        <v>5</v>
      </c>
      <c r="U603" s="41">
        <f t="shared" si="231"/>
        <v>2996000</v>
      </c>
      <c r="V603" s="24"/>
      <c r="W603" s="41">
        <f t="shared" ref="W603:W609" si="234">SUM(U603*V603)</f>
        <v>0</v>
      </c>
      <c r="X603" s="24"/>
      <c r="Y603" s="41"/>
      <c r="Z603" s="41">
        <f t="shared" ref="Z603:Z609" si="235">SUM(W603+Y603)</f>
        <v>0</v>
      </c>
      <c r="AA603" s="72">
        <v>5</v>
      </c>
      <c r="AB603" s="41">
        <v>14980000</v>
      </c>
      <c r="AC603" s="41">
        <f t="shared" si="227"/>
        <v>0</v>
      </c>
      <c r="AD603" s="70" t="s">
        <v>365</v>
      </c>
      <c r="AE603" s="70"/>
      <c r="AF603" s="1">
        <v>14980000</v>
      </c>
      <c r="AG603" s="5">
        <f t="shared" si="222"/>
        <v>0</v>
      </c>
      <c r="AH603" s="5"/>
    </row>
    <row r="604" spans="1:34" s="1" customFormat="1" x14ac:dyDescent="0.25">
      <c r="A604" s="49">
        <v>79</v>
      </c>
      <c r="B604" s="22" t="s">
        <v>1706</v>
      </c>
      <c r="C604" s="22" t="s">
        <v>868</v>
      </c>
      <c r="D604" s="51" t="s">
        <v>982</v>
      </c>
      <c r="E604" s="24" t="s">
        <v>860</v>
      </c>
      <c r="F604" s="24"/>
      <c r="G604" s="24" t="s">
        <v>61</v>
      </c>
      <c r="H604" s="24" t="s">
        <v>62</v>
      </c>
      <c r="I604" s="24">
        <v>2011</v>
      </c>
      <c r="J604" s="24"/>
      <c r="K604" s="24" t="s">
        <v>63</v>
      </c>
      <c r="L604" s="24" t="s">
        <v>64</v>
      </c>
      <c r="M604" s="24">
        <v>4</v>
      </c>
      <c r="N604" s="41">
        <f t="shared" si="233"/>
        <v>400000</v>
      </c>
      <c r="O604" s="41">
        <v>1600000</v>
      </c>
      <c r="P604" s="24"/>
      <c r="Q604" s="24"/>
      <c r="R604" s="24"/>
      <c r="S604" s="41">
        <f t="shared" si="226"/>
        <v>1600000</v>
      </c>
      <c r="T604" s="24">
        <v>5</v>
      </c>
      <c r="U604" s="41"/>
      <c r="V604" s="24">
        <v>0.5</v>
      </c>
      <c r="W604" s="41">
        <f t="shared" si="234"/>
        <v>0</v>
      </c>
      <c r="X604" s="24"/>
      <c r="Y604" s="41">
        <f t="shared" ref="Y604:Y609" si="236">SUM(U604*X604)</f>
        <v>0</v>
      </c>
      <c r="Z604" s="41">
        <f t="shared" si="235"/>
        <v>0</v>
      </c>
      <c r="AA604" s="24">
        <v>5</v>
      </c>
      <c r="AB604" s="41">
        <v>1600000</v>
      </c>
      <c r="AC604" s="41">
        <f t="shared" si="227"/>
        <v>0</v>
      </c>
      <c r="AD604" s="70" t="s">
        <v>295</v>
      </c>
      <c r="AE604" s="70"/>
      <c r="AF604" s="1">
        <v>1600000</v>
      </c>
      <c r="AG604" s="5">
        <f t="shared" si="222"/>
        <v>0</v>
      </c>
      <c r="AH604" s="5"/>
    </row>
    <row r="605" spans="1:34" s="1" customFormat="1" x14ac:dyDescent="0.25">
      <c r="A605" s="49">
        <v>80</v>
      </c>
      <c r="B605" s="22" t="s">
        <v>1706</v>
      </c>
      <c r="C605" s="22" t="s">
        <v>634</v>
      </c>
      <c r="D605" s="51" t="s">
        <v>982</v>
      </c>
      <c r="E605" s="24" t="s">
        <v>860</v>
      </c>
      <c r="F605" s="24"/>
      <c r="G605" s="24" t="s">
        <v>61</v>
      </c>
      <c r="H605" s="24" t="s">
        <v>62</v>
      </c>
      <c r="I605" s="24">
        <v>2011</v>
      </c>
      <c r="J605" s="24"/>
      <c r="K605" s="24" t="s">
        <v>63</v>
      </c>
      <c r="L605" s="24" t="s">
        <v>64</v>
      </c>
      <c r="M605" s="24">
        <v>2</v>
      </c>
      <c r="N605" s="41">
        <f t="shared" si="233"/>
        <v>400000</v>
      </c>
      <c r="O605" s="41">
        <v>800000</v>
      </c>
      <c r="P605" s="24"/>
      <c r="Q605" s="24"/>
      <c r="R605" s="24"/>
      <c r="S605" s="41">
        <f t="shared" si="226"/>
        <v>800000</v>
      </c>
      <c r="T605" s="24">
        <v>5</v>
      </c>
      <c r="U605" s="41"/>
      <c r="V605" s="24">
        <v>0.5</v>
      </c>
      <c r="W605" s="41">
        <f t="shared" si="234"/>
        <v>0</v>
      </c>
      <c r="X605" s="24"/>
      <c r="Y605" s="41">
        <f t="shared" si="236"/>
        <v>0</v>
      </c>
      <c r="Z605" s="41">
        <f t="shared" si="235"/>
        <v>0</v>
      </c>
      <c r="AA605" s="24">
        <v>5</v>
      </c>
      <c r="AB605" s="41">
        <v>800000</v>
      </c>
      <c r="AC605" s="41">
        <f t="shared" si="227"/>
        <v>0</v>
      </c>
      <c r="AD605" s="70" t="s">
        <v>297</v>
      </c>
      <c r="AE605" s="70"/>
      <c r="AF605" s="1">
        <v>800000</v>
      </c>
      <c r="AG605" s="5">
        <f t="shared" si="222"/>
        <v>0</v>
      </c>
      <c r="AH605" s="5"/>
    </row>
    <row r="606" spans="1:34" s="1" customFormat="1" x14ac:dyDescent="0.25">
      <c r="A606" s="49">
        <v>81</v>
      </c>
      <c r="B606" s="22" t="s">
        <v>1706</v>
      </c>
      <c r="C606" s="22" t="s">
        <v>847</v>
      </c>
      <c r="D606" s="51" t="s">
        <v>983</v>
      </c>
      <c r="E606" s="24" t="s">
        <v>860</v>
      </c>
      <c r="F606" s="24"/>
      <c r="G606" s="24" t="s">
        <v>61</v>
      </c>
      <c r="H606" s="24" t="s">
        <v>62</v>
      </c>
      <c r="I606" s="24">
        <v>2012</v>
      </c>
      <c r="J606" s="24"/>
      <c r="K606" s="24" t="s">
        <v>63</v>
      </c>
      <c r="L606" s="24" t="s">
        <v>64</v>
      </c>
      <c r="M606" s="24">
        <v>2</v>
      </c>
      <c r="N606" s="41">
        <f t="shared" si="233"/>
        <v>242000</v>
      </c>
      <c r="O606" s="41">
        <v>484000</v>
      </c>
      <c r="P606" s="24"/>
      <c r="Q606" s="24"/>
      <c r="R606" s="24"/>
      <c r="S606" s="41">
        <f t="shared" si="226"/>
        <v>484000</v>
      </c>
      <c r="T606" s="24">
        <v>5</v>
      </c>
      <c r="U606" s="41"/>
      <c r="V606" s="24">
        <v>0.5</v>
      </c>
      <c r="W606" s="41">
        <f t="shared" si="234"/>
        <v>0</v>
      </c>
      <c r="X606" s="24"/>
      <c r="Y606" s="41">
        <f t="shared" si="236"/>
        <v>0</v>
      </c>
      <c r="Z606" s="41">
        <f t="shared" si="235"/>
        <v>0</v>
      </c>
      <c r="AA606" s="24">
        <v>5</v>
      </c>
      <c r="AB606" s="41">
        <v>484000</v>
      </c>
      <c r="AC606" s="41">
        <f t="shared" si="227"/>
        <v>0</v>
      </c>
      <c r="AD606" s="70" t="s">
        <v>957</v>
      </c>
      <c r="AE606" s="70"/>
      <c r="AF606" s="1">
        <v>484000</v>
      </c>
      <c r="AG606" s="5">
        <f t="shared" si="222"/>
        <v>0</v>
      </c>
      <c r="AH606" s="5"/>
    </row>
    <row r="607" spans="1:34" s="1" customFormat="1" x14ac:dyDescent="0.25">
      <c r="A607" s="49">
        <v>82</v>
      </c>
      <c r="B607" s="22" t="s">
        <v>1706</v>
      </c>
      <c r="C607" s="22" t="s">
        <v>298</v>
      </c>
      <c r="D607" s="51" t="s">
        <v>984</v>
      </c>
      <c r="E607" s="24" t="s">
        <v>860</v>
      </c>
      <c r="F607" s="24"/>
      <c r="G607" s="24" t="s">
        <v>61</v>
      </c>
      <c r="H607" s="24" t="s">
        <v>62</v>
      </c>
      <c r="I607" s="24">
        <v>2012</v>
      </c>
      <c r="J607" s="24"/>
      <c r="K607" s="24" t="s">
        <v>63</v>
      </c>
      <c r="L607" s="24" t="s">
        <v>64</v>
      </c>
      <c r="M607" s="24">
        <v>2</v>
      </c>
      <c r="N607" s="41">
        <f t="shared" si="233"/>
        <v>605000</v>
      </c>
      <c r="O607" s="41">
        <v>1210000</v>
      </c>
      <c r="P607" s="24"/>
      <c r="Q607" s="24"/>
      <c r="R607" s="24"/>
      <c r="S607" s="41">
        <f t="shared" si="226"/>
        <v>1210000</v>
      </c>
      <c r="T607" s="24">
        <v>5</v>
      </c>
      <c r="U607" s="41"/>
      <c r="V607" s="24">
        <v>0.5</v>
      </c>
      <c r="W607" s="41">
        <f t="shared" si="234"/>
        <v>0</v>
      </c>
      <c r="X607" s="24"/>
      <c r="Y607" s="41">
        <f t="shared" si="236"/>
        <v>0</v>
      </c>
      <c r="Z607" s="41">
        <f t="shared" si="235"/>
        <v>0</v>
      </c>
      <c r="AA607" s="24">
        <v>5</v>
      </c>
      <c r="AB607" s="41">
        <v>1210000</v>
      </c>
      <c r="AC607" s="41">
        <f t="shared" si="227"/>
        <v>0</v>
      </c>
      <c r="AD607" s="70" t="s">
        <v>985</v>
      </c>
      <c r="AE607" s="70"/>
      <c r="AF607" s="1">
        <v>1210000</v>
      </c>
      <c r="AG607" s="5">
        <f t="shared" si="222"/>
        <v>0</v>
      </c>
      <c r="AH607" s="5"/>
    </row>
    <row r="608" spans="1:34" s="1" customFormat="1" x14ac:dyDescent="0.25">
      <c r="A608" s="49">
        <v>83</v>
      </c>
      <c r="B608" s="22" t="s">
        <v>1707</v>
      </c>
      <c r="C608" s="22" t="s">
        <v>858</v>
      </c>
      <c r="D608" s="51" t="s">
        <v>859</v>
      </c>
      <c r="E608" s="24" t="s">
        <v>860</v>
      </c>
      <c r="F608" s="24"/>
      <c r="G608" s="24" t="s">
        <v>194</v>
      </c>
      <c r="H608" s="24" t="s">
        <v>62</v>
      </c>
      <c r="I608" s="24">
        <v>2012</v>
      </c>
      <c r="J608" s="24"/>
      <c r="K608" s="24" t="s">
        <v>63</v>
      </c>
      <c r="L608" s="24" t="s">
        <v>64</v>
      </c>
      <c r="M608" s="24">
        <v>40</v>
      </c>
      <c r="N608" s="41">
        <f t="shared" si="233"/>
        <v>500000</v>
      </c>
      <c r="O608" s="41">
        <v>20000000</v>
      </c>
      <c r="P608" s="24"/>
      <c r="Q608" s="24"/>
      <c r="R608" s="24"/>
      <c r="S608" s="41">
        <f t="shared" si="226"/>
        <v>20000000</v>
      </c>
      <c r="T608" s="24">
        <v>5</v>
      </c>
      <c r="U608" s="41"/>
      <c r="V608" s="24">
        <v>0.5</v>
      </c>
      <c r="W608" s="41">
        <f t="shared" si="234"/>
        <v>0</v>
      </c>
      <c r="X608" s="24"/>
      <c r="Y608" s="41">
        <f t="shared" si="236"/>
        <v>0</v>
      </c>
      <c r="Z608" s="41">
        <f t="shared" si="235"/>
        <v>0</v>
      </c>
      <c r="AA608" s="24">
        <v>5</v>
      </c>
      <c r="AB608" s="41">
        <v>20000000</v>
      </c>
      <c r="AC608" s="41">
        <f t="shared" si="227"/>
        <v>0</v>
      </c>
      <c r="AD608" s="70" t="s">
        <v>288</v>
      </c>
      <c r="AE608" s="70"/>
      <c r="AF608" s="1">
        <v>20000000</v>
      </c>
      <c r="AG608" s="5">
        <f t="shared" si="222"/>
        <v>0</v>
      </c>
      <c r="AH608" s="5"/>
    </row>
    <row r="609" spans="1:34" s="1" customFormat="1" x14ac:dyDescent="0.25">
      <c r="A609" s="49">
        <v>84</v>
      </c>
      <c r="B609" s="22" t="s">
        <v>1708</v>
      </c>
      <c r="C609" s="22" t="s">
        <v>79</v>
      </c>
      <c r="D609" s="51" t="s">
        <v>697</v>
      </c>
      <c r="E609" s="24" t="s">
        <v>698</v>
      </c>
      <c r="F609" s="24"/>
      <c r="G609" s="24" t="s">
        <v>194</v>
      </c>
      <c r="H609" s="24" t="s">
        <v>62</v>
      </c>
      <c r="I609" s="24">
        <v>2014</v>
      </c>
      <c r="J609" s="24"/>
      <c r="K609" s="24" t="s">
        <v>63</v>
      </c>
      <c r="L609" s="24" t="s">
        <v>64</v>
      </c>
      <c r="M609" s="24">
        <v>1</v>
      </c>
      <c r="N609" s="41">
        <f t="shared" si="233"/>
        <v>19178000</v>
      </c>
      <c r="O609" s="41">
        <v>19178000</v>
      </c>
      <c r="P609" s="24"/>
      <c r="Q609" s="24"/>
      <c r="R609" s="24"/>
      <c r="S609" s="41">
        <f t="shared" si="226"/>
        <v>19178000</v>
      </c>
      <c r="T609" s="24">
        <v>5</v>
      </c>
      <c r="U609" s="41"/>
      <c r="V609" s="24">
        <v>0.5</v>
      </c>
      <c r="W609" s="41">
        <f t="shared" si="234"/>
        <v>0</v>
      </c>
      <c r="X609" s="24"/>
      <c r="Y609" s="41">
        <f t="shared" si="236"/>
        <v>0</v>
      </c>
      <c r="Z609" s="41">
        <f t="shared" si="235"/>
        <v>0</v>
      </c>
      <c r="AA609" s="24">
        <v>5</v>
      </c>
      <c r="AB609" s="41">
        <v>19178000</v>
      </c>
      <c r="AC609" s="41">
        <f t="shared" si="227"/>
        <v>0</v>
      </c>
      <c r="AD609" s="70" t="s">
        <v>237</v>
      </c>
      <c r="AE609" s="70"/>
      <c r="AF609" s="1">
        <v>19178000</v>
      </c>
      <c r="AG609" s="5">
        <f t="shared" si="222"/>
        <v>0</v>
      </c>
      <c r="AH609" s="5"/>
    </row>
    <row r="610" spans="1:34" s="1" customFormat="1" x14ac:dyDescent="0.25">
      <c r="A610" s="49">
        <v>85</v>
      </c>
      <c r="B610" s="22" t="s">
        <v>1708</v>
      </c>
      <c r="C610" s="22" t="s">
        <v>58</v>
      </c>
      <c r="D610" s="51" t="s">
        <v>781</v>
      </c>
      <c r="E610" s="24" t="s">
        <v>782</v>
      </c>
      <c r="F610" s="24"/>
      <c r="G610" s="24" t="s">
        <v>194</v>
      </c>
      <c r="H610" s="24" t="s">
        <v>62</v>
      </c>
      <c r="I610" s="24">
        <v>2015</v>
      </c>
      <c r="J610" s="24"/>
      <c r="K610" s="24" t="s">
        <v>63</v>
      </c>
      <c r="L610" s="24" t="s">
        <v>64</v>
      </c>
      <c r="M610" s="24">
        <v>1</v>
      </c>
      <c r="N610" s="41">
        <f t="shared" si="233"/>
        <v>2175000</v>
      </c>
      <c r="O610" s="41">
        <v>2175000</v>
      </c>
      <c r="P610" s="24"/>
      <c r="Q610" s="24"/>
      <c r="R610" s="24"/>
      <c r="S610" s="41">
        <f t="shared" si="226"/>
        <v>2175000</v>
      </c>
      <c r="T610" s="24">
        <v>5</v>
      </c>
      <c r="U610" s="41">
        <f t="shared" ref="U610:U611" si="237">SUM(S610/T610)</f>
        <v>435000</v>
      </c>
      <c r="V610" s="24">
        <v>0.5</v>
      </c>
      <c r="W610" s="41"/>
      <c r="X610" s="24"/>
      <c r="Y610" s="41">
        <f>SUM(U610*X610)</f>
        <v>0</v>
      </c>
      <c r="Z610" s="41"/>
      <c r="AA610" s="72">
        <v>5</v>
      </c>
      <c r="AB610" s="41">
        <f t="shared" ref="AB610:AB611" si="238">SUM(U610*AA610)</f>
        <v>2175000</v>
      </c>
      <c r="AC610" s="41">
        <f t="shared" si="227"/>
        <v>0</v>
      </c>
      <c r="AD610" s="70" t="s">
        <v>783</v>
      </c>
      <c r="AE610" s="70"/>
      <c r="AG610" s="5">
        <f t="shared" si="222"/>
        <v>-2175000</v>
      </c>
      <c r="AH610" s="5"/>
    </row>
    <row r="611" spans="1:34" s="1" customFormat="1" x14ac:dyDescent="0.25">
      <c r="A611" s="49">
        <v>86</v>
      </c>
      <c r="B611" s="22" t="s">
        <v>1708</v>
      </c>
      <c r="C611" s="22" t="s">
        <v>75</v>
      </c>
      <c r="D611" s="51" t="s">
        <v>781</v>
      </c>
      <c r="E611" s="24" t="s">
        <v>782</v>
      </c>
      <c r="F611" s="24"/>
      <c r="G611" s="24" t="s">
        <v>194</v>
      </c>
      <c r="H611" s="24" t="s">
        <v>62</v>
      </c>
      <c r="I611" s="24">
        <v>2015</v>
      </c>
      <c r="J611" s="24"/>
      <c r="K611" s="24" t="s">
        <v>63</v>
      </c>
      <c r="L611" s="24" t="s">
        <v>64</v>
      </c>
      <c r="M611" s="24">
        <v>1</v>
      </c>
      <c r="N611" s="41">
        <f t="shared" si="233"/>
        <v>2175000</v>
      </c>
      <c r="O611" s="41">
        <v>2175000</v>
      </c>
      <c r="P611" s="24"/>
      <c r="Q611" s="24"/>
      <c r="R611" s="24"/>
      <c r="S611" s="41">
        <f t="shared" si="226"/>
        <v>2175000</v>
      </c>
      <c r="T611" s="24">
        <v>5</v>
      </c>
      <c r="U611" s="41">
        <f t="shared" si="237"/>
        <v>435000</v>
      </c>
      <c r="V611" s="24">
        <v>0.5</v>
      </c>
      <c r="W611" s="41"/>
      <c r="X611" s="24"/>
      <c r="Y611" s="41">
        <f>SUM(U611*X611)</f>
        <v>0</v>
      </c>
      <c r="Z611" s="41"/>
      <c r="AA611" s="72">
        <v>5</v>
      </c>
      <c r="AB611" s="41">
        <f t="shared" si="238"/>
        <v>2175000</v>
      </c>
      <c r="AC611" s="41">
        <f t="shared" si="227"/>
        <v>0</v>
      </c>
      <c r="AD611" s="70" t="s">
        <v>213</v>
      </c>
      <c r="AE611" s="70"/>
      <c r="AG611" s="5">
        <f t="shared" si="222"/>
        <v>-2175000</v>
      </c>
      <c r="AH611" s="5"/>
    </row>
    <row r="612" spans="1:34" s="1" customFormat="1" x14ac:dyDescent="0.25">
      <c r="A612" s="49">
        <v>87</v>
      </c>
      <c r="B612" s="22" t="s">
        <v>1709</v>
      </c>
      <c r="C612" s="22" t="s">
        <v>657</v>
      </c>
      <c r="D612" s="51" t="s">
        <v>658</v>
      </c>
      <c r="E612" s="24" t="s">
        <v>659</v>
      </c>
      <c r="F612" s="24"/>
      <c r="G612" s="24" t="s">
        <v>194</v>
      </c>
      <c r="H612" s="24" t="s">
        <v>62</v>
      </c>
      <c r="I612" s="24">
        <v>2018</v>
      </c>
      <c r="J612" s="24"/>
      <c r="K612" s="24" t="s">
        <v>63</v>
      </c>
      <c r="L612" s="24" t="s">
        <v>64</v>
      </c>
      <c r="M612" s="24">
        <v>3</v>
      </c>
      <c r="N612" s="41">
        <f t="shared" si="233"/>
        <v>4364250</v>
      </c>
      <c r="O612" s="41">
        <v>13092750</v>
      </c>
      <c r="P612" s="24"/>
      <c r="Q612" s="24"/>
      <c r="R612" s="24"/>
      <c r="S612" s="41">
        <f t="shared" si="226"/>
        <v>13092750</v>
      </c>
      <c r="T612" s="24">
        <v>5</v>
      </c>
      <c r="U612" s="41">
        <f>SUM(S612/T612)</f>
        <v>2618550</v>
      </c>
      <c r="V612" s="24">
        <v>0.5</v>
      </c>
      <c r="W612" s="41">
        <f t="shared" ref="W612" si="239">SUM(U612*V612)</f>
        <v>1309275</v>
      </c>
      <c r="X612" s="24"/>
      <c r="Y612" s="41">
        <f t="shared" ref="Y612" si="240">SUM(U612*X612)</f>
        <v>0</v>
      </c>
      <c r="Z612" s="41">
        <f t="shared" ref="Z612" si="241">SUM(W612+Y612)</f>
        <v>1309275</v>
      </c>
      <c r="AA612" s="24">
        <f>2023-I612+V612+X612-8/12</f>
        <v>4.833333333333333</v>
      </c>
      <c r="AB612" s="41">
        <f>SUM(U612*AA612)</f>
        <v>12656325</v>
      </c>
      <c r="AC612" s="41">
        <f t="shared" si="227"/>
        <v>436425</v>
      </c>
      <c r="AD612" s="70"/>
      <c r="AE612" s="70"/>
      <c r="AF612" s="1">
        <v>11347050</v>
      </c>
      <c r="AG612" s="5">
        <f t="shared" si="222"/>
        <v>0</v>
      </c>
      <c r="AH612" s="5"/>
    </row>
    <row r="613" spans="1:34" s="1" customFormat="1" x14ac:dyDescent="0.25">
      <c r="A613" s="49">
        <v>88</v>
      </c>
      <c r="B613" s="22" t="s">
        <v>1710</v>
      </c>
      <c r="C613" s="22" t="s">
        <v>58</v>
      </c>
      <c r="D613" s="51" t="s">
        <v>1048</v>
      </c>
      <c r="E613" s="24" t="s">
        <v>166</v>
      </c>
      <c r="F613" s="24"/>
      <c r="G613" s="24" t="s">
        <v>903</v>
      </c>
      <c r="H613" s="24" t="s">
        <v>62</v>
      </c>
      <c r="I613" s="24">
        <v>2015</v>
      </c>
      <c r="J613" s="24"/>
      <c r="K613" s="24" t="s">
        <v>63</v>
      </c>
      <c r="L613" s="24" t="s">
        <v>64</v>
      </c>
      <c r="M613" s="24">
        <v>1</v>
      </c>
      <c r="N613" s="41">
        <f t="shared" ref="N613:N629" si="242">SUM(O613/M613)</f>
        <v>4550000</v>
      </c>
      <c r="O613" s="41">
        <v>4550000</v>
      </c>
      <c r="P613" s="24"/>
      <c r="Q613" s="24"/>
      <c r="R613" s="24"/>
      <c r="S613" s="41">
        <f t="shared" si="226"/>
        <v>4550000</v>
      </c>
      <c r="T613" s="24">
        <v>5</v>
      </c>
      <c r="U613" s="41">
        <f>SUM(S613/T613)</f>
        <v>910000</v>
      </c>
      <c r="V613" s="24">
        <v>0.5</v>
      </c>
      <c r="W613" s="41"/>
      <c r="X613" s="24"/>
      <c r="Y613" s="41">
        <f t="shared" ref="Y613:Y620" si="243">SUM(U613*X613)</f>
        <v>0</v>
      </c>
      <c r="Z613" s="41"/>
      <c r="AA613" s="69">
        <v>5</v>
      </c>
      <c r="AB613" s="41">
        <f>SUM(U613*AA613)</f>
        <v>4550000</v>
      </c>
      <c r="AC613" s="41">
        <f t="shared" si="227"/>
        <v>0</v>
      </c>
      <c r="AD613" s="70" t="s">
        <v>295</v>
      </c>
      <c r="AE613" s="70"/>
      <c r="AF613" s="1">
        <v>4550000</v>
      </c>
      <c r="AG613" s="5">
        <f t="shared" si="222"/>
        <v>0</v>
      </c>
      <c r="AH613" s="5"/>
    </row>
    <row r="614" spans="1:34" s="1" customFormat="1" x14ac:dyDescent="0.25">
      <c r="A614" s="49">
        <v>89</v>
      </c>
      <c r="B614" s="22" t="s">
        <v>1710</v>
      </c>
      <c r="C614" s="22" t="s">
        <v>75</v>
      </c>
      <c r="D614" s="51" t="s">
        <v>1049</v>
      </c>
      <c r="E614" s="24" t="s">
        <v>166</v>
      </c>
      <c r="F614" s="24"/>
      <c r="G614" s="24" t="s">
        <v>903</v>
      </c>
      <c r="H614" s="24" t="s">
        <v>62</v>
      </c>
      <c r="I614" s="24">
        <v>2015</v>
      </c>
      <c r="J614" s="24"/>
      <c r="K614" s="24" t="s">
        <v>63</v>
      </c>
      <c r="L614" s="24" t="s">
        <v>64</v>
      </c>
      <c r="M614" s="24">
        <v>1</v>
      </c>
      <c r="N614" s="41">
        <f t="shared" si="242"/>
        <v>3400000</v>
      </c>
      <c r="O614" s="41">
        <v>3400000</v>
      </c>
      <c r="P614" s="24"/>
      <c r="Q614" s="24"/>
      <c r="R614" s="24"/>
      <c r="S614" s="41">
        <f t="shared" si="226"/>
        <v>3400000</v>
      </c>
      <c r="T614" s="24">
        <v>5</v>
      </c>
      <c r="U614" s="41">
        <f>SUM(S614/T614)</f>
        <v>680000</v>
      </c>
      <c r="V614" s="24">
        <v>0.5</v>
      </c>
      <c r="W614" s="41"/>
      <c r="X614" s="24"/>
      <c r="Y614" s="41">
        <f t="shared" si="243"/>
        <v>0</v>
      </c>
      <c r="Z614" s="41"/>
      <c r="AA614" s="69">
        <v>5</v>
      </c>
      <c r="AB614" s="41">
        <f>SUM(U614*AA614)</f>
        <v>3400000</v>
      </c>
      <c r="AC614" s="41">
        <f t="shared" si="227"/>
        <v>0</v>
      </c>
      <c r="AD614" s="70" t="s">
        <v>295</v>
      </c>
      <c r="AE614" s="70"/>
      <c r="AF614" s="1">
        <v>3400000</v>
      </c>
      <c r="AG614" s="5">
        <f t="shared" si="222"/>
        <v>0</v>
      </c>
      <c r="AH614" s="5"/>
    </row>
    <row r="615" spans="1:34" s="1" customFormat="1" x14ac:dyDescent="0.25">
      <c r="A615" s="49">
        <v>90</v>
      </c>
      <c r="B615" s="22" t="s">
        <v>1711</v>
      </c>
      <c r="C615" s="22" t="s">
        <v>209</v>
      </c>
      <c r="D615" s="51" t="s">
        <v>631</v>
      </c>
      <c r="E615" s="24" t="s">
        <v>632</v>
      </c>
      <c r="F615" s="24"/>
      <c r="G615" s="24" t="s">
        <v>194</v>
      </c>
      <c r="H615" s="24" t="s">
        <v>62</v>
      </c>
      <c r="I615" s="24">
        <v>2015</v>
      </c>
      <c r="J615" s="24"/>
      <c r="K615" s="24" t="s">
        <v>63</v>
      </c>
      <c r="L615" s="24" t="s">
        <v>64</v>
      </c>
      <c r="M615" s="24">
        <v>2</v>
      </c>
      <c r="N615" s="41">
        <f t="shared" si="242"/>
        <v>990000</v>
      </c>
      <c r="O615" s="41">
        <v>1980000</v>
      </c>
      <c r="P615" s="24"/>
      <c r="Q615" s="24"/>
      <c r="R615" s="24"/>
      <c r="S615" s="41">
        <f t="shared" si="226"/>
        <v>1980000</v>
      </c>
      <c r="T615" s="24">
        <v>5</v>
      </c>
      <c r="U615" s="41">
        <f t="shared" ref="U615:U627" si="244">SUM(S615/T615)</f>
        <v>396000</v>
      </c>
      <c r="V615" s="24"/>
      <c r="W615" s="41"/>
      <c r="X615" s="24"/>
      <c r="Y615" s="41">
        <f t="shared" si="243"/>
        <v>0</v>
      </c>
      <c r="Z615" s="41">
        <f t="shared" ref="Z615:Z627" si="245">SUM(W615+Y615)</f>
        <v>0</v>
      </c>
      <c r="AA615" s="69">
        <v>5.25</v>
      </c>
      <c r="AB615" s="41">
        <f t="shared" ref="AB615:AB618" si="246">SUM(U615*AA615)</f>
        <v>2079000</v>
      </c>
      <c r="AC615" s="41">
        <f t="shared" si="227"/>
        <v>-99000</v>
      </c>
      <c r="AD615" s="70" t="s">
        <v>354</v>
      </c>
      <c r="AE615" s="70"/>
      <c r="AF615" s="1">
        <v>2079000</v>
      </c>
      <c r="AG615" s="5">
        <f t="shared" si="222"/>
        <v>0</v>
      </c>
      <c r="AH615" s="5"/>
    </row>
    <row r="616" spans="1:34" s="1" customFormat="1" x14ac:dyDescent="0.25">
      <c r="A616" s="49">
        <v>91</v>
      </c>
      <c r="B616" s="22" t="s">
        <v>1711</v>
      </c>
      <c r="C616" s="22" t="s">
        <v>633</v>
      </c>
      <c r="D616" s="51" t="s">
        <v>631</v>
      </c>
      <c r="E616" s="24" t="s">
        <v>632</v>
      </c>
      <c r="F616" s="24"/>
      <c r="G616" s="24" t="s">
        <v>194</v>
      </c>
      <c r="H616" s="24" t="s">
        <v>62</v>
      </c>
      <c r="I616" s="24">
        <v>2015</v>
      </c>
      <c r="J616" s="24"/>
      <c r="K616" s="24" t="s">
        <v>63</v>
      </c>
      <c r="L616" s="24" t="s">
        <v>64</v>
      </c>
      <c r="M616" s="24">
        <v>2</v>
      </c>
      <c r="N616" s="41">
        <f t="shared" si="242"/>
        <v>990000</v>
      </c>
      <c r="O616" s="41">
        <v>1980000</v>
      </c>
      <c r="P616" s="24"/>
      <c r="Q616" s="24"/>
      <c r="R616" s="24"/>
      <c r="S616" s="41">
        <f t="shared" si="226"/>
        <v>1980000</v>
      </c>
      <c r="T616" s="24">
        <v>5</v>
      </c>
      <c r="U616" s="41">
        <f t="shared" si="244"/>
        <v>396000</v>
      </c>
      <c r="V616" s="24"/>
      <c r="W616" s="41"/>
      <c r="X616" s="24"/>
      <c r="Y616" s="41">
        <f t="shared" si="243"/>
        <v>0</v>
      </c>
      <c r="Z616" s="41">
        <f t="shared" si="245"/>
        <v>0</v>
      </c>
      <c r="AA616" s="69">
        <v>5.25</v>
      </c>
      <c r="AB616" s="41">
        <f t="shared" si="246"/>
        <v>2079000</v>
      </c>
      <c r="AC616" s="41">
        <f t="shared" si="227"/>
        <v>-99000</v>
      </c>
      <c r="AD616" s="70" t="s">
        <v>350</v>
      </c>
      <c r="AE616" s="70"/>
      <c r="AF616" s="1">
        <v>2079000</v>
      </c>
      <c r="AG616" s="5">
        <f t="shared" si="222"/>
        <v>0</v>
      </c>
      <c r="AH616" s="5"/>
    </row>
    <row r="617" spans="1:34" s="1" customFormat="1" x14ac:dyDescent="0.25">
      <c r="A617" s="49">
        <v>92</v>
      </c>
      <c r="B617" s="22" t="s">
        <v>1711</v>
      </c>
      <c r="C617" s="22" t="s">
        <v>634</v>
      </c>
      <c r="D617" s="51" t="s">
        <v>631</v>
      </c>
      <c r="E617" s="24" t="s">
        <v>632</v>
      </c>
      <c r="F617" s="24"/>
      <c r="G617" s="24" t="s">
        <v>194</v>
      </c>
      <c r="H617" s="24" t="s">
        <v>62</v>
      </c>
      <c r="I617" s="24">
        <v>2015</v>
      </c>
      <c r="J617" s="24"/>
      <c r="K617" s="24" t="s">
        <v>63</v>
      </c>
      <c r="L617" s="24" t="s">
        <v>64</v>
      </c>
      <c r="M617" s="24">
        <v>2</v>
      </c>
      <c r="N617" s="41">
        <f t="shared" si="242"/>
        <v>990000</v>
      </c>
      <c r="O617" s="41">
        <v>1980000</v>
      </c>
      <c r="P617" s="24"/>
      <c r="Q617" s="24"/>
      <c r="R617" s="24"/>
      <c r="S617" s="41">
        <f t="shared" si="226"/>
        <v>1980000</v>
      </c>
      <c r="T617" s="24">
        <v>5</v>
      </c>
      <c r="U617" s="41">
        <f t="shared" si="244"/>
        <v>396000</v>
      </c>
      <c r="V617" s="24"/>
      <c r="W617" s="41"/>
      <c r="X617" s="24"/>
      <c r="Y617" s="41">
        <f t="shared" si="243"/>
        <v>0</v>
      </c>
      <c r="Z617" s="41">
        <f t="shared" si="245"/>
        <v>0</v>
      </c>
      <c r="AA617" s="69">
        <v>5.25</v>
      </c>
      <c r="AB617" s="41">
        <f t="shared" si="246"/>
        <v>2079000</v>
      </c>
      <c r="AC617" s="41">
        <f t="shared" si="227"/>
        <v>-99000</v>
      </c>
      <c r="AD617" s="70" t="s">
        <v>635</v>
      </c>
      <c r="AE617" s="70"/>
      <c r="AF617" s="1">
        <v>2079000</v>
      </c>
      <c r="AG617" s="5">
        <f t="shared" si="222"/>
        <v>0</v>
      </c>
      <c r="AH617" s="5"/>
    </row>
    <row r="618" spans="1:34" s="1" customFormat="1" x14ac:dyDescent="0.25">
      <c r="A618" s="49">
        <v>93</v>
      </c>
      <c r="B618" s="22" t="s">
        <v>1711</v>
      </c>
      <c r="C618" s="22" t="s">
        <v>96</v>
      </c>
      <c r="D618" s="51" t="s">
        <v>631</v>
      </c>
      <c r="E618" s="24" t="s">
        <v>632</v>
      </c>
      <c r="F618" s="24"/>
      <c r="G618" s="24" t="s">
        <v>194</v>
      </c>
      <c r="H618" s="24" t="s">
        <v>62</v>
      </c>
      <c r="I618" s="24">
        <v>2015</v>
      </c>
      <c r="J618" s="24"/>
      <c r="K618" s="24" t="s">
        <v>63</v>
      </c>
      <c r="L618" s="24" t="s">
        <v>64</v>
      </c>
      <c r="M618" s="24">
        <v>1</v>
      </c>
      <c r="N618" s="41">
        <f t="shared" si="242"/>
        <v>990000</v>
      </c>
      <c r="O618" s="41">
        <v>990000</v>
      </c>
      <c r="P618" s="24"/>
      <c r="Q618" s="24"/>
      <c r="R618" s="24"/>
      <c r="S618" s="41">
        <f t="shared" si="226"/>
        <v>990000</v>
      </c>
      <c r="T618" s="24">
        <v>5</v>
      </c>
      <c r="U618" s="41">
        <f t="shared" si="244"/>
        <v>198000</v>
      </c>
      <c r="V618" s="24"/>
      <c r="W618" s="41"/>
      <c r="X618" s="24"/>
      <c r="Y618" s="41">
        <f t="shared" si="243"/>
        <v>0</v>
      </c>
      <c r="Z618" s="41">
        <f t="shared" si="245"/>
        <v>0</v>
      </c>
      <c r="AA618" s="69">
        <v>5.25</v>
      </c>
      <c r="AB618" s="41">
        <f t="shared" si="246"/>
        <v>1039500</v>
      </c>
      <c r="AC618" s="41">
        <f t="shared" si="227"/>
        <v>-49500</v>
      </c>
      <c r="AD618" s="70" t="s">
        <v>243</v>
      </c>
      <c r="AE618" s="70"/>
      <c r="AF618" s="1">
        <v>1039500</v>
      </c>
      <c r="AG618" s="5">
        <f t="shared" si="222"/>
        <v>0</v>
      </c>
      <c r="AH618" s="5"/>
    </row>
    <row r="619" spans="1:34" s="1" customFormat="1" x14ac:dyDescent="0.25">
      <c r="A619" s="49">
        <v>94</v>
      </c>
      <c r="B619" s="22" t="s">
        <v>1711</v>
      </c>
      <c r="C619" s="22" t="s">
        <v>100</v>
      </c>
      <c r="D619" s="51" t="s">
        <v>636</v>
      </c>
      <c r="E619" s="24" t="s">
        <v>637</v>
      </c>
      <c r="F619" s="24"/>
      <c r="G619" s="24" t="s">
        <v>194</v>
      </c>
      <c r="H619" s="24" t="s">
        <v>62</v>
      </c>
      <c r="I619" s="24">
        <v>2018</v>
      </c>
      <c r="J619" s="24"/>
      <c r="K619" s="24" t="s">
        <v>63</v>
      </c>
      <c r="L619" s="24" t="s">
        <v>64</v>
      </c>
      <c r="M619" s="24">
        <v>1</v>
      </c>
      <c r="N619" s="41">
        <f t="shared" si="242"/>
        <v>2898500</v>
      </c>
      <c r="O619" s="41">
        <v>2898500</v>
      </c>
      <c r="P619" s="24"/>
      <c r="Q619" s="24"/>
      <c r="R619" s="24"/>
      <c r="S619" s="41">
        <f t="shared" si="226"/>
        <v>2898500</v>
      </c>
      <c r="T619" s="24">
        <v>5</v>
      </c>
      <c r="U619" s="41">
        <f t="shared" si="244"/>
        <v>579700</v>
      </c>
      <c r="V619" s="24">
        <v>0.5</v>
      </c>
      <c r="W619" s="41">
        <f t="shared" ref="W619:W635" si="247">SUM(U619*V619)</f>
        <v>289850</v>
      </c>
      <c r="X619" s="24"/>
      <c r="Y619" s="41">
        <f t="shared" si="243"/>
        <v>0</v>
      </c>
      <c r="Z619" s="41">
        <f t="shared" si="245"/>
        <v>289850</v>
      </c>
      <c r="AA619" s="24">
        <f t="shared" ref="AA619:AA628" si="248">2023-I619+V619+X619-8/12</f>
        <v>4.833333333333333</v>
      </c>
      <c r="AB619" s="41">
        <f t="shared" ref="AB619:AB629" si="249">SUM(U619*AA619)</f>
        <v>2801883.333333333</v>
      </c>
      <c r="AC619" s="41">
        <f t="shared" si="227"/>
        <v>96616.666666666977</v>
      </c>
      <c r="AD619" s="70" t="s">
        <v>638</v>
      </c>
      <c r="AE619" s="70"/>
      <c r="AF619" s="1">
        <v>2512033.333333333</v>
      </c>
      <c r="AG619" s="5">
        <f t="shared" si="222"/>
        <v>0</v>
      </c>
      <c r="AH619" s="5"/>
    </row>
    <row r="620" spans="1:34" s="1" customFormat="1" x14ac:dyDescent="0.25">
      <c r="A620" s="49">
        <v>95</v>
      </c>
      <c r="B620" s="22" t="s">
        <v>1711</v>
      </c>
      <c r="C620" s="22" t="s">
        <v>105</v>
      </c>
      <c r="D620" s="51" t="s">
        <v>636</v>
      </c>
      <c r="E620" s="24" t="s">
        <v>637</v>
      </c>
      <c r="F620" s="24"/>
      <c r="G620" s="24" t="s">
        <v>194</v>
      </c>
      <c r="H620" s="24" t="s">
        <v>62</v>
      </c>
      <c r="I620" s="24">
        <v>2018</v>
      </c>
      <c r="J620" s="24"/>
      <c r="K620" s="24" t="s">
        <v>63</v>
      </c>
      <c r="L620" s="24" t="s">
        <v>64</v>
      </c>
      <c r="M620" s="24">
        <v>1</v>
      </c>
      <c r="N620" s="41">
        <f t="shared" si="242"/>
        <v>2898500</v>
      </c>
      <c r="O620" s="41">
        <v>2898500</v>
      </c>
      <c r="P620" s="24"/>
      <c r="Q620" s="24"/>
      <c r="R620" s="24"/>
      <c r="S620" s="41">
        <f t="shared" si="226"/>
        <v>2898500</v>
      </c>
      <c r="T620" s="24">
        <v>5</v>
      </c>
      <c r="U620" s="41">
        <f t="shared" si="244"/>
        <v>579700</v>
      </c>
      <c r="V620" s="24">
        <v>0.5</v>
      </c>
      <c r="W620" s="41">
        <f t="shared" si="247"/>
        <v>289850</v>
      </c>
      <c r="X620" s="24"/>
      <c r="Y620" s="41">
        <f t="shared" si="243"/>
        <v>0</v>
      </c>
      <c r="Z620" s="41">
        <f t="shared" si="245"/>
        <v>289850</v>
      </c>
      <c r="AA620" s="24">
        <f t="shared" si="248"/>
        <v>4.833333333333333</v>
      </c>
      <c r="AB620" s="41">
        <f t="shared" si="249"/>
        <v>2801883.333333333</v>
      </c>
      <c r="AC620" s="41">
        <f t="shared" si="227"/>
        <v>96616.666666666977</v>
      </c>
      <c r="AD620" s="70" t="s">
        <v>639</v>
      </c>
      <c r="AE620" s="70"/>
      <c r="AF620" s="1">
        <v>2512033.333333333</v>
      </c>
      <c r="AG620" s="5">
        <f t="shared" si="222"/>
        <v>0</v>
      </c>
      <c r="AH620" s="5"/>
    </row>
    <row r="621" spans="1:34" s="1" customFormat="1" x14ac:dyDescent="0.25">
      <c r="A621" s="49">
        <v>96</v>
      </c>
      <c r="B621" s="22" t="s">
        <v>1711</v>
      </c>
      <c r="C621" s="22" t="s">
        <v>108</v>
      </c>
      <c r="D621" s="51" t="s">
        <v>636</v>
      </c>
      <c r="E621" s="24" t="s">
        <v>637</v>
      </c>
      <c r="F621" s="24"/>
      <c r="G621" s="24" t="s">
        <v>194</v>
      </c>
      <c r="H621" s="24" t="s">
        <v>62</v>
      </c>
      <c r="I621" s="24">
        <v>2018</v>
      </c>
      <c r="J621" s="24"/>
      <c r="K621" s="24" t="s">
        <v>63</v>
      </c>
      <c r="L621" s="24" t="s">
        <v>64</v>
      </c>
      <c r="M621" s="24">
        <v>1</v>
      </c>
      <c r="N621" s="41">
        <f t="shared" si="242"/>
        <v>2898500</v>
      </c>
      <c r="O621" s="41">
        <v>2898500</v>
      </c>
      <c r="P621" s="24"/>
      <c r="Q621" s="24"/>
      <c r="R621" s="24"/>
      <c r="S621" s="41">
        <f t="shared" si="226"/>
        <v>2898500</v>
      </c>
      <c r="T621" s="24">
        <v>5</v>
      </c>
      <c r="U621" s="41">
        <f t="shared" si="244"/>
        <v>579700</v>
      </c>
      <c r="V621" s="24">
        <v>0.5</v>
      </c>
      <c r="W621" s="41">
        <f t="shared" si="247"/>
        <v>289850</v>
      </c>
      <c r="X621" s="24"/>
      <c r="Y621" s="41">
        <f t="shared" ref="Y621:Y629" si="250">SUM(U621*X621)</f>
        <v>0</v>
      </c>
      <c r="Z621" s="41">
        <f t="shared" si="245"/>
        <v>289850</v>
      </c>
      <c r="AA621" s="24">
        <f t="shared" si="248"/>
        <v>4.833333333333333</v>
      </c>
      <c r="AB621" s="41">
        <f t="shared" si="249"/>
        <v>2801883.333333333</v>
      </c>
      <c r="AC621" s="41">
        <f t="shared" si="227"/>
        <v>96616.666666666977</v>
      </c>
      <c r="AD621" s="70" t="s">
        <v>640</v>
      </c>
      <c r="AE621" s="70"/>
      <c r="AF621" s="1">
        <v>2512033.333333333</v>
      </c>
      <c r="AG621" s="5">
        <f t="shared" si="222"/>
        <v>0</v>
      </c>
      <c r="AH621" s="5"/>
    </row>
    <row r="622" spans="1:34" s="1" customFormat="1" x14ac:dyDescent="0.25">
      <c r="A622" s="49">
        <v>97</v>
      </c>
      <c r="B622" s="22" t="s">
        <v>1711</v>
      </c>
      <c r="C622" s="22" t="s">
        <v>135</v>
      </c>
      <c r="D622" s="51" t="s">
        <v>636</v>
      </c>
      <c r="E622" s="24" t="s">
        <v>637</v>
      </c>
      <c r="F622" s="24"/>
      <c r="G622" s="24" t="s">
        <v>194</v>
      </c>
      <c r="H622" s="24" t="s">
        <v>62</v>
      </c>
      <c r="I622" s="24">
        <v>2018</v>
      </c>
      <c r="J622" s="24"/>
      <c r="K622" s="24" t="s">
        <v>63</v>
      </c>
      <c r="L622" s="24" t="s">
        <v>64</v>
      </c>
      <c r="M622" s="24">
        <v>1</v>
      </c>
      <c r="N622" s="41">
        <f t="shared" si="242"/>
        <v>2898500</v>
      </c>
      <c r="O622" s="41">
        <v>2898500</v>
      </c>
      <c r="P622" s="24"/>
      <c r="Q622" s="24"/>
      <c r="R622" s="24"/>
      <c r="S622" s="41">
        <f t="shared" ref="S622:S653" si="251">SUM(O622-R622)</f>
        <v>2898500</v>
      </c>
      <c r="T622" s="24">
        <v>5</v>
      </c>
      <c r="U622" s="41">
        <f t="shared" si="244"/>
        <v>579700</v>
      </c>
      <c r="V622" s="24">
        <v>0.5</v>
      </c>
      <c r="W622" s="41">
        <f t="shared" si="247"/>
        <v>289850</v>
      </c>
      <c r="X622" s="24"/>
      <c r="Y622" s="41">
        <f t="shared" si="250"/>
        <v>0</v>
      </c>
      <c r="Z622" s="41">
        <f t="shared" si="245"/>
        <v>289850</v>
      </c>
      <c r="AA622" s="24">
        <f t="shared" si="248"/>
        <v>4.833333333333333</v>
      </c>
      <c r="AB622" s="41">
        <f t="shared" si="249"/>
        <v>2801883.333333333</v>
      </c>
      <c r="AC622" s="41">
        <f t="shared" ref="AC622:AC653" si="252">SUM(O622-AB622)</f>
        <v>96616.666666666977</v>
      </c>
      <c r="AD622" s="70" t="s">
        <v>641</v>
      </c>
      <c r="AE622" s="70"/>
      <c r="AF622" s="1">
        <v>2512033.333333333</v>
      </c>
      <c r="AG622" s="5">
        <f t="shared" si="222"/>
        <v>0</v>
      </c>
      <c r="AH622" s="5"/>
    </row>
    <row r="623" spans="1:34" s="1" customFormat="1" x14ac:dyDescent="0.25">
      <c r="A623" s="49">
        <v>98</v>
      </c>
      <c r="B623" s="22" t="s">
        <v>1711</v>
      </c>
      <c r="C623" s="22" t="s">
        <v>138</v>
      </c>
      <c r="D623" s="51" t="s">
        <v>636</v>
      </c>
      <c r="E623" s="24" t="s">
        <v>637</v>
      </c>
      <c r="F623" s="24"/>
      <c r="G623" s="24" t="s">
        <v>194</v>
      </c>
      <c r="H623" s="24" t="s">
        <v>62</v>
      </c>
      <c r="I623" s="24">
        <v>2018</v>
      </c>
      <c r="J623" s="24"/>
      <c r="K623" s="24" t="s">
        <v>63</v>
      </c>
      <c r="L623" s="24" t="s">
        <v>64</v>
      </c>
      <c r="M623" s="24">
        <v>1</v>
      </c>
      <c r="N623" s="41">
        <f t="shared" si="242"/>
        <v>2898500</v>
      </c>
      <c r="O623" s="41">
        <v>2898500</v>
      </c>
      <c r="P623" s="24"/>
      <c r="Q623" s="24"/>
      <c r="R623" s="24"/>
      <c r="S623" s="41">
        <f t="shared" si="251"/>
        <v>2898500</v>
      </c>
      <c r="T623" s="24">
        <v>5</v>
      </c>
      <c r="U623" s="41">
        <f t="shared" si="244"/>
        <v>579700</v>
      </c>
      <c r="V623" s="24">
        <v>0.5</v>
      </c>
      <c r="W623" s="41">
        <f t="shared" si="247"/>
        <v>289850</v>
      </c>
      <c r="X623" s="24"/>
      <c r="Y623" s="41">
        <f t="shared" si="250"/>
        <v>0</v>
      </c>
      <c r="Z623" s="41">
        <f t="shared" si="245"/>
        <v>289850</v>
      </c>
      <c r="AA623" s="24">
        <f t="shared" si="248"/>
        <v>4.833333333333333</v>
      </c>
      <c r="AB623" s="41">
        <f t="shared" si="249"/>
        <v>2801883.333333333</v>
      </c>
      <c r="AC623" s="41">
        <f t="shared" si="252"/>
        <v>96616.666666666977</v>
      </c>
      <c r="AD623" s="70" t="s">
        <v>642</v>
      </c>
      <c r="AE623" s="70"/>
      <c r="AF623" s="1">
        <v>2512033.333333333</v>
      </c>
      <c r="AG623" s="5">
        <f t="shared" si="222"/>
        <v>0</v>
      </c>
      <c r="AH623" s="5"/>
    </row>
    <row r="624" spans="1:34" s="1" customFormat="1" x14ac:dyDescent="0.25">
      <c r="A624" s="49">
        <v>99</v>
      </c>
      <c r="B624" s="22" t="s">
        <v>1711</v>
      </c>
      <c r="C624" s="22" t="s">
        <v>140</v>
      </c>
      <c r="D624" s="51" t="s">
        <v>636</v>
      </c>
      <c r="E624" s="24" t="s">
        <v>637</v>
      </c>
      <c r="F624" s="24"/>
      <c r="G624" s="24" t="s">
        <v>194</v>
      </c>
      <c r="H624" s="24" t="s">
        <v>62</v>
      </c>
      <c r="I624" s="24">
        <v>2018</v>
      </c>
      <c r="J624" s="24"/>
      <c r="K624" s="24" t="s">
        <v>63</v>
      </c>
      <c r="L624" s="24" t="s">
        <v>64</v>
      </c>
      <c r="M624" s="24">
        <v>1</v>
      </c>
      <c r="N624" s="41">
        <f t="shared" si="242"/>
        <v>2898500</v>
      </c>
      <c r="O624" s="41">
        <v>2898500</v>
      </c>
      <c r="P624" s="24"/>
      <c r="Q624" s="24"/>
      <c r="R624" s="24"/>
      <c r="S624" s="41">
        <f t="shared" si="251"/>
        <v>2898500</v>
      </c>
      <c r="T624" s="24">
        <v>5</v>
      </c>
      <c r="U624" s="41">
        <f t="shared" si="244"/>
        <v>579700</v>
      </c>
      <c r="V624" s="24">
        <v>0.5</v>
      </c>
      <c r="W624" s="41">
        <f t="shared" si="247"/>
        <v>289850</v>
      </c>
      <c r="X624" s="24"/>
      <c r="Y624" s="41">
        <f t="shared" si="250"/>
        <v>0</v>
      </c>
      <c r="Z624" s="41">
        <f t="shared" si="245"/>
        <v>289850</v>
      </c>
      <c r="AA624" s="24">
        <f t="shared" si="248"/>
        <v>4.833333333333333</v>
      </c>
      <c r="AB624" s="41">
        <f t="shared" si="249"/>
        <v>2801883.333333333</v>
      </c>
      <c r="AC624" s="41">
        <f t="shared" si="252"/>
        <v>96616.666666666977</v>
      </c>
      <c r="AD624" s="70" t="s">
        <v>643</v>
      </c>
      <c r="AE624" s="70"/>
      <c r="AF624" s="1">
        <v>2512033.333333333</v>
      </c>
      <c r="AG624" s="5">
        <f t="shared" si="222"/>
        <v>0</v>
      </c>
      <c r="AH624" s="5"/>
    </row>
    <row r="625" spans="1:34" s="1" customFormat="1" x14ac:dyDescent="0.25">
      <c r="A625" s="49">
        <v>100</v>
      </c>
      <c r="B625" s="22" t="s">
        <v>1711</v>
      </c>
      <c r="C625" s="22" t="s">
        <v>143</v>
      </c>
      <c r="D625" s="51" t="s">
        <v>636</v>
      </c>
      <c r="E625" s="24" t="s">
        <v>637</v>
      </c>
      <c r="F625" s="24"/>
      <c r="G625" s="24" t="s">
        <v>194</v>
      </c>
      <c r="H625" s="24" t="s">
        <v>62</v>
      </c>
      <c r="I625" s="24">
        <v>2018</v>
      </c>
      <c r="J625" s="24"/>
      <c r="K625" s="24" t="s">
        <v>63</v>
      </c>
      <c r="L625" s="24" t="s">
        <v>64</v>
      </c>
      <c r="M625" s="24">
        <v>1</v>
      </c>
      <c r="N625" s="41">
        <f t="shared" si="242"/>
        <v>2898500</v>
      </c>
      <c r="O625" s="41">
        <v>2898500</v>
      </c>
      <c r="P625" s="24"/>
      <c r="Q625" s="24"/>
      <c r="R625" s="24"/>
      <c r="S625" s="41">
        <f t="shared" si="251"/>
        <v>2898500</v>
      </c>
      <c r="T625" s="24">
        <v>5</v>
      </c>
      <c r="U625" s="41">
        <f t="shared" si="244"/>
        <v>579700</v>
      </c>
      <c r="V625" s="24">
        <v>0.5</v>
      </c>
      <c r="W625" s="41">
        <f t="shared" si="247"/>
        <v>289850</v>
      </c>
      <c r="X625" s="24"/>
      <c r="Y625" s="41">
        <f t="shared" si="250"/>
        <v>0</v>
      </c>
      <c r="Z625" s="41">
        <f t="shared" si="245"/>
        <v>289850</v>
      </c>
      <c r="AA625" s="24">
        <f t="shared" si="248"/>
        <v>4.833333333333333</v>
      </c>
      <c r="AB625" s="41">
        <f t="shared" si="249"/>
        <v>2801883.333333333</v>
      </c>
      <c r="AC625" s="41">
        <f t="shared" si="252"/>
        <v>96616.666666666977</v>
      </c>
      <c r="AD625" s="70" t="s">
        <v>644</v>
      </c>
      <c r="AE625" s="70"/>
      <c r="AF625" s="1">
        <v>2512033.333333333</v>
      </c>
      <c r="AG625" s="5">
        <f t="shared" si="222"/>
        <v>0</v>
      </c>
      <c r="AH625" s="5"/>
    </row>
    <row r="626" spans="1:34" s="1" customFormat="1" x14ac:dyDescent="0.25">
      <c r="A626" s="49">
        <v>101</v>
      </c>
      <c r="B626" s="22" t="s">
        <v>1711</v>
      </c>
      <c r="C626" s="22" t="s">
        <v>146</v>
      </c>
      <c r="D626" s="51" t="s">
        <v>636</v>
      </c>
      <c r="E626" s="24" t="s">
        <v>637</v>
      </c>
      <c r="F626" s="24"/>
      <c r="G626" s="24" t="s">
        <v>194</v>
      </c>
      <c r="H626" s="24" t="s">
        <v>62</v>
      </c>
      <c r="I626" s="24">
        <v>2018</v>
      </c>
      <c r="J626" s="24"/>
      <c r="K626" s="24" t="s">
        <v>63</v>
      </c>
      <c r="L626" s="24" t="s">
        <v>64</v>
      </c>
      <c r="M626" s="24">
        <v>1</v>
      </c>
      <c r="N626" s="41">
        <f t="shared" si="242"/>
        <v>2898500</v>
      </c>
      <c r="O626" s="41">
        <v>2898500</v>
      </c>
      <c r="P626" s="24"/>
      <c r="Q626" s="24"/>
      <c r="R626" s="24"/>
      <c r="S626" s="41">
        <f t="shared" si="251"/>
        <v>2898500</v>
      </c>
      <c r="T626" s="24">
        <v>5</v>
      </c>
      <c r="U626" s="41">
        <f t="shared" si="244"/>
        <v>579700</v>
      </c>
      <c r="V626" s="24">
        <v>0.5</v>
      </c>
      <c r="W626" s="41">
        <f t="shared" si="247"/>
        <v>289850</v>
      </c>
      <c r="X626" s="24"/>
      <c r="Y626" s="41">
        <f t="shared" si="250"/>
        <v>0</v>
      </c>
      <c r="Z626" s="41">
        <f t="shared" si="245"/>
        <v>289850</v>
      </c>
      <c r="AA626" s="24">
        <f t="shared" si="248"/>
        <v>4.833333333333333</v>
      </c>
      <c r="AB626" s="41">
        <f t="shared" si="249"/>
        <v>2801883.333333333</v>
      </c>
      <c r="AC626" s="41">
        <f t="shared" si="252"/>
        <v>96616.666666666977</v>
      </c>
      <c r="AD626" s="70" t="s">
        <v>645</v>
      </c>
      <c r="AE626" s="70"/>
      <c r="AF626" s="1">
        <v>2512033.333333333</v>
      </c>
      <c r="AG626" s="5">
        <f t="shared" si="222"/>
        <v>0</v>
      </c>
      <c r="AH626" s="5"/>
    </row>
    <row r="627" spans="1:34" s="1" customFormat="1" x14ac:dyDescent="0.25">
      <c r="A627" s="49">
        <v>102</v>
      </c>
      <c r="B627" s="22" t="s">
        <v>1711</v>
      </c>
      <c r="C627" s="22" t="s">
        <v>150</v>
      </c>
      <c r="D627" s="51" t="s">
        <v>636</v>
      </c>
      <c r="E627" s="24" t="s">
        <v>637</v>
      </c>
      <c r="F627" s="24"/>
      <c r="G627" s="24" t="s">
        <v>194</v>
      </c>
      <c r="H627" s="24" t="s">
        <v>62</v>
      </c>
      <c r="I627" s="24">
        <v>2018</v>
      </c>
      <c r="J627" s="24"/>
      <c r="K627" s="24" t="s">
        <v>63</v>
      </c>
      <c r="L627" s="24" t="s">
        <v>64</v>
      </c>
      <c r="M627" s="24">
        <v>1</v>
      </c>
      <c r="N627" s="41">
        <f t="shared" si="242"/>
        <v>2898500</v>
      </c>
      <c r="O627" s="41">
        <v>2898500</v>
      </c>
      <c r="P627" s="24"/>
      <c r="Q627" s="24"/>
      <c r="R627" s="24"/>
      <c r="S627" s="41">
        <f t="shared" si="251"/>
        <v>2898500</v>
      </c>
      <c r="T627" s="24">
        <v>5</v>
      </c>
      <c r="U627" s="41">
        <f t="shared" si="244"/>
        <v>579700</v>
      </c>
      <c r="V627" s="24">
        <v>0.5</v>
      </c>
      <c r="W627" s="41">
        <f t="shared" si="247"/>
        <v>289850</v>
      </c>
      <c r="X627" s="24"/>
      <c r="Y627" s="41">
        <f t="shared" si="250"/>
        <v>0</v>
      </c>
      <c r="Z627" s="41">
        <f t="shared" si="245"/>
        <v>289850</v>
      </c>
      <c r="AA627" s="24">
        <f t="shared" si="248"/>
        <v>4.833333333333333</v>
      </c>
      <c r="AB627" s="41">
        <f t="shared" si="249"/>
        <v>2801883.333333333</v>
      </c>
      <c r="AC627" s="41">
        <f t="shared" si="252"/>
        <v>96616.666666666977</v>
      </c>
      <c r="AD627" s="70" t="s">
        <v>646</v>
      </c>
      <c r="AE627" s="70"/>
      <c r="AF627" s="1">
        <v>2512033.333333333</v>
      </c>
      <c r="AG627" s="5">
        <f t="shared" si="222"/>
        <v>0</v>
      </c>
      <c r="AH627" s="5"/>
    </row>
    <row r="628" spans="1:34" s="1" customFormat="1" x14ac:dyDescent="0.25">
      <c r="A628" s="49">
        <v>103</v>
      </c>
      <c r="B628" s="22" t="s">
        <v>1711</v>
      </c>
      <c r="C628" s="22" t="s">
        <v>153</v>
      </c>
      <c r="D628" s="51" t="s">
        <v>636</v>
      </c>
      <c r="E628" s="24" t="s">
        <v>637</v>
      </c>
      <c r="F628" s="24"/>
      <c r="G628" s="24" t="s">
        <v>194</v>
      </c>
      <c r="H628" s="24" t="s">
        <v>62</v>
      </c>
      <c r="I628" s="24">
        <v>2018</v>
      </c>
      <c r="J628" s="24"/>
      <c r="K628" s="24" t="s">
        <v>63</v>
      </c>
      <c r="L628" s="24" t="s">
        <v>64</v>
      </c>
      <c r="M628" s="24">
        <v>1</v>
      </c>
      <c r="N628" s="41">
        <f t="shared" si="242"/>
        <v>2898500</v>
      </c>
      <c r="O628" s="41">
        <v>2898500</v>
      </c>
      <c r="P628" s="24"/>
      <c r="Q628" s="24"/>
      <c r="R628" s="24"/>
      <c r="S628" s="41">
        <f t="shared" si="251"/>
        <v>2898500</v>
      </c>
      <c r="T628" s="24">
        <v>5</v>
      </c>
      <c r="U628" s="41">
        <f>SUM(S628/T628)</f>
        <v>579700</v>
      </c>
      <c r="V628" s="24">
        <v>0.5</v>
      </c>
      <c r="W628" s="41">
        <f t="shared" si="247"/>
        <v>289850</v>
      </c>
      <c r="X628" s="24"/>
      <c r="Y628" s="41">
        <f t="shared" si="250"/>
        <v>0</v>
      </c>
      <c r="Z628" s="41">
        <f t="shared" ref="Z628:Z629" si="253">SUM(W628+Y628)</f>
        <v>289850</v>
      </c>
      <c r="AA628" s="24">
        <f t="shared" si="248"/>
        <v>4.833333333333333</v>
      </c>
      <c r="AB628" s="41">
        <f t="shared" si="249"/>
        <v>2801883.333333333</v>
      </c>
      <c r="AC628" s="41">
        <f t="shared" si="252"/>
        <v>96616.666666666977</v>
      </c>
      <c r="AD628" s="70" t="s">
        <v>647</v>
      </c>
      <c r="AE628" s="70"/>
      <c r="AF628" s="1">
        <v>2512033.333333333</v>
      </c>
      <c r="AG628" s="5">
        <f t="shared" si="222"/>
        <v>0</v>
      </c>
      <c r="AH628" s="5"/>
    </row>
    <row r="629" spans="1:34" s="1" customFormat="1" x14ac:dyDescent="0.25">
      <c r="A629" s="49">
        <v>104</v>
      </c>
      <c r="B629" s="22" t="s">
        <v>1711</v>
      </c>
      <c r="C629" s="73" t="s">
        <v>806</v>
      </c>
      <c r="D629" s="51" t="s">
        <v>636</v>
      </c>
      <c r="E629" s="52" t="s">
        <v>648</v>
      </c>
      <c r="F629" s="52"/>
      <c r="G629" s="52" t="s">
        <v>194</v>
      </c>
      <c r="H629" s="52" t="s">
        <v>62</v>
      </c>
      <c r="I629" s="52">
        <v>2019</v>
      </c>
      <c r="J629" s="52"/>
      <c r="K629" s="52" t="s">
        <v>63</v>
      </c>
      <c r="L629" s="52" t="s">
        <v>64</v>
      </c>
      <c r="M629" s="52">
        <v>6</v>
      </c>
      <c r="N629" s="53">
        <f t="shared" si="242"/>
        <v>2900000</v>
      </c>
      <c r="O629" s="53">
        <v>17400000</v>
      </c>
      <c r="P629" s="52"/>
      <c r="Q629" s="52"/>
      <c r="R629" s="52"/>
      <c r="S629" s="53">
        <f t="shared" si="251"/>
        <v>17400000</v>
      </c>
      <c r="T629" s="52">
        <v>5</v>
      </c>
      <c r="U629" s="53">
        <f>SUM(S629/T629)</f>
        <v>3480000</v>
      </c>
      <c r="V629" s="52">
        <v>0.5</v>
      </c>
      <c r="W629" s="53">
        <f t="shared" si="247"/>
        <v>1740000</v>
      </c>
      <c r="X629" s="24"/>
      <c r="Y629" s="41">
        <f t="shared" si="250"/>
        <v>0</v>
      </c>
      <c r="Z629" s="41">
        <f t="shared" si="253"/>
        <v>1740000</v>
      </c>
      <c r="AA629" s="24">
        <f>2023-I629+V629+X629-11/12</f>
        <v>3.5833333333333335</v>
      </c>
      <c r="AB629" s="41">
        <f t="shared" si="249"/>
        <v>12470000</v>
      </c>
      <c r="AC629" s="41">
        <f t="shared" si="252"/>
        <v>4930000</v>
      </c>
      <c r="AD629" s="70"/>
      <c r="AE629" s="70"/>
      <c r="AF629" s="1">
        <v>10730000</v>
      </c>
      <c r="AG629" s="5">
        <f t="shared" si="222"/>
        <v>0</v>
      </c>
      <c r="AH629" s="5"/>
    </row>
    <row r="630" spans="1:34" s="1" customFormat="1" x14ac:dyDescent="0.25">
      <c r="A630" s="49">
        <v>105</v>
      </c>
      <c r="B630" s="22" t="s">
        <v>1712</v>
      </c>
      <c r="C630" s="22" t="s">
        <v>75</v>
      </c>
      <c r="D630" s="51" t="s">
        <v>914</v>
      </c>
      <c r="E630" s="24" t="s">
        <v>166</v>
      </c>
      <c r="F630" s="24"/>
      <c r="G630" s="24" t="s">
        <v>915</v>
      </c>
      <c r="H630" s="24" t="s">
        <v>62</v>
      </c>
      <c r="I630" s="24">
        <v>2012</v>
      </c>
      <c r="J630" s="24"/>
      <c r="K630" s="24" t="s">
        <v>63</v>
      </c>
      <c r="L630" s="24" t="s">
        <v>64</v>
      </c>
      <c r="M630" s="24">
        <v>1</v>
      </c>
      <c r="N630" s="41">
        <f t="shared" ref="N630:N632" si="254">SUM(O630/M630)</f>
        <v>11687500</v>
      </c>
      <c r="O630" s="41">
        <v>11687500</v>
      </c>
      <c r="P630" s="24"/>
      <c r="Q630" s="24"/>
      <c r="R630" s="24"/>
      <c r="S630" s="41">
        <f t="shared" si="251"/>
        <v>11687500</v>
      </c>
      <c r="T630" s="24">
        <v>5</v>
      </c>
      <c r="U630" s="41"/>
      <c r="V630" s="24">
        <v>0.5</v>
      </c>
      <c r="W630" s="41">
        <f t="shared" si="247"/>
        <v>0</v>
      </c>
      <c r="X630" s="24"/>
      <c r="Y630" s="41">
        <f t="shared" ref="Y630:Y644" si="255">SUM(U630*X630)</f>
        <v>0</v>
      </c>
      <c r="Z630" s="41">
        <f t="shared" ref="Z630:Z637" si="256">SUM(W630+Y630)</f>
        <v>0</v>
      </c>
      <c r="AA630" s="72">
        <v>5</v>
      </c>
      <c r="AB630" s="41">
        <v>11687500</v>
      </c>
      <c r="AC630" s="41">
        <f t="shared" si="252"/>
        <v>0</v>
      </c>
      <c r="AD630" s="70" t="s">
        <v>295</v>
      </c>
      <c r="AE630" s="70"/>
      <c r="AF630" s="1">
        <v>11687500</v>
      </c>
      <c r="AG630" s="5">
        <f t="shared" si="222"/>
        <v>0</v>
      </c>
      <c r="AH630" s="5"/>
    </row>
    <row r="631" spans="1:34" s="1" customFormat="1" x14ac:dyDescent="0.25">
      <c r="A631" s="49">
        <v>106</v>
      </c>
      <c r="B631" s="22" t="s">
        <v>1712</v>
      </c>
      <c r="C631" s="22" t="s">
        <v>79</v>
      </c>
      <c r="D631" s="51" t="s">
        <v>914</v>
      </c>
      <c r="E631" s="24" t="s">
        <v>166</v>
      </c>
      <c r="F631" s="24"/>
      <c r="G631" s="24" t="s">
        <v>915</v>
      </c>
      <c r="H631" s="24" t="s">
        <v>62</v>
      </c>
      <c r="I631" s="24">
        <v>2012</v>
      </c>
      <c r="J631" s="24"/>
      <c r="K631" s="24" t="s">
        <v>63</v>
      </c>
      <c r="L631" s="24" t="s">
        <v>64</v>
      </c>
      <c r="M631" s="24">
        <v>1</v>
      </c>
      <c r="N631" s="41">
        <f t="shared" si="254"/>
        <v>11687500</v>
      </c>
      <c r="O631" s="41">
        <v>11687500</v>
      </c>
      <c r="P631" s="24"/>
      <c r="Q631" s="24"/>
      <c r="R631" s="24"/>
      <c r="S631" s="41">
        <f t="shared" si="251"/>
        <v>11687500</v>
      </c>
      <c r="T631" s="24">
        <v>5</v>
      </c>
      <c r="U631" s="41"/>
      <c r="V631" s="24">
        <v>0.5</v>
      </c>
      <c r="W631" s="41">
        <f t="shared" si="247"/>
        <v>0</v>
      </c>
      <c r="X631" s="24"/>
      <c r="Y631" s="41">
        <f t="shared" si="255"/>
        <v>0</v>
      </c>
      <c r="Z631" s="41">
        <f t="shared" si="256"/>
        <v>0</v>
      </c>
      <c r="AA631" s="72">
        <v>5</v>
      </c>
      <c r="AB631" s="41">
        <v>11687500</v>
      </c>
      <c r="AC631" s="41">
        <f t="shared" si="252"/>
        <v>0</v>
      </c>
      <c r="AD631" s="70" t="s">
        <v>297</v>
      </c>
      <c r="AE631" s="70"/>
      <c r="AF631" s="1">
        <v>11687500</v>
      </c>
      <c r="AG631" s="5">
        <f t="shared" si="222"/>
        <v>0</v>
      </c>
      <c r="AH631" s="5"/>
    </row>
    <row r="632" spans="1:34" s="1" customFormat="1" x14ac:dyDescent="0.25">
      <c r="A632" s="49">
        <v>107</v>
      </c>
      <c r="B632" s="22" t="s">
        <v>1712</v>
      </c>
      <c r="C632" s="22" t="s">
        <v>84</v>
      </c>
      <c r="D632" s="51" t="s">
        <v>916</v>
      </c>
      <c r="E632" s="24" t="s">
        <v>166</v>
      </c>
      <c r="F632" s="24"/>
      <c r="G632" s="24" t="s">
        <v>319</v>
      </c>
      <c r="H632" s="24" t="s">
        <v>62</v>
      </c>
      <c r="I632" s="24">
        <v>2012</v>
      </c>
      <c r="J632" s="24"/>
      <c r="K632" s="24" t="s">
        <v>63</v>
      </c>
      <c r="L632" s="24" t="s">
        <v>64</v>
      </c>
      <c r="M632" s="24">
        <v>1</v>
      </c>
      <c r="N632" s="41">
        <f t="shared" si="254"/>
        <v>4294000</v>
      </c>
      <c r="O632" s="41">
        <v>4294000</v>
      </c>
      <c r="P632" s="24"/>
      <c r="Q632" s="24"/>
      <c r="R632" s="24"/>
      <c r="S632" s="41">
        <f t="shared" si="251"/>
        <v>4294000</v>
      </c>
      <c r="T632" s="24">
        <v>5</v>
      </c>
      <c r="U632" s="41"/>
      <c r="V632" s="24">
        <v>0.5</v>
      </c>
      <c r="W632" s="41">
        <f t="shared" si="247"/>
        <v>0</v>
      </c>
      <c r="X632" s="24"/>
      <c r="Y632" s="41">
        <f t="shared" si="255"/>
        <v>0</v>
      </c>
      <c r="Z632" s="41">
        <f t="shared" si="256"/>
        <v>0</v>
      </c>
      <c r="AA632" s="72">
        <v>5</v>
      </c>
      <c r="AB632" s="41">
        <v>4294000</v>
      </c>
      <c r="AC632" s="41">
        <f t="shared" si="252"/>
        <v>0</v>
      </c>
      <c r="AD632" s="70" t="s">
        <v>917</v>
      </c>
      <c r="AE632" s="70"/>
      <c r="AF632" s="1">
        <v>4294000</v>
      </c>
      <c r="AG632" s="5">
        <f t="shared" si="222"/>
        <v>0</v>
      </c>
      <c r="AH632" s="5"/>
    </row>
    <row r="633" spans="1:34" s="1" customFormat="1" x14ac:dyDescent="0.25">
      <c r="A633" s="49">
        <v>108</v>
      </c>
      <c r="B633" s="22" t="s">
        <v>1713</v>
      </c>
      <c r="C633" s="22" t="s">
        <v>58</v>
      </c>
      <c r="D633" s="51" t="s">
        <v>674</v>
      </c>
      <c r="E633" s="24" t="s">
        <v>675</v>
      </c>
      <c r="F633" s="24"/>
      <c r="G633" s="24" t="s">
        <v>194</v>
      </c>
      <c r="H633" s="24" t="s">
        <v>62</v>
      </c>
      <c r="I633" s="24">
        <v>2012</v>
      </c>
      <c r="J633" s="24"/>
      <c r="K633" s="24" t="s">
        <v>63</v>
      </c>
      <c r="L633" s="24" t="s">
        <v>64</v>
      </c>
      <c r="M633" s="24">
        <v>1</v>
      </c>
      <c r="N633" s="41">
        <f t="shared" ref="N633:N636" si="257">SUM(O633/M633)</f>
        <v>6500000</v>
      </c>
      <c r="O633" s="41">
        <v>6500000</v>
      </c>
      <c r="P633" s="24"/>
      <c r="Q633" s="24"/>
      <c r="R633" s="24"/>
      <c r="S633" s="41">
        <f t="shared" si="251"/>
        <v>6500000</v>
      </c>
      <c r="T633" s="24">
        <v>5</v>
      </c>
      <c r="U633" s="41"/>
      <c r="V633" s="24">
        <v>0.5</v>
      </c>
      <c r="W633" s="41">
        <f t="shared" si="247"/>
        <v>0</v>
      </c>
      <c r="X633" s="24"/>
      <c r="Y633" s="41">
        <f t="shared" si="255"/>
        <v>0</v>
      </c>
      <c r="Z633" s="41">
        <f t="shared" si="256"/>
        <v>0</v>
      </c>
      <c r="AA633" s="24">
        <v>5</v>
      </c>
      <c r="AB633" s="41">
        <v>6500000</v>
      </c>
      <c r="AC633" s="41">
        <f t="shared" si="252"/>
        <v>0</v>
      </c>
      <c r="AD633" s="70" t="s">
        <v>354</v>
      </c>
      <c r="AE633" s="70"/>
      <c r="AG633" s="5">
        <f t="shared" si="222"/>
        <v>-6500000</v>
      </c>
      <c r="AH633" s="5"/>
    </row>
    <row r="634" spans="1:34" s="1" customFormat="1" x14ac:dyDescent="0.25">
      <c r="A634" s="49">
        <v>109</v>
      </c>
      <c r="B634" s="22" t="s">
        <v>1714</v>
      </c>
      <c r="C634" s="22" t="s">
        <v>58</v>
      </c>
      <c r="D634" s="51" t="s">
        <v>699</v>
      </c>
      <c r="E634" s="24" t="s">
        <v>700</v>
      </c>
      <c r="F634" s="24"/>
      <c r="G634" s="24" t="s">
        <v>701</v>
      </c>
      <c r="H634" s="24" t="s">
        <v>62</v>
      </c>
      <c r="I634" s="24">
        <v>2011</v>
      </c>
      <c r="J634" s="24"/>
      <c r="K634" s="24" t="s">
        <v>63</v>
      </c>
      <c r="L634" s="24" t="s">
        <v>64</v>
      </c>
      <c r="M634" s="24">
        <v>1</v>
      </c>
      <c r="N634" s="41">
        <f t="shared" si="257"/>
        <v>11881800</v>
      </c>
      <c r="O634" s="41">
        <v>11881800</v>
      </c>
      <c r="P634" s="24"/>
      <c r="Q634" s="24"/>
      <c r="R634" s="24"/>
      <c r="S634" s="41">
        <f t="shared" si="251"/>
        <v>11881800</v>
      </c>
      <c r="T634" s="24">
        <v>5</v>
      </c>
      <c r="U634" s="41"/>
      <c r="V634" s="24">
        <v>0.5</v>
      </c>
      <c r="W634" s="41">
        <f t="shared" si="247"/>
        <v>0</v>
      </c>
      <c r="X634" s="24"/>
      <c r="Y634" s="41">
        <f t="shared" si="255"/>
        <v>0</v>
      </c>
      <c r="Z634" s="41">
        <f t="shared" si="256"/>
        <v>0</v>
      </c>
      <c r="AA634" s="72">
        <v>5</v>
      </c>
      <c r="AB634" s="41">
        <v>11881800</v>
      </c>
      <c r="AC634" s="41">
        <f t="shared" si="252"/>
        <v>0</v>
      </c>
      <c r="AD634" s="70" t="s">
        <v>630</v>
      </c>
      <c r="AE634" s="70"/>
      <c r="AG634" s="5">
        <f t="shared" si="222"/>
        <v>-11881800</v>
      </c>
      <c r="AH634" s="5"/>
    </row>
    <row r="635" spans="1:34" s="1" customFormat="1" x14ac:dyDescent="0.25">
      <c r="A635" s="49">
        <v>110</v>
      </c>
      <c r="B635" s="22" t="s">
        <v>1714</v>
      </c>
      <c r="C635" s="22" t="s">
        <v>75</v>
      </c>
      <c r="D635" s="51" t="s">
        <v>699</v>
      </c>
      <c r="E635" s="24" t="s">
        <v>705</v>
      </c>
      <c r="F635" s="24"/>
      <c r="G635" s="24" t="s">
        <v>201</v>
      </c>
      <c r="H635" s="24" t="s">
        <v>62</v>
      </c>
      <c r="I635" s="24">
        <v>2014</v>
      </c>
      <c r="J635" s="24"/>
      <c r="K635" s="24" t="s">
        <v>285</v>
      </c>
      <c r="L635" s="24" t="s">
        <v>64</v>
      </c>
      <c r="M635" s="24">
        <v>74</v>
      </c>
      <c r="N635" s="41">
        <f t="shared" si="257"/>
        <v>550000</v>
      </c>
      <c r="O635" s="41">
        <v>40700000</v>
      </c>
      <c r="P635" s="24"/>
      <c r="Q635" s="24"/>
      <c r="R635" s="24"/>
      <c r="S635" s="41">
        <f t="shared" si="251"/>
        <v>40700000</v>
      </c>
      <c r="T635" s="24">
        <v>5</v>
      </c>
      <c r="U635" s="41"/>
      <c r="V635" s="24">
        <v>0.5</v>
      </c>
      <c r="W635" s="41">
        <f t="shared" si="247"/>
        <v>0</v>
      </c>
      <c r="X635" s="24"/>
      <c r="Y635" s="41">
        <f t="shared" si="255"/>
        <v>0</v>
      </c>
      <c r="Z635" s="41">
        <f t="shared" si="256"/>
        <v>0</v>
      </c>
      <c r="AA635" s="69">
        <v>5.25</v>
      </c>
      <c r="AB635" s="41">
        <v>40700000</v>
      </c>
      <c r="AC635" s="41">
        <f t="shared" si="252"/>
        <v>0</v>
      </c>
      <c r="AD635" s="70" t="s">
        <v>354</v>
      </c>
      <c r="AE635" s="70"/>
      <c r="AG635" s="5">
        <f t="shared" si="222"/>
        <v>-40700000</v>
      </c>
      <c r="AH635" s="5"/>
    </row>
    <row r="636" spans="1:34" s="1" customFormat="1" x14ac:dyDescent="0.25">
      <c r="A636" s="49">
        <v>111</v>
      </c>
      <c r="B636" s="22" t="s">
        <v>1714</v>
      </c>
      <c r="C636" s="22" t="s">
        <v>79</v>
      </c>
      <c r="D636" s="51" t="s">
        <v>699</v>
      </c>
      <c r="E636" s="24" t="s">
        <v>166</v>
      </c>
      <c r="F636" s="24"/>
      <c r="G636" s="24" t="s">
        <v>201</v>
      </c>
      <c r="H636" s="24" t="s">
        <v>62</v>
      </c>
      <c r="I636" s="24">
        <v>2015</v>
      </c>
      <c r="J636" s="24"/>
      <c r="K636" s="24" t="s">
        <v>63</v>
      </c>
      <c r="L636" s="24" t="s">
        <v>64</v>
      </c>
      <c r="M636" s="24">
        <v>1</v>
      </c>
      <c r="N636" s="41">
        <f t="shared" si="257"/>
        <v>3498000</v>
      </c>
      <c r="O636" s="41">
        <v>3498000</v>
      </c>
      <c r="P636" s="24"/>
      <c r="Q636" s="24"/>
      <c r="R636" s="24"/>
      <c r="S636" s="41">
        <f t="shared" si="251"/>
        <v>3498000</v>
      </c>
      <c r="T636" s="24">
        <v>5</v>
      </c>
      <c r="U636" s="41">
        <f>SUM(S636/T636)</f>
        <v>699600</v>
      </c>
      <c r="V636" s="24">
        <v>0.5</v>
      </c>
      <c r="W636" s="41"/>
      <c r="X636" s="24"/>
      <c r="Y636" s="41">
        <f t="shared" si="255"/>
        <v>0</v>
      </c>
      <c r="Z636" s="41">
        <f t="shared" si="256"/>
        <v>0</v>
      </c>
      <c r="AA636" s="69">
        <v>5.25</v>
      </c>
      <c r="AB636" s="41">
        <v>3498000</v>
      </c>
      <c r="AC636" s="41">
        <f t="shared" si="252"/>
        <v>0</v>
      </c>
      <c r="AD636" s="70" t="s">
        <v>350</v>
      </c>
      <c r="AE636" s="70"/>
      <c r="AG636" s="5">
        <f t="shared" si="222"/>
        <v>-3498000</v>
      </c>
      <c r="AH636" s="5"/>
    </row>
    <row r="637" spans="1:34" s="1" customFormat="1" x14ac:dyDescent="0.25">
      <c r="A637" s="49">
        <v>112</v>
      </c>
      <c r="B637" s="22" t="s">
        <v>1714</v>
      </c>
      <c r="C637" s="50" t="s">
        <v>84</v>
      </c>
      <c r="D637" s="51" t="s">
        <v>699</v>
      </c>
      <c r="E637" s="52" t="s">
        <v>166</v>
      </c>
      <c r="F637" s="52"/>
      <c r="G637" s="52" t="s">
        <v>201</v>
      </c>
      <c r="H637" s="52" t="s">
        <v>62</v>
      </c>
      <c r="I637" s="52">
        <v>2019</v>
      </c>
      <c r="J637" s="52"/>
      <c r="K637" s="52" t="s">
        <v>63</v>
      </c>
      <c r="L637" s="52" t="s">
        <v>64</v>
      </c>
      <c r="M637" s="52">
        <v>1</v>
      </c>
      <c r="N637" s="53">
        <v>3000000</v>
      </c>
      <c r="O637" s="53">
        <v>3000000</v>
      </c>
      <c r="P637" s="52"/>
      <c r="Q637" s="52"/>
      <c r="R637" s="52"/>
      <c r="S637" s="53">
        <f t="shared" si="251"/>
        <v>3000000</v>
      </c>
      <c r="T637" s="52">
        <v>5</v>
      </c>
      <c r="U637" s="53">
        <f>SUM(S637/T637)</f>
        <v>600000</v>
      </c>
      <c r="V637" s="52">
        <v>0.5</v>
      </c>
      <c r="W637" s="53">
        <f t="shared" ref="W637:W638" si="258">SUM(U637*V637)</f>
        <v>300000</v>
      </c>
      <c r="X637" s="24"/>
      <c r="Y637" s="41">
        <f t="shared" si="255"/>
        <v>0</v>
      </c>
      <c r="Z637" s="41">
        <f t="shared" si="256"/>
        <v>300000</v>
      </c>
      <c r="AA637" s="178">
        <f>2023-I637+V637+X637-11/12</f>
        <v>3.5833333333333335</v>
      </c>
      <c r="AB637" s="41">
        <f>SUM(U637*AA637)</f>
        <v>2150000</v>
      </c>
      <c r="AC637" s="41">
        <f t="shared" si="252"/>
        <v>850000</v>
      </c>
      <c r="AD637" s="70" t="s">
        <v>635</v>
      </c>
      <c r="AE637" s="70"/>
      <c r="AG637" s="5">
        <f t="shared" ref="AG637:AG700" si="259">AF637+Z637-AB637</f>
        <v>-1850000</v>
      </c>
      <c r="AH637" s="5"/>
    </row>
    <row r="638" spans="1:34" s="1" customFormat="1" x14ac:dyDescent="0.25">
      <c r="A638" s="49">
        <v>113</v>
      </c>
      <c r="B638" s="22" t="s">
        <v>1714</v>
      </c>
      <c r="C638" s="73" t="s">
        <v>88</v>
      </c>
      <c r="D638" s="51" t="s">
        <v>699</v>
      </c>
      <c r="E638" s="52" t="s">
        <v>166</v>
      </c>
      <c r="F638" s="52"/>
      <c r="G638" s="52" t="s">
        <v>201</v>
      </c>
      <c r="H638" s="52" t="s">
        <v>62</v>
      </c>
      <c r="I638" s="52">
        <v>2020</v>
      </c>
      <c r="J638" s="52"/>
      <c r="K638" s="52" t="s">
        <v>63</v>
      </c>
      <c r="L638" s="52" t="s">
        <v>64</v>
      </c>
      <c r="M638" s="52">
        <v>1</v>
      </c>
      <c r="N638" s="53">
        <f t="shared" ref="N638" si="260">SUM(O638/M638)</f>
        <v>5000000</v>
      </c>
      <c r="O638" s="53">
        <v>5000000</v>
      </c>
      <c r="P638" s="52"/>
      <c r="Q638" s="52"/>
      <c r="R638" s="52"/>
      <c r="S638" s="53">
        <f t="shared" si="251"/>
        <v>5000000</v>
      </c>
      <c r="T638" s="52">
        <v>5</v>
      </c>
      <c r="U638" s="53">
        <f>SUM(S638/T638)</f>
        <v>1000000</v>
      </c>
      <c r="V638" s="52">
        <v>0.5</v>
      </c>
      <c r="W638" s="53">
        <f t="shared" si="258"/>
        <v>500000</v>
      </c>
      <c r="X638" s="24"/>
      <c r="Y638" s="41">
        <f t="shared" si="255"/>
        <v>0</v>
      </c>
      <c r="Z638" s="41">
        <f t="shared" ref="Z638" si="261">SUM(W638+Y638)</f>
        <v>500000</v>
      </c>
      <c r="AA638" s="178">
        <f>2023-I638+V638+X638-11/12</f>
        <v>2.5833333333333335</v>
      </c>
      <c r="AB638" s="41">
        <f>SUM(U638*AA638)</f>
        <v>2583333.3333333335</v>
      </c>
      <c r="AC638" s="41">
        <f t="shared" si="252"/>
        <v>2416666.6666666665</v>
      </c>
      <c r="AD638" s="70" t="s">
        <v>243</v>
      </c>
      <c r="AE638" s="70"/>
      <c r="AG638" s="5">
        <f t="shared" si="259"/>
        <v>-2083333.3333333335</v>
      </c>
      <c r="AH638" s="5"/>
    </row>
    <row r="639" spans="1:34" s="1" customFormat="1" x14ac:dyDescent="0.25">
      <c r="A639" s="49">
        <v>114</v>
      </c>
      <c r="B639" s="22" t="s">
        <v>1715</v>
      </c>
      <c r="C639" s="22" t="s">
        <v>58</v>
      </c>
      <c r="D639" s="51" t="s">
        <v>1050</v>
      </c>
      <c r="E639" s="24" t="s">
        <v>166</v>
      </c>
      <c r="F639" s="24"/>
      <c r="G639" s="24" t="s">
        <v>201</v>
      </c>
      <c r="H639" s="24" t="s">
        <v>62</v>
      </c>
      <c r="I639" s="24">
        <v>2017</v>
      </c>
      <c r="J639" s="24"/>
      <c r="K639" s="24" t="s">
        <v>261</v>
      </c>
      <c r="L639" s="24" t="s">
        <v>64</v>
      </c>
      <c r="M639" s="24">
        <v>1</v>
      </c>
      <c r="N639" s="41">
        <f t="shared" ref="N639:N645" si="262">SUM(O639/M639)</f>
        <v>19950000</v>
      </c>
      <c r="O639" s="41">
        <v>19950000</v>
      </c>
      <c r="P639" s="24"/>
      <c r="Q639" s="24"/>
      <c r="R639" s="24"/>
      <c r="S639" s="41">
        <f t="shared" si="251"/>
        <v>19950000</v>
      </c>
      <c r="T639" s="24">
        <v>5</v>
      </c>
      <c r="U639" s="41">
        <f>SUM(S639/T639)</f>
        <v>3990000</v>
      </c>
      <c r="V639" s="24"/>
      <c r="W639" s="41"/>
      <c r="X639" s="24"/>
      <c r="Y639" s="41">
        <f t="shared" si="255"/>
        <v>0</v>
      </c>
      <c r="Z639" s="41"/>
      <c r="AA639" s="72">
        <v>5</v>
      </c>
      <c r="AB639" s="41">
        <v>19950000</v>
      </c>
      <c r="AC639" s="41">
        <f t="shared" si="252"/>
        <v>0</v>
      </c>
      <c r="AD639" s="70" t="s">
        <v>195</v>
      </c>
      <c r="AE639" s="70"/>
      <c r="AF639" s="1">
        <v>19950000</v>
      </c>
      <c r="AG639" s="5">
        <f t="shared" si="259"/>
        <v>0</v>
      </c>
      <c r="AH639" s="5"/>
    </row>
    <row r="640" spans="1:34" s="1" customFormat="1" x14ac:dyDescent="0.25">
      <c r="A640" s="49">
        <v>115</v>
      </c>
      <c r="B640" s="22" t="s">
        <v>1716</v>
      </c>
      <c r="C640" s="22" t="s">
        <v>75</v>
      </c>
      <c r="D640" s="51" t="s">
        <v>629</v>
      </c>
      <c r="E640" s="24" t="s">
        <v>211</v>
      </c>
      <c r="F640" s="24"/>
      <c r="G640" s="24" t="s">
        <v>194</v>
      </c>
      <c r="H640" s="24" t="s">
        <v>62</v>
      </c>
      <c r="I640" s="24">
        <v>2012</v>
      </c>
      <c r="J640" s="24"/>
      <c r="K640" s="24" t="s">
        <v>63</v>
      </c>
      <c r="L640" s="24" t="s">
        <v>64</v>
      </c>
      <c r="M640" s="24">
        <v>1</v>
      </c>
      <c r="N640" s="41">
        <f t="shared" si="262"/>
        <v>582000</v>
      </c>
      <c r="O640" s="41">
        <v>582000</v>
      </c>
      <c r="P640" s="24"/>
      <c r="Q640" s="24"/>
      <c r="R640" s="24"/>
      <c r="S640" s="41">
        <f t="shared" si="251"/>
        <v>582000</v>
      </c>
      <c r="T640" s="24">
        <v>5</v>
      </c>
      <c r="U640" s="41"/>
      <c r="V640" s="24">
        <v>0.5</v>
      </c>
      <c r="W640" s="41">
        <f t="shared" ref="W640:W645" si="263">SUM(U640*V640)</f>
        <v>0</v>
      </c>
      <c r="X640" s="24"/>
      <c r="Y640" s="41">
        <f t="shared" si="255"/>
        <v>0</v>
      </c>
      <c r="Z640" s="41">
        <f t="shared" ref="Z640:Z645" si="264">SUM(W640+Y640)</f>
        <v>0</v>
      </c>
      <c r="AA640" s="72">
        <v>5</v>
      </c>
      <c r="AB640" s="41">
        <v>582000</v>
      </c>
      <c r="AC640" s="41">
        <f t="shared" si="252"/>
        <v>0</v>
      </c>
      <c r="AD640" s="70" t="s">
        <v>630</v>
      </c>
      <c r="AE640" s="70"/>
      <c r="AF640" s="1">
        <v>582000</v>
      </c>
      <c r="AG640" s="5">
        <f t="shared" si="259"/>
        <v>0</v>
      </c>
      <c r="AH640" s="5"/>
    </row>
    <row r="641" spans="1:34" s="1" customFormat="1" x14ac:dyDescent="0.25">
      <c r="A641" s="49">
        <v>116</v>
      </c>
      <c r="B641" s="50" t="s">
        <v>1717</v>
      </c>
      <c r="C641" s="50" t="s">
        <v>58</v>
      </c>
      <c r="D641" s="51" t="s">
        <v>399</v>
      </c>
      <c r="E641" s="52" t="s">
        <v>166</v>
      </c>
      <c r="F641" s="52"/>
      <c r="G641" s="52" t="s">
        <v>194</v>
      </c>
      <c r="H641" s="52" t="s">
        <v>62</v>
      </c>
      <c r="I641" s="52">
        <v>2017</v>
      </c>
      <c r="J641" s="52"/>
      <c r="K641" s="52" t="s">
        <v>261</v>
      </c>
      <c r="L641" s="52" t="s">
        <v>64</v>
      </c>
      <c r="M641" s="52">
        <v>1</v>
      </c>
      <c r="N641" s="53">
        <f>SUM(O641/M641)</f>
        <v>39270000</v>
      </c>
      <c r="O641" s="53">
        <v>39270000</v>
      </c>
      <c r="P641" s="52"/>
      <c r="Q641" s="52"/>
      <c r="R641" s="52"/>
      <c r="S641" s="53">
        <f t="shared" si="251"/>
        <v>39270000</v>
      </c>
      <c r="T641" s="52">
        <v>5</v>
      </c>
      <c r="U641" s="53">
        <f>SUM(S641/T641)</f>
        <v>7854000</v>
      </c>
      <c r="V641" s="52"/>
      <c r="W641" s="53"/>
      <c r="X641" s="52"/>
      <c r="Y641" s="53"/>
      <c r="Z641" s="53"/>
      <c r="AA641" s="57">
        <v>5</v>
      </c>
      <c r="AB641" s="53">
        <v>39270000</v>
      </c>
      <c r="AC641" s="53">
        <f t="shared" si="252"/>
        <v>0</v>
      </c>
      <c r="AD641" s="56" t="s">
        <v>400</v>
      </c>
      <c r="AE641" s="70"/>
      <c r="AF641" s="1">
        <v>39270000</v>
      </c>
      <c r="AG641" s="5">
        <f t="shared" si="259"/>
        <v>0</v>
      </c>
      <c r="AH641" s="5"/>
    </row>
    <row r="642" spans="1:34" s="1" customFormat="1" x14ac:dyDescent="0.25">
      <c r="A642" s="49">
        <v>117</v>
      </c>
      <c r="B642" s="22" t="s">
        <v>1718</v>
      </c>
      <c r="C642" s="22" t="s">
        <v>58</v>
      </c>
      <c r="D642" s="51" t="s">
        <v>1005</v>
      </c>
      <c r="E642" s="24" t="s">
        <v>1006</v>
      </c>
      <c r="F642" s="24"/>
      <c r="G642" s="24" t="s">
        <v>194</v>
      </c>
      <c r="H642" s="24" t="s">
        <v>62</v>
      </c>
      <c r="I642" s="24">
        <v>2012</v>
      </c>
      <c r="J642" s="24"/>
      <c r="K642" s="24" t="s">
        <v>63</v>
      </c>
      <c r="L642" s="24" t="s">
        <v>64</v>
      </c>
      <c r="M642" s="24">
        <v>1</v>
      </c>
      <c r="N642" s="41">
        <f t="shared" si="262"/>
        <v>948500</v>
      </c>
      <c r="O642" s="41">
        <v>948500</v>
      </c>
      <c r="P642" s="24"/>
      <c r="Q642" s="24"/>
      <c r="R642" s="24"/>
      <c r="S642" s="41">
        <f t="shared" si="251"/>
        <v>948500</v>
      </c>
      <c r="T642" s="24">
        <v>5</v>
      </c>
      <c r="U642" s="41"/>
      <c r="V642" s="24">
        <v>0.5</v>
      </c>
      <c r="W642" s="41">
        <f t="shared" si="263"/>
        <v>0</v>
      </c>
      <c r="X642" s="24"/>
      <c r="Y642" s="41">
        <f t="shared" si="255"/>
        <v>0</v>
      </c>
      <c r="Z642" s="41">
        <f t="shared" si="264"/>
        <v>0</v>
      </c>
      <c r="AA642" s="24">
        <v>5</v>
      </c>
      <c r="AB642" s="41">
        <v>948500</v>
      </c>
      <c r="AC642" s="41">
        <f t="shared" si="252"/>
        <v>0</v>
      </c>
      <c r="AD642" s="70" t="s">
        <v>942</v>
      </c>
      <c r="AE642" s="70"/>
      <c r="AF642" s="1">
        <v>948500</v>
      </c>
      <c r="AG642" s="5">
        <f t="shared" si="259"/>
        <v>0</v>
      </c>
      <c r="AH642" s="5"/>
    </row>
    <row r="643" spans="1:34" s="1" customFormat="1" x14ac:dyDescent="0.25">
      <c r="A643" s="49">
        <v>118</v>
      </c>
      <c r="B643" s="22" t="s">
        <v>1718</v>
      </c>
      <c r="C643" s="22" t="s">
        <v>75</v>
      </c>
      <c r="D643" s="51" t="s">
        <v>1007</v>
      </c>
      <c r="E643" s="24" t="s">
        <v>1006</v>
      </c>
      <c r="F643" s="24"/>
      <c r="G643" s="24" t="s">
        <v>194</v>
      </c>
      <c r="H643" s="24" t="s">
        <v>62</v>
      </c>
      <c r="I643" s="24">
        <v>2012</v>
      </c>
      <c r="J643" s="24"/>
      <c r="K643" s="24" t="s">
        <v>63</v>
      </c>
      <c r="L643" s="24" t="s">
        <v>64</v>
      </c>
      <c r="M643" s="24">
        <v>1</v>
      </c>
      <c r="N643" s="41">
        <f t="shared" si="262"/>
        <v>948500</v>
      </c>
      <c r="O643" s="41">
        <v>948500</v>
      </c>
      <c r="P643" s="24"/>
      <c r="Q643" s="24"/>
      <c r="R643" s="24"/>
      <c r="S643" s="41">
        <f t="shared" si="251"/>
        <v>948500</v>
      </c>
      <c r="T643" s="24">
        <v>5</v>
      </c>
      <c r="U643" s="41"/>
      <c r="V643" s="24">
        <v>0.5</v>
      </c>
      <c r="W643" s="41">
        <f t="shared" si="263"/>
        <v>0</v>
      </c>
      <c r="X643" s="24"/>
      <c r="Y643" s="41">
        <f t="shared" si="255"/>
        <v>0</v>
      </c>
      <c r="Z643" s="41">
        <f t="shared" si="264"/>
        <v>0</v>
      </c>
      <c r="AA643" s="24">
        <v>5</v>
      </c>
      <c r="AB643" s="41">
        <v>948500</v>
      </c>
      <c r="AC643" s="41">
        <f t="shared" si="252"/>
        <v>0</v>
      </c>
      <c r="AD643" s="70" t="s">
        <v>354</v>
      </c>
      <c r="AE643" s="70"/>
      <c r="AF643" s="1">
        <v>948500</v>
      </c>
      <c r="AG643" s="5">
        <f t="shared" si="259"/>
        <v>0</v>
      </c>
      <c r="AH643" s="5"/>
    </row>
    <row r="644" spans="1:34" s="1" customFormat="1" x14ac:dyDescent="0.25">
      <c r="A644" s="49">
        <v>119</v>
      </c>
      <c r="B644" s="22" t="s">
        <v>1718</v>
      </c>
      <c r="C644" s="73" t="s">
        <v>633</v>
      </c>
      <c r="D644" s="51" t="s">
        <v>1007</v>
      </c>
      <c r="E644" s="412"/>
      <c r="F644" s="413"/>
      <c r="G644" s="52" t="s">
        <v>194</v>
      </c>
      <c r="H644" s="52" t="s">
        <v>62</v>
      </c>
      <c r="I644" s="52">
        <v>2021</v>
      </c>
      <c r="J644" s="52"/>
      <c r="K644" s="52" t="s">
        <v>63</v>
      </c>
      <c r="L644" s="52" t="s">
        <v>64</v>
      </c>
      <c r="M644" s="52">
        <v>2</v>
      </c>
      <c r="N644" s="53">
        <f t="shared" si="262"/>
        <v>4280077.5</v>
      </c>
      <c r="O644" s="53">
        <v>8560155</v>
      </c>
      <c r="P644" s="52"/>
      <c r="Q644" s="52"/>
      <c r="R644" s="52"/>
      <c r="S644" s="53">
        <f t="shared" si="251"/>
        <v>8560155</v>
      </c>
      <c r="T644" s="52">
        <v>5</v>
      </c>
      <c r="U644" s="53">
        <f t="shared" ref="U644:U645" si="265">SUM(S644/T644)</f>
        <v>1712031</v>
      </c>
      <c r="V644" s="52">
        <v>0.5</v>
      </c>
      <c r="W644" s="53">
        <f t="shared" si="263"/>
        <v>856015.5</v>
      </c>
      <c r="X644" s="52"/>
      <c r="Y644" s="53">
        <f t="shared" si="255"/>
        <v>0</v>
      </c>
      <c r="Z644" s="53">
        <f t="shared" si="264"/>
        <v>856015.5</v>
      </c>
      <c r="AA644" s="57">
        <f>1/12+0.5+0.5+0.5</f>
        <v>1.5833333333333335</v>
      </c>
      <c r="AB644" s="53">
        <f t="shared" ref="AB644:AB645" si="266">SUM(U644*AA644)</f>
        <v>2710715.7500000005</v>
      </c>
      <c r="AC644" s="53">
        <f t="shared" si="252"/>
        <v>5849439.25</v>
      </c>
      <c r="AD644" s="56" t="s">
        <v>400</v>
      </c>
      <c r="AE644" s="70"/>
      <c r="AF644" s="1">
        <v>1854700.2500000002</v>
      </c>
      <c r="AG644" s="5">
        <f t="shared" si="259"/>
        <v>0</v>
      </c>
      <c r="AH644" s="5"/>
    </row>
    <row r="645" spans="1:34" s="1" customFormat="1" x14ac:dyDescent="0.25">
      <c r="A645" s="49">
        <v>120</v>
      </c>
      <c r="B645" s="22" t="s">
        <v>1718</v>
      </c>
      <c r="C645" s="73"/>
      <c r="D645" s="51" t="s">
        <v>1007</v>
      </c>
      <c r="E645" s="179"/>
      <c r="F645" s="180"/>
      <c r="G645" s="52" t="s">
        <v>194</v>
      </c>
      <c r="H645" s="52" t="s">
        <v>62</v>
      </c>
      <c r="I645" s="52">
        <v>2022</v>
      </c>
      <c r="J645" s="52"/>
      <c r="K645" s="52" t="s">
        <v>261</v>
      </c>
      <c r="L645" s="52" t="s">
        <v>64</v>
      </c>
      <c r="M645" s="52">
        <v>1</v>
      </c>
      <c r="N645" s="53">
        <f t="shared" si="262"/>
        <v>10000000</v>
      </c>
      <c r="O645" s="53">
        <v>10000000</v>
      </c>
      <c r="P645" s="52"/>
      <c r="Q645" s="52"/>
      <c r="R645" s="52"/>
      <c r="S645" s="53">
        <f t="shared" si="251"/>
        <v>10000000</v>
      </c>
      <c r="T645" s="52">
        <v>5</v>
      </c>
      <c r="U645" s="53">
        <f t="shared" si="265"/>
        <v>2000000</v>
      </c>
      <c r="V645" s="52">
        <v>0.5</v>
      </c>
      <c r="W645" s="53">
        <f t="shared" si="263"/>
        <v>1000000</v>
      </c>
      <c r="X645" s="57"/>
      <c r="Y645" s="53">
        <f t="shared" ref="Y645:Y655" si="267">SUM(U645*X645)</f>
        <v>0</v>
      </c>
      <c r="Z645" s="53">
        <f t="shared" si="264"/>
        <v>1000000</v>
      </c>
      <c r="AA645" s="57">
        <f>1/12+0.5</f>
        <v>0.58333333333333337</v>
      </c>
      <c r="AB645" s="53">
        <f t="shared" si="266"/>
        <v>1166666.6666666667</v>
      </c>
      <c r="AC645" s="53">
        <f t="shared" si="252"/>
        <v>8833333.333333334</v>
      </c>
      <c r="AD645" s="56"/>
      <c r="AE645" s="70"/>
      <c r="AF645" s="1">
        <v>166666.66666666666</v>
      </c>
      <c r="AG645" s="5">
        <f t="shared" si="259"/>
        <v>0</v>
      </c>
      <c r="AH645" s="5"/>
    </row>
    <row r="646" spans="1:34" s="1" customFormat="1" x14ac:dyDescent="0.25">
      <c r="A646" s="49">
        <v>121</v>
      </c>
      <c r="B646" s="22" t="s">
        <v>1719</v>
      </c>
      <c r="C646" s="22" t="s">
        <v>662</v>
      </c>
      <c r="D646" s="51" t="s">
        <v>663</v>
      </c>
      <c r="E646" s="24" t="s">
        <v>166</v>
      </c>
      <c r="F646" s="24"/>
      <c r="G646" s="24" t="s">
        <v>201</v>
      </c>
      <c r="H646" s="24" t="s">
        <v>62</v>
      </c>
      <c r="I646" s="24">
        <v>2011</v>
      </c>
      <c r="J646" s="24"/>
      <c r="K646" s="24" t="s">
        <v>664</v>
      </c>
      <c r="L646" s="24" t="s">
        <v>64</v>
      </c>
      <c r="M646" s="24">
        <v>1</v>
      </c>
      <c r="N646" s="41">
        <f t="shared" ref="N646:N656" si="268">SUM(O646/M646)</f>
        <v>2695000</v>
      </c>
      <c r="O646" s="41">
        <v>2695000</v>
      </c>
      <c r="P646" s="24"/>
      <c r="Q646" s="24"/>
      <c r="R646" s="24"/>
      <c r="S646" s="41">
        <f t="shared" si="251"/>
        <v>2695000</v>
      </c>
      <c r="T646" s="24">
        <v>5</v>
      </c>
      <c r="U646" s="41"/>
      <c r="V646" s="24">
        <v>0.5</v>
      </c>
      <c r="W646" s="41">
        <f t="shared" ref="W646:W655" si="269">SUM(U646*V646)</f>
        <v>0</v>
      </c>
      <c r="X646" s="24"/>
      <c r="Y646" s="41">
        <f t="shared" si="267"/>
        <v>0</v>
      </c>
      <c r="Z646" s="41">
        <f t="shared" ref="Z646:Z655" si="270">SUM(W646+Y646)</f>
        <v>0</v>
      </c>
      <c r="AA646" s="72">
        <v>5</v>
      </c>
      <c r="AB646" s="41">
        <v>2695000</v>
      </c>
      <c r="AC646" s="41">
        <f t="shared" si="252"/>
        <v>0</v>
      </c>
      <c r="AD646" s="70" t="s">
        <v>616</v>
      </c>
      <c r="AE646" s="70"/>
      <c r="AF646" s="1">
        <v>2695000</v>
      </c>
      <c r="AG646" s="5">
        <f t="shared" si="259"/>
        <v>0</v>
      </c>
      <c r="AH646" s="5"/>
    </row>
    <row r="647" spans="1:34" s="1" customFormat="1" x14ac:dyDescent="0.25">
      <c r="A647" s="49">
        <v>122</v>
      </c>
      <c r="B647" s="22" t="s">
        <v>1719</v>
      </c>
      <c r="C647" s="22" t="s">
        <v>665</v>
      </c>
      <c r="D647" s="51" t="s">
        <v>663</v>
      </c>
      <c r="E647" s="24" t="s">
        <v>666</v>
      </c>
      <c r="F647" s="24"/>
      <c r="G647" s="24" t="s">
        <v>201</v>
      </c>
      <c r="H647" s="24" t="s">
        <v>62</v>
      </c>
      <c r="I647" s="24">
        <v>2012</v>
      </c>
      <c r="J647" s="24"/>
      <c r="K647" s="24"/>
      <c r="L647" s="24" t="s">
        <v>64</v>
      </c>
      <c r="M647" s="24">
        <v>1</v>
      </c>
      <c r="N647" s="41">
        <f t="shared" si="268"/>
        <v>29486600</v>
      </c>
      <c r="O647" s="41">
        <v>29486600</v>
      </c>
      <c r="P647" s="24"/>
      <c r="Q647" s="24"/>
      <c r="R647" s="24"/>
      <c r="S647" s="41">
        <f t="shared" si="251"/>
        <v>29486600</v>
      </c>
      <c r="T647" s="24">
        <v>5</v>
      </c>
      <c r="U647" s="41"/>
      <c r="V647" s="24">
        <v>0.5</v>
      </c>
      <c r="W647" s="41">
        <f t="shared" si="269"/>
        <v>0</v>
      </c>
      <c r="X647" s="24"/>
      <c r="Y647" s="41">
        <f t="shared" si="267"/>
        <v>0</v>
      </c>
      <c r="Z647" s="41">
        <f t="shared" si="270"/>
        <v>0</v>
      </c>
      <c r="AA647" s="72">
        <v>5</v>
      </c>
      <c r="AB647" s="41">
        <v>29486600</v>
      </c>
      <c r="AC647" s="41">
        <f t="shared" si="252"/>
        <v>0</v>
      </c>
      <c r="AD647" s="70" t="s">
        <v>354</v>
      </c>
      <c r="AE647" s="70"/>
      <c r="AF647" s="1">
        <v>29486600</v>
      </c>
      <c r="AG647" s="5">
        <f t="shared" si="259"/>
        <v>0</v>
      </c>
      <c r="AH647" s="5"/>
    </row>
    <row r="648" spans="1:34" s="1" customFormat="1" x14ac:dyDescent="0.25">
      <c r="A648" s="49">
        <v>123</v>
      </c>
      <c r="B648" s="22" t="s">
        <v>1719</v>
      </c>
      <c r="C648" s="22" t="s">
        <v>667</v>
      </c>
      <c r="D648" s="51" t="s">
        <v>668</v>
      </c>
      <c r="E648" s="24" t="s">
        <v>166</v>
      </c>
      <c r="F648" s="24"/>
      <c r="G648" s="24" t="s">
        <v>669</v>
      </c>
      <c r="H648" s="24" t="s">
        <v>62</v>
      </c>
      <c r="I648" s="24">
        <v>2008</v>
      </c>
      <c r="J648" s="24"/>
      <c r="K648" s="24" t="s">
        <v>664</v>
      </c>
      <c r="L648" s="24" t="s">
        <v>64</v>
      </c>
      <c r="M648" s="24">
        <v>1</v>
      </c>
      <c r="N648" s="41">
        <f t="shared" si="268"/>
        <v>29249500</v>
      </c>
      <c r="O648" s="41">
        <v>29249500</v>
      </c>
      <c r="P648" s="24"/>
      <c r="Q648" s="24"/>
      <c r="R648" s="24"/>
      <c r="S648" s="41">
        <f t="shared" si="251"/>
        <v>29249500</v>
      </c>
      <c r="T648" s="24">
        <v>5</v>
      </c>
      <c r="U648" s="41"/>
      <c r="V648" s="24">
        <v>0.5</v>
      </c>
      <c r="W648" s="41">
        <f t="shared" si="269"/>
        <v>0</v>
      </c>
      <c r="X648" s="24"/>
      <c r="Y648" s="41">
        <f t="shared" si="267"/>
        <v>0</v>
      </c>
      <c r="Z648" s="41">
        <f t="shared" si="270"/>
        <v>0</v>
      </c>
      <c r="AA648" s="72">
        <v>5</v>
      </c>
      <c r="AB648" s="41">
        <v>29249500</v>
      </c>
      <c r="AC648" s="41">
        <f t="shared" si="252"/>
        <v>0</v>
      </c>
      <c r="AD648" s="70" t="s">
        <v>616</v>
      </c>
      <c r="AE648" s="70"/>
      <c r="AF648" s="1">
        <v>29249500</v>
      </c>
      <c r="AG648" s="5">
        <f t="shared" si="259"/>
        <v>0</v>
      </c>
      <c r="AH648" s="5"/>
    </row>
    <row r="649" spans="1:34" s="1" customFormat="1" x14ac:dyDescent="0.25">
      <c r="A649" s="49">
        <v>124</v>
      </c>
      <c r="B649" s="22" t="s">
        <v>1719</v>
      </c>
      <c r="C649" s="22" t="s">
        <v>670</v>
      </c>
      <c r="D649" s="51" t="s">
        <v>668</v>
      </c>
      <c r="E649" s="24" t="s">
        <v>166</v>
      </c>
      <c r="F649" s="24"/>
      <c r="G649" s="24" t="s">
        <v>669</v>
      </c>
      <c r="H649" s="24" t="s">
        <v>62</v>
      </c>
      <c r="I649" s="24">
        <v>2011</v>
      </c>
      <c r="J649" s="24"/>
      <c r="K649" s="24" t="s">
        <v>664</v>
      </c>
      <c r="L649" s="24" t="s">
        <v>64</v>
      </c>
      <c r="M649" s="24">
        <v>1</v>
      </c>
      <c r="N649" s="41">
        <f t="shared" si="268"/>
        <v>17232750</v>
      </c>
      <c r="O649" s="41">
        <v>17232750</v>
      </c>
      <c r="P649" s="24"/>
      <c r="Q649" s="24"/>
      <c r="R649" s="24"/>
      <c r="S649" s="41">
        <f t="shared" si="251"/>
        <v>17232750</v>
      </c>
      <c r="T649" s="24">
        <v>5</v>
      </c>
      <c r="U649" s="41"/>
      <c r="V649" s="24">
        <v>0.5</v>
      </c>
      <c r="W649" s="41">
        <f t="shared" si="269"/>
        <v>0</v>
      </c>
      <c r="X649" s="24"/>
      <c r="Y649" s="41">
        <f t="shared" si="267"/>
        <v>0</v>
      </c>
      <c r="Z649" s="41">
        <f t="shared" si="270"/>
        <v>0</v>
      </c>
      <c r="AA649" s="72">
        <v>5</v>
      </c>
      <c r="AB649" s="41">
        <v>17232750</v>
      </c>
      <c r="AC649" s="41">
        <f t="shared" si="252"/>
        <v>0</v>
      </c>
      <c r="AD649" s="70" t="s">
        <v>616</v>
      </c>
      <c r="AE649" s="70"/>
      <c r="AF649" s="1">
        <v>17232750</v>
      </c>
      <c r="AG649" s="5">
        <f t="shared" si="259"/>
        <v>0</v>
      </c>
      <c r="AH649" s="5"/>
    </row>
    <row r="650" spans="1:34" s="1" customFormat="1" x14ac:dyDescent="0.25">
      <c r="A650" s="49">
        <v>125</v>
      </c>
      <c r="B650" s="22" t="s">
        <v>1719</v>
      </c>
      <c r="C650" s="22">
        <v>1548</v>
      </c>
      <c r="D650" s="51" t="s">
        <v>671</v>
      </c>
      <c r="E650" s="24" t="s">
        <v>166</v>
      </c>
      <c r="F650" s="24"/>
      <c r="G650" s="24" t="s">
        <v>669</v>
      </c>
      <c r="H650" s="24" t="s">
        <v>62</v>
      </c>
      <c r="I650" s="24">
        <v>2012</v>
      </c>
      <c r="J650" s="24"/>
      <c r="K650" s="24" t="s">
        <v>664</v>
      </c>
      <c r="L650" s="24" t="s">
        <v>64</v>
      </c>
      <c r="M650" s="24">
        <v>1</v>
      </c>
      <c r="N650" s="41">
        <f t="shared" si="268"/>
        <v>3309900</v>
      </c>
      <c r="O650" s="41">
        <v>3309900</v>
      </c>
      <c r="P650" s="24"/>
      <c r="Q650" s="24"/>
      <c r="R650" s="24"/>
      <c r="S650" s="41">
        <f t="shared" si="251"/>
        <v>3309900</v>
      </c>
      <c r="T650" s="24">
        <v>5</v>
      </c>
      <c r="U650" s="41"/>
      <c r="V650" s="24">
        <v>0.5</v>
      </c>
      <c r="W650" s="41">
        <f t="shared" si="269"/>
        <v>0</v>
      </c>
      <c r="X650" s="24"/>
      <c r="Y650" s="41">
        <f t="shared" si="267"/>
        <v>0</v>
      </c>
      <c r="Z650" s="41">
        <f t="shared" si="270"/>
        <v>0</v>
      </c>
      <c r="AA650" s="72">
        <v>5</v>
      </c>
      <c r="AB650" s="41">
        <v>3309900</v>
      </c>
      <c r="AC650" s="41">
        <f t="shared" si="252"/>
        <v>0</v>
      </c>
      <c r="AD650" s="70" t="s">
        <v>618</v>
      </c>
      <c r="AE650" s="70"/>
      <c r="AF650" s="1">
        <v>3309900</v>
      </c>
      <c r="AG650" s="5">
        <f t="shared" si="259"/>
        <v>0</v>
      </c>
      <c r="AH650" s="5"/>
    </row>
    <row r="651" spans="1:34" s="1" customFormat="1" x14ac:dyDescent="0.25">
      <c r="A651" s="49">
        <v>126</v>
      </c>
      <c r="B651" s="22" t="s">
        <v>1719</v>
      </c>
      <c r="C651" s="22">
        <v>1549</v>
      </c>
      <c r="D651" s="51" t="s">
        <v>672</v>
      </c>
      <c r="E651" s="24" t="s">
        <v>166</v>
      </c>
      <c r="F651" s="24"/>
      <c r="G651" s="24" t="s">
        <v>669</v>
      </c>
      <c r="H651" s="24" t="s">
        <v>62</v>
      </c>
      <c r="I651" s="24">
        <v>2012</v>
      </c>
      <c r="J651" s="24"/>
      <c r="K651" s="24" t="s">
        <v>664</v>
      </c>
      <c r="L651" s="24" t="s">
        <v>64</v>
      </c>
      <c r="M651" s="24">
        <v>1</v>
      </c>
      <c r="N651" s="41">
        <f t="shared" si="268"/>
        <v>21683200</v>
      </c>
      <c r="O651" s="41">
        <v>21683200</v>
      </c>
      <c r="P651" s="24"/>
      <c r="Q651" s="24"/>
      <c r="R651" s="24"/>
      <c r="S651" s="41">
        <f t="shared" si="251"/>
        <v>21683200</v>
      </c>
      <c r="T651" s="24">
        <v>5</v>
      </c>
      <c r="U651" s="41"/>
      <c r="V651" s="24">
        <v>0.5</v>
      </c>
      <c r="W651" s="41">
        <f t="shared" si="269"/>
        <v>0</v>
      </c>
      <c r="X651" s="24"/>
      <c r="Y651" s="41">
        <f t="shared" si="267"/>
        <v>0</v>
      </c>
      <c r="Z651" s="41">
        <f t="shared" si="270"/>
        <v>0</v>
      </c>
      <c r="AA651" s="72">
        <v>5</v>
      </c>
      <c r="AB651" s="41">
        <v>21683200</v>
      </c>
      <c r="AC651" s="41">
        <f t="shared" si="252"/>
        <v>0</v>
      </c>
      <c r="AD651" s="70" t="s">
        <v>635</v>
      </c>
      <c r="AE651" s="70"/>
      <c r="AF651" s="1">
        <v>21683200</v>
      </c>
      <c r="AG651" s="5">
        <f t="shared" si="259"/>
        <v>0</v>
      </c>
      <c r="AH651" s="5"/>
    </row>
    <row r="652" spans="1:34" s="1" customFormat="1" x14ac:dyDescent="0.25">
      <c r="A652" s="49">
        <v>127</v>
      </c>
      <c r="B652" s="22" t="s">
        <v>1719</v>
      </c>
      <c r="C652" s="22">
        <v>1550</v>
      </c>
      <c r="D652" s="51" t="s">
        <v>663</v>
      </c>
      <c r="E652" s="24" t="s">
        <v>166</v>
      </c>
      <c r="F652" s="24"/>
      <c r="G652" s="24" t="s">
        <v>201</v>
      </c>
      <c r="H652" s="24" t="s">
        <v>62</v>
      </c>
      <c r="I652" s="24">
        <v>2015</v>
      </c>
      <c r="J652" s="24"/>
      <c r="K652" s="24" t="s">
        <v>664</v>
      </c>
      <c r="L652" s="24" t="s">
        <v>64</v>
      </c>
      <c r="M652" s="24">
        <v>1</v>
      </c>
      <c r="N652" s="41">
        <f t="shared" si="268"/>
        <v>37735940</v>
      </c>
      <c r="O652" s="41">
        <v>37735940</v>
      </c>
      <c r="P652" s="24"/>
      <c r="Q652" s="24"/>
      <c r="R652" s="24"/>
      <c r="S652" s="41">
        <f t="shared" si="251"/>
        <v>37735940</v>
      </c>
      <c r="T652" s="24">
        <v>5</v>
      </c>
      <c r="U652" s="41">
        <f>SUM(S652/T652)</f>
        <v>7547188</v>
      </c>
      <c r="V652" s="24">
        <v>0.5</v>
      </c>
      <c r="W652" s="41"/>
      <c r="X652" s="24"/>
      <c r="Y652" s="41">
        <f>SUM(U652*X652)</f>
        <v>0</v>
      </c>
      <c r="Z652" s="41"/>
      <c r="AA652" s="72">
        <v>5</v>
      </c>
      <c r="AB652" s="41">
        <f>SUM(U652*AA652)</f>
        <v>37735940</v>
      </c>
      <c r="AC652" s="41">
        <f t="shared" si="252"/>
        <v>0</v>
      </c>
      <c r="AD652" s="70" t="s">
        <v>673</v>
      </c>
      <c r="AE652" s="70"/>
      <c r="AF652" s="1">
        <v>37735940</v>
      </c>
      <c r="AG652" s="5">
        <f t="shared" si="259"/>
        <v>0</v>
      </c>
      <c r="AH652" s="5"/>
    </row>
    <row r="653" spans="1:34" s="1" customFormat="1" x14ac:dyDescent="0.25">
      <c r="A653" s="49">
        <v>128</v>
      </c>
      <c r="B653" s="22" t="s">
        <v>1719</v>
      </c>
      <c r="C653" s="22">
        <v>1551</v>
      </c>
      <c r="D653" s="51" t="s">
        <v>663</v>
      </c>
      <c r="E653" s="24" t="s">
        <v>166</v>
      </c>
      <c r="F653" s="24"/>
      <c r="G653" s="24" t="s">
        <v>201</v>
      </c>
      <c r="H653" s="24" t="s">
        <v>62</v>
      </c>
      <c r="I653" s="24">
        <v>2015</v>
      </c>
      <c r="J653" s="24"/>
      <c r="K653" s="24" t="s">
        <v>664</v>
      </c>
      <c r="L653" s="24" t="s">
        <v>64</v>
      </c>
      <c r="M653" s="24">
        <v>1</v>
      </c>
      <c r="N653" s="41">
        <f t="shared" si="268"/>
        <v>3998368</v>
      </c>
      <c r="O653" s="41">
        <v>3998368</v>
      </c>
      <c r="P653" s="24"/>
      <c r="Q653" s="24"/>
      <c r="R653" s="24"/>
      <c r="S653" s="41">
        <f t="shared" si="251"/>
        <v>3998368</v>
      </c>
      <c r="T653" s="24">
        <v>5</v>
      </c>
      <c r="U653" s="41">
        <f>SUM(S653/T653)</f>
        <v>799673.6</v>
      </c>
      <c r="V653" s="24">
        <v>0.5</v>
      </c>
      <c r="W653" s="41"/>
      <c r="X653" s="24"/>
      <c r="Y653" s="41">
        <f>SUM(U653*X653)</f>
        <v>0</v>
      </c>
      <c r="Z653" s="41"/>
      <c r="AA653" s="72">
        <v>5</v>
      </c>
      <c r="AB653" s="41">
        <f>SUM(U653*AA653)</f>
        <v>3998368</v>
      </c>
      <c r="AC653" s="41">
        <f t="shared" si="252"/>
        <v>0</v>
      </c>
      <c r="AD653" s="70" t="s">
        <v>553</v>
      </c>
      <c r="AE653" s="70"/>
      <c r="AF653" s="1">
        <v>3998368</v>
      </c>
      <c r="AG653" s="5">
        <f t="shared" si="259"/>
        <v>0</v>
      </c>
      <c r="AH653" s="5"/>
    </row>
    <row r="654" spans="1:34" s="1" customFormat="1" x14ac:dyDescent="0.25">
      <c r="A654" s="49">
        <v>129</v>
      </c>
      <c r="B654" s="22" t="s">
        <v>1719</v>
      </c>
      <c r="C654" s="22">
        <v>1552</v>
      </c>
      <c r="D654" s="51" t="s">
        <v>663</v>
      </c>
      <c r="E654" s="52" t="s">
        <v>166</v>
      </c>
      <c r="F654" s="52"/>
      <c r="G654" s="52" t="s">
        <v>201</v>
      </c>
      <c r="H654" s="52" t="s">
        <v>62</v>
      </c>
      <c r="I654" s="52">
        <v>2021</v>
      </c>
      <c r="J654" s="52"/>
      <c r="K654" s="52" t="s">
        <v>664</v>
      </c>
      <c r="L654" s="52" t="s">
        <v>64</v>
      </c>
      <c r="M654" s="52">
        <v>1</v>
      </c>
      <c r="N654" s="53">
        <f t="shared" si="268"/>
        <v>5010000</v>
      </c>
      <c r="O654" s="53">
        <v>5010000</v>
      </c>
      <c r="P654" s="52"/>
      <c r="Q654" s="52"/>
      <c r="R654" s="52"/>
      <c r="S654" s="53">
        <f t="shared" ref="S654:S656" si="271">SUM(O654-R654)</f>
        <v>5010000</v>
      </c>
      <c r="T654" s="52">
        <v>5</v>
      </c>
      <c r="U654" s="53">
        <f>SUM(S654/T654)</f>
        <v>1002000</v>
      </c>
      <c r="V654" s="52">
        <v>0.5</v>
      </c>
      <c r="W654" s="53">
        <f t="shared" si="269"/>
        <v>501000</v>
      </c>
      <c r="X654" s="24"/>
      <c r="Y654" s="41">
        <f t="shared" si="267"/>
        <v>0</v>
      </c>
      <c r="Z654" s="41">
        <f t="shared" si="270"/>
        <v>501000</v>
      </c>
      <c r="AA654" s="72">
        <f>1/12+0.5+0.5+0.5</f>
        <v>1.5833333333333335</v>
      </c>
      <c r="AB654" s="41">
        <f>SUM(U654*AA654)</f>
        <v>1586500.0000000002</v>
      </c>
      <c r="AC654" s="41">
        <f t="shared" ref="AC654:AC685" si="272">SUM(O654-AB654)</f>
        <v>3423500</v>
      </c>
      <c r="AD654" s="70"/>
      <c r="AE654" s="70"/>
      <c r="AF654" s="1">
        <v>1085500.0000000002</v>
      </c>
      <c r="AG654" s="5">
        <f t="shared" si="259"/>
        <v>0</v>
      </c>
      <c r="AH654" s="5"/>
    </row>
    <row r="655" spans="1:34" s="1" customFormat="1" x14ac:dyDescent="0.25">
      <c r="A655" s="49">
        <v>130</v>
      </c>
      <c r="B655" s="22" t="s">
        <v>1720</v>
      </c>
      <c r="C655" s="22" t="s">
        <v>58</v>
      </c>
      <c r="D655" s="51" t="s">
        <v>702</v>
      </c>
      <c r="E655" s="24" t="s">
        <v>703</v>
      </c>
      <c r="F655" s="24"/>
      <c r="G655" s="24" t="s">
        <v>701</v>
      </c>
      <c r="H655" s="24" t="s">
        <v>62</v>
      </c>
      <c r="I655" s="24">
        <v>2012</v>
      </c>
      <c r="J655" s="24"/>
      <c r="K655" s="24" t="s">
        <v>63</v>
      </c>
      <c r="L655" s="24" t="s">
        <v>64</v>
      </c>
      <c r="M655" s="24">
        <v>30</v>
      </c>
      <c r="N655" s="41">
        <f t="shared" si="268"/>
        <v>332800</v>
      </c>
      <c r="O655" s="41">
        <v>9984000</v>
      </c>
      <c r="P655" s="24"/>
      <c r="Q655" s="24"/>
      <c r="R655" s="24"/>
      <c r="S655" s="41">
        <f t="shared" si="271"/>
        <v>9984000</v>
      </c>
      <c r="T655" s="24">
        <v>5</v>
      </c>
      <c r="U655" s="41"/>
      <c r="V655" s="24">
        <v>0.5</v>
      </c>
      <c r="W655" s="41">
        <f t="shared" si="269"/>
        <v>0</v>
      </c>
      <c r="X655" s="24"/>
      <c r="Y655" s="53">
        <f t="shared" si="267"/>
        <v>0</v>
      </c>
      <c r="Z655" s="53">
        <f t="shared" si="270"/>
        <v>0</v>
      </c>
      <c r="AA655" s="72">
        <v>5</v>
      </c>
      <c r="AB655" s="53">
        <v>9984000</v>
      </c>
      <c r="AC655" s="53">
        <f t="shared" si="272"/>
        <v>0</v>
      </c>
      <c r="AD655" s="56" t="s">
        <v>704</v>
      </c>
      <c r="AE655" s="70"/>
      <c r="AF655" s="1">
        <v>9984000</v>
      </c>
      <c r="AG655" s="5">
        <f t="shared" si="259"/>
        <v>0</v>
      </c>
      <c r="AH655" s="5"/>
    </row>
    <row r="656" spans="1:34" s="1" customFormat="1" x14ac:dyDescent="0.25">
      <c r="A656" s="49">
        <v>131</v>
      </c>
      <c r="B656" s="22" t="s">
        <v>1721</v>
      </c>
      <c r="C656" s="73" t="s">
        <v>58</v>
      </c>
      <c r="D656" s="51" t="s">
        <v>464</v>
      </c>
      <c r="E656" s="52" t="s">
        <v>465</v>
      </c>
      <c r="F656" s="52"/>
      <c r="G656" s="52" t="s">
        <v>466</v>
      </c>
      <c r="H656" s="52" t="s">
        <v>62</v>
      </c>
      <c r="I656" s="52">
        <v>2019</v>
      </c>
      <c r="J656" s="52"/>
      <c r="K656" s="52" t="s">
        <v>63</v>
      </c>
      <c r="L656" s="52" t="s">
        <v>64</v>
      </c>
      <c r="M656" s="52">
        <v>5</v>
      </c>
      <c r="N656" s="53">
        <f t="shared" si="268"/>
        <v>2000000</v>
      </c>
      <c r="O656" s="53">
        <v>10000000</v>
      </c>
      <c r="P656" s="52"/>
      <c r="Q656" s="52"/>
      <c r="R656" s="52"/>
      <c r="S656" s="53">
        <f t="shared" si="271"/>
        <v>10000000</v>
      </c>
      <c r="T656" s="52">
        <v>5</v>
      </c>
      <c r="U656" s="53">
        <f>SUM(S656/T656)</f>
        <v>2000000</v>
      </c>
      <c r="V656" s="52">
        <v>0.5</v>
      </c>
      <c r="W656" s="53">
        <f>SUM(U656*V656)</f>
        <v>1000000</v>
      </c>
      <c r="X656" s="24"/>
      <c r="Y656" s="53">
        <f>SUM(U656*X656)</f>
        <v>0</v>
      </c>
      <c r="Z656" s="53">
        <f>SUM(W656+Y656)</f>
        <v>1000000</v>
      </c>
      <c r="AA656" s="72">
        <f>2023-I656+V656+X656-11/12</f>
        <v>3.5833333333333335</v>
      </c>
      <c r="AB656" s="53">
        <f>SUM(U656*AA656)</f>
        <v>7166666.666666667</v>
      </c>
      <c r="AC656" s="53">
        <f t="shared" si="272"/>
        <v>2833333.333333333</v>
      </c>
      <c r="AD656" s="56"/>
      <c r="AE656" s="56"/>
      <c r="AF656" s="1">
        <v>6166666.666666667</v>
      </c>
      <c r="AG656" s="5">
        <f t="shared" si="259"/>
        <v>0</v>
      </c>
      <c r="AH656" s="5"/>
    </row>
    <row r="657" spans="1:34" s="1" customFormat="1" x14ac:dyDescent="0.25">
      <c r="A657" s="49">
        <v>132</v>
      </c>
      <c r="B657" s="22" t="s">
        <v>1721</v>
      </c>
      <c r="C657" s="73" t="s">
        <v>75</v>
      </c>
      <c r="D657" s="51" t="s">
        <v>464</v>
      </c>
      <c r="E657" s="52" t="s">
        <v>467</v>
      </c>
      <c r="F657" s="52"/>
      <c r="G657" s="52" t="s">
        <v>466</v>
      </c>
      <c r="H657" s="52" t="s">
        <v>62</v>
      </c>
      <c r="I657" s="52">
        <v>2019</v>
      </c>
      <c r="J657" s="52"/>
      <c r="K657" s="52" t="s">
        <v>63</v>
      </c>
      <c r="L657" s="52" t="s">
        <v>64</v>
      </c>
      <c r="M657" s="52">
        <v>1</v>
      </c>
      <c r="N657" s="53">
        <v>3215000</v>
      </c>
      <c r="O657" s="53">
        <v>3215000</v>
      </c>
      <c r="P657" s="52"/>
      <c r="Q657" s="52"/>
      <c r="R657" s="52"/>
      <c r="S657" s="53">
        <v>3215000</v>
      </c>
      <c r="T657" s="52">
        <v>5</v>
      </c>
      <c r="U657" s="53">
        <f>SUM(S657/T657)</f>
        <v>643000</v>
      </c>
      <c r="V657" s="52">
        <v>0.5</v>
      </c>
      <c r="W657" s="53">
        <f>SUM(U657*V657)</f>
        <v>321500</v>
      </c>
      <c r="X657" s="24"/>
      <c r="Y657" s="53">
        <f>SUM(U657*X657)</f>
        <v>0</v>
      </c>
      <c r="Z657" s="53">
        <f>SUM(W657+Y657)</f>
        <v>321500</v>
      </c>
      <c r="AA657" s="57">
        <f>2023-I657+V657+X657-8/12</f>
        <v>3.8333333333333335</v>
      </c>
      <c r="AB657" s="53">
        <f>SUM(U657*AA657)</f>
        <v>2464833.3333333335</v>
      </c>
      <c r="AC657" s="53">
        <f t="shared" si="272"/>
        <v>750166.66666666651</v>
      </c>
      <c r="AD657" s="56" t="s">
        <v>331</v>
      </c>
      <c r="AE657" s="56" t="s">
        <v>451</v>
      </c>
      <c r="AF657" s="1">
        <v>2143333.3333333335</v>
      </c>
      <c r="AG657" s="5">
        <f t="shared" si="259"/>
        <v>0</v>
      </c>
      <c r="AH657" s="5"/>
    </row>
    <row r="658" spans="1:34" s="1" customFormat="1" x14ac:dyDescent="0.25">
      <c r="A658" s="49">
        <v>133</v>
      </c>
      <c r="B658" s="50" t="s">
        <v>1722</v>
      </c>
      <c r="C658" s="50" t="s">
        <v>58</v>
      </c>
      <c r="D658" s="51" t="s">
        <v>200</v>
      </c>
      <c r="E658" s="52" t="s">
        <v>166</v>
      </c>
      <c r="F658" s="52"/>
      <c r="G658" s="52" t="s">
        <v>201</v>
      </c>
      <c r="H658" s="52" t="s">
        <v>62</v>
      </c>
      <c r="I658" s="52">
        <v>2017</v>
      </c>
      <c r="J658" s="52"/>
      <c r="K658" s="52" t="s">
        <v>202</v>
      </c>
      <c r="L658" s="52" t="s">
        <v>64</v>
      </c>
      <c r="M658" s="166">
        <v>1</v>
      </c>
      <c r="N658" s="166">
        <f t="shared" ref="N658:N699" si="273">SUM(O658/M658)</f>
        <v>4950000</v>
      </c>
      <c r="O658" s="53">
        <v>4950000</v>
      </c>
      <c r="P658" s="166"/>
      <c r="Q658" s="166"/>
      <c r="R658" s="166"/>
      <c r="S658" s="53">
        <f t="shared" ref="S658:S702" si="274">SUM(O658-R658)</f>
        <v>4950000</v>
      </c>
      <c r="T658" s="166">
        <v>5</v>
      </c>
      <c r="U658" s="53">
        <f>SUM(S658/T658)</f>
        <v>990000</v>
      </c>
      <c r="V658" s="166"/>
      <c r="W658" s="53"/>
      <c r="X658" s="24"/>
      <c r="Y658" s="41"/>
      <c r="Z658" s="41"/>
      <c r="AA658" s="24">
        <v>5</v>
      </c>
      <c r="AB658" s="41">
        <v>4950000</v>
      </c>
      <c r="AC658" s="41">
        <f t="shared" si="272"/>
        <v>0</v>
      </c>
      <c r="AD658" s="70" t="s">
        <v>195</v>
      </c>
      <c r="AE658" s="70"/>
      <c r="AF658" s="1">
        <v>4950000</v>
      </c>
      <c r="AG658" s="5">
        <f t="shared" si="259"/>
        <v>0</v>
      </c>
      <c r="AH658" s="5"/>
    </row>
    <row r="659" spans="1:34" s="1" customFormat="1" x14ac:dyDescent="0.25">
      <c r="A659" s="49">
        <v>134</v>
      </c>
      <c r="B659" s="50" t="s">
        <v>1722</v>
      </c>
      <c r="C659" s="50" t="s">
        <v>75</v>
      </c>
      <c r="D659" s="51" t="s">
        <v>203</v>
      </c>
      <c r="E659" s="52" t="s">
        <v>166</v>
      </c>
      <c r="F659" s="52"/>
      <c r="G659" s="52" t="s">
        <v>201</v>
      </c>
      <c r="H659" s="52" t="s">
        <v>62</v>
      </c>
      <c r="I659" s="52">
        <v>2021</v>
      </c>
      <c r="J659" s="52"/>
      <c r="K659" s="52" t="s">
        <v>202</v>
      </c>
      <c r="L659" s="52" t="s">
        <v>64</v>
      </c>
      <c r="M659" s="166">
        <v>1</v>
      </c>
      <c r="N659" s="166">
        <f t="shared" si="273"/>
        <v>3960000</v>
      </c>
      <c r="O659" s="53">
        <v>3960000</v>
      </c>
      <c r="P659" s="166"/>
      <c r="Q659" s="166"/>
      <c r="R659" s="166"/>
      <c r="S659" s="53">
        <f t="shared" si="274"/>
        <v>3960000</v>
      </c>
      <c r="T659" s="166">
        <v>5</v>
      </c>
      <c r="U659" s="53">
        <f>SUM(S659/T659)</f>
        <v>792000</v>
      </c>
      <c r="V659" s="177">
        <v>0.5</v>
      </c>
      <c r="W659" s="53">
        <f t="shared" ref="W659:W693" si="275">SUM(U659*V659)</f>
        <v>396000</v>
      </c>
      <c r="X659" s="24"/>
      <c r="Y659" s="41">
        <f t="shared" ref="Y659:Y699" si="276">SUM(U659*X659)</f>
        <v>0</v>
      </c>
      <c r="Z659" s="41">
        <f t="shared" ref="Z659:Z693" si="277">SUM(W659+Y659)</f>
        <v>396000</v>
      </c>
      <c r="AA659" s="24">
        <f>2023-I659+V659+X659-1/12-10/12</f>
        <v>1.583333333333333</v>
      </c>
      <c r="AB659" s="41">
        <f>SUM(U659*AA659)</f>
        <v>1253999.9999999998</v>
      </c>
      <c r="AC659" s="41">
        <f t="shared" si="272"/>
        <v>2706000</v>
      </c>
      <c r="AD659" s="70"/>
      <c r="AE659" s="70"/>
      <c r="AF659" s="1">
        <v>858000.00000000012</v>
      </c>
      <c r="AG659" s="5">
        <f t="shared" si="259"/>
        <v>0</v>
      </c>
      <c r="AH659" s="5"/>
    </row>
    <row r="660" spans="1:34" s="1" customFormat="1" x14ac:dyDescent="0.25">
      <c r="A660" s="49">
        <v>135</v>
      </c>
      <c r="B660" s="22" t="s">
        <v>1723</v>
      </c>
      <c r="C660" s="22" t="s">
        <v>592</v>
      </c>
      <c r="D660" s="51" t="s">
        <v>593</v>
      </c>
      <c r="E660" s="24" t="s">
        <v>594</v>
      </c>
      <c r="F660" s="24"/>
      <c r="G660" s="24" t="s">
        <v>201</v>
      </c>
      <c r="H660" s="24" t="s">
        <v>62</v>
      </c>
      <c r="I660" s="24">
        <v>2012</v>
      </c>
      <c r="J660" s="24"/>
      <c r="K660" s="24" t="s">
        <v>63</v>
      </c>
      <c r="L660" s="24" t="s">
        <v>64</v>
      </c>
      <c r="M660" s="24">
        <v>2</v>
      </c>
      <c r="N660" s="41">
        <f t="shared" si="273"/>
        <v>48400</v>
      </c>
      <c r="O660" s="41">
        <v>96800</v>
      </c>
      <c r="P660" s="24"/>
      <c r="Q660" s="24"/>
      <c r="R660" s="24"/>
      <c r="S660" s="41">
        <f t="shared" si="274"/>
        <v>96800</v>
      </c>
      <c r="T660" s="24">
        <v>5</v>
      </c>
      <c r="U660" s="41"/>
      <c r="V660" s="24">
        <v>0.5</v>
      </c>
      <c r="W660" s="41">
        <f t="shared" si="275"/>
        <v>0</v>
      </c>
      <c r="X660" s="24"/>
      <c r="Y660" s="41">
        <f t="shared" si="276"/>
        <v>0</v>
      </c>
      <c r="Z660" s="41">
        <f t="shared" si="277"/>
        <v>0</v>
      </c>
      <c r="AA660" s="24">
        <v>5</v>
      </c>
      <c r="AB660" s="41">
        <v>96800</v>
      </c>
      <c r="AC660" s="41">
        <f t="shared" si="272"/>
        <v>0</v>
      </c>
      <c r="AD660" s="70" t="s">
        <v>348</v>
      </c>
      <c r="AE660" s="70"/>
      <c r="AF660" s="1">
        <v>96800</v>
      </c>
      <c r="AG660" s="5">
        <f t="shared" si="259"/>
        <v>0</v>
      </c>
      <c r="AH660" s="5"/>
    </row>
    <row r="661" spans="1:34" s="1" customFormat="1" x14ac:dyDescent="0.25">
      <c r="A661" s="49">
        <v>136</v>
      </c>
      <c r="B661" s="22" t="s">
        <v>1723</v>
      </c>
      <c r="C661" s="22" t="s">
        <v>595</v>
      </c>
      <c r="D661" s="51" t="s">
        <v>593</v>
      </c>
      <c r="E661" s="24" t="s">
        <v>594</v>
      </c>
      <c r="F661" s="24"/>
      <c r="G661" s="24" t="s">
        <v>201</v>
      </c>
      <c r="H661" s="24" t="s">
        <v>62</v>
      </c>
      <c r="I661" s="24">
        <v>2012</v>
      </c>
      <c r="J661" s="24"/>
      <c r="K661" s="24" t="s">
        <v>63</v>
      </c>
      <c r="L661" s="24" t="s">
        <v>64</v>
      </c>
      <c r="M661" s="24">
        <v>28</v>
      </c>
      <c r="N661" s="41">
        <f t="shared" si="273"/>
        <v>48400</v>
      </c>
      <c r="O661" s="41">
        <v>1355200</v>
      </c>
      <c r="P661" s="24"/>
      <c r="Q661" s="24"/>
      <c r="R661" s="24"/>
      <c r="S661" s="41">
        <f t="shared" si="274"/>
        <v>1355200</v>
      </c>
      <c r="T661" s="24">
        <v>5</v>
      </c>
      <c r="U661" s="41"/>
      <c r="V661" s="24">
        <v>0.5</v>
      </c>
      <c r="W661" s="41">
        <f t="shared" si="275"/>
        <v>0</v>
      </c>
      <c r="X661" s="24"/>
      <c r="Y661" s="41">
        <f t="shared" si="276"/>
        <v>0</v>
      </c>
      <c r="Z661" s="41">
        <f t="shared" si="277"/>
        <v>0</v>
      </c>
      <c r="AA661" s="24">
        <v>5</v>
      </c>
      <c r="AB661" s="41">
        <v>1355200</v>
      </c>
      <c r="AC661" s="41">
        <f t="shared" si="272"/>
        <v>0</v>
      </c>
      <c r="AD661" s="70" t="s">
        <v>350</v>
      </c>
      <c r="AE661" s="70"/>
      <c r="AF661" s="1">
        <v>1355200</v>
      </c>
      <c r="AG661" s="5">
        <f t="shared" si="259"/>
        <v>0</v>
      </c>
      <c r="AH661" s="5"/>
    </row>
    <row r="662" spans="1:34" s="1" customFormat="1" x14ac:dyDescent="0.25">
      <c r="A662" s="49">
        <v>137</v>
      </c>
      <c r="B662" s="22" t="s">
        <v>1723</v>
      </c>
      <c r="C662" s="22" t="s">
        <v>596</v>
      </c>
      <c r="D662" s="51" t="s">
        <v>593</v>
      </c>
      <c r="E662" s="24" t="s">
        <v>594</v>
      </c>
      <c r="F662" s="24"/>
      <c r="G662" s="24" t="s">
        <v>201</v>
      </c>
      <c r="H662" s="24" t="s">
        <v>62</v>
      </c>
      <c r="I662" s="24">
        <v>2012</v>
      </c>
      <c r="J662" s="24"/>
      <c r="K662" s="24" t="s">
        <v>63</v>
      </c>
      <c r="L662" s="24" t="s">
        <v>64</v>
      </c>
      <c r="M662" s="24">
        <v>7</v>
      </c>
      <c r="N662" s="41">
        <f t="shared" si="273"/>
        <v>48400</v>
      </c>
      <c r="O662" s="41">
        <v>338800</v>
      </c>
      <c r="P662" s="24"/>
      <c r="Q662" s="24"/>
      <c r="R662" s="24"/>
      <c r="S662" s="41">
        <f t="shared" si="274"/>
        <v>338800</v>
      </c>
      <c r="T662" s="24">
        <v>5</v>
      </c>
      <c r="U662" s="41"/>
      <c r="V662" s="24">
        <v>0.5</v>
      </c>
      <c r="W662" s="41">
        <f t="shared" si="275"/>
        <v>0</v>
      </c>
      <c r="X662" s="24"/>
      <c r="Y662" s="41">
        <f t="shared" si="276"/>
        <v>0</v>
      </c>
      <c r="Z662" s="41">
        <f t="shared" si="277"/>
        <v>0</v>
      </c>
      <c r="AA662" s="24">
        <v>5</v>
      </c>
      <c r="AB662" s="41">
        <v>338800</v>
      </c>
      <c r="AC662" s="41">
        <f t="shared" si="272"/>
        <v>0</v>
      </c>
      <c r="AD662" s="70" t="s">
        <v>597</v>
      </c>
      <c r="AE662" s="70"/>
      <c r="AF662" s="1">
        <v>338800</v>
      </c>
      <c r="AG662" s="5">
        <f t="shared" si="259"/>
        <v>0</v>
      </c>
      <c r="AH662" s="5"/>
    </row>
    <row r="663" spans="1:34" s="1" customFormat="1" x14ac:dyDescent="0.25">
      <c r="A663" s="49">
        <v>138</v>
      </c>
      <c r="B663" s="22" t="s">
        <v>1723</v>
      </c>
      <c r="C663" s="22" t="s">
        <v>598</v>
      </c>
      <c r="D663" s="51" t="s">
        <v>593</v>
      </c>
      <c r="E663" s="24" t="s">
        <v>594</v>
      </c>
      <c r="F663" s="24"/>
      <c r="G663" s="24" t="s">
        <v>201</v>
      </c>
      <c r="H663" s="24" t="s">
        <v>62</v>
      </c>
      <c r="I663" s="24">
        <v>2012</v>
      </c>
      <c r="J663" s="24"/>
      <c r="K663" s="24" t="s">
        <v>63</v>
      </c>
      <c r="L663" s="24" t="s">
        <v>64</v>
      </c>
      <c r="M663" s="24">
        <v>7</v>
      </c>
      <c r="N663" s="41">
        <f t="shared" si="273"/>
        <v>48400</v>
      </c>
      <c r="O663" s="41">
        <v>338800</v>
      </c>
      <c r="P663" s="24"/>
      <c r="Q663" s="24"/>
      <c r="R663" s="24"/>
      <c r="S663" s="41">
        <f t="shared" si="274"/>
        <v>338800</v>
      </c>
      <c r="T663" s="24">
        <v>5</v>
      </c>
      <c r="U663" s="41"/>
      <c r="V663" s="24">
        <v>0.5</v>
      </c>
      <c r="W663" s="41">
        <f t="shared" si="275"/>
        <v>0</v>
      </c>
      <c r="X663" s="24"/>
      <c r="Y663" s="41">
        <f t="shared" si="276"/>
        <v>0</v>
      </c>
      <c r="Z663" s="41">
        <f t="shared" si="277"/>
        <v>0</v>
      </c>
      <c r="AA663" s="72">
        <v>5</v>
      </c>
      <c r="AB663" s="41">
        <v>338800</v>
      </c>
      <c r="AC663" s="41">
        <f t="shared" si="272"/>
        <v>0</v>
      </c>
      <c r="AD663" s="70" t="s">
        <v>540</v>
      </c>
      <c r="AE663" s="70"/>
      <c r="AF663" s="1">
        <v>338800</v>
      </c>
      <c r="AG663" s="5">
        <f t="shared" si="259"/>
        <v>0</v>
      </c>
      <c r="AH663" s="5"/>
    </row>
    <row r="664" spans="1:34" s="1" customFormat="1" x14ac:dyDescent="0.25">
      <c r="A664" s="49">
        <v>139</v>
      </c>
      <c r="B664" s="22" t="s">
        <v>1723</v>
      </c>
      <c r="C664" s="22" t="s">
        <v>599</v>
      </c>
      <c r="D664" s="51" t="s">
        <v>593</v>
      </c>
      <c r="E664" s="24" t="s">
        <v>594</v>
      </c>
      <c r="F664" s="24"/>
      <c r="G664" s="24" t="s">
        <v>201</v>
      </c>
      <c r="H664" s="24" t="s">
        <v>62</v>
      </c>
      <c r="I664" s="24">
        <v>2012</v>
      </c>
      <c r="J664" s="24"/>
      <c r="K664" s="24" t="s">
        <v>63</v>
      </c>
      <c r="L664" s="24" t="s">
        <v>64</v>
      </c>
      <c r="M664" s="24">
        <v>7</v>
      </c>
      <c r="N664" s="41">
        <f t="shared" si="273"/>
        <v>48400</v>
      </c>
      <c r="O664" s="41">
        <v>338800</v>
      </c>
      <c r="P664" s="24"/>
      <c r="Q664" s="24"/>
      <c r="R664" s="24"/>
      <c r="S664" s="41">
        <f t="shared" si="274"/>
        <v>338800</v>
      </c>
      <c r="T664" s="24">
        <v>5</v>
      </c>
      <c r="U664" s="41"/>
      <c r="V664" s="24">
        <v>0.5</v>
      </c>
      <c r="W664" s="41">
        <f t="shared" si="275"/>
        <v>0</v>
      </c>
      <c r="X664" s="24"/>
      <c r="Y664" s="41">
        <f t="shared" si="276"/>
        <v>0</v>
      </c>
      <c r="Z664" s="41">
        <f t="shared" si="277"/>
        <v>0</v>
      </c>
      <c r="AA664" s="72">
        <v>5</v>
      </c>
      <c r="AB664" s="41">
        <v>338800</v>
      </c>
      <c r="AC664" s="41">
        <f t="shared" si="272"/>
        <v>0</v>
      </c>
      <c r="AD664" s="70" t="s">
        <v>351</v>
      </c>
      <c r="AE664" s="70"/>
      <c r="AF664" s="1">
        <v>338800</v>
      </c>
      <c r="AG664" s="5">
        <f t="shared" si="259"/>
        <v>0</v>
      </c>
      <c r="AH664" s="5"/>
    </row>
    <row r="665" spans="1:34" s="1" customFormat="1" x14ac:dyDescent="0.25">
      <c r="A665" s="49">
        <v>140</v>
      </c>
      <c r="B665" s="22" t="s">
        <v>1723</v>
      </c>
      <c r="C665" s="22" t="s">
        <v>600</v>
      </c>
      <c r="D665" s="51" t="s">
        <v>593</v>
      </c>
      <c r="E665" s="24" t="s">
        <v>594</v>
      </c>
      <c r="F665" s="24"/>
      <c r="G665" s="24" t="s">
        <v>201</v>
      </c>
      <c r="H665" s="24" t="s">
        <v>62</v>
      </c>
      <c r="I665" s="24">
        <v>2012</v>
      </c>
      <c r="J665" s="24"/>
      <c r="K665" s="24" t="s">
        <v>63</v>
      </c>
      <c r="L665" s="24" t="s">
        <v>64</v>
      </c>
      <c r="M665" s="24">
        <v>7</v>
      </c>
      <c r="N665" s="41">
        <f t="shared" si="273"/>
        <v>48400</v>
      </c>
      <c r="O665" s="41">
        <v>338800</v>
      </c>
      <c r="P665" s="24"/>
      <c r="Q665" s="24"/>
      <c r="R665" s="24"/>
      <c r="S665" s="41">
        <f t="shared" si="274"/>
        <v>338800</v>
      </c>
      <c r="T665" s="24">
        <v>5</v>
      </c>
      <c r="U665" s="41"/>
      <c r="V665" s="24">
        <v>0.5</v>
      </c>
      <c r="W665" s="41">
        <f t="shared" si="275"/>
        <v>0</v>
      </c>
      <c r="X665" s="24"/>
      <c r="Y665" s="41">
        <f t="shared" si="276"/>
        <v>0</v>
      </c>
      <c r="Z665" s="41">
        <f t="shared" si="277"/>
        <v>0</v>
      </c>
      <c r="AA665" s="24">
        <v>5</v>
      </c>
      <c r="AB665" s="41">
        <v>338800</v>
      </c>
      <c r="AC665" s="41">
        <f t="shared" si="272"/>
        <v>0</v>
      </c>
      <c r="AD665" s="70" t="s">
        <v>601</v>
      </c>
      <c r="AE665" s="70"/>
      <c r="AF665" s="1">
        <v>338800</v>
      </c>
      <c r="AG665" s="5">
        <f t="shared" si="259"/>
        <v>0</v>
      </c>
      <c r="AH665" s="5"/>
    </row>
    <row r="666" spans="1:34" s="1" customFormat="1" x14ac:dyDescent="0.25">
      <c r="A666" s="49">
        <v>141</v>
      </c>
      <c r="B666" s="22" t="s">
        <v>1723</v>
      </c>
      <c r="C666" s="22" t="s">
        <v>602</v>
      </c>
      <c r="D666" s="51" t="s">
        <v>593</v>
      </c>
      <c r="E666" s="24" t="s">
        <v>594</v>
      </c>
      <c r="F666" s="24"/>
      <c r="G666" s="24" t="s">
        <v>201</v>
      </c>
      <c r="H666" s="24" t="s">
        <v>62</v>
      </c>
      <c r="I666" s="24">
        <v>2012</v>
      </c>
      <c r="J666" s="24"/>
      <c r="K666" s="24" t="s">
        <v>63</v>
      </c>
      <c r="L666" s="24" t="s">
        <v>64</v>
      </c>
      <c r="M666" s="24">
        <v>7</v>
      </c>
      <c r="N666" s="41">
        <f t="shared" si="273"/>
        <v>48400</v>
      </c>
      <c r="O666" s="41">
        <v>338800</v>
      </c>
      <c r="P666" s="24"/>
      <c r="Q666" s="24"/>
      <c r="R666" s="24"/>
      <c r="S666" s="41">
        <f t="shared" si="274"/>
        <v>338800</v>
      </c>
      <c r="T666" s="24">
        <v>5</v>
      </c>
      <c r="U666" s="41"/>
      <c r="V666" s="24">
        <v>0.5</v>
      </c>
      <c r="W666" s="41">
        <f t="shared" si="275"/>
        <v>0</v>
      </c>
      <c r="X666" s="24"/>
      <c r="Y666" s="41">
        <f t="shared" si="276"/>
        <v>0</v>
      </c>
      <c r="Z666" s="41">
        <f t="shared" si="277"/>
        <v>0</v>
      </c>
      <c r="AA666" s="24">
        <v>5</v>
      </c>
      <c r="AB666" s="41">
        <v>338800</v>
      </c>
      <c r="AC666" s="41">
        <f t="shared" si="272"/>
        <v>0</v>
      </c>
      <c r="AD666" s="70" t="s">
        <v>603</v>
      </c>
      <c r="AE666" s="70"/>
      <c r="AF666" s="1">
        <v>338800</v>
      </c>
      <c r="AG666" s="5">
        <f t="shared" si="259"/>
        <v>0</v>
      </c>
      <c r="AH666" s="5"/>
    </row>
    <row r="667" spans="1:34" s="1" customFormat="1" x14ac:dyDescent="0.25">
      <c r="A667" s="49">
        <v>142</v>
      </c>
      <c r="B667" s="22" t="s">
        <v>1723</v>
      </c>
      <c r="C667" s="22" t="s">
        <v>604</v>
      </c>
      <c r="D667" s="51" t="s">
        <v>593</v>
      </c>
      <c r="E667" s="24" t="s">
        <v>594</v>
      </c>
      <c r="F667" s="24"/>
      <c r="G667" s="24" t="s">
        <v>201</v>
      </c>
      <c r="H667" s="24" t="s">
        <v>62</v>
      </c>
      <c r="I667" s="24">
        <v>2012</v>
      </c>
      <c r="J667" s="24"/>
      <c r="K667" s="24" t="s">
        <v>63</v>
      </c>
      <c r="L667" s="24" t="s">
        <v>64</v>
      </c>
      <c r="M667" s="24">
        <v>7</v>
      </c>
      <c r="N667" s="41">
        <f t="shared" si="273"/>
        <v>48400</v>
      </c>
      <c r="O667" s="41">
        <v>338800</v>
      </c>
      <c r="P667" s="24"/>
      <c r="Q667" s="24"/>
      <c r="R667" s="24"/>
      <c r="S667" s="41">
        <f t="shared" si="274"/>
        <v>338800</v>
      </c>
      <c r="T667" s="24">
        <v>5</v>
      </c>
      <c r="U667" s="41"/>
      <c r="V667" s="24">
        <v>0.5</v>
      </c>
      <c r="W667" s="41">
        <f t="shared" si="275"/>
        <v>0</v>
      </c>
      <c r="X667" s="24"/>
      <c r="Y667" s="41">
        <f t="shared" si="276"/>
        <v>0</v>
      </c>
      <c r="Z667" s="41">
        <f t="shared" si="277"/>
        <v>0</v>
      </c>
      <c r="AA667" s="24">
        <v>5</v>
      </c>
      <c r="AB667" s="41">
        <v>338800</v>
      </c>
      <c r="AC667" s="41">
        <f t="shared" si="272"/>
        <v>0</v>
      </c>
      <c r="AD667" s="70" t="s">
        <v>605</v>
      </c>
      <c r="AE667" s="70"/>
      <c r="AF667" s="1">
        <v>338800</v>
      </c>
      <c r="AG667" s="5">
        <f t="shared" si="259"/>
        <v>0</v>
      </c>
      <c r="AH667" s="5"/>
    </row>
    <row r="668" spans="1:34" s="1" customFormat="1" x14ac:dyDescent="0.25">
      <c r="A668" s="49">
        <v>143</v>
      </c>
      <c r="B668" s="22" t="s">
        <v>1723</v>
      </c>
      <c r="C668" s="22" t="s">
        <v>606</v>
      </c>
      <c r="D668" s="51" t="s">
        <v>593</v>
      </c>
      <c r="E668" s="24" t="s">
        <v>594</v>
      </c>
      <c r="F668" s="24"/>
      <c r="G668" s="24" t="s">
        <v>201</v>
      </c>
      <c r="H668" s="24" t="s">
        <v>62</v>
      </c>
      <c r="I668" s="24">
        <v>2012</v>
      </c>
      <c r="J668" s="24"/>
      <c r="K668" s="24" t="s">
        <v>63</v>
      </c>
      <c r="L668" s="24" t="s">
        <v>64</v>
      </c>
      <c r="M668" s="24">
        <v>36</v>
      </c>
      <c r="N668" s="41">
        <f t="shared" si="273"/>
        <v>48400</v>
      </c>
      <c r="O668" s="41">
        <v>1742400</v>
      </c>
      <c r="P668" s="24"/>
      <c r="Q668" s="24"/>
      <c r="R668" s="24"/>
      <c r="S668" s="41">
        <f t="shared" si="274"/>
        <v>1742400</v>
      </c>
      <c r="T668" s="24">
        <v>5</v>
      </c>
      <c r="U668" s="41"/>
      <c r="V668" s="24">
        <v>0.5</v>
      </c>
      <c r="W668" s="41">
        <f t="shared" si="275"/>
        <v>0</v>
      </c>
      <c r="X668" s="24"/>
      <c r="Y668" s="41">
        <f t="shared" si="276"/>
        <v>0</v>
      </c>
      <c r="Z668" s="41">
        <f t="shared" si="277"/>
        <v>0</v>
      </c>
      <c r="AA668" s="24">
        <v>5</v>
      </c>
      <c r="AB668" s="41">
        <v>1742400</v>
      </c>
      <c r="AC668" s="41">
        <f t="shared" si="272"/>
        <v>0</v>
      </c>
      <c r="AD668" s="70" t="s">
        <v>354</v>
      </c>
      <c r="AE668" s="70"/>
      <c r="AF668" s="1">
        <v>1742400</v>
      </c>
      <c r="AG668" s="5">
        <f t="shared" si="259"/>
        <v>0</v>
      </c>
      <c r="AH668" s="5"/>
    </row>
    <row r="669" spans="1:34" s="1" customFormat="1" x14ac:dyDescent="0.25">
      <c r="A669" s="49">
        <v>144</v>
      </c>
      <c r="B669" s="22" t="s">
        <v>1723</v>
      </c>
      <c r="C669" s="22" t="s">
        <v>607</v>
      </c>
      <c r="D669" s="51" t="s">
        <v>593</v>
      </c>
      <c r="E669" s="24" t="s">
        <v>594</v>
      </c>
      <c r="F669" s="24"/>
      <c r="G669" s="24" t="s">
        <v>201</v>
      </c>
      <c r="H669" s="24" t="s">
        <v>62</v>
      </c>
      <c r="I669" s="24">
        <v>2012</v>
      </c>
      <c r="J669" s="24"/>
      <c r="K669" s="24" t="s">
        <v>63</v>
      </c>
      <c r="L669" s="24" t="s">
        <v>64</v>
      </c>
      <c r="M669" s="24">
        <v>7</v>
      </c>
      <c r="N669" s="41">
        <f t="shared" si="273"/>
        <v>48400</v>
      </c>
      <c r="O669" s="41">
        <v>338800</v>
      </c>
      <c r="P669" s="24"/>
      <c r="Q669" s="24"/>
      <c r="R669" s="24"/>
      <c r="S669" s="41">
        <f t="shared" si="274"/>
        <v>338800</v>
      </c>
      <c r="T669" s="24">
        <v>5</v>
      </c>
      <c r="U669" s="41"/>
      <c r="V669" s="24">
        <v>0.5</v>
      </c>
      <c r="W669" s="41">
        <f t="shared" si="275"/>
        <v>0</v>
      </c>
      <c r="X669" s="24"/>
      <c r="Y669" s="41">
        <f t="shared" si="276"/>
        <v>0</v>
      </c>
      <c r="Z669" s="41">
        <f t="shared" si="277"/>
        <v>0</v>
      </c>
      <c r="AA669" s="24">
        <v>5</v>
      </c>
      <c r="AB669" s="41">
        <v>338800</v>
      </c>
      <c r="AC669" s="41">
        <f t="shared" si="272"/>
        <v>0</v>
      </c>
      <c r="AD669" s="70" t="s">
        <v>608</v>
      </c>
      <c r="AE669" s="70"/>
      <c r="AF669" s="1">
        <v>338800</v>
      </c>
      <c r="AG669" s="5">
        <f t="shared" si="259"/>
        <v>0</v>
      </c>
      <c r="AH669" s="5"/>
    </row>
    <row r="670" spans="1:34" s="1" customFormat="1" x14ac:dyDescent="0.25">
      <c r="A670" s="49">
        <v>145</v>
      </c>
      <c r="B670" s="22" t="s">
        <v>1723</v>
      </c>
      <c r="C670" s="22" t="s">
        <v>609</v>
      </c>
      <c r="D670" s="51" t="s">
        <v>593</v>
      </c>
      <c r="E670" s="24" t="s">
        <v>594</v>
      </c>
      <c r="F670" s="24"/>
      <c r="G670" s="24" t="s">
        <v>201</v>
      </c>
      <c r="H670" s="24" t="s">
        <v>62</v>
      </c>
      <c r="I670" s="24">
        <v>2012</v>
      </c>
      <c r="J670" s="24"/>
      <c r="K670" s="24" t="s">
        <v>63</v>
      </c>
      <c r="L670" s="24" t="s">
        <v>64</v>
      </c>
      <c r="M670" s="24">
        <v>40</v>
      </c>
      <c r="N670" s="41">
        <f t="shared" si="273"/>
        <v>48400</v>
      </c>
      <c r="O670" s="41">
        <v>1936000</v>
      </c>
      <c r="P670" s="24"/>
      <c r="Q670" s="24"/>
      <c r="R670" s="24"/>
      <c r="S670" s="41">
        <f t="shared" si="274"/>
        <v>1936000</v>
      </c>
      <c r="T670" s="24">
        <v>5</v>
      </c>
      <c r="U670" s="41"/>
      <c r="V670" s="24">
        <v>0.5</v>
      </c>
      <c r="W670" s="41">
        <f t="shared" si="275"/>
        <v>0</v>
      </c>
      <c r="X670" s="24"/>
      <c r="Y670" s="41">
        <f t="shared" si="276"/>
        <v>0</v>
      </c>
      <c r="Z670" s="41">
        <f t="shared" si="277"/>
        <v>0</v>
      </c>
      <c r="AA670" s="24">
        <v>5</v>
      </c>
      <c r="AB670" s="41">
        <v>1936000</v>
      </c>
      <c r="AC670" s="41">
        <f t="shared" si="272"/>
        <v>0</v>
      </c>
      <c r="AD670" s="70" t="s">
        <v>610</v>
      </c>
      <c r="AE670" s="70"/>
      <c r="AF670" s="1">
        <v>1936000</v>
      </c>
      <c r="AG670" s="5">
        <f t="shared" si="259"/>
        <v>0</v>
      </c>
      <c r="AH670" s="5"/>
    </row>
    <row r="671" spans="1:34" s="1" customFormat="1" x14ac:dyDescent="0.25">
      <c r="A671" s="49">
        <v>146</v>
      </c>
      <c r="B671" s="22" t="s">
        <v>1723</v>
      </c>
      <c r="C671" s="22" t="s">
        <v>611</v>
      </c>
      <c r="D671" s="51" t="s">
        <v>593</v>
      </c>
      <c r="E671" s="24" t="s">
        <v>594</v>
      </c>
      <c r="F671" s="24"/>
      <c r="G671" s="24" t="s">
        <v>201</v>
      </c>
      <c r="H671" s="24" t="s">
        <v>62</v>
      </c>
      <c r="I671" s="24">
        <v>2012</v>
      </c>
      <c r="J671" s="24"/>
      <c r="K671" s="24" t="s">
        <v>63</v>
      </c>
      <c r="L671" s="24" t="s">
        <v>64</v>
      </c>
      <c r="M671" s="24">
        <v>40</v>
      </c>
      <c r="N671" s="41">
        <f t="shared" si="273"/>
        <v>48400</v>
      </c>
      <c r="O671" s="41">
        <v>1936000</v>
      </c>
      <c r="P671" s="24"/>
      <c r="Q671" s="24"/>
      <c r="R671" s="24"/>
      <c r="S671" s="41">
        <f t="shared" si="274"/>
        <v>1936000</v>
      </c>
      <c r="T671" s="24">
        <v>5</v>
      </c>
      <c r="U671" s="41"/>
      <c r="V671" s="24">
        <v>0.5</v>
      </c>
      <c r="W671" s="41">
        <f t="shared" si="275"/>
        <v>0</v>
      </c>
      <c r="X671" s="24"/>
      <c r="Y671" s="41">
        <f t="shared" si="276"/>
        <v>0</v>
      </c>
      <c r="Z671" s="41">
        <f t="shared" si="277"/>
        <v>0</v>
      </c>
      <c r="AA671" s="72">
        <v>5</v>
      </c>
      <c r="AB671" s="41">
        <v>1936000</v>
      </c>
      <c r="AC671" s="41">
        <f t="shared" si="272"/>
        <v>0</v>
      </c>
      <c r="AD671" s="70" t="s">
        <v>612</v>
      </c>
      <c r="AE671" s="70"/>
      <c r="AF671" s="1">
        <v>1936000</v>
      </c>
      <c r="AG671" s="5">
        <f t="shared" si="259"/>
        <v>0</v>
      </c>
      <c r="AH671" s="5"/>
    </row>
    <row r="672" spans="1:34" s="1" customFormat="1" x14ac:dyDescent="0.25">
      <c r="A672" s="49">
        <v>147</v>
      </c>
      <c r="B672" s="22" t="s">
        <v>1723</v>
      </c>
      <c r="C672" s="22" t="s">
        <v>613</v>
      </c>
      <c r="D672" s="51" t="s">
        <v>593</v>
      </c>
      <c r="E672" s="24" t="s">
        <v>594</v>
      </c>
      <c r="F672" s="24"/>
      <c r="G672" s="24" t="s">
        <v>201</v>
      </c>
      <c r="H672" s="24" t="s">
        <v>62</v>
      </c>
      <c r="I672" s="24">
        <v>2012</v>
      </c>
      <c r="J672" s="24"/>
      <c r="K672" s="24" t="s">
        <v>63</v>
      </c>
      <c r="L672" s="24" t="s">
        <v>64</v>
      </c>
      <c r="M672" s="24">
        <v>105</v>
      </c>
      <c r="N672" s="41">
        <f t="shared" si="273"/>
        <v>48400</v>
      </c>
      <c r="O672" s="41">
        <v>5082000</v>
      </c>
      <c r="P672" s="24"/>
      <c r="Q672" s="24"/>
      <c r="R672" s="24"/>
      <c r="S672" s="41">
        <f t="shared" si="274"/>
        <v>5082000</v>
      </c>
      <c r="T672" s="24">
        <v>5</v>
      </c>
      <c r="U672" s="41"/>
      <c r="V672" s="24">
        <v>0.5</v>
      </c>
      <c r="W672" s="41">
        <f t="shared" si="275"/>
        <v>0</v>
      </c>
      <c r="X672" s="24"/>
      <c r="Y672" s="41">
        <f t="shared" si="276"/>
        <v>0</v>
      </c>
      <c r="Z672" s="41">
        <f t="shared" si="277"/>
        <v>0</v>
      </c>
      <c r="AA672" s="72">
        <v>5</v>
      </c>
      <c r="AB672" s="41">
        <v>5082000</v>
      </c>
      <c r="AC672" s="41">
        <f t="shared" si="272"/>
        <v>0</v>
      </c>
      <c r="AD672" s="70" t="s">
        <v>250</v>
      </c>
      <c r="AE672" s="70"/>
      <c r="AF672" s="1">
        <v>5082000</v>
      </c>
      <c r="AG672" s="5">
        <f t="shared" si="259"/>
        <v>0</v>
      </c>
      <c r="AH672" s="5"/>
    </row>
    <row r="673" spans="1:34" s="1" customFormat="1" x14ac:dyDescent="0.25">
      <c r="A673" s="49">
        <v>148</v>
      </c>
      <c r="B673" s="22" t="s">
        <v>1723</v>
      </c>
      <c r="C673" s="22" t="s">
        <v>614</v>
      </c>
      <c r="D673" s="51" t="s">
        <v>615</v>
      </c>
      <c r="E673" s="24" t="s">
        <v>166</v>
      </c>
      <c r="F673" s="24"/>
      <c r="G673" s="24" t="s">
        <v>201</v>
      </c>
      <c r="H673" s="24" t="s">
        <v>62</v>
      </c>
      <c r="I673" s="24">
        <v>2011</v>
      </c>
      <c r="J673" s="24"/>
      <c r="K673" s="24" t="s">
        <v>63</v>
      </c>
      <c r="L673" s="24" t="s">
        <v>64</v>
      </c>
      <c r="M673" s="24">
        <v>200</v>
      </c>
      <c r="N673" s="41">
        <f t="shared" si="273"/>
        <v>35000</v>
      </c>
      <c r="O673" s="41">
        <v>7000000</v>
      </c>
      <c r="P673" s="24"/>
      <c r="Q673" s="24"/>
      <c r="R673" s="24"/>
      <c r="S673" s="41">
        <f t="shared" si="274"/>
        <v>7000000</v>
      </c>
      <c r="T673" s="24">
        <v>5</v>
      </c>
      <c r="U673" s="41"/>
      <c r="V673" s="24">
        <v>0.5</v>
      </c>
      <c r="W673" s="41">
        <f t="shared" si="275"/>
        <v>0</v>
      </c>
      <c r="X673" s="52"/>
      <c r="Y673" s="53">
        <f t="shared" si="276"/>
        <v>0</v>
      </c>
      <c r="Z673" s="53">
        <f t="shared" si="277"/>
        <v>0</v>
      </c>
      <c r="AA673" s="57">
        <v>5</v>
      </c>
      <c r="AB673" s="53">
        <v>7000000</v>
      </c>
      <c r="AC673" s="53">
        <f t="shared" si="272"/>
        <v>0</v>
      </c>
      <c r="AD673" s="56" t="s">
        <v>616</v>
      </c>
      <c r="AE673" s="70"/>
      <c r="AF673" s="1">
        <v>7000000</v>
      </c>
      <c r="AG673" s="5">
        <f t="shared" si="259"/>
        <v>0</v>
      </c>
      <c r="AH673" s="5"/>
    </row>
    <row r="674" spans="1:34" s="1" customFormat="1" x14ac:dyDescent="0.25">
      <c r="A674" s="49">
        <v>149</v>
      </c>
      <c r="B674" s="22" t="s">
        <v>1723</v>
      </c>
      <c r="C674" s="22" t="s">
        <v>617</v>
      </c>
      <c r="D674" s="51" t="s">
        <v>615</v>
      </c>
      <c r="E674" s="24" t="s">
        <v>166</v>
      </c>
      <c r="F674" s="24"/>
      <c r="G674" s="24" t="s">
        <v>201</v>
      </c>
      <c r="H674" s="24" t="s">
        <v>62</v>
      </c>
      <c r="I674" s="24">
        <v>2012</v>
      </c>
      <c r="J674" s="24"/>
      <c r="K674" s="24" t="s">
        <v>63</v>
      </c>
      <c r="L674" s="24" t="s">
        <v>64</v>
      </c>
      <c r="M674" s="24">
        <v>40</v>
      </c>
      <c r="N674" s="41">
        <f t="shared" si="273"/>
        <v>74800</v>
      </c>
      <c r="O674" s="41">
        <v>2992000</v>
      </c>
      <c r="P674" s="24"/>
      <c r="Q674" s="24"/>
      <c r="R674" s="24"/>
      <c r="S674" s="41">
        <f t="shared" si="274"/>
        <v>2992000</v>
      </c>
      <c r="T674" s="24">
        <v>5</v>
      </c>
      <c r="U674" s="41"/>
      <c r="V674" s="24">
        <v>0.5</v>
      </c>
      <c r="W674" s="41">
        <f t="shared" si="275"/>
        <v>0</v>
      </c>
      <c r="X674" s="24"/>
      <c r="Y674" s="41">
        <f t="shared" si="276"/>
        <v>0</v>
      </c>
      <c r="Z674" s="41">
        <f t="shared" si="277"/>
        <v>0</v>
      </c>
      <c r="AA674" s="72">
        <v>5</v>
      </c>
      <c r="AB674" s="41">
        <v>2992000</v>
      </c>
      <c r="AC674" s="41">
        <f t="shared" si="272"/>
        <v>0</v>
      </c>
      <c r="AD674" s="70" t="s">
        <v>618</v>
      </c>
      <c r="AE674" s="70"/>
      <c r="AF674" s="1">
        <v>2992000</v>
      </c>
      <c r="AG674" s="5">
        <f t="shared" si="259"/>
        <v>0</v>
      </c>
      <c r="AH674" s="5"/>
    </row>
    <row r="675" spans="1:34" s="1" customFormat="1" x14ac:dyDescent="0.25">
      <c r="A675" s="49">
        <v>150</v>
      </c>
      <c r="B675" s="22" t="s">
        <v>1724</v>
      </c>
      <c r="C675" s="22" t="s">
        <v>960</v>
      </c>
      <c r="D675" s="51" t="s">
        <v>961</v>
      </c>
      <c r="E675" s="24" t="s">
        <v>166</v>
      </c>
      <c r="F675" s="24"/>
      <c r="G675" s="24" t="s">
        <v>201</v>
      </c>
      <c r="H675" s="24" t="s">
        <v>62</v>
      </c>
      <c r="I675" s="24">
        <v>2011</v>
      </c>
      <c r="J675" s="24"/>
      <c r="K675" s="24" t="s">
        <v>63</v>
      </c>
      <c r="L675" s="24" t="s">
        <v>64</v>
      </c>
      <c r="M675" s="24">
        <v>120</v>
      </c>
      <c r="N675" s="41">
        <f t="shared" si="273"/>
        <v>148000</v>
      </c>
      <c r="O675" s="41">
        <v>17760000</v>
      </c>
      <c r="P675" s="24"/>
      <c r="Q675" s="24"/>
      <c r="R675" s="24"/>
      <c r="S675" s="41">
        <f t="shared" si="274"/>
        <v>17760000</v>
      </c>
      <c r="T675" s="24">
        <v>5</v>
      </c>
      <c r="U675" s="41"/>
      <c r="V675" s="24">
        <v>0.5</v>
      </c>
      <c r="W675" s="41">
        <f t="shared" si="275"/>
        <v>0</v>
      </c>
      <c r="X675" s="24"/>
      <c r="Y675" s="41">
        <f t="shared" si="276"/>
        <v>0</v>
      </c>
      <c r="Z675" s="41">
        <f t="shared" si="277"/>
        <v>0</v>
      </c>
      <c r="AA675" s="24">
        <v>5</v>
      </c>
      <c r="AB675" s="41">
        <v>17760000</v>
      </c>
      <c r="AC675" s="41">
        <f t="shared" si="272"/>
        <v>0</v>
      </c>
      <c r="AD675" s="70" t="s">
        <v>962</v>
      </c>
      <c r="AE675" s="70"/>
      <c r="AF675" s="1">
        <v>17760000</v>
      </c>
      <c r="AG675" s="5">
        <f t="shared" si="259"/>
        <v>0</v>
      </c>
      <c r="AH675" s="5"/>
    </row>
    <row r="676" spans="1:34" s="1" customFormat="1" x14ac:dyDescent="0.25">
      <c r="A676" s="49">
        <v>151</v>
      </c>
      <c r="B676" s="22" t="s">
        <v>1724</v>
      </c>
      <c r="C676" s="22" t="s">
        <v>963</v>
      </c>
      <c r="D676" s="51" t="s">
        <v>961</v>
      </c>
      <c r="E676" s="24" t="s">
        <v>166</v>
      </c>
      <c r="F676" s="24"/>
      <c r="G676" s="24" t="s">
        <v>201</v>
      </c>
      <c r="H676" s="24" t="s">
        <v>62</v>
      </c>
      <c r="I676" s="24">
        <v>2012</v>
      </c>
      <c r="J676" s="24"/>
      <c r="K676" s="24" t="s">
        <v>63</v>
      </c>
      <c r="L676" s="24" t="s">
        <v>64</v>
      </c>
      <c r="M676" s="24">
        <v>40</v>
      </c>
      <c r="N676" s="41">
        <f t="shared" si="273"/>
        <v>176000</v>
      </c>
      <c r="O676" s="41">
        <v>7040000</v>
      </c>
      <c r="P676" s="24"/>
      <c r="Q676" s="24"/>
      <c r="R676" s="24"/>
      <c r="S676" s="41">
        <f t="shared" si="274"/>
        <v>7040000</v>
      </c>
      <c r="T676" s="24">
        <v>5</v>
      </c>
      <c r="U676" s="41"/>
      <c r="V676" s="24">
        <v>0.5</v>
      </c>
      <c r="W676" s="41">
        <f t="shared" si="275"/>
        <v>0</v>
      </c>
      <c r="X676" s="24"/>
      <c r="Y676" s="41">
        <f t="shared" si="276"/>
        <v>0</v>
      </c>
      <c r="Z676" s="41">
        <f t="shared" si="277"/>
        <v>0</v>
      </c>
      <c r="AA676" s="24">
        <v>5</v>
      </c>
      <c r="AB676" s="41">
        <v>7040000</v>
      </c>
      <c r="AC676" s="41">
        <f t="shared" si="272"/>
        <v>0</v>
      </c>
      <c r="AD676" s="70" t="s">
        <v>964</v>
      </c>
      <c r="AE676" s="70"/>
      <c r="AF676" s="1">
        <v>7040000</v>
      </c>
      <c r="AG676" s="5">
        <f t="shared" si="259"/>
        <v>0</v>
      </c>
      <c r="AH676" s="5"/>
    </row>
    <row r="677" spans="1:34" s="1" customFormat="1" x14ac:dyDescent="0.25">
      <c r="A677" s="49">
        <v>152</v>
      </c>
      <c r="B677" s="22" t="s">
        <v>1724</v>
      </c>
      <c r="C677" s="22" t="s">
        <v>965</v>
      </c>
      <c r="D677" s="51" t="s">
        <v>966</v>
      </c>
      <c r="E677" s="24" t="s">
        <v>166</v>
      </c>
      <c r="F677" s="24"/>
      <c r="G677" s="24" t="s">
        <v>201</v>
      </c>
      <c r="H677" s="24" t="s">
        <v>62</v>
      </c>
      <c r="I677" s="24">
        <v>2012</v>
      </c>
      <c r="J677" s="24"/>
      <c r="K677" s="24" t="s">
        <v>63</v>
      </c>
      <c r="L677" s="24" t="s">
        <v>64</v>
      </c>
      <c r="M677" s="24">
        <v>20</v>
      </c>
      <c r="N677" s="41">
        <f t="shared" si="273"/>
        <v>148500</v>
      </c>
      <c r="O677" s="41">
        <v>2970000</v>
      </c>
      <c r="P677" s="24"/>
      <c r="Q677" s="24"/>
      <c r="R677" s="24"/>
      <c r="S677" s="41">
        <f t="shared" si="274"/>
        <v>2970000</v>
      </c>
      <c r="T677" s="24">
        <v>5</v>
      </c>
      <c r="U677" s="41"/>
      <c r="V677" s="24">
        <v>0.5</v>
      </c>
      <c r="W677" s="41">
        <f t="shared" si="275"/>
        <v>0</v>
      </c>
      <c r="X677" s="24"/>
      <c r="Y677" s="41">
        <f t="shared" si="276"/>
        <v>0</v>
      </c>
      <c r="Z677" s="41">
        <f t="shared" si="277"/>
        <v>0</v>
      </c>
      <c r="AA677" s="24">
        <v>5</v>
      </c>
      <c r="AB677" s="41">
        <v>2970000</v>
      </c>
      <c r="AC677" s="41">
        <f t="shared" si="272"/>
        <v>0</v>
      </c>
      <c r="AD677" s="70" t="s">
        <v>942</v>
      </c>
      <c r="AE677" s="70"/>
      <c r="AF677" s="1">
        <v>2970000</v>
      </c>
      <c r="AG677" s="5">
        <f t="shared" si="259"/>
        <v>0</v>
      </c>
      <c r="AH677" s="5"/>
    </row>
    <row r="678" spans="1:34" s="1" customFormat="1" x14ac:dyDescent="0.25">
      <c r="A678" s="49">
        <v>153</v>
      </c>
      <c r="B678" s="22" t="s">
        <v>1724</v>
      </c>
      <c r="C678" s="22" t="s">
        <v>967</v>
      </c>
      <c r="D678" s="51" t="s">
        <v>966</v>
      </c>
      <c r="E678" s="24" t="s">
        <v>166</v>
      </c>
      <c r="F678" s="24"/>
      <c r="G678" s="24" t="s">
        <v>201</v>
      </c>
      <c r="H678" s="24" t="s">
        <v>62</v>
      </c>
      <c r="I678" s="24">
        <v>2012</v>
      </c>
      <c r="J678" s="24"/>
      <c r="K678" s="24" t="s">
        <v>63</v>
      </c>
      <c r="L678" s="24" t="s">
        <v>64</v>
      </c>
      <c r="M678" s="24">
        <v>20</v>
      </c>
      <c r="N678" s="41">
        <f t="shared" si="273"/>
        <v>148500</v>
      </c>
      <c r="O678" s="41">
        <v>2970000</v>
      </c>
      <c r="P678" s="24"/>
      <c r="Q678" s="24"/>
      <c r="R678" s="24"/>
      <c r="S678" s="41">
        <f t="shared" si="274"/>
        <v>2970000</v>
      </c>
      <c r="T678" s="24">
        <v>5</v>
      </c>
      <c r="U678" s="41"/>
      <c r="V678" s="24">
        <v>0.5</v>
      </c>
      <c r="W678" s="41">
        <f t="shared" si="275"/>
        <v>0</v>
      </c>
      <c r="X678" s="24"/>
      <c r="Y678" s="41">
        <f t="shared" si="276"/>
        <v>0</v>
      </c>
      <c r="Z678" s="41">
        <f t="shared" si="277"/>
        <v>0</v>
      </c>
      <c r="AA678" s="24">
        <v>5</v>
      </c>
      <c r="AB678" s="41">
        <v>2970000</v>
      </c>
      <c r="AC678" s="41">
        <f t="shared" si="272"/>
        <v>0</v>
      </c>
      <c r="AD678" s="70" t="s">
        <v>597</v>
      </c>
      <c r="AE678" s="70"/>
      <c r="AF678" s="1">
        <v>2970000</v>
      </c>
      <c r="AG678" s="5">
        <f t="shared" si="259"/>
        <v>0</v>
      </c>
      <c r="AH678" s="5"/>
    </row>
    <row r="679" spans="1:34" s="1" customFormat="1" x14ac:dyDescent="0.25">
      <c r="A679" s="49">
        <v>154</v>
      </c>
      <c r="B679" s="22" t="s">
        <v>1724</v>
      </c>
      <c r="C679" s="22" t="s">
        <v>968</v>
      </c>
      <c r="D679" s="51" t="s">
        <v>966</v>
      </c>
      <c r="E679" s="24" t="s">
        <v>166</v>
      </c>
      <c r="F679" s="24"/>
      <c r="G679" s="24" t="s">
        <v>201</v>
      </c>
      <c r="H679" s="24" t="s">
        <v>62</v>
      </c>
      <c r="I679" s="24">
        <v>2012</v>
      </c>
      <c r="J679" s="24"/>
      <c r="K679" s="24" t="s">
        <v>63</v>
      </c>
      <c r="L679" s="24" t="s">
        <v>64</v>
      </c>
      <c r="M679" s="24">
        <v>10</v>
      </c>
      <c r="N679" s="41">
        <f t="shared" si="273"/>
        <v>148500</v>
      </c>
      <c r="O679" s="41">
        <v>1485000</v>
      </c>
      <c r="P679" s="24"/>
      <c r="Q679" s="24"/>
      <c r="R679" s="24"/>
      <c r="S679" s="41">
        <f t="shared" si="274"/>
        <v>1485000</v>
      </c>
      <c r="T679" s="24">
        <v>5</v>
      </c>
      <c r="U679" s="41"/>
      <c r="V679" s="24">
        <v>0.5</v>
      </c>
      <c r="W679" s="41">
        <f t="shared" si="275"/>
        <v>0</v>
      </c>
      <c r="X679" s="24"/>
      <c r="Y679" s="41">
        <f t="shared" si="276"/>
        <v>0</v>
      </c>
      <c r="Z679" s="41">
        <f t="shared" si="277"/>
        <v>0</v>
      </c>
      <c r="AA679" s="24">
        <v>5</v>
      </c>
      <c r="AB679" s="41">
        <v>1485000</v>
      </c>
      <c r="AC679" s="41">
        <f t="shared" si="272"/>
        <v>0</v>
      </c>
      <c r="AD679" s="70" t="s">
        <v>540</v>
      </c>
      <c r="AE679" s="70"/>
      <c r="AF679" s="1">
        <v>1485000</v>
      </c>
      <c r="AG679" s="5">
        <f t="shared" si="259"/>
        <v>0</v>
      </c>
      <c r="AH679" s="5"/>
    </row>
    <row r="680" spans="1:34" s="1" customFormat="1" x14ac:dyDescent="0.25">
      <c r="A680" s="49">
        <v>155</v>
      </c>
      <c r="B680" s="22" t="s">
        <v>1724</v>
      </c>
      <c r="C680" s="22" t="s">
        <v>969</v>
      </c>
      <c r="D680" s="51" t="s">
        <v>966</v>
      </c>
      <c r="E680" s="24" t="s">
        <v>166</v>
      </c>
      <c r="F680" s="24"/>
      <c r="G680" s="24" t="s">
        <v>201</v>
      </c>
      <c r="H680" s="24" t="s">
        <v>62</v>
      </c>
      <c r="I680" s="24">
        <v>2012</v>
      </c>
      <c r="J680" s="24"/>
      <c r="K680" s="24" t="s">
        <v>63</v>
      </c>
      <c r="L680" s="24" t="s">
        <v>64</v>
      </c>
      <c r="M680" s="24">
        <v>20</v>
      </c>
      <c r="N680" s="41">
        <f t="shared" si="273"/>
        <v>148500</v>
      </c>
      <c r="O680" s="41">
        <v>2970000</v>
      </c>
      <c r="P680" s="24"/>
      <c r="Q680" s="24"/>
      <c r="R680" s="24"/>
      <c r="S680" s="41">
        <f t="shared" si="274"/>
        <v>2970000</v>
      </c>
      <c r="T680" s="24">
        <v>5</v>
      </c>
      <c r="U680" s="41"/>
      <c r="V680" s="24">
        <v>0.5</v>
      </c>
      <c r="W680" s="41">
        <f t="shared" si="275"/>
        <v>0</v>
      </c>
      <c r="X680" s="24"/>
      <c r="Y680" s="41">
        <f t="shared" si="276"/>
        <v>0</v>
      </c>
      <c r="Z680" s="41">
        <f t="shared" si="277"/>
        <v>0</v>
      </c>
      <c r="AA680" s="24">
        <v>5</v>
      </c>
      <c r="AB680" s="41">
        <v>2970000</v>
      </c>
      <c r="AC680" s="41">
        <f t="shared" si="272"/>
        <v>0</v>
      </c>
      <c r="AD680" s="70" t="s">
        <v>351</v>
      </c>
      <c r="AE680" s="70"/>
      <c r="AF680" s="1">
        <v>2970000</v>
      </c>
      <c r="AG680" s="5">
        <f t="shared" si="259"/>
        <v>0</v>
      </c>
      <c r="AH680" s="5"/>
    </row>
    <row r="681" spans="1:34" s="1" customFormat="1" x14ac:dyDescent="0.25">
      <c r="A681" s="49">
        <v>156</v>
      </c>
      <c r="B681" s="22" t="s">
        <v>1724</v>
      </c>
      <c r="C681" s="22" t="s">
        <v>970</v>
      </c>
      <c r="D681" s="51" t="s">
        <v>966</v>
      </c>
      <c r="E681" s="24" t="s">
        <v>166</v>
      </c>
      <c r="F681" s="24"/>
      <c r="G681" s="24" t="s">
        <v>201</v>
      </c>
      <c r="H681" s="24" t="s">
        <v>62</v>
      </c>
      <c r="I681" s="24">
        <v>2012</v>
      </c>
      <c r="J681" s="24"/>
      <c r="K681" s="24" t="s">
        <v>63</v>
      </c>
      <c r="L681" s="24" t="s">
        <v>64</v>
      </c>
      <c r="M681" s="24">
        <v>20</v>
      </c>
      <c r="N681" s="41">
        <f t="shared" si="273"/>
        <v>148500</v>
      </c>
      <c r="O681" s="41">
        <v>2970000</v>
      </c>
      <c r="P681" s="24"/>
      <c r="Q681" s="24"/>
      <c r="R681" s="24"/>
      <c r="S681" s="41">
        <f t="shared" si="274"/>
        <v>2970000</v>
      </c>
      <c r="T681" s="24">
        <v>5</v>
      </c>
      <c r="U681" s="41"/>
      <c r="V681" s="24">
        <v>0.5</v>
      </c>
      <c r="W681" s="41">
        <f t="shared" si="275"/>
        <v>0</v>
      </c>
      <c r="X681" s="24"/>
      <c r="Y681" s="41">
        <f t="shared" si="276"/>
        <v>0</v>
      </c>
      <c r="Z681" s="41">
        <f t="shared" si="277"/>
        <v>0</v>
      </c>
      <c r="AA681" s="24">
        <v>5</v>
      </c>
      <c r="AB681" s="41">
        <v>2970000</v>
      </c>
      <c r="AC681" s="41">
        <f t="shared" si="272"/>
        <v>0</v>
      </c>
      <c r="AD681" s="70" t="s">
        <v>601</v>
      </c>
      <c r="AE681" s="70"/>
      <c r="AF681" s="1">
        <v>2970000</v>
      </c>
      <c r="AG681" s="5">
        <f t="shared" si="259"/>
        <v>0</v>
      </c>
      <c r="AH681" s="5"/>
    </row>
    <row r="682" spans="1:34" s="1" customFormat="1" x14ac:dyDescent="0.25">
      <c r="A682" s="49">
        <v>157</v>
      </c>
      <c r="B682" s="22" t="s">
        <v>1724</v>
      </c>
      <c r="C682" s="22" t="s">
        <v>971</v>
      </c>
      <c r="D682" s="51" t="s">
        <v>966</v>
      </c>
      <c r="E682" s="24" t="s">
        <v>166</v>
      </c>
      <c r="F682" s="24"/>
      <c r="G682" s="24" t="s">
        <v>201</v>
      </c>
      <c r="H682" s="24" t="s">
        <v>62</v>
      </c>
      <c r="I682" s="24">
        <v>2012</v>
      </c>
      <c r="J682" s="24"/>
      <c r="K682" s="24" t="s">
        <v>63</v>
      </c>
      <c r="L682" s="24" t="s">
        <v>64</v>
      </c>
      <c r="M682" s="24">
        <v>20</v>
      </c>
      <c r="N682" s="41">
        <f t="shared" si="273"/>
        <v>148500</v>
      </c>
      <c r="O682" s="41">
        <v>2970000</v>
      </c>
      <c r="P682" s="24"/>
      <c r="Q682" s="24"/>
      <c r="R682" s="24"/>
      <c r="S682" s="41">
        <f t="shared" si="274"/>
        <v>2970000</v>
      </c>
      <c r="T682" s="24">
        <v>5</v>
      </c>
      <c r="U682" s="41"/>
      <c r="V682" s="24">
        <v>0.5</v>
      </c>
      <c r="W682" s="41">
        <f t="shared" si="275"/>
        <v>0</v>
      </c>
      <c r="X682" s="24"/>
      <c r="Y682" s="41">
        <f t="shared" si="276"/>
        <v>0</v>
      </c>
      <c r="Z682" s="41">
        <f t="shared" si="277"/>
        <v>0</v>
      </c>
      <c r="AA682" s="24">
        <v>5</v>
      </c>
      <c r="AB682" s="41">
        <v>2970000</v>
      </c>
      <c r="AC682" s="41">
        <f t="shared" si="272"/>
        <v>0</v>
      </c>
      <c r="AD682" s="70" t="s">
        <v>603</v>
      </c>
      <c r="AE682" s="70"/>
      <c r="AF682" s="1">
        <v>2970000</v>
      </c>
      <c r="AG682" s="5">
        <f t="shared" si="259"/>
        <v>0</v>
      </c>
      <c r="AH682" s="5"/>
    </row>
    <row r="683" spans="1:34" s="1" customFormat="1" x14ac:dyDescent="0.25">
      <c r="A683" s="49">
        <v>158</v>
      </c>
      <c r="B683" s="22" t="s">
        <v>1724</v>
      </c>
      <c r="C683" s="22" t="s">
        <v>972</v>
      </c>
      <c r="D683" s="51" t="s">
        <v>966</v>
      </c>
      <c r="E683" s="24" t="s">
        <v>166</v>
      </c>
      <c r="F683" s="24"/>
      <c r="G683" s="24" t="s">
        <v>201</v>
      </c>
      <c r="H683" s="24" t="s">
        <v>62</v>
      </c>
      <c r="I683" s="24">
        <v>2012</v>
      </c>
      <c r="J683" s="24"/>
      <c r="K683" s="24" t="s">
        <v>63</v>
      </c>
      <c r="L683" s="24" t="s">
        <v>64</v>
      </c>
      <c r="M683" s="24">
        <v>20</v>
      </c>
      <c r="N683" s="41">
        <f t="shared" si="273"/>
        <v>148500</v>
      </c>
      <c r="O683" s="41">
        <v>2970000</v>
      </c>
      <c r="P683" s="24"/>
      <c r="Q683" s="24"/>
      <c r="R683" s="24"/>
      <c r="S683" s="41">
        <f t="shared" si="274"/>
        <v>2970000</v>
      </c>
      <c r="T683" s="24">
        <v>5</v>
      </c>
      <c r="U683" s="41"/>
      <c r="V683" s="24">
        <v>0.5</v>
      </c>
      <c r="W683" s="41">
        <f t="shared" si="275"/>
        <v>0</v>
      </c>
      <c r="X683" s="24"/>
      <c r="Y683" s="41">
        <f t="shared" si="276"/>
        <v>0</v>
      </c>
      <c r="Z683" s="41">
        <f t="shared" si="277"/>
        <v>0</v>
      </c>
      <c r="AA683" s="24">
        <v>5</v>
      </c>
      <c r="AB683" s="41">
        <v>2970000</v>
      </c>
      <c r="AC683" s="41">
        <f t="shared" si="272"/>
        <v>0</v>
      </c>
      <c r="AD683" s="70" t="s">
        <v>605</v>
      </c>
      <c r="AE683" s="70"/>
      <c r="AF683" s="1">
        <v>2970000</v>
      </c>
      <c r="AG683" s="5">
        <f t="shared" si="259"/>
        <v>0</v>
      </c>
      <c r="AH683" s="5"/>
    </row>
    <row r="684" spans="1:34" s="1" customFormat="1" x14ac:dyDescent="0.25">
      <c r="A684" s="49">
        <v>159</v>
      </c>
      <c r="B684" s="22" t="s">
        <v>1724</v>
      </c>
      <c r="C684" s="22" t="s">
        <v>973</v>
      </c>
      <c r="D684" s="51" t="s">
        <v>966</v>
      </c>
      <c r="E684" s="24" t="s">
        <v>166</v>
      </c>
      <c r="F684" s="24"/>
      <c r="G684" s="24" t="s">
        <v>201</v>
      </c>
      <c r="H684" s="24" t="s">
        <v>62</v>
      </c>
      <c r="I684" s="24">
        <v>2012</v>
      </c>
      <c r="J684" s="24"/>
      <c r="K684" s="24" t="s">
        <v>63</v>
      </c>
      <c r="L684" s="24" t="s">
        <v>64</v>
      </c>
      <c r="M684" s="24">
        <v>20</v>
      </c>
      <c r="N684" s="41">
        <f t="shared" si="273"/>
        <v>148500</v>
      </c>
      <c r="O684" s="41">
        <v>2970000</v>
      </c>
      <c r="P684" s="24"/>
      <c r="Q684" s="24"/>
      <c r="R684" s="24"/>
      <c r="S684" s="41">
        <f t="shared" si="274"/>
        <v>2970000</v>
      </c>
      <c r="T684" s="24">
        <v>5</v>
      </c>
      <c r="U684" s="41"/>
      <c r="V684" s="24">
        <v>0.5</v>
      </c>
      <c r="W684" s="41">
        <f t="shared" si="275"/>
        <v>0</v>
      </c>
      <c r="X684" s="24"/>
      <c r="Y684" s="41">
        <f t="shared" si="276"/>
        <v>0</v>
      </c>
      <c r="Z684" s="41">
        <f t="shared" si="277"/>
        <v>0</v>
      </c>
      <c r="AA684" s="24">
        <v>5</v>
      </c>
      <c r="AB684" s="41">
        <v>2970000</v>
      </c>
      <c r="AC684" s="41">
        <f t="shared" si="272"/>
        <v>0</v>
      </c>
      <c r="AD684" s="70" t="s">
        <v>354</v>
      </c>
      <c r="AE684" s="70"/>
      <c r="AF684" s="1">
        <v>2970000</v>
      </c>
      <c r="AG684" s="5">
        <f t="shared" si="259"/>
        <v>0</v>
      </c>
      <c r="AH684" s="5"/>
    </row>
    <row r="685" spans="1:34" s="1" customFormat="1" x14ac:dyDescent="0.25">
      <c r="A685" s="49">
        <v>160</v>
      </c>
      <c r="B685" s="22" t="s">
        <v>1724</v>
      </c>
      <c r="C685" s="22" t="s">
        <v>974</v>
      </c>
      <c r="D685" s="51" t="s">
        <v>966</v>
      </c>
      <c r="E685" s="24" t="s">
        <v>166</v>
      </c>
      <c r="F685" s="24"/>
      <c r="G685" s="24" t="s">
        <v>201</v>
      </c>
      <c r="H685" s="24" t="s">
        <v>62</v>
      </c>
      <c r="I685" s="24">
        <v>2012</v>
      </c>
      <c r="J685" s="24"/>
      <c r="K685" s="24" t="s">
        <v>63</v>
      </c>
      <c r="L685" s="24" t="s">
        <v>64</v>
      </c>
      <c r="M685" s="24">
        <v>40</v>
      </c>
      <c r="N685" s="41">
        <f t="shared" si="273"/>
        <v>148500</v>
      </c>
      <c r="O685" s="41">
        <v>5940000</v>
      </c>
      <c r="P685" s="24"/>
      <c r="Q685" s="24"/>
      <c r="R685" s="24"/>
      <c r="S685" s="41">
        <f t="shared" si="274"/>
        <v>5940000</v>
      </c>
      <c r="T685" s="24">
        <v>5</v>
      </c>
      <c r="U685" s="41"/>
      <c r="V685" s="24">
        <v>0.5</v>
      </c>
      <c r="W685" s="41">
        <f t="shared" si="275"/>
        <v>0</v>
      </c>
      <c r="X685" s="24"/>
      <c r="Y685" s="41">
        <f t="shared" si="276"/>
        <v>0</v>
      </c>
      <c r="Z685" s="41">
        <f t="shared" si="277"/>
        <v>0</v>
      </c>
      <c r="AA685" s="24">
        <v>5</v>
      </c>
      <c r="AB685" s="41">
        <v>5940000</v>
      </c>
      <c r="AC685" s="41">
        <f t="shared" si="272"/>
        <v>0</v>
      </c>
      <c r="AD685" s="70" t="s">
        <v>610</v>
      </c>
      <c r="AE685" s="70"/>
      <c r="AF685" s="1">
        <v>5940000</v>
      </c>
      <c r="AG685" s="5">
        <f t="shared" si="259"/>
        <v>0</v>
      </c>
      <c r="AH685" s="5"/>
    </row>
    <row r="686" spans="1:34" s="1" customFormat="1" x14ac:dyDescent="0.25">
      <c r="A686" s="49">
        <v>161</v>
      </c>
      <c r="B686" s="22" t="s">
        <v>1724</v>
      </c>
      <c r="C686" s="22" t="s">
        <v>975</v>
      </c>
      <c r="D686" s="51" t="s">
        <v>966</v>
      </c>
      <c r="E686" s="24" t="s">
        <v>166</v>
      </c>
      <c r="F686" s="24"/>
      <c r="G686" s="24" t="s">
        <v>201</v>
      </c>
      <c r="H686" s="24" t="s">
        <v>62</v>
      </c>
      <c r="I686" s="24">
        <v>2012</v>
      </c>
      <c r="J686" s="24"/>
      <c r="K686" s="24" t="s">
        <v>63</v>
      </c>
      <c r="L686" s="24" t="s">
        <v>64</v>
      </c>
      <c r="M686" s="24">
        <v>40</v>
      </c>
      <c r="N686" s="41">
        <f t="shared" si="273"/>
        <v>148500</v>
      </c>
      <c r="O686" s="41">
        <v>5940000</v>
      </c>
      <c r="P686" s="24"/>
      <c r="Q686" s="24"/>
      <c r="R686" s="24"/>
      <c r="S686" s="41">
        <f t="shared" si="274"/>
        <v>5940000</v>
      </c>
      <c r="T686" s="24">
        <v>5</v>
      </c>
      <c r="U686" s="41"/>
      <c r="V686" s="24">
        <v>0.5</v>
      </c>
      <c r="W686" s="41">
        <f t="shared" si="275"/>
        <v>0</v>
      </c>
      <c r="X686" s="24"/>
      <c r="Y686" s="41">
        <f t="shared" si="276"/>
        <v>0</v>
      </c>
      <c r="Z686" s="41">
        <f t="shared" si="277"/>
        <v>0</v>
      </c>
      <c r="AA686" s="24">
        <v>5</v>
      </c>
      <c r="AB686" s="41">
        <v>5940000</v>
      </c>
      <c r="AC686" s="41">
        <f t="shared" ref="AC686:AC702" si="278">SUM(O686-AB686)</f>
        <v>0</v>
      </c>
      <c r="AD686" s="70" t="s">
        <v>612</v>
      </c>
      <c r="AE686" s="70"/>
      <c r="AF686" s="1">
        <v>5940000</v>
      </c>
      <c r="AG686" s="5">
        <f t="shared" si="259"/>
        <v>0</v>
      </c>
      <c r="AH686" s="5"/>
    </row>
    <row r="687" spans="1:34" s="1" customFormat="1" x14ac:dyDescent="0.25">
      <c r="A687" s="49">
        <v>162</v>
      </c>
      <c r="B687" s="22" t="s">
        <v>1724</v>
      </c>
      <c r="C687" s="22" t="s">
        <v>718</v>
      </c>
      <c r="D687" s="51" t="s">
        <v>976</v>
      </c>
      <c r="E687" s="24" t="s">
        <v>166</v>
      </c>
      <c r="F687" s="24"/>
      <c r="G687" s="24" t="s">
        <v>712</v>
      </c>
      <c r="H687" s="24" t="s">
        <v>62</v>
      </c>
      <c r="I687" s="24">
        <v>2005</v>
      </c>
      <c r="J687" s="24"/>
      <c r="K687" s="24" t="s">
        <v>63</v>
      </c>
      <c r="L687" s="24" t="s">
        <v>212</v>
      </c>
      <c r="M687" s="24">
        <v>40</v>
      </c>
      <c r="N687" s="41">
        <f t="shared" si="273"/>
        <v>1395000</v>
      </c>
      <c r="O687" s="41">
        <v>55800000</v>
      </c>
      <c r="P687" s="24"/>
      <c r="Q687" s="24"/>
      <c r="R687" s="24"/>
      <c r="S687" s="41">
        <f t="shared" si="274"/>
        <v>55800000</v>
      </c>
      <c r="T687" s="24">
        <v>5</v>
      </c>
      <c r="U687" s="41"/>
      <c r="V687" s="24">
        <v>0.5</v>
      </c>
      <c r="W687" s="41">
        <f t="shared" si="275"/>
        <v>0</v>
      </c>
      <c r="X687" s="24"/>
      <c r="Y687" s="41">
        <f t="shared" si="276"/>
        <v>0</v>
      </c>
      <c r="Z687" s="41">
        <f t="shared" si="277"/>
        <v>0</v>
      </c>
      <c r="AA687" s="24">
        <v>5</v>
      </c>
      <c r="AB687" s="41">
        <v>55800000</v>
      </c>
      <c r="AC687" s="41">
        <f t="shared" si="278"/>
        <v>0</v>
      </c>
      <c r="AD687" s="70" t="s">
        <v>962</v>
      </c>
      <c r="AE687" s="70"/>
      <c r="AF687" s="1">
        <v>55800000</v>
      </c>
      <c r="AG687" s="5">
        <f t="shared" si="259"/>
        <v>0</v>
      </c>
      <c r="AH687" s="5"/>
    </row>
    <row r="688" spans="1:34" s="1" customFormat="1" x14ac:dyDescent="0.25">
      <c r="A688" s="49">
        <v>163</v>
      </c>
      <c r="B688" s="22" t="s">
        <v>1724</v>
      </c>
      <c r="C688" s="22" t="s">
        <v>896</v>
      </c>
      <c r="D688" s="51" t="s">
        <v>977</v>
      </c>
      <c r="E688" s="24" t="s">
        <v>978</v>
      </c>
      <c r="F688" s="24"/>
      <c r="G688" s="24" t="s">
        <v>712</v>
      </c>
      <c r="H688" s="24" t="s">
        <v>62</v>
      </c>
      <c r="I688" s="24">
        <v>2012</v>
      </c>
      <c r="J688" s="24"/>
      <c r="K688" s="24" t="s">
        <v>63</v>
      </c>
      <c r="L688" s="24" t="s">
        <v>64</v>
      </c>
      <c r="M688" s="24">
        <v>2</v>
      </c>
      <c r="N688" s="41">
        <f t="shared" si="273"/>
        <v>2475000</v>
      </c>
      <c r="O688" s="41">
        <v>4950000</v>
      </c>
      <c r="P688" s="24"/>
      <c r="Q688" s="24"/>
      <c r="R688" s="24"/>
      <c r="S688" s="41">
        <f t="shared" si="274"/>
        <v>4950000</v>
      </c>
      <c r="T688" s="24">
        <v>5</v>
      </c>
      <c r="U688" s="41"/>
      <c r="V688" s="24">
        <v>0.5</v>
      </c>
      <c r="W688" s="41">
        <f t="shared" si="275"/>
        <v>0</v>
      </c>
      <c r="X688" s="24"/>
      <c r="Y688" s="41">
        <f t="shared" si="276"/>
        <v>0</v>
      </c>
      <c r="Z688" s="41">
        <f t="shared" si="277"/>
        <v>0</v>
      </c>
      <c r="AA688" s="24">
        <v>5</v>
      </c>
      <c r="AB688" s="41">
        <v>4950000</v>
      </c>
      <c r="AC688" s="41">
        <f t="shared" si="278"/>
        <v>0</v>
      </c>
      <c r="AD688" s="70" t="s">
        <v>348</v>
      </c>
      <c r="AE688" s="70"/>
      <c r="AF688" s="1">
        <v>4950000</v>
      </c>
      <c r="AG688" s="5">
        <f t="shared" si="259"/>
        <v>0</v>
      </c>
      <c r="AH688" s="5"/>
    </row>
    <row r="689" spans="1:34" s="1" customFormat="1" x14ac:dyDescent="0.25">
      <c r="A689" s="49">
        <v>164</v>
      </c>
      <c r="B689" s="22" t="s">
        <v>1724</v>
      </c>
      <c r="C689" s="22" t="s">
        <v>979</v>
      </c>
      <c r="D689" s="51" t="s">
        <v>977</v>
      </c>
      <c r="E689" s="24" t="s">
        <v>978</v>
      </c>
      <c r="F689" s="24"/>
      <c r="G689" s="24" t="s">
        <v>712</v>
      </c>
      <c r="H689" s="24" t="s">
        <v>62</v>
      </c>
      <c r="I689" s="24">
        <v>2012</v>
      </c>
      <c r="J689" s="24"/>
      <c r="K689" s="24" t="s">
        <v>63</v>
      </c>
      <c r="L689" s="24" t="s">
        <v>64</v>
      </c>
      <c r="M689" s="24">
        <v>28</v>
      </c>
      <c r="N689" s="41">
        <f t="shared" si="273"/>
        <v>2475000</v>
      </c>
      <c r="O689" s="41">
        <v>69300000</v>
      </c>
      <c r="P689" s="24"/>
      <c r="Q689" s="24"/>
      <c r="R689" s="24"/>
      <c r="S689" s="41">
        <f t="shared" si="274"/>
        <v>69300000</v>
      </c>
      <c r="T689" s="24">
        <v>5</v>
      </c>
      <c r="U689" s="41"/>
      <c r="V689" s="24">
        <v>0.5</v>
      </c>
      <c r="W689" s="41">
        <f t="shared" si="275"/>
        <v>0</v>
      </c>
      <c r="X689" s="24"/>
      <c r="Y689" s="41">
        <f t="shared" si="276"/>
        <v>0</v>
      </c>
      <c r="Z689" s="41">
        <f t="shared" si="277"/>
        <v>0</v>
      </c>
      <c r="AA689" s="24">
        <v>5</v>
      </c>
      <c r="AB689" s="41">
        <v>69300000</v>
      </c>
      <c r="AC689" s="41">
        <f t="shared" si="278"/>
        <v>0</v>
      </c>
      <c r="AD689" s="70" t="s">
        <v>942</v>
      </c>
      <c r="AE689" s="70"/>
      <c r="AF689" s="1">
        <v>69300000</v>
      </c>
      <c r="AG689" s="5">
        <f t="shared" si="259"/>
        <v>0</v>
      </c>
      <c r="AH689" s="5"/>
    </row>
    <row r="690" spans="1:34" s="1" customFormat="1" x14ac:dyDescent="0.25">
      <c r="A690" s="49">
        <v>165</v>
      </c>
      <c r="B690" s="22" t="s">
        <v>1724</v>
      </c>
      <c r="C690" s="22" t="s">
        <v>980</v>
      </c>
      <c r="D690" s="51" t="s">
        <v>977</v>
      </c>
      <c r="E690" s="24" t="s">
        <v>978</v>
      </c>
      <c r="F690" s="24"/>
      <c r="G690" s="24" t="s">
        <v>712</v>
      </c>
      <c r="H690" s="24" t="s">
        <v>62</v>
      </c>
      <c r="I690" s="24">
        <v>2012</v>
      </c>
      <c r="J690" s="24"/>
      <c r="K690" s="24" t="s">
        <v>63</v>
      </c>
      <c r="L690" s="24" t="s">
        <v>64</v>
      </c>
      <c r="M690" s="24">
        <v>2</v>
      </c>
      <c r="N690" s="41">
        <f t="shared" si="273"/>
        <v>2475000</v>
      </c>
      <c r="O690" s="41">
        <v>4950000</v>
      </c>
      <c r="P690" s="24"/>
      <c r="Q690" s="24"/>
      <c r="R690" s="24"/>
      <c r="S690" s="41">
        <f t="shared" si="274"/>
        <v>4950000</v>
      </c>
      <c r="T690" s="24">
        <v>5</v>
      </c>
      <c r="U690" s="41"/>
      <c r="V690" s="24">
        <v>0.5</v>
      </c>
      <c r="W690" s="41">
        <f t="shared" si="275"/>
        <v>0</v>
      </c>
      <c r="X690" s="24"/>
      <c r="Y690" s="41">
        <f t="shared" si="276"/>
        <v>0</v>
      </c>
      <c r="Z690" s="41">
        <f t="shared" si="277"/>
        <v>0</v>
      </c>
      <c r="AA690" s="24">
        <v>5</v>
      </c>
      <c r="AB690" s="41">
        <v>4950000</v>
      </c>
      <c r="AC690" s="41">
        <f t="shared" si="278"/>
        <v>0</v>
      </c>
      <c r="AD690" s="70" t="s">
        <v>351</v>
      </c>
      <c r="AE690" s="70"/>
      <c r="AF690" s="1">
        <v>4950000</v>
      </c>
      <c r="AG690" s="5">
        <f t="shared" si="259"/>
        <v>0</v>
      </c>
      <c r="AH690" s="5"/>
    </row>
    <row r="691" spans="1:34" s="1" customFormat="1" x14ac:dyDescent="0.25">
      <c r="A691" s="49">
        <v>166</v>
      </c>
      <c r="B691" s="22" t="s">
        <v>1724</v>
      </c>
      <c r="C691" s="22" t="s">
        <v>981</v>
      </c>
      <c r="D691" s="51" t="s">
        <v>977</v>
      </c>
      <c r="E691" s="24" t="s">
        <v>978</v>
      </c>
      <c r="F691" s="24"/>
      <c r="G691" s="24" t="s">
        <v>712</v>
      </c>
      <c r="H691" s="24" t="s">
        <v>62</v>
      </c>
      <c r="I691" s="24">
        <v>2012</v>
      </c>
      <c r="J691" s="24"/>
      <c r="K691" s="24" t="s">
        <v>63</v>
      </c>
      <c r="L691" s="24" t="s">
        <v>64</v>
      </c>
      <c r="M691" s="24">
        <v>36</v>
      </c>
      <c r="N691" s="41">
        <f t="shared" si="273"/>
        <v>2475000</v>
      </c>
      <c r="O691" s="41">
        <v>89100000</v>
      </c>
      <c r="P691" s="24"/>
      <c r="Q691" s="24"/>
      <c r="R691" s="24"/>
      <c r="S691" s="41">
        <f t="shared" si="274"/>
        <v>89100000</v>
      </c>
      <c r="T691" s="24">
        <v>5</v>
      </c>
      <c r="U691" s="41"/>
      <c r="V691" s="24">
        <v>0.5</v>
      </c>
      <c r="W691" s="41">
        <f t="shared" si="275"/>
        <v>0</v>
      </c>
      <c r="X691" s="24"/>
      <c r="Y691" s="41">
        <f t="shared" si="276"/>
        <v>0</v>
      </c>
      <c r="Z691" s="41">
        <f t="shared" si="277"/>
        <v>0</v>
      </c>
      <c r="AA691" s="24">
        <v>5</v>
      </c>
      <c r="AB691" s="41">
        <v>89100000</v>
      </c>
      <c r="AC691" s="41">
        <f t="shared" si="278"/>
        <v>0</v>
      </c>
      <c r="AD691" s="70" t="s">
        <v>354</v>
      </c>
      <c r="AE691" s="70"/>
      <c r="AF691" s="1">
        <v>89100000</v>
      </c>
      <c r="AG691" s="5">
        <f t="shared" si="259"/>
        <v>0</v>
      </c>
      <c r="AH691" s="5"/>
    </row>
    <row r="692" spans="1:34" s="1" customFormat="1" x14ac:dyDescent="0.25">
      <c r="A692" s="49">
        <v>167</v>
      </c>
      <c r="B692" s="22" t="s">
        <v>1725</v>
      </c>
      <c r="C692" s="22" t="s">
        <v>58</v>
      </c>
      <c r="D692" s="51" t="s">
        <v>836</v>
      </c>
      <c r="E692" s="24" t="s">
        <v>166</v>
      </c>
      <c r="F692" s="24"/>
      <c r="G692" s="24" t="s">
        <v>319</v>
      </c>
      <c r="H692" s="24" t="s">
        <v>62</v>
      </c>
      <c r="I692" s="24">
        <v>2012</v>
      </c>
      <c r="J692" s="24"/>
      <c r="K692" s="24" t="s">
        <v>63</v>
      </c>
      <c r="L692" s="24" t="s">
        <v>64</v>
      </c>
      <c r="M692" s="24">
        <v>1</v>
      </c>
      <c r="N692" s="41">
        <f t="shared" si="273"/>
        <v>6010300</v>
      </c>
      <c r="O692" s="41">
        <v>6010300</v>
      </c>
      <c r="P692" s="24"/>
      <c r="Q692" s="24"/>
      <c r="R692" s="24"/>
      <c r="S692" s="41">
        <f t="shared" si="274"/>
        <v>6010300</v>
      </c>
      <c r="T692" s="24">
        <v>5</v>
      </c>
      <c r="U692" s="41"/>
      <c r="V692" s="24">
        <v>0.5</v>
      </c>
      <c r="W692" s="41">
        <f t="shared" si="275"/>
        <v>0</v>
      </c>
      <c r="X692" s="24"/>
      <c r="Y692" s="41">
        <f t="shared" si="276"/>
        <v>0</v>
      </c>
      <c r="Z692" s="41">
        <f t="shared" si="277"/>
        <v>0</v>
      </c>
      <c r="AA692" s="24">
        <v>5</v>
      </c>
      <c r="AB692" s="41">
        <v>6010300</v>
      </c>
      <c r="AC692" s="41">
        <f t="shared" si="278"/>
        <v>0</v>
      </c>
      <c r="AD692" s="70" t="s">
        <v>630</v>
      </c>
      <c r="AE692" s="70"/>
      <c r="AF692" s="1">
        <v>6010300</v>
      </c>
      <c r="AG692" s="5">
        <f t="shared" si="259"/>
        <v>0</v>
      </c>
      <c r="AH692" s="5"/>
    </row>
    <row r="693" spans="1:34" s="1" customFormat="1" x14ac:dyDescent="0.25">
      <c r="A693" s="49">
        <v>168</v>
      </c>
      <c r="B693" s="22" t="s">
        <v>1725</v>
      </c>
      <c r="C693" s="22" t="s">
        <v>837</v>
      </c>
      <c r="D693" s="51" t="s">
        <v>836</v>
      </c>
      <c r="E693" s="24" t="s">
        <v>166</v>
      </c>
      <c r="F693" s="24"/>
      <c r="G693" s="24" t="s">
        <v>319</v>
      </c>
      <c r="H693" s="24" t="s">
        <v>62</v>
      </c>
      <c r="I693" s="24">
        <v>2012</v>
      </c>
      <c r="J693" s="24"/>
      <c r="K693" s="24" t="s">
        <v>63</v>
      </c>
      <c r="L693" s="24" t="s">
        <v>64</v>
      </c>
      <c r="M693" s="24">
        <v>20</v>
      </c>
      <c r="N693" s="41">
        <f t="shared" si="273"/>
        <v>2005975</v>
      </c>
      <c r="O693" s="41">
        <v>40119500</v>
      </c>
      <c r="P693" s="24"/>
      <c r="Q693" s="24"/>
      <c r="R693" s="24"/>
      <c r="S693" s="41">
        <f t="shared" si="274"/>
        <v>40119500</v>
      </c>
      <c r="T693" s="24">
        <v>5</v>
      </c>
      <c r="U693" s="41"/>
      <c r="V693" s="24">
        <v>0.5</v>
      </c>
      <c r="W693" s="41">
        <f t="shared" si="275"/>
        <v>0</v>
      </c>
      <c r="X693" s="24"/>
      <c r="Y693" s="41">
        <f t="shared" si="276"/>
        <v>0</v>
      </c>
      <c r="Z693" s="41">
        <f t="shared" si="277"/>
        <v>0</v>
      </c>
      <c r="AA693" s="24">
        <v>5</v>
      </c>
      <c r="AB693" s="41">
        <v>40119500</v>
      </c>
      <c r="AC693" s="41">
        <f t="shared" si="278"/>
        <v>0</v>
      </c>
      <c r="AD693" s="70" t="s">
        <v>357</v>
      </c>
      <c r="AE693" s="70"/>
      <c r="AF693" s="1">
        <v>40119500</v>
      </c>
      <c r="AG693" s="5">
        <f t="shared" si="259"/>
        <v>0</v>
      </c>
      <c r="AH693" s="5"/>
    </row>
    <row r="694" spans="1:34" s="1" customFormat="1" x14ac:dyDescent="0.25">
      <c r="A694" s="49">
        <v>169</v>
      </c>
      <c r="B694" s="22" t="s">
        <v>1726</v>
      </c>
      <c r="C694" s="22" t="s">
        <v>58</v>
      </c>
      <c r="D694" s="51" t="s">
        <v>587</v>
      </c>
      <c r="E694" s="24" t="s">
        <v>471</v>
      </c>
      <c r="F694" s="24"/>
      <c r="G694" s="24" t="s">
        <v>194</v>
      </c>
      <c r="H694" s="24" t="s">
        <v>62</v>
      </c>
      <c r="I694" s="24">
        <v>2015</v>
      </c>
      <c r="J694" s="24"/>
      <c r="K694" s="24" t="s">
        <v>63</v>
      </c>
      <c r="L694" s="24" t="s">
        <v>64</v>
      </c>
      <c r="M694" s="24">
        <v>1</v>
      </c>
      <c r="N694" s="41">
        <f t="shared" si="273"/>
        <v>3000000</v>
      </c>
      <c r="O694" s="41">
        <v>3000000</v>
      </c>
      <c r="P694" s="24"/>
      <c r="Q694" s="24"/>
      <c r="R694" s="24"/>
      <c r="S694" s="41">
        <f t="shared" si="274"/>
        <v>3000000</v>
      </c>
      <c r="T694" s="24">
        <v>5</v>
      </c>
      <c r="U694" s="41">
        <f t="shared" ref="U694:U696" si="279">SUM(S694/T694)</f>
        <v>600000</v>
      </c>
      <c r="V694" s="24">
        <v>0.5</v>
      </c>
      <c r="W694" s="41"/>
      <c r="X694" s="24"/>
      <c r="Y694" s="41">
        <f t="shared" si="276"/>
        <v>0</v>
      </c>
      <c r="Z694" s="41"/>
      <c r="AA694" s="72">
        <v>5</v>
      </c>
      <c r="AB694" s="41">
        <f t="shared" ref="AB694:AB696" si="280">SUM(U694*AA694)</f>
        <v>3000000</v>
      </c>
      <c r="AC694" s="41">
        <f t="shared" si="278"/>
        <v>0</v>
      </c>
      <c r="AD694" s="70" t="s">
        <v>588</v>
      </c>
      <c r="AE694" s="70"/>
      <c r="AF694" s="1">
        <v>3000000</v>
      </c>
      <c r="AG694" s="5">
        <f t="shared" si="259"/>
        <v>0</v>
      </c>
      <c r="AH694" s="5"/>
    </row>
    <row r="695" spans="1:34" s="1" customFormat="1" x14ac:dyDescent="0.25">
      <c r="A695" s="49">
        <v>170</v>
      </c>
      <c r="B695" s="22" t="s">
        <v>1726</v>
      </c>
      <c r="C695" s="22" t="s">
        <v>75</v>
      </c>
      <c r="D695" s="51" t="s">
        <v>587</v>
      </c>
      <c r="E695" s="24" t="s">
        <v>471</v>
      </c>
      <c r="F695" s="24"/>
      <c r="G695" s="24" t="s">
        <v>194</v>
      </c>
      <c r="H695" s="24" t="s">
        <v>62</v>
      </c>
      <c r="I695" s="24">
        <v>2015</v>
      </c>
      <c r="J695" s="24"/>
      <c r="K695" s="24" t="s">
        <v>63</v>
      </c>
      <c r="L695" s="24" t="s">
        <v>64</v>
      </c>
      <c r="M695" s="24">
        <v>1</v>
      </c>
      <c r="N695" s="41">
        <f t="shared" si="273"/>
        <v>3000000</v>
      </c>
      <c r="O695" s="41">
        <v>3000000</v>
      </c>
      <c r="P695" s="24"/>
      <c r="Q695" s="24"/>
      <c r="R695" s="24"/>
      <c r="S695" s="41">
        <f t="shared" si="274"/>
        <v>3000000</v>
      </c>
      <c r="T695" s="24">
        <v>5</v>
      </c>
      <c r="U695" s="41">
        <f t="shared" si="279"/>
        <v>600000</v>
      </c>
      <c r="V695" s="24">
        <v>0.5</v>
      </c>
      <c r="W695" s="41"/>
      <c r="X695" s="24"/>
      <c r="Y695" s="41">
        <f t="shared" si="276"/>
        <v>0</v>
      </c>
      <c r="Z695" s="41"/>
      <c r="AA695" s="72">
        <v>5</v>
      </c>
      <c r="AB695" s="41">
        <f t="shared" si="280"/>
        <v>3000000</v>
      </c>
      <c r="AC695" s="41">
        <f t="shared" si="278"/>
        <v>0</v>
      </c>
      <c r="AD695" s="70" t="s">
        <v>237</v>
      </c>
      <c r="AE695" s="70"/>
      <c r="AF695" s="1">
        <v>3000000</v>
      </c>
      <c r="AG695" s="5">
        <f t="shared" si="259"/>
        <v>0</v>
      </c>
      <c r="AH695" s="5"/>
    </row>
    <row r="696" spans="1:34" s="1" customFormat="1" x14ac:dyDescent="0.25">
      <c r="A696" s="49">
        <v>171</v>
      </c>
      <c r="B696" s="22" t="s">
        <v>1726</v>
      </c>
      <c r="C696" s="22" t="s">
        <v>79</v>
      </c>
      <c r="D696" s="51" t="s">
        <v>587</v>
      </c>
      <c r="E696" s="24" t="s">
        <v>471</v>
      </c>
      <c r="F696" s="24"/>
      <c r="G696" s="24" t="s">
        <v>194</v>
      </c>
      <c r="H696" s="24" t="s">
        <v>62</v>
      </c>
      <c r="I696" s="24">
        <v>2015</v>
      </c>
      <c r="J696" s="24"/>
      <c r="K696" s="24" t="s">
        <v>63</v>
      </c>
      <c r="L696" s="24" t="s">
        <v>64</v>
      </c>
      <c r="M696" s="24">
        <v>1</v>
      </c>
      <c r="N696" s="41">
        <f t="shared" si="273"/>
        <v>3000000</v>
      </c>
      <c r="O696" s="41">
        <v>3000000</v>
      </c>
      <c r="P696" s="24"/>
      <c r="Q696" s="24"/>
      <c r="R696" s="24"/>
      <c r="S696" s="41">
        <f t="shared" si="274"/>
        <v>3000000</v>
      </c>
      <c r="T696" s="24">
        <v>5</v>
      </c>
      <c r="U696" s="41">
        <f t="shared" si="279"/>
        <v>600000</v>
      </c>
      <c r="V696" s="24">
        <v>0.5</v>
      </c>
      <c r="W696" s="41"/>
      <c r="X696" s="24"/>
      <c r="Y696" s="41">
        <f t="shared" si="276"/>
        <v>0</v>
      </c>
      <c r="Z696" s="41"/>
      <c r="AA696" s="72">
        <v>5</v>
      </c>
      <c r="AB696" s="41">
        <f t="shared" si="280"/>
        <v>3000000</v>
      </c>
      <c r="AC696" s="41">
        <f t="shared" si="278"/>
        <v>0</v>
      </c>
      <c r="AD696" s="70" t="s">
        <v>239</v>
      </c>
      <c r="AE696" s="70"/>
      <c r="AF696" s="1">
        <v>3000000</v>
      </c>
      <c r="AG696" s="5">
        <f t="shared" si="259"/>
        <v>0</v>
      </c>
      <c r="AH696" s="5"/>
    </row>
    <row r="697" spans="1:34" s="1" customFormat="1" x14ac:dyDescent="0.25">
      <c r="A697" s="49">
        <v>172</v>
      </c>
      <c r="B697" s="22" t="s">
        <v>1727</v>
      </c>
      <c r="C697" s="22" t="s">
        <v>619</v>
      </c>
      <c r="D697" s="51" t="s">
        <v>620</v>
      </c>
      <c r="E697" s="24" t="s">
        <v>166</v>
      </c>
      <c r="F697" s="24"/>
      <c r="G697" s="24" t="s">
        <v>201</v>
      </c>
      <c r="H697" s="24" t="s">
        <v>62</v>
      </c>
      <c r="I697" s="24">
        <v>2012</v>
      </c>
      <c r="J697" s="24"/>
      <c r="K697" s="24" t="s">
        <v>63</v>
      </c>
      <c r="L697" s="24" t="s">
        <v>64</v>
      </c>
      <c r="M697" s="24">
        <v>64</v>
      </c>
      <c r="N697" s="41">
        <f t="shared" si="273"/>
        <v>247500</v>
      </c>
      <c r="O697" s="41">
        <v>15840000</v>
      </c>
      <c r="P697" s="24"/>
      <c r="Q697" s="24"/>
      <c r="R697" s="24"/>
      <c r="S697" s="41">
        <f t="shared" si="274"/>
        <v>15840000</v>
      </c>
      <c r="T697" s="24">
        <v>5</v>
      </c>
      <c r="U697" s="41"/>
      <c r="V697" s="24">
        <v>0.5</v>
      </c>
      <c r="W697" s="41">
        <f t="shared" ref="W697:W699" si="281">SUM(U697*V697)</f>
        <v>0</v>
      </c>
      <c r="X697" s="24"/>
      <c r="Y697" s="41">
        <f t="shared" si="276"/>
        <v>0</v>
      </c>
      <c r="Z697" s="41">
        <f t="shared" ref="Z697:Z699" si="282">SUM(W697+Y697)</f>
        <v>0</v>
      </c>
      <c r="AA697" s="24">
        <v>5</v>
      </c>
      <c r="AB697" s="41">
        <v>15840000</v>
      </c>
      <c r="AC697" s="41">
        <f t="shared" si="278"/>
        <v>0</v>
      </c>
      <c r="AD697" s="70" t="s">
        <v>350</v>
      </c>
      <c r="AE697" s="70"/>
      <c r="AF697" s="1">
        <v>15840000</v>
      </c>
      <c r="AG697" s="5">
        <f t="shared" si="259"/>
        <v>0</v>
      </c>
      <c r="AH697" s="5"/>
    </row>
    <row r="698" spans="1:34" s="1" customFormat="1" x14ac:dyDescent="0.25">
      <c r="A698" s="49">
        <v>173</v>
      </c>
      <c r="B698" s="22" t="s">
        <v>1727</v>
      </c>
      <c r="C698" s="22" t="s">
        <v>621</v>
      </c>
      <c r="D698" s="51" t="s">
        <v>620</v>
      </c>
      <c r="E698" s="24" t="s">
        <v>166</v>
      </c>
      <c r="F698" s="24"/>
      <c r="G698" s="24" t="s">
        <v>201</v>
      </c>
      <c r="H698" s="24" t="s">
        <v>62</v>
      </c>
      <c r="I698" s="24">
        <v>2012</v>
      </c>
      <c r="J698" s="24"/>
      <c r="K698" s="24" t="s">
        <v>63</v>
      </c>
      <c r="L698" s="24" t="s">
        <v>64</v>
      </c>
      <c r="M698" s="24">
        <v>80</v>
      </c>
      <c r="N698" s="41">
        <f t="shared" si="273"/>
        <v>247500</v>
      </c>
      <c r="O698" s="41">
        <v>19800000</v>
      </c>
      <c r="P698" s="24"/>
      <c r="Q698" s="24"/>
      <c r="R698" s="24"/>
      <c r="S698" s="41">
        <f t="shared" si="274"/>
        <v>19800000</v>
      </c>
      <c r="T698" s="24">
        <v>5</v>
      </c>
      <c r="U698" s="41"/>
      <c r="V698" s="24">
        <v>0.5</v>
      </c>
      <c r="W698" s="41">
        <f t="shared" si="281"/>
        <v>0</v>
      </c>
      <c r="X698" s="24"/>
      <c r="Y698" s="41">
        <f t="shared" si="276"/>
        <v>0</v>
      </c>
      <c r="Z698" s="41">
        <f t="shared" si="282"/>
        <v>0</v>
      </c>
      <c r="AA698" s="72">
        <v>5</v>
      </c>
      <c r="AB698" s="41">
        <v>19800000</v>
      </c>
      <c r="AC698" s="41">
        <f t="shared" si="278"/>
        <v>0</v>
      </c>
      <c r="AD698" s="70" t="s">
        <v>618</v>
      </c>
      <c r="AE698" s="70"/>
      <c r="AF698" s="1">
        <v>19800000</v>
      </c>
      <c r="AG698" s="5">
        <f t="shared" si="259"/>
        <v>0</v>
      </c>
      <c r="AH698" s="5"/>
    </row>
    <row r="699" spans="1:34" s="1" customFormat="1" x14ac:dyDescent="0.25">
      <c r="A699" s="49">
        <v>174</v>
      </c>
      <c r="B699" s="22" t="s">
        <v>1727</v>
      </c>
      <c r="C699" s="22" t="s">
        <v>622</v>
      </c>
      <c r="D699" s="51" t="s">
        <v>620</v>
      </c>
      <c r="E699" s="24" t="s">
        <v>166</v>
      </c>
      <c r="F699" s="24"/>
      <c r="G699" s="24" t="s">
        <v>201</v>
      </c>
      <c r="H699" s="24" t="s">
        <v>62</v>
      </c>
      <c r="I699" s="24">
        <v>2012</v>
      </c>
      <c r="J699" s="24"/>
      <c r="K699" s="24" t="s">
        <v>63</v>
      </c>
      <c r="L699" s="24" t="s">
        <v>64</v>
      </c>
      <c r="M699" s="24">
        <v>72</v>
      </c>
      <c r="N699" s="41">
        <f t="shared" si="273"/>
        <v>247500</v>
      </c>
      <c r="O699" s="41">
        <v>17820000</v>
      </c>
      <c r="P699" s="24"/>
      <c r="Q699" s="24"/>
      <c r="R699" s="24"/>
      <c r="S699" s="41">
        <f t="shared" si="274"/>
        <v>17820000</v>
      </c>
      <c r="T699" s="24">
        <v>5</v>
      </c>
      <c r="U699" s="41"/>
      <c r="V699" s="24">
        <v>0.5</v>
      </c>
      <c r="W699" s="41">
        <f t="shared" si="281"/>
        <v>0</v>
      </c>
      <c r="X699" s="24"/>
      <c r="Y699" s="53">
        <f t="shared" si="276"/>
        <v>0</v>
      </c>
      <c r="Z699" s="53">
        <f t="shared" si="282"/>
        <v>0</v>
      </c>
      <c r="AA699" s="57">
        <v>5</v>
      </c>
      <c r="AB699" s="53">
        <v>17820000</v>
      </c>
      <c r="AC699" s="53">
        <f t="shared" si="278"/>
        <v>0</v>
      </c>
      <c r="AD699" s="56" t="s">
        <v>354</v>
      </c>
      <c r="AE699" s="70"/>
      <c r="AF699" s="1">
        <v>17820000</v>
      </c>
      <c r="AG699" s="5">
        <f t="shared" si="259"/>
        <v>0</v>
      </c>
      <c r="AH699" s="5"/>
    </row>
    <row r="700" spans="1:34" s="1" customFormat="1" x14ac:dyDescent="0.25">
      <c r="A700" s="49">
        <v>175</v>
      </c>
      <c r="B700" s="50" t="s">
        <v>1728</v>
      </c>
      <c r="C700" s="22" t="s">
        <v>58</v>
      </c>
      <c r="D700" s="51" t="s">
        <v>193</v>
      </c>
      <c r="E700" s="24" t="s">
        <v>166</v>
      </c>
      <c r="F700" s="24"/>
      <c r="G700" s="24" t="s">
        <v>194</v>
      </c>
      <c r="H700" s="24" t="s">
        <v>62</v>
      </c>
      <c r="I700" s="24">
        <v>2014</v>
      </c>
      <c r="J700" s="24"/>
      <c r="K700" s="24" t="s">
        <v>63</v>
      </c>
      <c r="L700" s="24" t="s">
        <v>64</v>
      </c>
      <c r="M700" s="24">
        <v>1</v>
      </c>
      <c r="N700" s="41">
        <f>SUM(O700/M700)</f>
        <v>193600000</v>
      </c>
      <c r="O700" s="41">
        <v>193600000</v>
      </c>
      <c r="P700" s="24"/>
      <c r="Q700" s="24"/>
      <c r="R700" s="24"/>
      <c r="S700" s="41">
        <f t="shared" si="274"/>
        <v>193600000</v>
      </c>
      <c r="T700" s="24">
        <v>5</v>
      </c>
      <c r="U700" s="41"/>
      <c r="V700" s="24">
        <v>0.5</v>
      </c>
      <c r="W700" s="41">
        <f>SUM(U700*V700)</f>
        <v>0</v>
      </c>
      <c r="X700" s="52"/>
      <c r="Y700" s="53">
        <f>SUM(U700*X700)</f>
        <v>0</v>
      </c>
      <c r="Z700" s="53">
        <f>SUM(W700+Y700)</f>
        <v>0</v>
      </c>
      <c r="AA700" s="57">
        <v>5</v>
      </c>
      <c r="AB700" s="53">
        <v>193600000</v>
      </c>
      <c r="AC700" s="53">
        <f t="shared" si="278"/>
        <v>0</v>
      </c>
      <c r="AD700" s="56" t="s">
        <v>195</v>
      </c>
      <c r="AE700" s="70"/>
      <c r="AF700" s="1">
        <v>193600000</v>
      </c>
      <c r="AG700" s="5">
        <f t="shared" si="259"/>
        <v>0</v>
      </c>
      <c r="AH700" s="5"/>
    </row>
    <row r="701" spans="1:34" s="1" customFormat="1" x14ac:dyDescent="0.25">
      <c r="A701" s="49">
        <v>176</v>
      </c>
      <c r="B701" s="22" t="s">
        <v>1729</v>
      </c>
      <c r="C701" s="22" t="s">
        <v>209</v>
      </c>
      <c r="D701" s="51" t="s">
        <v>927</v>
      </c>
      <c r="E701" s="24" t="s">
        <v>928</v>
      </c>
      <c r="F701" s="24"/>
      <c r="G701" s="24" t="s">
        <v>61</v>
      </c>
      <c r="H701" s="24" t="s">
        <v>62</v>
      </c>
      <c r="I701" s="24">
        <v>2011</v>
      </c>
      <c r="J701" s="24"/>
      <c r="K701" s="24" t="s">
        <v>63</v>
      </c>
      <c r="L701" s="24" t="s">
        <v>64</v>
      </c>
      <c r="M701" s="24">
        <v>2</v>
      </c>
      <c r="N701" s="41">
        <f t="shared" ref="N701:N702" si="283">SUM(O701/M701)</f>
        <v>2500000</v>
      </c>
      <c r="O701" s="41">
        <v>5000000</v>
      </c>
      <c r="P701" s="24"/>
      <c r="Q701" s="24"/>
      <c r="R701" s="24"/>
      <c r="S701" s="41">
        <f t="shared" si="274"/>
        <v>5000000</v>
      </c>
      <c r="T701" s="24">
        <v>5</v>
      </c>
      <c r="U701" s="41"/>
      <c r="V701" s="24">
        <v>0.5</v>
      </c>
      <c r="W701" s="41">
        <f t="shared" ref="W701:W702" si="284">SUM(U701*V701)</f>
        <v>0</v>
      </c>
      <c r="X701" s="24"/>
      <c r="Y701" s="41">
        <f t="shared" ref="Y701:Y702" si="285">SUM(U701*X701)</f>
        <v>0</v>
      </c>
      <c r="Z701" s="41">
        <f t="shared" ref="Z701:Z702" si="286">SUM(W701+Y701)</f>
        <v>0</v>
      </c>
      <c r="AA701" s="72">
        <v>5</v>
      </c>
      <c r="AB701" s="41">
        <v>5000000</v>
      </c>
      <c r="AC701" s="41">
        <f t="shared" si="278"/>
        <v>0</v>
      </c>
      <c r="AD701" s="70" t="s">
        <v>295</v>
      </c>
      <c r="AE701" s="70"/>
      <c r="AF701" s="1">
        <v>5000000</v>
      </c>
      <c r="AG701" s="5">
        <f t="shared" ref="AG701:AG711" si="287">AF701+Z701-AB701</f>
        <v>0</v>
      </c>
      <c r="AH701" s="5"/>
    </row>
    <row r="702" spans="1:34" s="1" customFormat="1" x14ac:dyDescent="0.25">
      <c r="A702" s="49">
        <v>177</v>
      </c>
      <c r="B702" s="22" t="s">
        <v>1729</v>
      </c>
      <c r="C702" s="22" t="s">
        <v>84</v>
      </c>
      <c r="D702" s="51" t="s">
        <v>927</v>
      </c>
      <c r="E702" s="24" t="s">
        <v>928</v>
      </c>
      <c r="F702" s="24"/>
      <c r="G702" s="24" t="s">
        <v>61</v>
      </c>
      <c r="H702" s="24" t="s">
        <v>62</v>
      </c>
      <c r="I702" s="24">
        <v>2011</v>
      </c>
      <c r="J702" s="24"/>
      <c r="K702" s="24" t="s">
        <v>63</v>
      </c>
      <c r="L702" s="24" t="s">
        <v>64</v>
      </c>
      <c r="M702" s="24">
        <v>1</v>
      </c>
      <c r="N702" s="41">
        <f t="shared" si="283"/>
        <v>2500000</v>
      </c>
      <c r="O702" s="41">
        <v>2500000</v>
      </c>
      <c r="P702" s="24"/>
      <c r="Q702" s="24"/>
      <c r="R702" s="24"/>
      <c r="S702" s="41">
        <f t="shared" si="274"/>
        <v>2500000</v>
      </c>
      <c r="T702" s="24">
        <v>5</v>
      </c>
      <c r="U702" s="41"/>
      <c r="V702" s="24">
        <v>0.5</v>
      </c>
      <c r="W702" s="41">
        <f t="shared" si="284"/>
        <v>0</v>
      </c>
      <c r="X702" s="24"/>
      <c r="Y702" s="41">
        <f t="shared" si="285"/>
        <v>0</v>
      </c>
      <c r="Z702" s="41">
        <f t="shared" si="286"/>
        <v>0</v>
      </c>
      <c r="AA702" s="72">
        <v>5</v>
      </c>
      <c r="AB702" s="41">
        <v>2500000</v>
      </c>
      <c r="AC702" s="41">
        <f t="shared" si="278"/>
        <v>0</v>
      </c>
      <c r="AD702" s="70" t="s">
        <v>297</v>
      </c>
      <c r="AE702" s="70"/>
      <c r="AF702" s="1">
        <v>2500000</v>
      </c>
      <c r="AG702" s="5">
        <f t="shared" si="287"/>
        <v>0</v>
      </c>
      <c r="AH702" s="5"/>
    </row>
    <row r="703" spans="1:34" s="1" customFormat="1" x14ac:dyDescent="0.25">
      <c r="A703" s="21"/>
      <c r="B703" s="22"/>
      <c r="C703" s="22"/>
      <c r="D703" s="51"/>
      <c r="E703" s="24"/>
      <c r="F703" s="24"/>
      <c r="G703" s="24"/>
      <c r="H703" s="24"/>
      <c r="I703" s="24"/>
      <c r="J703" s="24"/>
      <c r="K703" s="24"/>
      <c r="L703" s="24"/>
      <c r="M703" s="24"/>
      <c r="N703" s="41"/>
      <c r="O703" s="41"/>
      <c r="P703" s="24"/>
      <c r="Q703" s="24"/>
      <c r="R703" s="24"/>
      <c r="S703" s="41"/>
      <c r="T703" s="24"/>
      <c r="U703" s="41"/>
      <c r="V703" s="24"/>
      <c r="W703" s="41"/>
      <c r="X703" s="24"/>
      <c r="Y703" s="41"/>
      <c r="Z703" s="41"/>
      <c r="AA703" s="72"/>
      <c r="AB703" s="41"/>
      <c r="AC703" s="41"/>
      <c r="AD703" s="70"/>
      <c r="AE703" s="70"/>
      <c r="AG703" s="5">
        <f t="shared" si="287"/>
        <v>0</v>
      </c>
      <c r="AH703" s="5"/>
    </row>
    <row r="704" spans="1:34" s="1" customFormat="1" x14ac:dyDescent="0.25">
      <c r="A704" s="25"/>
      <c r="B704" s="26" t="s">
        <v>1730</v>
      </c>
      <c r="C704" s="26"/>
      <c r="D704" s="27" t="s">
        <v>1731</v>
      </c>
      <c r="E704" s="28"/>
      <c r="F704" s="28"/>
      <c r="G704" s="28"/>
      <c r="H704" s="28"/>
      <c r="I704" s="28"/>
      <c r="J704" s="28"/>
      <c r="K704" s="28"/>
      <c r="L704" s="28"/>
      <c r="M704" s="28">
        <f>SUM(M705:M711)</f>
        <v>10</v>
      </c>
      <c r="N704" s="40"/>
      <c r="O704" s="40">
        <f>SUM(O705:O711)</f>
        <v>15066000</v>
      </c>
      <c r="P704" s="28"/>
      <c r="Q704" s="28"/>
      <c r="R704" s="28"/>
      <c r="S704" s="40">
        <f>SUM(S705:S711)</f>
        <v>15066000</v>
      </c>
      <c r="T704" s="28"/>
      <c r="U704" s="40">
        <f>SUM(U705:U711)</f>
        <v>3013200</v>
      </c>
      <c r="V704" s="28"/>
      <c r="W704" s="40">
        <f>SUM(W705)</f>
        <v>0</v>
      </c>
      <c r="X704" s="28"/>
      <c r="Y704" s="40"/>
      <c r="Z704" s="40">
        <f>SUM(Z705:Z711)</f>
        <v>0</v>
      </c>
      <c r="AA704" s="153"/>
      <c r="AB704" s="40">
        <f>SUM(AB705:AB711)</f>
        <v>15066000</v>
      </c>
      <c r="AC704" s="40">
        <f>SUM(AC705:AC711)</f>
        <v>0</v>
      </c>
      <c r="AD704" s="167"/>
      <c r="AE704" s="167"/>
      <c r="AG704" s="5">
        <f t="shared" si="287"/>
        <v>-15066000</v>
      </c>
      <c r="AH704" s="5"/>
    </row>
    <row r="705" spans="1:34" s="1" customFormat="1" x14ac:dyDescent="0.25">
      <c r="A705" s="49">
        <v>1</v>
      </c>
      <c r="B705" s="22" t="s">
        <v>1732</v>
      </c>
      <c r="C705" s="22" t="s">
        <v>75</v>
      </c>
      <c r="D705" s="51" t="s">
        <v>929</v>
      </c>
      <c r="E705" s="24" t="s">
        <v>930</v>
      </c>
      <c r="F705" s="24"/>
      <c r="G705" s="24" t="s">
        <v>61</v>
      </c>
      <c r="H705" s="24" t="s">
        <v>62</v>
      </c>
      <c r="I705" s="24">
        <v>2015</v>
      </c>
      <c r="J705" s="24"/>
      <c r="K705" s="24" t="s">
        <v>63</v>
      </c>
      <c r="L705" s="24" t="s">
        <v>64</v>
      </c>
      <c r="M705" s="24">
        <v>1</v>
      </c>
      <c r="N705" s="41">
        <f t="shared" ref="N705:N711" si="288">SUM(O705/M705)</f>
        <v>1506600</v>
      </c>
      <c r="O705" s="41">
        <v>1506600</v>
      </c>
      <c r="P705" s="24"/>
      <c r="Q705" s="24"/>
      <c r="R705" s="24"/>
      <c r="S705" s="41">
        <f t="shared" ref="S705:S711" si="289">SUM(O705-R705)</f>
        <v>1506600</v>
      </c>
      <c r="T705" s="24">
        <v>5</v>
      </c>
      <c r="U705" s="41">
        <f t="shared" ref="U705:U711" si="290">SUM(S705/T705)</f>
        <v>301320</v>
      </c>
      <c r="V705" s="24">
        <v>0.5</v>
      </c>
      <c r="W705" s="41"/>
      <c r="X705" s="24"/>
      <c r="Y705" s="41">
        <f t="shared" ref="Y705:Y711" si="291">SUM(U705*X705)</f>
        <v>0</v>
      </c>
      <c r="Z705" s="41"/>
      <c r="AA705" s="72">
        <v>5</v>
      </c>
      <c r="AB705" s="41">
        <f t="shared" ref="AB705:AB711" si="292">SUM(U705*AA705)</f>
        <v>1506600</v>
      </c>
      <c r="AC705" s="41">
        <f t="shared" ref="AC705:AC711" si="293">SUM(O705-AB705)</f>
        <v>0</v>
      </c>
      <c r="AD705" s="70" t="s">
        <v>195</v>
      </c>
      <c r="AE705" s="70"/>
      <c r="AF705" s="1">
        <v>1506600</v>
      </c>
      <c r="AG705" s="5">
        <f t="shared" si="287"/>
        <v>0</v>
      </c>
      <c r="AH705" s="5"/>
    </row>
    <row r="706" spans="1:34" s="1" customFormat="1" x14ac:dyDescent="0.25">
      <c r="A706" s="49">
        <v>2</v>
      </c>
      <c r="B706" s="22" t="s">
        <v>1732</v>
      </c>
      <c r="C706" s="22" t="s">
        <v>79</v>
      </c>
      <c r="D706" s="51" t="s">
        <v>929</v>
      </c>
      <c r="E706" s="24" t="s">
        <v>930</v>
      </c>
      <c r="F706" s="24"/>
      <c r="G706" s="24" t="s">
        <v>61</v>
      </c>
      <c r="H706" s="24" t="s">
        <v>62</v>
      </c>
      <c r="I706" s="24">
        <v>2015</v>
      </c>
      <c r="J706" s="24"/>
      <c r="K706" s="24" t="s">
        <v>63</v>
      </c>
      <c r="L706" s="24" t="s">
        <v>64</v>
      </c>
      <c r="M706" s="24">
        <v>1</v>
      </c>
      <c r="N706" s="41">
        <f t="shared" si="288"/>
        <v>1506600</v>
      </c>
      <c r="O706" s="41">
        <v>1506600</v>
      </c>
      <c r="P706" s="24"/>
      <c r="Q706" s="24"/>
      <c r="R706" s="24"/>
      <c r="S706" s="41">
        <f t="shared" si="289"/>
        <v>1506600</v>
      </c>
      <c r="T706" s="24">
        <v>5</v>
      </c>
      <c r="U706" s="41">
        <f t="shared" si="290"/>
        <v>301320</v>
      </c>
      <c r="V706" s="24">
        <v>0.5</v>
      </c>
      <c r="W706" s="41"/>
      <c r="X706" s="24"/>
      <c r="Y706" s="41">
        <f t="shared" si="291"/>
        <v>0</v>
      </c>
      <c r="Z706" s="41"/>
      <c r="AA706" s="72">
        <v>5</v>
      </c>
      <c r="AB706" s="41">
        <f t="shared" si="292"/>
        <v>1506600</v>
      </c>
      <c r="AC706" s="41">
        <f t="shared" si="293"/>
        <v>0</v>
      </c>
      <c r="AD706" s="70" t="s">
        <v>295</v>
      </c>
      <c r="AE706" s="70"/>
      <c r="AF706" s="1">
        <v>1506600</v>
      </c>
      <c r="AG706" s="5">
        <f t="shared" si="287"/>
        <v>0</v>
      </c>
      <c r="AH706" s="5"/>
    </row>
    <row r="707" spans="1:34" s="1" customFormat="1" x14ac:dyDescent="0.25">
      <c r="A707" s="49">
        <v>3</v>
      </c>
      <c r="B707" s="22" t="s">
        <v>1732</v>
      </c>
      <c r="C707" s="22" t="s">
        <v>84</v>
      </c>
      <c r="D707" s="51" t="s">
        <v>929</v>
      </c>
      <c r="E707" s="24" t="s">
        <v>930</v>
      </c>
      <c r="F707" s="24"/>
      <c r="G707" s="24" t="s">
        <v>61</v>
      </c>
      <c r="H707" s="24" t="s">
        <v>62</v>
      </c>
      <c r="I707" s="24">
        <v>2015</v>
      </c>
      <c r="J707" s="24"/>
      <c r="K707" s="24" t="s">
        <v>63</v>
      </c>
      <c r="L707" s="24" t="s">
        <v>64</v>
      </c>
      <c r="M707" s="24">
        <v>1</v>
      </c>
      <c r="N707" s="41">
        <f t="shared" si="288"/>
        <v>1506600</v>
      </c>
      <c r="O707" s="41">
        <v>1506600</v>
      </c>
      <c r="P707" s="24"/>
      <c r="Q707" s="24"/>
      <c r="R707" s="24"/>
      <c r="S707" s="41">
        <f t="shared" si="289"/>
        <v>1506600</v>
      </c>
      <c r="T707" s="24">
        <v>5</v>
      </c>
      <c r="U707" s="41">
        <f t="shared" si="290"/>
        <v>301320</v>
      </c>
      <c r="V707" s="24">
        <v>0.5</v>
      </c>
      <c r="W707" s="41"/>
      <c r="X707" s="24"/>
      <c r="Y707" s="41">
        <f t="shared" si="291"/>
        <v>0</v>
      </c>
      <c r="Z707" s="41"/>
      <c r="AA707" s="72">
        <v>5</v>
      </c>
      <c r="AB707" s="41">
        <f t="shared" si="292"/>
        <v>1506600</v>
      </c>
      <c r="AC707" s="41">
        <f t="shared" si="293"/>
        <v>0</v>
      </c>
      <c r="AD707" s="70" t="s">
        <v>245</v>
      </c>
      <c r="AE707" s="70"/>
      <c r="AF707" s="1">
        <v>1506600</v>
      </c>
      <c r="AG707" s="5">
        <f t="shared" si="287"/>
        <v>0</v>
      </c>
      <c r="AH707" s="5"/>
    </row>
    <row r="708" spans="1:34" s="1" customFormat="1" x14ac:dyDescent="0.25">
      <c r="A708" s="49">
        <v>4</v>
      </c>
      <c r="B708" s="22" t="s">
        <v>1732</v>
      </c>
      <c r="C708" s="22" t="s">
        <v>88</v>
      </c>
      <c r="D708" s="51" t="s">
        <v>929</v>
      </c>
      <c r="E708" s="24" t="s">
        <v>930</v>
      </c>
      <c r="F708" s="24"/>
      <c r="G708" s="24" t="s">
        <v>61</v>
      </c>
      <c r="H708" s="24" t="s">
        <v>62</v>
      </c>
      <c r="I708" s="24">
        <v>2015</v>
      </c>
      <c r="J708" s="24"/>
      <c r="K708" s="24" t="s">
        <v>63</v>
      </c>
      <c r="L708" s="24" t="s">
        <v>64</v>
      </c>
      <c r="M708" s="24">
        <v>1</v>
      </c>
      <c r="N708" s="41">
        <f t="shared" si="288"/>
        <v>1506600</v>
      </c>
      <c r="O708" s="41">
        <v>1506600</v>
      </c>
      <c r="P708" s="24"/>
      <c r="Q708" s="24"/>
      <c r="R708" s="24"/>
      <c r="S708" s="41">
        <f t="shared" si="289"/>
        <v>1506600</v>
      </c>
      <c r="T708" s="24">
        <v>5</v>
      </c>
      <c r="U708" s="41">
        <f t="shared" si="290"/>
        <v>301320</v>
      </c>
      <c r="V708" s="24">
        <v>0.5</v>
      </c>
      <c r="W708" s="41"/>
      <c r="X708" s="24"/>
      <c r="Y708" s="41">
        <f t="shared" si="291"/>
        <v>0</v>
      </c>
      <c r="Z708" s="41"/>
      <c r="AA708" s="72">
        <v>5</v>
      </c>
      <c r="AB708" s="41">
        <f t="shared" si="292"/>
        <v>1506600</v>
      </c>
      <c r="AC708" s="41">
        <f t="shared" si="293"/>
        <v>0</v>
      </c>
      <c r="AD708" s="70" t="s">
        <v>931</v>
      </c>
      <c r="AE708" s="70"/>
      <c r="AF708" s="1">
        <v>1506600</v>
      </c>
      <c r="AG708" s="5">
        <f t="shared" si="287"/>
        <v>0</v>
      </c>
      <c r="AH708" s="5"/>
    </row>
    <row r="709" spans="1:34" s="1" customFormat="1" x14ac:dyDescent="0.25">
      <c r="A709" s="49">
        <v>5</v>
      </c>
      <c r="B709" s="22" t="s">
        <v>1732</v>
      </c>
      <c r="C709" s="22" t="s">
        <v>337</v>
      </c>
      <c r="D709" s="51" t="s">
        <v>929</v>
      </c>
      <c r="E709" s="24" t="s">
        <v>930</v>
      </c>
      <c r="F709" s="24"/>
      <c r="G709" s="24" t="s">
        <v>61</v>
      </c>
      <c r="H709" s="24" t="s">
        <v>62</v>
      </c>
      <c r="I709" s="24">
        <v>2015</v>
      </c>
      <c r="J709" s="24"/>
      <c r="K709" s="24" t="s">
        <v>63</v>
      </c>
      <c r="L709" s="24" t="s">
        <v>64</v>
      </c>
      <c r="M709" s="24">
        <v>2</v>
      </c>
      <c r="N709" s="41">
        <f t="shared" si="288"/>
        <v>1506600</v>
      </c>
      <c r="O709" s="41">
        <v>3013200</v>
      </c>
      <c r="P709" s="24"/>
      <c r="Q709" s="24"/>
      <c r="R709" s="24"/>
      <c r="S709" s="41">
        <f t="shared" si="289"/>
        <v>3013200</v>
      </c>
      <c r="T709" s="24">
        <v>5</v>
      </c>
      <c r="U709" s="41">
        <f t="shared" si="290"/>
        <v>602640</v>
      </c>
      <c r="V709" s="24">
        <v>0.5</v>
      </c>
      <c r="W709" s="41"/>
      <c r="X709" s="24"/>
      <c r="Y709" s="41">
        <f t="shared" si="291"/>
        <v>0</v>
      </c>
      <c r="Z709" s="41"/>
      <c r="AA709" s="72">
        <v>5</v>
      </c>
      <c r="AB709" s="41">
        <f t="shared" si="292"/>
        <v>3013200</v>
      </c>
      <c r="AC709" s="41">
        <f t="shared" si="293"/>
        <v>0</v>
      </c>
      <c r="AD709" s="70" t="s">
        <v>932</v>
      </c>
      <c r="AE709" s="70"/>
      <c r="AF709" s="1">
        <v>3013200</v>
      </c>
      <c r="AG709" s="5">
        <f t="shared" si="287"/>
        <v>0</v>
      </c>
      <c r="AH709" s="5"/>
    </row>
    <row r="710" spans="1:34" s="1" customFormat="1" x14ac:dyDescent="0.25">
      <c r="A710" s="49">
        <v>6</v>
      </c>
      <c r="B710" s="22" t="s">
        <v>1732</v>
      </c>
      <c r="C710" s="22" t="s">
        <v>338</v>
      </c>
      <c r="D710" s="51" t="s">
        <v>929</v>
      </c>
      <c r="E710" s="24" t="s">
        <v>930</v>
      </c>
      <c r="F710" s="24"/>
      <c r="G710" s="24" t="s">
        <v>61</v>
      </c>
      <c r="H710" s="24" t="s">
        <v>62</v>
      </c>
      <c r="I710" s="24">
        <v>2015</v>
      </c>
      <c r="J710" s="24"/>
      <c r="K710" s="24" t="s">
        <v>63</v>
      </c>
      <c r="L710" s="24" t="s">
        <v>64</v>
      </c>
      <c r="M710" s="24">
        <v>2</v>
      </c>
      <c r="N710" s="41">
        <f t="shared" si="288"/>
        <v>1506600</v>
      </c>
      <c r="O710" s="41">
        <v>3013200</v>
      </c>
      <c r="P710" s="24"/>
      <c r="Q710" s="24"/>
      <c r="R710" s="24"/>
      <c r="S710" s="41">
        <f t="shared" si="289"/>
        <v>3013200</v>
      </c>
      <c r="T710" s="24">
        <v>5</v>
      </c>
      <c r="U710" s="41">
        <f t="shared" si="290"/>
        <v>602640</v>
      </c>
      <c r="V710" s="24">
        <v>0.5</v>
      </c>
      <c r="W710" s="41"/>
      <c r="X710" s="24"/>
      <c r="Y710" s="41">
        <f t="shared" si="291"/>
        <v>0</v>
      </c>
      <c r="Z710" s="41"/>
      <c r="AA710" s="72">
        <v>5</v>
      </c>
      <c r="AB710" s="41">
        <f t="shared" si="292"/>
        <v>3013200</v>
      </c>
      <c r="AC710" s="41">
        <f t="shared" si="293"/>
        <v>0</v>
      </c>
      <c r="AD710" s="70" t="s">
        <v>933</v>
      </c>
      <c r="AE710" s="70"/>
      <c r="AF710" s="1">
        <v>3013200</v>
      </c>
      <c r="AG710" s="5">
        <f t="shared" si="287"/>
        <v>0</v>
      </c>
      <c r="AH710" s="5"/>
    </row>
    <row r="711" spans="1:34" s="1" customFormat="1" x14ac:dyDescent="0.25">
      <c r="A711" s="49">
        <v>7</v>
      </c>
      <c r="B711" s="22" t="s">
        <v>1732</v>
      </c>
      <c r="C711" s="22" t="s">
        <v>339</v>
      </c>
      <c r="D711" s="51" t="s">
        <v>929</v>
      </c>
      <c r="E711" s="24" t="s">
        <v>930</v>
      </c>
      <c r="F711" s="24"/>
      <c r="G711" s="24" t="s">
        <v>61</v>
      </c>
      <c r="H711" s="24" t="s">
        <v>62</v>
      </c>
      <c r="I711" s="24">
        <v>2015</v>
      </c>
      <c r="J711" s="24"/>
      <c r="K711" s="24" t="s">
        <v>63</v>
      </c>
      <c r="L711" s="24" t="s">
        <v>64</v>
      </c>
      <c r="M711" s="24">
        <v>2</v>
      </c>
      <c r="N711" s="41">
        <f t="shared" si="288"/>
        <v>1506600</v>
      </c>
      <c r="O711" s="41">
        <v>3013200</v>
      </c>
      <c r="P711" s="24"/>
      <c r="Q711" s="24"/>
      <c r="R711" s="24"/>
      <c r="S711" s="41">
        <f t="shared" si="289"/>
        <v>3013200</v>
      </c>
      <c r="T711" s="24">
        <v>5</v>
      </c>
      <c r="U711" s="41">
        <f t="shared" si="290"/>
        <v>602640</v>
      </c>
      <c r="V711" s="24">
        <v>0.5</v>
      </c>
      <c r="W711" s="41"/>
      <c r="X711" s="24"/>
      <c r="Y711" s="41">
        <f t="shared" si="291"/>
        <v>0</v>
      </c>
      <c r="Z711" s="41"/>
      <c r="AA711" s="72">
        <v>5</v>
      </c>
      <c r="AB711" s="41">
        <f t="shared" si="292"/>
        <v>3013200</v>
      </c>
      <c r="AC711" s="41">
        <f t="shared" si="293"/>
        <v>0</v>
      </c>
      <c r="AD711" s="70" t="s">
        <v>787</v>
      </c>
      <c r="AE711" s="70"/>
      <c r="AF711" s="1">
        <v>3013200</v>
      </c>
      <c r="AG711" s="5">
        <f t="shared" si="287"/>
        <v>0</v>
      </c>
      <c r="AH711" s="5"/>
    </row>
    <row r="712" spans="1:34" s="1" customFormat="1" x14ac:dyDescent="0.25">
      <c r="A712" s="21"/>
      <c r="B712" s="22"/>
      <c r="C712" s="73"/>
      <c r="D712" s="51"/>
      <c r="E712" s="52"/>
      <c r="F712" s="52"/>
      <c r="G712" s="52"/>
      <c r="H712" s="52"/>
      <c r="I712" s="52"/>
      <c r="J712" s="52"/>
      <c r="K712" s="52"/>
      <c r="L712" s="52"/>
      <c r="M712" s="52"/>
      <c r="N712" s="53"/>
      <c r="O712" s="53"/>
      <c r="P712" s="52"/>
      <c r="Q712" s="52"/>
      <c r="R712" s="52"/>
      <c r="S712" s="53"/>
      <c r="T712" s="52"/>
      <c r="U712" s="53"/>
      <c r="V712" s="52"/>
      <c r="W712" s="53"/>
      <c r="X712" s="57"/>
      <c r="Y712" s="53"/>
      <c r="Z712" s="53"/>
      <c r="AA712" s="57"/>
      <c r="AB712" s="53"/>
      <c r="AC712" s="53"/>
      <c r="AD712" s="56"/>
      <c r="AE712" s="70"/>
      <c r="AG712" s="5"/>
    </row>
    <row r="713" spans="1:34" s="160" customFormat="1" ht="25.5" x14ac:dyDescent="0.25">
      <c r="A713" s="138"/>
      <c r="B713" s="139" t="s">
        <v>1062</v>
      </c>
      <c r="C713" s="139"/>
      <c r="D713" s="140" t="s">
        <v>1063</v>
      </c>
      <c r="E713" s="141"/>
      <c r="F713" s="141"/>
      <c r="G713" s="141"/>
      <c r="H713" s="141"/>
      <c r="I713" s="141"/>
      <c r="J713" s="141"/>
      <c r="K713" s="141"/>
      <c r="L713" s="141"/>
      <c r="M713" s="141">
        <f>SUM(M714)</f>
        <v>469</v>
      </c>
      <c r="N713" s="141"/>
      <c r="O713" s="142">
        <f>SUM(O714)</f>
        <v>686799837.99000001</v>
      </c>
      <c r="P713" s="141">
        <f>SUM(P749:P784)</f>
        <v>0</v>
      </c>
      <c r="Q713" s="141">
        <f>SUM(Q749:Q784)</f>
        <v>0</v>
      </c>
      <c r="R713" s="141">
        <f>SUM(R749:R784)</f>
        <v>0</v>
      </c>
      <c r="S713" s="142">
        <f>SUM(S714)</f>
        <v>686799837.99000001</v>
      </c>
      <c r="T713" s="141"/>
      <c r="U713" s="142">
        <f>SUM(U714)</f>
        <v>8146591.5999999996</v>
      </c>
      <c r="V713" s="141"/>
      <c r="W713" s="142">
        <f>SUM(W714)</f>
        <v>1987962.4666666668</v>
      </c>
      <c r="X713" s="141"/>
      <c r="Y713" s="142">
        <f>SUM(Y749:Y784)</f>
        <v>0</v>
      </c>
      <c r="Z713" s="142">
        <f>SUM(Z714)</f>
        <v>1987962.4666666668</v>
      </c>
      <c r="AA713" s="141"/>
      <c r="AB713" s="142">
        <f>SUM(AB714)</f>
        <v>650411186.41666698</v>
      </c>
      <c r="AC713" s="142">
        <f>SUM(AC714)</f>
        <v>36388651.833333328</v>
      </c>
      <c r="AD713" s="141"/>
      <c r="AE713" s="173"/>
      <c r="AF713" s="181">
        <v>652496519.75</v>
      </c>
      <c r="AG713" s="182"/>
    </row>
    <row r="714" spans="1:34" s="1" customFormat="1" x14ac:dyDescent="0.25">
      <c r="A714" s="25"/>
      <c r="B714" s="26" t="s">
        <v>1733</v>
      </c>
      <c r="C714" s="26"/>
      <c r="D714" s="27" t="s">
        <v>1734</v>
      </c>
      <c r="E714" s="28"/>
      <c r="F714" s="28"/>
      <c r="G714" s="28"/>
      <c r="H714" s="28"/>
      <c r="I714" s="28"/>
      <c r="J714" s="28"/>
      <c r="K714" s="28"/>
      <c r="L714" s="28"/>
      <c r="M714" s="28">
        <f>SUM(M715:M784)</f>
        <v>469</v>
      </c>
      <c r="N714" s="28"/>
      <c r="O714" s="40">
        <f>SUM(O715:O784)</f>
        <v>686799837.99000001</v>
      </c>
      <c r="P714" s="28"/>
      <c r="Q714" s="28"/>
      <c r="R714" s="28"/>
      <c r="S714" s="40">
        <f>SUM(S715:S784)</f>
        <v>686799837.99000001</v>
      </c>
      <c r="T714" s="28"/>
      <c r="U714" s="40">
        <f>SUM(U715:U784)</f>
        <v>8146591.5999999996</v>
      </c>
      <c r="V714" s="28"/>
      <c r="W714" s="40">
        <f>SUM(W715:W784)</f>
        <v>1987962.4666666668</v>
      </c>
      <c r="X714" s="28"/>
      <c r="Y714" s="40"/>
      <c r="Z714" s="40">
        <f>SUM(Z715:Z784)</f>
        <v>1987962.4666666668</v>
      </c>
      <c r="AA714" s="28"/>
      <c r="AB714" s="40">
        <f>SUM(AB715:AB784)</f>
        <v>650411186.41666698</v>
      </c>
      <c r="AC714" s="40">
        <f>SUM(AC715:AC784)</f>
        <v>36388651.833333328</v>
      </c>
      <c r="AD714" s="28"/>
      <c r="AE714" s="70"/>
      <c r="AF714" s="5">
        <f>AB714-AF713</f>
        <v>-2085333.3333330154</v>
      </c>
      <c r="AG714" s="80"/>
    </row>
    <row r="715" spans="1:34" s="1" customFormat="1" x14ac:dyDescent="0.25">
      <c r="A715" s="49">
        <v>1</v>
      </c>
      <c r="B715" s="22" t="s">
        <v>1735</v>
      </c>
      <c r="C715" s="22" t="s">
        <v>58</v>
      </c>
      <c r="D715" s="51" t="s">
        <v>1113</v>
      </c>
      <c r="E715" s="24" t="s">
        <v>166</v>
      </c>
      <c r="F715" s="24"/>
      <c r="G715" s="24" t="s">
        <v>319</v>
      </c>
      <c r="H715" s="24" t="s">
        <v>62</v>
      </c>
      <c r="I715" s="24">
        <v>2011</v>
      </c>
      <c r="J715" s="24"/>
      <c r="K715" s="24" t="s">
        <v>1114</v>
      </c>
      <c r="L715" s="24" t="s">
        <v>64</v>
      </c>
      <c r="M715" s="24">
        <v>1</v>
      </c>
      <c r="N715" s="41">
        <f t="shared" ref="N715:N778" si="294">SUM(O715/M715)</f>
        <v>9878000</v>
      </c>
      <c r="O715" s="41">
        <v>9878000</v>
      </c>
      <c r="P715" s="24"/>
      <c r="Q715" s="24"/>
      <c r="R715" s="24"/>
      <c r="S715" s="41">
        <f t="shared" ref="S715:S778" si="295">SUM(O715-R715)</f>
        <v>9878000</v>
      </c>
      <c r="T715" s="24">
        <v>5</v>
      </c>
      <c r="U715" s="41"/>
      <c r="V715" s="24">
        <v>0.5</v>
      </c>
      <c r="W715" s="41">
        <f t="shared" ref="W715:W743" si="296">SUM(U715*V715)</f>
        <v>0</v>
      </c>
      <c r="X715" s="24"/>
      <c r="Y715" s="41">
        <f t="shared" ref="Y715:Y726" si="297">SUM(U715*X715)</f>
        <v>0</v>
      </c>
      <c r="Z715" s="41">
        <f t="shared" ref="Z715:Z743" si="298">SUM(W715+Y715)</f>
        <v>0</v>
      </c>
      <c r="AA715" s="24">
        <v>5</v>
      </c>
      <c r="AB715" s="41">
        <v>9878000</v>
      </c>
      <c r="AC715" s="41">
        <f t="shared" ref="AC715:AC725" si="299">SUM(O715-AB715)</f>
        <v>0</v>
      </c>
      <c r="AD715" s="70" t="s">
        <v>616</v>
      </c>
      <c r="AE715" s="70"/>
      <c r="AG715" s="80"/>
    </row>
    <row r="716" spans="1:34" s="1" customFormat="1" x14ac:dyDescent="0.25">
      <c r="A716" s="49">
        <v>2</v>
      </c>
      <c r="B716" s="22" t="s">
        <v>1735</v>
      </c>
      <c r="C716" s="22" t="s">
        <v>277</v>
      </c>
      <c r="D716" s="51" t="s">
        <v>1113</v>
      </c>
      <c r="E716" s="24" t="s">
        <v>166</v>
      </c>
      <c r="F716" s="24"/>
      <c r="G716" s="24" t="s">
        <v>319</v>
      </c>
      <c r="H716" s="24" t="s">
        <v>62</v>
      </c>
      <c r="I716" s="24">
        <v>2013</v>
      </c>
      <c r="J716" s="24"/>
      <c r="K716" s="24" t="s">
        <v>1114</v>
      </c>
      <c r="L716" s="24" t="s">
        <v>64</v>
      </c>
      <c r="M716" s="24">
        <v>2</v>
      </c>
      <c r="N716" s="41">
        <f t="shared" si="294"/>
        <v>4838900</v>
      </c>
      <c r="O716" s="41">
        <v>9677800</v>
      </c>
      <c r="P716" s="24"/>
      <c r="Q716" s="24"/>
      <c r="R716" s="24"/>
      <c r="S716" s="41">
        <f t="shared" si="295"/>
        <v>9677800</v>
      </c>
      <c r="T716" s="24">
        <v>5</v>
      </c>
      <c r="U716" s="41"/>
      <c r="V716" s="24">
        <v>0.5</v>
      </c>
      <c r="W716" s="41">
        <f t="shared" si="296"/>
        <v>0</v>
      </c>
      <c r="X716" s="24"/>
      <c r="Y716" s="41">
        <f t="shared" si="297"/>
        <v>0</v>
      </c>
      <c r="Z716" s="41">
        <f t="shared" si="298"/>
        <v>0</v>
      </c>
      <c r="AA716" s="24">
        <v>5</v>
      </c>
      <c r="AB716" s="41">
        <v>9677800</v>
      </c>
      <c r="AC716" s="41">
        <f t="shared" si="299"/>
        <v>0</v>
      </c>
      <c r="AD716" s="70" t="s">
        <v>540</v>
      </c>
      <c r="AE716" s="70"/>
      <c r="AG716" s="80"/>
    </row>
    <row r="717" spans="1:34" s="1" customFormat="1" x14ac:dyDescent="0.25">
      <c r="A717" s="49">
        <v>3</v>
      </c>
      <c r="B717" s="22" t="s">
        <v>1735</v>
      </c>
      <c r="C717" s="22" t="s">
        <v>280</v>
      </c>
      <c r="D717" s="51" t="s">
        <v>1113</v>
      </c>
      <c r="E717" s="24" t="s">
        <v>166</v>
      </c>
      <c r="F717" s="24"/>
      <c r="G717" s="24" t="s">
        <v>319</v>
      </c>
      <c r="H717" s="24" t="s">
        <v>62</v>
      </c>
      <c r="I717" s="24">
        <v>2013</v>
      </c>
      <c r="J717" s="24"/>
      <c r="K717" s="24" t="s">
        <v>63</v>
      </c>
      <c r="L717" s="24" t="s">
        <v>64</v>
      </c>
      <c r="M717" s="24">
        <v>6</v>
      </c>
      <c r="N717" s="41">
        <f t="shared" si="294"/>
        <v>1500000</v>
      </c>
      <c r="O717" s="41">
        <v>9000000</v>
      </c>
      <c r="P717" s="24"/>
      <c r="Q717" s="24"/>
      <c r="R717" s="24"/>
      <c r="S717" s="41">
        <f t="shared" si="295"/>
        <v>9000000</v>
      </c>
      <c r="T717" s="24">
        <v>5</v>
      </c>
      <c r="U717" s="41"/>
      <c r="V717" s="24">
        <v>0.5</v>
      </c>
      <c r="W717" s="41">
        <f t="shared" si="296"/>
        <v>0</v>
      </c>
      <c r="X717" s="24"/>
      <c r="Y717" s="41">
        <f t="shared" si="297"/>
        <v>0</v>
      </c>
      <c r="Z717" s="41">
        <f t="shared" si="298"/>
        <v>0</v>
      </c>
      <c r="AA717" s="24">
        <v>5</v>
      </c>
      <c r="AB717" s="41">
        <v>9000000</v>
      </c>
      <c r="AC717" s="41">
        <f t="shared" si="299"/>
        <v>0</v>
      </c>
      <c r="AD717" s="70" t="s">
        <v>540</v>
      </c>
      <c r="AE717" s="70"/>
      <c r="AG717" s="80"/>
    </row>
    <row r="718" spans="1:34" s="1" customFormat="1" x14ac:dyDescent="0.25">
      <c r="A718" s="49">
        <v>4</v>
      </c>
      <c r="B718" s="22" t="s">
        <v>1735</v>
      </c>
      <c r="C718" s="22" t="s">
        <v>832</v>
      </c>
      <c r="D718" s="51" t="s">
        <v>1115</v>
      </c>
      <c r="E718" s="24" t="s">
        <v>166</v>
      </c>
      <c r="F718" s="24"/>
      <c r="G718" s="24" t="s">
        <v>319</v>
      </c>
      <c r="H718" s="24" t="s">
        <v>62</v>
      </c>
      <c r="I718" s="24">
        <v>2014</v>
      </c>
      <c r="J718" s="24"/>
      <c r="K718" s="24" t="s">
        <v>63</v>
      </c>
      <c r="L718" s="24" t="s">
        <v>64</v>
      </c>
      <c r="M718" s="24">
        <v>3</v>
      </c>
      <c r="N718" s="41">
        <f t="shared" si="294"/>
        <v>5500000</v>
      </c>
      <c r="O718" s="41">
        <v>16500000</v>
      </c>
      <c r="P718" s="24"/>
      <c r="Q718" s="24"/>
      <c r="R718" s="24"/>
      <c r="S718" s="41">
        <f t="shared" si="295"/>
        <v>16500000</v>
      </c>
      <c r="T718" s="24">
        <v>5</v>
      </c>
      <c r="U718" s="41"/>
      <c r="V718" s="24">
        <v>0.5</v>
      </c>
      <c r="W718" s="41">
        <f t="shared" si="296"/>
        <v>0</v>
      </c>
      <c r="X718" s="24"/>
      <c r="Y718" s="41">
        <f t="shared" si="297"/>
        <v>0</v>
      </c>
      <c r="Z718" s="41">
        <f t="shared" si="298"/>
        <v>0</v>
      </c>
      <c r="AA718" s="24">
        <v>5</v>
      </c>
      <c r="AB718" s="41">
        <v>16500000</v>
      </c>
      <c r="AC718" s="41">
        <f t="shared" si="299"/>
        <v>0</v>
      </c>
      <c r="AD718" s="70" t="s">
        <v>218</v>
      </c>
      <c r="AE718" s="70"/>
      <c r="AG718" s="80"/>
    </row>
    <row r="719" spans="1:34" s="1" customFormat="1" x14ac:dyDescent="0.25">
      <c r="A719" s="49">
        <v>5</v>
      </c>
      <c r="B719" s="22" t="s">
        <v>1735</v>
      </c>
      <c r="C719" s="22" t="s">
        <v>1116</v>
      </c>
      <c r="D719" s="51" t="s">
        <v>1115</v>
      </c>
      <c r="E719" s="24" t="s">
        <v>166</v>
      </c>
      <c r="F719" s="24"/>
      <c r="G719" s="24" t="s">
        <v>319</v>
      </c>
      <c r="H719" s="24" t="s">
        <v>62</v>
      </c>
      <c r="I719" s="24">
        <v>2014</v>
      </c>
      <c r="J719" s="24"/>
      <c r="K719" s="24" t="s">
        <v>63</v>
      </c>
      <c r="L719" s="24" t="s">
        <v>64</v>
      </c>
      <c r="M719" s="24">
        <v>3</v>
      </c>
      <c r="N719" s="41">
        <f t="shared" si="294"/>
        <v>5500000</v>
      </c>
      <c r="O719" s="41">
        <v>16500000</v>
      </c>
      <c r="P719" s="24"/>
      <c r="Q719" s="24"/>
      <c r="R719" s="24"/>
      <c r="S719" s="41">
        <f t="shared" si="295"/>
        <v>16500000</v>
      </c>
      <c r="T719" s="24">
        <v>5</v>
      </c>
      <c r="U719" s="41"/>
      <c r="V719" s="24">
        <v>0.5</v>
      </c>
      <c r="W719" s="41">
        <f t="shared" si="296"/>
        <v>0</v>
      </c>
      <c r="X719" s="24"/>
      <c r="Y719" s="41">
        <f t="shared" si="297"/>
        <v>0</v>
      </c>
      <c r="Z719" s="41">
        <f t="shared" si="298"/>
        <v>0</v>
      </c>
      <c r="AA719" s="24">
        <v>5</v>
      </c>
      <c r="AB719" s="41">
        <v>16500000</v>
      </c>
      <c r="AC719" s="41">
        <f t="shared" si="299"/>
        <v>0</v>
      </c>
      <c r="AD719" s="70" t="s">
        <v>322</v>
      </c>
      <c r="AE719" s="70"/>
      <c r="AG719" s="80"/>
    </row>
    <row r="720" spans="1:34" s="1" customFormat="1" x14ac:dyDescent="0.25">
      <c r="A720" s="49">
        <v>6</v>
      </c>
      <c r="B720" s="22" t="s">
        <v>1735</v>
      </c>
      <c r="C720" s="22" t="s">
        <v>1117</v>
      </c>
      <c r="D720" s="51" t="s">
        <v>1115</v>
      </c>
      <c r="E720" s="24" t="s">
        <v>166</v>
      </c>
      <c r="F720" s="24"/>
      <c r="G720" s="24" t="s">
        <v>319</v>
      </c>
      <c r="H720" s="24" t="s">
        <v>62</v>
      </c>
      <c r="I720" s="24">
        <v>2014</v>
      </c>
      <c r="J720" s="24"/>
      <c r="K720" s="24" t="s">
        <v>63</v>
      </c>
      <c r="L720" s="24" t="s">
        <v>64</v>
      </c>
      <c r="M720" s="24">
        <v>3</v>
      </c>
      <c r="N720" s="41">
        <f t="shared" si="294"/>
        <v>5500000</v>
      </c>
      <c r="O720" s="41">
        <v>16500000</v>
      </c>
      <c r="P720" s="24"/>
      <c r="Q720" s="24"/>
      <c r="R720" s="24"/>
      <c r="S720" s="41">
        <f t="shared" si="295"/>
        <v>16500000</v>
      </c>
      <c r="T720" s="24">
        <v>5</v>
      </c>
      <c r="U720" s="41"/>
      <c r="V720" s="24">
        <v>0.5</v>
      </c>
      <c r="W720" s="41">
        <f t="shared" si="296"/>
        <v>0</v>
      </c>
      <c r="X720" s="24"/>
      <c r="Y720" s="41">
        <f t="shared" si="297"/>
        <v>0</v>
      </c>
      <c r="Z720" s="41">
        <f t="shared" si="298"/>
        <v>0</v>
      </c>
      <c r="AA720" s="24">
        <v>5</v>
      </c>
      <c r="AB720" s="41">
        <v>16500000</v>
      </c>
      <c r="AC720" s="41">
        <f t="shared" si="299"/>
        <v>0</v>
      </c>
      <c r="AD720" s="70" t="s">
        <v>324</v>
      </c>
      <c r="AE720" s="70"/>
      <c r="AG720" s="80"/>
    </row>
    <row r="721" spans="1:33" s="1" customFormat="1" x14ac:dyDescent="0.25">
      <c r="A721" s="49">
        <v>7</v>
      </c>
      <c r="B721" s="22" t="s">
        <v>1735</v>
      </c>
      <c r="C721" s="22" t="s">
        <v>554</v>
      </c>
      <c r="D721" s="51" t="s">
        <v>1115</v>
      </c>
      <c r="E721" s="24" t="s">
        <v>166</v>
      </c>
      <c r="F721" s="24"/>
      <c r="G721" s="24" t="s">
        <v>319</v>
      </c>
      <c r="H721" s="24" t="s">
        <v>62</v>
      </c>
      <c r="I721" s="24">
        <v>2014</v>
      </c>
      <c r="J721" s="24"/>
      <c r="K721" s="24" t="s">
        <v>63</v>
      </c>
      <c r="L721" s="24" t="s">
        <v>64</v>
      </c>
      <c r="M721" s="24">
        <v>3</v>
      </c>
      <c r="N721" s="41">
        <f t="shared" si="294"/>
        <v>5500000</v>
      </c>
      <c r="O721" s="41">
        <v>16500000</v>
      </c>
      <c r="P721" s="24"/>
      <c r="Q721" s="24"/>
      <c r="R721" s="24"/>
      <c r="S721" s="41">
        <f t="shared" si="295"/>
        <v>16500000</v>
      </c>
      <c r="T721" s="24">
        <v>5</v>
      </c>
      <c r="U721" s="41"/>
      <c r="V721" s="24">
        <v>0.5</v>
      </c>
      <c r="W721" s="41">
        <f t="shared" si="296"/>
        <v>0</v>
      </c>
      <c r="X721" s="24"/>
      <c r="Y721" s="41">
        <f t="shared" si="297"/>
        <v>0</v>
      </c>
      <c r="Z721" s="41">
        <f t="shared" si="298"/>
        <v>0</v>
      </c>
      <c r="AA721" s="24">
        <v>5</v>
      </c>
      <c r="AB721" s="41">
        <v>16500000</v>
      </c>
      <c r="AC721" s="41">
        <f t="shared" si="299"/>
        <v>0</v>
      </c>
      <c r="AD721" s="70" t="s">
        <v>326</v>
      </c>
      <c r="AE721" s="70"/>
      <c r="AG721" s="80"/>
    </row>
    <row r="722" spans="1:33" s="1" customFormat="1" x14ac:dyDescent="0.25">
      <c r="A722" s="49">
        <v>8</v>
      </c>
      <c r="B722" s="22" t="s">
        <v>1735</v>
      </c>
      <c r="C722" s="22" t="s">
        <v>312</v>
      </c>
      <c r="D722" s="51" t="s">
        <v>1115</v>
      </c>
      <c r="E722" s="24" t="s">
        <v>166</v>
      </c>
      <c r="F722" s="24"/>
      <c r="G722" s="24" t="s">
        <v>319</v>
      </c>
      <c r="H722" s="24" t="s">
        <v>62</v>
      </c>
      <c r="I722" s="24">
        <v>2014</v>
      </c>
      <c r="J722" s="24"/>
      <c r="K722" s="24" t="s">
        <v>63</v>
      </c>
      <c r="L722" s="24" t="s">
        <v>64</v>
      </c>
      <c r="M722" s="24">
        <v>1</v>
      </c>
      <c r="N722" s="41">
        <f t="shared" si="294"/>
        <v>5500000</v>
      </c>
      <c r="O722" s="41">
        <v>5500000</v>
      </c>
      <c r="P722" s="24"/>
      <c r="Q722" s="24"/>
      <c r="R722" s="24"/>
      <c r="S722" s="41">
        <f t="shared" si="295"/>
        <v>5500000</v>
      </c>
      <c r="T722" s="24">
        <v>5</v>
      </c>
      <c r="U722" s="41"/>
      <c r="V722" s="24">
        <v>0.5</v>
      </c>
      <c r="W722" s="41">
        <f t="shared" si="296"/>
        <v>0</v>
      </c>
      <c r="X722" s="24"/>
      <c r="Y722" s="41">
        <f t="shared" si="297"/>
        <v>0</v>
      </c>
      <c r="Z722" s="41">
        <f t="shared" si="298"/>
        <v>0</v>
      </c>
      <c r="AA722" s="24">
        <v>5</v>
      </c>
      <c r="AB722" s="41">
        <v>5500000</v>
      </c>
      <c r="AC722" s="41">
        <f t="shared" si="299"/>
        <v>0</v>
      </c>
      <c r="AD722" s="70" t="s">
        <v>328</v>
      </c>
      <c r="AE722" s="70"/>
      <c r="AG722" s="80"/>
    </row>
    <row r="723" spans="1:33" s="1" customFormat="1" x14ac:dyDescent="0.25">
      <c r="A723" s="49">
        <v>9</v>
      </c>
      <c r="B723" s="22" t="s">
        <v>1735</v>
      </c>
      <c r="C723" s="22" t="s">
        <v>313</v>
      </c>
      <c r="D723" s="51" t="s">
        <v>1115</v>
      </c>
      <c r="E723" s="24" t="s">
        <v>166</v>
      </c>
      <c r="F723" s="24"/>
      <c r="G723" s="24" t="s">
        <v>319</v>
      </c>
      <c r="H723" s="24" t="s">
        <v>62</v>
      </c>
      <c r="I723" s="24">
        <v>2014</v>
      </c>
      <c r="J723" s="24"/>
      <c r="K723" s="24" t="s">
        <v>63</v>
      </c>
      <c r="L723" s="24" t="s">
        <v>64</v>
      </c>
      <c r="M723" s="24">
        <v>1</v>
      </c>
      <c r="N723" s="41">
        <f t="shared" si="294"/>
        <v>5500000</v>
      </c>
      <c r="O723" s="41">
        <v>5500000</v>
      </c>
      <c r="P723" s="24"/>
      <c r="Q723" s="24"/>
      <c r="R723" s="24"/>
      <c r="S723" s="41">
        <f t="shared" si="295"/>
        <v>5500000</v>
      </c>
      <c r="T723" s="24">
        <v>5</v>
      </c>
      <c r="U723" s="41"/>
      <c r="V723" s="24">
        <v>0.5</v>
      </c>
      <c r="W723" s="41">
        <f t="shared" si="296"/>
        <v>0</v>
      </c>
      <c r="X723" s="24"/>
      <c r="Y723" s="41">
        <f t="shared" si="297"/>
        <v>0</v>
      </c>
      <c r="Z723" s="41">
        <f t="shared" si="298"/>
        <v>0</v>
      </c>
      <c r="AA723" s="24">
        <v>5</v>
      </c>
      <c r="AB723" s="41">
        <v>5500000</v>
      </c>
      <c r="AC723" s="41">
        <f t="shared" si="299"/>
        <v>0</v>
      </c>
      <c r="AD723" s="70" t="s">
        <v>276</v>
      </c>
      <c r="AE723" s="70"/>
      <c r="AG723" s="80"/>
    </row>
    <row r="724" spans="1:33" s="1" customFormat="1" x14ac:dyDescent="0.25">
      <c r="A724" s="49">
        <v>10</v>
      </c>
      <c r="B724" s="22" t="s">
        <v>1735</v>
      </c>
      <c r="C724" s="22" t="s">
        <v>559</v>
      </c>
      <c r="D724" s="51" t="s">
        <v>1115</v>
      </c>
      <c r="E724" s="24" t="s">
        <v>166</v>
      </c>
      <c r="F724" s="24"/>
      <c r="G724" s="24" t="s">
        <v>319</v>
      </c>
      <c r="H724" s="24" t="s">
        <v>62</v>
      </c>
      <c r="I724" s="24">
        <v>2014</v>
      </c>
      <c r="J724" s="24"/>
      <c r="K724" s="24" t="s">
        <v>63</v>
      </c>
      <c r="L724" s="24" t="s">
        <v>64</v>
      </c>
      <c r="M724" s="24">
        <v>1</v>
      </c>
      <c r="N724" s="41">
        <f t="shared" si="294"/>
        <v>5500000</v>
      </c>
      <c r="O724" s="41">
        <v>5500000</v>
      </c>
      <c r="P724" s="24"/>
      <c r="Q724" s="24"/>
      <c r="R724" s="24"/>
      <c r="S724" s="41">
        <f t="shared" si="295"/>
        <v>5500000</v>
      </c>
      <c r="T724" s="24">
        <v>5</v>
      </c>
      <c r="U724" s="41"/>
      <c r="V724" s="24">
        <v>0.5</v>
      </c>
      <c r="W724" s="41">
        <f t="shared" si="296"/>
        <v>0</v>
      </c>
      <c r="X724" s="24"/>
      <c r="Y724" s="41">
        <f t="shared" si="297"/>
        <v>0</v>
      </c>
      <c r="Z724" s="41">
        <f t="shared" si="298"/>
        <v>0</v>
      </c>
      <c r="AA724" s="24">
        <v>5</v>
      </c>
      <c r="AB724" s="41">
        <v>5500000</v>
      </c>
      <c r="AC724" s="41">
        <f t="shared" si="299"/>
        <v>0</v>
      </c>
      <c r="AD724" s="70" t="s">
        <v>331</v>
      </c>
      <c r="AE724" s="70"/>
      <c r="AG724" s="80"/>
    </row>
    <row r="725" spans="1:33" s="1" customFormat="1" x14ac:dyDescent="0.25">
      <c r="A725" s="49">
        <v>11</v>
      </c>
      <c r="B725" s="22" t="s">
        <v>1735</v>
      </c>
      <c r="C725" s="22" t="s">
        <v>561</v>
      </c>
      <c r="D725" s="51" t="s">
        <v>1115</v>
      </c>
      <c r="E725" s="24" t="s">
        <v>166</v>
      </c>
      <c r="F725" s="24"/>
      <c r="G725" s="24" t="s">
        <v>319</v>
      </c>
      <c r="H725" s="24" t="s">
        <v>62</v>
      </c>
      <c r="I725" s="24">
        <v>2014</v>
      </c>
      <c r="J725" s="24"/>
      <c r="K725" s="24" t="s">
        <v>63</v>
      </c>
      <c r="L725" s="24" t="s">
        <v>64</v>
      </c>
      <c r="M725" s="24">
        <v>1</v>
      </c>
      <c r="N725" s="41">
        <f t="shared" si="294"/>
        <v>5500000</v>
      </c>
      <c r="O725" s="41">
        <v>5500000</v>
      </c>
      <c r="P725" s="24"/>
      <c r="Q725" s="24"/>
      <c r="R725" s="24"/>
      <c r="S725" s="41">
        <f t="shared" si="295"/>
        <v>5500000</v>
      </c>
      <c r="T725" s="24">
        <v>5</v>
      </c>
      <c r="U725" s="41"/>
      <c r="V725" s="24">
        <v>0.5</v>
      </c>
      <c r="W725" s="41">
        <f t="shared" si="296"/>
        <v>0</v>
      </c>
      <c r="X725" s="24"/>
      <c r="Y725" s="41">
        <f t="shared" si="297"/>
        <v>0</v>
      </c>
      <c r="Z725" s="41">
        <f t="shared" si="298"/>
        <v>0</v>
      </c>
      <c r="AA725" s="24">
        <v>5</v>
      </c>
      <c r="AB725" s="41">
        <v>5500000</v>
      </c>
      <c r="AC725" s="41">
        <f t="shared" si="299"/>
        <v>0</v>
      </c>
      <c r="AD725" s="70" t="s">
        <v>333</v>
      </c>
      <c r="AE725" s="70"/>
      <c r="AG725" s="80"/>
    </row>
    <row r="726" spans="1:33" s="1" customFormat="1" x14ac:dyDescent="0.25">
      <c r="A726" s="49">
        <v>12</v>
      </c>
      <c r="B726" s="22" t="s">
        <v>1735</v>
      </c>
      <c r="C726" s="22" t="s">
        <v>1118</v>
      </c>
      <c r="D726" s="76" t="s">
        <v>1119</v>
      </c>
      <c r="E726" s="24" t="s">
        <v>166</v>
      </c>
      <c r="F726" s="24"/>
      <c r="G726" s="24" t="s">
        <v>319</v>
      </c>
      <c r="H726" s="24" t="s">
        <v>62</v>
      </c>
      <c r="I726" s="24">
        <v>2014</v>
      </c>
      <c r="J726" s="24"/>
      <c r="K726" s="24" t="s">
        <v>63</v>
      </c>
      <c r="L726" s="24" t="s">
        <v>64</v>
      </c>
      <c r="M726" s="24">
        <v>51</v>
      </c>
      <c r="N726" s="41">
        <f t="shared" si="294"/>
        <v>5484609.9017647058</v>
      </c>
      <c r="O726" s="41">
        <v>279715104.99000001</v>
      </c>
      <c r="P726" s="24"/>
      <c r="Q726" s="24"/>
      <c r="R726" s="24"/>
      <c r="S726" s="41">
        <f t="shared" si="295"/>
        <v>279715104.99000001</v>
      </c>
      <c r="T726" s="24">
        <v>5</v>
      </c>
      <c r="U726" s="41"/>
      <c r="V726" s="24">
        <v>0.5</v>
      </c>
      <c r="W726" s="41">
        <f t="shared" si="296"/>
        <v>0</v>
      </c>
      <c r="X726" s="24"/>
      <c r="Y726" s="41">
        <f t="shared" si="297"/>
        <v>0</v>
      </c>
      <c r="Z726" s="41">
        <f t="shared" si="298"/>
        <v>0</v>
      </c>
      <c r="AA726" s="24">
        <v>5</v>
      </c>
      <c r="AB726" s="41">
        <v>279715105.25</v>
      </c>
      <c r="AC726" s="82" t="s">
        <v>263</v>
      </c>
      <c r="AD726" s="70" t="s">
        <v>1120</v>
      </c>
      <c r="AE726" s="70"/>
      <c r="AG726" s="80"/>
    </row>
    <row r="727" spans="1:33" s="1" customFormat="1" x14ac:dyDescent="0.25">
      <c r="A727" s="49">
        <v>13</v>
      </c>
      <c r="B727" s="308" t="s">
        <v>1735</v>
      </c>
      <c r="C727" s="314" t="s">
        <v>1226</v>
      </c>
      <c r="D727" s="309" t="s">
        <v>1113</v>
      </c>
      <c r="E727" s="310" t="s">
        <v>166</v>
      </c>
      <c r="F727" s="310"/>
      <c r="G727" s="310" t="s">
        <v>319</v>
      </c>
      <c r="H727" s="310" t="s">
        <v>62</v>
      </c>
      <c r="I727" s="310">
        <v>2023</v>
      </c>
      <c r="J727" s="310"/>
      <c r="K727" s="310" t="s">
        <v>63</v>
      </c>
      <c r="L727" s="310" t="s">
        <v>64</v>
      </c>
      <c r="M727" s="310">
        <v>1</v>
      </c>
      <c r="N727" s="311">
        <f t="shared" si="294"/>
        <v>1564000</v>
      </c>
      <c r="O727" s="311">
        <v>1564000</v>
      </c>
      <c r="P727" s="310"/>
      <c r="Q727" s="310"/>
      <c r="R727" s="310"/>
      <c r="S727" s="311">
        <f t="shared" si="295"/>
        <v>1564000</v>
      </c>
      <c r="T727" s="310">
        <v>5</v>
      </c>
      <c r="U727" s="311">
        <f t="shared" ref="U727:U742" si="300">SUM(S727/T727)</f>
        <v>312800</v>
      </c>
      <c r="V727" s="312">
        <f>1/12</f>
        <v>8.3333333333333329E-2</v>
      </c>
      <c r="W727" s="311">
        <f t="shared" si="296"/>
        <v>26066.666666666664</v>
      </c>
      <c r="X727" s="310"/>
      <c r="Y727" s="311"/>
      <c r="Z727" s="311">
        <f t="shared" si="298"/>
        <v>26066.666666666664</v>
      </c>
      <c r="AA727" s="312">
        <f>1/12</f>
        <v>8.3333333333333329E-2</v>
      </c>
      <c r="AB727" s="311">
        <f t="shared" ref="AB727:AB742" si="301">SUM(U727*AA727)</f>
        <v>26066.666666666664</v>
      </c>
      <c r="AC727" s="316">
        <f t="shared" ref="AC727:AC784" si="302">SUM(O727-AB727)</f>
        <v>1537933.3333333333</v>
      </c>
      <c r="AD727" s="313"/>
      <c r="AE727" s="313"/>
      <c r="AG727" s="80"/>
    </row>
    <row r="728" spans="1:33" s="1" customFormat="1" x14ac:dyDescent="0.25">
      <c r="A728" s="49">
        <v>14</v>
      </c>
      <c r="B728" s="308" t="s">
        <v>1735</v>
      </c>
      <c r="C728" s="314" t="s">
        <v>2198</v>
      </c>
      <c r="D728" s="309" t="s">
        <v>1113</v>
      </c>
      <c r="E728" s="310" t="s">
        <v>166</v>
      </c>
      <c r="F728" s="310"/>
      <c r="G728" s="310" t="s">
        <v>319</v>
      </c>
      <c r="H728" s="310" t="s">
        <v>62</v>
      </c>
      <c r="I728" s="310">
        <v>2023</v>
      </c>
      <c r="J728" s="310"/>
      <c r="K728" s="310" t="s">
        <v>63</v>
      </c>
      <c r="L728" s="310" t="s">
        <v>64</v>
      </c>
      <c r="M728" s="310">
        <v>1</v>
      </c>
      <c r="N728" s="311">
        <f t="shared" si="294"/>
        <v>1564000</v>
      </c>
      <c r="O728" s="311">
        <v>1564000</v>
      </c>
      <c r="P728" s="310"/>
      <c r="Q728" s="310"/>
      <c r="R728" s="310"/>
      <c r="S728" s="311">
        <f t="shared" si="295"/>
        <v>1564000</v>
      </c>
      <c r="T728" s="310">
        <v>5</v>
      </c>
      <c r="U728" s="311">
        <f t="shared" si="300"/>
        <v>312800</v>
      </c>
      <c r="V728" s="312">
        <f t="shared" ref="V728:V742" si="303">1/12</f>
        <v>8.3333333333333329E-2</v>
      </c>
      <c r="W728" s="311">
        <f t="shared" si="296"/>
        <v>26066.666666666664</v>
      </c>
      <c r="X728" s="310"/>
      <c r="Y728" s="311"/>
      <c r="Z728" s="311">
        <f t="shared" si="298"/>
        <v>26066.666666666664</v>
      </c>
      <c r="AA728" s="312">
        <f t="shared" ref="AA728:AA742" si="304">1/12</f>
        <v>8.3333333333333329E-2</v>
      </c>
      <c r="AB728" s="311">
        <f t="shared" si="301"/>
        <v>26066.666666666664</v>
      </c>
      <c r="AC728" s="316">
        <f t="shared" si="302"/>
        <v>1537933.3333333333</v>
      </c>
      <c r="AD728" s="313"/>
      <c r="AE728" s="313"/>
      <c r="AG728" s="80"/>
    </row>
    <row r="729" spans="1:33" s="1" customFormat="1" x14ac:dyDescent="0.25">
      <c r="A729" s="49">
        <v>15</v>
      </c>
      <c r="B729" s="308" t="s">
        <v>1735</v>
      </c>
      <c r="C729" s="314" t="s">
        <v>422</v>
      </c>
      <c r="D729" s="309" t="s">
        <v>1113</v>
      </c>
      <c r="E729" s="310" t="s">
        <v>166</v>
      </c>
      <c r="F729" s="310"/>
      <c r="G729" s="310" t="s">
        <v>319</v>
      </c>
      <c r="H729" s="310" t="s">
        <v>62</v>
      </c>
      <c r="I729" s="310">
        <v>2023</v>
      </c>
      <c r="J729" s="310"/>
      <c r="K729" s="310" t="s">
        <v>63</v>
      </c>
      <c r="L729" s="310" t="s">
        <v>64</v>
      </c>
      <c r="M729" s="310">
        <v>1</v>
      </c>
      <c r="N729" s="311">
        <f t="shared" si="294"/>
        <v>1564000</v>
      </c>
      <c r="O729" s="311">
        <v>1564000</v>
      </c>
      <c r="P729" s="310"/>
      <c r="Q729" s="310"/>
      <c r="R729" s="310"/>
      <c r="S729" s="311">
        <f t="shared" si="295"/>
        <v>1564000</v>
      </c>
      <c r="T729" s="310">
        <v>5</v>
      </c>
      <c r="U729" s="311">
        <f t="shared" si="300"/>
        <v>312800</v>
      </c>
      <c r="V729" s="312">
        <f t="shared" si="303"/>
        <v>8.3333333333333329E-2</v>
      </c>
      <c r="W729" s="311">
        <f t="shared" si="296"/>
        <v>26066.666666666664</v>
      </c>
      <c r="X729" s="310"/>
      <c r="Y729" s="311"/>
      <c r="Z729" s="311">
        <f t="shared" si="298"/>
        <v>26066.666666666664</v>
      </c>
      <c r="AA729" s="312">
        <f t="shared" si="304"/>
        <v>8.3333333333333329E-2</v>
      </c>
      <c r="AB729" s="311">
        <f t="shared" si="301"/>
        <v>26066.666666666664</v>
      </c>
      <c r="AC729" s="316">
        <f t="shared" si="302"/>
        <v>1537933.3333333333</v>
      </c>
      <c r="AD729" s="313"/>
      <c r="AE729" s="313"/>
      <c r="AG729" s="80"/>
    </row>
    <row r="730" spans="1:33" s="1" customFormat="1" x14ac:dyDescent="0.25">
      <c r="A730" s="49">
        <v>16</v>
      </c>
      <c r="B730" s="308" t="s">
        <v>1735</v>
      </c>
      <c r="C730" s="314" t="s">
        <v>423</v>
      </c>
      <c r="D730" s="309" t="s">
        <v>1113</v>
      </c>
      <c r="E730" s="310" t="s">
        <v>166</v>
      </c>
      <c r="F730" s="310"/>
      <c r="G730" s="310" t="s">
        <v>319</v>
      </c>
      <c r="H730" s="310" t="s">
        <v>62</v>
      </c>
      <c r="I730" s="310">
        <v>2023</v>
      </c>
      <c r="J730" s="310"/>
      <c r="K730" s="310" t="s">
        <v>63</v>
      </c>
      <c r="L730" s="310" t="s">
        <v>64</v>
      </c>
      <c r="M730" s="310">
        <v>1</v>
      </c>
      <c r="N730" s="311">
        <f t="shared" si="294"/>
        <v>1564000</v>
      </c>
      <c r="O730" s="311">
        <v>1564000</v>
      </c>
      <c r="P730" s="310"/>
      <c r="Q730" s="310"/>
      <c r="R730" s="310"/>
      <c r="S730" s="311">
        <f t="shared" si="295"/>
        <v>1564000</v>
      </c>
      <c r="T730" s="310">
        <v>5</v>
      </c>
      <c r="U730" s="311">
        <f t="shared" si="300"/>
        <v>312800</v>
      </c>
      <c r="V730" s="312">
        <f t="shared" si="303"/>
        <v>8.3333333333333329E-2</v>
      </c>
      <c r="W730" s="311">
        <f t="shared" si="296"/>
        <v>26066.666666666664</v>
      </c>
      <c r="X730" s="310"/>
      <c r="Y730" s="311"/>
      <c r="Z730" s="311">
        <f t="shared" si="298"/>
        <v>26066.666666666664</v>
      </c>
      <c r="AA730" s="312">
        <f t="shared" si="304"/>
        <v>8.3333333333333329E-2</v>
      </c>
      <c r="AB730" s="311">
        <f t="shared" si="301"/>
        <v>26066.666666666664</v>
      </c>
      <c r="AC730" s="316">
        <f t="shared" si="302"/>
        <v>1537933.3333333333</v>
      </c>
      <c r="AD730" s="313"/>
      <c r="AE730" s="313"/>
      <c r="AG730" s="80"/>
    </row>
    <row r="731" spans="1:33" s="1" customFormat="1" x14ac:dyDescent="0.25">
      <c r="A731" s="49">
        <v>17</v>
      </c>
      <c r="B731" s="308" t="s">
        <v>1735</v>
      </c>
      <c r="C731" s="314" t="s">
        <v>575</v>
      </c>
      <c r="D731" s="309" t="s">
        <v>1113</v>
      </c>
      <c r="E731" s="310" t="s">
        <v>166</v>
      </c>
      <c r="F731" s="310"/>
      <c r="G731" s="310" t="s">
        <v>319</v>
      </c>
      <c r="H731" s="310" t="s">
        <v>62</v>
      </c>
      <c r="I731" s="310">
        <v>2023</v>
      </c>
      <c r="J731" s="310"/>
      <c r="K731" s="310" t="s">
        <v>63</v>
      </c>
      <c r="L731" s="310" t="s">
        <v>64</v>
      </c>
      <c r="M731" s="310">
        <v>1</v>
      </c>
      <c r="N731" s="311">
        <f t="shared" si="294"/>
        <v>1564000</v>
      </c>
      <c r="O731" s="311">
        <v>1564000</v>
      </c>
      <c r="P731" s="310"/>
      <c r="Q731" s="310"/>
      <c r="R731" s="310"/>
      <c r="S731" s="311">
        <f t="shared" si="295"/>
        <v>1564000</v>
      </c>
      <c r="T731" s="310">
        <v>5</v>
      </c>
      <c r="U731" s="311">
        <f t="shared" si="300"/>
        <v>312800</v>
      </c>
      <c r="V731" s="312">
        <f t="shared" si="303"/>
        <v>8.3333333333333329E-2</v>
      </c>
      <c r="W731" s="311">
        <f t="shared" si="296"/>
        <v>26066.666666666664</v>
      </c>
      <c r="X731" s="310"/>
      <c r="Y731" s="311"/>
      <c r="Z731" s="311">
        <f t="shared" si="298"/>
        <v>26066.666666666664</v>
      </c>
      <c r="AA731" s="312">
        <f t="shared" si="304"/>
        <v>8.3333333333333329E-2</v>
      </c>
      <c r="AB731" s="311">
        <f t="shared" si="301"/>
        <v>26066.666666666664</v>
      </c>
      <c r="AC731" s="316">
        <f t="shared" si="302"/>
        <v>1537933.3333333333</v>
      </c>
      <c r="AD731" s="313"/>
      <c r="AE731" s="313"/>
      <c r="AG731" s="80"/>
    </row>
    <row r="732" spans="1:33" s="1" customFormat="1" x14ac:dyDescent="0.25">
      <c r="A732" s="49">
        <v>18</v>
      </c>
      <c r="B732" s="308" t="s">
        <v>1735</v>
      </c>
      <c r="C732" s="314" t="s">
        <v>576</v>
      </c>
      <c r="D732" s="309" t="s">
        <v>1113</v>
      </c>
      <c r="E732" s="310" t="s">
        <v>166</v>
      </c>
      <c r="F732" s="310"/>
      <c r="G732" s="310" t="s">
        <v>319</v>
      </c>
      <c r="H732" s="310" t="s">
        <v>62</v>
      </c>
      <c r="I732" s="310">
        <v>2023</v>
      </c>
      <c r="J732" s="310"/>
      <c r="K732" s="310" t="s">
        <v>63</v>
      </c>
      <c r="L732" s="310" t="s">
        <v>64</v>
      </c>
      <c r="M732" s="310">
        <v>1</v>
      </c>
      <c r="N732" s="311">
        <f t="shared" si="294"/>
        <v>1564000</v>
      </c>
      <c r="O732" s="311">
        <v>1564000</v>
      </c>
      <c r="P732" s="310"/>
      <c r="Q732" s="310"/>
      <c r="R732" s="310"/>
      <c r="S732" s="311">
        <f t="shared" si="295"/>
        <v>1564000</v>
      </c>
      <c r="T732" s="310">
        <v>5</v>
      </c>
      <c r="U732" s="311">
        <f t="shared" si="300"/>
        <v>312800</v>
      </c>
      <c r="V732" s="312">
        <f t="shared" si="303"/>
        <v>8.3333333333333329E-2</v>
      </c>
      <c r="W732" s="311">
        <f t="shared" si="296"/>
        <v>26066.666666666664</v>
      </c>
      <c r="X732" s="310"/>
      <c r="Y732" s="311"/>
      <c r="Z732" s="311">
        <f t="shared" si="298"/>
        <v>26066.666666666664</v>
      </c>
      <c r="AA732" s="312">
        <f t="shared" si="304"/>
        <v>8.3333333333333329E-2</v>
      </c>
      <c r="AB732" s="311">
        <f t="shared" si="301"/>
        <v>26066.666666666664</v>
      </c>
      <c r="AC732" s="316">
        <f t="shared" si="302"/>
        <v>1537933.3333333333</v>
      </c>
      <c r="AD732" s="313"/>
      <c r="AE732" s="313"/>
      <c r="AG732" s="80"/>
    </row>
    <row r="733" spans="1:33" s="1" customFormat="1" x14ac:dyDescent="0.25">
      <c r="A733" s="49">
        <v>19</v>
      </c>
      <c r="B733" s="308" t="s">
        <v>1735</v>
      </c>
      <c r="C733" s="314" t="s">
        <v>577</v>
      </c>
      <c r="D733" s="309" t="s">
        <v>1113</v>
      </c>
      <c r="E733" s="310" t="s">
        <v>166</v>
      </c>
      <c r="F733" s="310"/>
      <c r="G733" s="310" t="s">
        <v>319</v>
      </c>
      <c r="H733" s="310" t="s">
        <v>62</v>
      </c>
      <c r="I733" s="310">
        <v>2023</v>
      </c>
      <c r="J733" s="310"/>
      <c r="K733" s="310" t="s">
        <v>63</v>
      </c>
      <c r="L733" s="310" t="s">
        <v>64</v>
      </c>
      <c r="M733" s="310">
        <v>1</v>
      </c>
      <c r="N733" s="311">
        <f t="shared" si="294"/>
        <v>1564000</v>
      </c>
      <c r="O733" s="311">
        <v>1564000</v>
      </c>
      <c r="P733" s="310"/>
      <c r="Q733" s="310"/>
      <c r="R733" s="310"/>
      <c r="S733" s="311">
        <f t="shared" si="295"/>
        <v>1564000</v>
      </c>
      <c r="T733" s="310">
        <v>5</v>
      </c>
      <c r="U733" s="311">
        <f t="shared" si="300"/>
        <v>312800</v>
      </c>
      <c r="V733" s="312">
        <f t="shared" si="303"/>
        <v>8.3333333333333329E-2</v>
      </c>
      <c r="W733" s="311">
        <f t="shared" si="296"/>
        <v>26066.666666666664</v>
      </c>
      <c r="X733" s="310"/>
      <c r="Y733" s="311"/>
      <c r="Z733" s="311">
        <f t="shared" si="298"/>
        <v>26066.666666666664</v>
      </c>
      <c r="AA733" s="312">
        <f t="shared" si="304"/>
        <v>8.3333333333333329E-2</v>
      </c>
      <c r="AB733" s="311">
        <f t="shared" si="301"/>
        <v>26066.666666666664</v>
      </c>
      <c r="AC733" s="316">
        <f t="shared" si="302"/>
        <v>1537933.3333333333</v>
      </c>
      <c r="AD733" s="313"/>
      <c r="AE733" s="313"/>
      <c r="AG733" s="80"/>
    </row>
    <row r="734" spans="1:33" s="1" customFormat="1" x14ac:dyDescent="0.25">
      <c r="A734" s="49">
        <v>20</v>
      </c>
      <c r="B734" s="308" t="s">
        <v>1735</v>
      </c>
      <c r="C734" s="314" t="s">
        <v>2205</v>
      </c>
      <c r="D734" s="309" t="s">
        <v>1113</v>
      </c>
      <c r="E734" s="310" t="s">
        <v>166</v>
      </c>
      <c r="F734" s="310"/>
      <c r="G734" s="310" t="s">
        <v>319</v>
      </c>
      <c r="H734" s="310" t="s">
        <v>62</v>
      </c>
      <c r="I734" s="310">
        <v>2023</v>
      </c>
      <c r="J734" s="310"/>
      <c r="K734" s="310" t="s">
        <v>63</v>
      </c>
      <c r="L734" s="310" t="s">
        <v>64</v>
      </c>
      <c r="M734" s="310">
        <v>1</v>
      </c>
      <c r="N734" s="311">
        <f t="shared" si="294"/>
        <v>1564000</v>
      </c>
      <c r="O734" s="311">
        <v>1564000</v>
      </c>
      <c r="P734" s="310"/>
      <c r="Q734" s="310"/>
      <c r="R734" s="310"/>
      <c r="S734" s="311">
        <f t="shared" si="295"/>
        <v>1564000</v>
      </c>
      <c r="T734" s="310">
        <v>5</v>
      </c>
      <c r="U734" s="311">
        <f t="shared" si="300"/>
        <v>312800</v>
      </c>
      <c r="V734" s="312">
        <f t="shared" si="303"/>
        <v>8.3333333333333329E-2</v>
      </c>
      <c r="W734" s="311">
        <f t="shared" si="296"/>
        <v>26066.666666666664</v>
      </c>
      <c r="X734" s="310"/>
      <c r="Y734" s="311"/>
      <c r="Z734" s="311">
        <f t="shared" si="298"/>
        <v>26066.666666666664</v>
      </c>
      <c r="AA734" s="312">
        <f t="shared" si="304"/>
        <v>8.3333333333333329E-2</v>
      </c>
      <c r="AB734" s="311">
        <f t="shared" si="301"/>
        <v>26066.666666666664</v>
      </c>
      <c r="AC734" s="316">
        <f t="shared" si="302"/>
        <v>1537933.3333333333</v>
      </c>
      <c r="AD734" s="313"/>
      <c r="AE734" s="313"/>
      <c r="AG734" s="80"/>
    </row>
    <row r="735" spans="1:33" s="1" customFormat="1" x14ac:dyDescent="0.25">
      <c r="A735" s="49">
        <v>21</v>
      </c>
      <c r="B735" s="308" t="s">
        <v>1735</v>
      </c>
      <c r="C735" s="314" t="s">
        <v>3022</v>
      </c>
      <c r="D735" s="309" t="s">
        <v>1113</v>
      </c>
      <c r="E735" s="310" t="s">
        <v>166</v>
      </c>
      <c r="F735" s="310"/>
      <c r="G735" s="310" t="s">
        <v>319</v>
      </c>
      <c r="H735" s="310" t="s">
        <v>62</v>
      </c>
      <c r="I735" s="310">
        <v>2023</v>
      </c>
      <c r="J735" s="310"/>
      <c r="K735" s="310" t="s">
        <v>63</v>
      </c>
      <c r="L735" s="310" t="s">
        <v>64</v>
      </c>
      <c r="M735" s="310">
        <v>1</v>
      </c>
      <c r="N735" s="311">
        <f t="shared" si="294"/>
        <v>1564000</v>
      </c>
      <c r="O735" s="311">
        <v>1564000</v>
      </c>
      <c r="P735" s="310"/>
      <c r="Q735" s="310"/>
      <c r="R735" s="310"/>
      <c r="S735" s="311">
        <f t="shared" si="295"/>
        <v>1564000</v>
      </c>
      <c r="T735" s="310">
        <v>5</v>
      </c>
      <c r="U735" s="311">
        <f t="shared" si="300"/>
        <v>312800</v>
      </c>
      <c r="V735" s="312">
        <f t="shared" si="303"/>
        <v>8.3333333333333329E-2</v>
      </c>
      <c r="W735" s="311">
        <f t="shared" si="296"/>
        <v>26066.666666666664</v>
      </c>
      <c r="X735" s="310"/>
      <c r="Y735" s="311"/>
      <c r="Z735" s="311">
        <f t="shared" si="298"/>
        <v>26066.666666666664</v>
      </c>
      <c r="AA735" s="312">
        <f t="shared" si="304"/>
        <v>8.3333333333333329E-2</v>
      </c>
      <c r="AB735" s="311">
        <f t="shared" si="301"/>
        <v>26066.666666666664</v>
      </c>
      <c r="AC735" s="316">
        <f t="shared" si="302"/>
        <v>1537933.3333333333</v>
      </c>
      <c r="AD735" s="313"/>
      <c r="AE735" s="313"/>
      <c r="AG735" s="80"/>
    </row>
    <row r="736" spans="1:33" s="1" customFormat="1" x14ac:dyDescent="0.25">
      <c r="A736" s="49">
        <v>22</v>
      </c>
      <c r="B736" s="308" t="s">
        <v>1735</v>
      </c>
      <c r="C736" s="314" t="s">
        <v>427</v>
      </c>
      <c r="D736" s="309" t="s">
        <v>1113</v>
      </c>
      <c r="E736" s="310" t="s">
        <v>166</v>
      </c>
      <c r="F736" s="310"/>
      <c r="G736" s="310" t="s">
        <v>319</v>
      </c>
      <c r="H736" s="310" t="s">
        <v>62</v>
      </c>
      <c r="I736" s="310">
        <v>2023</v>
      </c>
      <c r="J736" s="310"/>
      <c r="K736" s="310" t="s">
        <v>63</v>
      </c>
      <c r="L736" s="310" t="s">
        <v>64</v>
      </c>
      <c r="M736" s="310">
        <v>1</v>
      </c>
      <c r="N736" s="311">
        <f t="shared" si="294"/>
        <v>1564000</v>
      </c>
      <c r="O736" s="311">
        <v>1564000</v>
      </c>
      <c r="P736" s="310"/>
      <c r="Q736" s="310"/>
      <c r="R736" s="310"/>
      <c r="S736" s="311">
        <f t="shared" si="295"/>
        <v>1564000</v>
      </c>
      <c r="T736" s="310">
        <v>5</v>
      </c>
      <c r="U736" s="311">
        <f t="shared" si="300"/>
        <v>312800</v>
      </c>
      <c r="V736" s="312">
        <f t="shared" si="303"/>
        <v>8.3333333333333329E-2</v>
      </c>
      <c r="W736" s="311">
        <f t="shared" si="296"/>
        <v>26066.666666666664</v>
      </c>
      <c r="X736" s="310"/>
      <c r="Y736" s="311"/>
      <c r="Z736" s="311">
        <f t="shared" si="298"/>
        <v>26066.666666666664</v>
      </c>
      <c r="AA736" s="312">
        <f t="shared" si="304"/>
        <v>8.3333333333333329E-2</v>
      </c>
      <c r="AB736" s="311">
        <f t="shared" si="301"/>
        <v>26066.666666666664</v>
      </c>
      <c r="AC736" s="316">
        <f t="shared" si="302"/>
        <v>1537933.3333333333</v>
      </c>
      <c r="AD736" s="313"/>
      <c r="AE736" s="313"/>
      <c r="AG736" s="80"/>
    </row>
    <row r="737" spans="1:33" s="1" customFormat="1" x14ac:dyDescent="0.25">
      <c r="A737" s="49">
        <v>23</v>
      </c>
      <c r="B737" s="308" t="s">
        <v>1735</v>
      </c>
      <c r="C737" s="314" t="s">
        <v>428</v>
      </c>
      <c r="D737" s="309" t="s">
        <v>1113</v>
      </c>
      <c r="E737" s="310" t="s">
        <v>166</v>
      </c>
      <c r="F737" s="310"/>
      <c r="G737" s="310" t="s">
        <v>319</v>
      </c>
      <c r="H737" s="310" t="s">
        <v>62</v>
      </c>
      <c r="I737" s="310">
        <v>2023</v>
      </c>
      <c r="J737" s="310"/>
      <c r="K737" s="310" t="s">
        <v>63</v>
      </c>
      <c r="L737" s="310" t="s">
        <v>64</v>
      </c>
      <c r="M737" s="310">
        <v>1</v>
      </c>
      <c r="N737" s="311">
        <f t="shared" si="294"/>
        <v>1564000</v>
      </c>
      <c r="O737" s="311">
        <v>1564000</v>
      </c>
      <c r="P737" s="310"/>
      <c r="Q737" s="310"/>
      <c r="R737" s="310"/>
      <c r="S737" s="311">
        <f t="shared" si="295"/>
        <v>1564000</v>
      </c>
      <c r="T737" s="310">
        <v>5</v>
      </c>
      <c r="U737" s="311">
        <f t="shared" si="300"/>
        <v>312800</v>
      </c>
      <c r="V737" s="312">
        <f t="shared" si="303"/>
        <v>8.3333333333333329E-2</v>
      </c>
      <c r="W737" s="311">
        <f t="shared" si="296"/>
        <v>26066.666666666664</v>
      </c>
      <c r="X737" s="310"/>
      <c r="Y737" s="311"/>
      <c r="Z737" s="311">
        <f t="shared" si="298"/>
        <v>26066.666666666664</v>
      </c>
      <c r="AA737" s="312">
        <f t="shared" si="304"/>
        <v>8.3333333333333329E-2</v>
      </c>
      <c r="AB737" s="311">
        <f t="shared" si="301"/>
        <v>26066.666666666664</v>
      </c>
      <c r="AC737" s="316">
        <f t="shared" si="302"/>
        <v>1537933.3333333333</v>
      </c>
      <c r="AD737" s="313"/>
      <c r="AE737" s="313"/>
      <c r="AG737" s="80"/>
    </row>
    <row r="738" spans="1:33" s="1" customFormat="1" x14ac:dyDescent="0.25">
      <c r="A738" s="49">
        <v>24</v>
      </c>
      <c r="B738" s="308" t="s">
        <v>1735</v>
      </c>
      <c r="C738" s="314" t="s">
        <v>429</v>
      </c>
      <c r="D738" s="309" t="s">
        <v>1113</v>
      </c>
      <c r="E738" s="310" t="s">
        <v>166</v>
      </c>
      <c r="F738" s="310"/>
      <c r="G738" s="310" t="s">
        <v>319</v>
      </c>
      <c r="H738" s="310" t="s">
        <v>62</v>
      </c>
      <c r="I738" s="310">
        <v>2023</v>
      </c>
      <c r="J738" s="310"/>
      <c r="K738" s="310" t="s">
        <v>63</v>
      </c>
      <c r="L738" s="310" t="s">
        <v>64</v>
      </c>
      <c r="M738" s="310">
        <v>1</v>
      </c>
      <c r="N738" s="311">
        <f t="shared" si="294"/>
        <v>1564000</v>
      </c>
      <c r="O738" s="311">
        <v>1564000</v>
      </c>
      <c r="P738" s="310"/>
      <c r="Q738" s="310"/>
      <c r="R738" s="310"/>
      <c r="S738" s="311">
        <f t="shared" si="295"/>
        <v>1564000</v>
      </c>
      <c r="T738" s="310">
        <v>5</v>
      </c>
      <c r="U738" s="311">
        <f t="shared" si="300"/>
        <v>312800</v>
      </c>
      <c r="V738" s="312">
        <f t="shared" si="303"/>
        <v>8.3333333333333329E-2</v>
      </c>
      <c r="W738" s="311">
        <f t="shared" si="296"/>
        <v>26066.666666666664</v>
      </c>
      <c r="X738" s="310"/>
      <c r="Y738" s="311"/>
      <c r="Z738" s="311">
        <f t="shared" si="298"/>
        <v>26066.666666666664</v>
      </c>
      <c r="AA738" s="312">
        <f t="shared" si="304"/>
        <v>8.3333333333333329E-2</v>
      </c>
      <c r="AB738" s="311">
        <f t="shared" si="301"/>
        <v>26066.666666666664</v>
      </c>
      <c r="AC738" s="316">
        <f t="shared" si="302"/>
        <v>1537933.3333333333</v>
      </c>
      <c r="AD738" s="313"/>
      <c r="AE738" s="313"/>
      <c r="AG738" s="80"/>
    </row>
    <row r="739" spans="1:33" s="1" customFormat="1" x14ac:dyDescent="0.25">
      <c r="A739" s="49">
        <v>25</v>
      </c>
      <c r="B739" s="308" t="s">
        <v>1735</v>
      </c>
      <c r="C739" s="314" t="s">
        <v>431</v>
      </c>
      <c r="D739" s="309" t="s">
        <v>1113</v>
      </c>
      <c r="E739" s="310" t="s">
        <v>166</v>
      </c>
      <c r="F739" s="310"/>
      <c r="G739" s="310" t="s">
        <v>319</v>
      </c>
      <c r="H739" s="310" t="s">
        <v>62</v>
      </c>
      <c r="I739" s="310">
        <v>2023</v>
      </c>
      <c r="J739" s="310"/>
      <c r="K739" s="310" t="s">
        <v>63</v>
      </c>
      <c r="L739" s="310" t="s">
        <v>64</v>
      </c>
      <c r="M739" s="310">
        <v>1</v>
      </c>
      <c r="N739" s="311">
        <f t="shared" si="294"/>
        <v>1564000</v>
      </c>
      <c r="O739" s="311">
        <v>1564000</v>
      </c>
      <c r="P739" s="310"/>
      <c r="Q739" s="310"/>
      <c r="R739" s="310"/>
      <c r="S739" s="311">
        <f t="shared" si="295"/>
        <v>1564000</v>
      </c>
      <c r="T739" s="310">
        <v>5</v>
      </c>
      <c r="U739" s="311">
        <f t="shared" si="300"/>
        <v>312800</v>
      </c>
      <c r="V739" s="312">
        <f t="shared" si="303"/>
        <v>8.3333333333333329E-2</v>
      </c>
      <c r="W739" s="311">
        <f t="shared" si="296"/>
        <v>26066.666666666664</v>
      </c>
      <c r="X739" s="310"/>
      <c r="Y739" s="311"/>
      <c r="Z739" s="311">
        <f t="shared" si="298"/>
        <v>26066.666666666664</v>
      </c>
      <c r="AA739" s="312">
        <f t="shared" si="304"/>
        <v>8.3333333333333329E-2</v>
      </c>
      <c r="AB739" s="311">
        <f t="shared" si="301"/>
        <v>26066.666666666664</v>
      </c>
      <c r="AC739" s="316">
        <f t="shared" si="302"/>
        <v>1537933.3333333333</v>
      </c>
      <c r="AD739" s="313"/>
      <c r="AE739" s="313"/>
      <c r="AG739" s="80"/>
    </row>
    <row r="740" spans="1:33" s="1" customFormat="1" x14ac:dyDescent="0.25">
      <c r="A740" s="49">
        <v>26</v>
      </c>
      <c r="B740" s="308" t="s">
        <v>1735</v>
      </c>
      <c r="C740" s="314" t="s">
        <v>432</v>
      </c>
      <c r="D740" s="309" t="s">
        <v>1113</v>
      </c>
      <c r="E740" s="310" t="s">
        <v>166</v>
      </c>
      <c r="F740" s="310"/>
      <c r="G740" s="310" t="s">
        <v>319</v>
      </c>
      <c r="H740" s="310" t="s">
        <v>62</v>
      </c>
      <c r="I740" s="310">
        <v>2023</v>
      </c>
      <c r="J740" s="310"/>
      <c r="K740" s="310" t="s">
        <v>63</v>
      </c>
      <c r="L740" s="310" t="s">
        <v>64</v>
      </c>
      <c r="M740" s="310">
        <v>1</v>
      </c>
      <c r="N740" s="311">
        <f t="shared" si="294"/>
        <v>1564000</v>
      </c>
      <c r="O740" s="311">
        <v>1564000</v>
      </c>
      <c r="P740" s="310"/>
      <c r="Q740" s="310"/>
      <c r="R740" s="310"/>
      <c r="S740" s="311">
        <f t="shared" si="295"/>
        <v>1564000</v>
      </c>
      <c r="T740" s="310">
        <v>5</v>
      </c>
      <c r="U740" s="311">
        <f t="shared" si="300"/>
        <v>312800</v>
      </c>
      <c r="V740" s="312">
        <f t="shared" si="303"/>
        <v>8.3333333333333329E-2</v>
      </c>
      <c r="W740" s="311">
        <f t="shared" si="296"/>
        <v>26066.666666666664</v>
      </c>
      <c r="X740" s="310"/>
      <c r="Y740" s="311"/>
      <c r="Z740" s="311">
        <f t="shared" si="298"/>
        <v>26066.666666666664</v>
      </c>
      <c r="AA740" s="312">
        <f t="shared" si="304"/>
        <v>8.3333333333333329E-2</v>
      </c>
      <c r="AB740" s="311">
        <f t="shared" si="301"/>
        <v>26066.666666666664</v>
      </c>
      <c r="AC740" s="316">
        <f t="shared" si="302"/>
        <v>1537933.3333333333</v>
      </c>
      <c r="AD740" s="313"/>
      <c r="AE740" s="313"/>
      <c r="AG740" s="80"/>
    </row>
    <row r="741" spans="1:33" s="1" customFormat="1" x14ac:dyDescent="0.25">
      <c r="A741" s="49">
        <v>27</v>
      </c>
      <c r="B741" s="308" t="s">
        <v>1735</v>
      </c>
      <c r="C741" s="314" t="s">
        <v>435</v>
      </c>
      <c r="D741" s="309" t="s">
        <v>1113</v>
      </c>
      <c r="E741" s="310" t="s">
        <v>166</v>
      </c>
      <c r="F741" s="310"/>
      <c r="G741" s="310" t="s">
        <v>319</v>
      </c>
      <c r="H741" s="310" t="s">
        <v>62</v>
      </c>
      <c r="I741" s="310">
        <v>2023</v>
      </c>
      <c r="J741" s="310"/>
      <c r="K741" s="310" t="s">
        <v>63</v>
      </c>
      <c r="L741" s="310" t="s">
        <v>64</v>
      </c>
      <c r="M741" s="310">
        <v>1</v>
      </c>
      <c r="N741" s="311">
        <f t="shared" si="294"/>
        <v>1564000</v>
      </c>
      <c r="O741" s="311">
        <v>1564000</v>
      </c>
      <c r="P741" s="310"/>
      <c r="Q741" s="310"/>
      <c r="R741" s="310"/>
      <c r="S741" s="311">
        <f t="shared" si="295"/>
        <v>1564000</v>
      </c>
      <c r="T741" s="310">
        <v>5</v>
      </c>
      <c r="U741" s="311">
        <f t="shared" si="300"/>
        <v>312800</v>
      </c>
      <c r="V741" s="312">
        <f t="shared" si="303"/>
        <v>8.3333333333333329E-2</v>
      </c>
      <c r="W741" s="311">
        <f t="shared" si="296"/>
        <v>26066.666666666664</v>
      </c>
      <c r="X741" s="310"/>
      <c r="Y741" s="311"/>
      <c r="Z741" s="311">
        <f t="shared" si="298"/>
        <v>26066.666666666664</v>
      </c>
      <c r="AA741" s="312">
        <f t="shared" si="304"/>
        <v>8.3333333333333329E-2</v>
      </c>
      <c r="AB741" s="311">
        <f t="shared" si="301"/>
        <v>26066.666666666664</v>
      </c>
      <c r="AC741" s="316">
        <f t="shared" si="302"/>
        <v>1537933.3333333333</v>
      </c>
      <c r="AD741" s="313"/>
      <c r="AE741" s="313"/>
      <c r="AG741" s="80"/>
    </row>
    <row r="742" spans="1:33" s="1" customFormat="1" x14ac:dyDescent="0.25">
      <c r="A742" s="49">
        <v>28</v>
      </c>
      <c r="B742" s="308" t="s">
        <v>1735</v>
      </c>
      <c r="C742" s="314" t="s">
        <v>436</v>
      </c>
      <c r="D742" s="309" t="s">
        <v>1113</v>
      </c>
      <c r="E742" s="310" t="s">
        <v>166</v>
      </c>
      <c r="F742" s="310"/>
      <c r="G742" s="310" t="s">
        <v>319</v>
      </c>
      <c r="H742" s="310" t="s">
        <v>62</v>
      </c>
      <c r="I742" s="310">
        <v>2023</v>
      </c>
      <c r="J742" s="310"/>
      <c r="K742" s="310" t="s">
        <v>63</v>
      </c>
      <c r="L742" s="310" t="s">
        <v>64</v>
      </c>
      <c r="M742" s="310">
        <v>1</v>
      </c>
      <c r="N742" s="311">
        <f t="shared" si="294"/>
        <v>1564000</v>
      </c>
      <c r="O742" s="311">
        <v>1564000</v>
      </c>
      <c r="P742" s="310"/>
      <c r="Q742" s="310"/>
      <c r="R742" s="310"/>
      <c r="S742" s="311">
        <f t="shared" si="295"/>
        <v>1564000</v>
      </c>
      <c r="T742" s="310">
        <v>5</v>
      </c>
      <c r="U742" s="311">
        <f t="shared" si="300"/>
        <v>312800</v>
      </c>
      <c r="V742" s="312">
        <f t="shared" si="303"/>
        <v>8.3333333333333329E-2</v>
      </c>
      <c r="W742" s="311">
        <f t="shared" si="296"/>
        <v>26066.666666666664</v>
      </c>
      <c r="X742" s="310"/>
      <c r="Y742" s="311"/>
      <c r="Z742" s="311">
        <f t="shared" si="298"/>
        <v>26066.666666666664</v>
      </c>
      <c r="AA742" s="312">
        <f t="shared" si="304"/>
        <v>8.3333333333333329E-2</v>
      </c>
      <c r="AB742" s="311">
        <f t="shared" si="301"/>
        <v>26066.666666666664</v>
      </c>
      <c r="AC742" s="316">
        <f t="shared" si="302"/>
        <v>1537933.3333333333</v>
      </c>
      <c r="AD742" s="313"/>
      <c r="AE742" s="313"/>
      <c r="AG742" s="80"/>
    </row>
    <row r="743" spans="1:33" s="1" customFormat="1" x14ac:dyDescent="0.25">
      <c r="A743" s="49">
        <v>29</v>
      </c>
      <c r="B743" s="22" t="s">
        <v>1735</v>
      </c>
      <c r="C743" s="22" t="s">
        <v>575</v>
      </c>
      <c r="D743" s="51" t="s">
        <v>1121</v>
      </c>
      <c r="E743" s="24" t="s">
        <v>166</v>
      </c>
      <c r="F743" s="24"/>
      <c r="G743" s="24" t="s">
        <v>319</v>
      </c>
      <c r="H743" s="24" t="s">
        <v>62</v>
      </c>
      <c r="I743" s="24">
        <v>2011</v>
      </c>
      <c r="J743" s="24"/>
      <c r="K743" s="24" t="s">
        <v>202</v>
      </c>
      <c r="L743" s="24" t="s">
        <v>64</v>
      </c>
      <c r="M743" s="24">
        <v>1</v>
      </c>
      <c r="N743" s="41">
        <f t="shared" si="294"/>
        <v>11886000</v>
      </c>
      <c r="O743" s="41">
        <v>11886000</v>
      </c>
      <c r="P743" s="24"/>
      <c r="Q743" s="24"/>
      <c r="R743" s="24"/>
      <c r="S743" s="41">
        <f t="shared" si="295"/>
        <v>11886000</v>
      </c>
      <c r="T743" s="24">
        <v>5</v>
      </c>
      <c r="U743" s="41"/>
      <c r="V743" s="24">
        <v>0.5</v>
      </c>
      <c r="W743" s="41">
        <f t="shared" si="296"/>
        <v>0</v>
      </c>
      <c r="X743" s="24"/>
      <c r="Y743" s="41">
        <f>SUM(U743*X743)</f>
        <v>0</v>
      </c>
      <c r="Z743" s="41">
        <f t="shared" si="298"/>
        <v>0</v>
      </c>
      <c r="AA743" s="24">
        <v>5</v>
      </c>
      <c r="AB743" s="41">
        <v>11886000</v>
      </c>
      <c r="AC743" s="41">
        <f t="shared" si="302"/>
        <v>0</v>
      </c>
      <c r="AD743" s="70" t="s">
        <v>311</v>
      </c>
      <c r="AE743" s="70"/>
      <c r="AG743" s="80"/>
    </row>
    <row r="744" spans="1:33" s="1" customFormat="1" x14ac:dyDescent="0.25">
      <c r="A744" s="49">
        <v>30</v>
      </c>
      <c r="B744" s="22" t="s">
        <v>1735</v>
      </c>
      <c r="C744" s="22" t="s">
        <v>159</v>
      </c>
      <c r="D744" s="51" t="s">
        <v>1122</v>
      </c>
      <c r="E744" s="24" t="s">
        <v>166</v>
      </c>
      <c r="F744" s="24"/>
      <c r="G744" s="24" t="s">
        <v>319</v>
      </c>
      <c r="H744" s="24" t="s">
        <v>62</v>
      </c>
      <c r="I744" s="24">
        <v>2017</v>
      </c>
      <c r="J744" s="24"/>
      <c r="K744" s="24" t="s">
        <v>63</v>
      </c>
      <c r="L744" s="24" t="s">
        <v>64</v>
      </c>
      <c r="M744" s="24">
        <v>1</v>
      </c>
      <c r="N744" s="41">
        <f t="shared" si="294"/>
        <v>5384500</v>
      </c>
      <c r="O744" s="41">
        <v>5384500</v>
      </c>
      <c r="P744" s="24"/>
      <c r="Q744" s="24"/>
      <c r="R744" s="24"/>
      <c r="S744" s="41">
        <f t="shared" si="295"/>
        <v>5384500</v>
      </c>
      <c r="T744" s="24">
        <v>5</v>
      </c>
      <c r="U744" s="41"/>
      <c r="V744" s="24"/>
      <c r="W744" s="41"/>
      <c r="X744" s="24"/>
      <c r="Y744" s="41"/>
      <c r="Z744" s="41"/>
      <c r="AA744" s="72">
        <v>5</v>
      </c>
      <c r="AB744" s="41">
        <v>5384500</v>
      </c>
      <c r="AC744" s="41">
        <f t="shared" si="302"/>
        <v>0</v>
      </c>
      <c r="AD744" s="70" t="s">
        <v>439</v>
      </c>
      <c r="AE744" s="70"/>
      <c r="AG744" s="80"/>
    </row>
    <row r="745" spans="1:33" s="1" customFormat="1" x14ac:dyDescent="0.25">
      <c r="A745" s="49">
        <v>31</v>
      </c>
      <c r="B745" s="22" t="s">
        <v>1735</v>
      </c>
      <c r="C745" s="22" t="s">
        <v>162</v>
      </c>
      <c r="D745" s="51" t="s">
        <v>1122</v>
      </c>
      <c r="E745" s="24" t="s">
        <v>166</v>
      </c>
      <c r="F745" s="24"/>
      <c r="G745" s="24" t="s">
        <v>319</v>
      </c>
      <c r="H745" s="24" t="s">
        <v>62</v>
      </c>
      <c r="I745" s="24">
        <v>2017</v>
      </c>
      <c r="J745" s="24"/>
      <c r="K745" s="24" t="s">
        <v>63</v>
      </c>
      <c r="L745" s="24" t="s">
        <v>64</v>
      </c>
      <c r="M745" s="24">
        <v>1</v>
      </c>
      <c r="N745" s="41">
        <f t="shared" si="294"/>
        <v>5384500</v>
      </c>
      <c r="O745" s="41">
        <v>5384500</v>
      </c>
      <c r="P745" s="24"/>
      <c r="Q745" s="24"/>
      <c r="R745" s="24"/>
      <c r="S745" s="41">
        <f t="shared" si="295"/>
        <v>5384500</v>
      </c>
      <c r="T745" s="24">
        <v>5</v>
      </c>
      <c r="U745" s="41"/>
      <c r="V745" s="24">
        <v>0.5</v>
      </c>
      <c r="W745" s="41"/>
      <c r="X745" s="24"/>
      <c r="Y745" s="41">
        <f>SUM(U745*X745)</f>
        <v>0</v>
      </c>
      <c r="Z745" s="41">
        <f>SUM(W745+Y745)</f>
        <v>0</v>
      </c>
      <c r="AA745" s="72">
        <v>5</v>
      </c>
      <c r="AB745" s="41">
        <v>5384500</v>
      </c>
      <c r="AC745" s="41">
        <f t="shared" si="302"/>
        <v>0</v>
      </c>
      <c r="AD745" s="70" t="s">
        <v>326</v>
      </c>
      <c r="AE745" s="70"/>
      <c r="AG745" s="80"/>
    </row>
    <row r="746" spans="1:33" s="1" customFormat="1" x14ac:dyDescent="0.25">
      <c r="A746" s="49">
        <v>32</v>
      </c>
      <c r="B746" s="22" t="s">
        <v>1735</v>
      </c>
      <c r="C746" s="22" t="s">
        <v>312</v>
      </c>
      <c r="D746" s="51" t="s">
        <v>1122</v>
      </c>
      <c r="E746" s="24" t="s">
        <v>166</v>
      </c>
      <c r="F746" s="24"/>
      <c r="G746" s="24" t="s">
        <v>319</v>
      </c>
      <c r="H746" s="24" t="s">
        <v>62</v>
      </c>
      <c r="I746" s="24">
        <v>2017</v>
      </c>
      <c r="J746" s="24"/>
      <c r="K746" s="24" t="s">
        <v>63</v>
      </c>
      <c r="L746" s="24" t="s">
        <v>64</v>
      </c>
      <c r="M746" s="24">
        <v>1</v>
      </c>
      <c r="N746" s="41">
        <f t="shared" si="294"/>
        <v>5384500</v>
      </c>
      <c r="O746" s="41">
        <v>5384500</v>
      </c>
      <c r="P746" s="24"/>
      <c r="Q746" s="24"/>
      <c r="R746" s="24"/>
      <c r="S746" s="41">
        <f t="shared" si="295"/>
        <v>5384500</v>
      </c>
      <c r="T746" s="24">
        <v>5</v>
      </c>
      <c r="U746" s="41"/>
      <c r="V746" s="24">
        <v>0.5</v>
      </c>
      <c r="W746" s="41"/>
      <c r="X746" s="24"/>
      <c r="Y746" s="41">
        <f>SUM(U746*X746)</f>
        <v>0</v>
      </c>
      <c r="Z746" s="41">
        <f>SUM(W746+Y746)</f>
        <v>0</v>
      </c>
      <c r="AA746" s="72">
        <v>5</v>
      </c>
      <c r="AB746" s="41">
        <v>5384500</v>
      </c>
      <c r="AC746" s="41">
        <f t="shared" si="302"/>
        <v>0</v>
      </c>
      <c r="AD746" s="70" t="s">
        <v>218</v>
      </c>
      <c r="AE746" s="70"/>
      <c r="AG746" s="80"/>
    </row>
    <row r="747" spans="1:33" s="1" customFormat="1" x14ac:dyDescent="0.25">
      <c r="A747" s="49">
        <v>33</v>
      </c>
      <c r="B747" s="22" t="s">
        <v>1735</v>
      </c>
      <c r="C747" s="22" t="s">
        <v>313</v>
      </c>
      <c r="D747" s="51" t="s">
        <v>1122</v>
      </c>
      <c r="E747" s="24" t="s">
        <v>166</v>
      </c>
      <c r="F747" s="24"/>
      <c r="G747" s="24" t="s">
        <v>319</v>
      </c>
      <c r="H747" s="24" t="s">
        <v>62</v>
      </c>
      <c r="I747" s="24">
        <v>2017</v>
      </c>
      <c r="J747" s="24"/>
      <c r="K747" s="24" t="s">
        <v>63</v>
      </c>
      <c r="L747" s="24" t="s">
        <v>64</v>
      </c>
      <c r="M747" s="24">
        <v>1</v>
      </c>
      <c r="N747" s="41">
        <f t="shared" si="294"/>
        <v>5384500</v>
      </c>
      <c r="O747" s="41">
        <v>5384500</v>
      </c>
      <c r="P747" s="24"/>
      <c r="Q747" s="24"/>
      <c r="R747" s="24"/>
      <c r="S747" s="41">
        <f t="shared" si="295"/>
        <v>5384500</v>
      </c>
      <c r="T747" s="24">
        <v>5</v>
      </c>
      <c r="U747" s="41"/>
      <c r="V747" s="24">
        <v>0.5</v>
      </c>
      <c r="W747" s="41"/>
      <c r="X747" s="24"/>
      <c r="Y747" s="41">
        <f>SUM(U747*X747)</f>
        <v>0</v>
      </c>
      <c r="Z747" s="41">
        <f>SUM(W747+Y747)</f>
        <v>0</v>
      </c>
      <c r="AA747" s="72">
        <v>5</v>
      </c>
      <c r="AB747" s="41">
        <v>5384500</v>
      </c>
      <c r="AC747" s="41">
        <f t="shared" si="302"/>
        <v>0</v>
      </c>
      <c r="AD747" s="70" t="s">
        <v>324</v>
      </c>
      <c r="AE747" s="70"/>
      <c r="AG747" s="80"/>
    </row>
    <row r="748" spans="1:33" s="1" customFormat="1" x14ac:dyDescent="0.25">
      <c r="A748" s="49">
        <v>34</v>
      </c>
      <c r="B748" s="22" t="s">
        <v>1735</v>
      </c>
      <c r="C748" s="22"/>
      <c r="D748" s="51" t="s">
        <v>1123</v>
      </c>
      <c r="E748" s="52" t="s">
        <v>166</v>
      </c>
      <c r="F748" s="52"/>
      <c r="G748" s="52" t="s">
        <v>319</v>
      </c>
      <c r="H748" s="52" t="s">
        <v>62</v>
      </c>
      <c r="I748" s="52">
        <v>2022</v>
      </c>
      <c r="J748" s="52"/>
      <c r="K748" s="52" t="s">
        <v>202</v>
      </c>
      <c r="L748" s="52" t="s">
        <v>64</v>
      </c>
      <c r="M748" s="52">
        <v>5</v>
      </c>
      <c r="N748" s="53">
        <f t="shared" si="294"/>
        <v>3141791.6</v>
      </c>
      <c r="O748" s="53">
        <v>15708958</v>
      </c>
      <c r="P748" s="52"/>
      <c r="Q748" s="52"/>
      <c r="R748" s="52"/>
      <c r="S748" s="53">
        <f t="shared" si="295"/>
        <v>15708958</v>
      </c>
      <c r="T748" s="52">
        <v>5</v>
      </c>
      <c r="U748" s="53">
        <f>SUM(S748/T748)</f>
        <v>3141791.6</v>
      </c>
      <c r="V748" s="52">
        <v>0.5</v>
      </c>
      <c r="W748" s="53">
        <f t="shared" ref="W748:W784" si="305">SUM(U748*V748)</f>
        <v>1570895.8</v>
      </c>
      <c r="X748" s="52"/>
      <c r="Y748" s="53">
        <f>SUM(U748*X748)</f>
        <v>0</v>
      </c>
      <c r="Z748" s="53">
        <f>SUM(W748+Y748)</f>
        <v>1570895.8</v>
      </c>
      <c r="AA748" s="57">
        <f>9/12+0.5</f>
        <v>1.25</v>
      </c>
      <c r="AB748" s="53">
        <f>SUM(U748*AA748)</f>
        <v>3927239.5</v>
      </c>
      <c r="AC748" s="53">
        <f t="shared" si="302"/>
        <v>11781718.5</v>
      </c>
      <c r="AD748" s="56"/>
      <c r="AE748" s="70"/>
      <c r="AG748" s="80"/>
    </row>
    <row r="749" spans="1:33" s="1" customFormat="1" x14ac:dyDescent="0.25">
      <c r="A749" s="49">
        <v>35</v>
      </c>
      <c r="B749" s="22" t="s">
        <v>1736</v>
      </c>
      <c r="C749" s="22" t="s">
        <v>1064</v>
      </c>
      <c r="D749" s="51" t="s">
        <v>1065</v>
      </c>
      <c r="E749" s="24" t="s">
        <v>1066</v>
      </c>
      <c r="F749" s="24"/>
      <c r="G749" s="24" t="s">
        <v>737</v>
      </c>
      <c r="H749" s="24" t="s">
        <v>62</v>
      </c>
      <c r="I749" s="24">
        <v>2012</v>
      </c>
      <c r="J749" s="24"/>
      <c r="K749" s="24" t="s">
        <v>63</v>
      </c>
      <c r="L749" s="24" t="s">
        <v>64</v>
      </c>
      <c r="M749" s="24">
        <v>14</v>
      </c>
      <c r="N749" s="41">
        <f t="shared" si="294"/>
        <v>499400</v>
      </c>
      <c r="O749" s="41">
        <v>6991600</v>
      </c>
      <c r="P749" s="24"/>
      <c r="Q749" s="24"/>
      <c r="R749" s="24"/>
      <c r="S749" s="41">
        <f t="shared" si="295"/>
        <v>6991600</v>
      </c>
      <c r="T749" s="24">
        <v>5</v>
      </c>
      <c r="U749" s="41"/>
      <c r="V749" s="24">
        <v>0.5</v>
      </c>
      <c r="W749" s="41">
        <f t="shared" si="305"/>
        <v>0</v>
      </c>
      <c r="X749" s="24"/>
      <c r="Y749" s="41">
        <f t="shared" ref="Y749:Y784" si="306">SUM(U749*X749)</f>
        <v>0</v>
      </c>
      <c r="Z749" s="41">
        <f t="shared" ref="Z749:Z784" si="307">SUM(W749+Y749)</f>
        <v>0</v>
      </c>
      <c r="AA749" s="24">
        <v>5</v>
      </c>
      <c r="AB749" s="41">
        <v>6991600</v>
      </c>
      <c r="AC749" s="41">
        <f t="shared" si="302"/>
        <v>0</v>
      </c>
      <c r="AD749" s="70" t="s">
        <v>350</v>
      </c>
      <c r="AE749" s="70"/>
      <c r="AG749" s="81"/>
    </row>
    <row r="750" spans="1:33" s="1" customFormat="1" ht="12" customHeight="1" x14ac:dyDescent="0.25">
      <c r="A750" s="49">
        <v>36</v>
      </c>
      <c r="B750" s="22" t="s">
        <v>1736</v>
      </c>
      <c r="C750" s="22" t="s">
        <v>1067</v>
      </c>
      <c r="D750" s="51" t="s">
        <v>1065</v>
      </c>
      <c r="E750" s="24" t="s">
        <v>1066</v>
      </c>
      <c r="F750" s="24"/>
      <c r="G750" s="24" t="s">
        <v>737</v>
      </c>
      <c r="H750" s="24" t="s">
        <v>62</v>
      </c>
      <c r="I750" s="24">
        <v>2012</v>
      </c>
      <c r="J750" s="24"/>
      <c r="K750" s="24" t="s">
        <v>63</v>
      </c>
      <c r="L750" s="24" t="s">
        <v>64</v>
      </c>
      <c r="M750" s="24">
        <v>18</v>
      </c>
      <c r="N750" s="41">
        <f t="shared" si="294"/>
        <v>499400</v>
      </c>
      <c r="O750" s="41">
        <v>8989200</v>
      </c>
      <c r="P750" s="24"/>
      <c r="Q750" s="24"/>
      <c r="R750" s="24"/>
      <c r="S750" s="41">
        <f t="shared" si="295"/>
        <v>8989200</v>
      </c>
      <c r="T750" s="24">
        <v>5</v>
      </c>
      <c r="U750" s="41"/>
      <c r="V750" s="24">
        <v>0.5</v>
      </c>
      <c r="W750" s="41">
        <f t="shared" si="305"/>
        <v>0</v>
      </c>
      <c r="X750" s="24"/>
      <c r="Y750" s="41">
        <f t="shared" si="306"/>
        <v>0</v>
      </c>
      <c r="Z750" s="41">
        <f t="shared" si="307"/>
        <v>0</v>
      </c>
      <c r="AA750" s="24">
        <v>5</v>
      </c>
      <c r="AB750" s="41">
        <v>8989200</v>
      </c>
      <c r="AC750" s="41">
        <f t="shared" si="302"/>
        <v>0</v>
      </c>
      <c r="AD750" s="70" t="s">
        <v>354</v>
      </c>
      <c r="AE750" s="70"/>
      <c r="AG750" s="81"/>
    </row>
    <row r="751" spans="1:33" s="1" customFormat="1" ht="12" customHeight="1" x14ac:dyDescent="0.25">
      <c r="A751" s="49">
        <v>37</v>
      </c>
      <c r="B751" s="22" t="s">
        <v>1736</v>
      </c>
      <c r="C751" s="22" t="s">
        <v>404</v>
      </c>
      <c r="D751" s="51" t="s">
        <v>1065</v>
      </c>
      <c r="E751" s="24" t="s">
        <v>1066</v>
      </c>
      <c r="F751" s="24"/>
      <c r="G751" s="24" t="s">
        <v>737</v>
      </c>
      <c r="H751" s="24" t="s">
        <v>62</v>
      </c>
      <c r="I751" s="24">
        <v>2012</v>
      </c>
      <c r="J751" s="24"/>
      <c r="K751" s="24" t="s">
        <v>63</v>
      </c>
      <c r="L751" s="24" t="s">
        <v>64</v>
      </c>
      <c r="M751" s="24">
        <v>2</v>
      </c>
      <c r="N751" s="41">
        <f t="shared" si="294"/>
        <v>499400</v>
      </c>
      <c r="O751" s="41">
        <v>998800</v>
      </c>
      <c r="P751" s="24"/>
      <c r="Q751" s="24"/>
      <c r="R751" s="24"/>
      <c r="S751" s="41">
        <f t="shared" si="295"/>
        <v>998800</v>
      </c>
      <c r="T751" s="24">
        <v>5</v>
      </c>
      <c r="U751" s="41"/>
      <c r="V751" s="24">
        <v>0.5</v>
      </c>
      <c r="W751" s="41">
        <f t="shared" si="305"/>
        <v>0</v>
      </c>
      <c r="X751" s="24"/>
      <c r="Y751" s="41">
        <f t="shared" si="306"/>
        <v>0</v>
      </c>
      <c r="Z751" s="41">
        <f t="shared" si="307"/>
        <v>0</v>
      </c>
      <c r="AA751" s="24">
        <v>5</v>
      </c>
      <c r="AB751" s="41">
        <v>998800</v>
      </c>
      <c r="AC751" s="41">
        <f t="shared" si="302"/>
        <v>0</v>
      </c>
      <c r="AD751" s="70" t="s">
        <v>259</v>
      </c>
      <c r="AE751" s="70"/>
      <c r="AG751" s="81"/>
    </row>
    <row r="752" spans="1:33" s="1" customFormat="1" ht="12" customHeight="1" x14ac:dyDescent="0.25">
      <c r="A752" s="49">
        <v>38</v>
      </c>
      <c r="B752" s="22" t="s">
        <v>1736</v>
      </c>
      <c r="C752" s="22" t="s">
        <v>1068</v>
      </c>
      <c r="D752" s="51" t="s">
        <v>1069</v>
      </c>
      <c r="E752" s="24" t="s">
        <v>166</v>
      </c>
      <c r="F752" s="24"/>
      <c r="G752" s="24" t="s">
        <v>737</v>
      </c>
      <c r="H752" s="24" t="s">
        <v>62</v>
      </c>
      <c r="I752" s="24">
        <v>2013</v>
      </c>
      <c r="J752" s="24"/>
      <c r="K752" s="24" t="s">
        <v>63</v>
      </c>
      <c r="L752" s="24" t="s">
        <v>64</v>
      </c>
      <c r="M752" s="24">
        <v>4</v>
      </c>
      <c r="N752" s="41">
        <f t="shared" si="294"/>
        <v>6533100</v>
      </c>
      <c r="O752" s="41">
        <v>26132400</v>
      </c>
      <c r="P752" s="24"/>
      <c r="Q752" s="24"/>
      <c r="R752" s="24"/>
      <c r="S752" s="41">
        <f t="shared" si="295"/>
        <v>26132400</v>
      </c>
      <c r="T752" s="24">
        <v>5</v>
      </c>
      <c r="U752" s="41"/>
      <c r="V752" s="24">
        <v>0.5</v>
      </c>
      <c r="W752" s="41">
        <f t="shared" si="305"/>
        <v>0</v>
      </c>
      <c r="X752" s="24"/>
      <c r="Y752" s="41">
        <f t="shared" si="306"/>
        <v>0</v>
      </c>
      <c r="Z752" s="41">
        <f t="shared" si="307"/>
        <v>0</v>
      </c>
      <c r="AA752" s="24">
        <v>5</v>
      </c>
      <c r="AB752" s="41">
        <v>26132400</v>
      </c>
      <c r="AC752" s="41">
        <f t="shared" si="302"/>
        <v>0</v>
      </c>
      <c r="AD752" s="70" t="s">
        <v>1070</v>
      </c>
      <c r="AE752" s="70"/>
      <c r="AG752" s="81"/>
    </row>
    <row r="753" spans="1:33" s="1" customFormat="1" ht="12" customHeight="1" x14ac:dyDescent="0.25">
      <c r="A753" s="49">
        <v>39</v>
      </c>
      <c r="B753" s="22" t="s">
        <v>1736</v>
      </c>
      <c r="C753" s="22" t="s">
        <v>1071</v>
      </c>
      <c r="D753" s="50" t="s">
        <v>1072</v>
      </c>
      <c r="E753" s="24" t="s">
        <v>166</v>
      </c>
      <c r="F753" s="24"/>
      <c r="G753" s="24" t="s">
        <v>767</v>
      </c>
      <c r="H753" s="24" t="s">
        <v>62</v>
      </c>
      <c r="I753" s="24">
        <v>2014</v>
      </c>
      <c r="J753" s="24"/>
      <c r="K753" s="24" t="s">
        <v>63</v>
      </c>
      <c r="L753" s="24" t="s">
        <v>64</v>
      </c>
      <c r="M753" s="24">
        <v>5</v>
      </c>
      <c r="N753" s="41">
        <f t="shared" si="294"/>
        <v>999955</v>
      </c>
      <c r="O753" s="41">
        <v>4999775</v>
      </c>
      <c r="P753" s="24"/>
      <c r="Q753" s="24"/>
      <c r="R753" s="24"/>
      <c r="S753" s="41">
        <f t="shared" si="295"/>
        <v>4999775</v>
      </c>
      <c r="T753" s="24">
        <v>5</v>
      </c>
      <c r="U753" s="41"/>
      <c r="V753" s="24">
        <v>0.5</v>
      </c>
      <c r="W753" s="41">
        <f t="shared" si="305"/>
        <v>0</v>
      </c>
      <c r="X753" s="24"/>
      <c r="Y753" s="41">
        <f t="shared" si="306"/>
        <v>0</v>
      </c>
      <c r="Z753" s="41">
        <f t="shared" si="307"/>
        <v>0</v>
      </c>
      <c r="AA753" s="72">
        <v>5</v>
      </c>
      <c r="AB753" s="41">
        <v>4999775</v>
      </c>
      <c r="AC753" s="41">
        <f t="shared" si="302"/>
        <v>0</v>
      </c>
      <c r="AD753" s="70" t="s">
        <v>1073</v>
      </c>
      <c r="AE753" s="70"/>
      <c r="AG753" s="81"/>
    </row>
    <row r="754" spans="1:33" s="1" customFormat="1" ht="12" customHeight="1" x14ac:dyDescent="0.25">
      <c r="A754" s="49">
        <v>40</v>
      </c>
      <c r="B754" s="22" t="s">
        <v>1736</v>
      </c>
      <c r="C754" s="22" t="s">
        <v>1074</v>
      </c>
      <c r="D754" s="50" t="s">
        <v>1072</v>
      </c>
      <c r="E754" s="24" t="s">
        <v>166</v>
      </c>
      <c r="F754" s="24"/>
      <c r="G754" s="24" t="s">
        <v>767</v>
      </c>
      <c r="H754" s="24" t="s">
        <v>62</v>
      </c>
      <c r="I754" s="24">
        <v>2014</v>
      </c>
      <c r="J754" s="24"/>
      <c r="K754" s="24" t="s">
        <v>63</v>
      </c>
      <c r="L754" s="24" t="s">
        <v>64</v>
      </c>
      <c r="M754" s="24">
        <v>6</v>
      </c>
      <c r="N754" s="41">
        <f t="shared" si="294"/>
        <v>999955</v>
      </c>
      <c r="O754" s="41">
        <v>5999730</v>
      </c>
      <c r="P754" s="24"/>
      <c r="Q754" s="24"/>
      <c r="R754" s="24"/>
      <c r="S754" s="41">
        <f t="shared" si="295"/>
        <v>5999730</v>
      </c>
      <c r="T754" s="24">
        <v>5</v>
      </c>
      <c r="U754" s="41"/>
      <c r="V754" s="24">
        <v>0.5</v>
      </c>
      <c r="W754" s="41">
        <f t="shared" si="305"/>
        <v>0</v>
      </c>
      <c r="X754" s="24"/>
      <c r="Y754" s="41">
        <f t="shared" si="306"/>
        <v>0</v>
      </c>
      <c r="Z754" s="41">
        <f t="shared" si="307"/>
        <v>0</v>
      </c>
      <c r="AA754" s="72">
        <v>5</v>
      </c>
      <c r="AB754" s="41">
        <v>5999730</v>
      </c>
      <c r="AC754" s="41">
        <f t="shared" si="302"/>
        <v>0</v>
      </c>
      <c r="AD754" s="70" t="s">
        <v>220</v>
      </c>
      <c r="AE754" s="70"/>
      <c r="AG754" s="81"/>
    </row>
    <row r="755" spans="1:33" s="1" customFormat="1" ht="12" customHeight="1" x14ac:dyDescent="0.25">
      <c r="A755" s="49">
        <v>41</v>
      </c>
      <c r="B755" s="22" t="s">
        <v>1736</v>
      </c>
      <c r="C755" s="22" t="s">
        <v>1075</v>
      </c>
      <c r="D755" s="50" t="s">
        <v>1072</v>
      </c>
      <c r="E755" s="24" t="s">
        <v>166</v>
      </c>
      <c r="F755" s="24"/>
      <c r="G755" s="24" t="s">
        <v>767</v>
      </c>
      <c r="H755" s="24" t="s">
        <v>62</v>
      </c>
      <c r="I755" s="24">
        <v>2014</v>
      </c>
      <c r="J755" s="24"/>
      <c r="K755" s="24" t="s">
        <v>63</v>
      </c>
      <c r="L755" s="24" t="s">
        <v>64</v>
      </c>
      <c r="M755" s="24">
        <v>5</v>
      </c>
      <c r="N755" s="41">
        <f t="shared" si="294"/>
        <v>999955</v>
      </c>
      <c r="O755" s="41">
        <v>4999775</v>
      </c>
      <c r="P755" s="24"/>
      <c r="Q755" s="24"/>
      <c r="R755" s="24"/>
      <c r="S755" s="41">
        <f t="shared" si="295"/>
        <v>4999775</v>
      </c>
      <c r="T755" s="24">
        <v>5</v>
      </c>
      <c r="U755" s="41"/>
      <c r="V755" s="24">
        <v>0.5</v>
      </c>
      <c r="W755" s="41">
        <f t="shared" si="305"/>
        <v>0</v>
      </c>
      <c r="X755" s="24"/>
      <c r="Y755" s="41">
        <f t="shared" si="306"/>
        <v>0</v>
      </c>
      <c r="Z755" s="41">
        <f t="shared" si="307"/>
        <v>0</v>
      </c>
      <c r="AA755" s="72">
        <v>5</v>
      </c>
      <c r="AB755" s="41">
        <v>4999775</v>
      </c>
      <c r="AC755" s="41">
        <f t="shared" si="302"/>
        <v>0</v>
      </c>
      <c r="AD755" s="70" t="s">
        <v>221</v>
      </c>
      <c r="AE755" s="70"/>
      <c r="AG755" s="81"/>
    </row>
    <row r="756" spans="1:33" s="1" customFormat="1" ht="12" customHeight="1" x14ac:dyDescent="0.25">
      <c r="A756" s="49">
        <v>42</v>
      </c>
      <c r="B756" s="22" t="s">
        <v>1736</v>
      </c>
      <c r="C756" s="22" t="s">
        <v>1076</v>
      </c>
      <c r="D756" s="50" t="s">
        <v>1072</v>
      </c>
      <c r="E756" s="24" t="s">
        <v>166</v>
      </c>
      <c r="F756" s="24"/>
      <c r="G756" s="24" t="s">
        <v>767</v>
      </c>
      <c r="H756" s="24" t="s">
        <v>62</v>
      </c>
      <c r="I756" s="24">
        <v>2014</v>
      </c>
      <c r="J756" s="24"/>
      <c r="K756" s="24" t="s">
        <v>63</v>
      </c>
      <c r="L756" s="24" t="s">
        <v>64</v>
      </c>
      <c r="M756" s="24">
        <v>5</v>
      </c>
      <c r="N756" s="41">
        <f t="shared" si="294"/>
        <v>999955</v>
      </c>
      <c r="O756" s="41">
        <v>4999775</v>
      </c>
      <c r="P756" s="24"/>
      <c r="Q756" s="24"/>
      <c r="R756" s="24"/>
      <c r="S756" s="41">
        <f t="shared" si="295"/>
        <v>4999775</v>
      </c>
      <c r="T756" s="24">
        <v>5</v>
      </c>
      <c r="U756" s="41"/>
      <c r="V756" s="24">
        <v>0.5</v>
      </c>
      <c r="W756" s="41">
        <f t="shared" si="305"/>
        <v>0</v>
      </c>
      <c r="X756" s="24"/>
      <c r="Y756" s="41">
        <f t="shared" si="306"/>
        <v>0</v>
      </c>
      <c r="Z756" s="41">
        <f t="shared" si="307"/>
        <v>0</v>
      </c>
      <c r="AA756" s="72">
        <v>5</v>
      </c>
      <c r="AB756" s="41">
        <v>4999775</v>
      </c>
      <c r="AC756" s="41">
        <f t="shared" si="302"/>
        <v>0</v>
      </c>
      <c r="AD756" s="70" t="s">
        <v>218</v>
      </c>
      <c r="AE756" s="70"/>
      <c r="AG756" s="81"/>
    </row>
    <row r="757" spans="1:33" s="1" customFormat="1" ht="12" customHeight="1" x14ac:dyDescent="0.25">
      <c r="A757" s="49">
        <v>43</v>
      </c>
      <c r="B757" s="22" t="s">
        <v>1736</v>
      </c>
      <c r="C757" s="22" t="s">
        <v>1077</v>
      </c>
      <c r="D757" s="50" t="s">
        <v>1072</v>
      </c>
      <c r="E757" s="24" t="s">
        <v>166</v>
      </c>
      <c r="F757" s="24"/>
      <c r="G757" s="24" t="s">
        <v>767</v>
      </c>
      <c r="H757" s="24" t="s">
        <v>62</v>
      </c>
      <c r="I757" s="24">
        <v>2014</v>
      </c>
      <c r="J757" s="24"/>
      <c r="K757" s="24" t="s">
        <v>63</v>
      </c>
      <c r="L757" s="24" t="s">
        <v>64</v>
      </c>
      <c r="M757" s="24">
        <v>5</v>
      </c>
      <c r="N757" s="41">
        <f t="shared" si="294"/>
        <v>999955</v>
      </c>
      <c r="O757" s="41">
        <v>4999775</v>
      </c>
      <c r="P757" s="24"/>
      <c r="Q757" s="24"/>
      <c r="R757" s="24"/>
      <c r="S757" s="41">
        <f t="shared" si="295"/>
        <v>4999775</v>
      </c>
      <c r="T757" s="24">
        <v>5</v>
      </c>
      <c r="U757" s="41"/>
      <c r="V757" s="24">
        <v>0.5</v>
      </c>
      <c r="W757" s="41">
        <f t="shared" si="305"/>
        <v>0</v>
      </c>
      <c r="X757" s="24"/>
      <c r="Y757" s="41">
        <f t="shared" si="306"/>
        <v>0</v>
      </c>
      <c r="Z757" s="41">
        <f t="shared" si="307"/>
        <v>0</v>
      </c>
      <c r="AA757" s="24">
        <v>5</v>
      </c>
      <c r="AB757" s="41">
        <v>4999775</v>
      </c>
      <c r="AC757" s="41">
        <f t="shared" si="302"/>
        <v>0</v>
      </c>
      <c r="AD757" s="70" t="s">
        <v>217</v>
      </c>
      <c r="AE757" s="70"/>
      <c r="AG757" s="81"/>
    </row>
    <row r="758" spans="1:33" s="1" customFormat="1" ht="12" customHeight="1" x14ac:dyDescent="0.25">
      <c r="A758" s="49">
        <v>44</v>
      </c>
      <c r="B758" s="22" t="s">
        <v>1736</v>
      </c>
      <c r="C758" s="22" t="s">
        <v>1078</v>
      </c>
      <c r="D758" s="50" t="s">
        <v>1072</v>
      </c>
      <c r="E758" s="24" t="s">
        <v>166</v>
      </c>
      <c r="F758" s="24"/>
      <c r="G758" s="24" t="s">
        <v>767</v>
      </c>
      <c r="H758" s="24" t="s">
        <v>62</v>
      </c>
      <c r="I758" s="24">
        <v>2014</v>
      </c>
      <c r="J758" s="24"/>
      <c r="K758" s="24" t="s">
        <v>63</v>
      </c>
      <c r="L758" s="24" t="s">
        <v>64</v>
      </c>
      <c r="M758" s="24">
        <v>2</v>
      </c>
      <c r="N758" s="41">
        <f t="shared" si="294"/>
        <v>999955</v>
      </c>
      <c r="O758" s="41">
        <v>1999910</v>
      </c>
      <c r="P758" s="24"/>
      <c r="Q758" s="24"/>
      <c r="R758" s="24"/>
      <c r="S758" s="41">
        <f t="shared" si="295"/>
        <v>1999910</v>
      </c>
      <c r="T758" s="24">
        <v>5</v>
      </c>
      <c r="U758" s="41"/>
      <c r="V758" s="24">
        <v>0.5</v>
      </c>
      <c r="W758" s="41">
        <f t="shared" si="305"/>
        <v>0</v>
      </c>
      <c r="X758" s="24"/>
      <c r="Y758" s="41">
        <f t="shared" si="306"/>
        <v>0</v>
      </c>
      <c r="Z758" s="41">
        <f t="shared" si="307"/>
        <v>0</v>
      </c>
      <c r="AA758" s="24">
        <v>5</v>
      </c>
      <c r="AB758" s="41">
        <v>1999910</v>
      </c>
      <c r="AC758" s="41">
        <f t="shared" si="302"/>
        <v>0</v>
      </c>
      <c r="AD758" s="70" t="s">
        <v>224</v>
      </c>
      <c r="AE758" s="70"/>
      <c r="AG758" s="81"/>
    </row>
    <row r="759" spans="1:33" s="1" customFormat="1" ht="12" customHeight="1" x14ac:dyDescent="0.25">
      <c r="A759" s="49">
        <v>45</v>
      </c>
      <c r="B759" s="22" t="s">
        <v>1736</v>
      </c>
      <c r="C759" s="22" t="s">
        <v>1079</v>
      </c>
      <c r="D759" s="50" t="s">
        <v>1072</v>
      </c>
      <c r="E759" s="24" t="s">
        <v>166</v>
      </c>
      <c r="F759" s="24"/>
      <c r="G759" s="24" t="s">
        <v>767</v>
      </c>
      <c r="H759" s="24" t="s">
        <v>62</v>
      </c>
      <c r="I759" s="24">
        <v>2014</v>
      </c>
      <c r="J759" s="24"/>
      <c r="K759" s="24" t="s">
        <v>63</v>
      </c>
      <c r="L759" s="24" t="s">
        <v>64</v>
      </c>
      <c r="M759" s="24">
        <v>9</v>
      </c>
      <c r="N759" s="41">
        <f t="shared" si="294"/>
        <v>999955</v>
      </c>
      <c r="O759" s="41">
        <v>8999595</v>
      </c>
      <c r="P759" s="24"/>
      <c r="Q759" s="24"/>
      <c r="R759" s="24"/>
      <c r="S759" s="41">
        <f t="shared" si="295"/>
        <v>8999595</v>
      </c>
      <c r="T759" s="24">
        <v>5</v>
      </c>
      <c r="U759" s="41"/>
      <c r="V759" s="24">
        <v>0.5</v>
      </c>
      <c r="W759" s="41">
        <f t="shared" si="305"/>
        <v>0</v>
      </c>
      <c r="X759" s="24"/>
      <c r="Y759" s="41">
        <f t="shared" si="306"/>
        <v>0</v>
      </c>
      <c r="Z759" s="41">
        <f t="shared" si="307"/>
        <v>0</v>
      </c>
      <c r="AA759" s="24">
        <v>5</v>
      </c>
      <c r="AB759" s="41">
        <v>8999595</v>
      </c>
      <c r="AC759" s="41">
        <f t="shared" si="302"/>
        <v>0</v>
      </c>
      <c r="AD759" s="70" t="s">
        <v>276</v>
      </c>
      <c r="AE759" s="70"/>
      <c r="AG759" s="81"/>
    </row>
    <row r="760" spans="1:33" s="1" customFormat="1" ht="12" customHeight="1" x14ac:dyDescent="0.25">
      <c r="A760" s="49">
        <v>46</v>
      </c>
      <c r="B760" s="22" t="s">
        <v>1736</v>
      </c>
      <c r="C760" s="22" t="s">
        <v>1080</v>
      </c>
      <c r="D760" s="50" t="s">
        <v>1072</v>
      </c>
      <c r="E760" s="24" t="s">
        <v>166</v>
      </c>
      <c r="F760" s="24"/>
      <c r="G760" s="24" t="s">
        <v>767</v>
      </c>
      <c r="H760" s="24" t="s">
        <v>62</v>
      </c>
      <c r="I760" s="24">
        <v>2014</v>
      </c>
      <c r="J760" s="24"/>
      <c r="K760" s="24" t="s">
        <v>63</v>
      </c>
      <c r="L760" s="24" t="s">
        <v>64</v>
      </c>
      <c r="M760" s="24">
        <v>2</v>
      </c>
      <c r="N760" s="41">
        <f t="shared" si="294"/>
        <v>999955</v>
      </c>
      <c r="O760" s="41">
        <v>1999910</v>
      </c>
      <c r="P760" s="24"/>
      <c r="Q760" s="24"/>
      <c r="R760" s="24"/>
      <c r="S760" s="41">
        <f t="shared" si="295"/>
        <v>1999910</v>
      </c>
      <c r="T760" s="24">
        <v>5</v>
      </c>
      <c r="U760" s="41"/>
      <c r="V760" s="24">
        <v>0.5</v>
      </c>
      <c r="W760" s="41">
        <f t="shared" si="305"/>
        <v>0</v>
      </c>
      <c r="X760" s="24"/>
      <c r="Y760" s="41">
        <f t="shared" si="306"/>
        <v>0</v>
      </c>
      <c r="Z760" s="41">
        <f t="shared" si="307"/>
        <v>0</v>
      </c>
      <c r="AA760" s="24">
        <v>5</v>
      </c>
      <c r="AB760" s="41">
        <v>1999910</v>
      </c>
      <c r="AC760" s="41">
        <f t="shared" si="302"/>
        <v>0</v>
      </c>
      <c r="AD760" s="70" t="s">
        <v>331</v>
      </c>
      <c r="AE760" s="70"/>
      <c r="AG760" s="81"/>
    </row>
    <row r="761" spans="1:33" s="1" customFormat="1" ht="12" customHeight="1" x14ac:dyDescent="0.25">
      <c r="A761" s="49">
        <v>47</v>
      </c>
      <c r="B761" s="22" t="s">
        <v>1736</v>
      </c>
      <c r="C761" s="22" t="s">
        <v>1081</v>
      </c>
      <c r="D761" s="50" t="s">
        <v>1072</v>
      </c>
      <c r="E761" s="24" t="s">
        <v>166</v>
      </c>
      <c r="F761" s="24"/>
      <c r="G761" s="24" t="s">
        <v>767</v>
      </c>
      <c r="H761" s="24" t="s">
        <v>62</v>
      </c>
      <c r="I761" s="24">
        <v>2014</v>
      </c>
      <c r="J761" s="24"/>
      <c r="K761" s="24" t="s">
        <v>63</v>
      </c>
      <c r="L761" s="24" t="s">
        <v>64</v>
      </c>
      <c r="M761" s="24">
        <v>3</v>
      </c>
      <c r="N761" s="41">
        <f t="shared" si="294"/>
        <v>999955</v>
      </c>
      <c r="O761" s="41">
        <v>2999865</v>
      </c>
      <c r="P761" s="24"/>
      <c r="Q761" s="24"/>
      <c r="R761" s="24"/>
      <c r="S761" s="41">
        <f t="shared" si="295"/>
        <v>2999865</v>
      </c>
      <c r="T761" s="24">
        <v>5</v>
      </c>
      <c r="U761" s="41"/>
      <c r="V761" s="24">
        <v>0.5</v>
      </c>
      <c r="W761" s="41">
        <f t="shared" si="305"/>
        <v>0</v>
      </c>
      <c r="X761" s="24"/>
      <c r="Y761" s="41">
        <f t="shared" si="306"/>
        <v>0</v>
      </c>
      <c r="Z761" s="41">
        <f t="shared" si="307"/>
        <v>0</v>
      </c>
      <c r="AA761" s="24">
        <v>5</v>
      </c>
      <c r="AB761" s="41">
        <v>2999865</v>
      </c>
      <c r="AC761" s="41">
        <f t="shared" si="302"/>
        <v>0</v>
      </c>
      <c r="AD761" s="70" t="s">
        <v>352</v>
      </c>
      <c r="AE761" s="70"/>
      <c r="AG761" s="81"/>
    </row>
    <row r="762" spans="1:33" s="1" customFormat="1" ht="12" customHeight="1" x14ac:dyDescent="0.25">
      <c r="A762" s="49">
        <v>48</v>
      </c>
      <c r="B762" s="22" t="s">
        <v>1736</v>
      </c>
      <c r="C762" s="22" t="s">
        <v>1082</v>
      </c>
      <c r="D762" s="50" t="s">
        <v>1072</v>
      </c>
      <c r="E762" s="24" t="s">
        <v>166</v>
      </c>
      <c r="F762" s="24"/>
      <c r="G762" s="24" t="s">
        <v>767</v>
      </c>
      <c r="H762" s="24" t="s">
        <v>62</v>
      </c>
      <c r="I762" s="24">
        <v>2014</v>
      </c>
      <c r="J762" s="24"/>
      <c r="K762" s="24" t="s">
        <v>63</v>
      </c>
      <c r="L762" s="24" t="s">
        <v>64</v>
      </c>
      <c r="M762" s="24">
        <v>2</v>
      </c>
      <c r="N762" s="41">
        <f t="shared" si="294"/>
        <v>999955</v>
      </c>
      <c r="O762" s="41">
        <v>1999910</v>
      </c>
      <c r="P762" s="24"/>
      <c r="Q762" s="24"/>
      <c r="R762" s="24"/>
      <c r="S762" s="41">
        <f t="shared" si="295"/>
        <v>1999910</v>
      </c>
      <c r="T762" s="24">
        <v>5</v>
      </c>
      <c r="U762" s="41"/>
      <c r="V762" s="24">
        <v>0.5</v>
      </c>
      <c r="W762" s="41">
        <f t="shared" si="305"/>
        <v>0</v>
      </c>
      <c r="X762" s="24"/>
      <c r="Y762" s="41">
        <f t="shared" si="306"/>
        <v>0</v>
      </c>
      <c r="Z762" s="41">
        <f t="shared" si="307"/>
        <v>0</v>
      </c>
      <c r="AA762" s="24">
        <v>5</v>
      </c>
      <c r="AB762" s="41">
        <v>1999910</v>
      </c>
      <c r="AC762" s="41">
        <f t="shared" si="302"/>
        <v>0</v>
      </c>
      <c r="AD762" s="70" t="s">
        <v>311</v>
      </c>
      <c r="AE762" s="70"/>
      <c r="AG762" s="81"/>
    </row>
    <row r="763" spans="1:33" s="1" customFormat="1" ht="12" customHeight="1" x14ac:dyDescent="0.25">
      <c r="A763" s="49">
        <v>49</v>
      </c>
      <c r="B763" s="22" t="s">
        <v>1736</v>
      </c>
      <c r="C763" s="22" t="s">
        <v>1083</v>
      </c>
      <c r="D763" s="50" t="s">
        <v>1072</v>
      </c>
      <c r="E763" s="24" t="s">
        <v>166</v>
      </c>
      <c r="F763" s="24"/>
      <c r="G763" s="24" t="s">
        <v>767</v>
      </c>
      <c r="H763" s="24" t="s">
        <v>62</v>
      </c>
      <c r="I763" s="24">
        <v>2014</v>
      </c>
      <c r="J763" s="24"/>
      <c r="K763" s="24" t="s">
        <v>63</v>
      </c>
      <c r="L763" s="24" t="s">
        <v>64</v>
      </c>
      <c r="M763" s="24">
        <v>1</v>
      </c>
      <c r="N763" s="41">
        <f t="shared" si="294"/>
        <v>999955</v>
      </c>
      <c r="O763" s="41">
        <v>999955</v>
      </c>
      <c r="P763" s="24"/>
      <c r="Q763" s="24"/>
      <c r="R763" s="24"/>
      <c r="S763" s="41">
        <f t="shared" si="295"/>
        <v>999955</v>
      </c>
      <c r="T763" s="24">
        <v>5</v>
      </c>
      <c r="U763" s="41"/>
      <c r="V763" s="24">
        <v>0.5</v>
      </c>
      <c r="W763" s="41">
        <f t="shared" si="305"/>
        <v>0</v>
      </c>
      <c r="X763" s="24"/>
      <c r="Y763" s="41">
        <f t="shared" si="306"/>
        <v>0</v>
      </c>
      <c r="Z763" s="41">
        <f t="shared" si="307"/>
        <v>0</v>
      </c>
      <c r="AA763" s="24">
        <v>5</v>
      </c>
      <c r="AB763" s="41">
        <v>999955</v>
      </c>
      <c r="AC763" s="41">
        <f t="shared" si="302"/>
        <v>0</v>
      </c>
      <c r="AD763" s="70" t="s">
        <v>1084</v>
      </c>
      <c r="AE763" s="70"/>
      <c r="AG763" s="81"/>
    </row>
    <row r="764" spans="1:33" s="1" customFormat="1" ht="12" customHeight="1" x14ac:dyDescent="0.25">
      <c r="A764" s="49">
        <v>50</v>
      </c>
      <c r="B764" s="22" t="s">
        <v>1736</v>
      </c>
      <c r="C764" s="22" t="s">
        <v>1085</v>
      </c>
      <c r="D764" s="51" t="s">
        <v>1086</v>
      </c>
      <c r="E764" s="24" t="s">
        <v>166</v>
      </c>
      <c r="F764" s="24"/>
      <c r="G764" s="24" t="s">
        <v>767</v>
      </c>
      <c r="H764" s="24" t="s">
        <v>62</v>
      </c>
      <c r="I764" s="24">
        <v>2014</v>
      </c>
      <c r="J764" s="24"/>
      <c r="K764" s="24" t="s">
        <v>63</v>
      </c>
      <c r="L764" s="24" t="s">
        <v>64</v>
      </c>
      <c r="M764" s="24">
        <v>3</v>
      </c>
      <c r="N764" s="41">
        <f t="shared" si="294"/>
        <v>2486000</v>
      </c>
      <c r="O764" s="41">
        <v>7458000</v>
      </c>
      <c r="P764" s="24"/>
      <c r="Q764" s="24"/>
      <c r="R764" s="24"/>
      <c r="S764" s="41">
        <f t="shared" si="295"/>
        <v>7458000</v>
      </c>
      <c r="T764" s="24">
        <v>5</v>
      </c>
      <c r="U764" s="41"/>
      <c r="V764" s="24">
        <v>0.5</v>
      </c>
      <c r="W764" s="41">
        <f t="shared" si="305"/>
        <v>0</v>
      </c>
      <c r="X764" s="24"/>
      <c r="Y764" s="41">
        <f t="shared" si="306"/>
        <v>0</v>
      </c>
      <c r="Z764" s="41">
        <f t="shared" si="307"/>
        <v>0</v>
      </c>
      <c r="AA764" s="24">
        <v>5</v>
      </c>
      <c r="AB764" s="41">
        <v>7458000</v>
      </c>
      <c r="AC764" s="41">
        <f t="shared" si="302"/>
        <v>0</v>
      </c>
      <c r="AD764" s="70" t="s">
        <v>218</v>
      </c>
      <c r="AE764" s="70"/>
      <c r="AG764" s="81"/>
    </row>
    <row r="765" spans="1:33" s="1" customFormat="1" ht="12" customHeight="1" x14ac:dyDescent="0.25">
      <c r="A765" s="49">
        <v>51</v>
      </c>
      <c r="B765" s="22" t="s">
        <v>1736</v>
      </c>
      <c r="C765" s="22" t="s">
        <v>1087</v>
      </c>
      <c r="D765" s="51" t="s">
        <v>1086</v>
      </c>
      <c r="E765" s="24" t="s">
        <v>166</v>
      </c>
      <c r="F765" s="24"/>
      <c r="G765" s="24" t="s">
        <v>767</v>
      </c>
      <c r="H765" s="24" t="s">
        <v>62</v>
      </c>
      <c r="I765" s="24">
        <v>2014</v>
      </c>
      <c r="J765" s="24"/>
      <c r="K765" s="24" t="s">
        <v>63</v>
      </c>
      <c r="L765" s="24" t="s">
        <v>64</v>
      </c>
      <c r="M765" s="24">
        <v>3</v>
      </c>
      <c r="N765" s="41">
        <f t="shared" si="294"/>
        <v>2486000</v>
      </c>
      <c r="O765" s="41">
        <v>7458000</v>
      </c>
      <c r="P765" s="24"/>
      <c r="Q765" s="24"/>
      <c r="R765" s="24"/>
      <c r="S765" s="41">
        <f t="shared" si="295"/>
        <v>7458000</v>
      </c>
      <c r="T765" s="24">
        <v>5</v>
      </c>
      <c r="U765" s="41"/>
      <c r="V765" s="24">
        <v>0.5</v>
      </c>
      <c r="W765" s="41">
        <f t="shared" si="305"/>
        <v>0</v>
      </c>
      <c r="X765" s="24"/>
      <c r="Y765" s="41">
        <f t="shared" si="306"/>
        <v>0</v>
      </c>
      <c r="Z765" s="41">
        <f t="shared" si="307"/>
        <v>0</v>
      </c>
      <c r="AA765" s="24">
        <v>5</v>
      </c>
      <c r="AB765" s="41">
        <v>7458000</v>
      </c>
      <c r="AC765" s="41">
        <f t="shared" si="302"/>
        <v>0</v>
      </c>
      <c r="AD765" s="70" t="s">
        <v>219</v>
      </c>
      <c r="AE765" s="70"/>
      <c r="AG765" s="81"/>
    </row>
    <row r="766" spans="1:33" s="1" customFormat="1" ht="12" customHeight="1" x14ac:dyDescent="0.25">
      <c r="A766" s="49">
        <v>52</v>
      </c>
      <c r="B766" s="22" t="s">
        <v>1736</v>
      </c>
      <c r="C766" s="22" t="s">
        <v>1088</v>
      </c>
      <c r="D766" s="51" t="s">
        <v>1086</v>
      </c>
      <c r="E766" s="24" t="s">
        <v>166</v>
      </c>
      <c r="F766" s="24"/>
      <c r="G766" s="24" t="s">
        <v>767</v>
      </c>
      <c r="H766" s="24" t="s">
        <v>62</v>
      </c>
      <c r="I766" s="24">
        <v>2014</v>
      </c>
      <c r="J766" s="24"/>
      <c r="K766" s="24" t="s">
        <v>63</v>
      </c>
      <c r="L766" s="24" t="s">
        <v>64</v>
      </c>
      <c r="M766" s="24">
        <v>3</v>
      </c>
      <c r="N766" s="41">
        <f t="shared" si="294"/>
        <v>2486000</v>
      </c>
      <c r="O766" s="41">
        <v>7458000</v>
      </c>
      <c r="P766" s="24"/>
      <c r="Q766" s="24"/>
      <c r="R766" s="24"/>
      <c r="S766" s="41">
        <f t="shared" si="295"/>
        <v>7458000</v>
      </c>
      <c r="T766" s="24">
        <v>5</v>
      </c>
      <c r="U766" s="41"/>
      <c r="V766" s="24">
        <v>0.5</v>
      </c>
      <c r="W766" s="41">
        <f t="shared" si="305"/>
        <v>0</v>
      </c>
      <c r="X766" s="24"/>
      <c r="Y766" s="41">
        <f t="shared" si="306"/>
        <v>0</v>
      </c>
      <c r="Z766" s="41">
        <f t="shared" si="307"/>
        <v>0</v>
      </c>
      <c r="AA766" s="24">
        <v>5</v>
      </c>
      <c r="AB766" s="41">
        <v>7458000</v>
      </c>
      <c r="AC766" s="41">
        <f t="shared" si="302"/>
        <v>0</v>
      </c>
      <c r="AD766" s="70" t="s">
        <v>220</v>
      </c>
      <c r="AE766" s="70"/>
      <c r="AG766" s="81"/>
    </row>
    <row r="767" spans="1:33" s="1" customFormat="1" ht="12" customHeight="1" x14ac:dyDescent="0.25">
      <c r="A767" s="49">
        <v>53</v>
      </c>
      <c r="B767" s="22" t="s">
        <v>1736</v>
      </c>
      <c r="C767" s="22" t="s">
        <v>1089</v>
      </c>
      <c r="D767" s="51" t="s">
        <v>1086</v>
      </c>
      <c r="E767" s="24" t="s">
        <v>166</v>
      </c>
      <c r="F767" s="24"/>
      <c r="G767" s="24" t="s">
        <v>767</v>
      </c>
      <c r="H767" s="24" t="s">
        <v>62</v>
      </c>
      <c r="I767" s="24">
        <v>2014</v>
      </c>
      <c r="J767" s="24"/>
      <c r="K767" s="24" t="s">
        <v>63</v>
      </c>
      <c r="L767" s="24" t="s">
        <v>64</v>
      </c>
      <c r="M767" s="24">
        <v>3</v>
      </c>
      <c r="N767" s="41">
        <f t="shared" si="294"/>
        <v>2486000</v>
      </c>
      <c r="O767" s="41">
        <v>7458000</v>
      </c>
      <c r="P767" s="24"/>
      <c r="Q767" s="24"/>
      <c r="R767" s="24"/>
      <c r="S767" s="41">
        <f t="shared" si="295"/>
        <v>7458000</v>
      </c>
      <c r="T767" s="24">
        <v>5</v>
      </c>
      <c r="U767" s="41"/>
      <c r="V767" s="24">
        <v>0.5</v>
      </c>
      <c r="W767" s="41">
        <f t="shared" si="305"/>
        <v>0</v>
      </c>
      <c r="X767" s="24"/>
      <c r="Y767" s="41">
        <f t="shared" si="306"/>
        <v>0</v>
      </c>
      <c r="Z767" s="41">
        <f t="shared" si="307"/>
        <v>0</v>
      </c>
      <c r="AA767" s="24">
        <v>5</v>
      </c>
      <c r="AB767" s="41">
        <v>7458000</v>
      </c>
      <c r="AC767" s="41">
        <f t="shared" si="302"/>
        <v>0</v>
      </c>
      <c r="AD767" s="70" t="s">
        <v>221</v>
      </c>
      <c r="AE767" s="70"/>
      <c r="AG767" s="81"/>
    </row>
    <row r="768" spans="1:33" s="1" customFormat="1" ht="12" customHeight="1" x14ac:dyDescent="0.25">
      <c r="A768" s="49">
        <v>54</v>
      </c>
      <c r="B768" s="22" t="s">
        <v>1736</v>
      </c>
      <c r="C768" s="22" t="s">
        <v>1090</v>
      </c>
      <c r="D768" s="51" t="s">
        <v>1086</v>
      </c>
      <c r="E768" s="24" t="s">
        <v>166</v>
      </c>
      <c r="F768" s="24"/>
      <c r="G768" s="24" t="s">
        <v>767</v>
      </c>
      <c r="H768" s="24" t="s">
        <v>62</v>
      </c>
      <c r="I768" s="24">
        <v>2014</v>
      </c>
      <c r="J768" s="24"/>
      <c r="K768" s="24" t="s">
        <v>63</v>
      </c>
      <c r="L768" s="24" t="s">
        <v>64</v>
      </c>
      <c r="M768" s="24">
        <v>1</v>
      </c>
      <c r="N768" s="41">
        <f t="shared" si="294"/>
        <v>2486000</v>
      </c>
      <c r="O768" s="41">
        <v>2486000</v>
      </c>
      <c r="P768" s="24"/>
      <c r="Q768" s="24"/>
      <c r="R768" s="24"/>
      <c r="S768" s="41">
        <f t="shared" si="295"/>
        <v>2486000</v>
      </c>
      <c r="T768" s="24">
        <v>5</v>
      </c>
      <c r="U768" s="41"/>
      <c r="V768" s="24">
        <v>0.5</v>
      </c>
      <c r="W768" s="41">
        <f t="shared" si="305"/>
        <v>0</v>
      </c>
      <c r="X768" s="24"/>
      <c r="Y768" s="41">
        <f t="shared" si="306"/>
        <v>0</v>
      </c>
      <c r="Z768" s="41">
        <f t="shared" si="307"/>
        <v>0</v>
      </c>
      <c r="AA768" s="24">
        <v>5</v>
      </c>
      <c r="AB768" s="41">
        <v>2486000</v>
      </c>
      <c r="AC768" s="41">
        <f t="shared" si="302"/>
        <v>0</v>
      </c>
      <c r="AD768" s="70" t="s">
        <v>276</v>
      </c>
      <c r="AE768" s="70"/>
      <c r="AG768" s="81"/>
    </row>
    <row r="769" spans="1:33" s="1" customFormat="1" ht="12" customHeight="1" x14ac:dyDescent="0.25">
      <c r="A769" s="49">
        <v>55</v>
      </c>
      <c r="B769" s="22" t="s">
        <v>1736</v>
      </c>
      <c r="C769" s="22" t="s">
        <v>1091</v>
      </c>
      <c r="D769" s="51" t="s">
        <v>1086</v>
      </c>
      <c r="E769" s="24" t="s">
        <v>166</v>
      </c>
      <c r="F769" s="24"/>
      <c r="G769" s="24" t="s">
        <v>767</v>
      </c>
      <c r="H769" s="24" t="s">
        <v>62</v>
      </c>
      <c r="I769" s="24">
        <v>2014</v>
      </c>
      <c r="J769" s="24"/>
      <c r="K769" s="24" t="s">
        <v>63</v>
      </c>
      <c r="L769" s="24" t="s">
        <v>64</v>
      </c>
      <c r="M769" s="24">
        <v>1</v>
      </c>
      <c r="N769" s="41">
        <f t="shared" si="294"/>
        <v>2486000</v>
      </c>
      <c r="O769" s="41">
        <v>2486000</v>
      </c>
      <c r="P769" s="24"/>
      <c r="Q769" s="24"/>
      <c r="R769" s="24"/>
      <c r="S769" s="41">
        <f t="shared" si="295"/>
        <v>2486000</v>
      </c>
      <c r="T769" s="24">
        <v>5</v>
      </c>
      <c r="U769" s="41"/>
      <c r="V769" s="24">
        <v>0.5</v>
      </c>
      <c r="W769" s="41">
        <f t="shared" si="305"/>
        <v>0</v>
      </c>
      <c r="X769" s="24"/>
      <c r="Y769" s="41">
        <f t="shared" si="306"/>
        <v>0</v>
      </c>
      <c r="Z769" s="41">
        <f t="shared" si="307"/>
        <v>0</v>
      </c>
      <c r="AA769" s="24">
        <v>5</v>
      </c>
      <c r="AB769" s="41">
        <v>2486000</v>
      </c>
      <c r="AC769" s="41">
        <f t="shared" si="302"/>
        <v>0</v>
      </c>
      <c r="AD769" s="70" t="s">
        <v>328</v>
      </c>
      <c r="AE769" s="70"/>
      <c r="AG769" s="81"/>
    </row>
    <row r="770" spans="1:33" s="1" customFormat="1" ht="12" customHeight="1" x14ac:dyDescent="0.25">
      <c r="A770" s="49">
        <v>56</v>
      </c>
      <c r="B770" s="22" t="s">
        <v>1736</v>
      </c>
      <c r="C770" s="22" t="s">
        <v>1092</v>
      </c>
      <c r="D770" s="51" t="s">
        <v>1086</v>
      </c>
      <c r="E770" s="24" t="s">
        <v>166</v>
      </c>
      <c r="F770" s="24"/>
      <c r="G770" s="24" t="s">
        <v>767</v>
      </c>
      <c r="H770" s="24" t="s">
        <v>62</v>
      </c>
      <c r="I770" s="24">
        <v>2014</v>
      </c>
      <c r="J770" s="24"/>
      <c r="K770" s="24" t="s">
        <v>63</v>
      </c>
      <c r="L770" s="24" t="s">
        <v>64</v>
      </c>
      <c r="M770" s="24">
        <v>1</v>
      </c>
      <c r="N770" s="41">
        <f t="shared" si="294"/>
        <v>2486000</v>
      </c>
      <c r="O770" s="41">
        <v>2486000</v>
      </c>
      <c r="P770" s="24"/>
      <c r="Q770" s="24"/>
      <c r="R770" s="24"/>
      <c r="S770" s="41">
        <f t="shared" si="295"/>
        <v>2486000</v>
      </c>
      <c r="T770" s="24">
        <v>5</v>
      </c>
      <c r="U770" s="41"/>
      <c r="V770" s="24">
        <v>0.5</v>
      </c>
      <c r="W770" s="41">
        <f t="shared" si="305"/>
        <v>0</v>
      </c>
      <c r="X770" s="24"/>
      <c r="Y770" s="41">
        <f t="shared" si="306"/>
        <v>0</v>
      </c>
      <c r="Z770" s="41">
        <f t="shared" si="307"/>
        <v>0</v>
      </c>
      <c r="AA770" s="24">
        <v>5</v>
      </c>
      <c r="AB770" s="41">
        <v>2486000</v>
      </c>
      <c r="AC770" s="41">
        <f t="shared" si="302"/>
        <v>0</v>
      </c>
      <c r="AD770" s="70" t="s">
        <v>331</v>
      </c>
      <c r="AE770" s="70"/>
      <c r="AG770" s="81"/>
    </row>
    <row r="771" spans="1:33" s="1" customFormat="1" ht="12" customHeight="1" x14ac:dyDescent="0.25">
      <c r="A771" s="49">
        <v>57</v>
      </c>
      <c r="B771" s="22" t="s">
        <v>1736</v>
      </c>
      <c r="C771" s="22" t="s">
        <v>1093</v>
      </c>
      <c r="D771" s="51" t="s">
        <v>1086</v>
      </c>
      <c r="E771" s="24" t="s">
        <v>166</v>
      </c>
      <c r="F771" s="24"/>
      <c r="G771" s="24" t="s">
        <v>767</v>
      </c>
      <c r="H771" s="24" t="s">
        <v>62</v>
      </c>
      <c r="I771" s="24">
        <v>2014</v>
      </c>
      <c r="J771" s="24"/>
      <c r="K771" s="24" t="s">
        <v>63</v>
      </c>
      <c r="L771" s="24" t="s">
        <v>64</v>
      </c>
      <c r="M771" s="24">
        <v>1</v>
      </c>
      <c r="N771" s="41">
        <f t="shared" si="294"/>
        <v>2486000</v>
      </c>
      <c r="O771" s="41">
        <v>2486000</v>
      </c>
      <c r="P771" s="24"/>
      <c r="Q771" s="24"/>
      <c r="R771" s="24"/>
      <c r="S771" s="41">
        <f t="shared" si="295"/>
        <v>2486000</v>
      </c>
      <c r="T771" s="24">
        <v>5</v>
      </c>
      <c r="U771" s="41"/>
      <c r="V771" s="24">
        <v>0.5</v>
      </c>
      <c r="W771" s="41">
        <f t="shared" si="305"/>
        <v>0</v>
      </c>
      <c r="X771" s="24"/>
      <c r="Y771" s="41">
        <f t="shared" si="306"/>
        <v>0</v>
      </c>
      <c r="Z771" s="41">
        <f t="shared" si="307"/>
        <v>0</v>
      </c>
      <c r="AA771" s="24">
        <v>5</v>
      </c>
      <c r="AB771" s="41">
        <v>2486000</v>
      </c>
      <c r="AC771" s="41">
        <f t="shared" si="302"/>
        <v>0</v>
      </c>
      <c r="AD771" s="70" t="s">
        <v>208</v>
      </c>
      <c r="AE771" s="70"/>
      <c r="AG771" s="81"/>
    </row>
    <row r="772" spans="1:33" s="1" customFormat="1" ht="12" customHeight="1" x14ac:dyDescent="0.25">
      <c r="A772" s="49">
        <v>58</v>
      </c>
      <c r="B772" s="22" t="s">
        <v>1736</v>
      </c>
      <c r="C772" s="22" t="s">
        <v>1094</v>
      </c>
      <c r="D772" s="51" t="s">
        <v>1086</v>
      </c>
      <c r="E772" s="24" t="s">
        <v>166</v>
      </c>
      <c r="F772" s="24"/>
      <c r="G772" s="24" t="s">
        <v>767</v>
      </c>
      <c r="H772" s="24" t="s">
        <v>62</v>
      </c>
      <c r="I772" s="24">
        <v>2014</v>
      </c>
      <c r="J772" s="24"/>
      <c r="K772" s="24" t="s">
        <v>63</v>
      </c>
      <c r="L772" s="24" t="s">
        <v>64</v>
      </c>
      <c r="M772" s="24">
        <v>6</v>
      </c>
      <c r="N772" s="41">
        <f t="shared" si="294"/>
        <v>2486000</v>
      </c>
      <c r="O772" s="41">
        <v>14916000</v>
      </c>
      <c r="P772" s="24"/>
      <c r="Q772" s="24"/>
      <c r="R772" s="24"/>
      <c r="S772" s="41">
        <f t="shared" si="295"/>
        <v>14916000</v>
      </c>
      <c r="T772" s="24">
        <v>5</v>
      </c>
      <c r="U772" s="41"/>
      <c r="V772" s="24">
        <v>0.5</v>
      </c>
      <c r="W772" s="41">
        <f t="shared" si="305"/>
        <v>0</v>
      </c>
      <c r="X772" s="24"/>
      <c r="Y772" s="41">
        <f t="shared" si="306"/>
        <v>0</v>
      </c>
      <c r="Z772" s="41">
        <f t="shared" si="307"/>
        <v>0</v>
      </c>
      <c r="AA772" s="24">
        <v>5</v>
      </c>
      <c r="AB772" s="41">
        <v>14916000</v>
      </c>
      <c r="AC772" s="41">
        <f t="shared" si="302"/>
        <v>0</v>
      </c>
      <c r="AD772" s="70" t="s">
        <v>608</v>
      </c>
      <c r="AE772" s="70"/>
      <c r="AG772" s="81"/>
    </row>
    <row r="773" spans="1:33" s="1" customFormat="1" ht="12" customHeight="1" x14ac:dyDescent="0.25">
      <c r="A773" s="49">
        <v>59</v>
      </c>
      <c r="B773" s="22" t="s">
        <v>1736</v>
      </c>
      <c r="C773" s="22" t="s">
        <v>1095</v>
      </c>
      <c r="D773" s="51" t="s">
        <v>1096</v>
      </c>
      <c r="E773" s="24" t="s">
        <v>166</v>
      </c>
      <c r="F773" s="24"/>
      <c r="G773" s="24" t="s">
        <v>767</v>
      </c>
      <c r="H773" s="24" t="s">
        <v>62</v>
      </c>
      <c r="I773" s="24">
        <v>2014</v>
      </c>
      <c r="J773" s="24"/>
      <c r="K773" s="24" t="s">
        <v>63</v>
      </c>
      <c r="L773" s="24" t="s">
        <v>64</v>
      </c>
      <c r="M773" s="24">
        <v>1</v>
      </c>
      <c r="N773" s="41">
        <f t="shared" si="294"/>
        <v>4950000</v>
      </c>
      <c r="O773" s="41">
        <v>4950000</v>
      </c>
      <c r="P773" s="24"/>
      <c r="Q773" s="24"/>
      <c r="R773" s="24"/>
      <c r="S773" s="41">
        <f t="shared" si="295"/>
        <v>4950000</v>
      </c>
      <c r="T773" s="24">
        <v>5</v>
      </c>
      <c r="U773" s="41"/>
      <c r="V773" s="24">
        <v>0.5</v>
      </c>
      <c r="W773" s="41">
        <f t="shared" si="305"/>
        <v>0</v>
      </c>
      <c r="X773" s="24"/>
      <c r="Y773" s="41">
        <f t="shared" si="306"/>
        <v>0</v>
      </c>
      <c r="Z773" s="41">
        <f t="shared" si="307"/>
        <v>0</v>
      </c>
      <c r="AA773" s="24">
        <v>5</v>
      </c>
      <c r="AB773" s="41">
        <v>4950000</v>
      </c>
      <c r="AC773" s="41">
        <f t="shared" si="302"/>
        <v>0</v>
      </c>
      <c r="AD773" s="70" t="s">
        <v>311</v>
      </c>
      <c r="AE773" s="70"/>
      <c r="AG773" s="81"/>
    </row>
    <row r="774" spans="1:33" s="1" customFormat="1" ht="12" customHeight="1" x14ac:dyDescent="0.25">
      <c r="A774" s="49">
        <v>60</v>
      </c>
      <c r="B774" s="22" t="s">
        <v>1736</v>
      </c>
      <c r="C774" s="22" t="s">
        <v>1097</v>
      </c>
      <c r="D774" s="51" t="s">
        <v>1096</v>
      </c>
      <c r="E774" s="24" t="s">
        <v>166</v>
      </c>
      <c r="F774" s="24"/>
      <c r="G774" s="24" t="s">
        <v>767</v>
      </c>
      <c r="H774" s="24" t="s">
        <v>62</v>
      </c>
      <c r="I774" s="24">
        <v>2014</v>
      </c>
      <c r="J774" s="24"/>
      <c r="K774" s="24" t="s">
        <v>63</v>
      </c>
      <c r="L774" s="24" t="s">
        <v>64</v>
      </c>
      <c r="M774" s="24">
        <v>1</v>
      </c>
      <c r="N774" s="41">
        <f t="shared" si="294"/>
        <v>4950000</v>
      </c>
      <c r="O774" s="41">
        <v>4950000</v>
      </c>
      <c r="P774" s="24"/>
      <c r="Q774" s="24"/>
      <c r="R774" s="24"/>
      <c r="S774" s="41">
        <f t="shared" si="295"/>
        <v>4950000</v>
      </c>
      <c r="T774" s="24">
        <v>5</v>
      </c>
      <c r="U774" s="41"/>
      <c r="V774" s="24">
        <v>0.5</v>
      </c>
      <c r="W774" s="41">
        <f t="shared" si="305"/>
        <v>0</v>
      </c>
      <c r="X774" s="24"/>
      <c r="Y774" s="41">
        <f t="shared" si="306"/>
        <v>0</v>
      </c>
      <c r="Z774" s="41">
        <f t="shared" si="307"/>
        <v>0</v>
      </c>
      <c r="AA774" s="24">
        <v>5</v>
      </c>
      <c r="AB774" s="41">
        <v>4950000</v>
      </c>
      <c r="AC774" s="41">
        <f t="shared" si="302"/>
        <v>0</v>
      </c>
      <c r="AD774" s="70" t="s">
        <v>352</v>
      </c>
      <c r="AE774" s="70"/>
      <c r="AG774" s="81"/>
    </row>
    <row r="775" spans="1:33" s="1" customFormat="1" ht="12" customHeight="1" x14ac:dyDescent="0.25">
      <c r="A775" s="49">
        <v>61</v>
      </c>
      <c r="B775" s="22" t="s">
        <v>1737</v>
      </c>
      <c r="C775" s="22" t="s">
        <v>1098</v>
      </c>
      <c r="D775" s="51" t="s">
        <v>1099</v>
      </c>
      <c r="E775" s="24" t="s">
        <v>1100</v>
      </c>
      <c r="F775" s="24"/>
      <c r="G775" s="24" t="s">
        <v>737</v>
      </c>
      <c r="H775" s="24" t="s">
        <v>62</v>
      </c>
      <c r="I775" s="24">
        <v>2007</v>
      </c>
      <c r="J775" s="24"/>
      <c r="K775" s="24" t="s">
        <v>63</v>
      </c>
      <c r="L775" s="24" t="s">
        <v>64</v>
      </c>
      <c r="M775" s="24">
        <v>6</v>
      </c>
      <c r="N775" s="41">
        <f t="shared" si="294"/>
        <v>370000</v>
      </c>
      <c r="O775" s="41">
        <v>2220000</v>
      </c>
      <c r="P775" s="24"/>
      <c r="Q775" s="24"/>
      <c r="R775" s="24"/>
      <c r="S775" s="41">
        <f t="shared" si="295"/>
        <v>2220000</v>
      </c>
      <c r="T775" s="24">
        <v>5</v>
      </c>
      <c r="U775" s="41"/>
      <c r="V775" s="24">
        <v>0.5</v>
      </c>
      <c r="W775" s="41">
        <f t="shared" si="305"/>
        <v>0</v>
      </c>
      <c r="X775" s="24"/>
      <c r="Y775" s="41">
        <f t="shared" si="306"/>
        <v>0</v>
      </c>
      <c r="Z775" s="41">
        <f t="shared" si="307"/>
        <v>0</v>
      </c>
      <c r="AA775" s="24">
        <v>5</v>
      </c>
      <c r="AB775" s="41">
        <v>2220000</v>
      </c>
      <c r="AC775" s="41">
        <f t="shared" si="302"/>
        <v>0</v>
      </c>
      <c r="AD775" s="70" t="s">
        <v>208</v>
      </c>
      <c r="AE775" s="70"/>
      <c r="AG775" s="81"/>
    </row>
    <row r="776" spans="1:33" s="1" customFormat="1" ht="12" customHeight="1" x14ac:dyDescent="0.25">
      <c r="A776" s="49">
        <v>62</v>
      </c>
      <c r="B776" s="22" t="s">
        <v>1737</v>
      </c>
      <c r="C776" s="22" t="s">
        <v>1101</v>
      </c>
      <c r="D776" s="51" t="s">
        <v>1099</v>
      </c>
      <c r="E776" s="24" t="s">
        <v>1100</v>
      </c>
      <c r="F776" s="24"/>
      <c r="G776" s="24" t="s">
        <v>737</v>
      </c>
      <c r="H776" s="24" t="s">
        <v>62</v>
      </c>
      <c r="I776" s="24">
        <v>2007</v>
      </c>
      <c r="J776" s="24"/>
      <c r="K776" s="24" t="s">
        <v>63</v>
      </c>
      <c r="L776" s="24" t="s">
        <v>64</v>
      </c>
      <c r="M776" s="24">
        <v>13</v>
      </c>
      <c r="N776" s="41">
        <f t="shared" si="294"/>
        <v>370000</v>
      </c>
      <c r="O776" s="41">
        <v>4810000</v>
      </c>
      <c r="P776" s="24"/>
      <c r="Q776" s="24"/>
      <c r="R776" s="24"/>
      <c r="S776" s="41">
        <f t="shared" si="295"/>
        <v>4810000</v>
      </c>
      <c r="T776" s="24">
        <v>5</v>
      </c>
      <c r="U776" s="41"/>
      <c r="V776" s="24">
        <v>0.5</v>
      </c>
      <c r="W776" s="41">
        <f t="shared" si="305"/>
        <v>0</v>
      </c>
      <c r="X776" s="24"/>
      <c r="Y776" s="41">
        <f t="shared" si="306"/>
        <v>0</v>
      </c>
      <c r="Z776" s="41">
        <f t="shared" si="307"/>
        <v>0</v>
      </c>
      <c r="AA776" s="24">
        <v>5</v>
      </c>
      <c r="AB776" s="41">
        <v>4810000</v>
      </c>
      <c r="AC776" s="41">
        <f t="shared" si="302"/>
        <v>0</v>
      </c>
      <c r="AD776" s="70" t="s">
        <v>311</v>
      </c>
      <c r="AE776" s="70"/>
      <c r="AG776" s="81"/>
    </row>
    <row r="777" spans="1:33" s="1" customFormat="1" ht="12" customHeight="1" x14ac:dyDescent="0.25">
      <c r="A777" s="49">
        <v>63</v>
      </c>
      <c r="B777" s="22" t="s">
        <v>1737</v>
      </c>
      <c r="C777" s="22" t="s">
        <v>1102</v>
      </c>
      <c r="D777" s="51" t="s">
        <v>1099</v>
      </c>
      <c r="E777" s="24" t="s">
        <v>1100</v>
      </c>
      <c r="F777" s="24"/>
      <c r="G777" s="24" t="s">
        <v>737</v>
      </c>
      <c r="H777" s="24" t="s">
        <v>62</v>
      </c>
      <c r="I777" s="24">
        <v>2007</v>
      </c>
      <c r="J777" s="24"/>
      <c r="K777" s="24" t="s">
        <v>63</v>
      </c>
      <c r="L777" s="24" t="s">
        <v>64</v>
      </c>
      <c r="M777" s="24">
        <v>2</v>
      </c>
      <c r="N777" s="41">
        <f t="shared" si="294"/>
        <v>370000</v>
      </c>
      <c r="O777" s="41">
        <v>740000</v>
      </c>
      <c r="P777" s="24"/>
      <c r="Q777" s="24"/>
      <c r="R777" s="24"/>
      <c r="S777" s="41">
        <f t="shared" si="295"/>
        <v>740000</v>
      </c>
      <c r="T777" s="24">
        <v>5</v>
      </c>
      <c r="U777" s="41"/>
      <c r="V777" s="24">
        <v>0.5</v>
      </c>
      <c r="W777" s="41">
        <f t="shared" si="305"/>
        <v>0</v>
      </c>
      <c r="X777" s="24"/>
      <c r="Y777" s="41">
        <f t="shared" si="306"/>
        <v>0</v>
      </c>
      <c r="Z777" s="41">
        <f t="shared" si="307"/>
        <v>0</v>
      </c>
      <c r="AA777" s="24">
        <v>5</v>
      </c>
      <c r="AB777" s="41">
        <v>740000</v>
      </c>
      <c r="AC777" s="41">
        <f t="shared" si="302"/>
        <v>0</v>
      </c>
      <c r="AD777" s="70" t="s">
        <v>1103</v>
      </c>
      <c r="AE777" s="70"/>
      <c r="AG777" s="81"/>
    </row>
    <row r="778" spans="1:33" s="1" customFormat="1" ht="12" customHeight="1" x14ac:dyDescent="0.25">
      <c r="A778" s="49">
        <v>64</v>
      </c>
      <c r="B778" s="22" t="s">
        <v>1737</v>
      </c>
      <c r="C778" s="22" t="s">
        <v>1104</v>
      </c>
      <c r="D778" s="51" t="s">
        <v>1099</v>
      </c>
      <c r="E778" s="24" t="s">
        <v>1100</v>
      </c>
      <c r="F778" s="24"/>
      <c r="G778" s="24" t="s">
        <v>737</v>
      </c>
      <c r="H778" s="24" t="s">
        <v>62</v>
      </c>
      <c r="I778" s="24">
        <v>2007</v>
      </c>
      <c r="J778" s="24"/>
      <c r="K778" s="24" t="s">
        <v>63</v>
      </c>
      <c r="L778" s="24" t="s">
        <v>64</v>
      </c>
      <c r="M778" s="24">
        <v>3</v>
      </c>
      <c r="N778" s="41">
        <f t="shared" si="294"/>
        <v>370000</v>
      </c>
      <c r="O778" s="41">
        <v>1110000</v>
      </c>
      <c r="P778" s="24"/>
      <c r="Q778" s="24"/>
      <c r="R778" s="24"/>
      <c r="S778" s="41">
        <f t="shared" si="295"/>
        <v>1110000</v>
      </c>
      <c r="T778" s="24">
        <v>5</v>
      </c>
      <c r="U778" s="41"/>
      <c r="V778" s="24">
        <v>0.5</v>
      </c>
      <c r="W778" s="41">
        <f t="shared" si="305"/>
        <v>0</v>
      </c>
      <c r="X778" s="24"/>
      <c r="Y778" s="41">
        <f t="shared" si="306"/>
        <v>0</v>
      </c>
      <c r="Z778" s="41">
        <f t="shared" si="307"/>
        <v>0</v>
      </c>
      <c r="AA778" s="72">
        <v>5</v>
      </c>
      <c r="AB778" s="41">
        <v>1110000</v>
      </c>
      <c r="AC778" s="41">
        <f t="shared" si="302"/>
        <v>0</v>
      </c>
      <c r="AD778" s="70" t="s">
        <v>1105</v>
      </c>
      <c r="AE778" s="70"/>
      <c r="AG778" s="81"/>
    </row>
    <row r="779" spans="1:33" s="1" customFormat="1" ht="12" customHeight="1" x14ac:dyDescent="0.25">
      <c r="A779" s="49">
        <v>65</v>
      </c>
      <c r="B779" s="22" t="s">
        <v>1737</v>
      </c>
      <c r="C779" s="22" t="s">
        <v>1106</v>
      </c>
      <c r="D779" s="51" t="s">
        <v>1099</v>
      </c>
      <c r="E779" s="24" t="s">
        <v>1100</v>
      </c>
      <c r="F779" s="24"/>
      <c r="G779" s="24" t="s">
        <v>737</v>
      </c>
      <c r="H779" s="24" t="s">
        <v>62</v>
      </c>
      <c r="I779" s="24">
        <v>2007</v>
      </c>
      <c r="J779" s="24"/>
      <c r="K779" s="24" t="s">
        <v>63</v>
      </c>
      <c r="L779" s="24" t="s">
        <v>64</v>
      </c>
      <c r="M779" s="24">
        <v>6</v>
      </c>
      <c r="N779" s="41">
        <f t="shared" ref="N779:N784" si="308">SUM(O779/M779)</f>
        <v>370000</v>
      </c>
      <c r="O779" s="41">
        <v>2220000</v>
      </c>
      <c r="P779" s="24"/>
      <c r="Q779" s="24"/>
      <c r="R779" s="24"/>
      <c r="S779" s="41">
        <f t="shared" ref="S779:S784" si="309">SUM(O779-R779)</f>
        <v>2220000</v>
      </c>
      <c r="T779" s="24">
        <v>5</v>
      </c>
      <c r="U779" s="41"/>
      <c r="V779" s="24">
        <v>0.5</v>
      </c>
      <c r="W779" s="41">
        <f t="shared" si="305"/>
        <v>0</v>
      </c>
      <c r="X779" s="24"/>
      <c r="Y779" s="41">
        <f t="shared" si="306"/>
        <v>0</v>
      </c>
      <c r="Z779" s="41">
        <f t="shared" si="307"/>
        <v>0</v>
      </c>
      <c r="AA779" s="24">
        <v>5</v>
      </c>
      <c r="AB779" s="41">
        <v>2220000</v>
      </c>
      <c r="AC779" s="41">
        <f t="shared" si="302"/>
        <v>0</v>
      </c>
      <c r="AD779" s="70" t="s">
        <v>259</v>
      </c>
      <c r="AE779" s="70"/>
      <c r="AG779" s="81"/>
    </row>
    <row r="780" spans="1:33" s="1" customFormat="1" ht="12" customHeight="1" x14ac:dyDescent="0.25">
      <c r="A780" s="49">
        <v>66</v>
      </c>
      <c r="B780" s="22" t="s">
        <v>1737</v>
      </c>
      <c r="C780" s="22" t="s">
        <v>1107</v>
      </c>
      <c r="D780" s="51" t="s">
        <v>1099</v>
      </c>
      <c r="E780" s="24" t="s">
        <v>1100</v>
      </c>
      <c r="F780" s="24"/>
      <c r="G780" s="24" t="s">
        <v>737</v>
      </c>
      <c r="H780" s="24" t="s">
        <v>62</v>
      </c>
      <c r="I780" s="24">
        <v>2007</v>
      </c>
      <c r="J780" s="24"/>
      <c r="K780" s="24" t="s">
        <v>63</v>
      </c>
      <c r="L780" s="24" t="s">
        <v>64</v>
      </c>
      <c r="M780" s="24">
        <v>8</v>
      </c>
      <c r="N780" s="41">
        <f t="shared" si="308"/>
        <v>370000</v>
      </c>
      <c r="O780" s="41">
        <v>2960000</v>
      </c>
      <c r="P780" s="24"/>
      <c r="Q780" s="24"/>
      <c r="R780" s="24"/>
      <c r="S780" s="41">
        <f t="shared" si="309"/>
        <v>2960000</v>
      </c>
      <c r="T780" s="24">
        <v>5</v>
      </c>
      <c r="U780" s="41"/>
      <c r="V780" s="24">
        <v>0.5</v>
      </c>
      <c r="W780" s="41">
        <f t="shared" si="305"/>
        <v>0</v>
      </c>
      <c r="X780" s="24"/>
      <c r="Y780" s="41">
        <f t="shared" si="306"/>
        <v>0</v>
      </c>
      <c r="Z780" s="41">
        <f t="shared" si="307"/>
        <v>0</v>
      </c>
      <c r="AA780" s="24">
        <v>5</v>
      </c>
      <c r="AB780" s="41">
        <v>2960000</v>
      </c>
      <c r="AC780" s="41">
        <f t="shared" si="302"/>
        <v>0</v>
      </c>
      <c r="AD780" s="70" t="s">
        <v>385</v>
      </c>
      <c r="AE780" s="70"/>
      <c r="AG780" s="81"/>
    </row>
    <row r="781" spans="1:33" s="1" customFormat="1" ht="12" customHeight="1" x14ac:dyDescent="0.25">
      <c r="A781" s="49">
        <v>67</v>
      </c>
      <c r="B781" s="22" t="s">
        <v>1737</v>
      </c>
      <c r="C781" s="22" t="s">
        <v>1108</v>
      </c>
      <c r="D781" s="51" t="s">
        <v>1099</v>
      </c>
      <c r="E781" s="24" t="s">
        <v>1100</v>
      </c>
      <c r="F781" s="24"/>
      <c r="G781" s="24" t="s">
        <v>737</v>
      </c>
      <c r="H781" s="24" t="s">
        <v>62</v>
      </c>
      <c r="I781" s="24">
        <v>2007</v>
      </c>
      <c r="J781" s="24"/>
      <c r="K781" s="24" t="s">
        <v>63</v>
      </c>
      <c r="L781" s="24" t="s">
        <v>64</v>
      </c>
      <c r="M781" s="24">
        <v>2</v>
      </c>
      <c r="N781" s="41">
        <f t="shared" si="308"/>
        <v>370000</v>
      </c>
      <c r="O781" s="41">
        <v>740000</v>
      </c>
      <c r="P781" s="24"/>
      <c r="Q781" s="24"/>
      <c r="R781" s="24"/>
      <c r="S781" s="41">
        <f t="shared" si="309"/>
        <v>740000</v>
      </c>
      <c r="T781" s="24">
        <v>5</v>
      </c>
      <c r="U781" s="41"/>
      <c r="V781" s="24">
        <v>0.5</v>
      </c>
      <c r="W781" s="41">
        <f t="shared" si="305"/>
        <v>0</v>
      </c>
      <c r="X781" s="24"/>
      <c r="Y781" s="41">
        <f t="shared" si="306"/>
        <v>0</v>
      </c>
      <c r="Z781" s="41">
        <f t="shared" si="307"/>
        <v>0</v>
      </c>
      <c r="AA781" s="24">
        <v>5</v>
      </c>
      <c r="AB781" s="41">
        <v>740000</v>
      </c>
      <c r="AC781" s="41">
        <f t="shared" si="302"/>
        <v>0</v>
      </c>
      <c r="AD781" s="70" t="s">
        <v>479</v>
      </c>
      <c r="AE781" s="70"/>
      <c r="AG781" s="81"/>
    </row>
    <row r="782" spans="1:33" s="1" customFormat="1" ht="12" customHeight="1" x14ac:dyDescent="0.25">
      <c r="A782" s="49">
        <v>68</v>
      </c>
      <c r="B782" s="22" t="s">
        <v>1737</v>
      </c>
      <c r="C782" s="22" t="s">
        <v>1109</v>
      </c>
      <c r="D782" s="51" t="s">
        <v>1099</v>
      </c>
      <c r="E782" s="24" t="s">
        <v>1100</v>
      </c>
      <c r="F782" s="24"/>
      <c r="G782" s="24" t="s">
        <v>737</v>
      </c>
      <c r="H782" s="24" t="s">
        <v>62</v>
      </c>
      <c r="I782" s="24">
        <v>2009</v>
      </c>
      <c r="J782" s="24"/>
      <c r="K782" s="24" t="s">
        <v>63</v>
      </c>
      <c r="L782" s="24" t="s">
        <v>64</v>
      </c>
      <c r="M782" s="24">
        <v>200</v>
      </c>
      <c r="N782" s="41">
        <f t="shared" si="308"/>
        <v>194350</v>
      </c>
      <c r="O782" s="41">
        <v>38870000</v>
      </c>
      <c r="P782" s="24"/>
      <c r="Q782" s="24"/>
      <c r="R782" s="24"/>
      <c r="S782" s="41">
        <f t="shared" si="309"/>
        <v>38870000</v>
      </c>
      <c r="T782" s="24">
        <v>5</v>
      </c>
      <c r="U782" s="41"/>
      <c r="V782" s="24">
        <v>0.5</v>
      </c>
      <c r="W782" s="41">
        <f t="shared" si="305"/>
        <v>0</v>
      </c>
      <c r="X782" s="24"/>
      <c r="Y782" s="41">
        <f t="shared" si="306"/>
        <v>0</v>
      </c>
      <c r="Z782" s="41">
        <f t="shared" si="307"/>
        <v>0</v>
      </c>
      <c r="AA782" s="24">
        <v>5</v>
      </c>
      <c r="AB782" s="41">
        <v>38870000</v>
      </c>
      <c r="AC782" s="41">
        <f t="shared" si="302"/>
        <v>0</v>
      </c>
      <c r="AD782" s="70" t="s">
        <v>295</v>
      </c>
      <c r="AE782" s="70"/>
      <c r="AG782" s="81"/>
    </row>
    <row r="783" spans="1:33" s="1" customFormat="1" ht="12" customHeight="1" x14ac:dyDescent="0.25">
      <c r="A783" s="49">
        <v>69</v>
      </c>
      <c r="B783" s="22" t="s">
        <v>1737</v>
      </c>
      <c r="C783" s="22" t="s">
        <v>1110</v>
      </c>
      <c r="D783" s="51" t="s">
        <v>1099</v>
      </c>
      <c r="E783" s="24" t="s">
        <v>1111</v>
      </c>
      <c r="F783" s="24"/>
      <c r="G783" s="24" t="s">
        <v>737</v>
      </c>
      <c r="H783" s="24" t="s">
        <v>62</v>
      </c>
      <c r="I783" s="24">
        <v>2011</v>
      </c>
      <c r="J783" s="24"/>
      <c r="K783" s="24" t="s">
        <v>63</v>
      </c>
      <c r="L783" s="24" t="s">
        <v>64</v>
      </c>
      <c r="M783" s="24">
        <v>18</v>
      </c>
      <c r="N783" s="41">
        <f t="shared" si="308"/>
        <v>500000</v>
      </c>
      <c r="O783" s="41">
        <v>9000000</v>
      </c>
      <c r="P783" s="24"/>
      <c r="Q783" s="24"/>
      <c r="R783" s="24"/>
      <c r="S783" s="41">
        <f t="shared" si="309"/>
        <v>9000000</v>
      </c>
      <c r="T783" s="24">
        <v>5</v>
      </c>
      <c r="U783" s="41"/>
      <c r="V783" s="24">
        <v>0.5</v>
      </c>
      <c r="W783" s="41">
        <f t="shared" si="305"/>
        <v>0</v>
      </c>
      <c r="X783" s="24"/>
      <c r="Y783" s="41">
        <f t="shared" si="306"/>
        <v>0</v>
      </c>
      <c r="Z783" s="41">
        <f t="shared" si="307"/>
        <v>0</v>
      </c>
      <c r="AA783" s="24">
        <v>5</v>
      </c>
      <c r="AB783" s="41">
        <v>9000000</v>
      </c>
      <c r="AC783" s="41">
        <f t="shared" si="302"/>
        <v>0</v>
      </c>
      <c r="AD783" s="70" t="s">
        <v>616</v>
      </c>
      <c r="AE783" s="70"/>
      <c r="AG783" s="81"/>
    </row>
    <row r="784" spans="1:33" s="1" customFormat="1" ht="12" customHeight="1" x14ac:dyDescent="0.25">
      <c r="A784" s="49">
        <v>70</v>
      </c>
      <c r="B784" s="22" t="s">
        <v>1737</v>
      </c>
      <c r="C784" s="22" t="s">
        <v>1112</v>
      </c>
      <c r="D784" s="51" t="s">
        <v>1099</v>
      </c>
      <c r="E784" s="24" t="s">
        <v>1111</v>
      </c>
      <c r="F784" s="24"/>
      <c r="G784" s="24" t="s">
        <v>737</v>
      </c>
      <c r="H784" s="24" t="s">
        <v>62</v>
      </c>
      <c r="I784" s="24">
        <v>2011</v>
      </c>
      <c r="J784" s="24"/>
      <c r="K784" s="24" t="s">
        <v>63</v>
      </c>
      <c r="L784" s="24" t="s">
        <v>64</v>
      </c>
      <c r="M784" s="24">
        <v>2</v>
      </c>
      <c r="N784" s="41">
        <f t="shared" si="308"/>
        <v>500000</v>
      </c>
      <c r="O784" s="41">
        <v>1000000</v>
      </c>
      <c r="P784" s="24"/>
      <c r="Q784" s="24"/>
      <c r="R784" s="24"/>
      <c r="S784" s="41">
        <f t="shared" si="309"/>
        <v>1000000</v>
      </c>
      <c r="T784" s="24">
        <v>5</v>
      </c>
      <c r="U784" s="41"/>
      <c r="V784" s="24">
        <v>0.5</v>
      </c>
      <c r="W784" s="41">
        <f t="shared" si="305"/>
        <v>0</v>
      </c>
      <c r="X784" s="24"/>
      <c r="Y784" s="41">
        <f t="shared" si="306"/>
        <v>0</v>
      </c>
      <c r="Z784" s="41">
        <f t="shared" si="307"/>
        <v>0</v>
      </c>
      <c r="AA784" s="24">
        <v>5</v>
      </c>
      <c r="AB784" s="41">
        <v>1000000</v>
      </c>
      <c r="AC784" s="41">
        <f t="shared" si="302"/>
        <v>0</v>
      </c>
      <c r="AD784" s="70" t="s">
        <v>335</v>
      </c>
      <c r="AE784" s="70"/>
      <c r="AG784" s="81"/>
    </row>
    <row r="785" spans="1:33" s="1" customFormat="1" x14ac:dyDescent="0.25">
      <c r="A785" s="21"/>
      <c r="B785" s="22"/>
      <c r="C785" s="22"/>
      <c r="D785" s="23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  <c r="AA785" s="24"/>
      <c r="AB785" s="24"/>
      <c r="AC785" s="24"/>
      <c r="AD785" s="24"/>
      <c r="AE785" s="70"/>
      <c r="AG785" s="83"/>
    </row>
    <row r="786" spans="1:33" s="1" customFormat="1" ht="25.5" x14ac:dyDescent="0.25">
      <c r="A786" s="17"/>
      <c r="B786" s="18" t="s">
        <v>1124</v>
      </c>
      <c r="C786" s="18"/>
      <c r="D786" s="84" t="s">
        <v>1125</v>
      </c>
      <c r="E786" s="20"/>
      <c r="F786" s="20"/>
      <c r="G786" s="20"/>
      <c r="H786" s="20"/>
      <c r="I786" s="20"/>
      <c r="J786" s="20"/>
      <c r="K786" s="20"/>
      <c r="L786" s="20"/>
      <c r="M786" s="20">
        <f>SUM(M787+M794+M803)</f>
        <v>91</v>
      </c>
      <c r="N786" s="20"/>
      <c r="O786" s="37">
        <f>SUM(O787+O794+O803)</f>
        <v>188450500</v>
      </c>
      <c r="P786" s="20">
        <f>P787+P794+P803+P806</f>
        <v>0</v>
      </c>
      <c r="Q786" s="20">
        <f>Q787+Q794+Q803+Q806</f>
        <v>0</v>
      </c>
      <c r="R786" s="20">
        <f>R787+R794+R803+R806</f>
        <v>0</v>
      </c>
      <c r="S786" s="37">
        <f>SUM(S787+S794+S803)</f>
        <v>188450500</v>
      </c>
      <c r="T786" s="20"/>
      <c r="U786" s="183">
        <f>SUM(U787+U794+U803)</f>
        <v>1300000</v>
      </c>
      <c r="V786" s="183"/>
      <c r="W786" s="183">
        <f>SUM(W787+W794+W803)</f>
        <v>400000</v>
      </c>
      <c r="X786" s="183"/>
      <c r="Y786" s="183">
        <f>Y787+Y794+Y803+Y806</f>
        <v>0</v>
      </c>
      <c r="Z786" s="37">
        <f>SUM(Z787+Z794+Z803)</f>
        <v>400000</v>
      </c>
      <c r="AA786" s="183"/>
      <c r="AB786" s="37">
        <f>SUM(AB787+AB794+AB803)</f>
        <v>187450500</v>
      </c>
      <c r="AC786" s="37">
        <f>SUM(AC787+AC794+AC803)</f>
        <v>1000000</v>
      </c>
      <c r="AD786" s="20"/>
      <c r="AE786" s="70"/>
      <c r="AF786" s="1">
        <v>120850500</v>
      </c>
      <c r="AG786" s="83"/>
    </row>
    <row r="787" spans="1:33" s="1" customFormat="1" x14ac:dyDescent="0.25">
      <c r="A787" s="25"/>
      <c r="B787" s="26" t="s">
        <v>1126</v>
      </c>
      <c r="C787" s="26"/>
      <c r="D787" s="64" t="s">
        <v>1127</v>
      </c>
      <c r="E787" s="28"/>
      <c r="F787" s="28"/>
      <c r="G787" s="28"/>
      <c r="H787" s="28"/>
      <c r="I787" s="28"/>
      <c r="J787" s="28"/>
      <c r="K787" s="28"/>
      <c r="L787" s="28"/>
      <c r="M787" s="28">
        <f>SUM(M788:M792)</f>
        <v>81</v>
      </c>
      <c r="N787" s="28"/>
      <c r="O787" s="86">
        <f>SUM(O788:O792)</f>
        <v>10503000</v>
      </c>
      <c r="P787" s="28">
        <f>SUM(P788:P792)</f>
        <v>0</v>
      </c>
      <c r="Q787" s="28">
        <f>SUM(Q788:Q792)</f>
        <v>0</v>
      </c>
      <c r="R787" s="28">
        <f>SUM(R788:R792)</f>
        <v>0</v>
      </c>
      <c r="S787" s="40">
        <f>SUM(S788:S792)</f>
        <v>10503000</v>
      </c>
      <c r="T787" s="28"/>
      <c r="U787" s="86">
        <f>SUM(U788:U792)</f>
        <v>1300000</v>
      </c>
      <c r="V787" s="86"/>
      <c r="W787" s="86">
        <f>SUM(W788:W792)</f>
        <v>400000</v>
      </c>
      <c r="X787" s="86"/>
      <c r="Y787" s="86">
        <f>SUM(Y788:Y792)</f>
        <v>0</v>
      </c>
      <c r="Z787" s="40">
        <f>SUM(Z788:Z792)</f>
        <v>400000</v>
      </c>
      <c r="AA787" s="86"/>
      <c r="AB787" s="86">
        <f>SUM(AB788:AB792)</f>
        <v>9503000</v>
      </c>
      <c r="AC787" s="40">
        <f>SUM(AC788:AC792)</f>
        <v>1000000</v>
      </c>
      <c r="AD787" s="28"/>
      <c r="AE787" s="70"/>
      <c r="AF787" s="5">
        <f>AB786-AF786</f>
        <v>66600000</v>
      </c>
      <c r="AG787" s="83"/>
    </row>
    <row r="788" spans="1:33" s="1" customFormat="1" x14ac:dyDescent="0.25">
      <c r="A788" s="21">
        <v>1</v>
      </c>
      <c r="B788" s="22" t="s">
        <v>1738</v>
      </c>
      <c r="C788" s="22" t="s">
        <v>58</v>
      </c>
      <c r="D788" s="51" t="s">
        <v>623</v>
      </c>
      <c r="E788" s="24" t="s">
        <v>624</v>
      </c>
      <c r="F788" s="24"/>
      <c r="G788" s="24" t="s">
        <v>194</v>
      </c>
      <c r="H788" s="24" t="s">
        <v>62</v>
      </c>
      <c r="I788" s="24">
        <v>2012</v>
      </c>
      <c r="J788" s="24"/>
      <c r="K788" s="24" t="s">
        <v>63</v>
      </c>
      <c r="L788" s="24" t="s">
        <v>64</v>
      </c>
      <c r="M788" s="24">
        <v>1</v>
      </c>
      <c r="N788" s="41">
        <f>SUM(O788/M788)</f>
        <v>2903000</v>
      </c>
      <c r="O788" s="41">
        <v>2903000</v>
      </c>
      <c r="P788" s="24"/>
      <c r="Q788" s="24"/>
      <c r="R788" s="24"/>
      <c r="S788" s="41">
        <f>SUM(O788-R788)</f>
        <v>2903000</v>
      </c>
      <c r="T788" s="24">
        <v>5</v>
      </c>
      <c r="U788" s="41"/>
      <c r="V788" s="24">
        <v>0.5</v>
      </c>
      <c r="W788" s="41">
        <f>SUM(U788*V788)</f>
        <v>0</v>
      </c>
      <c r="X788" s="24"/>
      <c r="Y788" s="41">
        <f>SUM(U788*X788)</f>
        <v>0</v>
      </c>
      <c r="Z788" s="41">
        <f>SUM(W788+Y788)</f>
        <v>0</v>
      </c>
      <c r="AA788" s="72">
        <v>5</v>
      </c>
      <c r="AB788" s="41">
        <v>2903000</v>
      </c>
      <c r="AC788" s="41">
        <f>SUM(O788-AB788)</f>
        <v>0</v>
      </c>
      <c r="AD788" s="70" t="s">
        <v>295</v>
      </c>
      <c r="AE788" s="70"/>
      <c r="AG788" s="83"/>
    </row>
    <row r="789" spans="1:33" s="1" customFormat="1" x14ac:dyDescent="0.25">
      <c r="A789" s="21">
        <v>2</v>
      </c>
      <c r="B789" s="22" t="s">
        <v>1739</v>
      </c>
      <c r="C789" s="22" t="s">
        <v>868</v>
      </c>
      <c r="D789" s="85" t="s">
        <v>628</v>
      </c>
      <c r="E789" s="24" t="s">
        <v>166</v>
      </c>
      <c r="F789" s="24"/>
      <c r="G789" s="24" t="s">
        <v>194</v>
      </c>
      <c r="H789" s="24" t="s">
        <v>62</v>
      </c>
      <c r="I789" s="24">
        <v>2019</v>
      </c>
      <c r="J789" s="24"/>
      <c r="K789" s="24" t="s">
        <v>63</v>
      </c>
      <c r="L789" s="24" t="s">
        <v>64</v>
      </c>
      <c r="M789" s="24">
        <v>4</v>
      </c>
      <c r="N789" s="41">
        <f>SUM(O789/M789)</f>
        <v>1000000</v>
      </c>
      <c r="O789" s="41">
        <v>4000000</v>
      </c>
      <c r="P789" s="24"/>
      <c r="Q789" s="24"/>
      <c r="R789" s="24"/>
      <c r="S789" s="41">
        <f>SUM(O789-R789)</f>
        <v>4000000</v>
      </c>
      <c r="T789" s="24">
        <v>5</v>
      </c>
      <c r="U789" s="41">
        <f>SUM(S789/T789)</f>
        <v>800000</v>
      </c>
      <c r="V789" s="24">
        <v>0.5</v>
      </c>
      <c r="W789" s="41">
        <f>SUM(U789*V789)</f>
        <v>400000</v>
      </c>
      <c r="X789" s="24"/>
      <c r="Y789" s="24">
        <f>SUM(U789*X789)</f>
        <v>0</v>
      </c>
      <c r="Z789" s="41">
        <f>SUM(W789+Y789)</f>
        <v>400000</v>
      </c>
      <c r="AA789" s="24">
        <f>2023-I789+V789+X789-9/12</f>
        <v>3.75</v>
      </c>
      <c r="AB789" s="24">
        <f>SUM(U789*AA789)</f>
        <v>3000000</v>
      </c>
      <c r="AC789" s="41">
        <f>SUM(O789-AB789)</f>
        <v>1000000</v>
      </c>
      <c r="AD789" s="24"/>
      <c r="AE789" s="70"/>
      <c r="AG789" s="83"/>
    </row>
    <row r="790" spans="1:33" s="1" customFormat="1" x14ac:dyDescent="0.25">
      <c r="A790" s="21">
        <v>3</v>
      </c>
      <c r="B790" s="22" t="s">
        <v>1740</v>
      </c>
      <c r="C790" s="22" t="s">
        <v>625</v>
      </c>
      <c r="D790" s="51" t="s">
        <v>626</v>
      </c>
      <c r="E790" s="24" t="s">
        <v>627</v>
      </c>
      <c r="F790" s="24"/>
      <c r="G790" s="24" t="s">
        <v>194</v>
      </c>
      <c r="H790" s="24" t="s">
        <v>62</v>
      </c>
      <c r="I790" s="24">
        <v>2015</v>
      </c>
      <c r="J790" s="24"/>
      <c r="K790" s="24" t="s">
        <v>63</v>
      </c>
      <c r="L790" s="24" t="s">
        <v>64</v>
      </c>
      <c r="M790" s="24">
        <v>50</v>
      </c>
      <c r="N790" s="41">
        <f>SUM(O790/M790)</f>
        <v>50000</v>
      </c>
      <c r="O790" s="41">
        <v>2500000</v>
      </c>
      <c r="P790" s="24"/>
      <c r="Q790" s="24"/>
      <c r="R790" s="24"/>
      <c r="S790" s="41">
        <f>SUM(O790-R790)</f>
        <v>2500000</v>
      </c>
      <c r="T790" s="24">
        <v>5</v>
      </c>
      <c r="U790" s="41">
        <f>SUM(S790/T790)</f>
        <v>500000</v>
      </c>
      <c r="V790" s="24">
        <v>0.5</v>
      </c>
      <c r="W790" s="41"/>
      <c r="X790" s="24"/>
      <c r="Y790" s="41">
        <f>SUM(U790*X790)</f>
        <v>0</v>
      </c>
      <c r="Z790" s="41"/>
      <c r="AA790" s="72">
        <v>5</v>
      </c>
      <c r="AB790" s="41">
        <f>SUM(U790*AA790)</f>
        <v>2500000</v>
      </c>
      <c r="AC790" s="41">
        <f>SUM(O790-AB790)</f>
        <v>0</v>
      </c>
      <c r="AD790" s="70" t="s">
        <v>199</v>
      </c>
      <c r="AE790" s="70"/>
      <c r="AG790" s="83"/>
    </row>
    <row r="791" spans="1:33" s="1" customFormat="1" x14ac:dyDescent="0.25">
      <c r="A791" s="21">
        <v>4</v>
      </c>
      <c r="B791" s="22" t="s">
        <v>1740</v>
      </c>
      <c r="C791" s="22" t="s">
        <v>317</v>
      </c>
      <c r="D791" s="51" t="s">
        <v>676</v>
      </c>
      <c r="E791" s="24" t="s">
        <v>677</v>
      </c>
      <c r="F791" s="24"/>
      <c r="G791" s="24" t="s">
        <v>61</v>
      </c>
      <c r="H791" s="24" t="s">
        <v>62</v>
      </c>
      <c r="I791" s="24">
        <v>2012</v>
      </c>
      <c r="J791" s="24"/>
      <c r="K791" s="24" t="s">
        <v>63</v>
      </c>
      <c r="L791" s="24" t="s">
        <v>64</v>
      </c>
      <c r="M791" s="24">
        <v>16</v>
      </c>
      <c r="N791" s="41">
        <f>SUM(O791/M791)</f>
        <v>45000</v>
      </c>
      <c r="O791" s="41">
        <v>720000</v>
      </c>
      <c r="P791" s="24"/>
      <c r="Q791" s="24"/>
      <c r="R791" s="24"/>
      <c r="S791" s="41">
        <f>SUM(O791-R791)</f>
        <v>720000</v>
      </c>
      <c r="T791" s="24">
        <v>5</v>
      </c>
      <c r="U791" s="41"/>
      <c r="V791" s="24">
        <v>0.5</v>
      </c>
      <c r="W791" s="41">
        <f>SUM(U791*V791)</f>
        <v>0</v>
      </c>
      <c r="X791" s="24"/>
      <c r="Y791" s="41">
        <f>SUM(U791*X791)</f>
        <v>0</v>
      </c>
      <c r="Z791" s="41">
        <f>SUM(W791+Y791)</f>
        <v>0</v>
      </c>
      <c r="AA791" s="24">
        <v>5</v>
      </c>
      <c r="AB791" s="41">
        <v>720000</v>
      </c>
      <c r="AC791" s="41">
        <f>SUM(O791-AB791)</f>
        <v>0</v>
      </c>
      <c r="AD791" s="70" t="s">
        <v>630</v>
      </c>
      <c r="AE791" s="70"/>
      <c r="AG791" s="83"/>
    </row>
    <row r="792" spans="1:33" s="1" customFormat="1" x14ac:dyDescent="0.25">
      <c r="A792" s="21">
        <v>5</v>
      </c>
      <c r="B792" s="22" t="s">
        <v>1740</v>
      </c>
      <c r="C792" s="22" t="s">
        <v>678</v>
      </c>
      <c r="D792" s="51" t="s">
        <v>679</v>
      </c>
      <c r="E792" s="24" t="s">
        <v>680</v>
      </c>
      <c r="F792" s="24"/>
      <c r="G792" s="24" t="s">
        <v>61</v>
      </c>
      <c r="H792" s="24" t="s">
        <v>62</v>
      </c>
      <c r="I792" s="24">
        <v>2012</v>
      </c>
      <c r="J792" s="24"/>
      <c r="K792" s="24" t="s">
        <v>63</v>
      </c>
      <c r="L792" s="24" t="s">
        <v>64</v>
      </c>
      <c r="M792" s="24">
        <v>10</v>
      </c>
      <c r="N792" s="41">
        <f>SUM(O792/M792)</f>
        <v>38000</v>
      </c>
      <c r="O792" s="41">
        <v>380000</v>
      </c>
      <c r="P792" s="24"/>
      <c r="Q792" s="24"/>
      <c r="R792" s="24"/>
      <c r="S792" s="41">
        <f>SUM(O792-R792)</f>
        <v>380000</v>
      </c>
      <c r="T792" s="24">
        <v>5</v>
      </c>
      <c r="U792" s="41"/>
      <c r="V792" s="24">
        <v>0.5</v>
      </c>
      <c r="W792" s="41">
        <f>SUM(U792*V792)</f>
        <v>0</v>
      </c>
      <c r="X792" s="24"/>
      <c r="Y792" s="41">
        <f>SUM(U792*X792)</f>
        <v>0</v>
      </c>
      <c r="Z792" s="41">
        <f>SUM(W792+Y792)</f>
        <v>0</v>
      </c>
      <c r="AA792" s="24">
        <v>5</v>
      </c>
      <c r="AB792" s="41">
        <v>380000</v>
      </c>
      <c r="AC792" s="41">
        <f>SUM(O792-AB792)</f>
        <v>0</v>
      </c>
      <c r="AD792" s="70" t="s">
        <v>288</v>
      </c>
      <c r="AE792" s="70"/>
      <c r="AG792" s="83"/>
    </row>
    <row r="793" spans="1:33" s="1" customFormat="1" x14ac:dyDescent="0.25">
      <c r="A793" s="21"/>
      <c r="B793" s="22"/>
      <c r="C793" s="22"/>
      <c r="D793" s="85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  <c r="AA793" s="24"/>
      <c r="AB793" s="24"/>
      <c r="AC793" s="24"/>
      <c r="AD793" s="24"/>
      <c r="AE793" s="70"/>
      <c r="AG793" s="83"/>
    </row>
    <row r="794" spans="1:33" s="1" customFormat="1" x14ac:dyDescent="0.25">
      <c r="A794" s="25"/>
      <c r="B794" s="26" t="s">
        <v>1128</v>
      </c>
      <c r="C794" s="26"/>
      <c r="D794" s="64" t="s">
        <v>1129</v>
      </c>
      <c r="E794" s="28"/>
      <c r="F794" s="28"/>
      <c r="G794" s="28"/>
      <c r="H794" s="28"/>
      <c r="I794" s="28"/>
      <c r="J794" s="28"/>
      <c r="K794" s="28"/>
      <c r="L794" s="28"/>
      <c r="M794" s="28">
        <f>SUM(M795:M801)</f>
        <v>9</v>
      </c>
      <c r="N794" s="40"/>
      <c r="O794" s="40">
        <f>SUM(O795:O801)</f>
        <v>111347500</v>
      </c>
      <c r="P794" s="28">
        <f>SUM(P800:P801)</f>
        <v>0</v>
      </c>
      <c r="Q794" s="28">
        <f>SUM(Q800:Q801)</f>
        <v>0</v>
      </c>
      <c r="R794" s="28">
        <f>SUM(R800:R801)</f>
        <v>0</v>
      </c>
      <c r="S794" s="40">
        <f>SUM(S795:S801)</f>
        <v>111347500</v>
      </c>
      <c r="T794" s="28"/>
      <c r="U794" s="40">
        <f>SUM(U795:U801)</f>
        <v>0</v>
      </c>
      <c r="V794" s="28"/>
      <c r="W794" s="28">
        <f>SUM(W800:W801)</f>
        <v>0</v>
      </c>
      <c r="X794" s="28"/>
      <c r="Y794" s="28">
        <f>SUM(Y800:Y801)</f>
        <v>0</v>
      </c>
      <c r="Z794" s="28">
        <f>SUM(Z800:Z801)</f>
        <v>0</v>
      </c>
      <c r="AA794" s="28"/>
      <c r="AB794" s="40">
        <f>SUM(AB795:AB801)</f>
        <v>111347500</v>
      </c>
      <c r="AC794" s="28">
        <f>SUM(AC800:AC801)</f>
        <v>0</v>
      </c>
      <c r="AD794" s="28"/>
      <c r="AE794" s="70"/>
      <c r="AG794" s="83"/>
    </row>
    <row r="795" spans="1:33" s="1" customFormat="1" x14ac:dyDescent="0.25">
      <c r="A795" s="49">
        <v>1</v>
      </c>
      <c r="B795" s="22" t="s">
        <v>1741</v>
      </c>
      <c r="C795" s="22" t="s">
        <v>657</v>
      </c>
      <c r="D795" s="51" t="s">
        <v>1132</v>
      </c>
      <c r="E795" s="24" t="s">
        <v>1133</v>
      </c>
      <c r="F795" s="24"/>
      <c r="G795" s="24" t="s">
        <v>194</v>
      </c>
      <c r="H795" s="24" t="s">
        <v>62</v>
      </c>
      <c r="I795" s="24">
        <v>2014</v>
      </c>
      <c r="J795" s="24"/>
      <c r="K795" s="24" t="s">
        <v>63</v>
      </c>
      <c r="L795" s="24" t="s">
        <v>64</v>
      </c>
      <c r="M795" s="24">
        <v>3</v>
      </c>
      <c r="N795" s="41">
        <f>SUM(O795/M795)</f>
        <v>1993750</v>
      </c>
      <c r="O795" s="41">
        <v>5981250</v>
      </c>
      <c r="P795" s="24"/>
      <c r="Q795" s="24"/>
      <c r="R795" s="24"/>
      <c r="S795" s="41">
        <f t="shared" ref="S795:S801" si="310">SUM(O795-R795)</f>
        <v>5981250</v>
      </c>
      <c r="T795" s="24">
        <v>5</v>
      </c>
      <c r="U795" s="41"/>
      <c r="V795" s="24">
        <v>0.5</v>
      </c>
      <c r="W795" s="41">
        <f>SUM(U795*V795)</f>
        <v>0</v>
      </c>
      <c r="X795" s="24"/>
      <c r="Y795" s="41">
        <f>SUM(U795*X795)</f>
        <v>0</v>
      </c>
      <c r="Z795" s="41">
        <f>SUM(W795+Y795)</f>
        <v>0</v>
      </c>
      <c r="AA795" s="72">
        <v>5</v>
      </c>
      <c r="AB795" s="41">
        <v>5981250</v>
      </c>
      <c r="AC795" s="41">
        <f t="shared" ref="AC795:AC801" si="311">SUM(O795-AB795)</f>
        <v>0</v>
      </c>
      <c r="AD795" s="70" t="s">
        <v>225</v>
      </c>
      <c r="AE795" s="70"/>
      <c r="AG795" s="83"/>
    </row>
    <row r="796" spans="1:33" s="1" customFormat="1" x14ac:dyDescent="0.25">
      <c r="A796" s="49">
        <v>2</v>
      </c>
      <c r="B796" s="22" t="s">
        <v>1741</v>
      </c>
      <c r="C796" s="22" t="s">
        <v>84</v>
      </c>
      <c r="D796" s="51" t="s">
        <v>1132</v>
      </c>
      <c r="E796" s="24" t="s">
        <v>1133</v>
      </c>
      <c r="F796" s="24"/>
      <c r="G796" s="24" t="s">
        <v>194</v>
      </c>
      <c r="H796" s="24" t="s">
        <v>62</v>
      </c>
      <c r="I796" s="24">
        <v>2014</v>
      </c>
      <c r="J796" s="24"/>
      <c r="K796" s="24" t="s">
        <v>63</v>
      </c>
      <c r="L796" s="24" t="s">
        <v>64</v>
      </c>
      <c r="M796" s="24">
        <v>1</v>
      </c>
      <c r="N796" s="41">
        <f>SUM(O796/M796)</f>
        <v>1993750</v>
      </c>
      <c r="O796" s="41">
        <v>1993750</v>
      </c>
      <c r="P796" s="24"/>
      <c r="Q796" s="24"/>
      <c r="R796" s="24"/>
      <c r="S796" s="41">
        <f t="shared" si="310"/>
        <v>1993750</v>
      </c>
      <c r="T796" s="24">
        <v>5</v>
      </c>
      <c r="U796" s="41"/>
      <c r="V796" s="24">
        <v>0.5</v>
      </c>
      <c r="W796" s="41">
        <f>SUM(U796*V796)</f>
        <v>0</v>
      </c>
      <c r="X796" s="24"/>
      <c r="Y796" s="41">
        <f>SUM(U796*X796)</f>
        <v>0</v>
      </c>
      <c r="Z796" s="41">
        <f>SUM(W796+Y796)</f>
        <v>0</v>
      </c>
      <c r="AA796" s="72">
        <v>5</v>
      </c>
      <c r="AB796" s="41">
        <v>1993750</v>
      </c>
      <c r="AC796" s="41">
        <f t="shared" si="311"/>
        <v>0</v>
      </c>
      <c r="AD796" s="70" t="s">
        <v>480</v>
      </c>
      <c r="AE796" s="70"/>
      <c r="AG796" s="83"/>
    </row>
    <row r="797" spans="1:33" s="1" customFormat="1" x14ac:dyDescent="0.25">
      <c r="A797" s="49">
        <v>3</v>
      </c>
      <c r="B797" s="22" t="s">
        <v>1741</v>
      </c>
      <c r="C797" s="22" t="s">
        <v>88</v>
      </c>
      <c r="D797" s="51" t="s">
        <v>1132</v>
      </c>
      <c r="E797" s="24" t="s">
        <v>1133</v>
      </c>
      <c r="F797" s="24"/>
      <c r="G797" s="24" t="s">
        <v>194</v>
      </c>
      <c r="H797" s="24" t="s">
        <v>62</v>
      </c>
      <c r="I797" s="24">
        <v>2014</v>
      </c>
      <c r="J797" s="24"/>
      <c r="K797" s="24" t="s">
        <v>63</v>
      </c>
      <c r="L797" s="24" t="s">
        <v>64</v>
      </c>
      <c r="M797" s="24">
        <v>1</v>
      </c>
      <c r="N797" s="41">
        <f>SUM(O797/M797)</f>
        <v>1993750</v>
      </c>
      <c r="O797" s="41">
        <v>1993750</v>
      </c>
      <c r="P797" s="24"/>
      <c r="Q797" s="24"/>
      <c r="R797" s="24"/>
      <c r="S797" s="41">
        <f t="shared" si="310"/>
        <v>1993750</v>
      </c>
      <c r="T797" s="24">
        <v>5</v>
      </c>
      <c r="U797" s="41"/>
      <c r="V797" s="24">
        <v>0.5</v>
      </c>
      <c r="W797" s="41">
        <f>SUM(U797*V797)</f>
        <v>0</v>
      </c>
      <c r="X797" s="24"/>
      <c r="Y797" s="41">
        <f>SUM(U797*X797)</f>
        <v>0</v>
      </c>
      <c r="Z797" s="41">
        <f>SUM(W797+Y797)</f>
        <v>0</v>
      </c>
      <c r="AA797" s="72">
        <v>5</v>
      </c>
      <c r="AB797" s="41">
        <v>1993750</v>
      </c>
      <c r="AC797" s="41">
        <f t="shared" si="311"/>
        <v>0</v>
      </c>
      <c r="AD797" s="70" t="s">
        <v>558</v>
      </c>
      <c r="AE797" s="70"/>
      <c r="AG797" s="83"/>
    </row>
    <row r="798" spans="1:33" s="1" customFormat="1" x14ac:dyDescent="0.25">
      <c r="A798" s="49">
        <v>4</v>
      </c>
      <c r="B798" s="22" t="s">
        <v>1741</v>
      </c>
      <c r="C798" s="22" t="s">
        <v>92</v>
      </c>
      <c r="D798" s="51" t="s">
        <v>1132</v>
      </c>
      <c r="E798" s="24" t="s">
        <v>1133</v>
      </c>
      <c r="F798" s="24"/>
      <c r="G798" s="24" t="s">
        <v>194</v>
      </c>
      <c r="H798" s="24" t="s">
        <v>62</v>
      </c>
      <c r="I798" s="24">
        <v>2014</v>
      </c>
      <c r="J798" s="24"/>
      <c r="K798" s="24" t="s">
        <v>63</v>
      </c>
      <c r="L798" s="24" t="s">
        <v>64</v>
      </c>
      <c r="M798" s="24">
        <v>1</v>
      </c>
      <c r="N798" s="41">
        <f>SUM(O798/M798)</f>
        <v>1993750</v>
      </c>
      <c r="O798" s="41">
        <v>1993750</v>
      </c>
      <c r="P798" s="24"/>
      <c r="Q798" s="24"/>
      <c r="R798" s="24"/>
      <c r="S798" s="41">
        <f t="shared" si="310"/>
        <v>1993750</v>
      </c>
      <c r="T798" s="24">
        <v>5</v>
      </c>
      <c r="U798" s="41"/>
      <c r="V798" s="24">
        <v>0.5</v>
      </c>
      <c r="W798" s="41">
        <f>SUM(U798*V798)</f>
        <v>0</v>
      </c>
      <c r="X798" s="24"/>
      <c r="Y798" s="41">
        <f>SUM(U798*X798)</f>
        <v>0</v>
      </c>
      <c r="Z798" s="41">
        <f>SUM(W798+Y798)</f>
        <v>0</v>
      </c>
      <c r="AA798" s="72">
        <v>5</v>
      </c>
      <c r="AB798" s="41">
        <v>1993750</v>
      </c>
      <c r="AC798" s="41">
        <f t="shared" si="311"/>
        <v>0</v>
      </c>
      <c r="AD798" s="70" t="s">
        <v>1134</v>
      </c>
      <c r="AE798" s="70"/>
      <c r="AG798" s="83"/>
    </row>
    <row r="799" spans="1:33" s="1" customFormat="1" x14ac:dyDescent="0.25">
      <c r="A799" s="49">
        <v>5</v>
      </c>
      <c r="B799" s="22" t="s">
        <v>1742</v>
      </c>
      <c r="C799" s="50" t="s">
        <v>58</v>
      </c>
      <c r="D799" s="51" t="s">
        <v>375</v>
      </c>
      <c r="E799" s="52" t="s">
        <v>376</v>
      </c>
      <c r="F799" s="52"/>
      <c r="G799" s="52" t="s">
        <v>194</v>
      </c>
      <c r="H799" s="52" t="s">
        <v>62</v>
      </c>
      <c r="I799" s="52">
        <v>2016</v>
      </c>
      <c r="J799" s="52"/>
      <c r="K799" s="52" t="s">
        <v>63</v>
      </c>
      <c r="L799" s="52" t="s">
        <v>64</v>
      </c>
      <c r="M799" s="52">
        <v>1</v>
      </c>
      <c r="N799" s="53">
        <f>SUM(O799/M799)</f>
        <v>4950000</v>
      </c>
      <c r="O799" s="53">
        <v>4950000</v>
      </c>
      <c r="P799" s="52"/>
      <c r="Q799" s="52"/>
      <c r="R799" s="52"/>
      <c r="S799" s="53">
        <f t="shared" si="310"/>
        <v>4950000</v>
      </c>
      <c r="T799" s="52">
        <v>5</v>
      </c>
      <c r="U799" s="53"/>
      <c r="V799" s="52">
        <v>0.5</v>
      </c>
      <c r="W799" s="53"/>
      <c r="X799" s="52"/>
      <c r="Y799" s="53">
        <f>SUM(U799*X799)</f>
        <v>0</v>
      </c>
      <c r="Z799" s="53"/>
      <c r="AA799" s="52">
        <v>5</v>
      </c>
      <c r="AB799" s="53">
        <v>4950000</v>
      </c>
      <c r="AC799" s="53">
        <f t="shared" si="311"/>
        <v>0</v>
      </c>
      <c r="AD799" s="56" t="s">
        <v>377</v>
      </c>
      <c r="AE799" s="70"/>
      <c r="AG799" s="83"/>
    </row>
    <row r="800" spans="1:33" s="1" customFormat="1" x14ac:dyDescent="0.25">
      <c r="A800" s="49">
        <v>6</v>
      </c>
      <c r="B800" s="22" t="s">
        <v>1743</v>
      </c>
      <c r="C800" s="52" t="s">
        <v>58</v>
      </c>
      <c r="D800" s="52" t="s">
        <v>1130</v>
      </c>
      <c r="E800" s="52"/>
      <c r="F800" s="52"/>
      <c r="G800" s="52" t="s">
        <v>260</v>
      </c>
      <c r="H800" s="52" t="s">
        <v>62</v>
      </c>
      <c r="I800" s="52">
        <v>2013</v>
      </c>
      <c r="J800" s="52"/>
      <c r="K800" s="52" t="s">
        <v>63</v>
      </c>
      <c r="L800" s="52" t="s">
        <v>64</v>
      </c>
      <c r="M800" s="52">
        <v>1</v>
      </c>
      <c r="N800" s="53">
        <f t="shared" ref="N800:N801" si="312">SUM(O800/M800)</f>
        <v>65092500</v>
      </c>
      <c r="O800" s="41">
        <v>65092500</v>
      </c>
      <c r="P800" s="24"/>
      <c r="Q800" s="24"/>
      <c r="R800" s="24"/>
      <c r="S800" s="41">
        <f t="shared" si="310"/>
        <v>65092500</v>
      </c>
      <c r="T800" s="24">
        <v>5</v>
      </c>
      <c r="U800" s="41"/>
      <c r="V800" s="24">
        <v>0.5</v>
      </c>
      <c r="W800" s="41">
        <f t="shared" ref="W800:W801" si="313">SUM(U800*V800)</f>
        <v>0</v>
      </c>
      <c r="X800" s="24"/>
      <c r="Y800" s="41">
        <f t="shared" ref="Y800:Y801" si="314">SUM(U800*X800)</f>
        <v>0</v>
      </c>
      <c r="Z800" s="41">
        <f t="shared" ref="Z800:Z801" si="315">SUM(W800+Y800)</f>
        <v>0</v>
      </c>
      <c r="AA800" s="24">
        <v>5</v>
      </c>
      <c r="AB800" s="41">
        <v>65092500</v>
      </c>
      <c r="AC800" s="24">
        <f t="shared" si="311"/>
        <v>0</v>
      </c>
      <c r="AD800" s="24"/>
      <c r="AE800" s="70"/>
      <c r="AG800" s="83"/>
    </row>
    <row r="801" spans="1:33" s="1" customFormat="1" x14ac:dyDescent="0.25">
      <c r="A801" s="49">
        <v>7</v>
      </c>
      <c r="B801" s="22" t="s">
        <v>1743</v>
      </c>
      <c r="C801" s="52" t="s">
        <v>75</v>
      </c>
      <c r="D801" s="52" t="s">
        <v>1131</v>
      </c>
      <c r="E801" s="52"/>
      <c r="F801" s="52"/>
      <c r="G801" s="52" t="s">
        <v>260</v>
      </c>
      <c r="H801" s="52" t="s">
        <v>62</v>
      </c>
      <c r="I801" s="52">
        <v>2013</v>
      </c>
      <c r="J801" s="52"/>
      <c r="K801" s="52" t="s">
        <v>63</v>
      </c>
      <c r="L801" s="52" t="s">
        <v>64</v>
      </c>
      <c r="M801" s="52">
        <v>1</v>
      </c>
      <c r="N801" s="53">
        <f t="shared" si="312"/>
        <v>29342500</v>
      </c>
      <c r="O801" s="41">
        <v>29342500</v>
      </c>
      <c r="P801" s="24"/>
      <c r="Q801" s="24"/>
      <c r="R801" s="24"/>
      <c r="S801" s="41">
        <f t="shared" si="310"/>
        <v>29342500</v>
      </c>
      <c r="T801" s="24">
        <v>5</v>
      </c>
      <c r="U801" s="41"/>
      <c r="V801" s="24">
        <v>0.5</v>
      </c>
      <c r="W801" s="41">
        <f t="shared" si="313"/>
        <v>0</v>
      </c>
      <c r="X801" s="24"/>
      <c r="Y801" s="41">
        <f t="shared" si="314"/>
        <v>0</v>
      </c>
      <c r="Z801" s="41">
        <f t="shared" si="315"/>
        <v>0</v>
      </c>
      <c r="AA801" s="24">
        <v>5</v>
      </c>
      <c r="AB801" s="41">
        <v>29342500</v>
      </c>
      <c r="AC801" s="24">
        <f t="shared" si="311"/>
        <v>0</v>
      </c>
      <c r="AD801" s="24"/>
      <c r="AE801" s="70"/>
      <c r="AG801" s="83"/>
    </row>
    <row r="802" spans="1:33" s="1" customFormat="1" x14ac:dyDescent="0.25">
      <c r="A802" s="21"/>
      <c r="B802" s="22"/>
      <c r="C802" s="22"/>
      <c r="D802" s="65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  <c r="AA802" s="24"/>
      <c r="AB802" s="24"/>
      <c r="AC802" s="24"/>
      <c r="AD802" s="24"/>
      <c r="AE802" s="24"/>
      <c r="AG802" s="83"/>
    </row>
    <row r="803" spans="1:33" s="1" customFormat="1" x14ac:dyDescent="0.25">
      <c r="A803" s="25"/>
      <c r="B803" s="26" t="s">
        <v>1135</v>
      </c>
      <c r="C803" s="26"/>
      <c r="D803" s="64" t="s">
        <v>1136</v>
      </c>
      <c r="E803" s="28"/>
      <c r="F803" s="28"/>
      <c r="G803" s="28"/>
      <c r="H803" s="28"/>
      <c r="I803" s="28"/>
      <c r="J803" s="28"/>
      <c r="K803" s="28"/>
      <c r="L803" s="28"/>
      <c r="M803" s="28">
        <f>SUM(M804)</f>
        <v>1</v>
      </c>
      <c r="N803" s="28"/>
      <c r="O803" s="86">
        <f>SUM(O804)</f>
        <v>66600000</v>
      </c>
      <c r="P803" s="28">
        <f>SUM(P804:P805)</f>
        <v>0</v>
      </c>
      <c r="Q803" s="28">
        <f>SUM(Q804:Q805)</f>
        <v>0</v>
      </c>
      <c r="R803" s="28">
        <f>SUM(R804:R805)</f>
        <v>0</v>
      </c>
      <c r="S803" s="40">
        <f>SUM(S804)</f>
        <v>66600000</v>
      </c>
      <c r="T803" s="28"/>
      <c r="U803" s="28">
        <f>SUM(U804:U805)</f>
        <v>0</v>
      </c>
      <c r="V803" s="28"/>
      <c r="W803" s="28">
        <f>SUM(W804:W805)</f>
        <v>0</v>
      </c>
      <c r="X803" s="28"/>
      <c r="Y803" s="28">
        <f>SUM(Y804:Y805)</f>
        <v>0</v>
      </c>
      <c r="Z803" s="28">
        <f>SUM(Z804:Z805)</f>
        <v>0</v>
      </c>
      <c r="AA803" s="28"/>
      <c r="AB803" s="86">
        <f>SUM(AB804)</f>
        <v>66600000</v>
      </c>
      <c r="AC803" s="28">
        <f>SUM(AC804:AC805)</f>
        <v>0</v>
      </c>
      <c r="AD803" s="28"/>
      <c r="AE803" s="28"/>
      <c r="AG803" s="83"/>
    </row>
    <row r="804" spans="1:33" s="1" customFormat="1" x14ac:dyDescent="0.25">
      <c r="A804" s="21"/>
      <c r="B804" s="50" t="s">
        <v>1744</v>
      </c>
      <c r="C804" s="50" t="s">
        <v>58</v>
      </c>
      <c r="D804" s="51" t="s">
        <v>401</v>
      </c>
      <c r="E804" s="52" t="s">
        <v>263</v>
      </c>
      <c r="F804" s="52"/>
      <c r="G804" s="52" t="s">
        <v>263</v>
      </c>
      <c r="H804" s="52" t="s">
        <v>62</v>
      </c>
      <c r="I804" s="52">
        <v>2012</v>
      </c>
      <c r="J804" s="52"/>
      <c r="K804" s="52" t="s">
        <v>261</v>
      </c>
      <c r="L804" s="52" t="s">
        <v>64</v>
      </c>
      <c r="M804" s="52">
        <v>1</v>
      </c>
      <c r="N804" s="53">
        <f>SUM(O804/M804)</f>
        <v>66600000</v>
      </c>
      <c r="O804" s="53">
        <v>66600000</v>
      </c>
      <c r="P804" s="52"/>
      <c r="Q804" s="52"/>
      <c r="R804" s="52"/>
      <c r="S804" s="53">
        <f>SUM(O804-R804)</f>
        <v>66600000</v>
      </c>
      <c r="T804" s="52">
        <v>5</v>
      </c>
      <c r="U804" s="53"/>
      <c r="V804" s="52">
        <v>0.5</v>
      </c>
      <c r="W804" s="53">
        <f>SUM(U804*V804)</f>
        <v>0</v>
      </c>
      <c r="X804" s="52"/>
      <c r="Y804" s="53">
        <f>SUM(U804*X804)</f>
        <v>0</v>
      </c>
      <c r="Z804" s="53">
        <f>SUM(W804+Y804)</f>
        <v>0</v>
      </c>
      <c r="AA804" s="52">
        <v>5</v>
      </c>
      <c r="AB804" s="53">
        <v>66600000</v>
      </c>
      <c r="AC804" s="53">
        <f>SUM(O804-AB804)</f>
        <v>0</v>
      </c>
      <c r="AD804" s="56" t="s">
        <v>195</v>
      </c>
      <c r="AE804" s="52"/>
      <c r="AG804" s="83"/>
    </row>
    <row r="805" spans="1:33" s="1" customFormat="1" x14ac:dyDescent="0.25">
      <c r="A805" s="21"/>
      <c r="B805" s="22"/>
      <c r="C805" s="22"/>
      <c r="D805" s="65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  <c r="AA805" s="24"/>
      <c r="AB805" s="24"/>
      <c r="AC805" s="24"/>
      <c r="AD805" s="24"/>
      <c r="AE805" s="24"/>
      <c r="AG805" s="83"/>
    </row>
    <row r="806" spans="1:33" s="1" customFormat="1" x14ac:dyDescent="0.25">
      <c r="A806" s="25"/>
      <c r="B806" s="26" t="s">
        <v>1137</v>
      </c>
      <c r="C806" s="26"/>
      <c r="D806" s="27" t="s">
        <v>1138</v>
      </c>
      <c r="E806" s="28"/>
      <c r="F806" s="28"/>
      <c r="G806" s="28"/>
      <c r="H806" s="28"/>
      <c r="I806" s="28"/>
      <c r="J806" s="28"/>
      <c r="K806" s="28"/>
      <c r="L806" s="28"/>
      <c r="M806" s="28">
        <f>SUM(M807:M807)</f>
        <v>0</v>
      </c>
      <c r="N806" s="28"/>
      <c r="O806" s="28">
        <f>SUM(O807:O807)</f>
        <v>0</v>
      </c>
      <c r="P806" s="28">
        <f>SUM(P807:P807)</f>
        <v>0</v>
      </c>
      <c r="Q806" s="28">
        <f>SUM(Q807:Q807)</f>
        <v>0</v>
      </c>
      <c r="R806" s="28">
        <f>SUM(R807:R807)</f>
        <v>0</v>
      </c>
      <c r="S806" s="28">
        <f>SUM(S807:S807)</f>
        <v>0</v>
      </c>
      <c r="T806" s="28"/>
      <c r="U806" s="28">
        <f>SUM(U807:U807)</f>
        <v>0</v>
      </c>
      <c r="V806" s="28"/>
      <c r="W806" s="28">
        <f>SUM(W807:W807)</f>
        <v>0</v>
      </c>
      <c r="X806" s="28"/>
      <c r="Y806" s="28">
        <f>SUM(Y807:Y807)</f>
        <v>0</v>
      </c>
      <c r="Z806" s="28">
        <f>SUM(Z807:Z807)</f>
        <v>0</v>
      </c>
      <c r="AA806" s="28"/>
      <c r="AB806" s="28">
        <f>SUM(AB807:AB807)</f>
        <v>0</v>
      </c>
      <c r="AC806" s="28">
        <f>SUM(AC807:AC807)</f>
        <v>0</v>
      </c>
      <c r="AD806" s="28"/>
      <c r="AE806" s="28"/>
      <c r="AG806" s="83"/>
    </row>
    <row r="807" spans="1:33" s="1" customFormat="1" x14ac:dyDescent="0.25">
      <c r="A807" s="21"/>
      <c r="B807" s="22"/>
      <c r="C807" s="22"/>
      <c r="D807" s="23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  <c r="AA807" s="24"/>
      <c r="AB807" s="24"/>
      <c r="AC807" s="24"/>
      <c r="AD807" s="24"/>
      <c r="AE807" s="24"/>
      <c r="AG807" s="83"/>
    </row>
    <row r="808" spans="1:33" s="1" customFormat="1" ht="25.5" x14ac:dyDescent="0.25">
      <c r="A808" s="17"/>
      <c r="B808" s="18" t="s">
        <v>1139</v>
      </c>
      <c r="C808" s="18"/>
      <c r="D808" s="84" t="s">
        <v>1140</v>
      </c>
      <c r="E808" s="20"/>
      <c r="F808" s="20"/>
      <c r="G808" s="20"/>
      <c r="H808" s="20"/>
      <c r="I808" s="20"/>
      <c r="J808" s="20"/>
      <c r="K808" s="20"/>
      <c r="L808" s="20"/>
      <c r="M808" s="20">
        <f>SUM(M809+M812)</f>
        <v>2</v>
      </c>
      <c r="N808" s="20"/>
      <c r="O808" s="37">
        <f>O809+O812</f>
        <v>2600000</v>
      </c>
      <c r="P808" s="20">
        <f>P809+P812</f>
        <v>0</v>
      </c>
      <c r="Q808" s="20">
        <f>Q809+Q812</f>
        <v>0</v>
      </c>
      <c r="R808" s="20">
        <f>R809+R812</f>
        <v>0</v>
      </c>
      <c r="S808" s="37">
        <f>S809+S812</f>
        <v>2600000</v>
      </c>
      <c r="T808" s="20"/>
      <c r="U808" s="37">
        <f>U809+U812</f>
        <v>520000</v>
      </c>
      <c r="V808" s="20"/>
      <c r="W808" s="37">
        <f>W809+W812</f>
        <v>260000</v>
      </c>
      <c r="X808" s="20"/>
      <c r="Y808" s="37">
        <f>Y809+Y812</f>
        <v>0</v>
      </c>
      <c r="Z808" s="37">
        <f>Z809+Z812</f>
        <v>260000</v>
      </c>
      <c r="AA808" s="20"/>
      <c r="AB808" s="37">
        <f>AB809+AB812</f>
        <v>1733333.3333333335</v>
      </c>
      <c r="AC808" s="37">
        <f>AC809+AC812</f>
        <v>866666.66666666651</v>
      </c>
      <c r="AD808" s="20"/>
      <c r="AE808" s="20"/>
      <c r="AF808" s="1">
        <v>1733333.3333333335</v>
      </c>
      <c r="AG808" s="83"/>
    </row>
    <row r="809" spans="1:33" s="1" customFormat="1" x14ac:dyDescent="0.25">
      <c r="A809" s="25"/>
      <c r="B809" s="26" t="s">
        <v>1141</v>
      </c>
      <c r="C809" s="26"/>
      <c r="D809" s="64" t="s">
        <v>1142</v>
      </c>
      <c r="E809" s="28"/>
      <c r="F809" s="28"/>
      <c r="G809" s="28"/>
      <c r="H809" s="28"/>
      <c r="I809" s="28"/>
      <c r="J809" s="28"/>
      <c r="K809" s="28"/>
      <c r="L809" s="28"/>
      <c r="M809" s="28">
        <f>SUM(M810:M811)</f>
        <v>2</v>
      </c>
      <c r="N809" s="28"/>
      <c r="O809" s="40">
        <f>SUM(O810:O811)</f>
        <v>2600000</v>
      </c>
      <c r="P809" s="28">
        <f>SUM(P810:P811)</f>
        <v>0</v>
      </c>
      <c r="Q809" s="28">
        <f>SUM(Q810:Q811)</f>
        <v>0</v>
      </c>
      <c r="R809" s="28">
        <f>SUM(R810:R811)</f>
        <v>0</v>
      </c>
      <c r="S809" s="40">
        <f>SUM(S810:S811)</f>
        <v>2600000</v>
      </c>
      <c r="T809" s="28"/>
      <c r="U809" s="40">
        <f>SUM(U810:U811)</f>
        <v>520000</v>
      </c>
      <c r="V809" s="28"/>
      <c r="W809" s="40">
        <f>SUM(W810:W811)</f>
        <v>260000</v>
      </c>
      <c r="X809" s="28"/>
      <c r="Y809" s="40">
        <f>SUM(Y810:Y811)</f>
        <v>0</v>
      </c>
      <c r="Z809" s="40">
        <f>SUM(Z810:Z811)</f>
        <v>260000</v>
      </c>
      <c r="AA809" s="28"/>
      <c r="AB809" s="40">
        <f>SUM(AB810:AB811)</f>
        <v>1733333.3333333335</v>
      </c>
      <c r="AC809" s="40">
        <f>SUM(AC810:AC811)</f>
        <v>866666.66666666651</v>
      </c>
      <c r="AD809" s="28"/>
      <c r="AE809" s="28"/>
      <c r="AF809" s="5">
        <f>AB808-AF808</f>
        <v>0</v>
      </c>
      <c r="AG809" s="83"/>
    </row>
    <row r="810" spans="1:33" s="1" customFormat="1" x14ac:dyDescent="0.25">
      <c r="A810" s="21"/>
      <c r="B810" s="22" t="s">
        <v>1745</v>
      </c>
      <c r="C810" s="50" t="s">
        <v>209</v>
      </c>
      <c r="D810" s="85" t="s">
        <v>1143</v>
      </c>
      <c r="E810" s="52" t="s">
        <v>166</v>
      </c>
      <c r="F810" s="52"/>
      <c r="G810" s="52" t="s">
        <v>194</v>
      </c>
      <c r="H810" s="52" t="s">
        <v>62</v>
      </c>
      <c r="I810" s="52">
        <v>2020</v>
      </c>
      <c r="J810" s="52"/>
      <c r="K810" s="52" t="s">
        <v>63</v>
      </c>
      <c r="L810" s="52" t="s">
        <v>64</v>
      </c>
      <c r="M810" s="52">
        <v>2</v>
      </c>
      <c r="N810" s="53">
        <v>1300000</v>
      </c>
      <c r="O810" s="53">
        <v>2600000</v>
      </c>
      <c r="P810" s="52"/>
      <c r="Q810" s="52"/>
      <c r="R810" s="52"/>
      <c r="S810" s="53">
        <f>SUM(O810-R810)</f>
        <v>2600000</v>
      </c>
      <c r="T810" s="52">
        <v>5</v>
      </c>
      <c r="U810" s="53">
        <f>SUM(S810/T810)</f>
        <v>520000</v>
      </c>
      <c r="V810" s="57">
        <v>0.5</v>
      </c>
      <c r="W810" s="53">
        <f>SUM(U810*V810)</f>
        <v>260000</v>
      </c>
      <c r="X810" s="52"/>
      <c r="Y810" s="53">
        <f>SUM(U810*X810)</f>
        <v>0</v>
      </c>
      <c r="Z810" s="53">
        <f>SUM(W810+Y810)</f>
        <v>260000</v>
      </c>
      <c r="AA810" s="57">
        <f>2023-I810+V810+X810-2/12</f>
        <v>3.3333333333333335</v>
      </c>
      <c r="AB810" s="53">
        <f>SUM(U810*AA810)</f>
        <v>1733333.3333333335</v>
      </c>
      <c r="AC810" s="53">
        <f>SUM(O810-AB810)</f>
        <v>866666.66666666651</v>
      </c>
      <c r="AD810" s="52" t="s">
        <v>1144</v>
      </c>
      <c r="AE810" s="52" t="s">
        <v>1145</v>
      </c>
      <c r="AG810" s="45"/>
    </row>
    <row r="811" spans="1:33" s="1" customFormat="1" x14ac:dyDescent="0.25">
      <c r="A811" s="21"/>
      <c r="B811" s="22"/>
      <c r="C811" s="22"/>
      <c r="D811" s="65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  <c r="AA811" s="24"/>
      <c r="AB811" s="24"/>
      <c r="AC811" s="24"/>
      <c r="AD811" s="24"/>
      <c r="AE811" s="24"/>
    </row>
    <row r="812" spans="1:33" s="1" customFormat="1" x14ac:dyDescent="0.25">
      <c r="A812" s="25"/>
      <c r="B812" s="26" t="s">
        <v>1146</v>
      </c>
      <c r="C812" s="26"/>
      <c r="D812" s="64" t="s">
        <v>1147</v>
      </c>
      <c r="E812" s="28"/>
      <c r="F812" s="28"/>
      <c r="G812" s="28"/>
      <c r="H812" s="28"/>
      <c r="I812" s="28"/>
      <c r="J812" s="28"/>
      <c r="K812" s="28"/>
      <c r="L812" s="28"/>
      <c r="M812" s="28">
        <f>SUM(M813:M815)</f>
        <v>0</v>
      </c>
      <c r="N812" s="28"/>
      <c r="O812" s="28">
        <f t="shared" ref="O812:AC812" si="316">SUM(O813:O815)</f>
        <v>0</v>
      </c>
      <c r="P812" s="28">
        <f t="shared" si="316"/>
        <v>0</v>
      </c>
      <c r="Q812" s="28">
        <f t="shared" si="316"/>
        <v>0</v>
      </c>
      <c r="R812" s="28">
        <f t="shared" si="316"/>
        <v>0</v>
      </c>
      <c r="S812" s="28">
        <f t="shared" si="316"/>
        <v>0</v>
      </c>
      <c r="T812" s="28"/>
      <c r="U812" s="28">
        <f t="shared" si="316"/>
        <v>0</v>
      </c>
      <c r="V812" s="28"/>
      <c r="W812" s="28">
        <f t="shared" si="316"/>
        <v>0</v>
      </c>
      <c r="X812" s="28"/>
      <c r="Y812" s="28">
        <f t="shared" si="316"/>
        <v>0</v>
      </c>
      <c r="Z812" s="28">
        <f t="shared" si="316"/>
        <v>0</v>
      </c>
      <c r="AA812" s="28"/>
      <c r="AB812" s="28">
        <f t="shared" si="316"/>
        <v>0</v>
      </c>
      <c r="AC812" s="28">
        <f t="shared" si="316"/>
        <v>0</v>
      </c>
      <c r="AD812" s="28"/>
      <c r="AE812" s="28"/>
    </row>
    <row r="813" spans="1:33" s="1" customFormat="1" x14ac:dyDescent="0.25">
      <c r="A813" s="21"/>
      <c r="B813" s="22"/>
      <c r="C813" s="22"/>
      <c r="D813" s="65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  <c r="AA813" s="24"/>
      <c r="AB813" s="24"/>
      <c r="AC813" s="24"/>
      <c r="AD813" s="24"/>
      <c r="AE813" s="24"/>
    </row>
    <row r="814" spans="1:33" s="1" customFormat="1" x14ac:dyDescent="0.25">
      <c r="A814" s="21"/>
      <c r="B814" s="22"/>
      <c r="C814" s="22"/>
      <c r="D814" s="65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  <c r="AA814" s="24"/>
      <c r="AB814" s="24"/>
      <c r="AC814" s="24"/>
      <c r="AD814" s="24"/>
      <c r="AE814" s="24"/>
    </row>
    <row r="815" spans="1:33" s="1" customFormat="1" x14ac:dyDescent="0.25">
      <c r="A815" s="21"/>
      <c r="B815" s="22"/>
      <c r="C815" s="22"/>
      <c r="D815" s="65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  <c r="AA815" s="24"/>
      <c r="AB815" s="24"/>
      <c r="AC815" s="24"/>
      <c r="AD815" s="24"/>
      <c r="AE815" s="24"/>
    </row>
    <row r="816" spans="1:33" s="1" customFormat="1" x14ac:dyDescent="0.25">
      <c r="A816" s="17"/>
      <c r="B816" s="18" t="s">
        <v>1148</v>
      </c>
      <c r="C816" s="18"/>
      <c r="D816" s="84" t="s">
        <v>1149</v>
      </c>
      <c r="E816" s="20"/>
      <c r="F816" s="20"/>
      <c r="G816" s="20"/>
      <c r="H816" s="20"/>
      <c r="I816" s="20"/>
      <c r="J816" s="20"/>
      <c r="K816" s="20"/>
      <c r="L816" s="20"/>
      <c r="M816" s="20">
        <f>SUM(M817+M819+M821+M823+M825+M827+M829+M831+M835)</f>
        <v>0</v>
      </c>
      <c r="N816" s="20"/>
      <c r="O816" s="37">
        <f>O817+O819+O821+O823+O825+O827+O829+O831+O835</f>
        <v>0</v>
      </c>
      <c r="P816" s="20">
        <f>P817+P819+P821+P823+P825+P827+P829+P831+P835</f>
        <v>0</v>
      </c>
      <c r="Q816" s="20">
        <f>Q817+Q819+Q821+Q823+Q825+Q827+Q829+Q831+Q835</f>
        <v>0</v>
      </c>
      <c r="R816" s="20">
        <f>R817+R819+R821+R823+R825+R827+R829+R831+R835</f>
        <v>0</v>
      </c>
      <c r="S816" s="37">
        <f>S817+S819+S821+S823+S825+S827+S829+S831+S835</f>
        <v>0</v>
      </c>
      <c r="T816" s="37"/>
      <c r="U816" s="37">
        <f>U817+U819+U821+U823+U825+U827+U829+U831+U835</f>
        <v>0</v>
      </c>
      <c r="V816" s="37"/>
      <c r="W816" s="37">
        <f>W817+W819+W821+W823+W825+W827+W829+W831+W835</f>
        <v>0</v>
      </c>
      <c r="X816" s="37"/>
      <c r="Y816" s="37">
        <f>Y817+Y819+Y821+Y823+Y825+Y827+Y829+Y831+Y835</f>
        <v>0</v>
      </c>
      <c r="Z816" s="37">
        <f>Z817+Z819+Z821+Z823+Z825+Z827+Z829+Z831+Z835</f>
        <v>0</v>
      </c>
      <c r="AA816" s="37"/>
      <c r="AB816" s="37">
        <f>AB817+AB819+AB821+AB823+AB825+AB827+AB829+AB831+AB835</f>
        <v>0</v>
      </c>
      <c r="AC816" s="37">
        <f>AC817+AC819+AC821+AC823+AC825+AC827+AC829+AC831+AC835</f>
        <v>0</v>
      </c>
      <c r="AD816" s="20"/>
      <c r="AE816" s="20"/>
    </row>
    <row r="817" spans="1:31" s="1" customFormat="1" x14ac:dyDescent="0.25">
      <c r="A817" s="25"/>
      <c r="B817" s="26" t="s">
        <v>1150</v>
      </c>
      <c r="C817" s="26"/>
      <c r="D817" s="64" t="s">
        <v>1151</v>
      </c>
      <c r="E817" s="28"/>
      <c r="F817" s="28"/>
      <c r="G817" s="28"/>
      <c r="H817" s="28"/>
      <c r="I817" s="28"/>
      <c r="J817" s="28"/>
      <c r="K817" s="28"/>
      <c r="L817" s="28"/>
      <c r="M817" s="28">
        <f>SUM(M818:M818)</f>
        <v>0</v>
      </c>
      <c r="N817" s="28"/>
      <c r="O817" s="40">
        <f>SUM(O818:O818)</f>
        <v>0</v>
      </c>
      <c r="P817" s="28">
        <f>SUM(P818:P818)</f>
        <v>0</v>
      </c>
      <c r="Q817" s="28">
        <f>SUM(Q818:Q818)</f>
        <v>0</v>
      </c>
      <c r="R817" s="28">
        <f>SUM(R818:R818)</f>
        <v>0</v>
      </c>
      <c r="S817" s="40">
        <f>SUM(S818:S818)</f>
        <v>0</v>
      </c>
      <c r="T817" s="40"/>
      <c r="U817" s="40">
        <f>SUM(U818:U818)</f>
        <v>0</v>
      </c>
      <c r="V817" s="40"/>
      <c r="W817" s="40">
        <f>SUM(W818:W818)</f>
        <v>0</v>
      </c>
      <c r="X817" s="40"/>
      <c r="Y817" s="40">
        <f>SUM(Y818:Y818)</f>
        <v>0</v>
      </c>
      <c r="Z817" s="40">
        <f>SUM(Z818:Z818)</f>
        <v>0</v>
      </c>
      <c r="AA817" s="40"/>
      <c r="AB817" s="40">
        <f>SUM(AB818:AB818)</f>
        <v>0</v>
      </c>
      <c r="AC817" s="40">
        <f>SUM(AC818:AC818)</f>
        <v>0</v>
      </c>
      <c r="AD817" s="28"/>
      <c r="AE817" s="28"/>
    </row>
    <row r="818" spans="1:31" s="1" customFormat="1" x14ac:dyDescent="0.25">
      <c r="A818" s="21"/>
      <c r="B818" s="22"/>
      <c r="C818" s="22"/>
      <c r="D818" s="65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  <c r="AA818" s="24"/>
      <c r="AB818" s="24"/>
      <c r="AC818" s="24"/>
      <c r="AD818" s="24"/>
      <c r="AE818" s="24"/>
    </row>
    <row r="819" spans="1:31" s="1" customFormat="1" ht="25.5" x14ac:dyDescent="0.25">
      <c r="A819" s="25"/>
      <c r="B819" s="26" t="s">
        <v>1152</v>
      </c>
      <c r="C819" s="26"/>
      <c r="D819" s="64" t="s">
        <v>1153</v>
      </c>
      <c r="E819" s="28"/>
      <c r="F819" s="28"/>
      <c r="G819" s="28"/>
      <c r="H819" s="28"/>
      <c r="I819" s="28"/>
      <c r="J819" s="28"/>
      <c r="K819" s="28"/>
      <c r="L819" s="28"/>
      <c r="M819" s="28">
        <f>SUM(M820:M820)</f>
        <v>0</v>
      </c>
      <c r="N819" s="28"/>
      <c r="O819" s="28">
        <f>SUM(O820:O820)</f>
        <v>0</v>
      </c>
      <c r="P819" s="28">
        <f>SUM(P820:P820)</f>
        <v>0</v>
      </c>
      <c r="Q819" s="28">
        <f>SUM(Q820:Q820)</f>
        <v>0</v>
      </c>
      <c r="R819" s="28">
        <f>SUM(R820:R820)</f>
        <v>0</v>
      </c>
      <c r="S819" s="28">
        <f>SUM(S820:S820)</f>
        <v>0</v>
      </c>
      <c r="T819" s="28"/>
      <c r="U819" s="28">
        <f>SUM(U820:U820)</f>
        <v>0</v>
      </c>
      <c r="V819" s="28"/>
      <c r="W819" s="28">
        <f>SUM(W820:W820)</f>
        <v>0</v>
      </c>
      <c r="X819" s="28"/>
      <c r="Y819" s="28">
        <f>SUM(Y820:Y820)</f>
        <v>0</v>
      </c>
      <c r="Z819" s="28">
        <f>SUM(Z820:Z820)</f>
        <v>0</v>
      </c>
      <c r="AA819" s="28"/>
      <c r="AB819" s="28">
        <f>SUM(AB820:AB820)</f>
        <v>0</v>
      </c>
      <c r="AC819" s="28">
        <f>SUM(AC820:AC820)</f>
        <v>0</v>
      </c>
      <c r="AD819" s="28"/>
      <c r="AE819" s="28"/>
    </row>
    <row r="820" spans="1:31" s="1" customFormat="1" x14ac:dyDescent="0.25">
      <c r="A820" s="21"/>
      <c r="B820" s="22"/>
      <c r="C820" s="22"/>
      <c r="D820" s="65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  <c r="AA820" s="24"/>
      <c r="AB820" s="24"/>
      <c r="AC820" s="24"/>
      <c r="AD820" s="24"/>
      <c r="AE820" s="24"/>
    </row>
    <row r="821" spans="1:31" s="1" customFormat="1" x14ac:dyDescent="0.25">
      <c r="A821" s="25"/>
      <c r="B821" s="26" t="s">
        <v>1154</v>
      </c>
      <c r="C821" s="26"/>
      <c r="D821" s="64" t="s">
        <v>1155</v>
      </c>
      <c r="E821" s="28"/>
      <c r="F821" s="28"/>
      <c r="G821" s="28"/>
      <c r="H821" s="28"/>
      <c r="I821" s="28"/>
      <c r="J821" s="28"/>
      <c r="K821" s="28"/>
      <c r="L821" s="28"/>
      <c r="M821" s="28">
        <f>SUM(M822:M822)</f>
        <v>0</v>
      </c>
      <c r="N821" s="28"/>
      <c r="O821" s="28">
        <f>SUM(O822:O822)</f>
        <v>0</v>
      </c>
      <c r="P821" s="28">
        <f>SUM(P822:P822)</f>
        <v>0</v>
      </c>
      <c r="Q821" s="28">
        <f>SUM(Q822:Q822)</f>
        <v>0</v>
      </c>
      <c r="R821" s="28">
        <f>SUM(R822:R822)</f>
        <v>0</v>
      </c>
      <c r="S821" s="28">
        <f>SUM(S822:S822)</f>
        <v>0</v>
      </c>
      <c r="T821" s="28"/>
      <c r="U821" s="28">
        <f>SUM(U822:U822)</f>
        <v>0</v>
      </c>
      <c r="V821" s="28"/>
      <c r="W821" s="28">
        <f>SUM(W822:W822)</f>
        <v>0</v>
      </c>
      <c r="X821" s="28"/>
      <c r="Y821" s="28">
        <f>SUM(Y822:Y822)</f>
        <v>0</v>
      </c>
      <c r="Z821" s="28">
        <f>SUM(Z822:Z822)</f>
        <v>0</v>
      </c>
      <c r="AA821" s="28"/>
      <c r="AB821" s="28">
        <f>SUM(AB822:AB822)</f>
        <v>0</v>
      </c>
      <c r="AC821" s="28">
        <f>SUM(AC822:AC822)</f>
        <v>0</v>
      </c>
      <c r="AD821" s="28"/>
      <c r="AE821" s="28"/>
    </row>
    <row r="822" spans="1:31" s="1" customFormat="1" x14ac:dyDescent="0.25">
      <c r="A822" s="21"/>
      <c r="B822" s="22"/>
      <c r="C822" s="22"/>
      <c r="D822" s="65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  <c r="AA822" s="24"/>
      <c r="AB822" s="24"/>
      <c r="AC822" s="24"/>
      <c r="AD822" s="24"/>
      <c r="AE822" s="24"/>
    </row>
    <row r="823" spans="1:31" s="1" customFormat="1" ht="25.5" x14ac:dyDescent="0.25">
      <c r="A823" s="25"/>
      <c r="B823" s="26" t="s">
        <v>1156</v>
      </c>
      <c r="C823" s="26"/>
      <c r="D823" s="64" t="s">
        <v>1157</v>
      </c>
      <c r="E823" s="28"/>
      <c r="F823" s="28"/>
      <c r="G823" s="28"/>
      <c r="H823" s="28"/>
      <c r="I823" s="28"/>
      <c r="J823" s="28"/>
      <c r="K823" s="28"/>
      <c r="L823" s="28"/>
      <c r="M823" s="28">
        <f>SUM(M824:M824)</f>
        <v>0</v>
      </c>
      <c r="N823" s="28"/>
      <c r="O823" s="28">
        <f>SUM(O824:O824)</f>
        <v>0</v>
      </c>
      <c r="P823" s="28">
        <f>SUM(P824:P824)</f>
        <v>0</v>
      </c>
      <c r="Q823" s="28">
        <f>SUM(Q824:Q824)</f>
        <v>0</v>
      </c>
      <c r="R823" s="28">
        <f>SUM(R824:R824)</f>
        <v>0</v>
      </c>
      <c r="S823" s="28">
        <f>SUM(S824:S824)</f>
        <v>0</v>
      </c>
      <c r="T823" s="28"/>
      <c r="U823" s="28">
        <f>SUM(U824:U824)</f>
        <v>0</v>
      </c>
      <c r="V823" s="28"/>
      <c r="W823" s="28">
        <f>SUM(W824:W824)</f>
        <v>0</v>
      </c>
      <c r="X823" s="28"/>
      <c r="Y823" s="28">
        <f>SUM(Y824:Y824)</f>
        <v>0</v>
      </c>
      <c r="Z823" s="28">
        <f>SUM(Z824:Z824)</f>
        <v>0</v>
      </c>
      <c r="AA823" s="28"/>
      <c r="AB823" s="28">
        <f>SUM(AB824:AB824)</f>
        <v>0</v>
      </c>
      <c r="AC823" s="28">
        <f>SUM(AC824:AC824)</f>
        <v>0</v>
      </c>
      <c r="AD823" s="28"/>
      <c r="AE823" s="28"/>
    </row>
    <row r="824" spans="1:31" s="1" customFormat="1" x14ac:dyDescent="0.25">
      <c r="A824" s="21"/>
      <c r="B824" s="22"/>
      <c r="C824" s="22"/>
      <c r="D824" s="65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  <c r="AA824" s="24"/>
      <c r="AB824" s="24"/>
      <c r="AC824" s="24"/>
      <c r="AD824" s="24"/>
      <c r="AE824" s="24"/>
    </row>
    <row r="825" spans="1:31" s="1" customFormat="1" ht="25.5" x14ac:dyDescent="0.25">
      <c r="A825" s="25"/>
      <c r="B825" s="26" t="s">
        <v>1158</v>
      </c>
      <c r="C825" s="26"/>
      <c r="D825" s="64" t="s">
        <v>1159</v>
      </c>
      <c r="E825" s="28"/>
      <c r="F825" s="28"/>
      <c r="G825" s="28"/>
      <c r="H825" s="28"/>
      <c r="I825" s="28"/>
      <c r="J825" s="28"/>
      <c r="K825" s="28"/>
      <c r="L825" s="28"/>
      <c r="M825" s="28">
        <f>SUM(M826:M826)</f>
        <v>0</v>
      </c>
      <c r="N825" s="28"/>
      <c r="O825" s="28">
        <f>SUM(O826:O826)</f>
        <v>0</v>
      </c>
      <c r="P825" s="28">
        <f>SUM(P826:P826)</f>
        <v>0</v>
      </c>
      <c r="Q825" s="28">
        <f>SUM(Q826:Q826)</f>
        <v>0</v>
      </c>
      <c r="R825" s="28">
        <f>SUM(R826:R826)</f>
        <v>0</v>
      </c>
      <c r="S825" s="28">
        <f>SUM(S826:S826)</f>
        <v>0</v>
      </c>
      <c r="T825" s="28"/>
      <c r="U825" s="28">
        <f>SUM(U826:U826)</f>
        <v>0</v>
      </c>
      <c r="V825" s="28"/>
      <c r="W825" s="28">
        <f>SUM(W826:W826)</f>
        <v>0</v>
      </c>
      <c r="X825" s="28"/>
      <c r="Y825" s="28">
        <f>SUM(Y826:Y826)</f>
        <v>0</v>
      </c>
      <c r="Z825" s="28">
        <f>SUM(Z826:Z826)</f>
        <v>0</v>
      </c>
      <c r="AA825" s="28"/>
      <c r="AB825" s="28">
        <f>SUM(AB826:AB826)</f>
        <v>0</v>
      </c>
      <c r="AC825" s="28">
        <f>SUM(AC826:AC826)</f>
        <v>0</v>
      </c>
      <c r="AD825" s="28"/>
      <c r="AE825" s="28"/>
    </row>
    <row r="826" spans="1:31" s="1" customFormat="1" x14ac:dyDescent="0.25">
      <c r="A826" s="21"/>
      <c r="B826" s="22"/>
      <c r="C826" s="22"/>
      <c r="D826" s="65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  <c r="AA826" s="24"/>
      <c r="AB826" s="24"/>
      <c r="AC826" s="24"/>
      <c r="AD826" s="24"/>
      <c r="AE826" s="24"/>
    </row>
    <row r="827" spans="1:31" s="1" customFormat="1" ht="38.25" x14ac:dyDescent="0.25">
      <c r="A827" s="25"/>
      <c r="B827" s="26" t="s">
        <v>1160</v>
      </c>
      <c r="C827" s="26"/>
      <c r="D827" s="64" t="s">
        <v>1161</v>
      </c>
      <c r="E827" s="28"/>
      <c r="F827" s="28"/>
      <c r="G827" s="28"/>
      <c r="H827" s="28"/>
      <c r="I827" s="28"/>
      <c r="J827" s="28"/>
      <c r="K827" s="28"/>
      <c r="L827" s="28"/>
      <c r="M827" s="28">
        <f>SUM(M828:M828)</f>
        <v>0</v>
      </c>
      <c r="N827" s="28"/>
      <c r="O827" s="28">
        <f>SUM(O828:O828)</f>
        <v>0</v>
      </c>
      <c r="P827" s="28">
        <f>SUM(P828:P828)</f>
        <v>0</v>
      </c>
      <c r="Q827" s="28">
        <f>SUM(Q828:Q828)</f>
        <v>0</v>
      </c>
      <c r="R827" s="28">
        <f>SUM(R828:R828)</f>
        <v>0</v>
      </c>
      <c r="S827" s="28">
        <f>SUM(S828:S828)</f>
        <v>0</v>
      </c>
      <c r="T827" s="28"/>
      <c r="U827" s="28">
        <f>SUM(U828:U828)</f>
        <v>0</v>
      </c>
      <c r="V827" s="28"/>
      <c r="W827" s="28">
        <f>SUM(W828:W828)</f>
        <v>0</v>
      </c>
      <c r="X827" s="28"/>
      <c r="Y827" s="28">
        <f>SUM(Y828:Y828)</f>
        <v>0</v>
      </c>
      <c r="Z827" s="28">
        <f>SUM(Z828:Z828)</f>
        <v>0</v>
      </c>
      <c r="AA827" s="28"/>
      <c r="AB827" s="28">
        <f>SUM(AB828:AB828)</f>
        <v>0</v>
      </c>
      <c r="AC827" s="28">
        <f>SUM(AC828:AC828)</f>
        <v>0</v>
      </c>
      <c r="AD827" s="28"/>
      <c r="AE827" s="28"/>
    </row>
    <row r="828" spans="1:31" s="1" customFormat="1" x14ac:dyDescent="0.25">
      <c r="A828" s="21"/>
      <c r="B828" s="22"/>
      <c r="C828" s="22"/>
      <c r="D828" s="65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  <c r="AA828" s="24"/>
      <c r="AB828" s="24"/>
      <c r="AC828" s="24"/>
      <c r="AD828" s="24"/>
      <c r="AE828" s="24"/>
    </row>
    <row r="829" spans="1:31" s="1" customFormat="1" ht="25.5" x14ac:dyDescent="0.25">
      <c r="A829" s="25"/>
      <c r="B829" s="26" t="s">
        <v>1162</v>
      </c>
      <c r="C829" s="26"/>
      <c r="D829" s="64" t="s">
        <v>1163</v>
      </c>
      <c r="E829" s="28"/>
      <c r="F829" s="28"/>
      <c r="G829" s="28"/>
      <c r="H829" s="28"/>
      <c r="I829" s="28"/>
      <c r="J829" s="28"/>
      <c r="K829" s="28"/>
      <c r="L829" s="28"/>
      <c r="M829" s="28">
        <f>SUM(M830:M830)</f>
        <v>0</v>
      </c>
      <c r="N829" s="28"/>
      <c r="O829" s="28">
        <f>SUM(O830:O830)</f>
        <v>0</v>
      </c>
      <c r="P829" s="28">
        <f>SUM(P830:P830)</f>
        <v>0</v>
      </c>
      <c r="Q829" s="28">
        <f>SUM(Q830:Q830)</f>
        <v>0</v>
      </c>
      <c r="R829" s="28">
        <f>SUM(R830:R830)</f>
        <v>0</v>
      </c>
      <c r="S829" s="28">
        <f>SUM(S830:S830)</f>
        <v>0</v>
      </c>
      <c r="T829" s="28"/>
      <c r="U829" s="28">
        <f>SUM(U830:U830)</f>
        <v>0</v>
      </c>
      <c r="V829" s="28"/>
      <c r="W829" s="28">
        <f>SUM(W830:W830)</f>
        <v>0</v>
      </c>
      <c r="X829" s="28"/>
      <c r="Y829" s="28">
        <f>SUM(Y830:Y830)</f>
        <v>0</v>
      </c>
      <c r="Z829" s="28">
        <f>SUM(Z830:Z830)</f>
        <v>0</v>
      </c>
      <c r="AA829" s="28"/>
      <c r="AB829" s="28">
        <f>SUM(AB830:AB830)</f>
        <v>0</v>
      </c>
      <c r="AC829" s="28">
        <f>SUM(AC830:AC830)</f>
        <v>0</v>
      </c>
      <c r="AD829" s="28"/>
      <c r="AE829" s="28"/>
    </row>
    <row r="830" spans="1:31" s="1" customFormat="1" x14ac:dyDescent="0.25">
      <c r="A830" s="21"/>
      <c r="B830" s="22"/>
      <c r="C830" s="22"/>
      <c r="D830" s="65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  <c r="AA830" s="24"/>
      <c r="AB830" s="24"/>
      <c r="AC830" s="24"/>
      <c r="AD830" s="24"/>
      <c r="AE830" s="24"/>
    </row>
    <row r="831" spans="1:31" s="1" customFormat="1" ht="25.5" x14ac:dyDescent="0.25">
      <c r="A831" s="25"/>
      <c r="B831" s="26" t="s">
        <v>1164</v>
      </c>
      <c r="C831" s="26"/>
      <c r="D831" s="64" t="s">
        <v>1165</v>
      </c>
      <c r="E831" s="28"/>
      <c r="F831" s="28"/>
      <c r="G831" s="28"/>
      <c r="H831" s="28"/>
      <c r="I831" s="28"/>
      <c r="J831" s="28"/>
      <c r="K831" s="28"/>
      <c r="L831" s="28"/>
      <c r="M831" s="28">
        <f>SUM(M832:M834)</f>
        <v>0</v>
      </c>
      <c r="N831" s="28"/>
      <c r="O831" s="28">
        <f t="shared" ref="O831:AC831" si="317">SUM(O832:O834)</f>
        <v>0</v>
      </c>
      <c r="P831" s="28">
        <f t="shared" si="317"/>
        <v>0</v>
      </c>
      <c r="Q831" s="28">
        <f t="shared" si="317"/>
        <v>0</v>
      </c>
      <c r="R831" s="28">
        <f t="shared" si="317"/>
        <v>0</v>
      </c>
      <c r="S831" s="28">
        <f t="shared" si="317"/>
        <v>0</v>
      </c>
      <c r="T831" s="28"/>
      <c r="U831" s="28">
        <f t="shared" si="317"/>
        <v>0</v>
      </c>
      <c r="V831" s="28"/>
      <c r="W831" s="28">
        <f t="shared" si="317"/>
        <v>0</v>
      </c>
      <c r="X831" s="28"/>
      <c r="Y831" s="28">
        <f t="shared" si="317"/>
        <v>0</v>
      </c>
      <c r="Z831" s="28">
        <f t="shared" si="317"/>
        <v>0</v>
      </c>
      <c r="AA831" s="28"/>
      <c r="AB831" s="28">
        <f t="shared" si="317"/>
        <v>0</v>
      </c>
      <c r="AC831" s="28">
        <f t="shared" si="317"/>
        <v>0</v>
      </c>
      <c r="AD831" s="28"/>
      <c r="AE831" s="28"/>
    </row>
    <row r="832" spans="1:31" s="1" customFormat="1" x14ac:dyDescent="0.25">
      <c r="A832" s="21"/>
      <c r="B832" s="22"/>
      <c r="C832" s="22"/>
      <c r="D832" s="65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  <c r="AA832" s="24"/>
      <c r="AB832" s="24"/>
      <c r="AC832" s="24"/>
      <c r="AD832" s="24"/>
      <c r="AE832" s="24"/>
    </row>
    <row r="833" spans="1:33" s="1" customFormat="1" x14ac:dyDescent="0.25">
      <c r="A833" s="21"/>
      <c r="B833" s="22"/>
      <c r="C833" s="22"/>
      <c r="D833" s="65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  <c r="AA833" s="24"/>
      <c r="AB833" s="24"/>
      <c r="AC833" s="24"/>
      <c r="AD833" s="24"/>
      <c r="AE833" s="24"/>
    </row>
    <row r="834" spans="1:33" s="1" customFormat="1" x14ac:dyDescent="0.25">
      <c r="A834" s="21"/>
      <c r="B834" s="22"/>
      <c r="C834" s="22"/>
      <c r="D834" s="65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  <c r="AA834" s="24"/>
      <c r="AB834" s="24"/>
      <c r="AC834" s="24"/>
      <c r="AD834" s="24"/>
      <c r="AE834" s="24"/>
    </row>
    <row r="835" spans="1:33" s="1" customFormat="1" ht="25.5" x14ac:dyDescent="0.25">
      <c r="A835" s="25"/>
      <c r="B835" s="26" t="s">
        <v>1166</v>
      </c>
      <c r="C835" s="26"/>
      <c r="D835" s="64" t="s">
        <v>1167</v>
      </c>
      <c r="E835" s="28"/>
      <c r="F835" s="28"/>
      <c r="G835" s="28"/>
      <c r="H835" s="28"/>
      <c r="I835" s="28"/>
      <c r="J835" s="28"/>
      <c r="K835" s="28"/>
      <c r="L835" s="28"/>
      <c r="M835" s="28">
        <f>SUM(M836:M836)</f>
        <v>0</v>
      </c>
      <c r="N835" s="28"/>
      <c r="O835" s="28">
        <f>SUM(O836:O836)</f>
        <v>0</v>
      </c>
      <c r="P835" s="28">
        <f>SUM(P836:P836)</f>
        <v>0</v>
      </c>
      <c r="Q835" s="28">
        <f>SUM(Q836:Q836)</f>
        <v>0</v>
      </c>
      <c r="R835" s="28">
        <f>SUM(R836:R836)</f>
        <v>0</v>
      </c>
      <c r="S835" s="28">
        <f>SUM(S836:S836)</f>
        <v>0</v>
      </c>
      <c r="T835" s="28"/>
      <c r="U835" s="28">
        <f>SUM(U836:U836)</f>
        <v>0</v>
      </c>
      <c r="V835" s="28"/>
      <c r="W835" s="28">
        <f>SUM(W836:W836)</f>
        <v>0</v>
      </c>
      <c r="X835" s="28"/>
      <c r="Y835" s="28">
        <f>SUM(Y836:Y836)</f>
        <v>0</v>
      </c>
      <c r="Z835" s="28">
        <f>SUM(Z836:Z836)</f>
        <v>0</v>
      </c>
      <c r="AA835" s="28"/>
      <c r="AB835" s="28">
        <f>SUM(AB836:AB836)</f>
        <v>0</v>
      </c>
      <c r="AC835" s="28">
        <f>SUM(AC836:AC836)</f>
        <v>0</v>
      </c>
      <c r="AD835" s="28"/>
      <c r="AE835" s="28"/>
    </row>
    <row r="836" spans="1:33" s="1" customFormat="1" x14ac:dyDescent="0.25">
      <c r="A836" s="21"/>
      <c r="B836" s="22"/>
      <c r="C836" s="22"/>
      <c r="D836" s="65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  <c r="AA836" s="24"/>
      <c r="AB836" s="24"/>
      <c r="AC836" s="24"/>
      <c r="AD836" s="24"/>
      <c r="AE836" s="24"/>
    </row>
    <row r="837" spans="1:33" s="1" customFormat="1" x14ac:dyDescent="0.25">
      <c r="A837" s="17"/>
      <c r="B837" s="18" t="s">
        <v>1168</v>
      </c>
      <c r="C837" s="18"/>
      <c r="D837" s="84" t="s">
        <v>1169</v>
      </c>
      <c r="E837" s="20"/>
      <c r="F837" s="20"/>
      <c r="G837" s="20"/>
      <c r="H837" s="20"/>
      <c r="I837" s="20"/>
      <c r="J837" s="20"/>
      <c r="K837" s="20"/>
      <c r="L837" s="20"/>
      <c r="M837" s="20">
        <f>SUM(M838+M840+M842+M844)</f>
        <v>0</v>
      </c>
      <c r="N837" s="20"/>
      <c r="O837" s="20">
        <f>O838+O840+O842+O844</f>
        <v>0</v>
      </c>
      <c r="P837" s="20">
        <f>P838+P840+P842+P844</f>
        <v>0</v>
      </c>
      <c r="Q837" s="20">
        <f>Q838+Q840+Q842+Q844</f>
        <v>0</v>
      </c>
      <c r="R837" s="20">
        <f>R838+R840+R842+R844</f>
        <v>0</v>
      </c>
      <c r="S837" s="20">
        <f>S838+S840+S842+S844</f>
        <v>0</v>
      </c>
      <c r="T837" s="20"/>
      <c r="U837" s="20">
        <f>U838+U840+U842+U844</f>
        <v>0</v>
      </c>
      <c r="V837" s="20"/>
      <c r="W837" s="20">
        <f>W838+W840+W842+W844</f>
        <v>0</v>
      </c>
      <c r="X837" s="20"/>
      <c r="Y837" s="20">
        <f>Y838+Y840+Y842+Y844</f>
        <v>0</v>
      </c>
      <c r="Z837" s="20">
        <f>Z838+Z840+Z842+Z844</f>
        <v>0</v>
      </c>
      <c r="AA837" s="20"/>
      <c r="AB837" s="20">
        <f>AB838+AB840+AB842+AB844</f>
        <v>0</v>
      </c>
      <c r="AC837" s="20">
        <f>AC838+AC840+AC842+AC844</f>
        <v>0</v>
      </c>
      <c r="AD837" s="20"/>
      <c r="AE837" s="20"/>
    </row>
    <row r="838" spans="1:33" s="1" customFormat="1" x14ac:dyDescent="0.25">
      <c r="A838" s="25"/>
      <c r="B838" s="26" t="s">
        <v>1170</v>
      </c>
      <c r="C838" s="26"/>
      <c r="D838" s="64" t="s">
        <v>1171</v>
      </c>
      <c r="E838" s="28"/>
      <c r="F838" s="28"/>
      <c r="G838" s="28"/>
      <c r="H838" s="28"/>
      <c r="I838" s="28"/>
      <c r="J838" s="28"/>
      <c r="K838" s="28"/>
      <c r="L838" s="28"/>
      <c r="M838" s="28">
        <f>SUM(M839:M839)</f>
        <v>0</v>
      </c>
      <c r="N838" s="28"/>
      <c r="O838" s="28">
        <f>SUM(O839:O839)</f>
        <v>0</v>
      </c>
      <c r="P838" s="28">
        <f>SUM(P839:P839)</f>
        <v>0</v>
      </c>
      <c r="Q838" s="28">
        <f>SUM(Q839:Q839)</f>
        <v>0</v>
      </c>
      <c r="R838" s="28">
        <f>SUM(R839:R839)</f>
        <v>0</v>
      </c>
      <c r="S838" s="28">
        <f>SUM(S839:S839)</f>
        <v>0</v>
      </c>
      <c r="T838" s="28"/>
      <c r="U838" s="28">
        <f>SUM(U839:U839)</f>
        <v>0</v>
      </c>
      <c r="V838" s="28"/>
      <c r="W838" s="28">
        <f>SUM(W839:W839)</f>
        <v>0</v>
      </c>
      <c r="X838" s="28"/>
      <c r="Y838" s="28">
        <f>SUM(Y839:Y839)</f>
        <v>0</v>
      </c>
      <c r="Z838" s="28">
        <f>SUM(Z839:Z839)</f>
        <v>0</v>
      </c>
      <c r="AA838" s="28"/>
      <c r="AB838" s="28">
        <f>SUM(AB839:AB839)</f>
        <v>0</v>
      </c>
      <c r="AC838" s="28">
        <f>SUM(AC839:AC839)</f>
        <v>0</v>
      </c>
      <c r="AD838" s="28"/>
      <c r="AE838" s="28"/>
    </row>
    <row r="839" spans="1:33" s="1" customFormat="1" x14ac:dyDescent="0.25">
      <c r="A839" s="21"/>
      <c r="B839" s="22"/>
      <c r="C839" s="22"/>
      <c r="D839" s="65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  <c r="AA839" s="24"/>
      <c r="AB839" s="24"/>
      <c r="AC839" s="24"/>
      <c r="AD839" s="24"/>
      <c r="AE839" s="24"/>
    </row>
    <row r="840" spans="1:33" s="1" customFormat="1" x14ac:dyDescent="0.25">
      <c r="A840" s="25"/>
      <c r="B840" s="26" t="s">
        <v>1172</v>
      </c>
      <c r="C840" s="26"/>
      <c r="D840" s="64" t="s">
        <v>1173</v>
      </c>
      <c r="E840" s="28"/>
      <c r="F840" s="28"/>
      <c r="G840" s="28"/>
      <c r="H840" s="28"/>
      <c r="I840" s="28"/>
      <c r="J840" s="28"/>
      <c r="K840" s="28"/>
      <c r="L840" s="28"/>
      <c r="M840" s="28">
        <f>SUM(M841:M841)</f>
        <v>0</v>
      </c>
      <c r="N840" s="28"/>
      <c r="O840" s="28">
        <f>SUM(O841:O841)</f>
        <v>0</v>
      </c>
      <c r="P840" s="28">
        <f>SUM(P841:P841)</f>
        <v>0</v>
      </c>
      <c r="Q840" s="28">
        <f>SUM(Q841:Q841)</f>
        <v>0</v>
      </c>
      <c r="R840" s="28">
        <f>SUM(R841:R841)</f>
        <v>0</v>
      </c>
      <c r="S840" s="28">
        <f>SUM(S841:S841)</f>
        <v>0</v>
      </c>
      <c r="T840" s="28"/>
      <c r="U840" s="28">
        <f>SUM(U841:U841)</f>
        <v>0</v>
      </c>
      <c r="V840" s="28"/>
      <c r="W840" s="28">
        <f>SUM(W841:W841)</f>
        <v>0</v>
      </c>
      <c r="X840" s="28"/>
      <c r="Y840" s="28">
        <f>SUM(Y841:Y841)</f>
        <v>0</v>
      </c>
      <c r="Z840" s="28">
        <f>SUM(Z841:Z841)</f>
        <v>0</v>
      </c>
      <c r="AA840" s="28"/>
      <c r="AB840" s="28">
        <f>SUM(AB841:AB841)</f>
        <v>0</v>
      </c>
      <c r="AC840" s="28">
        <f>SUM(AC841:AC841)</f>
        <v>0</v>
      </c>
      <c r="AD840" s="28"/>
      <c r="AE840" s="28"/>
    </row>
    <row r="841" spans="1:33" s="1" customFormat="1" x14ac:dyDescent="0.25">
      <c r="A841" s="21"/>
      <c r="B841" s="22"/>
      <c r="C841" s="22"/>
      <c r="D841" s="65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  <c r="AA841" s="24"/>
      <c r="AB841" s="24"/>
      <c r="AC841" s="24"/>
      <c r="AD841" s="24"/>
      <c r="AE841" s="24"/>
    </row>
    <row r="842" spans="1:33" s="1" customFormat="1" x14ac:dyDescent="0.25">
      <c r="A842" s="25"/>
      <c r="B842" s="26" t="s">
        <v>1174</v>
      </c>
      <c r="C842" s="26"/>
      <c r="D842" s="64" t="s">
        <v>1175</v>
      </c>
      <c r="E842" s="28"/>
      <c r="F842" s="28"/>
      <c r="G842" s="28"/>
      <c r="H842" s="28"/>
      <c r="I842" s="28"/>
      <c r="J842" s="28"/>
      <c r="K842" s="28"/>
      <c r="L842" s="28"/>
      <c r="M842" s="28">
        <f>SUM(M843:M843)</f>
        <v>0</v>
      </c>
      <c r="N842" s="28"/>
      <c r="O842" s="28">
        <f>SUM(O843:O843)</f>
        <v>0</v>
      </c>
      <c r="P842" s="28">
        <f>SUM(P843:P843)</f>
        <v>0</v>
      </c>
      <c r="Q842" s="28">
        <f>SUM(Q843:Q843)</f>
        <v>0</v>
      </c>
      <c r="R842" s="28">
        <f>SUM(R843:R843)</f>
        <v>0</v>
      </c>
      <c r="S842" s="28">
        <f>SUM(S843:S843)</f>
        <v>0</v>
      </c>
      <c r="T842" s="28"/>
      <c r="U842" s="28">
        <f>SUM(U843:U843)</f>
        <v>0</v>
      </c>
      <c r="V842" s="28"/>
      <c r="W842" s="28">
        <f>SUM(W843:W843)</f>
        <v>0</v>
      </c>
      <c r="X842" s="28"/>
      <c r="Y842" s="28">
        <f>SUM(Y843:Y843)</f>
        <v>0</v>
      </c>
      <c r="Z842" s="28">
        <f>SUM(Z843:Z843)</f>
        <v>0</v>
      </c>
      <c r="AA842" s="28"/>
      <c r="AB842" s="28">
        <f>SUM(AB843:AB843)</f>
        <v>0</v>
      </c>
      <c r="AC842" s="28">
        <f>SUM(AC843:AC843)</f>
        <v>0</v>
      </c>
      <c r="AD842" s="28"/>
      <c r="AE842" s="28"/>
    </row>
    <row r="843" spans="1:33" s="1" customFormat="1" x14ac:dyDescent="0.25">
      <c r="A843" s="21"/>
      <c r="B843" s="22"/>
      <c r="C843" s="22"/>
      <c r="D843" s="65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  <c r="AA843" s="24"/>
      <c r="AB843" s="24"/>
      <c r="AC843" s="24"/>
      <c r="AD843" s="24"/>
      <c r="AE843" s="24"/>
    </row>
    <row r="844" spans="1:33" s="1" customFormat="1" x14ac:dyDescent="0.25">
      <c r="A844" s="25"/>
      <c r="B844" s="26" t="s">
        <v>1176</v>
      </c>
      <c r="C844" s="26"/>
      <c r="D844" s="64" t="s">
        <v>1177</v>
      </c>
      <c r="E844" s="28"/>
      <c r="F844" s="28"/>
      <c r="G844" s="28"/>
      <c r="H844" s="28"/>
      <c r="I844" s="28"/>
      <c r="J844" s="28"/>
      <c r="K844" s="28"/>
      <c r="L844" s="28"/>
      <c r="M844" s="28">
        <f>SUM(M845:M845)</f>
        <v>0</v>
      </c>
      <c r="N844" s="28"/>
      <c r="O844" s="28">
        <f>SUM(O845:O845)</f>
        <v>0</v>
      </c>
      <c r="P844" s="28">
        <f>SUM(P845:P845)</f>
        <v>0</v>
      </c>
      <c r="Q844" s="28">
        <f>SUM(Q845:Q845)</f>
        <v>0</v>
      </c>
      <c r="R844" s="28">
        <f>SUM(R845:R845)</f>
        <v>0</v>
      </c>
      <c r="S844" s="28">
        <f>SUM(S845:S845)</f>
        <v>0</v>
      </c>
      <c r="T844" s="28"/>
      <c r="U844" s="28">
        <f>SUM(U845:U845)</f>
        <v>0</v>
      </c>
      <c r="V844" s="28"/>
      <c r="W844" s="28">
        <f>SUM(W845:W845)</f>
        <v>0</v>
      </c>
      <c r="X844" s="28"/>
      <c r="Y844" s="28">
        <f>SUM(Y845:Y845)</f>
        <v>0</v>
      </c>
      <c r="Z844" s="28">
        <f>SUM(Z845:Z845)</f>
        <v>0</v>
      </c>
      <c r="AA844" s="28"/>
      <c r="AB844" s="28">
        <f>SUM(AB845:AB845)</f>
        <v>0</v>
      </c>
      <c r="AC844" s="28">
        <f>SUM(AC845:AC845)</f>
        <v>0</v>
      </c>
      <c r="AD844" s="28"/>
      <c r="AE844" s="28"/>
    </row>
    <row r="845" spans="1:33" s="1" customFormat="1" x14ac:dyDescent="0.25">
      <c r="A845" s="21"/>
      <c r="B845" s="22"/>
      <c r="C845" s="22"/>
      <c r="D845" s="65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  <c r="AA845" s="24"/>
      <c r="AB845" s="24"/>
      <c r="AC845" s="24"/>
      <c r="AD845" s="24"/>
      <c r="AE845" s="24"/>
    </row>
    <row r="846" spans="1:33" s="1" customFormat="1" x14ac:dyDescent="0.25">
      <c r="A846" s="17"/>
      <c r="B846" s="18" t="s">
        <v>1178</v>
      </c>
      <c r="C846" s="18"/>
      <c r="D846" s="84" t="s">
        <v>1179</v>
      </c>
      <c r="E846" s="20"/>
      <c r="F846" s="20"/>
      <c r="G846" s="20"/>
      <c r="H846" s="20"/>
      <c r="I846" s="20"/>
      <c r="J846" s="20"/>
      <c r="K846" s="20"/>
      <c r="L846" s="20"/>
      <c r="M846" s="20">
        <f>SUM(M847+M934)</f>
        <v>348</v>
      </c>
      <c r="N846" s="20"/>
      <c r="O846" s="37">
        <f>SUM(O847+O934)</f>
        <v>2143768587</v>
      </c>
      <c r="P846" s="37">
        <f>P847+P934</f>
        <v>0</v>
      </c>
      <c r="Q846" s="37">
        <f>Q847+Q934</f>
        <v>0</v>
      </c>
      <c r="R846" s="37">
        <f>R847+R934</f>
        <v>0</v>
      </c>
      <c r="S846" s="37">
        <f>SUM(S847+S934)</f>
        <v>2143768587</v>
      </c>
      <c r="T846" s="37"/>
      <c r="U846" s="37">
        <f>SUM(U847+U934)</f>
        <v>153095399.90000001</v>
      </c>
      <c r="V846" s="37"/>
      <c r="W846" s="37">
        <f>SUM(W847+W934)</f>
        <v>65953399.943333335</v>
      </c>
      <c r="X846" s="37"/>
      <c r="Y846" s="37">
        <f>Y847+Y934</f>
        <v>0</v>
      </c>
      <c r="Z846" s="37">
        <f>SUM(Z847+Z934)</f>
        <v>65953399.943333335</v>
      </c>
      <c r="AA846" s="37"/>
      <c r="AB846" s="37">
        <f>SUM(AB847+AB934)</f>
        <v>1683039960.7249994</v>
      </c>
      <c r="AC846" s="37">
        <f>SUM(AC847+AC934)</f>
        <v>460728626.27499992</v>
      </c>
      <c r="AD846" s="20"/>
      <c r="AE846" s="20"/>
      <c r="AG846" s="143"/>
    </row>
    <row r="847" spans="1:33" s="160" customFormat="1" x14ac:dyDescent="0.25">
      <c r="A847" s="138"/>
      <c r="B847" s="139" t="s">
        <v>1180</v>
      </c>
      <c r="C847" s="139"/>
      <c r="D847" s="184" t="s">
        <v>1181</v>
      </c>
      <c r="E847" s="141"/>
      <c r="F847" s="141"/>
      <c r="G847" s="141"/>
      <c r="H847" s="141"/>
      <c r="I847" s="141"/>
      <c r="J847" s="141"/>
      <c r="K847" s="141"/>
      <c r="L847" s="141"/>
      <c r="M847" s="402">
        <f>SUM(M848+M926)</f>
        <v>180</v>
      </c>
      <c r="N847" s="141"/>
      <c r="O847" s="142">
        <f>SUM(O848+O926)</f>
        <v>1643528607</v>
      </c>
      <c r="P847" s="141">
        <f>SUM(P854:P918)</f>
        <v>0</v>
      </c>
      <c r="Q847" s="141">
        <f>SUM(Q854:Q918)</f>
        <v>0</v>
      </c>
      <c r="R847" s="141">
        <f>SUM(R854:R918)</f>
        <v>0</v>
      </c>
      <c r="S847" s="142">
        <f>SUM(S848+S926)</f>
        <v>1643528607</v>
      </c>
      <c r="T847" s="141"/>
      <c r="U847" s="142">
        <f>SUM(U848+U926)</f>
        <v>128738103.90000001</v>
      </c>
      <c r="V847" s="141"/>
      <c r="W847" s="142">
        <f>SUM(W848+W926)</f>
        <v>56528251.943333335</v>
      </c>
      <c r="X847" s="141"/>
      <c r="Y847" s="142">
        <f>SUM(Y854:Y923)</f>
        <v>0</v>
      </c>
      <c r="Z847" s="142">
        <f>SUM(Z848+Z926)</f>
        <v>56528251.943333335</v>
      </c>
      <c r="AA847" s="141"/>
      <c r="AB847" s="142">
        <f>SUM(AB848+AB926)</f>
        <v>1241507919.0583329</v>
      </c>
      <c r="AC847" s="142">
        <f>SUM(AC848+AC926)</f>
        <v>402020687.9416666</v>
      </c>
      <c r="AD847" s="141"/>
      <c r="AE847" s="141"/>
      <c r="AF847" s="181">
        <v>1617086560.2349997</v>
      </c>
      <c r="AG847" s="161">
        <f>AF847+W846-AB846</f>
        <v>-0.54666638374328613</v>
      </c>
    </row>
    <row r="848" spans="1:33" s="1" customFormat="1" x14ac:dyDescent="0.25">
      <c r="A848" s="25"/>
      <c r="B848" s="26" t="s">
        <v>1746</v>
      </c>
      <c r="C848" s="26"/>
      <c r="D848" s="64" t="s">
        <v>1747</v>
      </c>
      <c r="E848" s="28"/>
      <c r="F848" s="28"/>
      <c r="G848" s="28"/>
      <c r="H848" s="28"/>
      <c r="I848" s="28"/>
      <c r="J848" s="28"/>
      <c r="K848" s="28"/>
      <c r="L848" s="28"/>
      <c r="M848" s="28">
        <f>SUM(M849:M924)</f>
        <v>174</v>
      </c>
      <c r="N848" s="28"/>
      <c r="O848" s="40">
        <f>SUM(O849:O924)</f>
        <v>1560972607</v>
      </c>
      <c r="P848" s="28"/>
      <c r="Q848" s="28"/>
      <c r="R848" s="28"/>
      <c r="S848" s="40">
        <f>SUM(S849:S924)</f>
        <v>1560972607</v>
      </c>
      <c r="T848" s="28"/>
      <c r="U848" s="40">
        <f>SUM(U849:U924)</f>
        <v>112226903.90000001</v>
      </c>
      <c r="V848" s="28"/>
      <c r="W848" s="40">
        <f>SUM(W849:W924)</f>
        <v>55152318.609999999</v>
      </c>
      <c r="X848" s="28"/>
      <c r="Y848" s="40"/>
      <c r="Z848" s="40">
        <f>SUM(Z849:Z924)</f>
        <v>55152318.609999999</v>
      </c>
      <c r="AA848" s="28"/>
      <c r="AB848" s="40">
        <f>SUM(AB849:AB924)</f>
        <v>1240131985.7249997</v>
      </c>
      <c r="AC848" s="40">
        <f>SUM(AC849:AC924)</f>
        <v>320840621.27499998</v>
      </c>
      <c r="AD848" s="28"/>
      <c r="AE848" s="28"/>
      <c r="AF848" s="5">
        <f>AB846-AF847</f>
        <v>65953400.489999771</v>
      </c>
      <c r="AG848" s="5">
        <f>66600000</f>
        <v>66600000</v>
      </c>
    </row>
    <row r="849" spans="1:34" s="1" customFormat="1" x14ac:dyDescent="0.25">
      <c r="A849" s="49">
        <v>1</v>
      </c>
      <c r="B849" s="50" t="s">
        <v>1748</v>
      </c>
      <c r="C849" s="50" t="s">
        <v>255</v>
      </c>
      <c r="D849" s="51" t="s">
        <v>270</v>
      </c>
      <c r="E849" s="52" t="s">
        <v>263</v>
      </c>
      <c r="F849" s="52"/>
      <c r="G849" s="52" t="s">
        <v>260</v>
      </c>
      <c r="H849" s="52" t="s">
        <v>62</v>
      </c>
      <c r="I849" s="52">
        <v>2005</v>
      </c>
      <c r="J849" s="52"/>
      <c r="K849" s="52" t="s">
        <v>269</v>
      </c>
      <c r="L849" s="52" t="s">
        <v>212</v>
      </c>
      <c r="M849" s="52">
        <v>25</v>
      </c>
      <c r="N849" s="53">
        <f>SUM(O849/M849)</f>
        <v>180000</v>
      </c>
      <c r="O849" s="53">
        <v>4500000</v>
      </c>
      <c r="P849" s="52"/>
      <c r="Q849" s="52"/>
      <c r="R849" s="52"/>
      <c r="S849" s="53">
        <f t="shared" ref="S849:S880" si="318">SUM(O849-R849)</f>
        <v>4500000</v>
      </c>
      <c r="T849" s="52">
        <v>5</v>
      </c>
      <c r="U849" s="53"/>
      <c r="V849" s="52">
        <v>0.5</v>
      </c>
      <c r="W849" s="53">
        <f>SUM(U849*V849)</f>
        <v>0</v>
      </c>
      <c r="X849" s="52"/>
      <c r="Y849" s="53">
        <f>SUM(U849*X849)</f>
        <v>0</v>
      </c>
      <c r="Z849" s="53">
        <f>SUM(W849+Y849)</f>
        <v>0</v>
      </c>
      <c r="AA849" s="57">
        <v>5</v>
      </c>
      <c r="AB849" s="53">
        <v>4500000</v>
      </c>
      <c r="AC849" s="53">
        <f t="shared" ref="AC849:AC880" si="319">SUM(O849-AB849)</f>
        <v>0</v>
      </c>
      <c r="AD849" s="56" t="s">
        <v>213</v>
      </c>
      <c r="AE849" s="52"/>
      <c r="AF849" s="5">
        <f>S848-AF848</f>
        <v>1495019206.5100002</v>
      </c>
      <c r="AG849" s="5">
        <f>AG848+AF848</f>
        <v>132553400.48999977</v>
      </c>
    </row>
    <row r="850" spans="1:34" s="1" customFormat="1" x14ac:dyDescent="0.25">
      <c r="A850" s="49">
        <v>2</v>
      </c>
      <c r="B850" s="50" t="s">
        <v>1748</v>
      </c>
      <c r="C850" s="73" t="s">
        <v>227</v>
      </c>
      <c r="D850" s="51" t="s">
        <v>271</v>
      </c>
      <c r="E850" s="52"/>
      <c r="F850" s="52"/>
      <c r="G850" s="52" t="s">
        <v>260</v>
      </c>
      <c r="H850" s="52" t="s">
        <v>62</v>
      </c>
      <c r="I850" s="52">
        <v>2020</v>
      </c>
      <c r="J850" s="52"/>
      <c r="K850" s="52" t="s">
        <v>261</v>
      </c>
      <c r="L850" s="52" t="s">
        <v>64</v>
      </c>
      <c r="M850" s="52">
        <v>1</v>
      </c>
      <c r="N850" s="53">
        <v>29796250</v>
      </c>
      <c r="O850" s="53">
        <v>29796250</v>
      </c>
      <c r="P850" s="52"/>
      <c r="Q850" s="52"/>
      <c r="R850" s="52"/>
      <c r="S850" s="53">
        <f t="shared" si="318"/>
        <v>29796250</v>
      </c>
      <c r="T850" s="52">
        <v>5</v>
      </c>
      <c r="U850" s="53">
        <f>SUM(S850/T850)</f>
        <v>5959250</v>
      </c>
      <c r="V850" s="52">
        <v>0.5</v>
      </c>
      <c r="W850" s="53">
        <f>SUM(U850*V850)</f>
        <v>2979625</v>
      </c>
      <c r="X850" s="57"/>
      <c r="Y850" s="53">
        <f>SUM(U850*X850)</f>
        <v>0</v>
      </c>
      <c r="Z850" s="53">
        <f>SUM(W850+Y850)</f>
        <v>2979625</v>
      </c>
      <c r="AA850" s="57">
        <f>2/12+0.5+0.5+0.5+0.5+0.5</f>
        <v>2.6666666666666665</v>
      </c>
      <c r="AB850" s="53">
        <f>SUM(U850*AA850)</f>
        <v>15891333.333333332</v>
      </c>
      <c r="AC850" s="53">
        <f t="shared" si="319"/>
        <v>13904916.666666668</v>
      </c>
      <c r="AD850" s="56" t="s">
        <v>213</v>
      </c>
      <c r="AE850" s="52"/>
      <c r="AG850" s="5"/>
    </row>
    <row r="851" spans="1:34" s="1" customFormat="1" x14ac:dyDescent="0.25">
      <c r="A851" s="49">
        <v>3</v>
      </c>
      <c r="B851" s="50" t="s">
        <v>1748</v>
      </c>
      <c r="C851" s="22" t="s">
        <v>58</v>
      </c>
      <c r="D851" s="51" t="s">
        <v>681</v>
      </c>
      <c r="E851" s="24" t="s">
        <v>263</v>
      </c>
      <c r="F851" s="24"/>
      <c r="G851" s="24" t="s">
        <v>260</v>
      </c>
      <c r="H851" s="24" t="s">
        <v>62</v>
      </c>
      <c r="I851" s="24">
        <v>2005</v>
      </c>
      <c r="J851" s="24"/>
      <c r="K851" s="24" t="s">
        <v>261</v>
      </c>
      <c r="L851" s="24" t="s">
        <v>64</v>
      </c>
      <c r="M851" s="24">
        <v>1</v>
      </c>
      <c r="N851" s="41">
        <f>SUM(O851/M851)</f>
        <v>2975000</v>
      </c>
      <c r="O851" s="41">
        <v>2975000</v>
      </c>
      <c r="P851" s="24"/>
      <c r="Q851" s="24"/>
      <c r="R851" s="24"/>
      <c r="S851" s="41">
        <f t="shared" si="318"/>
        <v>2975000</v>
      </c>
      <c r="T851" s="24">
        <v>5</v>
      </c>
      <c r="U851" s="41"/>
      <c r="V851" s="24">
        <v>0.5</v>
      </c>
      <c r="W851" s="41">
        <f>SUM(U851*V851)</f>
        <v>0</v>
      </c>
      <c r="X851" s="24"/>
      <c r="Y851" s="41">
        <f>SUM(U851*X851)</f>
        <v>0</v>
      </c>
      <c r="Z851" s="41">
        <f>SUM(W851+Y851)</f>
        <v>0</v>
      </c>
      <c r="AA851" s="24">
        <v>5</v>
      </c>
      <c r="AB851" s="41">
        <v>2975000</v>
      </c>
      <c r="AC851" s="41">
        <f t="shared" si="319"/>
        <v>0</v>
      </c>
      <c r="AD851" s="70" t="s">
        <v>213</v>
      </c>
      <c r="AE851" s="70"/>
      <c r="AF851" s="5">
        <f>AF848+AF849</f>
        <v>1560972607</v>
      </c>
      <c r="AG851" s="5"/>
    </row>
    <row r="852" spans="1:34" s="1" customFormat="1" x14ac:dyDescent="0.25">
      <c r="A852" s="49">
        <v>4</v>
      </c>
      <c r="B852" s="50" t="s">
        <v>1749</v>
      </c>
      <c r="C852" s="50" t="s">
        <v>255</v>
      </c>
      <c r="D852" s="51" t="s">
        <v>268</v>
      </c>
      <c r="E852" s="52" t="s">
        <v>263</v>
      </c>
      <c r="F852" s="52"/>
      <c r="G852" s="52" t="s">
        <v>260</v>
      </c>
      <c r="H852" s="52" t="s">
        <v>62</v>
      </c>
      <c r="I852" s="52">
        <v>2005</v>
      </c>
      <c r="J852" s="52"/>
      <c r="K852" s="52" t="s">
        <v>269</v>
      </c>
      <c r="L852" s="52" t="s">
        <v>212</v>
      </c>
      <c r="M852" s="52">
        <v>25</v>
      </c>
      <c r="N852" s="53">
        <f>SUM(O852/M852)</f>
        <v>180000</v>
      </c>
      <c r="O852" s="53">
        <v>4500000</v>
      </c>
      <c r="P852" s="52"/>
      <c r="Q852" s="52"/>
      <c r="R852" s="52"/>
      <c r="S852" s="53">
        <f t="shared" si="318"/>
        <v>4500000</v>
      </c>
      <c r="T852" s="52">
        <v>5</v>
      </c>
      <c r="U852" s="53"/>
      <c r="V852" s="52">
        <v>0.5</v>
      </c>
      <c r="W852" s="53">
        <f>SUM(U852*V852)</f>
        <v>0</v>
      </c>
      <c r="X852" s="52"/>
      <c r="Y852" s="53">
        <f>SUM(U852*X852)</f>
        <v>0</v>
      </c>
      <c r="Z852" s="53">
        <f>SUM(W852+Y852)</f>
        <v>0</v>
      </c>
      <c r="AA852" s="52">
        <v>5</v>
      </c>
      <c r="AB852" s="53">
        <v>4500000</v>
      </c>
      <c r="AC852" s="53">
        <f t="shared" si="319"/>
        <v>0</v>
      </c>
      <c r="AD852" s="56" t="s">
        <v>213</v>
      </c>
      <c r="AE852" s="52"/>
      <c r="AG852" s="5"/>
    </row>
    <row r="853" spans="1:34" s="1" customFormat="1" x14ac:dyDescent="0.25">
      <c r="A853" s="49">
        <v>5</v>
      </c>
      <c r="B853" s="50" t="s">
        <v>1749</v>
      </c>
      <c r="C853" s="73" t="s">
        <v>58</v>
      </c>
      <c r="D853" s="51" t="s">
        <v>1750</v>
      </c>
      <c r="E853" s="52" t="s">
        <v>263</v>
      </c>
      <c r="F853" s="52"/>
      <c r="G853" s="52" t="s">
        <v>263</v>
      </c>
      <c r="H853" s="52" t="s">
        <v>62</v>
      </c>
      <c r="I853" s="52">
        <v>2012</v>
      </c>
      <c r="J853" s="52"/>
      <c r="K853" s="52" t="s">
        <v>261</v>
      </c>
      <c r="L853" s="52" t="s">
        <v>64</v>
      </c>
      <c r="M853" s="52">
        <v>1</v>
      </c>
      <c r="N853" s="53">
        <f>SUM(O853/M853)</f>
        <v>25000000</v>
      </c>
      <c r="O853" s="53">
        <v>25000000</v>
      </c>
      <c r="P853" s="52"/>
      <c r="Q853" s="52"/>
      <c r="R853" s="52"/>
      <c r="S853" s="53">
        <f t="shared" si="318"/>
        <v>25000000</v>
      </c>
      <c r="T853" s="52">
        <v>5</v>
      </c>
      <c r="U853" s="53"/>
      <c r="V853" s="52">
        <v>0.5</v>
      </c>
      <c r="W853" s="53">
        <f>SUM(U853*V853)</f>
        <v>0</v>
      </c>
      <c r="X853" s="52"/>
      <c r="Y853" s="53">
        <f>SUM(U853*X853)</f>
        <v>0</v>
      </c>
      <c r="Z853" s="53">
        <f>SUM(W853+Y853)</f>
        <v>0</v>
      </c>
      <c r="AA853" s="52">
        <v>5</v>
      </c>
      <c r="AB853" s="53">
        <v>25000000</v>
      </c>
      <c r="AC853" s="53">
        <f t="shared" si="319"/>
        <v>0</v>
      </c>
      <c r="AD853" s="56" t="s">
        <v>195</v>
      </c>
      <c r="AE853" s="52"/>
      <c r="AG853" s="5"/>
    </row>
    <row r="854" spans="1:34" s="1" customFormat="1" x14ac:dyDescent="0.25">
      <c r="A854" s="49">
        <v>6</v>
      </c>
      <c r="B854" s="22" t="s">
        <v>1751</v>
      </c>
      <c r="C854" s="22" t="s">
        <v>988</v>
      </c>
      <c r="D854" s="51" t="s">
        <v>1182</v>
      </c>
      <c r="E854" s="24" t="s">
        <v>1183</v>
      </c>
      <c r="F854" s="24"/>
      <c r="G854" s="24" t="s">
        <v>194</v>
      </c>
      <c r="H854" s="24" t="s">
        <v>62</v>
      </c>
      <c r="I854" s="24">
        <v>2008</v>
      </c>
      <c r="J854" s="24"/>
      <c r="K854" s="24" t="s">
        <v>63</v>
      </c>
      <c r="L854" s="24" t="s">
        <v>212</v>
      </c>
      <c r="M854" s="24">
        <v>2</v>
      </c>
      <c r="N854" s="41">
        <f t="shared" ref="N854:N918" si="320">SUM(O854/M854)</f>
        <v>15000000</v>
      </c>
      <c r="O854" s="41">
        <v>30000000</v>
      </c>
      <c r="P854" s="24"/>
      <c r="Q854" s="24"/>
      <c r="R854" s="24"/>
      <c r="S854" s="41">
        <f t="shared" si="318"/>
        <v>30000000</v>
      </c>
      <c r="T854" s="24">
        <v>5</v>
      </c>
      <c r="U854" s="41"/>
      <c r="V854" s="24">
        <v>0.5</v>
      </c>
      <c r="W854" s="41">
        <f t="shared" ref="W854:W922" si="321">SUM(U854*V854)</f>
        <v>0</v>
      </c>
      <c r="X854" s="24"/>
      <c r="Y854" s="41">
        <f t="shared" ref="Y854:Y920" si="322">SUM(U854*X854)</f>
        <v>0</v>
      </c>
      <c r="Z854" s="41">
        <f t="shared" ref="Z854:Z920" si="323">SUM(W854+Y854)</f>
        <v>0</v>
      </c>
      <c r="AA854" s="24">
        <v>5</v>
      </c>
      <c r="AB854" s="41">
        <v>30000000</v>
      </c>
      <c r="AC854" s="41">
        <f t="shared" si="319"/>
        <v>0</v>
      </c>
      <c r="AD854" s="70" t="s">
        <v>276</v>
      </c>
      <c r="AE854" s="24"/>
      <c r="AG854" s="5"/>
      <c r="AH854" s="5"/>
    </row>
    <row r="855" spans="1:34" s="1" customFormat="1" x14ac:dyDescent="0.25">
      <c r="A855" s="49">
        <v>7</v>
      </c>
      <c r="B855" s="22" t="s">
        <v>1751</v>
      </c>
      <c r="C855" s="22" t="s">
        <v>140</v>
      </c>
      <c r="D855" s="51" t="s">
        <v>1182</v>
      </c>
      <c r="E855" s="24" t="s">
        <v>1183</v>
      </c>
      <c r="F855" s="24"/>
      <c r="G855" s="24" t="s">
        <v>194</v>
      </c>
      <c r="H855" s="24" t="s">
        <v>62</v>
      </c>
      <c r="I855" s="24">
        <v>2011</v>
      </c>
      <c r="J855" s="24"/>
      <c r="K855" s="24" t="s">
        <v>63</v>
      </c>
      <c r="L855" s="24" t="s">
        <v>64</v>
      </c>
      <c r="M855" s="24">
        <v>1</v>
      </c>
      <c r="N855" s="41">
        <f t="shared" si="320"/>
        <v>7450000</v>
      </c>
      <c r="O855" s="41">
        <v>7450000</v>
      </c>
      <c r="P855" s="24"/>
      <c r="Q855" s="24"/>
      <c r="R855" s="24"/>
      <c r="S855" s="41">
        <f t="shared" si="318"/>
        <v>7450000</v>
      </c>
      <c r="T855" s="24">
        <v>5</v>
      </c>
      <c r="U855" s="41"/>
      <c r="V855" s="24">
        <v>0.5</v>
      </c>
      <c r="W855" s="41">
        <f t="shared" si="321"/>
        <v>0</v>
      </c>
      <c r="X855" s="24"/>
      <c r="Y855" s="41">
        <f t="shared" si="322"/>
        <v>0</v>
      </c>
      <c r="Z855" s="41">
        <f t="shared" si="323"/>
        <v>0</v>
      </c>
      <c r="AA855" s="72">
        <v>5</v>
      </c>
      <c r="AB855" s="41">
        <v>7450000</v>
      </c>
      <c r="AC855" s="41">
        <f t="shared" si="319"/>
        <v>0</v>
      </c>
      <c r="AD855" s="70" t="s">
        <v>276</v>
      </c>
      <c r="AE855" s="24"/>
      <c r="AG855" s="5"/>
      <c r="AH855" s="5"/>
    </row>
    <row r="856" spans="1:34" s="1" customFormat="1" x14ac:dyDescent="0.25">
      <c r="A856" s="49">
        <v>8</v>
      </c>
      <c r="B856" s="22" t="s">
        <v>1751</v>
      </c>
      <c r="C856" s="22" t="s">
        <v>143</v>
      </c>
      <c r="D856" s="51" t="s">
        <v>1182</v>
      </c>
      <c r="E856" s="24" t="s">
        <v>1183</v>
      </c>
      <c r="F856" s="24"/>
      <c r="G856" s="24" t="s">
        <v>194</v>
      </c>
      <c r="H856" s="24" t="s">
        <v>62</v>
      </c>
      <c r="I856" s="24">
        <v>2011</v>
      </c>
      <c r="J856" s="24"/>
      <c r="K856" s="24" t="s">
        <v>63</v>
      </c>
      <c r="L856" s="24" t="s">
        <v>64</v>
      </c>
      <c r="M856" s="24">
        <v>1</v>
      </c>
      <c r="N856" s="41">
        <f t="shared" si="320"/>
        <v>7450000</v>
      </c>
      <c r="O856" s="41">
        <v>7450000</v>
      </c>
      <c r="P856" s="24"/>
      <c r="Q856" s="24"/>
      <c r="R856" s="24"/>
      <c r="S856" s="41">
        <f t="shared" si="318"/>
        <v>7450000</v>
      </c>
      <c r="T856" s="24">
        <v>5</v>
      </c>
      <c r="U856" s="41"/>
      <c r="V856" s="24">
        <v>0.5</v>
      </c>
      <c r="W856" s="41">
        <f t="shared" si="321"/>
        <v>0</v>
      </c>
      <c r="X856" s="24"/>
      <c r="Y856" s="41">
        <f t="shared" si="322"/>
        <v>0</v>
      </c>
      <c r="Z856" s="41">
        <f t="shared" si="323"/>
        <v>0</v>
      </c>
      <c r="AA856" s="72">
        <v>5</v>
      </c>
      <c r="AB856" s="41">
        <v>7450000</v>
      </c>
      <c r="AC856" s="41">
        <f t="shared" si="319"/>
        <v>0</v>
      </c>
      <c r="AD856" s="70" t="s">
        <v>208</v>
      </c>
      <c r="AE856" s="24"/>
      <c r="AG856" s="5"/>
      <c r="AH856" s="5"/>
    </row>
    <row r="857" spans="1:34" s="1" customFormat="1" x14ac:dyDescent="0.25">
      <c r="A857" s="49">
        <v>9</v>
      </c>
      <c r="B857" s="22" t="s">
        <v>1751</v>
      </c>
      <c r="C857" s="22" t="s">
        <v>146</v>
      </c>
      <c r="D857" s="51" t="s">
        <v>1182</v>
      </c>
      <c r="E857" s="24" t="s">
        <v>1184</v>
      </c>
      <c r="F857" s="24"/>
      <c r="G857" s="24" t="s">
        <v>194</v>
      </c>
      <c r="H857" s="24" t="s">
        <v>62</v>
      </c>
      <c r="I857" s="24">
        <v>2012</v>
      </c>
      <c r="J857" s="24"/>
      <c r="K857" s="24" t="s">
        <v>63</v>
      </c>
      <c r="L857" s="24" t="s">
        <v>64</v>
      </c>
      <c r="M857" s="24">
        <v>1</v>
      </c>
      <c r="N857" s="41">
        <f t="shared" si="320"/>
        <v>8910000</v>
      </c>
      <c r="O857" s="41">
        <v>8910000</v>
      </c>
      <c r="P857" s="24"/>
      <c r="Q857" s="24"/>
      <c r="R857" s="24"/>
      <c r="S857" s="41">
        <f t="shared" si="318"/>
        <v>8910000</v>
      </c>
      <c r="T857" s="24">
        <v>5</v>
      </c>
      <c r="U857" s="41"/>
      <c r="V857" s="24">
        <v>0.5</v>
      </c>
      <c r="W857" s="41">
        <f t="shared" si="321"/>
        <v>0</v>
      </c>
      <c r="X857" s="24"/>
      <c r="Y857" s="41">
        <f t="shared" si="322"/>
        <v>0</v>
      </c>
      <c r="Z857" s="41">
        <f t="shared" si="323"/>
        <v>0</v>
      </c>
      <c r="AA857" s="24">
        <v>5</v>
      </c>
      <c r="AB857" s="41">
        <v>8910000</v>
      </c>
      <c r="AC857" s="41">
        <f t="shared" si="319"/>
        <v>0</v>
      </c>
      <c r="AD857" s="70" t="s">
        <v>276</v>
      </c>
      <c r="AE857" s="24"/>
      <c r="AG857" s="5"/>
      <c r="AH857" s="5"/>
    </row>
    <row r="858" spans="1:34" s="1" customFormat="1" x14ac:dyDescent="0.25">
      <c r="A858" s="49">
        <v>10</v>
      </c>
      <c r="B858" s="22" t="s">
        <v>1751</v>
      </c>
      <c r="C858" s="22" t="s">
        <v>150</v>
      </c>
      <c r="D858" s="51" t="s">
        <v>1182</v>
      </c>
      <c r="E858" s="24" t="s">
        <v>1184</v>
      </c>
      <c r="F858" s="24"/>
      <c r="G858" s="24" t="s">
        <v>194</v>
      </c>
      <c r="H858" s="24" t="s">
        <v>62</v>
      </c>
      <c r="I858" s="24">
        <v>2012</v>
      </c>
      <c r="J858" s="24"/>
      <c r="K858" s="24" t="s">
        <v>63</v>
      </c>
      <c r="L858" s="24" t="s">
        <v>64</v>
      </c>
      <c r="M858" s="24">
        <v>1</v>
      </c>
      <c r="N858" s="41">
        <f t="shared" si="320"/>
        <v>8910000</v>
      </c>
      <c r="O858" s="41">
        <v>8910000</v>
      </c>
      <c r="P858" s="24"/>
      <c r="Q858" s="24"/>
      <c r="R858" s="24"/>
      <c r="S858" s="41">
        <f t="shared" si="318"/>
        <v>8910000</v>
      </c>
      <c r="T858" s="24">
        <v>5</v>
      </c>
      <c r="U858" s="41"/>
      <c r="V858" s="24">
        <v>0.5</v>
      </c>
      <c r="W858" s="41">
        <f t="shared" si="321"/>
        <v>0</v>
      </c>
      <c r="X858" s="24"/>
      <c r="Y858" s="41">
        <f t="shared" si="322"/>
        <v>0</v>
      </c>
      <c r="Z858" s="41">
        <f t="shared" si="323"/>
        <v>0</v>
      </c>
      <c r="AA858" s="24">
        <v>5</v>
      </c>
      <c r="AB858" s="41">
        <v>8910000</v>
      </c>
      <c r="AC858" s="41">
        <f t="shared" si="319"/>
        <v>0</v>
      </c>
      <c r="AD858" s="70" t="s">
        <v>208</v>
      </c>
      <c r="AE858" s="24"/>
      <c r="AG858" s="5"/>
      <c r="AH858" s="5"/>
    </row>
    <row r="859" spans="1:34" s="1" customFormat="1" x14ac:dyDescent="0.25">
      <c r="A859" s="49">
        <v>11</v>
      </c>
      <c r="B859" s="22" t="s">
        <v>1751</v>
      </c>
      <c r="C859" s="22" t="s">
        <v>153</v>
      </c>
      <c r="D859" s="51" t="s">
        <v>1182</v>
      </c>
      <c r="E859" s="24" t="s">
        <v>1185</v>
      </c>
      <c r="F859" s="24"/>
      <c r="G859" s="24" t="s">
        <v>194</v>
      </c>
      <c r="H859" s="24" t="s">
        <v>62</v>
      </c>
      <c r="I859" s="24">
        <v>2014</v>
      </c>
      <c r="J859" s="24"/>
      <c r="K859" s="24" t="s">
        <v>63</v>
      </c>
      <c r="L859" s="24" t="s">
        <v>64</v>
      </c>
      <c r="M859" s="24">
        <v>1</v>
      </c>
      <c r="N859" s="41">
        <f t="shared" si="320"/>
        <v>11412500</v>
      </c>
      <c r="O859" s="41">
        <v>11412500</v>
      </c>
      <c r="P859" s="24"/>
      <c r="Q859" s="24"/>
      <c r="R859" s="24"/>
      <c r="S859" s="41">
        <f t="shared" si="318"/>
        <v>11412500</v>
      </c>
      <c r="T859" s="24">
        <v>5</v>
      </c>
      <c r="U859" s="41"/>
      <c r="V859" s="24">
        <v>0.5</v>
      </c>
      <c r="W859" s="41">
        <f t="shared" si="321"/>
        <v>0</v>
      </c>
      <c r="X859" s="24"/>
      <c r="Y859" s="41">
        <f t="shared" si="322"/>
        <v>0</v>
      </c>
      <c r="Z859" s="41">
        <f t="shared" si="323"/>
        <v>0</v>
      </c>
      <c r="AA859" s="24">
        <v>5</v>
      </c>
      <c r="AB859" s="41">
        <v>11412500</v>
      </c>
      <c r="AC859" s="41">
        <f t="shared" si="319"/>
        <v>0</v>
      </c>
      <c r="AD859" s="70" t="s">
        <v>335</v>
      </c>
      <c r="AE859" s="24"/>
      <c r="AG859" s="5"/>
      <c r="AH859" s="5"/>
    </row>
    <row r="860" spans="1:34" s="1" customFormat="1" x14ac:dyDescent="0.25">
      <c r="A860" s="49">
        <v>12</v>
      </c>
      <c r="B860" s="22" t="s">
        <v>1751</v>
      </c>
      <c r="C860" s="22" t="s">
        <v>156</v>
      </c>
      <c r="D860" s="51" t="s">
        <v>1182</v>
      </c>
      <c r="E860" s="24" t="s">
        <v>1185</v>
      </c>
      <c r="F860" s="24"/>
      <c r="G860" s="24" t="s">
        <v>194</v>
      </c>
      <c r="H860" s="24" t="s">
        <v>62</v>
      </c>
      <c r="I860" s="24">
        <v>2014</v>
      </c>
      <c r="J860" s="24"/>
      <c r="K860" s="24" t="s">
        <v>63</v>
      </c>
      <c r="L860" s="24" t="s">
        <v>64</v>
      </c>
      <c r="M860" s="24">
        <v>1</v>
      </c>
      <c r="N860" s="41">
        <f t="shared" si="320"/>
        <v>11412500</v>
      </c>
      <c r="O860" s="41">
        <v>11412500</v>
      </c>
      <c r="P860" s="24"/>
      <c r="Q860" s="24"/>
      <c r="R860" s="24"/>
      <c r="S860" s="41">
        <f t="shared" si="318"/>
        <v>11412500</v>
      </c>
      <c r="T860" s="24">
        <v>5</v>
      </c>
      <c r="U860" s="41"/>
      <c r="V860" s="24">
        <v>0.5</v>
      </c>
      <c r="W860" s="41">
        <f t="shared" si="321"/>
        <v>0</v>
      </c>
      <c r="X860" s="24"/>
      <c r="Y860" s="41">
        <f t="shared" si="322"/>
        <v>0</v>
      </c>
      <c r="Z860" s="41">
        <f t="shared" si="323"/>
        <v>0</v>
      </c>
      <c r="AA860" s="24">
        <v>5</v>
      </c>
      <c r="AB860" s="41">
        <v>11412500</v>
      </c>
      <c r="AC860" s="41">
        <f t="shared" si="319"/>
        <v>0</v>
      </c>
      <c r="AD860" s="70" t="s">
        <v>320</v>
      </c>
      <c r="AE860" s="24"/>
      <c r="AG860" s="5"/>
      <c r="AH860" s="5"/>
    </row>
    <row r="861" spans="1:34" s="1" customFormat="1" x14ac:dyDescent="0.25">
      <c r="A861" s="49">
        <v>13</v>
      </c>
      <c r="B861" s="22" t="s">
        <v>1751</v>
      </c>
      <c r="C861" s="22" t="s">
        <v>159</v>
      </c>
      <c r="D861" s="51" t="s">
        <v>1182</v>
      </c>
      <c r="E861" s="24" t="s">
        <v>1185</v>
      </c>
      <c r="F861" s="24"/>
      <c r="G861" s="24" t="s">
        <v>194</v>
      </c>
      <c r="H861" s="24" t="s">
        <v>62</v>
      </c>
      <c r="I861" s="24">
        <v>2014</v>
      </c>
      <c r="J861" s="24"/>
      <c r="K861" s="24" t="s">
        <v>63</v>
      </c>
      <c r="L861" s="24" t="s">
        <v>64</v>
      </c>
      <c r="M861" s="24">
        <v>1</v>
      </c>
      <c r="N861" s="41">
        <f t="shared" si="320"/>
        <v>11412500</v>
      </c>
      <c r="O861" s="41">
        <v>11412500</v>
      </c>
      <c r="P861" s="24"/>
      <c r="Q861" s="24"/>
      <c r="R861" s="24"/>
      <c r="S861" s="41">
        <f t="shared" si="318"/>
        <v>11412500</v>
      </c>
      <c r="T861" s="24">
        <v>5</v>
      </c>
      <c r="U861" s="41"/>
      <c r="V861" s="24">
        <v>0.5</v>
      </c>
      <c r="W861" s="41">
        <f t="shared" si="321"/>
        <v>0</v>
      </c>
      <c r="X861" s="24"/>
      <c r="Y861" s="41">
        <f t="shared" si="322"/>
        <v>0</v>
      </c>
      <c r="Z861" s="41">
        <f t="shared" si="323"/>
        <v>0</v>
      </c>
      <c r="AA861" s="24">
        <v>5</v>
      </c>
      <c r="AB861" s="41">
        <v>11412500</v>
      </c>
      <c r="AC861" s="41">
        <f t="shared" si="319"/>
        <v>0</v>
      </c>
      <c r="AD861" s="70" t="s">
        <v>331</v>
      </c>
      <c r="AE861" s="24"/>
      <c r="AG861" s="5"/>
      <c r="AH861" s="5"/>
    </row>
    <row r="862" spans="1:34" s="1" customFormat="1" x14ac:dyDescent="0.25">
      <c r="A862" s="49">
        <v>14</v>
      </c>
      <c r="B862" s="22" t="s">
        <v>1751</v>
      </c>
      <c r="C862" s="22" t="s">
        <v>1186</v>
      </c>
      <c r="D862" s="51" t="s">
        <v>1182</v>
      </c>
      <c r="E862" s="24" t="s">
        <v>1185</v>
      </c>
      <c r="F862" s="24"/>
      <c r="G862" s="24" t="s">
        <v>194</v>
      </c>
      <c r="H862" s="24" t="s">
        <v>62</v>
      </c>
      <c r="I862" s="24">
        <v>2014</v>
      </c>
      <c r="J862" s="24"/>
      <c r="K862" s="24" t="s">
        <v>63</v>
      </c>
      <c r="L862" s="24" t="s">
        <v>64</v>
      </c>
      <c r="M862" s="24">
        <v>2</v>
      </c>
      <c r="N862" s="41">
        <f t="shared" si="320"/>
        <v>11412500</v>
      </c>
      <c r="O862" s="41">
        <v>22825000</v>
      </c>
      <c r="P862" s="24"/>
      <c r="Q862" s="24"/>
      <c r="R862" s="24"/>
      <c r="S862" s="41">
        <f t="shared" si="318"/>
        <v>22825000</v>
      </c>
      <c r="T862" s="24">
        <v>5</v>
      </c>
      <c r="U862" s="41"/>
      <c r="V862" s="24">
        <v>0.5</v>
      </c>
      <c r="W862" s="41">
        <f t="shared" si="321"/>
        <v>0</v>
      </c>
      <c r="X862" s="24"/>
      <c r="Y862" s="41">
        <f t="shared" si="322"/>
        <v>0</v>
      </c>
      <c r="Z862" s="41">
        <f t="shared" si="323"/>
        <v>0</v>
      </c>
      <c r="AA862" s="24">
        <v>5</v>
      </c>
      <c r="AB862" s="41">
        <v>22825000</v>
      </c>
      <c r="AC862" s="41">
        <f t="shared" si="319"/>
        <v>0</v>
      </c>
      <c r="AD862" s="70" t="s">
        <v>328</v>
      </c>
      <c r="AE862" s="24"/>
      <c r="AG862" s="5"/>
      <c r="AH862" s="5"/>
    </row>
    <row r="863" spans="1:34" s="1" customFormat="1" x14ac:dyDescent="0.25">
      <c r="A863" s="49">
        <v>15</v>
      </c>
      <c r="B863" s="22" t="s">
        <v>1751</v>
      </c>
      <c r="C863" s="22" t="s">
        <v>313</v>
      </c>
      <c r="D863" s="51" t="s">
        <v>1182</v>
      </c>
      <c r="E863" s="24" t="s">
        <v>1185</v>
      </c>
      <c r="F863" s="24"/>
      <c r="G863" s="24" t="s">
        <v>194</v>
      </c>
      <c r="H863" s="24" t="s">
        <v>62</v>
      </c>
      <c r="I863" s="24">
        <v>2014</v>
      </c>
      <c r="J863" s="24"/>
      <c r="K863" s="24" t="s">
        <v>63</v>
      </c>
      <c r="L863" s="24" t="s">
        <v>64</v>
      </c>
      <c r="M863" s="24">
        <v>1</v>
      </c>
      <c r="N863" s="41">
        <f t="shared" si="320"/>
        <v>11412500</v>
      </c>
      <c r="O863" s="41">
        <v>11412500</v>
      </c>
      <c r="P863" s="24"/>
      <c r="Q863" s="24"/>
      <c r="R863" s="24"/>
      <c r="S863" s="41">
        <f t="shared" si="318"/>
        <v>11412500</v>
      </c>
      <c r="T863" s="24">
        <v>5</v>
      </c>
      <c r="U863" s="41"/>
      <c r="V863" s="24">
        <v>0.5</v>
      </c>
      <c r="W863" s="41">
        <f t="shared" si="321"/>
        <v>0</v>
      </c>
      <c r="X863" s="24"/>
      <c r="Y863" s="41">
        <f t="shared" si="322"/>
        <v>0</v>
      </c>
      <c r="Z863" s="41">
        <f t="shared" si="323"/>
        <v>0</v>
      </c>
      <c r="AA863" s="24">
        <v>5</v>
      </c>
      <c r="AB863" s="41">
        <v>11412500</v>
      </c>
      <c r="AC863" s="41">
        <f t="shared" si="319"/>
        <v>0</v>
      </c>
      <c r="AD863" s="70" t="s">
        <v>208</v>
      </c>
      <c r="AE863" s="24"/>
      <c r="AG863" s="5"/>
      <c r="AH863" s="5"/>
    </row>
    <row r="864" spans="1:34" s="1" customFormat="1" x14ac:dyDescent="0.25">
      <c r="A864" s="49">
        <v>16</v>
      </c>
      <c r="B864" s="22" t="s">
        <v>1751</v>
      </c>
      <c r="C864" s="22" t="s">
        <v>559</v>
      </c>
      <c r="D864" s="51" t="s">
        <v>1182</v>
      </c>
      <c r="E864" s="24" t="s">
        <v>1187</v>
      </c>
      <c r="F864" s="24"/>
      <c r="G864" s="24" t="s">
        <v>194</v>
      </c>
      <c r="H864" s="24" t="s">
        <v>62</v>
      </c>
      <c r="I864" s="24">
        <v>2015</v>
      </c>
      <c r="J864" s="24"/>
      <c r="K864" s="24" t="s">
        <v>63</v>
      </c>
      <c r="L864" s="24" t="s">
        <v>64</v>
      </c>
      <c r="M864" s="24">
        <v>1</v>
      </c>
      <c r="N864" s="41">
        <f t="shared" si="320"/>
        <v>13970000</v>
      </c>
      <c r="O864" s="41">
        <v>13970000</v>
      </c>
      <c r="P864" s="24"/>
      <c r="Q864" s="24"/>
      <c r="R864" s="24"/>
      <c r="S864" s="41">
        <f t="shared" si="318"/>
        <v>13970000</v>
      </c>
      <c r="T864" s="24">
        <v>5</v>
      </c>
      <c r="U864" s="41"/>
      <c r="V864" s="24">
        <v>0.5</v>
      </c>
      <c r="W864" s="41"/>
      <c r="X864" s="24"/>
      <c r="Y864" s="41">
        <f>SUM(U864*X864)</f>
        <v>0</v>
      </c>
      <c r="Z864" s="41"/>
      <c r="AA864" s="24">
        <v>5</v>
      </c>
      <c r="AB864" s="41">
        <v>13970000</v>
      </c>
      <c r="AC864" s="41">
        <f t="shared" si="319"/>
        <v>0</v>
      </c>
      <c r="AD864" s="70">
        <v>0</v>
      </c>
      <c r="AE864" s="24"/>
      <c r="AG864" s="5"/>
      <c r="AH864" s="5"/>
    </row>
    <row r="865" spans="1:34" s="1" customFormat="1" x14ac:dyDescent="0.25">
      <c r="A865" s="49">
        <v>17</v>
      </c>
      <c r="B865" s="22" t="s">
        <v>1751</v>
      </c>
      <c r="C865" s="22" t="s">
        <v>561</v>
      </c>
      <c r="D865" s="51" t="s">
        <v>1182</v>
      </c>
      <c r="E865" s="24" t="s">
        <v>1187</v>
      </c>
      <c r="F865" s="24"/>
      <c r="G865" s="24" t="s">
        <v>194</v>
      </c>
      <c r="H865" s="24" t="s">
        <v>62</v>
      </c>
      <c r="I865" s="24">
        <v>2015</v>
      </c>
      <c r="J865" s="24"/>
      <c r="K865" s="24" t="s">
        <v>63</v>
      </c>
      <c r="L865" s="24" t="s">
        <v>64</v>
      </c>
      <c r="M865" s="24">
        <v>1</v>
      </c>
      <c r="N865" s="41">
        <f t="shared" si="320"/>
        <v>13970000</v>
      </c>
      <c r="O865" s="41">
        <v>13970000</v>
      </c>
      <c r="P865" s="24"/>
      <c r="Q865" s="24"/>
      <c r="R865" s="24"/>
      <c r="S865" s="41">
        <f t="shared" si="318"/>
        <v>13970000</v>
      </c>
      <c r="T865" s="24">
        <v>5</v>
      </c>
      <c r="U865" s="41"/>
      <c r="V865" s="24">
        <v>0.5</v>
      </c>
      <c r="W865" s="41"/>
      <c r="X865" s="24"/>
      <c r="Y865" s="41">
        <f t="shared" ref="Y865:Y868" si="324">SUM(U865*X865)</f>
        <v>0</v>
      </c>
      <c r="Z865" s="41"/>
      <c r="AA865" s="24">
        <v>5</v>
      </c>
      <c r="AB865" s="41">
        <v>13970000</v>
      </c>
      <c r="AC865" s="41">
        <f t="shared" si="319"/>
        <v>0</v>
      </c>
      <c r="AD865" s="70" t="s">
        <v>267</v>
      </c>
      <c r="AE865" s="24"/>
      <c r="AG865" s="5"/>
      <c r="AH865" s="5"/>
    </row>
    <row r="866" spans="1:34" s="1" customFormat="1" x14ac:dyDescent="0.25">
      <c r="A866" s="49">
        <v>18</v>
      </c>
      <c r="B866" s="22" t="s">
        <v>1751</v>
      </c>
      <c r="C866" s="22" t="s">
        <v>563</v>
      </c>
      <c r="D866" s="51" t="s">
        <v>1182</v>
      </c>
      <c r="E866" s="24" t="s">
        <v>1187</v>
      </c>
      <c r="F866" s="24"/>
      <c r="G866" s="24" t="s">
        <v>194</v>
      </c>
      <c r="H866" s="24" t="s">
        <v>62</v>
      </c>
      <c r="I866" s="24">
        <v>2015</v>
      </c>
      <c r="J866" s="24"/>
      <c r="K866" s="24" t="s">
        <v>63</v>
      </c>
      <c r="L866" s="24" t="s">
        <v>64</v>
      </c>
      <c r="M866" s="24">
        <v>1</v>
      </c>
      <c r="N866" s="41">
        <f t="shared" si="320"/>
        <v>13970000</v>
      </c>
      <c r="O866" s="41">
        <v>13970000</v>
      </c>
      <c r="P866" s="24"/>
      <c r="Q866" s="24"/>
      <c r="R866" s="24"/>
      <c r="S866" s="41">
        <f t="shared" si="318"/>
        <v>13970000</v>
      </c>
      <c r="T866" s="24">
        <v>5</v>
      </c>
      <c r="U866" s="41"/>
      <c r="V866" s="24">
        <v>0.5</v>
      </c>
      <c r="W866" s="41"/>
      <c r="X866" s="24"/>
      <c r="Y866" s="41">
        <f t="shared" si="324"/>
        <v>0</v>
      </c>
      <c r="Z866" s="41"/>
      <c r="AA866" s="24">
        <v>5</v>
      </c>
      <c r="AB866" s="41">
        <v>13970000</v>
      </c>
      <c r="AC866" s="41">
        <f t="shared" si="319"/>
        <v>0</v>
      </c>
      <c r="AD866" s="70">
        <v>0</v>
      </c>
      <c r="AE866" s="24"/>
      <c r="AG866" s="5"/>
      <c r="AH866" s="5"/>
    </row>
    <row r="867" spans="1:34" s="1" customFormat="1" x14ac:dyDescent="0.25">
      <c r="A867" s="49">
        <v>19</v>
      </c>
      <c r="B867" s="22" t="s">
        <v>1751</v>
      </c>
      <c r="C867" s="22" t="s">
        <v>227</v>
      </c>
      <c r="D867" s="51" t="s">
        <v>1182</v>
      </c>
      <c r="E867" s="24" t="s">
        <v>1187</v>
      </c>
      <c r="F867" s="24"/>
      <c r="G867" s="24" t="s">
        <v>194</v>
      </c>
      <c r="H867" s="24" t="s">
        <v>62</v>
      </c>
      <c r="I867" s="24">
        <v>2015</v>
      </c>
      <c r="J867" s="24"/>
      <c r="K867" s="24" t="s">
        <v>63</v>
      </c>
      <c r="L867" s="24" t="s">
        <v>64</v>
      </c>
      <c r="M867" s="24">
        <v>1</v>
      </c>
      <c r="N867" s="41">
        <f t="shared" si="320"/>
        <v>13970000</v>
      </c>
      <c r="O867" s="41">
        <v>13970000</v>
      </c>
      <c r="P867" s="24"/>
      <c r="Q867" s="24"/>
      <c r="R867" s="24"/>
      <c r="S867" s="41">
        <f t="shared" si="318"/>
        <v>13970000</v>
      </c>
      <c r="T867" s="24">
        <v>5</v>
      </c>
      <c r="U867" s="41"/>
      <c r="V867" s="24">
        <v>0.5</v>
      </c>
      <c r="W867" s="41"/>
      <c r="X867" s="24"/>
      <c r="Y867" s="41">
        <f t="shared" si="324"/>
        <v>0</v>
      </c>
      <c r="Z867" s="41"/>
      <c r="AA867" s="24">
        <v>5</v>
      </c>
      <c r="AB867" s="41">
        <v>13970000</v>
      </c>
      <c r="AC867" s="41">
        <f t="shared" si="319"/>
        <v>0</v>
      </c>
      <c r="AD867" s="70" t="s">
        <v>87</v>
      </c>
      <c r="AE867" s="24"/>
      <c r="AG867" s="5"/>
      <c r="AH867" s="5"/>
    </row>
    <row r="868" spans="1:34" s="1" customFormat="1" x14ac:dyDescent="0.25">
      <c r="A868" s="49">
        <v>20</v>
      </c>
      <c r="B868" s="22" t="s">
        <v>1751</v>
      </c>
      <c r="C868" s="22" t="s">
        <v>230</v>
      </c>
      <c r="D868" s="51" t="s">
        <v>1182</v>
      </c>
      <c r="E868" s="24" t="s">
        <v>1188</v>
      </c>
      <c r="F868" s="24"/>
      <c r="G868" s="24" t="s">
        <v>194</v>
      </c>
      <c r="H868" s="24" t="s">
        <v>62</v>
      </c>
      <c r="I868" s="24">
        <v>2015</v>
      </c>
      <c r="J868" s="24"/>
      <c r="K868" s="24" t="s">
        <v>63</v>
      </c>
      <c r="L868" s="24" t="s">
        <v>64</v>
      </c>
      <c r="M868" s="24">
        <v>1</v>
      </c>
      <c r="N868" s="41">
        <f t="shared" si="320"/>
        <v>13970000</v>
      </c>
      <c r="O868" s="41">
        <v>13970000</v>
      </c>
      <c r="P868" s="24"/>
      <c r="Q868" s="24"/>
      <c r="R868" s="24"/>
      <c r="S868" s="41">
        <f t="shared" si="318"/>
        <v>13970000</v>
      </c>
      <c r="T868" s="24">
        <v>5</v>
      </c>
      <c r="U868" s="41"/>
      <c r="V868" s="24">
        <v>0.5</v>
      </c>
      <c r="W868" s="41"/>
      <c r="X868" s="24"/>
      <c r="Y868" s="41">
        <f t="shared" si="324"/>
        <v>0</v>
      </c>
      <c r="Z868" s="41"/>
      <c r="AA868" s="24">
        <v>5</v>
      </c>
      <c r="AB868" s="41">
        <v>13970000</v>
      </c>
      <c r="AC868" s="41">
        <f t="shared" si="319"/>
        <v>0</v>
      </c>
      <c r="AD868" s="70" t="s">
        <v>87</v>
      </c>
      <c r="AE868" s="24"/>
      <c r="AG868" s="5"/>
      <c r="AH868" s="5"/>
    </row>
    <row r="869" spans="1:34" s="1" customFormat="1" x14ac:dyDescent="0.25">
      <c r="A869" s="49">
        <v>21</v>
      </c>
      <c r="B869" s="22" t="s">
        <v>1751</v>
      </c>
      <c r="C869" s="22" t="s">
        <v>232</v>
      </c>
      <c r="D869" s="51" t="s">
        <v>1182</v>
      </c>
      <c r="E869" s="24" t="s">
        <v>1189</v>
      </c>
      <c r="F869" s="24"/>
      <c r="G869" s="24" t="s">
        <v>194</v>
      </c>
      <c r="H869" s="24" t="s">
        <v>62</v>
      </c>
      <c r="I869" s="24">
        <v>2016</v>
      </c>
      <c r="J869" s="24"/>
      <c r="K869" s="24" t="s">
        <v>63</v>
      </c>
      <c r="L869" s="24" t="s">
        <v>64</v>
      </c>
      <c r="M869" s="24">
        <v>1</v>
      </c>
      <c r="N869" s="41">
        <f t="shared" si="320"/>
        <v>13985000</v>
      </c>
      <c r="O869" s="41">
        <v>13985000</v>
      </c>
      <c r="P869" s="24"/>
      <c r="Q869" s="24"/>
      <c r="R869" s="24"/>
      <c r="S869" s="41">
        <f t="shared" si="318"/>
        <v>13985000</v>
      </c>
      <c r="T869" s="24">
        <v>5</v>
      </c>
      <c r="U869" s="41"/>
      <c r="V869" s="24">
        <v>0.5</v>
      </c>
      <c r="W869" s="41"/>
      <c r="X869" s="24"/>
      <c r="Y869" s="41">
        <f t="shared" si="322"/>
        <v>0</v>
      </c>
      <c r="Z869" s="41">
        <f t="shared" si="323"/>
        <v>0</v>
      </c>
      <c r="AA869" s="24">
        <v>5</v>
      </c>
      <c r="AB869" s="41">
        <v>13985000</v>
      </c>
      <c r="AC869" s="41">
        <f t="shared" si="319"/>
        <v>0</v>
      </c>
      <c r="AD869" s="70" t="s">
        <v>103</v>
      </c>
      <c r="AE869" s="24"/>
      <c r="AG869" s="5"/>
      <c r="AH869" s="5"/>
    </row>
    <row r="870" spans="1:34" s="1" customFormat="1" x14ac:dyDescent="0.25">
      <c r="A870" s="49">
        <v>22</v>
      </c>
      <c r="B870" s="22" t="s">
        <v>1751</v>
      </c>
      <c r="C870" s="22" t="s">
        <v>234</v>
      </c>
      <c r="D870" s="51" t="s">
        <v>1182</v>
      </c>
      <c r="E870" s="24" t="s">
        <v>1189</v>
      </c>
      <c r="F870" s="24"/>
      <c r="G870" s="24" t="s">
        <v>194</v>
      </c>
      <c r="H870" s="24" t="s">
        <v>62</v>
      </c>
      <c r="I870" s="24">
        <v>2016</v>
      </c>
      <c r="J870" s="24"/>
      <c r="K870" s="24" t="s">
        <v>63</v>
      </c>
      <c r="L870" s="24" t="s">
        <v>64</v>
      </c>
      <c r="M870" s="24">
        <v>1</v>
      </c>
      <c r="N870" s="41">
        <f t="shared" si="320"/>
        <v>13985000</v>
      </c>
      <c r="O870" s="41">
        <v>13985000</v>
      </c>
      <c r="P870" s="24"/>
      <c r="Q870" s="24"/>
      <c r="R870" s="24"/>
      <c r="S870" s="41">
        <f t="shared" si="318"/>
        <v>13985000</v>
      </c>
      <c r="T870" s="24">
        <v>5</v>
      </c>
      <c r="U870" s="41"/>
      <c r="V870" s="24">
        <v>0.5</v>
      </c>
      <c r="W870" s="41"/>
      <c r="X870" s="24"/>
      <c r="Y870" s="41">
        <f t="shared" si="322"/>
        <v>0</v>
      </c>
      <c r="Z870" s="41">
        <f t="shared" si="323"/>
        <v>0</v>
      </c>
      <c r="AA870" s="24">
        <v>5</v>
      </c>
      <c r="AB870" s="41">
        <v>13985000</v>
      </c>
      <c r="AC870" s="41">
        <f t="shared" si="319"/>
        <v>0</v>
      </c>
      <c r="AD870" s="70" t="s">
        <v>1190</v>
      </c>
      <c r="AE870" s="24"/>
      <c r="AG870" s="5"/>
      <c r="AH870" s="5"/>
    </row>
    <row r="871" spans="1:34" s="1" customFormat="1" x14ac:dyDescent="0.25">
      <c r="A871" s="49">
        <v>23</v>
      </c>
      <c r="B871" s="22" t="s">
        <v>1751</v>
      </c>
      <c r="C871" s="22" t="s">
        <v>236</v>
      </c>
      <c r="D871" s="51" t="s">
        <v>1182</v>
      </c>
      <c r="E871" s="24" t="s">
        <v>1189</v>
      </c>
      <c r="F871" s="24"/>
      <c r="G871" s="24" t="s">
        <v>194</v>
      </c>
      <c r="H871" s="24" t="s">
        <v>62</v>
      </c>
      <c r="I871" s="24">
        <v>2016</v>
      </c>
      <c r="J871" s="24"/>
      <c r="K871" s="24" t="s">
        <v>63</v>
      </c>
      <c r="L871" s="24" t="s">
        <v>64</v>
      </c>
      <c r="M871" s="24">
        <v>1</v>
      </c>
      <c r="N871" s="41">
        <f t="shared" si="320"/>
        <v>13985000</v>
      </c>
      <c r="O871" s="41">
        <v>13985000</v>
      </c>
      <c r="P871" s="24"/>
      <c r="Q871" s="24"/>
      <c r="R871" s="24"/>
      <c r="S871" s="41">
        <f t="shared" si="318"/>
        <v>13985000</v>
      </c>
      <c r="T871" s="24">
        <v>5</v>
      </c>
      <c r="U871" s="41"/>
      <c r="V871" s="24">
        <v>0.5</v>
      </c>
      <c r="W871" s="41"/>
      <c r="X871" s="24"/>
      <c r="Y871" s="41">
        <f t="shared" si="322"/>
        <v>0</v>
      </c>
      <c r="Z871" s="41">
        <f t="shared" si="323"/>
        <v>0</v>
      </c>
      <c r="AA871" s="24">
        <v>5</v>
      </c>
      <c r="AB871" s="41">
        <v>13985000</v>
      </c>
      <c r="AC871" s="41">
        <f t="shared" si="319"/>
        <v>0</v>
      </c>
      <c r="AD871" s="70" t="s">
        <v>1191</v>
      </c>
      <c r="AE871" s="24"/>
      <c r="AG871" s="5"/>
      <c r="AH871" s="5"/>
    </row>
    <row r="872" spans="1:34" s="1" customFormat="1" x14ac:dyDescent="0.25">
      <c r="A872" s="49">
        <v>24</v>
      </c>
      <c r="B872" s="22" t="s">
        <v>1751</v>
      </c>
      <c r="C872" s="22" t="s">
        <v>238</v>
      </c>
      <c r="D872" s="51" t="s">
        <v>1182</v>
      </c>
      <c r="E872" s="24" t="s">
        <v>1187</v>
      </c>
      <c r="F872" s="24"/>
      <c r="G872" s="24" t="s">
        <v>194</v>
      </c>
      <c r="H872" s="24" t="s">
        <v>62</v>
      </c>
      <c r="I872" s="24">
        <v>2017</v>
      </c>
      <c r="J872" s="24"/>
      <c r="K872" s="24" t="s">
        <v>63</v>
      </c>
      <c r="L872" s="24" t="s">
        <v>64</v>
      </c>
      <c r="M872" s="24">
        <v>1</v>
      </c>
      <c r="N872" s="41">
        <f t="shared" si="320"/>
        <v>12996500</v>
      </c>
      <c r="O872" s="41">
        <v>12996500</v>
      </c>
      <c r="P872" s="24"/>
      <c r="Q872" s="24"/>
      <c r="R872" s="24"/>
      <c r="S872" s="41">
        <f t="shared" si="318"/>
        <v>12996500</v>
      </c>
      <c r="T872" s="24">
        <v>5</v>
      </c>
      <c r="U872" s="41"/>
      <c r="V872" s="24"/>
      <c r="W872" s="41"/>
      <c r="X872" s="24"/>
      <c r="Y872" s="41">
        <f t="shared" si="322"/>
        <v>0</v>
      </c>
      <c r="Z872" s="41">
        <f t="shared" si="323"/>
        <v>0</v>
      </c>
      <c r="AA872" s="72">
        <v>5</v>
      </c>
      <c r="AB872" s="41">
        <v>12996500</v>
      </c>
      <c r="AC872" s="41">
        <f t="shared" si="319"/>
        <v>0</v>
      </c>
      <c r="AD872" s="70" t="s">
        <v>1192</v>
      </c>
      <c r="AE872" s="24"/>
      <c r="AG872" s="5"/>
      <c r="AH872" s="5"/>
    </row>
    <row r="873" spans="1:34" s="1" customFormat="1" x14ac:dyDescent="0.25">
      <c r="A873" s="49">
        <v>25</v>
      </c>
      <c r="B873" s="22" t="s">
        <v>1751</v>
      </c>
      <c r="C873" s="22" t="s">
        <v>240</v>
      </c>
      <c r="D873" s="51" t="s">
        <v>1182</v>
      </c>
      <c r="E873" s="24" t="s">
        <v>1187</v>
      </c>
      <c r="F873" s="24"/>
      <c r="G873" s="24" t="s">
        <v>194</v>
      </c>
      <c r="H873" s="24" t="s">
        <v>62</v>
      </c>
      <c r="I873" s="24">
        <v>2017</v>
      </c>
      <c r="J873" s="24"/>
      <c r="K873" s="24" t="s">
        <v>63</v>
      </c>
      <c r="L873" s="24" t="s">
        <v>64</v>
      </c>
      <c r="M873" s="24">
        <v>1</v>
      </c>
      <c r="N873" s="41">
        <f t="shared" si="320"/>
        <v>12996500</v>
      </c>
      <c r="O873" s="41">
        <v>12996500</v>
      </c>
      <c r="P873" s="24"/>
      <c r="Q873" s="24"/>
      <c r="R873" s="24"/>
      <c r="S873" s="41">
        <f t="shared" si="318"/>
        <v>12996500</v>
      </c>
      <c r="T873" s="24">
        <v>5</v>
      </c>
      <c r="U873" s="41"/>
      <c r="V873" s="24"/>
      <c r="W873" s="41"/>
      <c r="X873" s="24"/>
      <c r="Y873" s="41">
        <f t="shared" si="322"/>
        <v>0</v>
      </c>
      <c r="Z873" s="41">
        <f t="shared" si="323"/>
        <v>0</v>
      </c>
      <c r="AA873" s="72">
        <v>5</v>
      </c>
      <c r="AB873" s="41">
        <v>12996500</v>
      </c>
      <c r="AC873" s="41">
        <f t="shared" si="319"/>
        <v>0</v>
      </c>
      <c r="AD873" s="70" t="s">
        <v>1193</v>
      </c>
      <c r="AE873" s="24"/>
      <c r="AG873" s="5"/>
      <c r="AH873" s="5"/>
    </row>
    <row r="874" spans="1:34" s="1" customFormat="1" x14ac:dyDescent="0.25">
      <c r="A874" s="49">
        <v>26</v>
      </c>
      <c r="B874" s="22" t="s">
        <v>1751</v>
      </c>
      <c r="C874" s="22" t="s">
        <v>242</v>
      </c>
      <c r="D874" s="51" t="s">
        <v>1182</v>
      </c>
      <c r="E874" s="24" t="s">
        <v>1187</v>
      </c>
      <c r="F874" s="24"/>
      <c r="G874" s="24" t="s">
        <v>194</v>
      </c>
      <c r="H874" s="24" t="s">
        <v>62</v>
      </c>
      <c r="I874" s="24">
        <v>2017</v>
      </c>
      <c r="J874" s="24"/>
      <c r="K874" s="24" t="s">
        <v>63</v>
      </c>
      <c r="L874" s="24" t="s">
        <v>64</v>
      </c>
      <c r="M874" s="24">
        <v>1</v>
      </c>
      <c r="N874" s="41">
        <f t="shared" si="320"/>
        <v>12996500</v>
      </c>
      <c r="O874" s="41">
        <v>12996500</v>
      </c>
      <c r="P874" s="24"/>
      <c r="Q874" s="24"/>
      <c r="R874" s="24"/>
      <c r="S874" s="41">
        <f t="shared" si="318"/>
        <v>12996500</v>
      </c>
      <c r="T874" s="24">
        <v>5</v>
      </c>
      <c r="U874" s="41"/>
      <c r="V874" s="24"/>
      <c r="W874" s="41"/>
      <c r="X874" s="24"/>
      <c r="Y874" s="41">
        <f t="shared" si="322"/>
        <v>0</v>
      </c>
      <c r="Z874" s="41">
        <f t="shared" si="323"/>
        <v>0</v>
      </c>
      <c r="AA874" s="72">
        <v>5</v>
      </c>
      <c r="AB874" s="41">
        <v>12996500</v>
      </c>
      <c r="AC874" s="41">
        <f t="shared" si="319"/>
        <v>0</v>
      </c>
      <c r="AD874" s="70" t="s">
        <v>1194</v>
      </c>
      <c r="AE874" s="24"/>
      <c r="AG874" s="5"/>
      <c r="AH874" s="5"/>
    </row>
    <row r="875" spans="1:34" s="1" customFormat="1" x14ac:dyDescent="0.25">
      <c r="A875" s="49">
        <v>27</v>
      </c>
      <c r="B875" s="22" t="s">
        <v>1751</v>
      </c>
      <c r="C875" s="22" t="s">
        <v>244</v>
      </c>
      <c r="D875" s="51" t="s">
        <v>1182</v>
      </c>
      <c r="E875" s="24" t="s">
        <v>1187</v>
      </c>
      <c r="F875" s="24"/>
      <c r="G875" s="24" t="s">
        <v>194</v>
      </c>
      <c r="H875" s="24" t="s">
        <v>62</v>
      </c>
      <c r="I875" s="24">
        <v>2017</v>
      </c>
      <c r="J875" s="24"/>
      <c r="K875" s="24" t="s">
        <v>63</v>
      </c>
      <c r="L875" s="24" t="s">
        <v>64</v>
      </c>
      <c r="M875" s="24">
        <v>1</v>
      </c>
      <c r="N875" s="41">
        <f t="shared" si="320"/>
        <v>12996500</v>
      </c>
      <c r="O875" s="41">
        <v>12996500</v>
      </c>
      <c r="P875" s="24"/>
      <c r="Q875" s="24"/>
      <c r="R875" s="24"/>
      <c r="S875" s="41">
        <f t="shared" si="318"/>
        <v>12996500</v>
      </c>
      <c r="T875" s="24">
        <v>5</v>
      </c>
      <c r="U875" s="41"/>
      <c r="V875" s="24"/>
      <c r="W875" s="41"/>
      <c r="X875" s="24"/>
      <c r="Y875" s="41">
        <f t="shared" si="322"/>
        <v>0</v>
      </c>
      <c r="Z875" s="41">
        <f t="shared" si="323"/>
        <v>0</v>
      </c>
      <c r="AA875" s="72">
        <v>5</v>
      </c>
      <c r="AB875" s="41">
        <v>12996500</v>
      </c>
      <c r="AC875" s="41">
        <f t="shared" si="319"/>
        <v>0</v>
      </c>
      <c r="AD875" s="70">
        <v>0</v>
      </c>
      <c r="AE875" s="24"/>
      <c r="AG875" s="5"/>
      <c r="AH875" s="5"/>
    </row>
    <row r="876" spans="1:34" s="1" customFormat="1" x14ac:dyDescent="0.25">
      <c r="A876" s="49">
        <v>28</v>
      </c>
      <c r="B876" s="22" t="s">
        <v>1751</v>
      </c>
      <c r="C876" s="22" t="s">
        <v>246</v>
      </c>
      <c r="D876" s="51" t="s">
        <v>1182</v>
      </c>
      <c r="E876" s="24" t="s">
        <v>1187</v>
      </c>
      <c r="F876" s="24"/>
      <c r="G876" s="24" t="s">
        <v>194</v>
      </c>
      <c r="H876" s="24" t="s">
        <v>62</v>
      </c>
      <c r="I876" s="24">
        <v>2017</v>
      </c>
      <c r="J876" s="24"/>
      <c r="K876" s="24" t="s">
        <v>63</v>
      </c>
      <c r="L876" s="24" t="s">
        <v>64</v>
      </c>
      <c r="M876" s="24">
        <v>1</v>
      </c>
      <c r="N876" s="41">
        <f t="shared" si="320"/>
        <v>12996500</v>
      </c>
      <c r="O876" s="41">
        <v>12996500</v>
      </c>
      <c r="P876" s="24"/>
      <c r="Q876" s="24"/>
      <c r="R876" s="24"/>
      <c r="S876" s="41">
        <f t="shared" si="318"/>
        <v>12996500</v>
      </c>
      <c r="T876" s="24">
        <v>5</v>
      </c>
      <c r="U876" s="41"/>
      <c r="V876" s="24"/>
      <c r="W876" s="41"/>
      <c r="X876" s="24"/>
      <c r="Y876" s="41">
        <f t="shared" si="322"/>
        <v>0</v>
      </c>
      <c r="Z876" s="41">
        <f t="shared" si="323"/>
        <v>0</v>
      </c>
      <c r="AA876" s="72">
        <v>5</v>
      </c>
      <c r="AB876" s="41">
        <v>12996500</v>
      </c>
      <c r="AC876" s="41">
        <f t="shared" si="319"/>
        <v>0</v>
      </c>
      <c r="AD876" s="70" t="s">
        <v>1195</v>
      </c>
      <c r="AE876" s="24"/>
      <c r="AG876" s="5"/>
      <c r="AH876" s="5"/>
    </row>
    <row r="877" spans="1:34" s="1" customFormat="1" x14ac:dyDescent="0.25">
      <c r="A877" s="49">
        <v>29</v>
      </c>
      <c r="B877" s="22" t="s">
        <v>1751</v>
      </c>
      <c r="C877" s="22" t="s">
        <v>407</v>
      </c>
      <c r="D877" s="51" t="s">
        <v>1182</v>
      </c>
      <c r="E877" s="24" t="s">
        <v>1196</v>
      </c>
      <c r="F877" s="24"/>
      <c r="G877" s="24" t="s">
        <v>194</v>
      </c>
      <c r="H877" s="24" t="s">
        <v>62</v>
      </c>
      <c r="I877" s="24">
        <v>2017</v>
      </c>
      <c r="J877" s="24"/>
      <c r="K877" s="24" t="s">
        <v>63</v>
      </c>
      <c r="L877" s="24" t="s">
        <v>64</v>
      </c>
      <c r="M877" s="24">
        <v>1</v>
      </c>
      <c r="N877" s="41">
        <f t="shared" si="320"/>
        <v>14850000</v>
      </c>
      <c r="O877" s="41">
        <v>14850000</v>
      </c>
      <c r="P877" s="24"/>
      <c r="Q877" s="24"/>
      <c r="R877" s="24"/>
      <c r="S877" s="41">
        <f t="shared" si="318"/>
        <v>14850000</v>
      </c>
      <c r="T877" s="24">
        <v>5</v>
      </c>
      <c r="U877" s="41"/>
      <c r="V877" s="24"/>
      <c r="W877" s="41">
        <f t="shared" si="321"/>
        <v>0</v>
      </c>
      <c r="X877" s="24"/>
      <c r="Y877" s="41"/>
      <c r="Z877" s="41">
        <f>SUM(W877+Y877)</f>
        <v>0</v>
      </c>
      <c r="AA877" s="72">
        <v>5</v>
      </c>
      <c r="AB877" s="41">
        <v>14850000</v>
      </c>
      <c r="AC877" s="41">
        <f t="shared" si="319"/>
        <v>0</v>
      </c>
      <c r="AD877" s="70" t="s">
        <v>1197</v>
      </c>
      <c r="AE877" s="24"/>
      <c r="AG877" s="5"/>
      <c r="AH877" s="5"/>
    </row>
    <row r="878" spans="1:34" s="1" customFormat="1" x14ac:dyDescent="0.25">
      <c r="A878" s="49">
        <v>30</v>
      </c>
      <c r="B878" s="22" t="s">
        <v>1751</v>
      </c>
      <c r="C878" s="22" t="s">
        <v>408</v>
      </c>
      <c r="D878" s="51" t="s">
        <v>1182</v>
      </c>
      <c r="E878" s="24" t="s">
        <v>1196</v>
      </c>
      <c r="F878" s="24"/>
      <c r="G878" s="24" t="s">
        <v>194</v>
      </c>
      <c r="H878" s="24" t="s">
        <v>62</v>
      </c>
      <c r="I878" s="24">
        <v>2017</v>
      </c>
      <c r="J878" s="24"/>
      <c r="K878" s="24" t="s">
        <v>63</v>
      </c>
      <c r="L878" s="24" t="s">
        <v>64</v>
      </c>
      <c r="M878" s="24">
        <v>1</v>
      </c>
      <c r="N878" s="41">
        <f t="shared" si="320"/>
        <v>14850000</v>
      </c>
      <c r="O878" s="41">
        <v>14850000</v>
      </c>
      <c r="P878" s="24"/>
      <c r="Q878" s="24"/>
      <c r="R878" s="24"/>
      <c r="S878" s="41">
        <f t="shared" si="318"/>
        <v>14850000</v>
      </c>
      <c r="T878" s="24">
        <v>5</v>
      </c>
      <c r="U878" s="41"/>
      <c r="V878" s="24"/>
      <c r="W878" s="41">
        <f t="shared" si="321"/>
        <v>0</v>
      </c>
      <c r="X878" s="24"/>
      <c r="Y878" s="41"/>
      <c r="Z878" s="41">
        <f>SUM(W878+Y878)</f>
        <v>0</v>
      </c>
      <c r="AA878" s="72">
        <v>5</v>
      </c>
      <c r="AB878" s="41">
        <v>14850000</v>
      </c>
      <c r="AC878" s="41">
        <f t="shared" si="319"/>
        <v>0</v>
      </c>
      <c r="AD878" s="70" t="s">
        <v>1198</v>
      </c>
      <c r="AE878" s="24"/>
      <c r="AG878" s="5"/>
      <c r="AH878" s="5"/>
    </row>
    <row r="879" spans="1:34" s="1" customFormat="1" x14ac:dyDescent="0.25">
      <c r="A879" s="49">
        <v>31</v>
      </c>
      <c r="B879" s="22" t="s">
        <v>1751</v>
      </c>
      <c r="C879" s="22" t="s">
        <v>409</v>
      </c>
      <c r="D879" s="51" t="s">
        <v>1182</v>
      </c>
      <c r="E879" s="24" t="s">
        <v>1196</v>
      </c>
      <c r="F879" s="24"/>
      <c r="G879" s="24" t="s">
        <v>194</v>
      </c>
      <c r="H879" s="24" t="s">
        <v>62</v>
      </c>
      <c r="I879" s="24">
        <v>2017</v>
      </c>
      <c r="J879" s="24"/>
      <c r="K879" s="24" t="s">
        <v>63</v>
      </c>
      <c r="L879" s="24" t="s">
        <v>64</v>
      </c>
      <c r="M879" s="24">
        <v>1</v>
      </c>
      <c r="N879" s="41">
        <f t="shared" si="320"/>
        <v>14850000</v>
      </c>
      <c r="O879" s="41">
        <v>14850000</v>
      </c>
      <c r="P879" s="24"/>
      <c r="Q879" s="24"/>
      <c r="R879" s="24"/>
      <c r="S879" s="41">
        <f t="shared" si="318"/>
        <v>14850000</v>
      </c>
      <c r="T879" s="24">
        <v>5</v>
      </c>
      <c r="U879" s="41"/>
      <c r="V879" s="24"/>
      <c r="W879" s="41">
        <f t="shared" si="321"/>
        <v>0</v>
      </c>
      <c r="X879" s="24"/>
      <c r="Y879" s="41"/>
      <c r="Z879" s="41">
        <f>SUM(W879+Y879)</f>
        <v>0</v>
      </c>
      <c r="AA879" s="72">
        <v>5</v>
      </c>
      <c r="AB879" s="41">
        <v>14850000</v>
      </c>
      <c r="AC879" s="41">
        <f t="shared" si="319"/>
        <v>0</v>
      </c>
      <c r="AD879" s="70" t="s">
        <v>1199</v>
      </c>
      <c r="AE879" s="24"/>
      <c r="AG879" s="5"/>
      <c r="AH879" s="5"/>
    </row>
    <row r="880" spans="1:34" s="1" customFormat="1" x14ac:dyDescent="0.25">
      <c r="A880" s="49">
        <v>32</v>
      </c>
      <c r="B880" s="22" t="s">
        <v>1751</v>
      </c>
      <c r="C880" s="22" t="s">
        <v>788</v>
      </c>
      <c r="D880" s="51" t="s">
        <v>1182</v>
      </c>
      <c r="E880" s="24" t="s">
        <v>1196</v>
      </c>
      <c r="F880" s="24"/>
      <c r="G880" s="24" t="s">
        <v>194</v>
      </c>
      <c r="H880" s="24" t="s">
        <v>62</v>
      </c>
      <c r="I880" s="24">
        <v>2017</v>
      </c>
      <c r="J880" s="24"/>
      <c r="K880" s="24" t="s">
        <v>63</v>
      </c>
      <c r="L880" s="24" t="s">
        <v>64</v>
      </c>
      <c r="M880" s="24">
        <v>1</v>
      </c>
      <c r="N880" s="41">
        <f t="shared" si="320"/>
        <v>14850000</v>
      </c>
      <c r="O880" s="41">
        <v>14850000</v>
      </c>
      <c r="P880" s="24"/>
      <c r="Q880" s="24"/>
      <c r="R880" s="24"/>
      <c r="S880" s="41">
        <f t="shared" si="318"/>
        <v>14850000</v>
      </c>
      <c r="T880" s="24">
        <v>5</v>
      </c>
      <c r="U880" s="41"/>
      <c r="V880" s="24"/>
      <c r="W880" s="41">
        <f t="shared" si="321"/>
        <v>0</v>
      </c>
      <c r="X880" s="24"/>
      <c r="Y880" s="41"/>
      <c r="Z880" s="41">
        <f>SUM(W880+Y880)</f>
        <v>0</v>
      </c>
      <c r="AA880" s="72">
        <v>5</v>
      </c>
      <c r="AB880" s="41">
        <v>14850000</v>
      </c>
      <c r="AC880" s="41">
        <f t="shared" si="319"/>
        <v>0</v>
      </c>
      <c r="AD880" s="70" t="s">
        <v>1200</v>
      </c>
      <c r="AE880" s="24"/>
      <c r="AG880" s="5"/>
      <c r="AH880" s="5"/>
    </row>
    <row r="881" spans="1:34" s="1" customFormat="1" x14ac:dyDescent="0.25">
      <c r="A881" s="49">
        <v>33</v>
      </c>
      <c r="B881" s="22" t="s">
        <v>1751</v>
      </c>
      <c r="C881" s="22" t="s">
        <v>1017</v>
      </c>
      <c r="D881" s="51" t="s">
        <v>1182</v>
      </c>
      <c r="E881" s="24" t="s">
        <v>1196</v>
      </c>
      <c r="F881" s="24"/>
      <c r="G881" s="24" t="s">
        <v>194</v>
      </c>
      <c r="H881" s="24" t="s">
        <v>62</v>
      </c>
      <c r="I881" s="24">
        <v>2017</v>
      </c>
      <c r="J881" s="24"/>
      <c r="K881" s="24" t="s">
        <v>63</v>
      </c>
      <c r="L881" s="24" t="s">
        <v>64</v>
      </c>
      <c r="M881" s="24">
        <v>1</v>
      </c>
      <c r="N881" s="41">
        <f t="shared" si="320"/>
        <v>14850000</v>
      </c>
      <c r="O881" s="41">
        <v>14850000</v>
      </c>
      <c r="P881" s="24"/>
      <c r="Q881" s="24"/>
      <c r="R881" s="24"/>
      <c r="S881" s="41">
        <f t="shared" ref="S881:S910" si="325">SUM(O881-R881)</f>
        <v>14850000</v>
      </c>
      <c r="T881" s="24">
        <v>5</v>
      </c>
      <c r="U881" s="41"/>
      <c r="V881" s="24"/>
      <c r="W881" s="41">
        <f t="shared" si="321"/>
        <v>0</v>
      </c>
      <c r="X881" s="24"/>
      <c r="Y881" s="41"/>
      <c r="Z881" s="41">
        <f>SUM(W881+Y881)</f>
        <v>0</v>
      </c>
      <c r="AA881" s="72">
        <v>5</v>
      </c>
      <c r="AB881" s="41">
        <v>14850000</v>
      </c>
      <c r="AC881" s="41">
        <f t="shared" ref="AC881:AC910" si="326">SUM(O881-AB881)</f>
        <v>0</v>
      </c>
      <c r="AD881" s="70" t="s">
        <v>1201</v>
      </c>
      <c r="AE881" s="24"/>
      <c r="AG881" s="5"/>
      <c r="AH881" s="5"/>
    </row>
    <row r="882" spans="1:34" s="1" customFormat="1" x14ac:dyDescent="0.25">
      <c r="A882" s="49">
        <v>34</v>
      </c>
      <c r="B882" s="22" t="s">
        <v>1751</v>
      </c>
      <c r="C882" s="22" t="s">
        <v>411</v>
      </c>
      <c r="D882" s="51" t="s">
        <v>1182</v>
      </c>
      <c r="E882" s="24" t="s">
        <v>1202</v>
      </c>
      <c r="F882" s="24"/>
      <c r="G882" s="24" t="s">
        <v>194</v>
      </c>
      <c r="H882" s="24" t="s">
        <v>62</v>
      </c>
      <c r="I882" s="24">
        <v>2018</v>
      </c>
      <c r="J882" s="24"/>
      <c r="K882" s="24" t="s">
        <v>63</v>
      </c>
      <c r="L882" s="24" t="s">
        <v>64</v>
      </c>
      <c r="M882" s="24">
        <v>1</v>
      </c>
      <c r="N882" s="41">
        <f t="shared" si="320"/>
        <v>14417000</v>
      </c>
      <c r="O882" s="41">
        <v>14417000</v>
      </c>
      <c r="P882" s="24"/>
      <c r="Q882" s="24"/>
      <c r="R882" s="24"/>
      <c r="S882" s="41">
        <f t="shared" si="325"/>
        <v>14417000</v>
      </c>
      <c r="T882" s="24">
        <v>5</v>
      </c>
      <c r="U882" s="41">
        <f t="shared" ref="U882:U889" si="327">SUM(S882/T882)</f>
        <v>2883400</v>
      </c>
      <c r="V882" s="24">
        <v>0.5</v>
      </c>
      <c r="W882" s="41">
        <f>SUM(U882*V882)-480566.67</f>
        <v>961133.33000000007</v>
      </c>
      <c r="X882" s="24"/>
      <c r="Y882" s="41">
        <f t="shared" si="322"/>
        <v>0</v>
      </c>
      <c r="Z882" s="41">
        <f t="shared" si="323"/>
        <v>961133.33000000007</v>
      </c>
      <c r="AA882" s="72">
        <f>2023-I882+V882+X882-4/12-2/12</f>
        <v>5</v>
      </c>
      <c r="AB882" s="41">
        <f t="shared" ref="AB882:AB889" si="328">SUM(U882*AA882)</f>
        <v>14417000</v>
      </c>
      <c r="AC882" s="41">
        <f t="shared" si="326"/>
        <v>0</v>
      </c>
      <c r="AD882" s="70" t="s">
        <v>266</v>
      </c>
      <c r="AE882" s="24"/>
      <c r="AG882" s="143"/>
      <c r="AH882" s="5"/>
    </row>
    <row r="883" spans="1:34" s="1" customFormat="1" x14ac:dyDescent="0.25">
      <c r="A883" s="49">
        <v>35</v>
      </c>
      <c r="B883" s="22" t="s">
        <v>1751</v>
      </c>
      <c r="C883" s="22" t="s">
        <v>247</v>
      </c>
      <c r="D883" s="51" t="s">
        <v>1182</v>
      </c>
      <c r="E883" s="24" t="s">
        <v>1202</v>
      </c>
      <c r="F883" s="24"/>
      <c r="G883" s="24" t="s">
        <v>194</v>
      </c>
      <c r="H883" s="24" t="s">
        <v>62</v>
      </c>
      <c r="I883" s="24">
        <v>2018</v>
      </c>
      <c r="J883" s="24"/>
      <c r="K883" s="24" t="s">
        <v>63</v>
      </c>
      <c r="L883" s="24" t="s">
        <v>64</v>
      </c>
      <c r="M883" s="24">
        <v>1</v>
      </c>
      <c r="N883" s="41">
        <f t="shared" si="320"/>
        <v>14417000</v>
      </c>
      <c r="O883" s="41">
        <v>14417000</v>
      </c>
      <c r="P883" s="24"/>
      <c r="Q883" s="24"/>
      <c r="R883" s="24"/>
      <c r="S883" s="41">
        <f t="shared" si="325"/>
        <v>14417000</v>
      </c>
      <c r="T883" s="24">
        <v>5</v>
      </c>
      <c r="U883" s="41">
        <f t="shared" si="327"/>
        <v>2883400</v>
      </c>
      <c r="V883" s="24">
        <v>0.5</v>
      </c>
      <c r="W883" s="41">
        <f>SUM(U883*V883)-480566.67</f>
        <v>961133.33000000007</v>
      </c>
      <c r="X883" s="24"/>
      <c r="Y883" s="41">
        <f t="shared" si="322"/>
        <v>0</v>
      </c>
      <c r="Z883" s="41">
        <f t="shared" si="323"/>
        <v>961133.33000000007</v>
      </c>
      <c r="AA883" s="72">
        <f>2023-I883+V883+X883-4/12-2/12</f>
        <v>5</v>
      </c>
      <c r="AB883" s="41">
        <f t="shared" si="328"/>
        <v>14417000</v>
      </c>
      <c r="AC883" s="41">
        <f t="shared" si="326"/>
        <v>0</v>
      </c>
      <c r="AD883" s="70" t="s">
        <v>1203</v>
      </c>
      <c r="AE883" s="24"/>
      <c r="AG883" s="5"/>
      <c r="AH883" s="5"/>
    </row>
    <row r="884" spans="1:34" s="1" customFormat="1" x14ac:dyDescent="0.25">
      <c r="A884" s="49">
        <v>36</v>
      </c>
      <c r="B884" s="22" t="s">
        <v>1751</v>
      </c>
      <c r="C884" s="73" t="s">
        <v>1204</v>
      </c>
      <c r="D884" s="51" t="s">
        <v>1182</v>
      </c>
      <c r="E884" s="52" t="s">
        <v>1205</v>
      </c>
      <c r="F884" s="52"/>
      <c r="G884" s="52" t="s">
        <v>194</v>
      </c>
      <c r="H884" s="52" t="s">
        <v>62</v>
      </c>
      <c r="I884" s="52">
        <v>2019</v>
      </c>
      <c r="J884" s="52"/>
      <c r="K884" s="52" t="s">
        <v>63</v>
      </c>
      <c r="L884" s="52" t="s">
        <v>64</v>
      </c>
      <c r="M884" s="52">
        <v>6</v>
      </c>
      <c r="N884" s="53">
        <f>O884/M884</f>
        <v>16499520</v>
      </c>
      <c r="O884" s="53">
        <v>98997120</v>
      </c>
      <c r="P884" s="52"/>
      <c r="Q884" s="52"/>
      <c r="R884" s="52"/>
      <c r="S884" s="53">
        <f t="shared" si="325"/>
        <v>98997120</v>
      </c>
      <c r="T884" s="52">
        <v>5</v>
      </c>
      <c r="U884" s="53">
        <f t="shared" si="327"/>
        <v>19799424</v>
      </c>
      <c r="V884" s="52">
        <v>0.5</v>
      </c>
      <c r="W884" s="53">
        <f t="shared" si="321"/>
        <v>9899712</v>
      </c>
      <c r="X884" s="24"/>
      <c r="Y884" s="53">
        <f t="shared" si="322"/>
        <v>0</v>
      </c>
      <c r="Z884" s="53">
        <f t="shared" si="323"/>
        <v>9899712</v>
      </c>
      <c r="AA884" s="72">
        <f>2023-I884+V884+X884-11/12</f>
        <v>3.5833333333333335</v>
      </c>
      <c r="AB884" s="53">
        <f t="shared" si="328"/>
        <v>70947936</v>
      </c>
      <c r="AC884" s="53">
        <f t="shared" si="326"/>
        <v>28049184</v>
      </c>
      <c r="AD884" s="56"/>
      <c r="AE884" s="52"/>
      <c r="AG884" s="5"/>
      <c r="AH884" s="5"/>
    </row>
    <row r="885" spans="1:34" s="1" customFormat="1" x14ac:dyDescent="0.25">
      <c r="A885" s="49">
        <v>37</v>
      </c>
      <c r="B885" s="22" t="s">
        <v>1751</v>
      </c>
      <c r="C885" s="73" t="s">
        <v>1028</v>
      </c>
      <c r="D885" s="51" t="s">
        <v>1182</v>
      </c>
      <c r="E885" s="52" t="s">
        <v>1206</v>
      </c>
      <c r="F885" s="52"/>
      <c r="G885" s="52" t="s">
        <v>194</v>
      </c>
      <c r="H885" s="52" t="s">
        <v>62</v>
      </c>
      <c r="I885" s="52">
        <v>2020</v>
      </c>
      <c r="J885" s="52"/>
      <c r="K885" s="52" t="s">
        <v>63</v>
      </c>
      <c r="L885" s="52" t="s">
        <v>64</v>
      </c>
      <c r="M885" s="52">
        <v>1</v>
      </c>
      <c r="N885" s="53">
        <f>O885/M885</f>
        <v>20000000</v>
      </c>
      <c r="O885" s="53">
        <v>20000000</v>
      </c>
      <c r="P885" s="52"/>
      <c r="Q885" s="52"/>
      <c r="R885" s="52"/>
      <c r="S885" s="53">
        <f t="shared" si="325"/>
        <v>20000000</v>
      </c>
      <c r="T885" s="52">
        <v>5</v>
      </c>
      <c r="U885" s="53">
        <f t="shared" si="327"/>
        <v>4000000</v>
      </c>
      <c r="V885" s="52">
        <v>0.5</v>
      </c>
      <c r="W885" s="53">
        <f t="shared" si="321"/>
        <v>2000000</v>
      </c>
      <c r="X885" s="54"/>
      <c r="Y885" s="53">
        <f t="shared" si="322"/>
        <v>0</v>
      </c>
      <c r="Z885" s="53">
        <f t="shared" si="323"/>
        <v>2000000</v>
      </c>
      <c r="AA885" s="72">
        <f>2023-I885+V885+X885-11/12</f>
        <v>2.5833333333333335</v>
      </c>
      <c r="AB885" s="53">
        <f t="shared" si="328"/>
        <v>10333333.333333334</v>
      </c>
      <c r="AC885" s="53">
        <f t="shared" si="326"/>
        <v>9666666.666666666</v>
      </c>
      <c r="AD885" s="56" t="s">
        <v>99</v>
      </c>
      <c r="AE885" s="52"/>
      <c r="AG885" s="5"/>
      <c r="AH885" s="5"/>
    </row>
    <row r="886" spans="1:34" s="1" customFormat="1" x14ac:dyDescent="0.25">
      <c r="A886" s="49">
        <v>38</v>
      </c>
      <c r="B886" s="22" t="s">
        <v>1751</v>
      </c>
      <c r="C886" s="73" t="s">
        <v>1029</v>
      </c>
      <c r="D886" s="51" t="s">
        <v>1182</v>
      </c>
      <c r="E886" s="52" t="s">
        <v>1207</v>
      </c>
      <c r="F886" s="52"/>
      <c r="G886" s="52" t="s">
        <v>194</v>
      </c>
      <c r="H886" s="52" t="s">
        <v>62</v>
      </c>
      <c r="I886" s="52">
        <v>2021</v>
      </c>
      <c r="J886" s="52"/>
      <c r="K886" s="52" t="s">
        <v>63</v>
      </c>
      <c r="L886" s="52" t="s">
        <v>64</v>
      </c>
      <c r="M886" s="52">
        <v>3</v>
      </c>
      <c r="N886" s="53">
        <f>O886/M886</f>
        <v>15299909</v>
      </c>
      <c r="O886" s="53">
        <v>45899727</v>
      </c>
      <c r="P886" s="52"/>
      <c r="Q886" s="52"/>
      <c r="R886" s="52"/>
      <c r="S886" s="53">
        <f t="shared" si="325"/>
        <v>45899727</v>
      </c>
      <c r="T886" s="52">
        <v>5</v>
      </c>
      <c r="U886" s="53">
        <f t="shared" si="327"/>
        <v>9179945.4000000004</v>
      </c>
      <c r="V886" s="52">
        <v>0.5</v>
      </c>
      <c r="W886" s="53">
        <f t="shared" si="321"/>
        <v>4589972.7</v>
      </c>
      <c r="X886" s="54"/>
      <c r="Y886" s="53">
        <f t="shared" si="322"/>
        <v>0</v>
      </c>
      <c r="Z886" s="53">
        <f t="shared" si="323"/>
        <v>4589972.7</v>
      </c>
      <c r="AA886" s="57">
        <f>5/12+0.5+0.5+0.5</f>
        <v>1.9166666666666667</v>
      </c>
      <c r="AB886" s="53">
        <f t="shared" si="328"/>
        <v>17594895.350000001</v>
      </c>
      <c r="AC886" s="53">
        <f t="shared" si="326"/>
        <v>28304831.649999999</v>
      </c>
      <c r="AD886" s="56" t="s">
        <v>3703</v>
      </c>
      <c r="AE886" s="52"/>
      <c r="AG886" s="5"/>
      <c r="AH886" s="5"/>
    </row>
    <row r="887" spans="1:34" s="1" customFormat="1" x14ac:dyDescent="0.25">
      <c r="A887" s="49">
        <v>39</v>
      </c>
      <c r="B887" s="22" t="s">
        <v>1751</v>
      </c>
      <c r="C887" s="73" t="s">
        <v>1030</v>
      </c>
      <c r="D887" s="51" t="s">
        <v>1182</v>
      </c>
      <c r="E887" s="52" t="s">
        <v>1208</v>
      </c>
      <c r="F887" s="52"/>
      <c r="G887" s="52" t="s">
        <v>194</v>
      </c>
      <c r="H887" s="52" t="s">
        <v>62</v>
      </c>
      <c r="I887" s="52">
        <v>2021</v>
      </c>
      <c r="J887" s="52"/>
      <c r="K887" s="52" t="s">
        <v>63</v>
      </c>
      <c r="L887" s="52" t="s">
        <v>64</v>
      </c>
      <c r="M887" s="52">
        <v>2</v>
      </c>
      <c r="N887" s="53">
        <f>O887/M887</f>
        <v>15300000</v>
      </c>
      <c r="O887" s="53">
        <v>30600000</v>
      </c>
      <c r="P887" s="52"/>
      <c r="Q887" s="52"/>
      <c r="R887" s="52"/>
      <c r="S887" s="53">
        <f t="shared" si="325"/>
        <v>30600000</v>
      </c>
      <c r="T887" s="52">
        <v>5</v>
      </c>
      <c r="U887" s="53">
        <f t="shared" si="327"/>
        <v>6120000</v>
      </c>
      <c r="V887" s="52">
        <v>0.5</v>
      </c>
      <c r="W887" s="53">
        <f t="shared" si="321"/>
        <v>3060000</v>
      </c>
      <c r="X887" s="57"/>
      <c r="Y887" s="53">
        <f t="shared" si="322"/>
        <v>0</v>
      </c>
      <c r="Z887" s="53">
        <f t="shared" si="323"/>
        <v>3060000</v>
      </c>
      <c r="AA887" s="57">
        <f>1/12+0.5+0.5+0.5</f>
        <v>1.5833333333333335</v>
      </c>
      <c r="AB887" s="53">
        <f t="shared" si="328"/>
        <v>9690000</v>
      </c>
      <c r="AC887" s="53">
        <f t="shared" si="326"/>
        <v>20910000</v>
      </c>
      <c r="AD887" s="56" t="s">
        <v>1209</v>
      </c>
      <c r="AE887" s="52"/>
      <c r="AG887" s="5"/>
      <c r="AH887" s="5"/>
    </row>
    <row r="888" spans="1:34" s="1" customFormat="1" x14ac:dyDescent="0.25">
      <c r="A888" s="49">
        <v>40</v>
      </c>
      <c r="B888" s="22" t="s">
        <v>1751</v>
      </c>
      <c r="C888" s="73" t="s">
        <v>1032</v>
      </c>
      <c r="D888" s="51" t="s">
        <v>1182</v>
      </c>
      <c r="E888" s="52" t="s">
        <v>1210</v>
      </c>
      <c r="F888" s="52"/>
      <c r="G888" s="52" t="s">
        <v>194</v>
      </c>
      <c r="H888" s="52" t="s">
        <v>62</v>
      </c>
      <c r="I888" s="52">
        <v>2022</v>
      </c>
      <c r="J888" s="52"/>
      <c r="K888" s="52" t="s">
        <v>63</v>
      </c>
      <c r="L888" s="52" t="s">
        <v>64</v>
      </c>
      <c r="M888" s="52">
        <v>1</v>
      </c>
      <c r="N888" s="53">
        <f t="shared" ref="N888:N889" si="329">O888/M888</f>
        <v>16500000</v>
      </c>
      <c r="O888" s="53">
        <v>16500000</v>
      </c>
      <c r="P888" s="52"/>
      <c r="Q888" s="52"/>
      <c r="R888" s="52"/>
      <c r="S888" s="53">
        <f t="shared" si="325"/>
        <v>16500000</v>
      </c>
      <c r="T888" s="52">
        <v>5</v>
      </c>
      <c r="U888" s="53">
        <f t="shared" si="327"/>
        <v>3300000</v>
      </c>
      <c r="V888" s="52">
        <v>0.5</v>
      </c>
      <c r="W888" s="53">
        <f t="shared" si="321"/>
        <v>1650000</v>
      </c>
      <c r="X888" s="57"/>
      <c r="Y888" s="53">
        <f t="shared" si="322"/>
        <v>0</v>
      </c>
      <c r="Z888" s="53">
        <f t="shared" si="323"/>
        <v>1650000</v>
      </c>
      <c r="AA888" s="57">
        <f>1/12+0.5</f>
        <v>0.58333333333333337</v>
      </c>
      <c r="AB888" s="53">
        <f t="shared" si="328"/>
        <v>1925000.0000000002</v>
      </c>
      <c r="AC888" s="53">
        <f t="shared" si="326"/>
        <v>14575000</v>
      </c>
      <c r="AD888" s="56" t="s">
        <v>1211</v>
      </c>
      <c r="AE888" s="52"/>
      <c r="AG888" s="5"/>
      <c r="AH888" s="5"/>
    </row>
    <row r="889" spans="1:34" s="1" customFormat="1" x14ac:dyDescent="0.25">
      <c r="A889" s="49">
        <v>41</v>
      </c>
      <c r="B889" s="22" t="s">
        <v>1751</v>
      </c>
      <c r="C889" s="73" t="s">
        <v>1212</v>
      </c>
      <c r="D889" s="51" t="s">
        <v>1182</v>
      </c>
      <c r="E889" s="52" t="s">
        <v>1210</v>
      </c>
      <c r="F889" s="52"/>
      <c r="G889" s="52" t="s">
        <v>194</v>
      </c>
      <c r="H889" s="52" t="s">
        <v>62</v>
      </c>
      <c r="I889" s="52">
        <v>2022</v>
      </c>
      <c r="J889" s="52"/>
      <c r="K889" s="52" t="s">
        <v>63</v>
      </c>
      <c r="L889" s="52" t="s">
        <v>64</v>
      </c>
      <c r="M889" s="52">
        <v>1</v>
      </c>
      <c r="N889" s="53">
        <f t="shared" si="329"/>
        <v>16500000</v>
      </c>
      <c r="O889" s="53">
        <v>16500000</v>
      </c>
      <c r="P889" s="52"/>
      <c r="Q889" s="52"/>
      <c r="R889" s="52"/>
      <c r="S889" s="53">
        <f t="shared" si="325"/>
        <v>16500000</v>
      </c>
      <c r="T889" s="52">
        <v>5</v>
      </c>
      <c r="U889" s="53">
        <f t="shared" si="327"/>
        <v>3300000</v>
      </c>
      <c r="V889" s="52">
        <v>0.5</v>
      </c>
      <c r="W889" s="53">
        <f t="shared" si="321"/>
        <v>1650000</v>
      </c>
      <c r="X889" s="57"/>
      <c r="Y889" s="53">
        <f t="shared" si="322"/>
        <v>0</v>
      </c>
      <c r="Z889" s="53">
        <f t="shared" si="323"/>
        <v>1650000</v>
      </c>
      <c r="AA889" s="57">
        <f>1/12+0.5</f>
        <v>0.58333333333333337</v>
      </c>
      <c r="AB889" s="53">
        <f t="shared" si="328"/>
        <v>1925000.0000000002</v>
      </c>
      <c r="AC889" s="53">
        <f t="shared" si="326"/>
        <v>14575000</v>
      </c>
      <c r="AD889" s="56" t="s">
        <v>1213</v>
      </c>
      <c r="AE889" s="52"/>
      <c r="AG889" s="5"/>
      <c r="AH889" s="5"/>
    </row>
    <row r="890" spans="1:34" s="1" customFormat="1" x14ac:dyDescent="0.25">
      <c r="A890" s="49">
        <v>44</v>
      </c>
      <c r="B890" s="22" t="s">
        <v>1752</v>
      </c>
      <c r="C890" s="22" t="s">
        <v>1214</v>
      </c>
      <c r="D890" s="51" t="s">
        <v>1215</v>
      </c>
      <c r="E890" s="24" t="s">
        <v>1216</v>
      </c>
      <c r="F890" s="24"/>
      <c r="G890" s="24" t="s">
        <v>194</v>
      </c>
      <c r="H890" s="24" t="s">
        <v>62</v>
      </c>
      <c r="I890" s="24">
        <v>2005</v>
      </c>
      <c r="J890" s="24"/>
      <c r="K890" s="24" t="s">
        <v>63</v>
      </c>
      <c r="L890" s="24" t="s">
        <v>167</v>
      </c>
      <c r="M890" s="24">
        <v>7</v>
      </c>
      <c r="N890" s="41">
        <f t="shared" si="320"/>
        <v>6775000</v>
      </c>
      <c r="O890" s="41">
        <v>47425000</v>
      </c>
      <c r="P890" s="24"/>
      <c r="Q890" s="24"/>
      <c r="R890" s="24"/>
      <c r="S890" s="41">
        <f t="shared" si="325"/>
        <v>47425000</v>
      </c>
      <c r="T890" s="24">
        <v>5</v>
      </c>
      <c r="U890" s="41"/>
      <c r="V890" s="24">
        <v>0.5</v>
      </c>
      <c r="W890" s="41">
        <f t="shared" si="321"/>
        <v>0</v>
      </c>
      <c r="X890" s="24"/>
      <c r="Y890" s="41">
        <f t="shared" si="322"/>
        <v>0</v>
      </c>
      <c r="Z890" s="41">
        <f t="shared" si="323"/>
        <v>0</v>
      </c>
      <c r="AA890" s="24">
        <v>5</v>
      </c>
      <c r="AB890" s="41">
        <v>47425000</v>
      </c>
      <c r="AC890" s="41">
        <f t="shared" si="326"/>
        <v>0</v>
      </c>
      <c r="AD890" s="70" t="s">
        <v>213</v>
      </c>
      <c r="AE890" s="24"/>
      <c r="AG890" s="5"/>
    </row>
    <row r="891" spans="1:34" s="1" customFormat="1" x14ac:dyDescent="0.25">
      <c r="A891" s="49">
        <v>45</v>
      </c>
      <c r="B891" s="22" t="s">
        <v>1752</v>
      </c>
      <c r="C891" s="22" t="s">
        <v>408</v>
      </c>
      <c r="D891" s="51" t="s">
        <v>1215</v>
      </c>
      <c r="E891" s="24" t="s">
        <v>1216</v>
      </c>
      <c r="F891" s="24"/>
      <c r="G891" s="24" t="s">
        <v>194</v>
      </c>
      <c r="H891" s="24" t="s">
        <v>62</v>
      </c>
      <c r="I891" s="24">
        <v>2005</v>
      </c>
      <c r="J891" s="24"/>
      <c r="K891" s="24" t="s">
        <v>63</v>
      </c>
      <c r="L891" s="24" t="s">
        <v>167</v>
      </c>
      <c r="M891" s="24">
        <v>1</v>
      </c>
      <c r="N891" s="41">
        <f t="shared" si="320"/>
        <v>6775000</v>
      </c>
      <c r="O891" s="41">
        <v>6775000</v>
      </c>
      <c r="P891" s="24"/>
      <c r="Q891" s="24"/>
      <c r="R891" s="24"/>
      <c r="S891" s="41">
        <f t="shared" si="325"/>
        <v>6775000</v>
      </c>
      <c r="T891" s="24">
        <v>5</v>
      </c>
      <c r="U891" s="41"/>
      <c r="V891" s="24">
        <v>0.5</v>
      </c>
      <c r="W891" s="41">
        <f t="shared" si="321"/>
        <v>0</v>
      </c>
      <c r="X891" s="24"/>
      <c r="Y891" s="41">
        <f t="shared" si="322"/>
        <v>0</v>
      </c>
      <c r="Z891" s="41">
        <f t="shared" si="323"/>
        <v>0</v>
      </c>
      <c r="AA891" s="24">
        <v>5</v>
      </c>
      <c r="AB891" s="41">
        <v>6775000</v>
      </c>
      <c r="AC891" s="41">
        <f t="shared" si="326"/>
        <v>0</v>
      </c>
      <c r="AD891" s="70" t="s">
        <v>406</v>
      </c>
      <c r="AE891" s="24"/>
      <c r="AG891" s="5"/>
    </row>
    <row r="892" spans="1:34" s="1" customFormat="1" x14ac:dyDescent="0.25">
      <c r="A892" s="49">
        <v>46</v>
      </c>
      <c r="B892" s="22" t="s">
        <v>1752</v>
      </c>
      <c r="C892" s="22" t="s">
        <v>1217</v>
      </c>
      <c r="D892" s="51" t="s">
        <v>1215</v>
      </c>
      <c r="E892" s="24" t="s">
        <v>1216</v>
      </c>
      <c r="F892" s="24"/>
      <c r="G892" s="24" t="s">
        <v>194</v>
      </c>
      <c r="H892" s="24" t="s">
        <v>62</v>
      </c>
      <c r="I892" s="24">
        <v>2005</v>
      </c>
      <c r="J892" s="24"/>
      <c r="K892" s="24" t="s">
        <v>63</v>
      </c>
      <c r="L892" s="24" t="s">
        <v>167</v>
      </c>
      <c r="M892" s="24">
        <v>2</v>
      </c>
      <c r="N892" s="41">
        <f t="shared" si="320"/>
        <v>6775000</v>
      </c>
      <c r="O892" s="41">
        <v>13550000</v>
      </c>
      <c r="P892" s="24"/>
      <c r="Q892" s="24"/>
      <c r="R892" s="24"/>
      <c r="S892" s="41">
        <f t="shared" si="325"/>
        <v>13550000</v>
      </c>
      <c r="T892" s="24">
        <v>5</v>
      </c>
      <c r="U892" s="41"/>
      <c r="V892" s="24">
        <v>0.5</v>
      </c>
      <c r="W892" s="41">
        <f t="shared" si="321"/>
        <v>0</v>
      </c>
      <c r="X892" s="24"/>
      <c r="Y892" s="41">
        <f t="shared" si="322"/>
        <v>0</v>
      </c>
      <c r="Z892" s="41">
        <f t="shared" si="323"/>
        <v>0</v>
      </c>
      <c r="AA892" s="24">
        <v>5</v>
      </c>
      <c r="AB892" s="41">
        <v>13550000</v>
      </c>
      <c r="AC892" s="41">
        <f t="shared" si="326"/>
        <v>0</v>
      </c>
      <c r="AD892" s="70" t="s">
        <v>406</v>
      </c>
      <c r="AE892" s="24"/>
      <c r="AG892" s="5"/>
    </row>
    <row r="893" spans="1:34" s="1" customFormat="1" x14ac:dyDescent="0.25">
      <c r="A893" s="49">
        <v>47</v>
      </c>
      <c r="B893" s="22" t="s">
        <v>1752</v>
      </c>
      <c r="C893" s="22" t="s">
        <v>1017</v>
      </c>
      <c r="D893" s="51" t="s">
        <v>1215</v>
      </c>
      <c r="E893" s="24" t="s">
        <v>1216</v>
      </c>
      <c r="F893" s="24"/>
      <c r="G893" s="24" t="s">
        <v>194</v>
      </c>
      <c r="H893" s="24" t="s">
        <v>62</v>
      </c>
      <c r="I893" s="24">
        <v>2005</v>
      </c>
      <c r="J893" s="24"/>
      <c r="K893" s="24" t="s">
        <v>63</v>
      </c>
      <c r="L893" s="24" t="s">
        <v>167</v>
      </c>
      <c r="M893" s="24">
        <v>1</v>
      </c>
      <c r="N893" s="41">
        <f t="shared" si="320"/>
        <v>6775000</v>
      </c>
      <c r="O893" s="41">
        <v>6775000</v>
      </c>
      <c r="P893" s="24"/>
      <c r="Q893" s="24"/>
      <c r="R893" s="24"/>
      <c r="S893" s="41">
        <f t="shared" si="325"/>
        <v>6775000</v>
      </c>
      <c r="T893" s="24">
        <v>5</v>
      </c>
      <c r="U893" s="41"/>
      <c r="V893" s="24">
        <v>0.5</v>
      </c>
      <c r="W893" s="41">
        <f t="shared" si="321"/>
        <v>0</v>
      </c>
      <c r="X893" s="24"/>
      <c r="Y893" s="41">
        <f t="shared" si="322"/>
        <v>0</v>
      </c>
      <c r="Z893" s="41">
        <f t="shared" si="323"/>
        <v>0</v>
      </c>
      <c r="AA893" s="24">
        <v>5</v>
      </c>
      <c r="AB893" s="41">
        <v>6775000</v>
      </c>
      <c r="AC893" s="41">
        <f t="shared" si="326"/>
        <v>0</v>
      </c>
      <c r="AD893" s="70" t="s">
        <v>406</v>
      </c>
      <c r="AE893" s="24"/>
      <c r="AG893" s="5"/>
    </row>
    <row r="894" spans="1:34" s="1" customFormat="1" x14ac:dyDescent="0.25">
      <c r="A894" s="49">
        <v>48</v>
      </c>
      <c r="B894" s="22" t="s">
        <v>1752</v>
      </c>
      <c r="C894" s="22" t="s">
        <v>411</v>
      </c>
      <c r="D894" s="51" t="s">
        <v>1215</v>
      </c>
      <c r="E894" s="24" t="s">
        <v>1216</v>
      </c>
      <c r="F894" s="24"/>
      <c r="G894" s="24" t="s">
        <v>194</v>
      </c>
      <c r="H894" s="24" t="s">
        <v>62</v>
      </c>
      <c r="I894" s="24">
        <v>2005</v>
      </c>
      <c r="J894" s="24"/>
      <c r="K894" s="24" t="s">
        <v>63</v>
      </c>
      <c r="L894" s="24" t="s">
        <v>167</v>
      </c>
      <c r="M894" s="24">
        <v>1</v>
      </c>
      <c r="N894" s="41">
        <f t="shared" si="320"/>
        <v>6775000</v>
      </c>
      <c r="O894" s="41">
        <v>6775000</v>
      </c>
      <c r="P894" s="24"/>
      <c r="Q894" s="24"/>
      <c r="R894" s="24"/>
      <c r="S894" s="41">
        <f t="shared" si="325"/>
        <v>6775000</v>
      </c>
      <c r="T894" s="24">
        <v>5</v>
      </c>
      <c r="U894" s="41"/>
      <c r="V894" s="24">
        <v>0.5</v>
      </c>
      <c r="W894" s="41">
        <f t="shared" si="321"/>
        <v>0</v>
      </c>
      <c r="X894" s="24"/>
      <c r="Y894" s="41">
        <f t="shared" si="322"/>
        <v>0</v>
      </c>
      <c r="Z894" s="41">
        <f t="shared" si="323"/>
        <v>0</v>
      </c>
      <c r="AA894" s="24">
        <v>5</v>
      </c>
      <c r="AB894" s="41">
        <v>6775000</v>
      </c>
      <c r="AC894" s="41">
        <f t="shared" si="326"/>
        <v>0</v>
      </c>
      <c r="AD894" s="70" t="s">
        <v>406</v>
      </c>
      <c r="AE894" s="24"/>
      <c r="AG894" s="5"/>
    </row>
    <row r="895" spans="1:34" s="1" customFormat="1" x14ac:dyDescent="0.25">
      <c r="A895" s="49">
        <v>49</v>
      </c>
      <c r="B895" s="22" t="s">
        <v>1752</v>
      </c>
      <c r="C895" s="22" t="s">
        <v>247</v>
      </c>
      <c r="D895" s="51" t="s">
        <v>1215</v>
      </c>
      <c r="E895" s="24" t="s">
        <v>1216</v>
      </c>
      <c r="F895" s="24"/>
      <c r="G895" s="24" t="s">
        <v>194</v>
      </c>
      <c r="H895" s="24" t="s">
        <v>62</v>
      </c>
      <c r="I895" s="24">
        <v>2005</v>
      </c>
      <c r="J895" s="24"/>
      <c r="K895" s="24" t="s">
        <v>63</v>
      </c>
      <c r="L895" s="24" t="s">
        <v>167</v>
      </c>
      <c r="M895" s="24">
        <v>1</v>
      </c>
      <c r="N895" s="41">
        <f t="shared" si="320"/>
        <v>6775000</v>
      </c>
      <c r="O895" s="41">
        <v>6775000</v>
      </c>
      <c r="P895" s="24"/>
      <c r="Q895" s="24"/>
      <c r="R895" s="24"/>
      <c r="S895" s="41">
        <f t="shared" si="325"/>
        <v>6775000</v>
      </c>
      <c r="T895" s="24">
        <v>5</v>
      </c>
      <c r="U895" s="41"/>
      <c r="V895" s="24">
        <v>0.5</v>
      </c>
      <c r="W895" s="41">
        <f t="shared" si="321"/>
        <v>0</v>
      </c>
      <c r="X895" s="24"/>
      <c r="Y895" s="41">
        <f t="shared" si="322"/>
        <v>0</v>
      </c>
      <c r="Z895" s="41">
        <f t="shared" si="323"/>
        <v>0</v>
      </c>
      <c r="AA895" s="24">
        <v>5</v>
      </c>
      <c r="AB895" s="41">
        <v>6775000</v>
      </c>
      <c r="AC895" s="41">
        <f t="shared" si="326"/>
        <v>0</v>
      </c>
      <c r="AD895" s="70" t="s">
        <v>406</v>
      </c>
      <c r="AE895" s="24"/>
      <c r="AG895" s="5"/>
    </row>
    <row r="896" spans="1:34" s="1" customFormat="1" x14ac:dyDescent="0.25">
      <c r="A896" s="49">
        <v>50</v>
      </c>
      <c r="B896" s="22" t="s">
        <v>1752</v>
      </c>
      <c r="C896" s="22" t="s">
        <v>1218</v>
      </c>
      <c r="D896" s="51" t="s">
        <v>1215</v>
      </c>
      <c r="E896" s="24" t="s">
        <v>1216</v>
      </c>
      <c r="F896" s="24"/>
      <c r="G896" s="24" t="s">
        <v>194</v>
      </c>
      <c r="H896" s="24" t="s">
        <v>62</v>
      </c>
      <c r="I896" s="24">
        <v>2005</v>
      </c>
      <c r="J896" s="24"/>
      <c r="K896" s="24" t="s">
        <v>63</v>
      </c>
      <c r="L896" s="24" t="s">
        <v>167</v>
      </c>
      <c r="M896" s="24">
        <v>3</v>
      </c>
      <c r="N896" s="41">
        <f t="shared" si="320"/>
        <v>6775000</v>
      </c>
      <c r="O896" s="41">
        <v>20325000</v>
      </c>
      <c r="P896" s="24"/>
      <c r="Q896" s="24"/>
      <c r="R896" s="24"/>
      <c r="S896" s="41">
        <f t="shared" si="325"/>
        <v>20325000</v>
      </c>
      <c r="T896" s="24">
        <v>5</v>
      </c>
      <c r="U896" s="41"/>
      <c r="V896" s="24">
        <v>0.5</v>
      </c>
      <c r="W896" s="41">
        <f t="shared" si="321"/>
        <v>0</v>
      </c>
      <c r="X896" s="24"/>
      <c r="Y896" s="41">
        <f t="shared" si="322"/>
        <v>0</v>
      </c>
      <c r="Z896" s="41">
        <f t="shared" si="323"/>
        <v>0</v>
      </c>
      <c r="AA896" s="24">
        <v>5</v>
      </c>
      <c r="AB896" s="41">
        <v>20325000</v>
      </c>
      <c r="AC896" s="41">
        <f t="shared" si="326"/>
        <v>0</v>
      </c>
      <c r="AD896" s="70" t="s">
        <v>406</v>
      </c>
      <c r="AE896" s="24"/>
      <c r="AG896" s="5"/>
    </row>
    <row r="897" spans="1:33" s="1" customFormat="1" x14ac:dyDescent="0.25">
      <c r="A897" s="49">
        <v>51</v>
      </c>
      <c r="B897" s="22" t="s">
        <v>1752</v>
      </c>
      <c r="C897" s="22" t="s">
        <v>1026</v>
      </c>
      <c r="D897" s="51" t="s">
        <v>1215</v>
      </c>
      <c r="E897" s="24" t="s">
        <v>1219</v>
      </c>
      <c r="F897" s="24"/>
      <c r="G897" s="24" t="s">
        <v>194</v>
      </c>
      <c r="H897" s="24" t="s">
        <v>62</v>
      </c>
      <c r="I897" s="24">
        <v>2010</v>
      </c>
      <c r="J897" s="24"/>
      <c r="K897" s="24" t="s">
        <v>63</v>
      </c>
      <c r="L897" s="24" t="s">
        <v>64</v>
      </c>
      <c r="M897" s="24">
        <v>1</v>
      </c>
      <c r="N897" s="41">
        <f t="shared" si="320"/>
        <v>9875000</v>
      </c>
      <c r="O897" s="41">
        <v>9875000</v>
      </c>
      <c r="P897" s="24"/>
      <c r="Q897" s="24"/>
      <c r="R897" s="24"/>
      <c r="S897" s="41">
        <f t="shared" si="325"/>
        <v>9875000</v>
      </c>
      <c r="T897" s="24">
        <v>5</v>
      </c>
      <c r="U897" s="41"/>
      <c r="V897" s="24">
        <v>0.5</v>
      </c>
      <c r="W897" s="41">
        <f t="shared" si="321"/>
        <v>0</v>
      </c>
      <c r="X897" s="24"/>
      <c r="Y897" s="41">
        <f t="shared" si="322"/>
        <v>0</v>
      </c>
      <c r="Z897" s="41">
        <f t="shared" si="323"/>
        <v>0</v>
      </c>
      <c r="AA897" s="24">
        <v>5</v>
      </c>
      <c r="AB897" s="41">
        <v>9875000</v>
      </c>
      <c r="AC897" s="41">
        <f t="shared" si="326"/>
        <v>0</v>
      </c>
      <c r="AD897" s="70" t="s">
        <v>222</v>
      </c>
      <c r="AE897" s="24"/>
      <c r="AG897" s="5"/>
    </row>
    <row r="898" spans="1:33" s="1" customFormat="1" x14ac:dyDescent="0.25">
      <c r="A898" s="49">
        <v>52</v>
      </c>
      <c r="B898" s="22" t="s">
        <v>1752</v>
      </c>
      <c r="C898" s="22" t="s">
        <v>416</v>
      </c>
      <c r="D898" s="51" t="s">
        <v>1215</v>
      </c>
      <c r="E898" s="24" t="s">
        <v>1219</v>
      </c>
      <c r="F898" s="24"/>
      <c r="G898" s="24" t="s">
        <v>194</v>
      </c>
      <c r="H898" s="24" t="s">
        <v>1220</v>
      </c>
      <c r="I898" s="24">
        <v>2010</v>
      </c>
      <c r="J898" s="24"/>
      <c r="K898" s="24" t="s">
        <v>63</v>
      </c>
      <c r="L898" s="24" t="s">
        <v>64</v>
      </c>
      <c r="M898" s="24">
        <v>1</v>
      </c>
      <c r="N898" s="41">
        <f t="shared" si="320"/>
        <v>10725000</v>
      </c>
      <c r="O898" s="41">
        <v>10725000</v>
      </c>
      <c r="P898" s="24"/>
      <c r="Q898" s="24"/>
      <c r="R898" s="24"/>
      <c r="S898" s="41">
        <f t="shared" si="325"/>
        <v>10725000</v>
      </c>
      <c r="T898" s="24">
        <v>5</v>
      </c>
      <c r="U898" s="41"/>
      <c r="V898" s="24">
        <v>0.5</v>
      </c>
      <c r="W898" s="41">
        <f t="shared" si="321"/>
        <v>0</v>
      </c>
      <c r="X898" s="24"/>
      <c r="Y898" s="41">
        <f t="shared" si="322"/>
        <v>0</v>
      </c>
      <c r="Z898" s="41">
        <f t="shared" si="323"/>
        <v>0</v>
      </c>
      <c r="AA898" s="24">
        <v>5</v>
      </c>
      <c r="AB898" s="41">
        <v>10725000</v>
      </c>
      <c r="AC898" s="41">
        <f t="shared" si="326"/>
        <v>0</v>
      </c>
      <c r="AD898" s="70" t="s">
        <v>222</v>
      </c>
      <c r="AE898" s="24"/>
      <c r="AG898" s="5"/>
    </row>
    <row r="899" spans="1:33" s="1" customFormat="1" x14ac:dyDescent="0.25">
      <c r="A899" s="49">
        <v>53</v>
      </c>
      <c r="B899" s="22" t="s">
        <v>1752</v>
      </c>
      <c r="C899" s="22" t="s">
        <v>417</v>
      </c>
      <c r="D899" s="51" t="s">
        <v>1215</v>
      </c>
      <c r="E899" s="24" t="s">
        <v>1219</v>
      </c>
      <c r="F899" s="24"/>
      <c r="G899" s="24" t="s">
        <v>194</v>
      </c>
      <c r="H899" s="24" t="s">
        <v>62</v>
      </c>
      <c r="I899" s="24">
        <v>2011</v>
      </c>
      <c r="J899" s="24"/>
      <c r="K899" s="24" t="s">
        <v>63</v>
      </c>
      <c r="L899" s="24" t="s">
        <v>64</v>
      </c>
      <c r="M899" s="24">
        <v>1</v>
      </c>
      <c r="N899" s="41">
        <f t="shared" si="320"/>
        <v>7450000</v>
      </c>
      <c r="O899" s="41">
        <v>7450000</v>
      </c>
      <c r="P899" s="24"/>
      <c r="Q899" s="24"/>
      <c r="R899" s="24"/>
      <c r="S899" s="41">
        <f t="shared" si="325"/>
        <v>7450000</v>
      </c>
      <c r="T899" s="24">
        <v>5</v>
      </c>
      <c r="U899" s="41"/>
      <c r="V899" s="24">
        <v>0.5</v>
      </c>
      <c r="W899" s="41">
        <f t="shared" si="321"/>
        <v>0</v>
      </c>
      <c r="X899" s="24"/>
      <c r="Y899" s="41">
        <f t="shared" si="322"/>
        <v>0</v>
      </c>
      <c r="Z899" s="41">
        <f t="shared" si="323"/>
        <v>0</v>
      </c>
      <c r="AA899" s="24">
        <v>5</v>
      </c>
      <c r="AB899" s="41">
        <v>7450000</v>
      </c>
      <c r="AC899" s="41">
        <f t="shared" si="326"/>
        <v>0</v>
      </c>
      <c r="AD899" s="70" t="s">
        <v>320</v>
      </c>
      <c r="AE899" s="24"/>
      <c r="AG899" s="5"/>
    </row>
    <row r="900" spans="1:33" s="1" customFormat="1" x14ac:dyDescent="0.25">
      <c r="A900" s="49">
        <v>54</v>
      </c>
      <c r="B900" s="22" t="s">
        <v>1752</v>
      </c>
      <c r="C900" s="22" t="s">
        <v>1028</v>
      </c>
      <c r="D900" s="51" t="s">
        <v>1215</v>
      </c>
      <c r="E900" s="24" t="s">
        <v>1219</v>
      </c>
      <c r="F900" s="24"/>
      <c r="G900" s="24" t="s">
        <v>194</v>
      </c>
      <c r="H900" s="24" t="s">
        <v>62</v>
      </c>
      <c r="I900" s="24">
        <v>2011</v>
      </c>
      <c r="J900" s="24"/>
      <c r="K900" s="24" t="s">
        <v>63</v>
      </c>
      <c r="L900" s="24" t="s">
        <v>64</v>
      </c>
      <c r="M900" s="24">
        <v>1</v>
      </c>
      <c r="N900" s="41">
        <f t="shared" si="320"/>
        <v>7450000</v>
      </c>
      <c r="O900" s="41">
        <v>7450000</v>
      </c>
      <c r="P900" s="24"/>
      <c r="Q900" s="24"/>
      <c r="R900" s="24"/>
      <c r="S900" s="41">
        <f t="shared" si="325"/>
        <v>7450000</v>
      </c>
      <c r="T900" s="24">
        <v>5</v>
      </c>
      <c r="U900" s="41"/>
      <c r="V900" s="24">
        <v>0.5</v>
      </c>
      <c r="W900" s="41">
        <f t="shared" si="321"/>
        <v>0</v>
      </c>
      <c r="X900" s="24"/>
      <c r="Y900" s="41">
        <f t="shared" si="322"/>
        <v>0</v>
      </c>
      <c r="Z900" s="41">
        <f t="shared" si="323"/>
        <v>0</v>
      </c>
      <c r="AA900" s="24">
        <v>5</v>
      </c>
      <c r="AB900" s="41">
        <v>7450000</v>
      </c>
      <c r="AC900" s="41">
        <f t="shared" si="326"/>
        <v>0</v>
      </c>
      <c r="AD900" s="70" t="s">
        <v>222</v>
      </c>
      <c r="AE900" s="24"/>
      <c r="AG900" s="5"/>
    </row>
    <row r="901" spans="1:33" s="1" customFormat="1" x14ac:dyDescent="0.25">
      <c r="A901" s="49">
        <v>55</v>
      </c>
      <c r="B901" s="22" t="s">
        <v>1752</v>
      </c>
      <c r="C901" s="22" t="s">
        <v>1029</v>
      </c>
      <c r="D901" s="51" t="s">
        <v>1215</v>
      </c>
      <c r="E901" s="24" t="s">
        <v>1219</v>
      </c>
      <c r="F901" s="24"/>
      <c r="G901" s="24" t="s">
        <v>194</v>
      </c>
      <c r="H901" s="24" t="s">
        <v>62</v>
      </c>
      <c r="I901" s="24">
        <v>2011</v>
      </c>
      <c r="J901" s="24"/>
      <c r="K901" s="24" t="s">
        <v>63</v>
      </c>
      <c r="L901" s="24" t="s">
        <v>64</v>
      </c>
      <c r="M901" s="24">
        <v>1</v>
      </c>
      <c r="N901" s="41">
        <f t="shared" si="320"/>
        <v>7450000</v>
      </c>
      <c r="O901" s="41">
        <v>7450000</v>
      </c>
      <c r="P901" s="24"/>
      <c r="Q901" s="24"/>
      <c r="R901" s="24"/>
      <c r="S901" s="41">
        <f t="shared" si="325"/>
        <v>7450000</v>
      </c>
      <c r="T901" s="24">
        <v>5</v>
      </c>
      <c r="U901" s="41"/>
      <c r="V901" s="24">
        <v>0.5</v>
      </c>
      <c r="W901" s="41">
        <f t="shared" si="321"/>
        <v>0</v>
      </c>
      <c r="X901" s="24"/>
      <c r="Y901" s="41">
        <f t="shared" si="322"/>
        <v>0</v>
      </c>
      <c r="Z901" s="41">
        <f t="shared" si="323"/>
        <v>0</v>
      </c>
      <c r="AA901" s="24">
        <v>5</v>
      </c>
      <c r="AB901" s="41">
        <v>7450000</v>
      </c>
      <c r="AC901" s="41">
        <f t="shared" si="326"/>
        <v>0</v>
      </c>
      <c r="AD901" s="70" t="s">
        <v>217</v>
      </c>
      <c r="AE901" s="24"/>
      <c r="AG901" s="5"/>
    </row>
    <row r="902" spans="1:33" s="1" customFormat="1" x14ac:dyDescent="0.25">
      <c r="A902" s="49">
        <v>56</v>
      </c>
      <c r="B902" s="22" t="s">
        <v>1752</v>
      </c>
      <c r="C902" s="22" t="s">
        <v>1030</v>
      </c>
      <c r="D902" s="51" t="s">
        <v>1215</v>
      </c>
      <c r="E902" s="24" t="s">
        <v>1219</v>
      </c>
      <c r="F902" s="24"/>
      <c r="G902" s="24" t="s">
        <v>194</v>
      </c>
      <c r="H902" s="24" t="s">
        <v>62</v>
      </c>
      <c r="I902" s="24">
        <v>2011</v>
      </c>
      <c r="J902" s="24"/>
      <c r="K902" s="24" t="s">
        <v>63</v>
      </c>
      <c r="L902" s="24" t="s">
        <v>64</v>
      </c>
      <c r="M902" s="24">
        <v>1</v>
      </c>
      <c r="N902" s="41">
        <f t="shared" si="320"/>
        <v>7450000</v>
      </c>
      <c r="O902" s="41">
        <v>7450000</v>
      </c>
      <c r="P902" s="24"/>
      <c r="Q902" s="24"/>
      <c r="R902" s="24"/>
      <c r="S902" s="41">
        <f t="shared" si="325"/>
        <v>7450000</v>
      </c>
      <c r="T902" s="24">
        <v>5</v>
      </c>
      <c r="U902" s="41"/>
      <c r="V902" s="24">
        <v>0.5</v>
      </c>
      <c r="W902" s="41">
        <f t="shared" si="321"/>
        <v>0</v>
      </c>
      <c r="X902" s="24"/>
      <c r="Y902" s="41">
        <f t="shared" si="322"/>
        <v>0</v>
      </c>
      <c r="Z902" s="41">
        <f t="shared" si="323"/>
        <v>0</v>
      </c>
      <c r="AA902" s="24">
        <v>5</v>
      </c>
      <c r="AB902" s="41">
        <v>7450000</v>
      </c>
      <c r="AC902" s="41">
        <f t="shared" si="326"/>
        <v>0</v>
      </c>
      <c r="AD902" s="70" t="s">
        <v>1221</v>
      </c>
      <c r="AE902" s="24"/>
      <c r="AG902" s="5"/>
    </row>
    <row r="903" spans="1:33" s="1" customFormat="1" x14ac:dyDescent="0.25">
      <c r="A903" s="49">
        <v>57</v>
      </c>
      <c r="B903" s="22" t="s">
        <v>1752</v>
      </c>
      <c r="C903" s="22" t="s">
        <v>1032</v>
      </c>
      <c r="D903" s="51" t="s">
        <v>1215</v>
      </c>
      <c r="E903" s="24" t="s">
        <v>1222</v>
      </c>
      <c r="F903" s="24"/>
      <c r="G903" s="24" t="s">
        <v>194</v>
      </c>
      <c r="H903" s="24" t="s">
        <v>62</v>
      </c>
      <c r="I903" s="24">
        <v>2012</v>
      </c>
      <c r="J903" s="24"/>
      <c r="K903" s="24" t="s">
        <v>63</v>
      </c>
      <c r="L903" s="24" t="s">
        <v>64</v>
      </c>
      <c r="M903" s="24">
        <v>1</v>
      </c>
      <c r="N903" s="41">
        <f t="shared" si="320"/>
        <v>8690000</v>
      </c>
      <c r="O903" s="41">
        <v>8690000</v>
      </c>
      <c r="P903" s="24"/>
      <c r="Q903" s="24"/>
      <c r="R903" s="24"/>
      <c r="S903" s="41">
        <f t="shared" si="325"/>
        <v>8690000</v>
      </c>
      <c r="T903" s="24">
        <v>5</v>
      </c>
      <c r="U903" s="41"/>
      <c r="V903" s="24">
        <v>0.5</v>
      </c>
      <c r="W903" s="41">
        <f t="shared" si="321"/>
        <v>0</v>
      </c>
      <c r="X903" s="24"/>
      <c r="Y903" s="41">
        <f t="shared" si="322"/>
        <v>0</v>
      </c>
      <c r="Z903" s="41">
        <f t="shared" si="323"/>
        <v>0</v>
      </c>
      <c r="AA903" s="24">
        <v>5</v>
      </c>
      <c r="AB903" s="41">
        <v>8690000</v>
      </c>
      <c r="AC903" s="41">
        <f t="shared" si="326"/>
        <v>0</v>
      </c>
      <c r="AD903" s="70" t="s">
        <v>324</v>
      </c>
      <c r="AE903" s="24"/>
      <c r="AG903" s="5"/>
    </row>
    <row r="904" spans="1:33" s="1" customFormat="1" x14ac:dyDescent="0.25">
      <c r="A904" s="49">
        <v>58</v>
      </c>
      <c r="B904" s="22" t="s">
        <v>1752</v>
      </c>
      <c r="C904" s="22" t="s">
        <v>1212</v>
      </c>
      <c r="D904" s="51" t="s">
        <v>1215</v>
      </c>
      <c r="E904" s="24" t="s">
        <v>1222</v>
      </c>
      <c r="F904" s="24"/>
      <c r="G904" s="24" t="s">
        <v>194</v>
      </c>
      <c r="H904" s="24" t="s">
        <v>62</v>
      </c>
      <c r="I904" s="24">
        <v>2012</v>
      </c>
      <c r="J904" s="24"/>
      <c r="K904" s="24" t="s">
        <v>63</v>
      </c>
      <c r="L904" s="24" t="s">
        <v>64</v>
      </c>
      <c r="M904" s="24">
        <v>1</v>
      </c>
      <c r="N904" s="41">
        <f t="shared" si="320"/>
        <v>8690000</v>
      </c>
      <c r="O904" s="41">
        <v>8690000</v>
      </c>
      <c r="P904" s="24"/>
      <c r="Q904" s="24"/>
      <c r="R904" s="24"/>
      <c r="S904" s="41">
        <f t="shared" si="325"/>
        <v>8690000</v>
      </c>
      <c r="T904" s="24">
        <v>5</v>
      </c>
      <c r="U904" s="41"/>
      <c r="V904" s="24">
        <v>0.5</v>
      </c>
      <c r="W904" s="41">
        <f t="shared" si="321"/>
        <v>0</v>
      </c>
      <c r="X904" s="24"/>
      <c r="Y904" s="41">
        <f t="shared" si="322"/>
        <v>0</v>
      </c>
      <c r="Z904" s="41">
        <f t="shared" si="323"/>
        <v>0</v>
      </c>
      <c r="AA904" s="24">
        <v>5</v>
      </c>
      <c r="AB904" s="41">
        <v>8690000</v>
      </c>
      <c r="AC904" s="41">
        <f t="shared" si="326"/>
        <v>0</v>
      </c>
      <c r="AD904" s="70" t="s">
        <v>326</v>
      </c>
      <c r="AE904" s="24"/>
      <c r="AG904" s="5"/>
    </row>
    <row r="905" spans="1:33" s="1" customFormat="1" x14ac:dyDescent="0.25">
      <c r="A905" s="49">
        <v>59</v>
      </c>
      <c r="B905" s="22" t="s">
        <v>1752</v>
      </c>
      <c r="C905" s="22" t="s">
        <v>791</v>
      </c>
      <c r="D905" s="51" t="s">
        <v>1215</v>
      </c>
      <c r="E905" s="24" t="s">
        <v>1222</v>
      </c>
      <c r="F905" s="24"/>
      <c r="G905" s="24" t="s">
        <v>194</v>
      </c>
      <c r="H905" s="24" t="s">
        <v>62</v>
      </c>
      <c r="I905" s="24">
        <v>2012</v>
      </c>
      <c r="J905" s="24"/>
      <c r="K905" s="24" t="s">
        <v>63</v>
      </c>
      <c r="L905" s="24" t="s">
        <v>64</v>
      </c>
      <c r="M905" s="24">
        <v>1</v>
      </c>
      <c r="N905" s="41">
        <f t="shared" si="320"/>
        <v>8690000</v>
      </c>
      <c r="O905" s="41">
        <v>8690000</v>
      </c>
      <c r="P905" s="24"/>
      <c r="Q905" s="24"/>
      <c r="R905" s="24"/>
      <c r="S905" s="41">
        <f t="shared" si="325"/>
        <v>8690000</v>
      </c>
      <c r="T905" s="24">
        <v>5</v>
      </c>
      <c r="U905" s="41"/>
      <c r="V905" s="24">
        <v>0.5</v>
      </c>
      <c r="W905" s="41">
        <f t="shared" si="321"/>
        <v>0</v>
      </c>
      <c r="X905" s="24"/>
      <c r="Y905" s="41">
        <f t="shared" si="322"/>
        <v>0</v>
      </c>
      <c r="Z905" s="41">
        <f t="shared" si="323"/>
        <v>0</v>
      </c>
      <c r="AA905" s="24">
        <v>5</v>
      </c>
      <c r="AB905" s="41">
        <v>8690000</v>
      </c>
      <c r="AC905" s="41">
        <f t="shared" si="326"/>
        <v>0</v>
      </c>
      <c r="AD905" s="70" t="s">
        <v>1223</v>
      </c>
      <c r="AE905" s="24"/>
      <c r="AG905" s="5"/>
    </row>
    <row r="906" spans="1:33" s="1" customFormat="1" x14ac:dyDescent="0.25">
      <c r="A906" s="49">
        <v>60</v>
      </c>
      <c r="B906" s="22" t="s">
        <v>1752</v>
      </c>
      <c r="C906" s="22" t="s">
        <v>420</v>
      </c>
      <c r="D906" s="51" t="s">
        <v>1215</v>
      </c>
      <c r="E906" s="24" t="s">
        <v>1222</v>
      </c>
      <c r="F906" s="24"/>
      <c r="G906" s="24" t="s">
        <v>194</v>
      </c>
      <c r="H906" s="24" t="s">
        <v>62</v>
      </c>
      <c r="I906" s="24">
        <v>2013</v>
      </c>
      <c r="J906" s="24"/>
      <c r="K906" s="24" t="s">
        <v>63</v>
      </c>
      <c r="L906" s="24" t="s">
        <v>64</v>
      </c>
      <c r="M906" s="24">
        <v>1</v>
      </c>
      <c r="N906" s="41">
        <f t="shared" si="320"/>
        <v>8000000</v>
      </c>
      <c r="O906" s="41">
        <v>8000000</v>
      </c>
      <c r="P906" s="24"/>
      <c r="Q906" s="24"/>
      <c r="R906" s="24"/>
      <c r="S906" s="41">
        <f t="shared" si="325"/>
        <v>8000000</v>
      </c>
      <c r="T906" s="24">
        <v>5</v>
      </c>
      <c r="U906" s="41"/>
      <c r="V906" s="24">
        <v>0.5</v>
      </c>
      <c r="W906" s="41">
        <f t="shared" si="321"/>
        <v>0</v>
      </c>
      <c r="X906" s="24"/>
      <c r="Y906" s="41">
        <f t="shared" si="322"/>
        <v>0</v>
      </c>
      <c r="Z906" s="41">
        <f t="shared" si="323"/>
        <v>0</v>
      </c>
      <c r="AA906" s="24">
        <v>5</v>
      </c>
      <c r="AB906" s="41">
        <v>8000000</v>
      </c>
      <c r="AC906" s="41">
        <f t="shared" si="326"/>
        <v>0</v>
      </c>
      <c r="AD906" s="70" t="s">
        <v>540</v>
      </c>
      <c r="AE906" s="24"/>
      <c r="AG906" s="5"/>
    </row>
    <row r="907" spans="1:33" s="1" customFormat="1" x14ac:dyDescent="0.25">
      <c r="A907" s="49">
        <v>61</v>
      </c>
      <c r="B907" s="22" t="s">
        <v>1752</v>
      </c>
      <c r="C907" s="22" t="s">
        <v>1224</v>
      </c>
      <c r="D907" s="51" t="s">
        <v>1215</v>
      </c>
      <c r="E907" s="24" t="s">
        <v>1225</v>
      </c>
      <c r="F907" s="24"/>
      <c r="G907" s="24" t="s">
        <v>194</v>
      </c>
      <c r="H907" s="24" t="s">
        <v>62</v>
      </c>
      <c r="I907" s="24">
        <v>2014</v>
      </c>
      <c r="J907" s="24"/>
      <c r="K907" s="24" t="s">
        <v>63</v>
      </c>
      <c r="L907" s="24" t="s">
        <v>64</v>
      </c>
      <c r="M907" s="24">
        <v>1</v>
      </c>
      <c r="N907" s="41">
        <f t="shared" si="320"/>
        <v>11998800</v>
      </c>
      <c r="O907" s="41">
        <v>11998800</v>
      </c>
      <c r="P907" s="24"/>
      <c r="Q907" s="24"/>
      <c r="R907" s="24"/>
      <c r="S907" s="41">
        <f t="shared" si="325"/>
        <v>11998800</v>
      </c>
      <c r="T907" s="24">
        <v>5</v>
      </c>
      <c r="U907" s="41"/>
      <c r="V907" s="24">
        <v>0.5</v>
      </c>
      <c r="W907" s="41">
        <f t="shared" si="321"/>
        <v>0</v>
      </c>
      <c r="X907" s="24"/>
      <c r="Y907" s="41">
        <f t="shared" si="322"/>
        <v>0</v>
      </c>
      <c r="Z907" s="41">
        <f t="shared" si="323"/>
        <v>0</v>
      </c>
      <c r="AA907" s="24">
        <v>5</v>
      </c>
      <c r="AB907" s="41">
        <v>11998800</v>
      </c>
      <c r="AC907" s="41">
        <f t="shared" si="326"/>
        <v>0</v>
      </c>
      <c r="AD907" s="70" t="s">
        <v>320</v>
      </c>
      <c r="AE907" s="24"/>
      <c r="AG907" s="5"/>
    </row>
    <row r="908" spans="1:33" s="1" customFormat="1" x14ac:dyDescent="0.25">
      <c r="A908" s="49">
        <v>62</v>
      </c>
      <c r="B908" s="22" t="s">
        <v>1752</v>
      </c>
      <c r="C908" s="22" t="s">
        <v>1226</v>
      </c>
      <c r="D908" s="51" t="s">
        <v>1215</v>
      </c>
      <c r="E908" s="24" t="s">
        <v>1225</v>
      </c>
      <c r="F908" s="24"/>
      <c r="G908" s="24" t="s">
        <v>194</v>
      </c>
      <c r="H908" s="24" t="s">
        <v>62</v>
      </c>
      <c r="I908" s="24">
        <v>2014</v>
      </c>
      <c r="J908" s="24"/>
      <c r="K908" s="24" t="s">
        <v>63</v>
      </c>
      <c r="L908" s="24" t="s">
        <v>64</v>
      </c>
      <c r="M908" s="24">
        <v>1</v>
      </c>
      <c r="N908" s="41">
        <f t="shared" si="320"/>
        <v>11998800</v>
      </c>
      <c r="O908" s="41">
        <v>11998800</v>
      </c>
      <c r="P908" s="24"/>
      <c r="Q908" s="24"/>
      <c r="R908" s="24"/>
      <c r="S908" s="41">
        <f t="shared" si="325"/>
        <v>11998800</v>
      </c>
      <c r="T908" s="24">
        <v>5</v>
      </c>
      <c r="U908" s="41"/>
      <c r="V908" s="24">
        <v>0.5</v>
      </c>
      <c r="W908" s="41">
        <f t="shared" si="321"/>
        <v>0</v>
      </c>
      <c r="X908" s="24"/>
      <c r="Y908" s="41">
        <f t="shared" si="322"/>
        <v>0</v>
      </c>
      <c r="Z908" s="41">
        <f t="shared" si="323"/>
        <v>0</v>
      </c>
      <c r="AA908" s="24">
        <v>5</v>
      </c>
      <c r="AB908" s="41">
        <v>11998800</v>
      </c>
      <c r="AC908" s="41">
        <f t="shared" si="326"/>
        <v>0</v>
      </c>
      <c r="AD908" s="70" t="s">
        <v>276</v>
      </c>
      <c r="AE908" s="24"/>
      <c r="AG908" s="5"/>
    </row>
    <row r="909" spans="1:33" s="1" customFormat="1" x14ac:dyDescent="0.25">
      <c r="A909" s="49">
        <v>63</v>
      </c>
      <c r="B909" s="22" t="s">
        <v>1752</v>
      </c>
      <c r="C909" s="22" t="s">
        <v>1227</v>
      </c>
      <c r="D909" s="51" t="s">
        <v>1215</v>
      </c>
      <c r="E909" s="24" t="s">
        <v>1225</v>
      </c>
      <c r="F909" s="24"/>
      <c r="G909" s="24" t="s">
        <v>194</v>
      </c>
      <c r="H909" s="24" t="s">
        <v>62</v>
      </c>
      <c r="I909" s="24">
        <v>2014</v>
      </c>
      <c r="J909" s="24"/>
      <c r="K909" s="24" t="s">
        <v>63</v>
      </c>
      <c r="L909" s="24" t="s">
        <v>64</v>
      </c>
      <c r="M909" s="24">
        <v>2</v>
      </c>
      <c r="N909" s="41">
        <f t="shared" si="320"/>
        <v>11998800</v>
      </c>
      <c r="O909" s="41">
        <v>23997600</v>
      </c>
      <c r="P909" s="24"/>
      <c r="Q909" s="24"/>
      <c r="R909" s="24"/>
      <c r="S909" s="41">
        <f t="shared" si="325"/>
        <v>23997600</v>
      </c>
      <c r="T909" s="24">
        <v>5</v>
      </c>
      <c r="U909" s="41"/>
      <c r="V909" s="24">
        <v>0.5</v>
      </c>
      <c r="W909" s="41">
        <f t="shared" si="321"/>
        <v>0</v>
      </c>
      <c r="X909" s="24"/>
      <c r="Y909" s="41">
        <f t="shared" si="322"/>
        <v>0</v>
      </c>
      <c r="Z909" s="41">
        <f t="shared" si="323"/>
        <v>0</v>
      </c>
      <c r="AA909" s="24">
        <v>5</v>
      </c>
      <c r="AB909" s="41">
        <v>23997600</v>
      </c>
      <c r="AC909" s="41">
        <f t="shared" si="326"/>
        <v>0</v>
      </c>
      <c r="AD909" s="70" t="s">
        <v>208</v>
      </c>
      <c r="AE909" s="24"/>
      <c r="AG909" s="5"/>
    </row>
    <row r="910" spans="1:33" s="1" customFormat="1" x14ac:dyDescent="0.25">
      <c r="A910" s="49">
        <v>64</v>
      </c>
      <c r="B910" s="22" t="s">
        <v>1752</v>
      </c>
      <c r="C910" s="22" t="s">
        <v>1228</v>
      </c>
      <c r="D910" s="51" t="s">
        <v>1215</v>
      </c>
      <c r="E910" s="24" t="s">
        <v>1225</v>
      </c>
      <c r="F910" s="24"/>
      <c r="G910" s="24" t="s">
        <v>194</v>
      </c>
      <c r="H910" s="24" t="s">
        <v>62</v>
      </c>
      <c r="I910" s="24">
        <v>2014</v>
      </c>
      <c r="J910" s="24"/>
      <c r="K910" s="24" t="s">
        <v>63</v>
      </c>
      <c r="L910" s="24" t="s">
        <v>64</v>
      </c>
      <c r="M910" s="24">
        <v>11</v>
      </c>
      <c r="N910" s="41">
        <f t="shared" si="320"/>
        <v>11998800</v>
      </c>
      <c r="O910" s="41">
        <v>131986800</v>
      </c>
      <c r="P910" s="24"/>
      <c r="Q910" s="24"/>
      <c r="R910" s="24"/>
      <c r="S910" s="41">
        <f t="shared" si="325"/>
        <v>131986800</v>
      </c>
      <c r="T910" s="24">
        <v>5</v>
      </c>
      <c r="U910" s="41"/>
      <c r="V910" s="24">
        <v>0.5</v>
      </c>
      <c r="W910" s="41">
        <f t="shared" si="321"/>
        <v>0</v>
      </c>
      <c r="X910" s="24"/>
      <c r="Y910" s="41">
        <f t="shared" si="322"/>
        <v>0</v>
      </c>
      <c r="Z910" s="41">
        <f t="shared" si="323"/>
        <v>0</v>
      </c>
      <c r="AA910" s="24">
        <v>5</v>
      </c>
      <c r="AB910" s="41">
        <v>131986800</v>
      </c>
      <c r="AC910" s="41">
        <f t="shared" si="326"/>
        <v>0</v>
      </c>
      <c r="AD910" s="70" t="s">
        <v>250</v>
      </c>
      <c r="AE910" s="24"/>
      <c r="AG910" s="5"/>
    </row>
    <row r="911" spans="1:33" s="1" customFormat="1" x14ac:dyDescent="0.25">
      <c r="A911" s="49">
        <v>65</v>
      </c>
      <c r="B911" s="22" t="s">
        <v>1752</v>
      </c>
      <c r="C911" s="22" t="s">
        <v>435</v>
      </c>
      <c r="D911" s="51" t="s">
        <v>1215</v>
      </c>
      <c r="E911" s="24" t="s">
        <v>1187</v>
      </c>
      <c r="F911" s="24"/>
      <c r="G911" s="24" t="s">
        <v>194</v>
      </c>
      <c r="H911" s="24" t="s">
        <v>62</v>
      </c>
      <c r="I911" s="24">
        <v>2017</v>
      </c>
      <c r="J911" s="24"/>
      <c r="K911" s="24" t="s">
        <v>63</v>
      </c>
      <c r="L911" s="24" t="s">
        <v>64</v>
      </c>
      <c r="M911" s="24">
        <v>1</v>
      </c>
      <c r="N911" s="41">
        <f t="shared" si="320"/>
        <v>10593000</v>
      </c>
      <c r="O911" s="41">
        <v>10593000</v>
      </c>
      <c r="P911" s="24"/>
      <c r="Q911" s="24"/>
      <c r="R911" s="24"/>
      <c r="S911" s="41">
        <f t="shared" ref="S911:S924" si="330">SUM(O911-R911)</f>
        <v>10593000</v>
      </c>
      <c r="T911" s="24">
        <v>5</v>
      </c>
      <c r="U911" s="41"/>
      <c r="V911" s="24"/>
      <c r="W911" s="41"/>
      <c r="X911" s="24"/>
      <c r="Y911" s="41"/>
      <c r="Z911" s="41"/>
      <c r="AA911" s="72">
        <v>5</v>
      </c>
      <c r="AB911" s="41">
        <v>10593000</v>
      </c>
      <c r="AC911" s="41">
        <f t="shared" ref="AC911:AC924" si="331">SUM(O911-AB911)</f>
        <v>0</v>
      </c>
      <c r="AD911" s="70" t="s">
        <v>434</v>
      </c>
      <c r="AE911" s="24"/>
      <c r="AG911" s="5"/>
    </row>
    <row r="912" spans="1:33" s="1" customFormat="1" x14ac:dyDescent="0.25">
      <c r="A912" s="49">
        <v>66</v>
      </c>
      <c r="B912" s="22" t="s">
        <v>1752</v>
      </c>
      <c r="C912" s="22" t="s">
        <v>436</v>
      </c>
      <c r="D912" s="51" t="s">
        <v>1215</v>
      </c>
      <c r="E912" s="24" t="s">
        <v>1187</v>
      </c>
      <c r="F912" s="24"/>
      <c r="G912" s="24" t="s">
        <v>194</v>
      </c>
      <c r="H912" s="24" t="s">
        <v>62</v>
      </c>
      <c r="I912" s="24">
        <v>2017</v>
      </c>
      <c r="J912" s="24"/>
      <c r="K912" s="24" t="s">
        <v>63</v>
      </c>
      <c r="L912" s="24" t="s">
        <v>64</v>
      </c>
      <c r="M912" s="24">
        <v>1</v>
      </c>
      <c r="N912" s="41">
        <f t="shared" si="320"/>
        <v>10593000</v>
      </c>
      <c r="O912" s="41">
        <v>10593000</v>
      </c>
      <c r="P912" s="24"/>
      <c r="Q912" s="24"/>
      <c r="R912" s="24"/>
      <c r="S912" s="41">
        <f t="shared" si="330"/>
        <v>10593000</v>
      </c>
      <c r="T912" s="24">
        <v>5</v>
      </c>
      <c r="U912" s="41"/>
      <c r="V912" s="24"/>
      <c r="W912" s="41"/>
      <c r="X912" s="24"/>
      <c r="Y912" s="41"/>
      <c r="Z912" s="41"/>
      <c r="AA912" s="72">
        <v>5</v>
      </c>
      <c r="AB912" s="41">
        <v>10593000</v>
      </c>
      <c r="AC912" s="41">
        <f t="shared" si="331"/>
        <v>0</v>
      </c>
      <c r="AD912" s="70" t="s">
        <v>439</v>
      </c>
      <c r="AE912" s="24"/>
      <c r="AG912" s="5"/>
    </row>
    <row r="913" spans="1:33" s="1" customFormat="1" x14ac:dyDescent="0.25">
      <c r="A913" s="49">
        <v>67</v>
      </c>
      <c r="B913" s="22" t="s">
        <v>1752</v>
      </c>
      <c r="C913" s="22" t="s">
        <v>437</v>
      </c>
      <c r="D913" s="51" t="s">
        <v>1215</v>
      </c>
      <c r="E913" s="24" t="s">
        <v>1187</v>
      </c>
      <c r="F913" s="24"/>
      <c r="G913" s="24" t="s">
        <v>194</v>
      </c>
      <c r="H913" s="24" t="s">
        <v>62</v>
      </c>
      <c r="I913" s="24">
        <v>2017</v>
      </c>
      <c r="J913" s="24"/>
      <c r="K913" s="24" t="s">
        <v>63</v>
      </c>
      <c r="L913" s="24" t="s">
        <v>64</v>
      </c>
      <c r="M913" s="24">
        <v>1</v>
      </c>
      <c r="N913" s="41">
        <f t="shared" si="320"/>
        <v>10593000</v>
      </c>
      <c r="O913" s="41">
        <v>10593000</v>
      </c>
      <c r="P913" s="24"/>
      <c r="Q913" s="24"/>
      <c r="R913" s="24"/>
      <c r="S913" s="41">
        <f t="shared" si="330"/>
        <v>10593000</v>
      </c>
      <c r="T913" s="24">
        <v>5</v>
      </c>
      <c r="U913" s="41"/>
      <c r="V913" s="24"/>
      <c r="W913" s="41"/>
      <c r="X913" s="24"/>
      <c r="Y913" s="41"/>
      <c r="Z913" s="41"/>
      <c r="AA913" s="72">
        <v>5</v>
      </c>
      <c r="AB913" s="41">
        <v>10593000</v>
      </c>
      <c r="AC913" s="41">
        <f t="shared" si="331"/>
        <v>0</v>
      </c>
      <c r="AD913" s="70" t="s">
        <v>326</v>
      </c>
      <c r="AE913" s="24"/>
      <c r="AG913" s="5"/>
    </row>
    <row r="914" spans="1:33" s="1" customFormat="1" x14ac:dyDescent="0.25">
      <c r="A914" s="49">
        <v>68</v>
      </c>
      <c r="B914" s="22" t="s">
        <v>1752</v>
      </c>
      <c r="C914" s="22" t="s">
        <v>438</v>
      </c>
      <c r="D914" s="51" t="s">
        <v>1215</v>
      </c>
      <c r="E914" s="24" t="s">
        <v>1187</v>
      </c>
      <c r="F914" s="24"/>
      <c r="G914" s="24" t="s">
        <v>194</v>
      </c>
      <c r="H914" s="24" t="s">
        <v>62</v>
      </c>
      <c r="I914" s="24">
        <v>2017</v>
      </c>
      <c r="J914" s="24"/>
      <c r="K914" s="24" t="s">
        <v>63</v>
      </c>
      <c r="L914" s="24" t="s">
        <v>64</v>
      </c>
      <c r="M914" s="24">
        <v>1</v>
      </c>
      <c r="N914" s="41">
        <f t="shared" si="320"/>
        <v>10593000</v>
      </c>
      <c r="O914" s="41">
        <v>10593000</v>
      </c>
      <c r="P914" s="24"/>
      <c r="Q914" s="24"/>
      <c r="R914" s="24"/>
      <c r="S914" s="41">
        <f t="shared" si="330"/>
        <v>10593000</v>
      </c>
      <c r="T914" s="24">
        <v>5</v>
      </c>
      <c r="U914" s="41"/>
      <c r="V914" s="24"/>
      <c r="W914" s="41"/>
      <c r="X914" s="24"/>
      <c r="Y914" s="41"/>
      <c r="Z914" s="41"/>
      <c r="AA914" s="72">
        <v>5</v>
      </c>
      <c r="AB914" s="41">
        <v>10593000</v>
      </c>
      <c r="AC914" s="41">
        <f t="shared" si="331"/>
        <v>0</v>
      </c>
      <c r="AD914" s="70" t="s">
        <v>324</v>
      </c>
      <c r="AE914" s="24"/>
      <c r="AG914" s="5"/>
    </row>
    <row r="915" spans="1:33" s="1" customFormat="1" x14ac:dyDescent="0.25">
      <c r="A915" s="49">
        <v>69</v>
      </c>
      <c r="B915" s="22" t="s">
        <v>1752</v>
      </c>
      <c r="C915" s="22" t="s">
        <v>1229</v>
      </c>
      <c r="D915" s="51" t="s">
        <v>1215</v>
      </c>
      <c r="E915" s="24" t="s">
        <v>1230</v>
      </c>
      <c r="F915" s="24"/>
      <c r="G915" s="24" t="s">
        <v>194</v>
      </c>
      <c r="H915" s="24" t="s">
        <v>62</v>
      </c>
      <c r="I915" s="24">
        <v>2017</v>
      </c>
      <c r="J915" s="24"/>
      <c r="K915" s="24" t="s">
        <v>63</v>
      </c>
      <c r="L915" s="24" t="s">
        <v>64</v>
      </c>
      <c r="M915" s="24">
        <v>2</v>
      </c>
      <c r="N915" s="41">
        <f t="shared" si="320"/>
        <v>10780000</v>
      </c>
      <c r="O915" s="41">
        <v>21560000</v>
      </c>
      <c r="P915" s="24"/>
      <c r="Q915" s="24"/>
      <c r="R915" s="24"/>
      <c r="S915" s="41">
        <f t="shared" si="330"/>
        <v>21560000</v>
      </c>
      <c r="T915" s="24">
        <v>5</v>
      </c>
      <c r="U915" s="41"/>
      <c r="V915" s="24"/>
      <c r="W915" s="41"/>
      <c r="X915" s="24"/>
      <c r="Y915" s="41"/>
      <c r="Z915" s="41"/>
      <c r="AA915" s="72">
        <v>5</v>
      </c>
      <c r="AB915" s="41">
        <v>21560000</v>
      </c>
      <c r="AC915" s="41">
        <f t="shared" si="331"/>
        <v>0</v>
      </c>
      <c r="AD915" s="70" t="s">
        <v>213</v>
      </c>
      <c r="AE915" s="24"/>
      <c r="AG915" s="5"/>
    </row>
    <row r="916" spans="1:33" s="1" customFormat="1" x14ac:dyDescent="0.25">
      <c r="A916" s="49">
        <v>70</v>
      </c>
      <c r="B916" s="22" t="s">
        <v>1752</v>
      </c>
      <c r="C916" s="22" t="s">
        <v>442</v>
      </c>
      <c r="D916" s="51" t="s">
        <v>1215</v>
      </c>
      <c r="E916" s="24" t="s">
        <v>1230</v>
      </c>
      <c r="F916" s="24"/>
      <c r="G916" s="24" t="s">
        <v>194</v>
      </c>
      <c r="H916" s="24" t="s">
        <v>62</v>
      </c>
      <c r="I916" s="24">
        <v>2017</v>
      </c>
      <c r="J916" s="24"/>
      <c r="K916" s="24" t="s">
        <v>63</v>
      </c>
      <c r="L916" s="24" t="s">
        <v>64</v>
      </c>
      <c r="M916" s="24">
        <v>1</v>
      </c>
      <c r="N916" s="41">
        <f t="shared" si="320"/>
        <v>10780000</v>
      </c>
      <c r="O916" s="41">
        <v>10780000</v>
      </c>
      <c r="P916" s="24"/>
      <c r="Q916" s="24"/>
      <c r="R916" s="24"/>
      <c r="S916" s="41">
        <f t="shared" si="330"/>
        <v>10780000</v>
      </c>
      <c r="T916" s="24">
        <v>5</v>
      </c>
      <c r="U916" s="41"/>
      <c r="V916" s="24"/>
      <c r="W916" s="41"/>
      <c r="X916" s="24"/>
      <c r="Y916" s="41"/>
      <c r="Z916" s="41"/>
      <c r="AA916" s="72">
        <v>5</v>
      </c>
      <c r="AB916" s="41">
        <v>10780000</v>
      </c>
      <c r="AC916" s="41">
        <f t="shared" si="331"/>
        <v>0</v>
      </c>
      <c r="AD916" s="70" t="s">
        <v>276</v>
      </c>
      <c r="AE916" s="24"/>
      <c r="AG916" s="5"/>
    </row>
    <row r="917" spans="1:33" s="1" customFormat="1" x14ac:dyDescent="0.25">
      <c r="A917" s="49">
        <v>71</v>
      </c>
      <c r="B917" s="22" t="s">
        <v>1752</v>
      </c>
      <c r="C917" s="22" t="s">
        <v>443</v>
      </c>
      <c r="D917" s="51" t="s">
        <v>1215</v>
      </c>
      <c r="E917" s="24" t="s">
        <v>1230</v>
      </c>
      <c r="F917" s="24"/>
      <c r="G917" s="24" t="s">
        <v>194</v>
      </c>
      <c r="H917" s="24" t="s">
        <v>62</v>
      </c>
      <c r="I917" s="24">
        <v>2017</v>
      </c>
      <c r="J917" s="24"/>
      <c r="K917" s="24" t="s">
        <v>63</v>
      </c>
      <c r="L917" s="24" t="s">
        <v>64</v>
      </c>
      <c r="M917" s="24">
        <v>1</v>
      </c>
      <c r="N917" s="41">
        <f t="shared" si="320"/>
        <v>10780000</v>
      </c>
      <c r="O917" s="41">
        <v>10780000</v>
      </c>
      <c r="P917" s="24"/>
      <c r="Q917" s="24"/>
      <c r="R917" s="24"/>
      <c r="S917" s="41">
        <f t="shared" si="330"/>
        <v>10780000</v>
      </c>
      <c r="T917" s="24">
        <v>5</v>
      </c>
      <c r="U917" s="41"/>
      <c r="V917" s="24"/>
      <c r="W917" s="41"/>
      <c r="X917" s="24"/>
      <c r="Y917" s="41"/>
      <c r="Z917" s="41"/>
      <c r="AA917" s="72">
        <v>5</v>
      </c>
      <c r="AB917" s="41">
        <v>10780000</v>
      </c>
      <c r="AC917" s="41">
        <f t="shared" si="331"/>
        <v>0</v>
      </c>
      <c r="AD917" s="70" t="s">
        <v>226</v>
      </c>
      <c r="AE917" s="24"/>
      <c r="AG917" s="5"/>
    </row>
    <row r="918" spans="1:33" s="1" customFormat="1" x14ac:dyDescent="0.25">
      <c r="A918" s="49">
        <v>72</v>
      </c>
      <c r="B918" s="22" t="s">
        <v>1752</v>
      </c>
      <c r="C918" s="22" t="s">
        <v>1231</v>
      </c>
      <c r="D918" s="51" t="s">
        <v>1215</v>
      </c>
      <c r="E918" s="24" t="s">
        <v>1232</v>
      </c>
      <c r="F918" s="24"/>
      <c r="G918" s="24" t="s">
        <v>194</v>
      </c>
      <c r="H918" s="24" t="s">
        <v>62</v>
      </c>
      <c r="I918" s="24">
        <v>2018</v>
      </c>
      <c r="J918" s="24"/>
      <c r="K918" s="24" t="s">
        <v>63</v>
      </c>
      <c r="L918" s="24" t="s">
        <v>64</v>
      </c>
      <c r="M918" s="24">
        <v>16</v>
      </c>
      <c r="N918" s="41">
        <f t="shared" si="320"/>
        <v>8900480</v>
      </c>
      <c r="O918" s="41">
        <v>142407680</v>
      </c>
      <c r="P918" s="24"/>
      <c r="Q918" s="24"/>
      <c r="R918" s="24"/>
      <c r="S918" s="41">
        <f t="shared" si="330"/>
        <v>142407680</v>
      </c>
      <c r="T918" s="24">
        <v>5</v>
      </c>
      <c r="U918" s="41">
        <f t="shared" ref="U918:U923" si="332">SUM(S918/T918)</f>
        <v>28481536</v>
      </c>
      <c r="V918" s="24">
        <v>0.5</v>
      </c>
      <c r="W918" s="41">
        <f t="shared" si="321"/>
        <v>14240768</v>
      </c>
      <c r="X918" s="24"/>
      <c r="Y918" s="41">
        <f t="shared" si="322"/>
        <v>0</v>
      </c>
      <c r="Z918" s="41">
        <f t="shared" si="323"/>
        <v>14240768</v>
      </c>
      <c r="AA918" s="72">
        <f>2023-I918+V918+X918-8/12</f>
        <v>4.833333333333333</v>
      </c>
      <c r="AB918" s="41">
        <f t="shared" ref="AB918:AB920" si="333">SUM(U918*AA918)</f>
        <v>137660757.33333331</v>
      </c>
      <c r="AC918" s="41">
        <f t="shared" si="331"/>
        <v>4746922.6666666865</v>
      </c>
      <c r="AD918" s="70" t="s">
        <v>213</v>
      </c>
      <c r="AE918" s="24"/>
      <c r="AG918" s="5"/>
    </row>
    <row r="919" spans="1:33" s="1" customFormat="1" x14ac:dyDescent="0.25">
      <c r="A919" s="49">
        <v>73</v>
      </c>
      <c r="B919" s="22" t="s">
        <v>1752</v>
      </c>
      <c r="C919" s="73" t="s">
        <v>1233</v>
      </c>
      <c r="D919" s="51" t="s">
        <v>1215</v>
      </c>
      <c r="E919" s="52" t="s">
        <v>1234</v>
      </c>
      <c r="F919" s="52"/>
      <c r="G919" s="52" t="s">
        <v>194</v>
      </c>
      <c r="H919" s="52" t="s">
        <v>62</v>
      </c>
      <c r="I919" s="52">
        <v>2019</v>
      </c>
      <c r="J919" s="52"/>
      <c r="K919" s="52" t="s">
        <v>63</v>
      </c>
      <c r="L919" s="52" t="s">
        <v>64</v>
      </c>
      <c r="M919" s="52">
        <v>1</v>
      </c>
      <c r="N919" s="53">
        <v>14960000</v>
      </c>
      <c r="O919" s="53">
        <v>14960000</v>
      </c>
      <c r="P919" s="52"/>
      <c r="Q919" s="52"/>
      <c r="R919" s="52"/>
      <c r="S919" s="53">
        <f t="shared" si="330"/>
        <v>14960000</v>
      </c>
      <c r="T919" s="52">
        <v>5</v>
      </c>
      <c r="U919" s="53">
        <f t="shared" si="332"/>
        <v>2992000</v>
      </c>
      <c r="V919" s="52">
        <v>0.5</v>
      </c>
      <c r="W919" s="53">
        <f t="shared" si="321"/>
        <v>1496000</v>
      </c>
      <c r="X919" s="24"/>
      <c r="Y919" s="53">
        <f t="shared" si="322"/>
        <v>0</v>
      </c>
      <c r="Z919" s="53">
        <f t="shared" si="323"/>
        <v>1496000</v>
      </c>
      <c r="AA919" s="72">
        <f>2023-I919+V919+X919-8/12</f>
        <v>3.8333333333333335</v>
      </c>
      <c r="AB919" s="53">
        <f t="shared" si="333"/>
        <v>11469333.333333334</v>
      </c>
      <c r="AC919" s="53">
        <f t="shared" si="331"/>
        <v>3490666.666666666</v>
      </c>
      <c r="AD919" s="56" t="s">
        <v>331</v>
      </c>
      <c r="AE919" s="52"/>
      <c r="AG919" s="5"/>
    </row>
    <row r="920" spans="1:33" s="1" customFormat="1" x14ac:dyDescent="0.25">
      <c r="A920" s="49">
        <v>74</v>
      </c>
      <c r="B920" s="50" t="s">
        <v>1752</v>
      </c>
      <c r="C920" s="73" t="s">
        <v>1235</v>
      </c>
      <c r="D920" s="51" t="s">
        <v>1215</v>
      </c>
      <c r="E920" s="52"/>
      <c r="F920" s="52"/>
      <c r="G920" s="52" t="s">
        <v>194</v>
      </c>
      <c r="H920" s="52" t="s">
        <v>62</v>
      </c>
      <c r="I920" s="52">
        <v>2020</v>
      </c>
      <c r="J920" s="52"/>
      <c r="K920" s="52" t="s">
        <v>63</v>
      </c>
      <c r="L920" s="52" t="s">
        <v>64</v>
      </c>
      <c r="M920" s="52">
        <v>5</v>
      </c>
      <c r="N920" s="53">
        <f>SUM(O920/M920)</f>
        <v>13077000</v>
      </c>
      <c r="O920" s="53">
        <v>65385000</v>
      </c>
      <c r="P920" s="52"/>
      <c r="Q920" s="52"/>
      <c r="R920" s="52"/>
      <c r="S920" s="53">
        <f t="shared" si="330"/>
        <v>65385000</v>
      </c>
      <c r="T920" s="52">
        <v>5</v>
      </c>
      <c r="U920" s="53">
        <f t="shared" si="332"/>
        <v>13077000</v>
      </c>
      <c r="V920" s="52">
        <v>0.5</v>
      </c>
      <c r="W920" s="53">
        <f t="shared" si="321"/>
        <v>6538500</v>
      </c>
      <c r="X920" s="54"/>
      <c r="Y920" s="53">
        <f t="shared" si="322"/>
        <v>0</v>
      </c>
      <c r="Z920" s="53">
        <f t="shared" si="323"/>
        <v>6538500</v>
      </c>
      <c r="AA920" s="72">
        <f>2023-I920+V920+X920-11/12</f>
        <v>2.5833333333333335</v>
      </c>
      <c r="AB920" s="53">
        <f t="shared" si="333"/>
        <v>33782250</v>
      </c>
      <c r="AC920" s="53">
        <f t="shared" si="331"/>
        <v>31602750</v>
      </c>
      <c r="AD920" s="56" t="s">
        <v>213</v>
      </c>
      <c r="AE920" s="52"/>
      <c r="AG920" s="5"/>
    </row>
    <row r="921" spans="1:33" s="1" customFormat="1" x14ac:dyDescent="0.25">
      <c r="A921" s="49">
        <v>75</v>
      </c>
      <c r="B921" s="50" t="s">
        <v>1752</v>
      </c>
      <c r="C921" s="73" t="s">
        <v>58</v>
      </c>
      <c r="D921" s="51" t="s">
        <v>1236</v>
      </c>
      <c r="E921" s="52" t="s">
        <v>1210</v>
      </c>
      <c r="F921" s="52"/>
      <c r="G921" s="52" t="s">
        <v>194</v>
      </c>
      <c r="H921" s="52" t="s">
        <v>62</v>
      </c>
      <c r="I921" s="52">
        <v>2021</v>
      </c>
      <c r="J921" s="52"/>
      <c r="K921" s="52" t="s">
        <v>63</v>
      </c>
      <c r="L921" s="52" t="s">
        <v>64</v>
      </c>
      <c r="M921" s="52">
        <v>1</v>
      </c>
      <c r="N921" s="53">
        <f>SUM(O921/M921)</f>
        <v>9945000</v>
      </c>
      <c r="O921" s="53">
        <v>9945000</v>
      </c>
      <c r="P921" s="52"/>
      <c r="Q921" s="52"/>
      <c r="R921" s="52"/>
      <c r="S921" s="53">
        <f t="shared" si="330"/>
        <v>9945000</v>
      </c>
      <c r="T921" s="52">
        <v>5</v>
      </c>
      <c r="U921" s="53">
        <f t="shared" si="332"/>
        <v>1989000</v>
      </c>
      <c r="V921" s="52">
        <v>0.5</v>
      </c>
      <c r="W921" s="53">
        <f t="shared" si="321"/>
        <v>994500</v>
      </c>
      <c r="X921" s="57"/>
      <c r="Y921" s="53">
        <f t="shared" ref="Y921:Y923" si="334">SUM(U921*X921)</f>
        <v>0</v>
      </c>
      <c r="Z921" s="53">
        <f t="shared" ref="Z921:Z923" si="335">SUM(W921+Y921)</f>
        <v>994500</v>
      </c>
      <c r="AA921" s="57">
        <f>1/12+0.5+0.5+0.5</f>
        <v>1.5833333333333335</v>
      </c>
      <c r="AB921" s="53">
        <f t="shared" ref="AB921:AB923" si="336">SUM(U921*AA921)</f>
        <v>3149250.0000000005</v>
      </c>
      <c r="AC921" s="53">
        <f t="shared" si="331"/>
        <v>6795750</v>
      </c>
      <c r="AD921" s="56"/>
      <c r="AE921" s="52"/>
      <c r="AG921" s="5"/>
    </row>
    <row r="922" spans="1:33" s="1" customFormat="1" x14ac:dyDescent="0.25">
      <c r="A922" s="49">
        <v>76</v>
      </c>
      <c r="B922" s="50" t="s">
        <v>1752</v>
      </c>
      <c r="C922" s="73" t="s">
        <v>75</v>
      </c>
      <c r="D922" s="51" t="s">
        <v>1236</v>
      </c>
      <c r="E922" s="52" t="s">
        <v>1210</v>
      </c>
      <c r="F922" s="52"/>
      <c r="G922" s="52" t="s">
        <v>194</v>
      </c>
      <c r="H922" s="52" t="s">
        <v>62</v>
      </c>
      <c r="I922" s="52">
        <v>2022</v>
      </c>
      <c r="J922" s="52"/>
      <c r="K922" s="52" t="s">
        <v>63</v>
      </c>
      <c r="L922" s="52" t="s">
        <v>64</v>
      </c>
      <c r="M922" s="52">
        <v>1</v>
      </c>
      <c r="N922" s="53">
        <f t="shared" ref="N922:N924" si="337">SUM(O922/M922)</f>
        <v>11920115</v>
      </c>
      <c r="O922" s="53">
        <v>11920115</v>
      </c>
      <c r="P922" s="52"/>
      <c r="Q922" s="52"/>
      <c r="R922" s="52"/>
      <c r="S922" s="53">
        <f t="shared" si="330"/>
        <v>11920115</v>
      </c>
      <c r="T922" s="52">
        <v>5</v>
      </c>
      <c r="U922" s="53">
        <f t="shared" si="332"/>
        <v>2384023</v>
      </c>
      <c r="V922" s="52">
        <v>0.5</v>
      </c>
      <c r="W922" s="53">
        <f t="shared" si="321"/>
        <v>1192011.5</v>
      </c>
      <c r="X922" s="57"/>
      <c r="Y922" s="53">
        <f t="shared" si="334"/>
        <v>0</v>
      </c>
      <c r="Z922" s="53">
        <f t="shared" si="335"/>
        <v>1192011.5</v>
      </c>
      <c r="AA922" s="57">
        <f>1/12+0.5</f>
        <v>0.58333333333333337</v>
      </c>
      <c r="AB922" s="53">
        <f t="shared" si="336"/>
        <v>1390680.0833333335</v>
      </c>
      <c r="AC922" s="53">
        <f t="shared" si="331"/>
        <v>10529434.916666666</v>
      </c>
      <c r="AD922" s="56"/>
      <c r="AE922" s="52"/>
      <c r="AG922" s="5"/>
    </row>
    <row r="923" spans="1:33" s="1" customFormat="1" x14ac:dyDescent="0.25">
      <c r="A923" s="49">
        <v>77</v>
      </c>
      <c r="B923" s="50" t="s">
        <v>1752</v>
      </c>
      <c r="C923" s="73" t="s">
        <v>79</v>
      </c>
      <c r="D923" s="51" t="s">
        <v>1236</v>
      </c>
      <c r="E923" s="52" t="s">
        <v>1210</v>
      </c>
      <c r="F923" s="52"/>
      <c r="G923" s="52" t="s">
        <v>194</v>
      </c>
      <c r="H923" s="52" t="s">
        <v>62</v>
      </c>
      <c r="I923" s="52">
        <v>2022</v>
      </c>
      <c r="J923" s="52"/>
      <c r="K923" s="52" t="s">
        <v>63</v>
      </c>
      <c r="L923" s="52" t="s">
        <v>64</v>
      </c>
      <c r="M923" s="52">
        <v>1</v>
      </c>
      <c r="N923" s="53">
        <f t="shared" si="337"/>
        <v>11920115</v>
      </c>
      <c r="O923" s="53">
        <v>11920115</v>
      </c>
      <c r="P923" s="52"/>
      <c r="Q923" s="52"/>
      <c r="R923" s="52"/>
      <c r="S923" s="53">
        <f t="shared" si="330"/>
        <v>11920115</v>
      </c>
      <c r="T923" s="52">
        <v>5</v>
      </c>
      <c r="U923" s="53">
        <f t="shared" si="332"/>
        <v>2384023</v>
      </c>
      <c r="V923" s="52">
        <v>0.5</v>
      </c>
      <c r="W923" s="53">
        <f t="shared" ref="W923:W924" si="338">SUM(U923*V923)</f>
        <v>1192011.5</v>
      </c>
      <c r="X923" s="57"/>
      <c r="Y923" s="53">
        <f t="shared" si="334"/>
        <v>0</v>
      </c>
      <c r="Z923" s="53">
        <f t="shared" si="335"/>
        <v>1192011.5</v>
      </c>
      <c r="AA923" s="57">
        <f>1/12+0.5</f>
        <v>0.58333333333333337</v>
      </c>
      <c r="AB923" s="53">
        <f t="shared" si="336"/>
        <v>1390680.0833333335</v>
      </c>
      <c r="AC923" s="53">
        <f t="shared" si="331"/>
        <v>10529434.916666666</v>
      </c>
      <c r="AD923" s="56"/>
      <c r="AE923" s="52"/>
      <c r="AG923" s="5"/>
    </row>
    <row r="924" spans="1:33" s="1" customFormat="1" x14ac:dyDescent="0.25">
      <c r="A924" s="49">
        <v>82</v>
      </c>
      <c r="B924" s="22" t="s">
        <v>1753</v>
      </c>
      <c r="C924" s="22" t="s">
        <v>58</v>
      </c>
      <c r="D924" s="65" t="s">
        <v>463</v>
      </c>
      <c r="E924" s="24"/>
      <c r="F924" s="24"/>
      <c r="G924" s="24" t="s">
        <v>260</v>
      </c>
      <c r="H924" s="24" t="s">
        <v>62</v>
      </c>
      <c r="I924" s="24">
        <v>2018</v>
      </c>
      <c r="J924" s="24"/>
      <c r="K924" s="24" t="s">
        <v>261</v>
      </c>
      <c r="L924" s="24" t="s">
        <v>64</v>
      </c>
      <c r="M924" s="24">
        <v>1</v>
      </c>
      <c r="N924" s="41">
        <f t="shared" si="337"/>
        <v>139756100</v>
      </c>
      <c r="O924" s="41">
        <v>139756100</v>
      </c>
      <c r="P924" s="24"/>
      <c r="Q924" s="24"/>
      <c r="R924" s="24"/>
      <c r="S924" s="41">
        <f t="shared" si="330"/>
        <v>139756100</v>
      </c>
      <c r="T924" s="24">
        <v>40</v>
      </c>
      <c r="U924" s="41">
        <f>SUM(S924/T924)</f>
        <v>3493902.5</v>
      </c>
      <c r="V924" s="24">
        <v>0.5</v>
      </c>
      <c r="W924" s="41">
        <f t="shared" si="338"/>
        <v>1746951.25</v>
      </c>
      <c r="X924" s="24"/>
      <c r="Y924" s="24">
        <f t="shared" ref="Y924" si="339">SUM(U924*X924)</f>
        <v>0</v>
      </c>
      <c r="Z924" s="41">
        <f t="shared" ref="Z924" si="340">SUM(W924+Y924)</f>
        <v>1746951.25</v>
      </c>
      <c r="AA924" s="24">
        <f>2023-I924+V924+X924-9/12</f>
        <v>4.75</v>
      </c>
      <c r="AB924" s="41">
        <f>SUM(U924*AA924)</f>
        <v>16596036.875</v>
      </c>
      <c r="AC924" s="24">
        <f t="shared" si="331"/>
        <v>123160063.125</v>
      </c>
      <c r="AD924" s="24"/>
      <c r="AE924" s="24"/>
      <c r="AG924" s="5"/>
    </row>
    <row r="925" spans="1:33" s="1" customFormat="1" x14ac:dyDescent="0.25">
      <c r="A925" s="49"/>
      <c r="B925" s="22"/>
      <c r="C925" s="22"/>
      <c r="D925" s="65"/>
      <c r="E925" s="24"/>
      <c r="F925" s="24"/>
      <c r="G925" s="24"/>
      <c r="H925" s="24"/>
      <c r="I925" s="24"/>
      <c r="J925" s="24"/>
      <c r="K925" s="24"/>
      <c r="L925" s="24"/>
      <c r="M925" s="24"/>
      <c r="N925" s="41"/>
      <c r="O925" s="41"/>
      <c r="P925" s="24"/>
      <c r="Q925" s="24"/>
      <c r="R925" s="24"/>
      <c r="S925" s="41"/>
      <c r="T925" s="24"/>
      <c r="U925" s="41"/>
      <c r="V925" s="24"/>
      <c r="W925" s="41"/>
      <c r="X925" s="24"/>
      <c r="Y925" s="24"/>
      <c r="Z925" s="41"/>
      <c r="AA925" s="24"/>
      <c r="AB925" s="41"/>
      <c r="AC925" s="24"/>
      <c r="AD925" s="24"/>
      <c r="AE925" s="24"/>
      <c r="AG925" s="5"/>
    </row>
    <row r="926" spans="1:33" s="1" customFormat="1" x14ac:dyDescent="0.25">
      <c r="A926" s="25"/>
      <c r="B926" s="26" t="s">
        <v>3717</v>
      </c>
      <c r="C926" s="26"/>
      <c r="D926" s="64" t="s">
        <v>3718</v>
      </c>
      <c r="E926" s="28"/>
      <c r="F926" s="28"/>
      <c r="G926" s="28"/>
      <c r="H926" s="28"/>
      <c r="I926" s="28"/>
      <c r="J926" s="28"/>
      <c r="K926" s="28"/>
      <c r="L926" s="28"/>
      <c r="M926" s="401">
        <f>SUM(M927:M932)</f>
        <v>6</v>
      </c>
      <c r="N926" s="40">
        <f>SUM(N927:N932)</f>
        <v>82556000</v>
      </c>
      <c r="O926" s="40">
        <f>SUM(O927:O932)</f>
        <v>82556000</v>
      </c>
      <c r="P926" s="28"/>
      <c r="Q926" s="28"/>
      <c r="R926" s="28"/>
      <c r="S926" s="40">
        <f>SUM(S927:S932)</f>
        <v>82556000</v>
      </c>
      <c r="T926" s="28"/>
      <c r="U926" s="40">
        <f>SUM(U927:U932)</f>
        <v>16511200</v>
      </c>
      <c r="V926" s="28"/>
      <c r="W926" s="40">
        <f>SUM(W927:W932)</f>
        <v>1375933.333333333</v>
      </c>
      <c r="X926" s="28"/>
      <c r="Y926" s="28"/>
      <c r="Z926" s="40">
        <f>SUM(Z927:Z932)</f>
        <v>1375933.333333333</v>
      </c>
      <c r="AA926" s="28"/>
      <c r="AB926" s="40">
        <f>SUM(AB927:AB932)</f>
        <v>1375933.333333333</v>
      </c>
      <c r="AC926" s="40">
        <f>SUM(AC927:AC932)</f>
        <v>81180066.666666657</v>
      </c>
      <c r="AD926" s="28"/>
      <c r="AE926" s="28"/>
      <c r="AG926" s="5"/>
    </row>
    <row r="927" spans="1:33" s="1" customFormat="1" x14ac:dyDescent="0.25">
      <c r="A927" s="49"/>
      <c r="B927" s="403" t="s">
        <v>1752</v>
      </c>
      <c r="C927" s="403" t="s">
        <v>84</v>
      </c>
      <c r="D927" s="404" t="s">
        <v>1236</v>
      </c>
      <c r="E927" s="311" t="s">
        <v>3704</v>
      </c>
      <c r="F927" s="311"/>
      <c r="G927" s="311" t="s">
        <v>194</v>
      </c>
      <c r="H927" s="311" t="s">
        <v>62</v>
      </c>
      <c r="I927" s="407">
        <v>2023</v>
      </c>
      <c r="J927" s="311"/>
      <c r="K927" s="311" t="s">
        <v>63</v>
      </c>
      <c r="L927" s="311" t="s">
        <v>64</v>
      </c>
      <c r="M927" s="405">
        <v>1</v>
      </c>
      <c r="N927" s="311">
        <f t="shared" ref="N927:N930" si="341">SUM(O927/M927)</f>
        <v>12000000</v>
      </c>
      <c r="O927" s="311">
        <v>12000000</v>
      </c>
      <c r="P927" s="311"/>
      <c r="Q927" s="311"/>
      <c r="R927" s="311"/>
      <c r="S927" s="311">
        <f t="shared" ref="S927:S930" si="342">SUM(O927-R927)</f>
        <v>12000000</v>
      </c>
      <c r="T927" s="405">
        <v>5</v>
      </c>
      <c r="U927" s="311">
        <f t="shared" ref="U927:U930" si="343">SUM(S927/T927)</f>
        <v>2400000</v>
      </c>
      <c r="V927" s="311">
        <f t="shared" ref="V927:V930" si="344">1/12</f>
        <v>8.3333333333333329E-2</v>
      </c>
      <c r="W927" s="311">
        <f t="shared" ref="W927:W930" si="345">SUM(U927*V927)</f>
        <v>200000</v>
      </c>
      <c r="X927" s="311"/>
      <c r="Y927" s="311"/>
      <c r="Z927" s="311">
        <f t="shared" ref="Z927:Z930" si="346">SUM(W927+Y927)</f>
        <v>200000</v>
      </c>
      <c r="AA927" s="311">
        <f t="shared" ref="AA927:AA930" si="347">1/12</f>
        <v>8.3333333333333329E-2</v>
      </c>
      <c r="AB927" s="311">
        <f t="shared" ref="AB927:AB930" si="348">SUM(U927*AA927)</f>
        <v>200000</v>
      </c>
      <c r="AC927" s="311">
        <f t="shared" ref="AC927:AC930" si="349">SUM(O927-AB927)</f>
        <v>11800000</v>
      </c>
      <c r="AD927" s="24"/>
      <c r="AE927" s="24"/>
      <c r="AG927" s="5"/>
    </row>
    <row r="928" spans="1:33" s="1" customFormat="1" x14ac:dyDescent="0.25">
      <c r="A928" s="49"/>
      <c r="B928" s="403" t="s">
        <v>1752</v>
      </c>
      <c r="C928" s="403" t="s">
        <v>88</v>
      </c>
      <c r="D928" s="404" t="s">
        <v>1236</v>
      </c>
      <c r="E928" s="311" t="s">
        <v>3704</v>
      </c>
      <c r="F928" s="311"/>
      <c r="G928" s="311" t="s">
        <v>194</v>
      </c>
      <c r="H928" s="311" t="s">
        <v>62</v>
      </c>
      <c r="I928" s="407">
        <v>2023</v>
      </c>
      <c r="J928" s="311"/>
      <c r="K928" s="311" t="s">
        <v>63</v>
      </c>
      <c r="L928" s="311" t="s">
        <v>64</v>
      </c>
      <c r="M928" s="405">
        <v>1</v>
      </c>
      <c r="N928" s="311">
        <f t="shared" si="341"/>
        <v>12000000</v>
      </c>
      <c r="O928" s="311">
        <v>12000000</v>
      </c>
      <c r="P928" s="311"/>
      <c r="Q928" s="311"/>
      <c r="R928" s="311"/>
      <c r="S928" s="311">
        <f t="shared" si="342"/>
        <v>12000000</v>
      </c>
      <c r="T928" s="405">
        <v>5</v>
      </c>
      <c r="U928" s="311">
        <f t="shared" si="343"/>
        <v>2400000</v>
      </c>
      <c r="V928" s="311">
        <f t="shared" si="344"/>
        <v>8.3333333333333329E-2</v>
      </c>
      <c r="W928" s="311">
        <f t="shared" si="345"/>
        <v>200000</v>
      </c>
      <c r="X928" s="311"/>
      <c r="Y928" s="311"/>
      <c r="Z928" s="311">
        <f t="shared" si="346"/>
        <v>200000</v>
      </c>
      <c r="AA928" s="311">
        <f t="shared" si="347"/>
        <v>8.3333333333333329E-2</v>
      </c>
      <c r="AB928" s="311">
        <f t="shared" si="348"/>
        <v>200000</v>
      </c>
      <c r="AC928" s="311">
        <f t="shared" si="349"/>
        <v>11800000</v>
      </c>
      <c r="AD928" s="24"/>
      <c r="AE928" s="24"/>
      <c r="AG928" s="5"/>
    </row>
    <row r="929" spans="1:33" s="1" customFormat="1" x14ac:dyDescent="0.25">
      <c r="A929" s="49"/>
      <c r="B929" s="403" t="s">
        <v>1752</v>
      </c>
      <c r="C929" s="403" t="s">
        <v>92</v>
      </c>
      <c r="D929" s="404" t="s">
        <v>1236</v>
      </c>
      <c r="E929" s="311" t="s">
        <v>3704</v>
      </c>
      <c r="F929" s="311"/>
      <c r="G929" s="311" t="s">
        <v>194</v>
      </c>
      <c r="H929" s="311" t="s">
        <v>62</v>
      </c>
      <c r="I929" s="407">
        <v>2023</v>
      </c>
      <c r="J929" s="311"/>
      <c r="K929" s="311" t="s">
        <v>63</v>
      </c>
      <c r="L929" s="311" t="s">
        <v>64</v>
      </c>
      <c r="M929" s="405">
        <v>1</v>
      </c>
      <c r="N929" s="311">
        <f t="shared" si="341"/>
        <v>12000000</v>
      </c>
      <c r="O929" s="311">
        <v>12000000</v>
      </c>
      <c r="P929" s="311"/>
      <c r="Q929" s="311"/>
      <c r="R929" s="311"/>
      <c r="S929" s="311">
        <f t="shared" si="342"/>
        <v>12000000</v>
      </c>
      <c r="T929" s="405">
        <v>5</v>
      </c>
      <c r="U929" s="311">
        <f t="shared" si="343"/>
        <v>2400000</v>
      </c>
      <c r="V929" s="311">
        <f t="shared" si="344"/>
        <v>8.3333333333333329E-2</v>
      </c>
      <c r="W929" s="311">
        <f t="shared" si="345"/>
        <v>200000</v>
      </c>
      <c r="X929" s="311"/>
      <c r="Y929" s="311"/>
      <c r="Z929" s="311">
        <f t="shared" si="346"/>
        <v>200000</v>
      </c>
      <c r="AA929" s="311">
        <f t="shared" si="347"/>
        <v>8.3333333333333329E-2</v>
      </c>
      <c r="AB929" s="311">
        <f t="shared" si="348"/>
        <v>200000</v>
      </c>
      <c r="AC929" s="311">
        <f t="shared" si="349"/>
        <v>11800000</v>
      </c>
      <c r="AD929" s="24"/>
      <c r="AE929" s="24"/>
      <c r="AG929" s="5"/>
    </row>
    <row r="930" spans="1:33" s="1" customFormat="1" x14ac:dyDescent="0.25">
      <c r="A930" s="49"/>
      <c r="B930" s="403" t="s">
        <v>1752</v>
      </c>
      <c r="C930" s="403" t="s">
        <v>96</v>
      </c>
      <c r="D930" s="404" t="s">
        <v>1236</v>
      </c>
      <c r="E930" s="311" t="s">
        <v>3704</v>
      </c>
      <c r="F930" s="311"/>
      <c r="G930" s="311" t="s">
        <v>194</v>
      </c>
      <c r="H930" s="311" t="s">
        <v>62</v>
      </c>
      <c r="I930" s="407">
        <v>2023</v>
      </c>
      <c r="J930" s="311"/>
      <c r="K930" s="311" t="s">
        <v>63</v>
      </c>
      <c r="L930" s="311" t="s">
        <v>64</v>
      </c>
      <c r="M930" s="405">
        <v>1</v>
      </c>
      <c r="N930" s="311">
        <f t="shared" si="341"/>
        <v>12000000</v>
      </c>
      <c r="O930" s="311">
        <v>12000000</v>
      </c>
      <c r="P930" s="311"/>
      <c r="Q930" s="311"/>
      <c r="R930" s="311"/>
      <c r="S930" s="311">
        <f t="shared" si="342"/>
        <v>12000000</v>
      </c>
      <c r="T930" s="405">
        <v>5</v>
      </c>
      <c r="U930" s="311">
        <f t="shared" si="343"/>
        <v>2400000</v>
      </c>
      <c r="V930" s="311">
        <f t="shared" si="344"/>
        <v>8.3333333333333329E-2</v>
      </c>
      <c r="W930" s="311">
        <f t="shared" si="345"/>
        <v>200000</v>
      </c>
      <c r="X930" s="311"/>
      <c r="Y930" s="311"/>
      <c r="Z930" s="311">
        <f t="shared" si="346"/>
        <v>200000</v>
      </c>
      <c r="AA930" s="311">
        <f t="shared" si="347"/>
        <v>8.3333333333333329E-2</v>
      </c>
      <c r="AB930" s="311">
        <f t="shared" si="348"/>
        <v>200000</v>
      </c>
      <c r="AC930" s="311">
        <f t="shared" si="349"/>
        <v>11800000</v>
      </c>
      <c r="AD930" s="24"/>
      <c r="AE930" s="24"/>
      <c r="AG930" s="5"/>
    </row>
    <row r="931" spans="1:33" s="1" customFormat="1" x14ac:dyDescent="0.25">
      <c r="A931" s="49"/>
      <c r="B931" s="403" t="s">
        <v>1751</v>
      </c>
      <c r="C931" s="403" t="s">
        <v>791</v>
      </c>
      <c r="D931" s="404" t="s">
        <v>1182</v>
      </c>
      <c r="E931" s="311" t="s">
        <v>3704</v>
      </c>
      <c r="F931" s="311"/>
      <c r="G931" s="311" t="s">
        <v>194</v>
      </c>
      <c r="H931" s="311" t="s">
        <v>62</v>
      </c>
      <c r="I931" s="407">
        <v>2023</v>
      </c>
      <c r="J931" s="311"/>
      <c r="K931" s="311" t="s">
        <v>63</v>
      </c>
      <c r="L931" s="311" t="s">
        <v>64</v>
      </c>
      <c r="M931" s="405">
        <v>1</v>
      </c>
      <c r="N931" s="311">
        <f t="shared" ref="N931:N932" si="350">O931/M931</f>
        <v>17278000</v>
      </c>
      <c r="O931" s="311">
        <v>17278000</v>
      </c>
      <c r="P931" s="311"/>
      <c r="Q931" s="311"/>
      <c r="R931" s="311"/>
      <c r="S931" s="311">
        <f t="shared" ref="S931:S932" si="351">SUM(O931-R931)</f>
        <v>17278000</v>
      </c>
      <c r="T931" s="405">
        <v>5</v>
      </c>
      <c r="U931" s="311">
        <f t="shared" ref="U931:U932" si="352">SUM(S931/T931)</f>
        <v>3455600</v>
      </c>
      <c r="V931" s="311">
        <f>1/12</f>
        <v>8.3333333333333329E-2</v>
      </c>
      <c r="W931" s="311">
        <f t="shared" ref="W931:W932" si="353">SUM(U931*V931)</f>
        <v>287966.66666666663</v>
      </c>
      <c r="X931" s="311"/>
      <c r="Y931" s="311"/>
      <c r="Z931" s="311">
        <f t="shared" ref="Z931:Z932" si="354">SUM(W931+Y931)</f>
        <v>287966.66666666663</v>
      </c>
      <c r="AA931" s="311">
        <f>1/12</f>
        <v>8.3333333333333329E-2</v>
      </c>
      <c r="AB931" s="311">
        <f t="shared" ref="AB931:AB932" si="355">SUM(U931*AA931)</f>
        <v>287966.66666666663</v>
      </c>
      <c r="AC931" s="311">
        <f t="shared" ref="AC931:AC932" si="356">SUM(O931-AB931)</f>
        <v>16990033.333333332</v>
      </c>
      <c r="AD931" s="24"/>
      <c r="AE931" s="24"/>
      <c r="AG931" s="5"/>
    </row>
    <row r="932" spans="1:33" s="1" customFormat="1" x14ac:dyDescent="0.25">
      <c r="A932" s="49"/>
      <c r="B932" s="403" t="s">
        <v>1751</v>
      </c>
      <c r="C932" s="403" t="s">
        <v>420</v>
      </c>
      <c r="D932" s="404" t="s">
        <v>1182</v>
      </c>
      <c r="E932" s="311" t="s">
        <v>3704</v>
      </c>
      <c r="F932" s="311"/>
      <c r="G932" s="311" t="s">
        <v>194</v>
      </c>
      <c r="H932" s="311" t="s">
        <v>62</v>
      </c>
      <c r="I932" s="407">
        <v>2023</v>
      </c>
      <c r="J932" s="311"/>
      <c r="K932" s="311" t="s">
        <v>63</v>
      </c>
      <c r="L932" s="311" t="s">
        <v>64</v>
      </c>
      <c r="M932" s="405">
        <v>1</v>
      </c>
      <c r="N932" s="311">
        <f t="shared" si="350"/>
        <v>17278000</v>
      </c>
      <c r="O932" s="311">
        <v>17278000</v>
      </c>
      <c r="P932" s="311"/>
      <c r="Q932" s="311"/>
      <c r="R932" s="311"/>
      <c r="S932" s="311">
        <f t="shared" si="351"/>
        <v>17278000</v>
      </c>
      <c r="T932" s="405">
        <v>5</v>
      </c>
      <c r="U932" s="311">
        <f t="shared" si="352"/>
        <v>3455600</v>
      </c>
      <c r="V932" s="311">
        <f>1/12</f>
        <v>8.3333333333333329E-2</v>
      </c>
      <c r="W932" s="311">
        <f t="shared" si="353"/>
        <v>287966.66666666663</v>
      </c>
      <c r="X932" s="311"/>
      <c r="Y932" s="311"/>
      <c r="Z932" s="311">
        <f t="shared" si="354"/>
        <v>287966.66666666663</v>
      </c>
      <c r="AA932" s="311">
        <f>1/12</f>
        <v>8.3333333333333329E-2</v>
      </c>
      <c r="AB932" s="311">
        <f t="shared" si="355"/>
        <v>287966.66666666663</v>
      </c>
      <c r="AC932" s="311">
        <f t="shared" si="356"/>
        <v>16990033.333333332</v>
      </c>
      <c r="AD932" s="24"/>
      <c r="AE932" s="24"/>
      <c r="AG932" s="5"/>
    </row>
    <row r="933" spans="1:33" s="1" customFormat="1" x14ac:dyDescent="0.25">
      <c r="A933" s="21"/>
      <c r="B933" s="22"/>
      <c r="C933" s="22"/>
      <c r="D933" s="65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  <c r="AA933" s="24"/>
      <c r="AB933" s="24"/>
      <c r="AC933" s="24"/>
      <c r="AD933" s="24"/>
      <c r="AE933" s="24"/>
      <c r="AG933" s="5"/>
    </row>
    <row r="934" spans="1:33" s="160" customFormat="1" x14ac:dyDescent="0.25">
      <c r="A934" s="138"/>
      <c r="B934" s="139" t="s">
        <v>1237</v>
      </c>
      <c r="C934" s="139"/>
      <c r="D934" s="184" t="s">
        <v>1238</v>
      </c>
      <c r="E934" s="141"/>
      <c r="F934" s="141"/>
      <c r="G934" s="141"/>
      <c r="H934" s="141"/>
      <c r="I934" s="141"/>
      <c r="J934" s="141"/>
      <c r="K934" s="141"/>
      <c r="L934" s="141"/>
      <c r="M934" s="141">
        <f>SUM(M935+M1003)</f>
        <v>168</v>
      </c>
      <c r="N934" s="159"/>
      <c r="O934" s="159">
        <f>SUM(O935+O1003)</f>
        <v>500239980</v>
      </c>
      <c r="P934" s="141">
        <f>SUM(P940:P1008)</f>
        <v>0</v>
      </c>
      <c r="Q934" s="141">
        <f>SUM(Q940:Q1008)</f>
        <v>0</v>
      </c>
      <c r="R934" s="141">
        <f>SUM(R940:R1008)</f>
        <v>0</v>
      </c>
      <c r="S934" s="159">
        <f>SUM(S935+S1003)</f>
        <v>500239980</v>
      </c>
      <c r="T934" s="141"/>
      <c r="U934" s="159">
        <f>SUM(U935+U1003)</f>
        <v>24357296</v>
      </c>
      <c r="V934" s="141"/>
      <c r="W934" s="159">
        <f>SUM(W935+W1003)</f>
        <v>9425148</v>
      </c>
      <c r="X934" s="141"/>
      <c r="Y934" s="159">
        <f>SUM(Y940:Y996)</f>
        <v>0</v>
      </c>
      <c r="Z934" s="159">
        <f>SUM(Z935+Z1003)</f>
        <v>9425148</v>
      </c>
      <c r="AA934" s="141"/>
      <c r="AB934" s="159">
        <f>SUM(AB935+AB1003)</f>
        <v>441532041.66666663</v>
      </c>
      <c r="AC934" s="159">
        <f>SUM(AC935+AC1003)</f>
        <v>58707938.333333328</v>
      </c>
      <c r="AD934" s="141"/>
      <c r="AE934" s="141"/>
      <c r="AG934" s="161"/>
    </row>
    <row r="935" spans="1:33" s="1" customFormat="1" x14ac:dyDescent="0.25">
      <c r="A935" s="25"/>
      <c r="B935" s="26" t="s">
        <v>1754</v>
      </c>
      <c r="C935" s="26"/>
      <c r="D935" s="64" t="s">
        <v>1755</v>
      </c>
      <c r="E935" s="28"/>
      <c r="F935" s="28"/>
      <c r="G935" s="28"/>
      <c r="H935" s="28"/>
      <c r="I935" s="28"/>
      <c r="J935" s="28"/>
      <c r="K935" s="28"/>
      <c r="L935" s="28"/>
      <c r="M935" s="28">
        <f>SUM(M936:M1001)</f>
        <v>162</v>
      </c>
      <c r="N935" s="86"/>
      <c r="O935" s="86">
        <f>SUM(O936:O1001)</f>
        <v>475933980</v>
      </c>
      <c r="P935" s="28"/>
      <c r="Q935" s="28"/>
      <c r="R935" s="28"/>
      <c r="S935" s="86">
        <f>SUM(S936:S1001)</f>
        <v>475933980</v>
      </c>
      <c r="T935" s="28"/>
      <c r="U935" s="86">
        <f>SUM(U936:U1001)</f>
        <v>19496096</v>
      </c>
      <c r="V935" s="28"/>
      <c r="W935" s="86">
        <f>SUM(W936:W1001)</f>
        <v>9020048</v>
      </c>
      <c r="X935" s="28"/>
      <c r="Y935" s="86"/>
      <c r="Z935" s="86">
        <f>SUM(Z936:Z1001)</f>
        <v>9020048</v>
      </c>
      <c r="AA935" s="28"/>
      <c r="AB935" s="86">
        <f>SUM(AB936:AB1001)</f>
        <v>441126941.66666663</v>
      </c>
      <c r="AC935" s="86">
        <f>SUM(AC936:AC1001)</f>
        <v>34807038.333333328</v>
      </c>
      <c r="AD935" s="28"/>
      <c r="AE935" s="28"/>
      <c r="AG935" s="5"/>
    </row>
    <row r="936" spans="1:33" s="1" customFormat="1" x14ac:dyDescent="0.25">
      <c r="A936" s="49">
        <v>1</v>
      </c>
      <c r="B936" s="22" t="s">
        <v>1756</v>
      </c>
      <c r="C936" s="50" t="s">
        <v>58</v>
      </c>
      <c r="D936" s="51" t="s">
        <v>264</v>
      </c>
      <c r="E936" s="52" t="s">
        <v>265</v>
      </c>
      <c r="F936" s="52"/>
      <c r="G936" s="52" t="s">
        <v>194</v>
      </c>
      <c r="H936" s="52" t="s">
        <v>62</v>
      </c>
      <c r="I936" s="52">
        <v>2015</v>
      </c>
      <c r="J936" s="52"/>
      <c r="K936" s="52" t="s">
        <v>63</v>
      </c>
      <c r="L936" s="52" t="s">
        <v>64</v>
      </c>
      <c r="M936" s="52">
        <v>1</v>
      </c>
      <c r="N936" s="53">
        <f>SUM(O936/M936)</f>
        <v>1150000</v>
      </c>
      <c r="O936" s="53">
        <v>1150000</v>
      </c>
      <c r="P936" s="52"/>
      <c r="Q936" s="52"/>
      <c r="R936" s="52"/>
      <c r="S936" s="53">
        <f t="shared" ref="S936:S976" si="357">SUM(O936-R936)</f>
        <v>1150000</v>
      </c>
      <c r="T936" s="52">
        <v>5</v>
      </c>
      <c r="U936" s="53">
        <f>SUM(S936/T936)</f>
        <v>230000</v>
      </c>
      <c r="V936" s="52">
        <v>0.5</v>
      </c>
      <c r="W936" s="53"/>
      <c r="X936" s="52"/>
      <c r="Y936" s="53">
        <f>SUM(U936*X936)</f>
        <v>0</v>
      </c>
      <c r="Z936" s="53"/>
      <c r="AA936" s="57">
        <v>5</v>
      </c>
      <c r="AB936" s="53">
        <f>SUM(U936*AA936)</f>
        <v>1150000</v>
      </c>
      <c r="AC936" s="53">
        <f t="shared" ref="AC936:AC993" si="358">SUM(O936-AB936)</f>
        <v>0</v>
      </c>
      <c r="AD936" s="56" t="s">
        <v>266</v>
      </c>
      <c r="AE936" s="56"/>
      <c r="AG936" s="5"/>
    </row>
    <row r="937" spans="1:33" s="1" customFormat="1" x14ac:dyDescent="0.25">
      <c r="A937" s="49">
        <v>2</v>
      </c>
      <c r="B937" s="22" t="s">
        <v>1756</v>
      </c>
      <c r="C937" s="50" t="s">
        <v>58</v>
      </c>
      <c r="D937" s="51" t="s">
        <v>264</v>
      </c>
      <c r="E937" s="52" t="s">
        <v>265</v>
      </c>
      <c r="F937" s="52"/>
      <c r="G937" s="52" t="s">
        <v>194</v>
      </c>
      <c r="H937" s="52" t="s">
        <v>62</v>
      </c>
      <c r="I937" s="52">
        <v>2015</v>
      </c>
      <c r="J937" s="52"/>
      <c r="K937" s="52" t="s">
        <v>63</v>
      </c>
      <c r="L937" s="52" t="s">
        <v>64</v>
      </c>
      <c r="M937" s="52">
        <v>1</v>
      </c>
      <c r="N937" s="53">
        <f>SUM(O937/M937)</f>
        <v>1150000</v>
      </c>
      <c r="O937" s="53">
        <v>1150000</v>
      </c>
      <c r="P937" s="56"/>
      <c r="Q937" s="52"/>
      <c r="R937" s="52"/>
      <c r="S937" s="53">
        <f t="shared" si="357"/>
        <v>1150000</v>
      </c>
      <c r="T937" s="52">
        <v>5</v>
      </c>
      <c r="U937" s="53">
        <f>SUM(S937/T937)</f>
        <v>230000</v>
      </c>
      <c r="V937" s="52">
        <v>0.5</v>
      </c>
      <c r="W937" s="53"/>
      <c r="X937" s="52"/>
      <c r="Y937" s="53">
        <f>SUM(U937*X937)</f>
        <v>0</v>
      </c>
      <c r="Z937" s="53"/>
      <c r="AA937" s="57">
        <v>5</v>
      </c>
      <c r="AB937" s="53">
        <f>SUM(U937*AA937)</f>
        <v>1150000</v>
      </c>
      <c r="AC937" s="53">
        <f t="shared" si="358"/>
        <v>0</v>
      </c>
      <c r="AD937" s="56" t="s">
        <v>267</v>
      </c>
      <c r="AE937" s="56"/>
      <c r="AG937" s="5"/>
    </row>
    <row r="938" spans="1:33" s="1" customFormat="1" x14ac:dyDescent="0.25">
      <c r="A938" s="49">
        <v>3</v>
      </c>
      <c r="B938" s="22" t="s">
        <v>1756</v>
      </c>
      <c r="C938" s="50" t="s">
        <v>209</v>
      </c>
      <c r="D938" s="51" t="s">
        <v>257</v>
      </c>
      <c r="E938" s="52" t="s">
        <v>258</v>
      </c>
      <c r="F938" s="52"/>
      <c r="G938" s="52" t="s">
        <v>194</v>
      </c>
      <c r="H938" s="52" t="s">
        <v>62</v>
      </c>
      <c r="I938" s="52">
        <v>2010</v>
      </c>
      <c r="J938" s="52"/>
      <c r="K938" s="52" t="s">
        <v>63</v>
      </c>
      <c r="L938" s="52" t="s">
        <v>64</v>
      </c>
      <c r="M938" s="52">
        <v>2</v>
      </c>
      <c r="N938" s="53">
        <f>SUM(O938/M938)</f>
        <v>1000000</v>
      </c>
      <c r="O938" s="53">
        <v>2000000</v>
      </c>
      <c r="P938" s="52"/>
      <c r="Q938" s="52"/>
      <c r="R938" s="52"/>
      <c r="S938" s="53">
        <f t="shared" si="357"/>
        <v>2000000</v>
      </c>
      <c r="T938" s="52">
        <v>5</v>
      </c>
      <c r="U938" s="53"/>
      <c r="V938" s="52">
        <v>0.5</v>
      </c>
      <c r="W938" s="53">
        <f>SUM(U938*V938)</f>
        <v>0</v>
      </c>
      <c r="X938" s="52"/>
      <c r="Y938" s="53">
        <f>SUM(U938*X938)</f>
        <v>0</v>
      </c>
      <c r="Z938" s="53">
        <f>SUM(W938+Y938)</f>
        <v>0</v>
      </c>
      <c r="AA938" s="57">
        <v>5</v>
      </c>
      <c r="AB938" s="53">
        <v>2000000</v>
      </c>
      <c r="AC938" s="53">
        <f t="shared" si="358"/>
        <v>0</v>
      </c>
      <c r="AD938" s="56" t="s">
        <v>259</v>
      </c>
      <c r="AE938" s="56"/>
      <c r="AG938" s="5"/>
    </row>
    <row r="939" spans="1:33" s="1" customFormat="1" x14ac:dyDescent="0.25">
      <c r="A939" s="49">
        <v>4</v>
      </c>
      <c r="B939" s="22" t="s">
        <v>1756</v>
      </c>
      <c r="C939" s="50" t="s">
        <v>79</v>
      </c>
      <c r="D939" s="51" t="s">
        <v>257</v>
      </c>
      <c r="E939" s="52" t="s">
        <v>258</v>
      </c>
      <c r="F939" s="52"/>
      <c r="G939" s="52" t="s">
        <v>194</v>
      </c>
      <c r="H939" s="52" t="s">
        <v>62</v>
      </c>
      <c r="I939" s="52">
        <v>2010</v>
      </c>
      <c r="J939" s="52"/>
      <c r="K939" s="52" t="s">
        <v>63</v>
      </c>
      <c r="L939" s="52" t="s">
        <v>212</v>
      </c>
      <c r="M939" s="52">
        <v>1</v>
      </c>
      <c r="N939" s="53">
        <f>SUM(O939/M939)</f>
        <v>750000</v>
      </c>
      <c r="O939" s="53">
        <v>750000</v>
      </c>
      <c r="P939" s="52"/>
      <c r="Q939" s="52"/>
      <c r="R939" s="52"/>
      <c r="S939" s="53">
        <f t="shared" si="357"/>
        <v>750000</v>
      </c>
      <c r="T939" s="52">
        <v>5</v>
      </c>
      <c r="U939" s="53"/>
      <c r="V939" s="52">
        <v>0.5</v>
      </c>
      <c r="W939" s="53">
        <f>SUM(U939*V939)</f>
        <v>0</v>
      </c>
      <c r="X939" s="52"/>
      <c r="Y939" s="53">
        <f>SUM(U939*X939)</f>
        <v>0</v>
      </c>
      <c r="Z939" s="53">
        <f>SUM(W939+Y939)</f>
        <v>0</v>
      </c>
      <c r="AA939" s="57">
        <v>5</v>
      </c>
      <c r="AB939" s="53">
        <v>750000</v>
      </c>
      <c r="AC939" s="53">
        <f t="shared" si="358"/>
        <v>0</v>
      </c>
      <c r="AD939" s="56" t="s">
        <v>217</v>
      </c>
      <c r="AE939" s="56"/>
      <c r="AG939" s="5"/>
    </row>
    <row r="940" spans="1:33" s="1" customFormat="1" x14ac:dyDescent="0.25">
      <c r="A940" s="49">
        <v>5</v>
      </c>
      <c r="B940" s="22" t="s">
        <v>1757</v>
      </c>
      <c r="C940" s="50" t="s">
        <v>393</v>
      </c>
      <c r="D940" s="51" t="s">
        <v>394</v>
      </c>
      <c r="E940" s="52" t="s">
        <v>279</v>
      </c>
      <c r="F940" s="52"/>
      <c r="G940" s="52" t="s">
        <v>194</v>
      </c>
      <c r="H940" s="52" t="s">
        <v>62</v>
      </c>
      <c r="I940" s="52">
        <v>2010</v>
      </c>
      <c r="J940" s="52"/>
      <c r="K940" s="52" t="s">
        <v>63</v>
      </c>
      <c r="L940" s="52" t="s">
        <v>212</v>
      </c>
      <c r="M940" s="52">
        <v>6</v>
      </c>
      <c r="N940" s="53">
        <f t="shared" ref="N940:N976" si="359">SUM(O940/M940)</f>
        <v>75000</v>
      </c>
      <c r="O940" s="53">
        <v>450000</v>
      </c>
      <c r="P940" s="52"/>
      <c r="Q940" s="52"/>
      <c r="R940" s="52"/>
      <c r="S940" s="53">
        <f t="shared" si="357"/>
        <v>450000</v>
      </c>
      <c r="T940" s="52">
        <v>5</v>
      </c>
      <c r="U940" s="53"/>
      <c r="V940" s="52">
        <v>0.5</v>
      </c>
      <c r="W940" s="53">
        <f t="shared" ref="W940:W965" si="360">SUM(U940*V940)</f>
        <v>0</v>
      </c>
      <c r="X940" s="52"/>
      <c r="Y940" s="53">
        <f t="shared" ref="Y940:Y981" si="361">SUM(U940*X940)</f>
        <v>0</v>
      </c>
      <c r="Z940" s="53">
        <f t="shared" ref="Z940:Z978" si="362">SUM(W940+Y940)</f>
        <v>0</v>
      </c>
      <c r="AA940" s="52">
        <v>5</v>
      </c>
      <c r="AB940" s="53">
        <v>450000</v>
      </c>
      <c r="AC940" s="53">
        <f t="shared" si="358"/>
        <v>0</v>
      </c>
      <c r="AD940" s="56" t="s">
        <v>213</v>
      </c>
      <c r="AE940" s="56"/>
      <c r="AG940" s="5"/>
    </row>
    <row r="941" spans="1:33" s="1" customFormat="1" x14ac:dyDescent="0.25">
      <c r="A941" s="49">
        <v>6</v>
      </c>
      <c r="B941" s="22" t="s">
        <v>1757</v>
      </c>
      <c r="C941" s="50" t="s">
        <v>395</v>
      </c>
      <c r="D941" s="51" t="s">
        <v>394</v>
      </c>
      <c r="E941" s="52" t="s">
        <v>279</v>
      </c>
      <c r="F941" s="52"/>
      <c r="G941" s="52" t="s">
        <v>194</v>
      </c>
      <c r="H941" s="52" t="s">
        <v>62</v>
      </c>
      <c r="I941" s="52">
        <v>2010</v>
      </c>
      <c r="J941" s="52"/>
      <c r="K941" s="52" t="s">
        <v>63</v>
      </c>
      <c r="L941" s="52" t="s">
        <v>212</v>
      </c>
      <c r="M941" s="52">
        <v>7</v>
      </c>
      <c r="N941" s="53">
        <f t="shared" si="359"/>
        <v>75000</v>
      </c>
      <c r="O941" s="53">
        <v>525000</v>
      </c>
      <c r="P941" s="52"/>
      <c r="Q941" s="52"/>
      <c r="R941" s="52"/>
      <c r="S941" s="53">
        <f t="shared" si="357"/>
        <v>525000</v>
      </c>
      <c r="T941" s="52">
        <v>5</v>
      </c>
      <c r="U941" s="53"/>
      <c r="V941" s="52">
        <v>0.5</v>
      </c>
      <c r="W941" s="53">
        <f t="shared" si="360"/>
        <v>0</v>
      </c>
      <c r="X941" s="52"/>
      <c r="Y941" s="53">
        <f t="shared" si="361"/>
        <v>0</v>
      </c>
      <c r="Z941" s="53">
        <f t="shared" si="362"/>
        <v>0</v>
      </c>
      <c r="AA941" s="52">
        <v>5</v>
      </c>
      <c r="AB941" s="53">
        <v>525000</v>
      </c>
      <c r="AC941" s="53">
        <f t="shared" si="358"/>
        <v>0</v>
      </c>
      <c r="AD941" s="56" t="s">
        <v>213</v>
      </c>
      <c r="AE941" s="56"/>
      <c r="AG941" s="5"/>
    </row>
    <row r="942" spans="1:33" s="1" customFormat="1" x14ac:dyDescent="0.25">
      <c r="A942" s="49">
        <v>7</v>
      </c>
      <c r="B942" s="22" t="s">
        <v>1758</v>
      </c>
      <c r="C942" s="50" t="s">
        <v>240</v>
      </c>
      <c r="D942" s="51" t="s">
        <v>402</v>
      </c>
      <c r="E942" s="52" t="s">
        <v>403</v>
      </c>
      <c r="F942" s="52"/>
      <c r="G942" s="52" t="s">
        <v>194</v>
      </c>
      <c r="H942" s="52" t="s">
        <v>62</v>
      </c>
      <c r="I942" s="52">
        <v>2008</v>
      </c>
      <c r="J942" s="52"/>
      <c r="K942" s="52" t="s">
        <v>63</v>
      </c>
      <c r="L942" s="52" t="s">
        <v>64</v>
      </c>
      <c r="M942" s="52">
        <v>1</v>
      </c>
      <c r="N942" s="53">
        <f t="shared" si="359"/>
        <v>2450000</v>
      </c>
      <c r="O942" s="53">
        <v>2450000</v>
      </c>
      <c r="P942" s="52"/>
      <c r="Q942" s="52"/>
      <c r="R942" s="52"/>
      <c r="S942" s="53">
        <f t="shared" si="357"/>
        <v>2450000</v>
      </c>
      <c r="T942" s="52">
        <v>5</v>
      </c>
      <c r="U942" s="53"/>
      <c r="V942" s="52">
        <v>0.5</v>
      </c>
      <c r="W942" s="53">
        <f t="shared" si="360"/>
        <v>0</v>
      </c>
      <c r="X942" s="52"/>
      <c r="Y942" s="53">
        <f t="shared" si="361"/>
        <v>0</v>
      </c>
      <c r="Z942" s="53">
        <f t="shared" si="362"/>
        <v>0</v>
      </c>
      <c r="AA942" s="52">
        <v>5</v>
      </c>
      <c r="AB942" s="53">
        <v>2450000</v>
      </c>
      <c r="AC942" s="53">
        <f t="shared" si="358"/>
        <v>0</v>
      </c>
      <c r="AD942" s="56" t="s">
        <v>223</v>
      </c>
      <c r="AE942" s="56"/>
      <c r="AG942" s="5"/>
    </row>
    <row r="943" spans="1:33" s="1" customFormat="1" x14ac:dyDescent="0.25">
      <c r="A943" s="49">
        <v>8</v>
      </c>
      <c r="B943" s="22" t="s">
        <v>1758</v>
      </c>
      <c r="C943" s="50" t="s">
        <v>404</v>
      </c>
      <c r="D943" s="51" t="s">
        <v>402</v>
      </c>
      <c r="E943" s="52" t="s">
        <v>405</v>
      </c>
      <c r="F943" s="52"/>
      <c r="G943" s="52" t="s">
        <v>194</v>
      </c>
      <c r="H943" s="52" t="s">
        <v>62</v>
      </c>
      <c r="I943" s="52">
        <v>2011</v>
      </c>
      <c r="J943" s="52"/>
      <c r="K943" s="52" t="s">
        <v>63</v>
      </c>
      <c r="L943" s="52" t="s">
        <v>167</v>
      </c>
      <c r="M943" s="52">
        <v>2</v>
      </c>
      <c r="N943" s="53">
        <f t="shared" si="359"/>
        <v>840000</v>
      </c>
      <c r="O943" s="53">
        <v>1680000</v>
      </c>
      <c r="P943" s="52"/>
      <c r="Q943" s="52"/>
      <c r="R943" s="52"/>
      <c r="S943" s="53">
        <f t="shared" si="357"/>
        <v>1680000</v>
      </c>
      <c r="T943" s="52">
        <v>5</v>
      </c>
      <c r="U943" s="53"/>
      <c r="V943" s="52">
        <v>0.5</v>
      </c>
      <c r="W943" s="53">
        <f t="shared" si="360"/>
        <v>0</v>
      </c>
      <c r="X943" s="52"/>
      <c r="Y943" s="53">
        <f t="shared" si="361"/>
        <v>0</v>
      </c>
      <c r="Z943" s="53">
        <f t="shared" si="362"/>
        <v>0</v>
      </c>
      <c r="AA943" s="52">
        <v>5</v>
      </c>
      <c r="AB943" s="53">
        <v>1680000</v>
      </c>
      <c r="AC943" s="53">
        <f t="shared" si="358"/>
        <v>0</v>
      </c>
      <c r="AD943" s="56" t="s">
        <v>406</v>
      </c>
      <c r="AE943" s="56"/>
      <c r="AG943" s="5"/>
    </row>
    <row r="944" spans="1:33" s="1" customFormat="1" x14ac:dyDescent="0.25">
      <c r="A944" s="49">
        <v>9</v>
      </c>
      <c r="B944" s="22" t="s">
        <v>1758</v>
      </c>
      <c r="C944" s="50" t="s">
        <v>246</v>
      </c>
      <c r="D944" s="51" t="s">
        <v>402</v>
      </c>
      <c r="E944" s="52" t="s">
        <v>405</v>
      </c>
      <c r="F944" s="52"/>
      <c r="G944" s="52" t="s">
        <v>194</v>
      </c>
      <c r="H944" s="52" t="s">
        <v>62</v>
      </c>
      <c r="I944" s="52">
        <v>2011</v>
      </c>
      <c r="J944" s="52"/>
      <c r="K944" s="52" t="s">
        <v>63</v>
      </c>
      <c r="L944" s="52" t="s">
        <v>167</v>
      </c>
      <c r="M944" s="52">
        <v>1</v>
      </c>
      <c r="N944" s="53">
        <f t="shared" si="359"/>
        <v>840000</v>
      </c>
      <c r="O944" s="53">
        <v>840000</v>
      </c>
      <c r="P944" s="52"/>
      <c r="Q944" s="52"/>
      <c r="R944" s="52"/>
      <c r="S944" s="53">
        <f t="shared" si="357"/>
        <v>840000</v>
      </c>
      <c r="T944" s="52">
        <v>5</v>
      </c>
      <c r="U944" s="53"/>
      <c r="V944" s="52">
        <v>0.5</v>
      </c>
      <c r="W944" s="53">
        <f t="shared" si="360"/>
        <v>0</v>
      </c>
      <c r="X944" s="52"/>
      <c r="Y944" s="53">
        <f t="shared" si="361"/>
        <v>0</v>
      </c>
      <c r="Z944" s="53">
        <f t="shared" si="362"/>
        <v>0</v>
      </c>
      <c r="AA944" s="52">
        <v>5</v>
      </c>
      <c r="AB944" s="53">
        <v>840000</v>
      </c>
      <c r="AC944" s="53">
        <f t="shared" si="358"/>
        <v>0</v>
      </c>
      <c r="AD944" s="56" t="s">
        <v>406</v>
      </c>
      <c r="AE944" s="56"/>
      <c r="AG944" s="5"/>
    </row>
    <row r="945" spans="1:33" s="1" customFormat="1" x14ac:dyDescent="0.25">
      <c r="A945" s="49">
        <v>10</v>
      </c>
      <c r="B945" s="22" t="s">
        <v>1758</v>
      </c>
      <c r="C945" s="50" t="s">
        <v>407</v>
      </c>
      <c r="D945" s="51" t="s">
        <v>402</v>
      </c>
      <c r="E945" s="52" t="s">
        <v>405</v>
      </c>
      <c r="F945" s="52"/>
      <c r="G945" s="52" t="s">
        <v>194</v>
      </c>
      <c r="H945" s="52" t="s">
        <v>62</v>
      </c>
      <c r="I945" s="52">
        <v>2011</v>
      </c>
      <c r="J945" s="52"/>
      <c r="K945" s="52" t="s">
        <v>63</v>
      </c>
      <c r="L945" s="52" t="s">
        <v>167</v>
      </c>
      <c r="M945" s="52">
        <v>1</v>
      </c>
      <c r="N945" s="53">
        <f t="shared" si="359"/>
        <v>840000</v>
      </c>
      <c r="O945" s="53">
        <v>840000</v>
      </c>
      <c r="P945" s="52"/>
      <c r="Q945" s="52"/>
      <c r="R945" s="52"/>
      <c r="S945" s="53">
        <f t="shared" si="357"/>
        <v>840000</v>
      </c>
      <c r="T945" s="52">
        <v>5</v>
      </c>
      <c r="U945" s="53"/>
      <c r="V945" s="52">
        <v>0.5</v>
      </c>
      <c r="W945" s="53">
        <f t="shared" si="360"/>
        <v>0</v>
      </c>
      <c r="X945" s="52"/>
      <c r="Y945" s="53">
        <f t="shared" si="361"/>
        <v>0</v>
      </c>
      <c r="Z945" s="53">
        <f t="shared" si="362"/>
        <v>0</v>
      </c>
      <c r="AA945" s="52">
        <v>5</v>
      </c>
      <c r="AB945" s="53">
        <v>840000</v>
      </c>
      <c r="AC945" s="53">
        <f t="shared" si="358"/>
        <v>0</v>
      </c>
      <c r="AD945" s="56" t="s">
        <v>406</v>
      </c>
      <c r="AE945" s="56"/>
      <c r="AG945" s="5"/>
    </row>
    <row r="946" spans="1:33" s="1" customFormat="1" x14ac:dyDescent="0.25">
      <c r="A946" s="49">
        <v>11</v>
      </c>
      <c r="B946" s="22" t="s">
        <v>1758</v>
      </c>
      <c r="C946" s="50" t="s">
        <v>408</v>
      </c>
      <c r="D946" s="51" t="s">
        <v>402</v>
      </c>
      <c r="E946" s="52" t="s">
        <v>405</v>
      </c>
      <c r="F946" s="52"/>
      <c r="G946" s="52" t="s">
        <v>194</v>
      </c>
      <c r="H946" s="52" t="s">
        <v>62</v>
      </c>
      <c r="I946" s="52">
        <v>2011</v>
      </c>
      <c r="J946" s="52"/>
      <c r="K946" s="52" t="s">
        <v>63</v>
      </c>
      <c r="L946" s="52" t="s">
        <v>167</v>
      </c>
      <c r="M946" s="52">
        <v>1</v>
      </c>
      <c r="N946" s="53">
        <f t="shared" si="359"/>
        <v>840000</v>
      </c>
      <c r="O946" s="53">
        <v>840000</v>
      </c>
      <c r="P946" s="52"/>
      <c r="Q946" s="52"/>
      <c r="R946" s="52"/>
      <c r="S946" s="53">
        <f t="shared" si="357"/>
        <v>840000</v>
      </c>
      <c r="T946" s="52">
        <v>5</v>
      </c>
      <c r="U946" s="53"/>
      <c r="V946" s="52">
        <v>0.5</v>
      </c>
      <c r="W946" s="53">
        <f t="shared" si="360"/>
        <v>0</v>
      </c>
      <c r="X946" s="52"/>
      <c r="Y946" s="53">
        <f t="shared" si="361"/>
        <v>0</v>
      </c>
      <c r="Z946" s="53">
        <f t="shared" si="362"/>
        <v>0</v>
      </c>
      <c r="AA946" s="52">
        <v>5</v>
      </c>
      <c r="AB946" s="53">
        <v>840000</v>
      </c>
      <c r="AC946" s="53">
        <f t="shared" si="358"/>
        <v>0</v>
      </c>
      <c r="AD946" s="56" t="s">
        <v>406</v>
      </c>
      <c r="AE946" s="56"/>
      <c r="AG946" s="5"/>
    </row>
    <row r="947" spans="1:33" s="1" customFormat="1" x14ac:dyDescent="0.25">
      <c r="A947" s="49">
        <v>12</v>
      </c>
      <c r="B947" s="22" t="s">
        <v>1758</v>
      </c>
      <c r="C947" s="50" t="s">
        <v>409</v>
      </c>
      <c r="D947" s="51" t="s">
        <v>402</v>
      </c>
      <c r="E947" s="52" t="s">
        <v>405</v>
      </c>
      <c r="F947" s="52"/>
      <c r="G947" s="52" t="s">
        <v>194</v>
      </c>
      <c r="H947" s="52" t="s">
        <v>62</v>
      </c>
      <c r="I947" s="52">
        <v>2012</v>
      </c>
      <c r="J947" s="52"/>
      <c r="K947" s="52" t="s">
        <v>63</v>
      </c>
      <c r="L947" s="52" t="s">
        <v>167</v>
      </c>
      <c r="M947" s="52">
        <v>1</v>
      </c>
      <c r="N947" s="53">
        <f t="shared" si="359"/>
        <v>990000</v>
      </c>
      <c r="O947" s="53">
        <v>990000</v>
      </c>
      <c r="P947" s="52"/>
      <c r="Q947" s="52"/>
      <c r="R947" s="52"/>
      <c r="S947" s="53">
        <f t="shared" si="357"/>
        <v>990000</v>
      </c>
      <c r="T947" s="52">
        <v>5</v>
      </c>
      <c r="U947" s="53"/>
      <c r="V947" s="52">
        <v>0.5</v>
      </c>
      <c r="W947" s="53">
        <f t="shared" si="360"/>
        <v>0</v>
      </c>
      <c r="X947" s="52"/>
      <c r="Y947" s="53">
        <f t="shared" si="361"/>
        <v>0</v>
      </c>
      <c r="Z947" s="53">
        <f t="shared" si="362"/>
        <v>0</v>
      </c>
      <c r="AA947" s="52">
        <v>5</v>
      </c>
      <c r="AB947" s="53">
        <v>990000</v>
      </c>
      <c r="AC947" s="53">
        <f t="shared" si="358"/>
        <v>0</v>
      </c>
      <c r="AD947" s="56" t="s">
        <v>406</v>
      </c>
      <c r="AE947" s="56"/>
      <c r="AG947" s="5"/>
    </row>
    <row r="948" spans="1:33" s="1" customFormat="1" x14ac:dyDescent="0.25">
      <c r="A948" s="49">
        <v>13</v>
      </c>
      <c r="B948" s="22" t="s">
        <v>1758</v>
      </c>
      <c r="C948" s="50" t="s">
        <v>410</v>
      </c>
      <c r="D948" s="51" t="s">
        <v>402</v>
      </c>
      <c r="E948" s="52" t="s">
        <v>405</v>
      </c>
      <c r="F948" s="52"/>
      <c r="G948" s="52" t="s">
        <v>194</v>
      </c>
      <c r="H948" s="52" t="s">
        <v>62</v>
      </c>
      <c r="I948" s="52">
        <v>2012</v>
      </c>
      <c r="J948" s="52"/>
      <c r="K948" s="52" t="s">
        <v>63</v>
      </c>
      <c r="L948" s="52" t="s">
        <v>167</v>
      </c>
      <c r="M948" s="52">
        <v>2</v>
      </c>
      <c r="N948" s="53">
        <f t="shared" si="359"/>
        <v>990000</v>
      </c>
      <c r="O948" s="53">
        <v>1980000</v>
      </c>
      <c r="P948" s="52"/>
      <c r="Q948" s="52"/>
      <c r="R948" s="52"/>
      <c r="S948" s="53">
        <f t="shared" si="357"/>
        <v>1980000</v>
      </c>
      <c r="T948" s="52">
        <v>5</v>
      </c>
      <c r="U948" s="53"/>
      <c r="V948" s="52">
        <v>0.5</v>
      </c>
      <c r="W948" s="53">
        <f t="shared" si="360"/>
        <v>0</v>
      </c>
      <c r="X948" s="52"/>
      <c r="Y948" s="53">
        <f t="shared" si="361"/>
        <v>0</v>
      </c>
      <c r="Z948" s="53">
        <f t="shared" si="362"/>
        <v>0</v>
      </c>
      <c r="AA948" s="52">
        <v>5</v>
      </c>
      <c r="AB948" s="53">
        <v>1980000</v>
      </c>
      <c r="AC948" s="53">
        <f t="shared" si="358"/>
        <v>0</v>
      </c>
      <c r="AD948" s="56" t="s">
        <v>406</v>
      </c>
      <c r="AE948" s="56"/>
      <c r="AG948" s="5"/>
    </row>
    <row r="949" spans="1:33" s="1" customFormat="1" x14ac:dyDescent="0.25">
      <c r="A949" s="49">
        <v>14</v>
      </c>
      <c r="B949" s="22" t="s">
        <v>1758</v>
      </c>
      <c r="C949" s="50" t="s">
        <v>411</v>
      </c>
      <c r="D949" s="51" t="s">
        <v>402</v>
      </c>
      <c r="E949" s="52" t="s">
        <v>405</v>
      </c>
      <c r="F949" s="52"/>
      <c r="G949" s="52" t="s">
        <v>194</v>
      </c>
      <c r="H949" s="52" t="s">
        <v>62</v>
      </c>
      <c r="I949" s="52">
        <v>2012</v>
      </c>
      <c r="J949" s="52"/>
      <c r="K949" s="52" t="s">
        <v>63</v>
      </c>
      <c r="L949" s="52" t="s">
        <v>167</v>
      </c>
      <c r="M949" s="52">
        <v>1</v>
      </c>
      <c r="N949" s="53">
        <f t="shared" si="359"/>
        <v>990000</v>
      </c>
      <c r="O949" s="53">
        <v>990000</v>
      </c>
      <c r="P949" s="52"/>
      <c r="Q949" s="52"/>
      <c r="R949" s="52"/>
      <c r="S949" s="53">
        <f t="shared" si="357"/>
        <v>990000</v>
      </c>
      <c r="T949" s="52">
        <v>5</v>
      </c>
      <c r="U949" s="53"/>
      <c r="V949" s="52">
        <v>0.5</v>
      </c>
      <c r="W949" s="53">
        <f t="shared" si="360"/>
        <v>0</v>
      </c>
      <c r="X949" s="52"/>
      <c r="Y949" s="53">
        <f t="shared" si="361"/>
        <v>0</v>
      </c>
      <c r="Z949" s="53">
        <f t="shared" si="362"/>
        <v>0</v>
      </c>
      <c r="AA949" s="52">
        <v>5</v>
      </c>
      <c r="AB949" s="53">
        <v>990000</v>
      </c>
      <c r="AC949" s="53">
        <f t="shared" si="358"/>
        <v>0</v>
      </c>
      <c r="AD949" s="56" t="s">
        <v>406</v>
      </c>
      <c r="AE949" s="56"/>
      <c r="AG949" s="5"/>
    </row>
    <row r="950" spans="1:33" s="1" customFormat="1" x14ac:dyDescent="0.25">
      <c r="A950" s="49">
        <v>15</v>
      </c>
      <c r="B950" s="22" t="s">
        <v>1758</v>
      </c>
      <c r="C950" s="50" t="s">
        <v>412</v>
      </c>
      <c r="D950" s="51" t="s">
        <v>402</v>
      </c>
      <c r="E950" s="52" t="s">
        <v>413</v>
      </c>
      <c r="F950" s="52"/>
      <c r="G950" s="52" t="s">
        <v>194</v>
      </c>
      <c r="H950" s="52" t="s">
        <v>62</v>
      </c>
      <c r="I950" s="52">
        <v>2013</v>
      </c>
      <c r="J950" s="52"/>
      <c r="K950" s="52" t="s">
        <v>63</v>
      </c>
      <c r="L950" s="52" t="s">
        <v>167</v>
      </c>
      <c r="M950" s="52">
        <v>3</v>
      </c>
      <c r="N950" s="53">
        <f t="shared" si="359"/>
        <v>1650000</v>
      </c>
      <c r="O950" s="53">
        <v>4950000</v>
      </c>
      <c r="P950" s="52"/>
      <c r="Q950" s="52"/>
      <c r="R950" s="52"/>
      <c r="S950" s="53">
        <f t="shared" si="357"/>
        <v>4950000</v>
      </c>
      <c r="T950" s="52">
        <v>5</v>
      </c>
      <c r="U950" s="53"/>
      <c r="V950" s="52">
        <v>0.5</v>
      </c>
      <c r="W950" s="53">
        <f t="shared" si="360"/>
        <v>0</v>
      </c>
      <c r="X950" s="52"/>
      <c r="Y950" s="53">
        <f t="shared" si="361"/>
        <v>0</v>
      </c>
      <c r="Z950" s="53">
        <f t="shared" si="362"/>
        <v>0</v>
      </c>
      <c r="AA950" s="52">
        <v>5</v>
      </c>
      <c r="AB950" s="53">
        <v>4950000</v>
      </c>
      <c r="AC950" s="53">
        <f t="shared" si="358"/>
        <v>0</v>
      </c>
      <c r="AD950" s="56" t="s">
        <v>250</v>
      </c>
      <c r="AE950" s="56"/>
      <c r="AG950" s="5"/>
    </row>
    <row r="951" spans="1:33" s="1" customFormat="1" x14ac:dyDescent="0.25">
      <c r="A951" s="49">
        <v>16</v>
      </c>
      <c r="B951" s="22" t="s">
        <v>1758</v>
      </c>
      <c r="C951" s="50" t="s">
        <v>414</v>
      </c>
      <c r="D951" s="51" t="s">
        <v>402</v>
      </c>
      <c r="E951" s="52" t="s">
        <v>415</v>
      </c>
      <c r="F951" s="52"/>
      <c r="G951" s="52" t="s">
        <v>194</v>
      </c>
      <c r="H951" s="52" t="s">
        <v>62</v>
      </c>
      <c r="I951" s="52">
        <v>2014</v>
      </c>
      <c r="J951" s="52"/>
      <c r="K951" s="52" t="s">
        <v>63</v>
      </c>
      <c r="L951" s="52" t="s">
        <v>64</v>
      </c>
      <c r="M951" s="52">
        <v>2</v>
      </c>
      <c r="N951" s="53">
        <f t="shared" si="359"/>
        <v>2431000</v>
      </c>
      <c r="O951" s="53">
        <v>4862000</v>
      </c>
      <c r="P951" s="52"/>
      <c r="Q951" s="52"/>
      <c r="R951" s="52"/>
      <c r="S951" s="53">
        <f t="shared" si="357"/>
        <v>4862000</v>
      </c>
      <c r="T951" s="52">
        <v>5</v>
      </c>
      <c r="U951" s="53"/>
      <c r="V951" s="52">
        <v>0.5</v>
      </c>
      <c r="W951" s="53">
        <f t="shared" si="360"/>
        <v>0</v>
      </c>
      <c r="X951" s="52"/>
      <c r="Y951" s="53">
        <f t="shared" si="361"/>
        <v>0</v>
      </c>
      <c r="Z951" s="53">
        <f t="shared" si="362"/>
        <v>0</v>
      </c>
      <c r="AA951" s="52">
        <v>5</v>
      </c>
      <c r="AB951" s="53">
        <v>4862000</v>
      </c>
      <c r="AC951" s="53">
        <f t="shared" si="358"/>
        <v>0</v>
      </c>
      <c r="AD951" s="56" t="s">
        <v>326</v>
      </c>
      <c r="AE951" s="56"/>
      <c r="AG951" s="5"/>
    </row>
    <row r="952" spans="1:33" s="1" customFormat="1" x14ac:dyDescent="0.25">
      <c r="A952" s="49">
        <v>17</v>
      </c>
      <c r="B952" s="22" t="s">
        <v>1758</v>
      </c>
      <c r="C952" s="50" t="s">
        <v>416</v>
      </c>
      <c r="D952" s="51" t="s">
        <v>402</v>
      </c>
      <c r="E952" s="52" t="s">
        <v>415</v>
      </c>
      <c r="F952" s="52"/>
      <c r="G952" s="52" t="s">
        <v>194</v>
      </c>
      <c r="H952" s="52" t="s">
        <v>62</v>
      </c>
      <c r="I952" s="52">
        <v>2014</v>
      </c>
      <c r="J952" s="52"/>
      <c r="K952" s="52" t="s">
        <v>63</v>
      </c>
      <c r="L952" s="52" t="s">
        <v>64</v>
      </c>
      <c r="M952" s="52">
        <v>1</v>
      </c>
      <c r="N952" s="53">
        <f t="shared" si="359"/>
        <v>2431000</v>
      </c>
      <c r="O952" s="53">
        <v>2431000</v>
      </c>
      <c r="P952" s="52"/>
      <c r="Q952" s="52"/>
      <c r="R952" s="52"/>
      <c r="S952" s="53">
        <f t="shared" si="357"/>
        <v>2431000</v>
      </c>
      <c r="T952" s="52">
        <v>5</v>
      </c>
      <c r="U952" s="53"/>
      <c r="V952" s="52">
        <v>0.5</v>
      </c>
      <c r="W952" s="53">
        <f t="shared" si="360"/>
        <v>0</v>
      </c>
      <c r="X952" s="52"/>
      <c r="Y952" s="53">
        <f t="shared" si="361"/>
        <v>0</v>
      </c>
      <c r="Z952" s="53">
        <f t="shared" si="362"/>
        <v>0</v>
      </c>
      <c r="AA952" s="52">
        <v>5</v>
      </c>
      <c r="AB952" s="53">
        <v>2431000</v>
      </c>
      <c r="AC952" s="53">
        <f t="shared" si="358"/>
        <v>0</v>
      </c>
      <c r="AD952" s="56" t="s">
        <v>324</v>
      </c>
      <c r="AE952" s="56"/>
      <c r="AG952" s="5"/>
    </row>
    <row r="953" spans="1:33" s="1" customFormat="1" x14ac:dyDescent="0.25">
      <c r="A953" s="49">
        <v>18</v>
      </c>
      <c r="B953" s="22" t="s">
        <v>1758</v>
      </c>
      <c r="C953" s="50" t="s">
        <v>417</v>
      </c>
      <c r="D953" s="51" t="s">
        <v>402</v>
      </c>
      <c r="E953" s="52" t="s">
        <v>415</v>
      </c>
      <c r="F953" s="52"/>
      <c r="G953" s="52" t="s">
        <v>194</v>
      </c>
      <c r="H953" s="52" t="s">
        <v>62</v>
      </c>
      <c r="I953" s="52">
        <v>2014</v>
      </c>
      <c r="J953" s="52"/>
      <c r="K953" s="52" t="s">
        <v>63</v>
      </c>
      <c r="L953" s="52" t="s">
        <v>64</v>
      </c>
      <c r="M953" s="52">
        <v>1</v>
      </c>
      <c r="N953" s="53">
        <f t="shared" si="359"/>
        <v>2431000</v>
      </c>
      <c r="O953" s="53">
        <v>2431000</v>
      </c>
      <c r="P953" s="52"/>
      <c r="Q953" s="52"/>
      <c r="R953" s="52"/>
      <c r="S953" s="53">
        <f t="shared" si="357"/>
        <v>2431000</v>
      </c>
      <c r="T953" s="52">
        <v>5</v>
      </c>
      <c r="U953" s="53"/>
      <c r="V953" s="52">
        <v>0.5</v>
      </c>
      <c r="W953" s="53">
        <f t="shared" si="360"/>
        <v>0</v>
      </c>
      <c r="X953" s="52"/>
      <c r="Y953" s="53">
        <f t="shared" si="361"/>
        <v>0</v>
      </c>
      <c r="Z953" s="53">
        <f t="shared" si="362"/>
        <v>0</v>
      </c>
      <c r="AA953" s="52">
        <v>5</v>
      </c>
      <c r="AB953" s="53">
        <v>2431000</v>
      </c>
      <c r="AC953" s="53">
        <f t="shared" si="358"/>
        <v>0</v>
      </c>
      <c r="AD953" s="56" t="s">
        <v>322</v>
      </c>
      <c r="AE953" s="56"/>
      <c r="AG953" s="5"/>
    </row>
    <row r="954" spans="1:33" s="1" customFormat="1" x14ac:dyDescent="0.25">
      <c r="A954" s="49">
        <v>19</v>
      </c>
      <c r="B954" s="22" t="s">
        <v>1758</v>
      </c>
      <c r="C954" s="50" t="s">
        <v>418</v>
      </c>
      <c r="D954" s="51" t="s">
        <v>402</v>
      </c>
      <c r="E954" s="52" t="s">
        <v>415</v>
      </c>
      <c r="F954" s="52"/>
      <c r="G954" s="52" t="s">
        <v>194</v>
      </c>
      <c r="H954" s="52" t="s">
        <v>62</v>
      </c>
      <c r="I954" s="52">
        <v>2014</v>
      </c>
      <c r="J954" s="52"/>
      <c r="K954" s="52" t="s">
        <v>63</v>
      </c>
      <c r="L954" s="52" t="s">
        <v>64</v>
      </c>
      <c r="M954" s="52">
        <v>2</v>
      </c>
      <c r="N954" s="53">
        <f t="shared" si="359"/>
        <v>2431000</v>
      </c>
      <c r="O954" s="53">
        <v>4862000</v>
      </c>
      <c r="P954" s="52"/>
      <c r="Q954" s="52"/>
      <c r="R954" s="52"/>
      <c r="S954" s="53">
        <f t="shared" si="357"/>
        <v>4862000</v>
      </c>
      <c r="T954" s="52">
        <v>5</v>
      </c>
      <c r="U954" s="53"/>
      <c r="V954" s="52">
        <v>0.5</v>
      </c>
      <c r="W954" s="53">
        <f t="shared" si="360"/>
        <v>0</v>
      </c>
      <c r="X954" s="52"/>
      <c r="Y954" s="53">
        <f t="shared" si="361"/>
        <v>0</v>
      </c>
      <c r="Z954" s="53">
        <f t="shared" si="362"/>
        <v>0</v>
      </c>
      <c r="AA954" s="52">
        <v>5</v>
      </c>
      <c r="AB954" s="53">
        <v>4862000</v>
      </c>
      <c r="AC954" s="53">
        <f t="shared" si="358"/>
        <v>0</v>
      </c>
      <c r="AD954" s="56" t="s">
        <v>218</v>
      </c>
      <c r="AE954" s="56"/>
      <c r="AG954" s="5"/>
    </row>
    <row r="955" spans="1:33" s="1" customFormat="1" x14ac:dyDescent="0.25">
      <c r="A955" s="49">
        <v>20</v>
      </c>
      <c r="B955" s="22" t="s">
        <v>1758</v>
      </c>
      <c r="C955" s="50" t="s">
        <v>419</v>
      </c>
      <c r="D955" s="51" t="s">
        <v>402</v>
      </c>
      <c r="E955" s="52" t="s">
        <v>415</v>
      </c>
      <c r="F955" s="52"/>
      <c r="G955" s="52" t="s">
        <v>194</v>
      </c>
      <c r="H955" s="52" t="s">
        <v>62</v>
      </c>
      <c r="I955" s="52">
        <v>2014</v>
      </c>
      <c r="J955" s="52"/>
      <c r="K955" s="52" t="s">
        <v>63</v>
      </c>
      <c r="L955" s="52" t="s">
        <v>64</v>
      </c>
      <c r="M955" s="52">
        <v>4</v>
      </c>
      <c r="N955" s="53">
        <f t="shared" si="359"/>
        <v>2431000</v>
      </c>
      <c r="O955" s="53">
        <v>9724000</v>
      </c>
      <c r="P955" s="52"/>
      <c r="Q955" s="52"/>
      <c r="R955" s="52"/>
      <c r="S955" s="53">
        <f t="shared" si="357"/>
        <v>9724000</v>
      </c>
      <c r="T955" s="52">
        <v>5</v>
      </c>
      <c r="U955" s="53"/>
      <c r="V955" s="52">
        <v>0.5</v>
      </c>
      <c r="W955" s="53">
        <f t="shared" si="360"/>
        <v>0</v>
      </c>
      <c r="X955" s="52"/>
      <c r="Y955" s="53">
        <f t="shared" si="361"/>
        <v>0</v>
      </c>
      <c r="Z955" s="53">
        <f t="shared" si="362"/>
        <v>0</v>
      </c>
      <c r="AA955" s="52">
        <v>5</v>
      </c>
      <c r="AB955" s="53">
        <v>9724000</v>
      </c>
      <c r="AC955" s="53">
        <f t="shared" si="358"/>
        <v>0</v>
      </c>
      <c r="AD955" s="56" t="s">
        <v>328</v>
      </c>
      <c r="AE955" s="56"/>
      <c r="AG955" s="5"/>
    </row>
    <row r="956" spans="1:33" s="1" customFormat="1" x14ac:dyDescent="0.25">
      <c r="A956" s="49">
        <v>21</v>
      </c>
      <c r="B956" s="22" t="s">
        <v>1758</v>
      </c>
      <c r="C956" s="50" t="s">
        <v>420</v>
      </c>
      <c r="D956" s="51" t="s">
        <v>402</v>
      </c>
      <c r="E956" s="52" t="s">
        <v>415</v>
      </c>
      <c r="F956" s="52"/>
      <c r="G956" s="52" t="s">
        <v>194</v>
      </c>
      <c r="H956" s="52" t="s">
        <v>62</v>
      </c>
      <c r="I956" s="52">
        <v>2014</v>
      </c>
      <c r="J956" s="52"/>
      <c r="K956" s="52" t="s">
        <v>63</v>
      </c>
      <c r="L956" s="52" t="s">
        <v>64</v>
      </c>
      <c r="M956" s="52">
        <v>1</v>
      </c>
      <c r="N956" s="53">
        <f t="shared" si="359"/>
        <v>2431000</v>
      </c>
      <c r="O956" s="53">
        <v>2431000</v>
      </c>
      <c r="P956" s="52"/>
      <c r="Q956" s="52"/>
      <c r="R956" s="52"/>
      <c r="S956" s="53">
        <f t="shared" si="357"/>
        <v>2431000</v>
      </c>
      <c r="T956" s="52">
        <v>5</v>
      </c>
      <c r="U956" s="53"/>
      <c r="V956" s="52">
        <v>0.5</v>
      </c>
      <c r="W956" s="53">
        <f t="shared" si="360"/>
        <v>0</v>
      </c>
      <c r="X956" s="52"/>
      <c r="Y956" s="53">
        <f t="shared" si="361"/>
        <v>0</v>
      </c>
      <c r="Z956" s="53">
        <f t="shared" si="362"/>
        <v>0</v>
      </c>
      <c r="AA956" s="52">
        <v>5</v>
      </c>
      <c r="AB956" s="53">
        <v>2431000</v>
      </c>
      <c r="AC956" s="53">
        <f t="shared" si="358"/>
        <v>0</v>
      </c>
      <c r="AD956" s="56" t="s">
        <v>331</v>
      </c>
      <c r="AE956" s="56"/>
      <c r="AG956" s="5"/>
    </row>
    <row r="957" spans="1:33" s="1" customFormat="1" x14ac:dyDescent="0.25">
      <c r="A957" s="49">
        <v>22</v>
      </c>
      <c r="B957" s="22" t="s">
        <v>1758</v>
      </c>
      <c r="C957" s="50" t="s">
        <v>421</v>
      </c>
      <c r="D957" s="51" t="s">
        <v>402</v>
      </c>
      <c r="E957" s="52" t="s">
        <v>415</v>
      </c>
      <c r="F957" s="52"/>
      <c r="G957" s="52" t="s">
        <v>194</v>
      </c>
      <c r="H957" s="52" t="s">
        <v>62</v>
      </c>
      <c r="I957" s="52">
        <v>2014</v>
      </c>
      <c r="J957" s="52"/>
      <c r="K957" s="52" t="s">
        <v>63</v>
      </c>
      <c r="L957" s="52" t="s">
        <v>64</v>
      </c>
      <c r="M957" s="52">
        <v>3</v>
      </c>
      <c r="N957" s="53">
        <f t="shared" si="359"/>
        <v>2431000</v>
      </c>
      <c r="O957" s="53">
        <v>7293000</v>
      </c>
      <c r="P957" s="52"/>
      <c r="Q957" s="52"/>
      <c r="R957" s="52"/>
      <c r="S957" s="53">
        <f t="shared" si="357"/>
        <v>7293000</v>
      </c>
      <c r="T957" s="52">
        <v>5</v>
      </c>
      <c r="U957" s="53"/>
      <c r="V957" s="52">
        <v>0.5</v>
      </c>
      <c r="W957" s="53">
        <f t="shared" si="360"/>
        <v>0</v>
      </c>
      <c r="X957" s="52"/>
      <c r="Y957" s="53">
        <f t="shared" si="361"/>
        <v>0</v>
      </c>
      <c r="Z957" s="53">
        <f t="shared" si="362"/>
        <v>0</v>
      </c>
      <c r="AA957" s="52">
        <v>5</v>
      </c>
      <c r="AB957" s="53">
        <v>7293000</v>
      </c>
      <c r="AC957" s="53">
        <f t="shared" si="358"/>
        <v>0</v>
      </c>
      <c r="AD957" s="56" t="s">
        <v>276</v>
      </c>
      <c r="AE957" s="56"/>
      <c r="AG957" s="5"/>
    </row>
    <row r="958" spans="1:33" s="1" customFormat="1" x14ac:dyDescent="0.25">
      <c r="A958" s="49">
        <v>23</v>
      </c>
      <c r="B958" s="22" t="s">
        <v>1758</v>
      </c>
      <c r="C958" s="50" t="s">
        <v>422</v>
      </c>
      <c r="D958" s="51" t="s">
        <v>402</v>
      </c>
      <c r="E958" s="52" t="s">
        <v>415</v>
      </c>
      <c r="F958" s="52"/>
      <c r="G958" s="52" t="s">
        <v>194</v>
      </c>
      <c r="H958" s="52" t="s">
        <v>62</v>
      </c>
      <c r="I958" s="52">
        <v>2014</v>
      </c>
      <c r="J958" s="52"/>
      <c r="K958" s="52" t="s">
        <v>63</v>
      </c>
      <c r="L958" s="52" t="s">
        <v>64</v>
      </c>
      <c r="M958" s="52">
        <v>1</v>
      </c>
      <c r="N958" s="53">
        <f t="shared" si="359"/>
        <v>2431000</v>
      </c>
      <c r="O958" s="53">
        <v>2431000</v>
      </c>
      <c r="P958" s="52"/>
      <c r="Q958" s="52"/>
      <c r="R958" s="52"/>
      <c r="S958" s="53">
        <f t="shared" si="357"/>
        <v>2431000</v>
      </c>
      <c r="T958" s="52">
        <v>5</v>
      </c>
      <c r="U958" s="53"/>
      <c r="V958" s="52">
        <v>0.5</v>
      </c>
      <c r="W958" s="53">
        <f t="shared" si="360"/>
        <v>0</v>
      </c>
      <c r="X958" s="52"/>
      <c r="Y958" s="53">
        <f t="shared" si="361"/>
        <v>0</v>
      </c>
      <c r="Z958" s="53">
        <f t="shared" si="362"/>
        <v>0</v>
      </c>
      <c r="AA958" s="52">
        <v>5</v>
      </c>
      <c r="AB958" s="53">
        <v>2431000</v>
      </c>
      <c r="AC958" s="53">
        <f t="shared" si="358"/>
        <v>0</v>
      </c>
      <c r="AD958" s="56" t="s">
        <v>208</v>
      </c>
      <c r="AE958" s="56"/>
      <c r="AG958" s="5"/>
    </row>
    <row r="959" spans="1:33" s="1" customFormat="1" x14ac:dyDescent="0.25">
      <c r="A959" s="49">
        <v>24</v>
      </c>
      <c r="B959" s="22" t="s">
        <v>1758</v>
      </c>
      <c r="C959" s="50" t="s">
        <v>423</v>
      </c>
      <c r="D959" s="51" t="s">
        <v>402</v>
      </c>
      <c r="E959" s="52" t="s">
        <v>415</v>
      </c>
      <c r="F959" s="52"/>
      <c r="G959" s="52" t="s">
        <v>194</v>
      </c>
      <c r="H959" s="52" t="s">
        <v>62</v>
      </c>
      <c r="I959" s="52">
        <v>2014</v>
      </c>
      <c r="J959" s="52"/>
      <c r="K959" s="52" t="s">
        <v>63</v>
      </c>
      <c r="L959" s="52" t="s">
        <v>64</v>
      </c>
      <c r="M959" s="52">
        <v>1</v>
      </c>
      <c r="N959" s="53">
        <f t="shared" si="359"/>
        <v>2431000</v>
      </c>
      <c r="O959" s="53">
        <v>2431000</v>
      </c>
      <c r="P959" s="52"/>
      <c r="Q959" s="52"/>
      <c r="R959" s="52"/>
      <c r="S959" s="53">
        <f t="shared" si="357"/>
        <v>2431000</v>
      </c>
      <c r="T959" s="52">
        <v>5</v>
      </c>
      <c r="U959" s="53"/>
      <c r="V959" s="52">
        <v>0.5</v>
      </c>
      <c r="W959" s="53">
        <f t="shared" si="360"/>
        <v>0</v>
      </c>
      <c r="X959" s="52"/>
      <c r="Y959" s="53">
        <f t="shared" si="361"/>
        <v>0</v>
      </c>
      <c r="Z959" s="53">
        <f t="shared" si="362"/>
        <v>0</v>
      </c>
      <c r="AA959" s="52">
        <v>5</v>
      </c>
      <c r="AB959" s="53">
        <v>2431000</v>
      </c>
      <c r="AC959" s="53">
        <f t="shared" si="358"/>
        <v>0</v>
      </c>
      <c r="AD959" s="56" t="s">
        <v>333</v>
      </c>
      <c r="AE959" s="56"/>
      <c r="AG959" s="5"/>
    </row>
    <row r="960" spans="1:33" s="1" customFormat="1" x14ac:dyDescent="0.25">
      <c r="A960" s="49">
        <v>25</v>
      </c>
      <c r="B960" s="22" t="s">
        <v>1758</v>
      </c>
      <c r="C960" s="50" t="s">
        <v>424</v>
      </c>
      <c r="D960" s="51" t="s">
        <v>402</v>
      </c>
      <c r="E960" s="52" t="s">
        <v>415</v>
      </c>
      <c r="F960" s="52"/>
      <c r="G960" s="52" t="s">
        <v>194</v>
      </c>
      <c r="H960" s="52" t="s">
        <v>62</v>
      </c>
      <c r="I960" s="52">
        <v>2014</v>
      </c>
      <c r="J960" s="52"/>
      <c r="K960" s="52" t="s">
        <v>63</v>
      </c>
      <c r="L960" s="52" t="s">
        <v>64</v>
      </c>
      <c r="M960" s="52">
        <v>2</v>
      </c>
      <c r="N960" s="53">
        <f t="shared" si="359"/>
        <v>2431000</v>
      </c>
      <c r="O960" s="53">
        <v>4862000</v>
      </c>
      <c r="P960" s="52"/>
      <c r="Q960" s="52"/>
      <c r="R960" s="52"/>
      <c r="S960" s="53">
        <f t="shared" si="357"/>
        <v>4862000</v>
      </c>
      <c r="T960" s="52">
        <v>5</v>
      </c>
      <c r="U960" s="53"/>
      <c r="V960" s="52">
        <v>0.5</v>
      </c>
      <c r="W960" s="53">
        <f t="shared" si="360"/>
        <v>0</v>
      </c>
      <c r="X960" s="52"/>
      <c r="Y960" s="53">
        <f t="shared" si="361"/>
        <v>0</v>
      </c>
      <c r="Z960" s="53">
        <f t="shared" si="362"/>
        <v>0</v>
      </c>
      <c r="AA960" s="52">
        <v>5</v>
      </c>
      <c r="AB960" s="53">
        <v>4862000</v>
      </c>
      <c r="AC960" s="53">
        <f t="shared" si="358"/>
        <v>0</v>
      </c>
      <c r="AD960" s="56" t="s">
        <v>250</v>
      </c>
      <c r="AE960" s="56"/>
      <c r="AG960" s="5"/>
    </row>
    <row r="961" spans="1:33" s="1" customFormat="1" x14ac:dyDescent="0.25">
      <c r="A961" s="49">
        <v>26</v>
      </c>
      <c r="B961" s="22" t="s">
        <v>1758</v>
      </c>
      <c r="C961" s="50" t="s">
        <v>425</v>
      </c>
      <c r="D961" s="51" t="s">
        <v>402</v>
      </c>
      <c r="E961" s="52" t="s">
        <v>426</v>
      </c>
      <c r="F961" s="52"/>
      <c r="G961" s="52" t="s">
        <v>194</v>
      </c>
      <c r="H961" s="52" t="s">
        <v>62</v>
      </c>
      <c r="I961" s="52">
        <v>2014</v>
      </c>
      <c r="J961" s="52"/>
      <c r="K961" s="52" t="s">
        <v>63</v>
      </c>
      <c r="L961" s="52" t="s">
        <v>167</v>
      </c>
      <c r="M961" s="52">
        <v>3</v>
      </c>
      <c r="N961" s="53">
        <f t="shared" si="359"/>
        <v>2035000</v>
      </c>
      <c r="O961" s="53">
        <v>6105000</v>
      </c>
      <c r="P961" s="52"/>
      <c r="Q961" s="52"/>
      <c r="R961" s="52"/>
      <c r="S961" s="53">
        <f t="shared" si="357"/>
        <v>6105000</v>
      </c>
      <c r="T961" s="52">
        <v>5</v>
      </c>
      <c r="U961" s="53"/>
      <c r="V961" s="52">
        <v>0.5</v>
      </c>
      <c r="W961" s="53">
        <f t="shared" si="360"/>
        <v>0</v>
      </c>
      <c r="X961" s="52"/>
      <c r="Y961" s="53">
        <f t="shared" si="361"/>
        <v>0</v>
      </c>
      <c r="Z961" s="53">
        <f t="shared" si="362"/>
        <v>0</v>
      </c>
      <c r="AA961" s="52">
        <v>5</v>
      </c>
      <c r="AB961" s="53">
        <v>6105000</v>
      </c>
      <c r="AC961" s="53">
        <f t="shared" si="358"/>
        <v>0</v>
      </c>
      <c r="AD961" s="56" t="s">
        <v>250</v>
      </c>
      <c r="AE961" s="56"/>
      <c r="AG961" s="5"/>
    </row>
    <row r="962" spans="1:33" s="1" customFormat="1" x14ac:dyDescent="0.25">
      <c r="A962" s="49">
        <v>27</v>
      </c>
      <c r="B962" s="22" t="s">
        <v>1758</v>
      </c>
      <c r="C962" s="50" t="s">
        <v>427</v>
      </c>
      <c r="D962" s="51" t="s">
        <v>402</v>
      </c>
      <c r="E962" s="52" t="s">
        <v>426</v>
      </c>
      <c r="F962" s="52"/>
      <c r="G962" s="52" t="s">
        <v>194</v>
      </c>
      <c r="H962" s="52" t="s">
        <v>62</v>
      </c>
      <c r="I962" s="52">
        <v>2014</v>
      </c>
      <c r="J962" s="52"/>
      <c r="K962" s="52" t="s">
        <v>63</v>
      </c>
      <c r="L962" s="52" t="s">
        <v>167</v>
      </c>
      <c r="M962" s="52">
        <v>1</v>
      </c>
      <c r="N962" s="53">
        <f t="shared" si="359"/>
        <v>2035000</v>
      </c>
      <c r="O962" s="53">
        <v>2035000</v>
      </c>
      <c r="P962" s="52"/>
      <c r="Q962" s="52"/>
      <c r="R962" s="52"/>
      <c r="S962" s="53">
        <f t="shared" si="357"/>
        <v>2035000</v>
      </c>
      <c r="T962" s="52">
        <v>5</v>
      </c>
      <c r="U962" s="53"/>
      <c r="V962" s="52">
        <v>0.5</v>
      </c>
      <c r="W962" s="53">
        <f t="shared" si="360"/>
        <v>0</v>
      </c>
      <c r="X962" s="52"/>
      <c r="Y962" s="53">
        <f t="shared" si="361"/>
        <v>0</v>
      </c>
      <c r="Z962" s="53">
        <f t="shared" si="362"/>
        <v>0</v>
      </c>
      <c r="AA962" s="52">
        <v>5</v>
      </c>
      <c r="AB962" s="53">
        <v>2035000</v>
      </c>
      <c r="AC962" s="53">
        <f t="shared" si="358"/>
        <v>0</v>
      </c>
      <c r="AD962" s="56" t="s">
        <v>250</v>
      </c>
      <c r="AE962" s="56"/>
      <c r="AG962" s="5"/>
    </row>
    <row r="963" spans="1:33" s="1" customFormat="1" x14ac:dyDescent="0.25">
      <c r="A963" s="49">
        <v>28</v>
      </c>
      <c r="B963" s="22" t="s">
        <v>1758</v>
      </c>
      <c r="C963" s="50" t="s">
        <v>428</v>
      </c>
      <c r="D963" s="51" t="s">
        <v>402</v>
      </c>
      <c r="E963" s="52" t="s">
        <v>426</v>
      </c>
      <c r="F963" s="52"/>
      <c r="G963" s="52" t="s">
        <v>194</v>
      </c>
      <c r="H963" s="52" t="s">
        <v>62</v>
      </c>
      <c r="I963" s="52">
        <v>2014</v>
      </c>
      <c r="J963" s="52"/>
      <c r="K963" s="52" t="s">
        <v>63</v>
      </c>
      <c r="L963" s="52" t="s">
        <v>302</v>
      </c>
      <c r="M963" s="52">
        <v>1</v>
      </c>
      <c r="N963" s="53">
        <f t="shared" si="359"/>
        <v>2035000</v>
      </c>
      <c r="O963" s="53">
        <v>2035000</v>
      </c>
      <c r="P963" s="52"/>
      <c r="Q963" s="52"/>
      <c r="R963" s="52"/>
      <c r="S963" s="53">
        <f t="shared" si="357"/>
        <v>2035000</v>
      </c>
      <c r="T963" s="52">
        <v>5</v>
      </c>
      <c r="U963" s="53"/>
      <c r="V963" s="52">
        <v>0.5</v>
      </c>
      <c r="W963" s="53">
        <f t="shared" si="360"/>
        <v>0</v>
      </c>
      <c r="X963" s="52"/>
      <c r="Y963" s="53">
        <f t="shared" si="361"/>
        <v>0</v>
      </c>
      <c r="Z963" s="53">
        <f t="shared" si="362"/>
        <v>0</v>
      </c>
      <c r="AA963" s="52">
        <v>5</v>
      </c>
      <c r="AB963" s="53">
        <v>2035000</v>
      </c>
      <c r="AC963" s="53">
        <f t="shared" si="358"/>
        <v>0</v>
      </c>
      <c r="AD963" s="56" t="s">
        <v>276</v>
      </c>
      <c r="AE963" s="56"/>
      <c r="AG963" s="5"/>
    </row>
    <row r="964" spans="1:33" s="1" customFormat="1" x14ac:dyDescent="0.25">
      <c r="A964" s="49">
        <v>29</v>
      </c>
      <c r="B964" s="22" t="s">
        <v>1758</v>
      </c>
      <c r="C964" s="50" t="s">
        <v>429</v>
      </c>
      <c r="D964" s="51" t="s">
        <v>402</v>
      </c>
      <c r="E964" s="52" t="s">
        <v>430</v>
      </c>
      <c r="F964" s="52"/>
      <c r="G964" s="52" t="s">
        <v>194</v>
      </c>
      <c r="H964" s="52" t="s">
        <v>62</v>
      </c>
      <c r="I964" s="52">
        <v>2014</v>
      </c>
      <c r="J964" s="52"/>
      <c r="K964" s="52" t="s">
        <v>63</v>
      </c>
      <c r="L964" s="52" t="s">
        <v>64</v>
      </c>
      <c r="M964" s="52">
        <v>1</v>
      </c>
      <c r="N964" s="53">
        <f t="shared" si="359"/>
        <v>2497000</v>
      </c>
      <c r="O964" s="53">
        <v>2497000</v>
      </c>
      <c r="P964" s="52"/>
      <c r="Q964" s="52"/>
      <c r="R964" s="52"/>
      <c r="S964" s="53">
        <f t="shared" si="357"/>
        <v>2497000</v>
      </c>
      <c r="T964" s="52">
        <v>5</v>
      </c>
      <c r="U964" s="53"/>
      <c r="V964" s="52">
        <v>0.5</v>
      </c>
      <c r="W964" s="53">
        <f t="shared" si="360"/>
        <v>0</v>
      </c>
      <c r="X964" s="52"/>
      <c r="Y964" s="53">
        <f t="shared" si="361"/>
        <v>0</v>
      </c>
      <c r="Z964" s="53">
        <f t="shared" si="362"/>
        <v>0</v>
      </c>
      <c r="AA964" s="52">
        <v>5</v>
      </c>
      <c r="AB964" s="53">
        <v>2497000</v>
      </c>
      <c r="AC964" s="53">
        <f t="shared" si="358"/>
        <v>0</v>
      </c>
      <c r="AD964" s="56" t="s">
        <v>328</v>
      </c>
      <c r="AE964" s="56"/>
      <c r="AG964" s="5"/>
    </row>
    <row r="965" spans="1:33" s="1" customFormat="1" x14ac:dyDescent="0.25">
      <c r="A965" s="49">
        <v>30</v>
      </c>
      <c r="B965" s="22" t="s">
        <v>1758</v>
      </c>
      <c r="C965" s="50" t="s">
        <v>431</v>
      </c>
      <c r="D965" s="51" t="s">
        <v>402</v>
      </c>
      <c r="E965" s="52" t="s">
        <v>430</v>
      </c>
      <c r="F965" s="52"/>
      <c r="G965" s="52" t="s">
        <v>194</v>
      </c>
      <c r="H965" s="52" t="s">
        <v>62</v>
      </c>
      <c r="I965" s="52">
        <v>2014</v>
      </c>
      <c r="J965" s="52"/>
      <c r="K965" s="52" t="s">
        <v>63</v>
      </c>
      <c r="L965" s="52" t="s">
        <v>64</v>
      </c>
      <c r="M965" s="52">
        <v>1</v>
      </c>
      <c r="N965" s="53">
        <f t="shared" si="359"/>
        <v>2497000</v>
      </c>
      <c r="O965" s="53">
        <v>2497000</v>
      </c>
      <c r="P965" s="52"/>
      <c r="Q965" s="52"/>
      <c r="R965" s="52"/>
      <c r="S965" s="53">
        <f t="shared" si="357"/>
        <v>2497000</v>
      </c>
      <c r="T965" s="52">
        <v>5</v>
      </c>
      <c r="U965" s="53"/>
      <c r="V965" s="52">
        <v>0.5</v>
      </c>
      <c r="W965" s="53">
        <f t="shared" si="360"/>
        <v>0</v>
      </c>
      <c r="X965" s="52"/>
      <c r="Y965" s="53">
        <f t="shared" si="361"/>
        <v>0</v>
      </c>
      <c r="Z965" s="53">
        <f t="shared" si="362"/>
        <v>0</v>
      </c>
      <c r="AA965" s="52">
        <v>5</v>
      </c>
      <c r="AB965" s="53">
        <v>2497000</v>
      </c>
      <c r="AC965" s="53">
        <f t="shared" si="358"/>
        <v>0</v>
      </c>
      <c r="AD965" s="56" t="s">
        <v>331</v>
      </c>
      <c r="AE965" s="56"/>
      <c r="AG965" s="5"/>
    </row>
    <row r="966" spans="1:33" s="1" customFormat="1" x14ac:dyDescent="0.25">
      <c r="A966" s="49">
        <v>31</v>
      </c>
      <c r="B966" s="22" t="s">
        <v>1758</v>
      </c>
      <c r="C966" s="50" t="s">
        <v>432</v>
      </c>
      <c r="D966" s="51" t="s">
        <v>402</v>
      </c>
      <c r="E966" s="52" t="s">
        <v>433</v>
      </c>
      <c r="F966" s="52"/>
      <c r="G966" s="52" t="s">
        <v>194</v>
      </c>
      <c r="H966" s="52" t="s">
        <v>62</v>
      </c>
      <c r="I966" s="52">
        <v>2017</v>
      </c>
      <c r="J966" s="52"/>
      <c r="K966" s="52" t="s">
        <v>63</v>
      </c>
      <c r="L966" s="52" t="s">
        <v>64</v>
      </c>
      <c r="M966" s="52">
        <v>2</v>
      </c>
      <c r="N966" s="53">
        <f t="shared" si="359"/>
        <v>2497000</v>
      </c>
      <c r="O966" s="53">
        <v>4994000</v>
      </c>
      <c r="P966" s="52"/>
      <c r="Q966" s="52"/>
      <c r="R966" s="52"/>
      <c r="S966" s="53">
        <f t="shared" si="357"/>
        <v>4994000</v>
      </c>
      <c r="T966" s="52">
        <v>5</v>
      </c>
      <c r="U966" s="53"/>
      <c r="V966" s="52"/>
      <c r="W966" s="53"/>
      <c r="X966" s="52"/>
      <c r="Y966" s="53"/>
      <c r="Z966" s="53"/>
      <c r="AA966" s="57">
        <v>5</v>
      </c>
      <c r="AB966" s="53">
        <v>4994000</v>
      </c>
      <c r="AC966" s="53">
        <f t="shared" si="358"/>
        <v>0</v>
      </c>
      <c r="AD966" s="56" t="s">
        <v>434</v>
      </c>
      <c r="AE966" s="56"/>
      <c r="AG966" s="5"/>
    </row>
    <row r="967" spans="1:33" s="1" customFormat="1" x14ac:dyDescent="0.25">
      <c r="A967" s="49">
        <v>32</v>
      </c>
      <c r="B967" s="22" t="s">
        <v>1758</v>
      </c>
      <c r="C967" s="50" t="s">
        <v>435</v>
      </c>
      <c r="D967" s="51" t="s">
        <v>402</v>
      </c>
      <c r="E967" s="52" t="s">
        <v>433</v>
      </c>
      <c r="F967" s="52"/>
      <c r="G967" s="52" t="s">
        <v>194</v>
      </c>
      <c r="H967" s="52" t="s">
        <v>62</v>
      </c>
      <c r="I967" s="52">
        <v>2017</v>
      </c>
      <c r="J967" s="52"/>
      <c r="K967" s="52" t="s">
        <v>63</v>
      </c>
      <c r="L967" s="52" t="s">
        <v>64</v>
      </c>
      <c r="M967" s="52">
        <v>1</v>
      </c>
      <c r="N967" s="53">
        <f t="shared" si="359"/>
        <v>2497000</v>
      </c>
      <c r="O967" s="53">
        <v>2497000</v>
      </c>
      <c r="P967" s="52"/>
      <c r="Q967" s="52"/>
      <c r="R967" s="52"/>
      <c r="S967" s="53">
        <f t="shared" si="357"/>
        <v>2497000</v>
      </c>
      <c r="T967" s="52">
        <v>5</v>
      </c>
      <c r="U967" s="53"/>
      <c r="V967" s="52"/>
      <c r="W967" s="53"/>
      <c r="X967" s="52"/>
      <c r="Y967" s="53"/>
      <c r="Z967" s="53"/>
      <c r="AA967" s="57">
        <v>5</v>
      </c>
      <c r="AB967" s="53">
        <v>2497000</v>
      </c>
      <c r="AC967" s="53">
        <f t="shared" si="358"/>
        <v>0</v>
      </c>
      <c r="AD967" s="56" t="s">
        <v>331</v>
      </c>
      <c r="AE967" s="56"/>
      <c r="AG967" s="5"/>
    </row>
    <row r="968" spans="1:33" s="1" customFormat="1" x14ac:dyDescent="0.25">
      <c r="A968" s="49">
        <v>33</v>
      </c>
      <c r="B968" s="22" t="s">
        <v>1758</v>
      </c>
      <c r="C968" s="50" t="s">
        <v>436</v>
      </c>
      <c r="D968" s="51" t="s">
        <v>402</v>
      </c>
      <c r="E968" s="52" t="s">
        <v>433</v>
      </c>
      <c r="F968" s="52"/>
      <c r="G968" s="52" t="s">
        <v>194</v>
      </c>
      <c r="H968" s="52" t="s">
        <v>62</v>
      </c>
      <c r="I968" s="52">
        <v>2017</v>
      </c>
      <c r="J968" s="52"/>
      <c r="K968" s="52" t="s">
        <v>63</v>
      </c>
      <c r="L968" s="52" t="s">
        <v>64</v>
      </c>
      <c r="M968" s="52">
        <v>1</v>
      </c>
      <c r="N968" s="53">
        <f t="shared" si="359"/>
        <v>2497000</v>
      </c>
      <c r="O968" s="53">
        <v>2497000</v>
      </c>
      <c r="P968" s="52"/>
      <c r="Q968" s="52"/>
      <c r="R968" s="52"/>
      <c r="S968" s="53">
        <f t="shared" si="357"/>
        <v>2497000</v>
      </c>
      <c r="T968" s="52">
        <v>5</v>
      </c>
      <c r="U968" s="53"/>
      <c r="V968" s="52"/>
      <c r="W968" s="53"/>
      <c r="X968" s="52"/>
      <c r="Y968" s="53"/>
      <c r="Z968" s="53"/>
      <c r="AA968" s="57">
        <v>5</v>
      </c>
      <c r="AB968" s="53">
        <v>2497000</v>
      </c>
      <c r="AC968" s="53">
        <f t="shared" si="358"/>
        <v>0</v>
      </c>
      <c r="AD968" s="56" t="s">
        <v>276</v>
      </c>
      <c r="AE968" s="56"/>
      <c r="AG968" s="5"/>
    </row>
    <row r="969" spans="1:33" s="1" customFormat="1" x14ac:dyDescent="0.25">
      <c r="A969" s="49">
        <v>34</v>
      </c>
      <c r="B969" s="22" t="s">
        <v>1758</v>
      </c>
      <c r="C969" s="50" t="s">
        <v>437</v>
      </c>
      <c r="D969" s="51" t="s">
        <v>402</v>
      </c>
      <c r="E969" s="52" t="s">
        <v>433</v>
      </c>
      <c r="F969" s="52"/>
      <c r="G969" s="52" t="s">
        <v>194</v>
      </c>
      <c r="H969" s="52" t="s">
        <v>62</v>
      </c>
      <c r="I969" s="52">
        <v>2017</v>
      </c>
      <c r="J969" s="52"/>
      <c r="K969" s="52" t="s">
        <v>63</v>
      </c>
      <c r="L969" s="52" t="s">
        <v>64</v>
      </c>
      <c r="M969" s="52">
        <v>1</v>
      </c>
      <c r="N969" s="53">
        <f t="shared" si="359"/>
        <v>2497000</v>
      </c>
      <c r="O969" s="53">
        <v>2497000</v>
      </c>
      <c r="P969" s="52"/>
      <c r="Q969" s="52"/>
      <c r="R969" s="52"/>
      <c r="S969" s="53">
        <f t="shared" si="357"/>
        <v>2497000</v>
      </c>
      <c r="T969" s="52">
        <v>5</v>
      </c>
      <c r="U969" s="53"/>
      <c r="V969" s="52"/>
      <c r="W969" s="53"/>
      <c r="X969" s="52"/>
      <c r="Y969" s="53"/>
      <c r="Z969" s="53"/>
      <c r="AA969" s="57">
        <v>5</v>
      </c>
      <c r="AB969" s="53">
        <v>2497000</v>
      </c>
      <c r="AC969" s="53">
        <f t="shared" si="358"/>
        <v>0</v>
      </c>
      <c r="AD969" s="56" t="s">
        <v>352</v>
      </c>
      <c r="AE969" s="56"/>
      <c r="AG969" s="5"/>
    </row>
    <row r="970" spans="1:33" s="1" customFormat="1" x14ac:dyDescent="0.25">
      <c r="A970" s="49">
        <v>35</v>
      </c>
      <c r="B970" s="22" t="s">
        <v>1758</v>
      </c>
      <c r="C970" s="50" t="s">
        <v>438</v>
      </c>
      <c r="D970" s="51" t="s">
        <v>402</v>
      </c>
      <c r="E970" s="52" t="s">
        <v>433</v>
      </c>
      <c r="F970" s="52"/>
      <c r="G970" s="52" t="s">
        <v>194</v>
      </c>
      <c r="H970" s="52" t="s">
        <v>62</v>
      </c>
      <c r="I970" s="52">
        <v>2017</v>
      </c>
      <c r="J970" s="52"/>
      <c r="K970" s="52" t="s">
        <v>63</v>
      </c>
      <c r="L970" s="52" t="s">
        <v>64</v>
      </c>
      <c r="M970" s="52">
        <v>1</v>
      </c>
      <c r="N970" s="53">
        <f t="shared" si="359"/>
        <v>2497000</v>
      </c>
      <c r="O970" s="53">
        <v>2497000</v>
      </c>
      <c r="P970" s="52"/>
      <c r="Q970" s="52"/>
      <c r="R970" s="52"/>
      <c r="S970" s="53">
        <f t="shared" si="357"/>
        <v>2497000</v>
      </c>
      <c r="T970" s="52">
        <v>5</v>
      </c>
      <c r="U970" s="53"/>
      <c r="V970" s="52"/>
      <c r="W970" s="53"/>
      <c r="X970" s="52"/>
      <c r="Y970" s="53"/>
      <c r="Z970" s="53"/>
      <c r="AA970" s="57">
        <v>5</v>
      </c>
      <c r="AB970" s="53">
        <v>2497000</v>
      </c>
      <c r="AC970" s="53">
        <f t="shared" si="358"/>
        <v>0</v>
      </c>
      <c r="AD970" s="56" t="s">
        <v>439</v>
      </c>
      <c r="AE970" s="56"/>
      <c r="AG970" s="5"/>
    </row>
    <row r="971" spans="1:33" s="1" customFormat="1" x14ac:dyDescent="0.25">
      <c r="A971" s="49">
        <v>36</v>
      </c>
      <c r="B971" s="22" t="s">
        <v>1758</v>
      </c>
      <c r="C971" s="50" t="s">
        <v>440</v>
      </c>
      <c r="D971" s="51" t="s">
        <v>402</v>
      </c>
      <c r="E971" s="52" t="s">
        <v>433</v>
      </c>
      <c r="F971" s="52"/>
      <c r="G971" s="52" t="s">
        <v>194</v>
      </c>
      <c r="H971" s="52" t="s">
        <v>62</v>
      </c>
      <c r="I971" s="52">
        <v>2017</v>
      </c>
      <c r="J971" s="52"/>
      <c r="K971" s="52" t="s">
        <v>63</v>
      </c>
      <c r="L971" s="52" t="s">
        <v>64</v>
      </c>
      <c r="M971" s="52">
        <v>1</v>
      </c>
      <c r="N971" s="53">
        <f t="shared" si="359"/>
        <v>2497000</v>
      </c>
      <c r="O971" s="53">
        <v>2497000</v>
      </c>
      <c r="P971" s="52"/>
      <c r="Q971" s="52"/>
      <c r="R971" s="52"/>
      <c r="S971" s="53">
        <f t="shared" si="357"/>
        <v>2497000</v>
      </c>
      <c r="T971" s="52">
        <v>5</v>
      </c>
      <c r="U971" s="53"/>
      <c r="V971" s="52"/>
      <c r="W971" s="53"/>
      <c r="X971" s="52"/>
      <c r="Y971" s="53"/>
      <c r="Z971" s="53"/>
      <c r="AA971" s="57">
        <v>5</v>
      </c>
      <c r="AB971" s="53">
        <v>2497000</v>
      </c>
      <c r="AC971" s="53">
        <f t="shared" si="358"/>
        <v>0</v>
      </c>
      <c r="AD971" s="56" t="s">
        <v>326</v>
      </c>
      <c r="AE971" s="56"/>
      <c r="AG971" s="5"/>
    </row>
    <row r="972" spans="1:33" s="1" customFormat="1" x14ac:dyDescent="0.25">
      <c r="A972" s="49">
        <v>37</v>
      </c>
      <c r="B972" s="22" t="s">
        <v>1758</v>
      </c>
      <c r="C972" s="50" t="s">
        <v>441</v>
      </c>
      <c r="D972" s="51" t="s">
        <v>402</v>
      </c>
      <c r="E972" s="52" t="s">
        <v>433</v>
      </c>
      <c r="F972" s="52"/>
      <c r="G972" s="52" t="s">
        <v>194</v>
      </c>
      <c r="H972" s="52" t="s">
        <v>62</v>
      </c>
      <c r="I972" s="52">
        <v>2017</v>
      </c>
      <c r="J972" s="52"/>
      <c r="K972" s="52" t="s">
        <v>63</v>
      </c>
      <c r="L972" s="52" t="s">
        <v>64</v>
      </c>
      <c r="M972" s="52">
        <v>1</v>
      </c>
      <c r="N972" s="53">
        <f t="shared" si="359"/>
        <v>2497000</v>
      </c>
      <c r="O972" s="53">
        <v>2497000</v>
      </c>
      <c r="P972" s="52"/>
      <c r="Q972" s="52"/>
      <c r="R972" s="52"/>
      <c r="S972" s="53">
        <f t="shared" si="357"/>
        <v>2497000</v>
      </c>
      <c r="T972" s="52">
        <v>5</v>
      </c>
      <c r="U972" s="53"/>
      <c r="V972" s="52"/>
      <c r="W972" s="53"/>
      <c r="X972" s="52"/>
      <c r="Y972" s="53"/>
      <c r="Z972" s="53"/>
      <c r="AA972" s="57">
        <v>5</v>
      </c>
      <c r="AB972" s="53">
        <v>2497000</v>
      </c>
      <c r="AC972" s="53">
        <f t="shared" si="358"/>
        <v>0</v>
      </c>
      <c r="AD972" s="56" t="s">
        <v>324</v>
      </c>
      <c r="AE972" s="56"/>
      <c r="AG972" s="5"/>
    </row>
    <row r="973" spans="1:33" s="1" customFormat="1" x14ac:dyDescent="0.25">
      <c r="A973" s="49">
        <v>38</v>
      </c>
      <c r="B973" s="22" t="s">
        <v>1758</v>
      </c>
      <c r="C973" s="50" t="s">
        <v>442</v>
      </c>
      <c r="D973" s="51" t="s">
        <v>402</v>
      </c>
      <c r="E973" s="52" t="s">
        <v>433</v>
      </c>
      <c r="F973" s="52"/>
      <c r="G973" s="52" t="s">
        <v>194</v>
      </c>
      <c r="H973" s="52" t="s">
        <v>62</v>
      </c>
      <c r="I973" s="52">
        <v>2017</v>
      </c>
      <c r="J973" s="52"/>
      <c r="K973" s="52" t="s">
        <v>63</v>
      </c>
      <c r="L973" s="52" t="s">
        <v>64</v>
      </c>
      <c r="M973" s="52">
        <v>1</v>
      </c>
      <c r="N973" s="53">
        <f t="shared" si="359"/>
        <v>2497000</v>
      </c>
      <c r="O973" s="53">
        <v>2497000</v>
      </c>
      <c r="P973" s="52"/>
      <c r="Q973" s="52"/>
      <c r="R973" s="52"/>
      <c r="S973" s="53">
        <f t="shared" si="357"/>
        <v>2497000</v>
      </c>
      <c r="T973" s="52">
        <v>5</v>
      </c>
      <c r="U973" s="53"/>
      <c r="V973" s="52"/>
      <c r="W973" s="53"/>
      <c r="X973" s="52"/>
      <c r="Y973" s="53"/>
      <c r="Z973" s="53"/>
      <c r="AA973" s="57">
        <v>5</v>
      </c>
      <c r="AB973" s="53">
        <v>2497000</v>
      </c>
      <c r="AC973" s="53">
        <f t="shared" si="358"/>
        <v>0</v>
      </c>
      <c r="AD973" s="56" t="s">
        <v>218</v>
      </c>
      <c r="AE973" s="56"/>
      <c r="AG973" s="5"/>
    </row>
    <row r="974" spans="1:33" s="1" customFormat="1" x14ac:dyDescent="0.25">
      <c r="A974" s="49">
        <v>39</v>
      </c>
      <c r="B974" s="22" t="s">
        <v>1758</v>
      </c>
      <c r="C974" s="50" t="s">
        <v>443</v>
      </c>
      <c r="D974" s="51" t="s">
        <v>402</v>
      </c>
      <c r="E974" s="52" t="s">
        <v>433</v>
      </c>
      <c r="F974" s="52"/>
      <c r="G974" s="52" t="s">
        <v>194</v>
      </c>
      <c r="H974" s="52" t="s">
        <v>62</v>
      </c>
      <c r="I974" s="52">
        <v>2017</v>
      </c>
      <c r="J974" s="52"/>
      <c r="K974" s="52" t="s">
        <v>63</v>
      </c>
      <c r="L974" s="52" t="s">
        <v>64</v>
      </c>
      <c r="M974" s="52">
        <v>1</v>
      </c>
      <c r="N974" s="53">
        <f t="shared" si="359"/>
        <v>2497000</v>
      </c>
      <c r="O974" s="53">
        <v>2497000</v>
      </c>
      <c r="P974" s="52"/>
      <c r="Q974" s="52"/>
      <c r="R974" s="52"/>
      <c r="S974" s="53">
        <f t="shared" si="357"/>
        <v>2497000</v>
      </c>
      <c r="T974" s="52">
        <v>5</v>
      </c>
      <c r="U974" s="53"/>
      <c r="V974" s="52"/>
      <c r="W974" s="53"/>
      <c r="X974" s="52"/>
      <c r="Y974" s="53"/>
      <c r="Z974" s="53"/>
      <c r="AA974" s="57">
        <v>5</v>
      </c>
      <c r="AB974" s="53">
        <v>2497000</v>
      </c>
      <c r="AC974" s="53">
        <f t="shared" si="358"/>
        <v>0</v>
      </c>
      <c r="AD974" s="56" t="s">
        <v>333</v>
      </c>
      <c r="AE974" s="56"/>
      <c r="AG974" s="5"/>
    </row>
    <row r="975" spans="1:33" s="1" customFormat="1" x14ac:dyDescent="0.25">
      <c r="A975" s="49">
        <v>40</v>
      </c>
      <c r="B975" s="22" t="s">
        <v>1758</v>
      </c>
      <c r="C975" s="50" t="s">
        <v>444</v>
      </c>
      <c r="D975" s="51" t="s">
        <v>402</v>
      </c>
      <c r="E975" s="52" t="s">
        <v>445</v>
      </c>
      <c r="F975" s="52"/>
      <c r="G975" s="52" t="s">
        <v>194</v>
      </c>
      <c r="H975" s="52" t="s">
        <v>62</v>
      </c>
      <c r="I975" s="52">
        <v>2018</v>
      </c>
      <c r="J975" s="52"/>
      <c r="K975" s="52" t="s">
        <v>63</v>
      </c>
      <c r="L975" s="52" t="s">
        <v>64</v>
      </c>
      <c r="M975" s="52">
        <v>10</v>
      </c>
      <c r="N975" s="53">
        <f t="shared" si="359"/>
        <v>2850100</v>
      </c>
      <c r="O975" s="53">
        <v>28501000</v>
      </c>
      <c r="P975" s="52"/>
      <c r="Q975" s="52"/>
      <c r="R975" s="52"/>
      <c r="S975" s="53">
        <f t="shared" si="357"/>
        <v>28501000</v>
      </c>
      <c r="T975" s="52">
        <v>5</v>
      </c>
      <c r="U975" s="53">
        <f t="shared" ref="U975:U978" si="363">SUM(S975/T975)</f>
        <v>5700200</v>
      </c>
      <c r="V975" s="52">
        <v>0.5</v>
      </c>
      <c r="W975" s="53">
        <f t="shared" ref="W975:W980" si="364">SUM(U975*V975)</f>
        <v>2850100</v>
      </c>
      <c r="X975" s="52"/>
      <c r="Y975" s="53">
        <f t="shared" si="361"/>
        <v>0</v>
      </c>
      <c r="Z975" s="53">
        <f t="shared" si="362"/>
        <v>2850100</v>
      </c>
      <c r="AA975" s="57">
        <f>2023-I975+V975+X975-10/12</f>
        <v>4.666666666666667</v>
      </c>
      <c r="AB975" s="53">
        <f t="shared" ref="AB975:AB977" si="365">SUM(U975*AA975)</f>
        <v>26600933.333333336</v>
      </c>
      <c r="AC975" s="53">
        <f t="shared" si="358"/>
        <v>1900066.6666666642</v>
      </c>
      <c r="AD975" s="56"/>
      <c r="AE975" s="56"/>
      <c r="AG975" s="5"/>
    </row>
    <row r="976" spans="1:33" s="1" customFormat="1" x14ac:dyDescent="0.25">
      <c r="A976" s="49">
        <v>41</v>
      </c>
      <c r="B976" s="22" t="s">
        <v>1758</v>
      </c>
      <c r="C976" s="50" t="s">
        <v>446</v>
      </c>
      <c r="D976" s="51" t="s">
        <v>402</v>
      </c>
      <c r="E976" s="52" t="s">
        <v>447</v>
      </c>
      <c r="F976" s="52"/>
      <c r="G976" s="52" t="s">
        <v>194</v>
      </c>
      <c r="H976" s="52" t="s">
        <v>62</v>
      </c>
      <c r="I976" s="52">
        <v>2018</v>
      </c>
      <c r="J976" s="52"/>
      <c r="K976" s="52" t="s">
        <v>63</v>
      </c>
      <c r="L976" s="52" t="s">
        <v>64</v>
      </c>
      <c r="M976" s="52">
        <v>1</v>
      </c>
      <c r="N976" s="53">
        <f t="shared" si="359"/>
        <v>2927870</v>
      </c>
      <c r="O976" s="53">
        <v>2927870</v>
      </c>
      <c r="P976" s="52"/>
      <c r="Q976" s="52"/>
      <c r="R976" s="52"/>
      <c r="S976" s="53">
        <f t="shared" si="357"/>
        <v>2927870</v>
      </c>
      <c r="T976" s="52">
        <v>5</v>
      </c>
      <c r="U976" s="53">
        <f t="shared" si="363"/>
        <v>585574</v>
      </c>
      <c r="V976" s="52">
        <v>0.5</v>
      </c>
      <c r="W976" s="53">
        <f t="shared" si="364"/>
        <v>292787</v>
      </c>
      <c r="X976" s="52"/>
      <c r="Y976" s="53">
        <f t="shared" si="361"/>
        <v>0</v>
      </c>
      <c r="Z976" s="53">
        <f t="shared" si="362"/>
        <v>292787</v>
      </c>
      <c r="AA976" s="57">
        <f>2023-I976+V976+X976-10/12</f>
        <v>4.666666666666667</v>
      </c>
      <c r="AB976" s="53">
        <f t="shared" si="365"/>
        <v>2732678.666666667</v>
      </c>
      <c r="AC976" s="53">
        <f t="shared" si="358"/>
        <v>195191.33333333302</v>
      </c>
      <c r="AD976" s="56"/>
      <c r="AE976" s="56"/>
      <c r="AG976" s="5"/>
    </row>
    <row r="977" spans="1:33" s="1" customFormat="1" x14ac:dyDescent="0.25">
      <c r="A977" s="49">
        <v>42</v>
      </c>
      <c r="B977" s="22" t="s">
        <v>1758</v>
      </c>
      <c r="C977" s="73" t="s">
        <v>448</v>
      </c>
      <c r="D977" s="51" t="s">
        <v>402</v>
      </c>
      <c r="E977" s="52" t="s">
        <v>449</v>
      </c>
      <c r="F977" s="52"/>
      <c r="G977" s="52" t="s">
        <v>194</v>
      </c>
      <c r="H977" s="52" t="s">
        <v>62</v>
      </c>
      <c r="I977" s="52">
        <v>2019</v>
      </c>
      <c r="J977" s="52"/>
      <c r="K977" s="52" t="s">
        <v>63</v>
      </c>
      <c r="L977" s="52" t="s">
        <v>64</v>
      </c>
      <c r="M977" s="52">
        <v>1</v>
      </c>
      <c r="N977" s="53">
        <v>2927770</v>
      </c>
      <c r="O977" s="53">
        <v>2927770</v>
      </c>
      <c r="P977" s="52"/>
      <c r="Q977" s="52"/>
      <c r="R977" s="52"/>
      <c r="S977" s="53">
        <v>2927770</v>
      </c>
      <c r="T977" s="52">
        <v>5</v>
      </c>
      <c r="U977" s="53">
        <f t="shared" si="363"/>
        <v>585554</v>
      </c>
      <c r="V977" s="52">
        <v>0.5</v>
      </c>
      <c r="W977" s="53">
        <f t="shared" si="364"/>
        <v>292777</v>
      </c>
      <c r="X977" s="52"/>
      <c r="Y977" s="53">
        <f t="shared" si="361"/>
        <v>0</v>
      </c>
      <c r="Z977" s="53">
        <f t="shared" si="362"/>
        <v>292777</v>
      </c>
      <c r="AA977" s="57">
        <f>2023-I977+V977+X977-8/12</f>
        <v>3.8333333333333335</v>
      </c>
      <c r="AB977" s="53">
        <f t="shared" si="365"/>
        <v>2244623.666666667</v>
      </c>
      <c r="AC977" s="53">
        <f t="shared" si="358"/>
        <v>683146.33333333302</v>
      </c>
      <c r="AD977" s="56" t="s">
        <v>450</v>
      </c>
      <c r="AE977" s="56" t="s">
        <v>451</v>
      </c>
      <c r="AG977" s="5"/>
    </row>
    <row r="978" spans="1:33" s="1" customFormat="1" x14ac:dyDescent="0.25">
      <c r="A978" s="49">
        <v>43</v>
      </c>
      <c r="B978" s="22" t="s">
        <v>1758</v>
      </c>
      <c r="C978" s="73" t="s">
        <v>452</v>
      </c>
      <c r="D978" s="51" t="s">
        <v>402</v>
      </c>
      <c r="E978" s="52" t="s">
        <v>453</v>
      </c>
      <c r="F978" s="52"/>
      <c r="G978" s="52" t="s">
        <v>194</v>
      </c>
      <c r="H978" s="52" t="s">
        <v>62</v>
      </c>
      <c r="I978" s="52">
        <v>2022</v>
      </c>
      <c r="J978" s="52"/>
      <c r="K978" s="52" t="s">
        <v>63</v>
      </c>
      <c r="L978" s="52" t="s">
        <v>64</v>
      </c>
      <c r="M978" s="52">
        <v>1</v>
      </c>
      <c r="N978" s="53">
        <f t="shared" ref="N978:N996" si="366">SUM(O978/M978)</f>
        <v>3990020</v>
      </c>
      <c r="O978" s="53">
        <v>3990020</v>
      </c>
      <c r="P978" s="52"/>
      <c r="Q978" s="52"/>
      <c r="R978" s="52"/>
      <c r="S978" s="53">
        <f t="shared" ref="S978:S1001" si="367">SUM(O978-R978)</f>
        <v>3990020</v>
      </c>
      <c r="T978" s="52">
        <v>5</v>
      </c>
      <c r="U978" s="53">
        <f t="shared" si="363"/>
        <v>798004</v>
      </c>
      <c r="V978" s="52">
        <v>0.5</v>
      </c>
      <c r="W978" s="53">
        <f t="shared" si="364"/>
        <v>399002</v>
      </c>
      <c r="X978" s="57"/>
      <c r="Y978" s="53">
        <f t="shared" si="361"/>
        <v>0</v>
      </c>
      <c r="Z978" s="53">
        <f t="shared" si="362"/>
        <v>399002</v>
      </c>
      <c r="AA978" s="57">
        <f>1/12+0.5</f>
        <v>0.58333333333333337</v>
      </c>
      <c r="AB978" s="53">
        <f t="shared" ref="AB978" si="368">SUM(U978*AA978)</f>
        <v>465502.33333333337</v>
      </c>
      <c r="AC978" s="53">
        <f t="shared" si="358"/>
        <v>3524517.6666666665</v>
      </c>
      <c r="AD978" s="56"/>
      <c r="AE978" s="56"/>
      <c r="AG978" s="5"/>
    </row>
    <row r="979" spans="1:33" s="170" customFormat="1" x14ac:dyDescent="0.25">
      <c r="A979" s="49">
        <v>50</v>
      </c>
      <c r="B979" s="22" t="s">
        <v>1759</v>
      </c>
      <c r="C979" s="22" t="s">
        <v>58</v>
      </c>
      <c r="D979" s="51" t="s">
        <v>994</v>
      </c>
      <c r="E979" s="24" t="s">
        <v>256</v>
      </c>
      <c r="F979" s="24"/>
      <c r="G979" s="24" t="s">
        <v>194</v>
      </c>
      <c r="H979" s="24" t="s">
        <v>62</v>
      </c>
      <c r="I979" s="24">
        <v>2005</v>
      </c>
      <c r="J979" s="24"/>
      <c r="K979" s="24" t="s">
        <v>63</v>
      </c>
      <c r="L979" s="24" t="s">
        <v>64</v>
      </c>
      <c r="M979" s="24">
        <v>1</v>
      </c>
      <c r="N979" s="41">
        <f>SUM(O979/M979)</f>
        <v>1900000</v>
      </c>
      <c r="O979" s="41">
        <v>1900000</v>
      </c>
      <c r="P979" s="24"/>
      <c r="Q979" s="24"/>
      <c r="R979" s="24"/>
      <c r="S979" s="41">
        <f t="shared" si="367"/>
        <v>1900000</v>
      </c>
      <c r="T979" s="24">
        <v>5</v>
      </c>
      <c r="U979" s="41"/>
      <c r="V979" s="24">
        <v>0.5</v>
      </c>
      <c r="W979" s="41">
        <f t="shared" si="364"/>
        <v>0</v>
      </c>
      <c r="X979" s="24"/>
      <c r="Y979" s="41">
        <f>SUM(U979*X979)</f>
        <v>0</v>
      </c>
      <c r="Z979" s="41">
        <f>SUM(W979+Y979)</f>
        <v>0</v>
      </c>
      <c r="AA979" s="24">
        <v>5</v>
      </c>
      <c r="AB979" s="41">
        <v>1900000</v>
      </c>
      <c r="AC979" s="41">
        <f t="shared" si="358"/>
        <v>0</v>
      </c>
      <c r="AD979" s="70" t="s">
        <v>213</v>
      </c>
      <c r="AE979" s="70"/>
      <c r="AG979" s="172"/>
    </row>
    <row r="980" spans="1:33" s="170" customFormat="1" x14ac:dyDescent="0.25">
      <c r="A980" s="49">
        <v>51</v>
      </c>
      <c r="B980" s="22" t="s">
        <v>1759</v>
      </c>
      <c r="C980" s="22" t="s">
        <v>995</v>
      </c>
      <c r="D980" s="51" t="s">
        <v>996</v>
      </c>
      <c r="E980" s="24" t="s">
        <v>997</v>
      </c>
      <c r="F980" s="24"/>
      <c r="G980" s="24" t="s">
        <v>194</v>
      </c>
      <c r="H980" s="24" t="s">
        <v>62</v>
      </c>
      <c r="I980" s="24">
        <v>2018</v>
      </c>
      <c r="J980" s="24"/>
      <c r="K980" s="24" t="s">
        <v>63</v>
      </c>
      <c r="L980" s="24" t="s">
        <v>64</v>
      </c>
      <c r="M980" s="24">
        <v>5</v>
      </c>
      <c r="N980" s="41">
        <f>SUM(O980/M980)</f>
        <v>1835600</v>
      </c>
      <c r="O980" s="41">
        <v>9178000</v>
      </c>
      <c r="P980" s="24"/>
      <c r="Q980" s="24"/>
      <c r="R980" s="24"/>
      <c r="S980" s="41">
        <f t="shared" si="367"/>
        <v>9178000</v>
      </c>
      <c r="T980" s="24">
        <v>5</v>
      </c>
      <c r="U980" s="41">
        <f>SUM(S980/T980)</f>
        <v>1835600</v>
      </c>
      <c r="V980" s="24">
        <v>0.5</v>
      </c>
      <c r="W980" s="41">
        <f t="shared" si="364"/>
        <v>917800</v>
      </c>
      <c r="X980" s="24"/>
      <c r="Y980" s="41">
        <f>SUM(U980*X980)</f>
        <v>0</v>
      </c>
      <c r="Z980" s="41">
        <f>SUM(W980+Y980)</f>
        <v>917800</v>
      </c>
      <c r="AA980" s="72">
        <f>2023-I980+V980+X980-11/12</f>
        <v>4.583333333333333</v>
      </c>
      <c r="AB980" s="41">
        <f>SUM(U980*AA980)</f>
        <v>8413166.666666666</v>
      </c>
      <c r="AC980" s="41">
        <f t="shared" si="358"/>
        <v>764833.33333333395</v>
      </c>
      <c r="AD980" s="70"/>
      <c r="AE980" s="70"/>
      <c r="AG980" s="172"/>
    </row>
    <row r="981" spans="1:33" s="1" customFormat="1" x14ac:dyDescent="0.25">
      <c r="A981" s="49">
        <v>52</v>
      </c>
      <c r="B981" s="22" t="s">
        <v>1760</v>
      </c>
      <c r="C981" s="22" t="s">
        <v>79</v>
      </c>
      <c r="D981" s="51" t="s">
        <v>461</v>
      </c>
      <c r="E981" s="24" t="s">
        <v>462</v>
      </c>
      <c r="F981" s="24"/>
      <c r="G981" s="24" t="s">
        <v>194</v>
      </c>
      <c r="H981" s="24" t="s">
        <v>62</v>
      </c>
      <c r="I981" s="24">
        <v>2016</v>
      </c>
      <c r="J981" s="24"/>
      <c r="K981" s="24" t="s">
        <v>63</v>
      </c>
      <c r="L981" s="24" t="s">
        <v>64</v>
      </c>
      <c r="M981" s="24">
        <v>1</v>
      </c>
      <c r="N981" s="41">
        <f t="shared" si="366"/>
        <v>4980000</v>
      </c>
      <c r="O981" s="41">
        <v>4980000</v>
      </c>
      <c r="P981" s="24"/>
      <c r="Q981" s="24"/>
      <c r="R981" s="24"/>
      <c r="S981" s="41">
        <f t="shared" si="367"/>
        <v>4980000</v>
      </c>
      <c r="T981" s="24">
        <v>5</v>
      </c>
      <c r="U981" s="41">
        <f>SUM(S981/T981)</f>
        <v>996000</v>
      </c>
      <c r="V981" s="24">
        <v>0.5</v>
      </c>
      <c r="W981" s="41"/>
      <c r="X981" s="24"/>
      <c r="Y981" s="41">
        <f t="shared" si="361"/>
        <v>0</v>
      </c>
      <c r="Z981" s="41"/>
      <c r="AA981" s="24">
        <v>5</v>
      </c>
      <c r="AB981" s="41">
        <f>SUM(U981*AA981)</f>
        <v>4980000</v>
      </c>
      <c r="AC981" s="41">
        <f t="shared" si="358"/>
        <v>0</v>
      </c>
      <c r="AD981" s="70" t="s">
        <v>208</v>
      </c>
      <c r="AE981" s="56"/>
      <c r="AG981" s="5"/>
    </row>
    <row r="982" spans="1:33" s="1" customFormat="1" x14ac:dyDescent="0.25">
      <c r="A982" s="49">
        <v>53</v>
      </c>
      <c r="B982" s="22" t="s">
        <v>1761</v>
      </c>
      <c r="C982" s="50" t="s">
        <v>277</v>
      </c>
      <c r="D982" s="51" t="s">
        <v>278</v>
      </c>
      <c r="E982" s="52" t="s">
        <v>279</v>
      </c>
      <c r="F982" s="52"/>
      <c r="G982" s="52" t="s">
        <v>194</v>
      </c>
      <c r="H982" s="52" t="s">
        <v>62</v>
      </c>
      <c r="I982" s="52">
        <v>2010</v>
      </c>
      <c r="J982" s="52"/>
      <c r="K982" s="52" t="s">
        <v>63</v>
      </c>
      <c r="L982" s="52" t="s">
        <v>64</v>
      </c>
      <c r="M982" s="52">
        <v>2</v>
      </c>
      <c r="N982" s="53">
        <f>SUM(O982/M982)</f>
        <v>150000</v>
      </c>
      <c r="O982" s="53">
        <v>300000</v>
      </c>
      <c r="P982" s="52"/>
      <c r="Q982" s="52"/>
      <c r="R982" s="52"/>
      <c r="S982" s="53">
        <f t="shared" si="367"/>
        <v>300000</v>
      </c>
      <c r="T982" s="52">
        <v>5</v>
      </c>
      <c r="U982" s="53"/>
      <c r="V982" s="52">
        <v>0.5</v>
      </c>
      <c r="W982" s="53">
        <f>SUM(U982*V982)</f>
        <v>0</v>
      </c>
      <c r="X982" s="52"/>
      <c r="Y982" s="53">
        <f>SUM(U982*X982)</f>
        <v>0</v>
      </c>
      <c r="Z982" s="53">
        <f>SUM(W982+Y982)</f>
        <v>0</v>
      </c>
      <c r="AA982" s="52">
        <v>5</v>
      </c>
      <c r="AB982" s="53">
        <v>300000</v>
      </c>
      <c r="AC982" s="53">
        <f t="shared" si="358"/>
        <v>0</v>
      </c>
      <c r="AD982" s="56" t="s">
        <v>213</v>
      </c>
      <c r="AE982" s="56"/>
      <c r="AG982" s="5"/>
    </row>
    <row r="983" spans="1:33" s="1" customFormat="1" x14ac:dyDescent="0.25">
      <c r="A983" s="49">
        <v>54</v>
      </c>
      <c r="B983" s="22" t="s">
        <v>1761</v>
      </c>
      <c r="C983" s="50" t="s">
        <v>280</v>
      </c>
      <c r="D983" s="51" t="s">
        <v>278</v>
      </c>
      <c r="E983" s="52" t="s">
        <v>279</v>
      </c>
      <c r="F983" s="52"/>
      <c r="G983" s="52" t="s">
        <v>194</v>
      </c>
      <c r="H983" s="52" t="s">
        <v>62</v>
      </c>
      <c r="I983" s="52">
        <v>2010</v>
      </c>
      <c r="J983" s="52"/>
      <c r="K983" s="52" t="s">
        <v>63</v>
      </c>
      <c r="L983" s="52" t="s">
        <v>64</v>
      </c>
      <c r="M983" s="52">
        <v>6</v>
      </c>
      <c r="N983" s="53">
        <f>SUM(O983/M983)</f>
        <v>150000</v>
      </c>
      <c r="O983" s="53">
        <v>900000</v>
      </c>
      <c r="P983" s="52"/>
      <c r="Q983" s="52"/>
      <c r="R983" s="52"/>
      <c r="S983" s="53">
        <f t="shared" si="367"/>
        <v>900000</v>
      </c>
      <c r="T983" s="52">
        <v>5</v>
      </c>
      <c r="U983" s="53"/>
      <c r="V983" s="52">
        <v>0.5</v>
      </c>
      <c r="W983" s="53">
        <f>SUM(U983*V983)</f>
        <v>0</v>
      </c>
      <c r="X983" s="52"/>
      <c r="Y983" s="53">
        <f>SUM(U983*X983)</f>
        <v>0</v>
      </c>
      <c r="Z983" s="53">
        <f>SUM(W983+Y983)</f>
        <v>0</v>
      </c>
      <c r="AA983" s="52">
        <v>5</v>
      </c>
      <c r="AB983" s="53">
        <v>900000</v>
      </c>
      <c r="AC983" s="53">
        <f t="shared" si="358"/>
        <v>0</v>
      </c>
      <c r="AD983" s="56" t="s">
        <v>213</v>
      </c>
      <c r="AE983" s="56"/>
      <c r="AG983" s="5"/>
    </row>
    <row r="984" spans="1:33" s="1" customFormat="1" x14ac:dyDescent="0.25">
      <c r="A984" s="49">
        <v>55</v>
      </c>
      <c r="B984" s="22" t="s">
        <v>1762</v>
      </c>
      <c r="C984" s="50" t="s">
        <v>247</v>
      </c>
      <c r="D984" s="51" t="s">
        <v>248</v>
      </c>
      <c r="E984" s="52" t="s">
        <v>249</v>
      </c>
      <c r="F984" s="52"/>
      <c r="G984" s="52" t="s">
        <v>194</v>
      </c>
      <c r="H984" s="52" t="s">
        <v>62</v>
      </c>
      <c r="I984" s="52">
        <v>2010</v>
      </c>
      <c r="J984" s="52"/>
      <c r="K984" s="52" t="s">
        <v>63</v>
      </c>
      <c r="L984" s="52" t="s">
        <v>64</v>
      </c>
      <c r="M984" s="52">
        <v>1</v>
      </c>
      <c r="N984" s="53">
        <f>SUM(O984/M984)</f>
        <v>175000</v>
      </c>
      <c r="O984" s="53">
        <v>175000</v>
      </c>
      <c r="P984" s="52"/>
      <c r="Q984" s="52"/>
      <c r="R984" s="52"/>
      <c r="S984" s="53">
        <f t="shared" si="367"/>
        <v>175000</v>
      </c>
      <c r="T984" s="52">
        <v>5</v>
      </c>
      <c r="U984" s="53"/>
      <c r="V984" s="52">
        <v>0.5</v>
      </c>
      <c r="W984" s="53">
        <f>SUM(U984*V984)</f>
        <v>0</v>
      </c>
      <c r="X984" s="52"/>
      <c r="Y984" s="53">
        <f>SUM(U984*X984)</f>
        <v>0</v>
      </c>
      <c r="Z984" s="53">
        <f>SUM(W984+Y984)</f>
        <v>0</v>
      </c>
      <c r="AA984" s="52">
        <v>5</v>
      </c>
      <c r="AB984" s="53">
        <v>175000</v>
      </c>
      <c r="AC984" s="53">
        <f t="shared" si="358"/>
        <v>0</v>
      </c>
      <c r="AD984" s="56" t="s">
        <v>250</v>
      </c>
      <c r="AE984" s="56"/>
      <c r="AG984" s="5"/>
    </row>
    <row r="985" spans="1:33" s="1" customFormat="1" x14ac:dyDescent="0.25">
      <c r="A985" s="49">
        <v>56</v>
      </c>
      <c r="B985" s="22" t="s">
        <v>1762</v>
      </c>
      <c r="C985" s="50" t="s">
        <v>251</v>
      </c>
      <c r="D985" s="51" t="s">
        <v>252</v>
      </c>
      <c r="E985" s="52" t="s">
        <v>253</v>
      </c>
      <c r="F985" s="52"/>
      <c r="G985" s="52" t="s">
        <v>194</v>
      </c>
      <c r="H985" s="52" t="s">
        <v>62</v>
      </c>
      <c r="I985" s="52">
        <v>2010</v>
      </c>
      <c r="J985" s="52"/>
      <c r="K985" s="52" t="s">
        <v>63</v>
      </c>
      <c r="L985" s="52" t="s">
        <v>64</v>
      </c>
      <c r="M985" s="52">
        <v>5</v>
      </c>
      <c r="N985" s="53">
        <f>SUM(O985/M985)</f>
        <v>200000</v>
      </c>
      <c r="O985" s="53">
        <v>1000000</v>
      </c>
      <c r="P985" s="52"/>
      <c r="Q985" s="52"/>
      <c r="R985" s="52"/>
      <c r="S985" s="53">
        <f t="shared" si="367"/>
        <v>1000000</v>
      </c>
      <c r="T985" s="52">
        <v>5</v>
      </c>
      <c r="U985" s="53"/>
      <c r="V985" s="52">
        <v>0.5</v>
      </c>
      <c r="W985" s="53">
        <f>SUM(U985*V985)</f>
        <v>0</v>
      </c>
      <c r="X985" s="52"/>
      <c r="Y985" s="53">
        <f>SUM(U985*X985)</f>
        <v>0</v>
      </c>
      <c r="Z985" s="53">
        <f>SUM(W985+Y985)</f>
        <v>0</v>
      </c>
      <c r="AA985" s="52">
        <v>5</v>
      </c>
      <c r="AB985" s="53">
        <v>1000000</v>
      </c>
      <c r="AC985" s="53">
        <f t="shared" si="358"/>
        <v>0</v>
      </c>
      <c r="AD985" s="56" t="s">
        <v>250</v>
      </c>
      <c r="AE985" s="56"/>
      <c r="AG985" s="5"/>
    </row>
    <row r="986" spans="1:33" s="1" customFormat="1" x14ac:dyDescent="0.25">
      <c r="A986" s="49">
        <v>57</v>
      </c>
      <c r="B986" s="22" t="s">
        <v>1762</v>
      </c>
      <c r="C986" s="50" t="s">
        <v>254</v>
      </c>
      <c r="D986" s="51" t="s">
        <v>252</v>
      </c>
      <c r="E986" s="52" t="s">
        <v>253</v>
      </c>
      <c r="F986" s="52"/>
      <c r="G986" s="52" t="s">
        <v>194</v>
      </c>
      <c r="H986" s="52" t="s">
        <v>62</v>
      </c>
      <c r="I986" s="52">
        <v>2010</v>
      </c>
      <c r="J986" s="52"/>
      <c r="K986" s="52" t="s">
        <v>63</v>
      </c>
      <c r="L986" s="52" t="s">
        <v>64</v>
      </c>
      <c r="M986" s="52">
        <v>5</v>
      </c>
      <c r="N986" s="53">
        <f>SUM(O986/M986)</f>
        <v>150000</v>
      </c>
      <c r="O986" s="53">
        <v>750000</v>
      </c>
      <c r="P986" s="52"/>
      <c r="Q986" s="52"/>
      <c r="R986" s="52"/>
      <c r="S986" s="53">
        <f t="shared" si="367"/>
        <v>750000</v>
      </c>
      <c r="T986" s="52">
        <v>5</v>
      </c>
      <c r="U986" s="53"/>
      <c r="V986" s="52">
        <v>0.5</v>
      </c>
      <c r="W986" s="53">
        <f>SUM(U986*V986)</f>
        <v>0</v>
      </c>
      <c r="X986" s="52"/>
      <c r="Y986" s="53">
        <f>SUM(U986*X986)</f>
        <v>0</v>
      </c>
      <c r="Z986" s="53">
        <f>SUM(W986+Y986)</f>
        <v>0</v>
      </c>
      <c r="AA986" s="52">
        <v>5</v>
      </c>
      <c r="AB986" s="53">
        <v>750000</v>
      </c>
      <c r="AC986" s="53">
        <f t="shared" si="358"/>
        <v>0</v>
      </c>
      <c r="AD986" s="56" t="s">
        <v>250</v>
      </c>
      <c r="AE986" s="56"/>
      <c r="AG986" s="5"/>
    </row>
    <row r="987" spans="1:33" s="1" customFormat="1" x14ac:dyDescent="0.25">
      <c r="A987" s="49">
        <v>58</v>
      </c>
      <c r="B987" s="22" t="s">
        <v>1757</v>
      </c>
      <c r="C987" s="22" t="s">
        <v>885</v>
      </c>
      <c r="D987" s="51" t="s">
        <v>886</v>
      </c>
      <c r="E987" s="24" t="s">
        <v>279</v>
      </c>
      <c r="F987" s="24"/>
      <c r="G987" s="24" t="s">
        <v>194</v>
      </c>
      <c r="H987" s="24" t="s">
        <v>62</v>
      </c>
      <c r="I987" s="24">
        <v>2008</v>
      </c>
      <c r="J987" s="24"/>
      <c r="K987" s="24" t="s">
        <v>63</v>
      </c>
      <c r="L987" s="24" t="s">
        <v>212</v>
      </c>
      <c r="M987" s="24">
        <v>10</v>
      </c>
      <c r="N987" s="41">
        <f t="shared" si="366"/>
        <v>50000</v>
      </c>
      <c r="O987" s="41">
        <v>500000</v>
      </c>
      <c r="P987" s="24"/>
      <c r="Q987" s="24"/>
      <c r="R987" s="24"/>
      <c r="S987" s="41">
        <f t="shared" si="367"/>
        <v>500000</v>
      </c>
      <c r="T987" s="24">
        <v>5</v>
      </c>
      <c r="U987" s="41"/>
      <c r="V987" s="24">
        <v>0.5</v>
      </c>
      <c r="W987" s="41">
        <f t="shared" ref="W987:W996" si="369">SUM(U987*V987)</f>
        <v>0</v>
      </c>
      <c r="X987" s="24"/>
      <c r="Y987" s="41">
        <f t="shared" ref="Y987:Y996" si="370">SUM(U987*X987)</f>
        <v>0</v>
      </c>
      <c r="Z987" s="41">
        <f t="shared" ref="Z987:Z996" si="371">SUM(W987+Y987)</f>
        <v>0</v>
      </c>
      <c r="AA987" s="24">
        <v>5</v>
      </c>
      <c r="AB987" s="41">
        <v>500000</v>
      </c>
      <c r="AC987" s="41">
        <f t="shared" si="358"/>
        <v>0</v>
      </c>
      <c r="AD987" s="70" t="s">
        <v>213</v>
      </c>
      <c r="AE987" s="70"/>
      <c r="AG987" s="5"/>
    </row>
    <row r="988" spans="1:33" s="1" customFormat="1" x14ac:dyDescent="0.25">
      <c r="A988" s="49">
        <v>59</v>
      </c>
      <c r="B988" s="22" t="s">
        <v>1763</v>
      </c>
      <c r="C988" s="50" t="s">
        <v>209</v>
      </c>
      <c r="D988" s="51" t="s">
        <v>210</v>
      </c>
      <c r="E988" s="52" t="s">
        <v>211</v>
      </c>
      <c r="F988" s="52"/>
      <c r="G988" s="52" t="s">
        <v>194</v>
      </c>
      <c r="H988" s="52" t="s">
        <v>62</v>
      </c>
      <c r="I988" s="52">
        <v>2008</v>
      </c>
      <c r="J988" s="52"/>
      <c r="K988" s="52" t="s">
        <v>63</v>
      </c>
      <c r="L988" s="52" t="s">
        <v>212</v>
      </c>
      <c r="M988" s="52">
        <v>2</v>
      </c>
      <c r="N988" s="53">
        <f>SUM(O988/M988)</f>
        <v>712500</v>
      </c>
      <c r="O988" s="53">
        <v>1425000</v>
      </c>
      <c r="P988" s="52"/>
      <c r="Q988" s="52"/>
      <c r="R988" s="52"/>
      <c r="S988" s="53">
        <f t="shared" si="367"/>
        <v>1425000</v>
      </c>
      <c r="T988" s="52">
        <v>5</v>
      </c>
      <c r="U988" s="53"/>
      <c r="V988" s="52">
        <v>0.5</v>
      </c>
      <c r="W988" s="53">
        <f t="shared" si="369"/>
        <v>0</v>
      </c>
      <c r="X988" s="52"/>
      <c r="Y988" s="53">
        <f>SUM(U988*X988)</f>
        <v>0</v>
      </c>
      <c r="Z988" s="53">
        <f t="shared" si="371"/>
        <v>0</v>
      </c>
      <c r="AA988" s="57">
        <v>5</v>
      </c>
      <c r="AB988" s="53">
        <v>1425000</v>
      </c>
      <c r="AC988" s="53">
        <f t="shared" si="358"/>
        <v>0</v>
      </c>
      <c r="AD988" s="56" t="s">
        <v>213</v>
      </c>
      <c r="AE988" s="56"/>
      <c r="AG988" s="5"/>
    </row>
    <row r="989" spans="1:33" s="1" customFormat="1" x14ac:dyDescent="0.25">
      <c r="A989" s="49">
        <v>60</v>
      </c>
      <c r="B989" s="22" t="s">
        <v>1764</v>
      </c>
      <c r="C989" s="22" t="s">
        <v>58</v>
      </c>
      <c r="D989" s="51" t="s">
        <v>682</v>
      </c>
      <c r="E989" s="24" t="s">
        <v>683</v>
      </c>
      <c r="F989" s="24"/>
      <c r="G989" s="24" t="s">
        <v>260</v>
      </c>
      <c r="H989" s="24" t="s">
        <v>62</v>
      </c>
      <c r="I989" s="24">
        <v>2012</v>
      </c>
      <c r="J989" s="24"/>
      <c r="K989" s="24" t="s">
        <v>684</v>
      </c>
      <c r="L989" s="24" t="s">
        <v>64</v>
      </c>
      <c r="M989" s="24">
        <v>1</v>
      </c>
      <c r="N989" s="41">
        <f t="shared" si="366"/>
        <v>1950000</v>
      </c>
      <c r="O989" s="41">
        <v>1950000</v>
      </c>
      <c r="P989" s="24"/>
      <c r="Q989" s="24"/>
      <c r="R989" s="24"/>
      <c r="S989" s="41">
        <f t="shared" si="367"/>
        <v>1950000</v>
      </c>
      <c r="T989" s="24">
        <v>5</v>
      </c>
      <c r="U989" s="41"/>
      <c r="V989" s="24">
        <v>0.5</v>
      </c>
      <c r="W989" s="41">
        <f t="shared" si="369"/>
        <v>0</v>
      </c>
      <c r="X989" s="24"/>
      <c r="Y989" s="41">
        <f t="shared" si="370"/>
        <v>0</v>
      </c>
      <c r="Z989" s="41">
        <f t="shared" si="371"/>
        <v>0</v>
      </c>
      <c r="AA989" s="24">
        <v>5</v>
      </c>
      <c r="AB989" s="41">
        <v>1950000</v>
      </c>
      <c r="AC989" s="41">
        <f t="shared" si="358"/>
        <v>0</v>
      </c>
      <c r="AD989" s="70" t="s">
        <v>630</v>
      </c>
      <c r="AE989" s="70"/>
      <c r="AG989" s="5"/>
    </row>
    <row r="990" spans="1:33" s="1" customFormat="1" x14ac:dyDescent="0.25">
      <c r="A990" s="49">
        <v>61</v>
      </c>
      <c r="B990" s="22" t="s">
        <v>1764</v>
      </c>
      <c r="C990" s="22" t="s">
        <v>75</v>
      </c>
      <c r="D990" s="51" t="s">
        <v>685</v>
      </c>
      <c r="E990" s="24" t="s">
        <v>686</v>
      </c>
      <c r="F990" s="24"/>
      <c r="G990" s="24" t="s">
        <v>260</v>
      </c>
      <c r="H990" s="24" t="s">
        <v>62</v>
      </c>
      <c r="I990" s="24">
        <v>2012</v>
      </c>
      <c r="J990" s="24"/>
      <c r="K990" s="24" t="s">
        <v>684</v>
      </c>
      <c r="L990" s="24" t="s">
        <v>64</v>
      </c>
      <c r="M990" s="24">
        <v>1</v>
      </c>
      <c r="N990" s="41">
        <f t="shared" si="366"/>
        <v>1936000</v>
      </c>
      <c r="O990" s="41">
        <v>1936000</v>
      </c>
      <c r="P990" s="24"/>
      <c r="Q990" s="24"/>
      <c r="R990" s="24"/>
      <c r="S990" s="41">
        <f t="shared" si="367"/>
        <v>1936000</v>
      </c>
      <c r="T990" s="24">
        <v>5</v>
      </c>
      <c r="U990" s="41"/>
      <c r="V990" s="24">
        <v>0.5</v>
      </c>
      <c r="W990" s="41">
        <f t="shared" si="369"/>
        <v>0</v>
      </c>
      <c r="X990" s="24"/>
      <c r="Y990" s="41">
        <f t="shared" si="370"/>
        <v>0</v>
      </c>
      <c r="Z990" s="41">
        <f t="shared" si="371"/>
        <v>0</v>
      </c>
      <c r="AA990" s="24">
        <v>5</v>
      </c>
      <c r="AB990" s="41">
        <v>1936000</v>
      </c>
      <c r="AC990" s="41">
        <f t="shared" si="358"/>
        <v>0</v>
      </c>
      <c r="AD990" s="70" t="s">
        <v>288</v>
      </c>
      <c r="AE990" s="70"/>
      <c r="AG990" s="5"/>
    </row>
    <row r="991" spans="1:33" s="1" customFormat="1" x14ac:dyDescent="0.25">
      <c r="A991" s="49">
        <v>62</v>
      </c>
      <c r="B991" s="22" t="s">
        <v>1764</v>
      </c>
      <c r="C991" s="22" t="s">
        <v>58</v>
      </c>
      <c r="D991" s="51" t="s">
        <v>687</v>
      </c>
      <c r="E991" s="24" t="s">
        <v>688</v>
      </c>
      <c r="F991" s="24"/>
      <c r="G991" s="24" t="s">
        <v>260</v>
      </c>
      <c r="H991" s="24" t="s">
        <v>62</v>
      </c>
      <c r="I991" s="24">
        <v>2005</v>
      </c>
      <c r="J991" s="24"/>
      <c r="K991" s="24" t="s">
        <v>261</v>
      </c>
      <c r="L991" s="24" t="s">
        <v>212</v>
      </c>
      <c r="M991" s="24">
        <v>1</v>
      </c>
      <c r="N991" s="41">
        <f t="shared" si="366"/>
        <v>600000</v>
      </c>
      <c r="O991" s="41">
        <v>600000</v>
      </c>
      <c r="P991" s="24"/>
      <c r="Q991" s="24"/>
      <c r="R991" s="24"/>
      <c r="S991" s="41">
        <f t="shared" si="367"/>
        <v>600000</v>
      </c>
      <c r="T991" s="24">
        <v>5</v>
      </c>
      <c r="U991" s="41"/>
      <c r="V991" s="24">
        <v>0.5</v>
      </c>
      <c r="W991" s="41">
        <f t="shared" si="369"/>
        <v>0</v>
      </c>
      <c r="X991" s="24"/>
      <c r="Y991" s="41">
        <f t="shared" si="370"/>
        <v>0</v>
      </c>
      <c r="Z991" s="41">
        <f t="shared" si="371"/>
        <v>0</v>
      </c>
      <c r="AA991" s="24">
        <v>5</v>
      </c>
      <c r="AB991" s="41">
        <v>600000</v>
      </c>
      <c r="AC991" s="41">
        <f t="shared" si="358"/>
        <v>0</v>
      </c>
      <c r="AD991" s="70" t="s">
        <v>213</v>
      </c>
      <c r="AE991" s="70"/>
      <c r="AG991" s="5"/>
    </row>
    <row r="992" spans="1:33" s="1" customFormat="1" x14ac:dyDescent="0.25">
      <c r="A992" s="49">
        <v>63</v>
      </c>
      <c r="B992" s="22" t="s">
        <v>1764</v>
      </c>
      <c r="C992" s="22" t="s">
        <v>79</v>
      </c>
      <c r="D992" s="51" t="s">
        <v>689</v>
      </c>
      <c r="E992" s="24" t="s">
        <v>686</v>
      </c>
      <c r="F992" s="24"/>
      <c r="G992" s="24" t="s">
        <v>260</v>
      </c>
      <c r="H992" s="24" t="s">
        <v>62</v>
      </c>
      <c r="I992" s="24">
        <v>2012</v>
      </c>
      <c r="J992" s="24"/>
      <c r="K992" s="24" t="s">
        <v>684</v>
      </c>
      <c r="L992" s="24" t="s">
        <v>64</v>
      </c>
      <c r="M992" s="24">
        <v>1</v>
      </c>
      <c r="N992" s="41">
        <f t="shared" si="366"/>
        <v>10000000</v>
      </c>
      <c r="O992" s="41">
        <v>10000000</v>
      </c>
      <c r="P992" s="24"/>
      <c r="Q992" s="24"/>
      <c r="R992" s="24"/>
      <c r="S992" s="41">
        <f t="shared" si="367"/>
        <v>10000000</v>
      </c>
      <c r="T992" s="24">
        <v>5</v>
      </c>
      <c r="U992" s="41"/>
      <c r="V992" s="24">
        <v>0.5</v>
      </c>
      <c r="W992" s="41">
        <f t="shared" si="369"/>
        <v>0</v>
      </c>
      <c r="X992" s="24"/>
      <c r="Y992" s="41">
        <f t="shared" si="370"/>
        <v>0</v>
      </c>
      <c r="Z992" s="41">
        <f t="shared" si="371"/>
        <v>0</v>
      </c>
      <c r="AA992" s="24">
        <v>5</v>
      </c>
      <c r="AB992" s="41">
        <v>10000000</v>
      </c>
      <c r="AC992" s="41">
        <f t="shared" si="358"/>
        <v>0</v>
      </c>
      <c r="AD992" s="70" t="s">
        <v>288</v>
      </c>
      <c r="AE992" s="70"/>
      <c r="AG992" s="5"/>
    </row>
    <row r="993" spans="1:33" s="1" customFormat="1" x14ac:dyDescent="0.25">
      <c r="A993" s="49">
        <v>64</v>
      </c>
      <c r="B993" s="22" t="s">
        <v>1764</v>
      </c>
      <c r="C993" s="22" t="s">
        <v>84</v>
      </c>
      <c r="D993" s="51" t="s">
        <v>690</v>
      </c>
      <c r="E993" s="24" t="s">
        <v>691</v>
      </c>
      <c r="F993" s="24"/>
      <c r="G993" s="24" t="s">
        <v>260</v>
      </c>
      <c r="H993" s="24" t="s">
        <v>62</v>
      </c>
      <c r="I993" s="24">
        <v>2012</v>
      </c>
      <c r="J993" s="24"/>
      <c r="K993" s="24" t="s">
        <v>684</v>
      </c>
      <c r="L993" s="24" t="s">
        <v>64</v>
      </c>
      <c r="M993" s="24">
        <v>1</v>
      </c>
      <c r="N993" s="41">
        <f t="shared" si="366"/>
        <v>1300000</v>
      </c>
      <c r="O993" s="41">
        <v>1300000</v>
      </c>
      <c r="P993" s="24"/>
      <c r="Q993" s="24"/>
      <c r="R993" s="24"/>
      <c r="S993" s="41">
        <f t="shared" si="367"/>
        <v>1300000</v>
      </c>
      <c r="T993" s="24">
        <v>5</v>
      </c>
      <c r="U993" s="41"/>
      <c r="V993" s="24">
        <v>0.5</v>
      </c>
      <c r="W993" s="41">
        <f t="shared" si="369"/>
        <v>0</v>
      </c>
      <c r="X993" s="24"/>
      <c r="Y993" s="41">
        <f t="shared" si="370"/>
        <v>0</v>
      </c>
      <c r="Z993" s="41">
        <f t="shared" si="371"/>
        <v>0</v>
      </c>
      <c r="AA993" s="24">
        <v>5</v>
      </c>
      <c r="AB993" s="41">
        <v>1300000</v>
      </c>
      <c r="AC993" s="41">
        <f t="shared" si="358"/>
        <v>0</v>
      </c>
      <c r="AD993" s="70" t="s">
        <v>630</v>
      </c>
      <c r="AE993" s="70"/>
      <c r="AG993" s="5"/>
    </row>
    <row r="994" spans="1:33" s="1" customFormat="1" x14ac:dyDescent="0.25">
      <c r="A994" s="49">
        <v>65</v>
      </c>
      <c r="B994" s="22" t="s">
        <v>1764</v>
      </c>
      <c r="C994" s="22" t="s">
        <v>343</v>
      </c>
      <c r="D994" s="51" t="s">
        <v>692</v>
      </c>
      <c r="E994" s="24" t="s">
        <v>691</v>
      </c>
      <c r="F994" s="24"/>
      <c r="G994" s="24" t="s">
        <v>260</v>
      </c>
      <c r="H994" s="24" t="s">
        <v>62</v>
      </c>
      <c r="I994" s="24">
        <v>2011</v>
      </c>
      <c r="J994" s="24"/>
      <c r="K994" s="24" t="s">
        <v>684</v>
      </c>
      <c r="L994" s="24" t="s">
        <v>64</v>
      </c>
      <c r="M994" s="24">
        <v>6</v>
      </c>
      <c r="N994" s="41">
        <f t="shared" si="366"/>
        <v>300000</v>
      </c>
      <c r="O994" s="41">
        <v>1800000</v>
      </c>
      <c r="P994" s="24"/>
      <c r="Q994" s="24"/>
      <c r="R994" s="24"/>
      <c r="S994" s="41">
        <f t="shared" si="367"/>
        <v>1800000</v>
      </c>
      <c r="T994" s="24">
        <v>5</v>
      </c>
      <c r="U994" s="41"/>
      <c r="V994" s="24">
        <v>0.5</v>
      </c>
      <c r="W994" s="41">
        <f t="shared" si="369"/>
        <v>0</v>
      </c>
      <c r="X994" s="24"/>
      <c r="Y994" s="41">
        <f t="shared" si="370"/>
        <v>0</v>
      </c>
      <c r="Z994" s="41">
        <f t="shared" si="371"/>
        <v>0</v>
      </c>
      <c r="AA994" s="24">
        <v>5</v>
      </c>
      <c r="AB994" s="41">
        <v>1800000</v>
      </c>
      <c r="AC994" s="41">
        <f t="shared" ref="AC994:AC1001" si="372">SUM(O994-AB994)</f>
        <v>0</v>
      </c>
      <c r="AD994" s="70" t="s">
        <v>295</v>
      </c>
      <c r="AE994" s="70"/>
      <c r="AG994" s="5"/>
    </row>
    <row r="995" spans="1:33" s="1" customFormat="1" x14ac:dyDescent="0.25">
      <c r="A995" s="49">
        <v>66</v>
      </c>
      <c r="B995" s="22" t="s">
        <v>1764</v>
      </c>
      <c r="C995" s="22" t="s">
        <v>693</v>
      </c>
      <c r="D995" s="51" t="s">
        <v>694</v>
      </c>
      <c r="E995" s="24" t="s">
        <v>691</v>
      </c>
      <c r="F995" s="24"/>
      <c r="G995" s="24" t="s">
        <v>260</v>
      </c>
      <c r="H995" s="24" t="s">
        <v>62</v>
      </c>
      <c r="I995" s="24">
        <v>2011</v>
      </c>
      <c r="J995" s="24"/>
      <c r="K995" s="24" t="s">
        <v>684</v>
      </c>
      <c r="L995" s="24" t="s">
        <v>64</v>
      </c>
      <c r="M995" s="24">
        <v>3</v>
      </c>
      <c r="N995" s="41">
        <f t="shared" si="366"/>
        <v>300000</v>
      </c>
      <c r="O995" s="41">
        <v>900000</v>
      </c>
      <c r="P995" s="24"/>
      <c r="Q995" s="24"/>
      <c r="R995" s="24"/>
      <c r="S995" s="41">
        <f t="shared" si="367"/>
        <v>900000</v>
      </c>
      <c r="T995" s="24">
        <v>5</v>
      </c>
      <c r="U995" s="41"/>
      <c r="V995" s="24">
        <v>0.5</v>
      </c>
      <c r="W995" s="41">
        <f t="shared" si="369"/>
        <v>0</v>
      </c>
      <c r="X995" s="24"/>
      <c r="Y995" s="41">
        <f t="shared" si="370"/>
        <v>0</v>
      </c>
      <c r="Z995" s="41">
        <f t="shared" si="371"/>
        <v>0</v>
      </c>
      <c r="AA995" s="24">
        <v>5</v>
      </c>
      <c r="AB995" s="41">
        <v>900000</v>
      </c>
      <c r="AC995" s="41">
        <f t="shared" si="372"/>
        <v>0</v>
      </c>
      <c r="AD995" s="70" t="s">
        <v>287</v>
      </c>
      <c r="AE995" s="70"/>
      <c r="AG995" s="5"/>
    </row>
    <row r="996" spans="1:33" s="1" customFormat="1" x14ac:dyDescent="0.25">
      <c r="A996" s="49">
        <v>67</v>
      </c>
      <c r="B996" s="22" t="s">
        <v>1764</v>
      </c>
      <c r="C996" s="22" t="s">
        <v>339</v>
      </c>
      <c r="D996" s="51" t="s">
        <v>690</v>
      </c>
      <c r="E996" s="24" t="s">
        <v>695</v>
      </c>
      <c r="F996" s="24"/>
      <c r="G996" s="24" t="s">
        <v>260</v>
      </c>
      <c r="H996" s="24" t="s">
        <v>62</v>
      </c>
      <c r="I996" s="24">
        <v>2011</v>
      </c>
      <c r="J996" s="24"/>
      <c r="K996" s="24" t="s">
        <v>696</v>
      </c>
      <c r="L996" s="24" t="s">
        <v>64</v>
      </c>
      <c r="M996" s="24">
        <v>2</v>
      </c>
      <c r="N996" s="41">
        <f t="shared" si="366"/>
        <v>300000</v>
      </c>
      <c r="O996" s="41">
        <v>600000</v>
      </c>
      <c r="P996" s="24"/>
      <c r="Q996" s="24"/>
      <c r="R996" s="24"/>
      <c r="S996" s="41">
        <f t="shared" si="367"/>
        <v>600000</v>
      </c>
      <c r="T996" s="24">
        <v>5</v>
      </c>
      <c r="U996" s="41"/>
      <c r="V996" s="24">
        <v>0.5</v>
      </c>
      <c r="W996" s="41">
        <f t="shared" si="369"/>
        <v>0</v>
      </c>
      <c r="X996" s="24"/>
      <c r="Y996" s="41">
        <f t="shared" si="370"/>
        <v>0</v>
      </c>
      <c r="Z996" s="41">
        <f t="shared" si="371"/>
        <v>0</v>
      </c>
      <c r="AA996" s="24">
        <v>5</v>
      </c>
      <c r="AB996" s="41">
        <v>600000</v>
      </c>
      <c r="AC996" s="41">
        <f t="shared" si="372"/>
        <v>0</v>
      </c>
      <c r="AD996" s="70" t="s">
        <v>295</v>
      </c>
      <c r="AE996" s="70"/>
      <c r="AG996" s="5"/>
    </row>
    <row r="997" spans="1:33" s="1" customFormat="1" x14ac:dyDescent="0.25">
      <c r="A997" s="49">
        <v>68</v>
      </c>
      <c r="B997" s="22" t="s">
        <v>1765</v>
      </c>
      <c r="C997" s="73" t="s">
        <v>58</v>
      </c>
      <c r="D997" s="85" t="s">
        <v>1239</v>
      </c>
      <c r="E997" s="52"/>
      <c r="F997" s="52"/>
      <c r="G997" s="52" t="s">
        <v>466</v>
      </c>
      <c r="H997" s="52" t="s">
        <v>62</v>
      </c>
      <c r="I997" s="52">
        <v>2021</v>
      </c>
      <c r="J997" s="52"/>
      <c r="K997" s="52" t="s">
        <v>63</v>
      </c>
      <c r="L997" s="52" t="s">
        <v>64</v>
      </c>
      <c r="M997" s="52">
        <v>1</v>
      </c>
      <c r="N997" s="87">
        <v>42675820</v>
      </c>
      <c r="O997" s="87">
        <v>42675820</v>
      </c>
      <c r="P997" s="52"/>
      <c r="Q997" s="52"/>
      <c r="R997" s="52"/>
      <c r="S997" s="87">
        <f t="shared" si="367"/>
        <v>42675820</v>
      </c>
      <c r="T997" s="52">
        <v>5</v>
      </c>
      <c r="U997" s="87">
        <f t="shared" ref="U997" si="373">SUM(S997/T997)</f>
        <v>8535164</v>
      </c>
      <c r="V997" s="52">
        <v>0.5</v>
      </c>
      <c r="W997" s="87">
        <f>SUM(U997*V997)</f>
        <v>4267582</v>
      </c>
      <c r="X997" s="52"/>
      <c r="Y997" s="87">
        <f>SUM(U997*X997)</f>
        <v>0</v>
      </c>
      <c r="Z997" s="87">
        <f>SUM(W997+Y997)</f>
        <v>4267582</v>
      </c>
      <c r="AA997" s="52">
        <f>3/12+0.5+0.5+0.5</f>
        <v>1.75</v>
      </c>
      <c r="AB997" s="87">
        <f t="shared" ref="AB997" si="374">SUM(U997*AA997)</f>
        <v>14936537</v>
      </c>
      <c r="AC997" s="87">
        <f t="shared" si="372"/>
        <v>27739283</v>
      </c>
      <c r="AD997" s="52" t="s">
        <v>400</v>
      </c>
      <c r="AE997" s="24"/>
      <c r="AG997" s="5"/>
    </row>
    <row r="998" spans="1:33" s="1" customFormat="1" x14ac:dyDescent="0.25">
      <c r="A998" s="49">
        <v>69</v>
      </c>
      <c r="B998" s="22" t="s">
        <v>1766</v>
      </c>
      <c r="C998" s="50" t="s">
        <v>255</v>
      </c>
      <c r="D998" s="51" t="s">
        <v>1767</v>
      </c>
      <c r="E998" s="52" t="s">
        <v>256</v>
      </c>
      <c r="F998" s="52"/>
      <c r="G998" s="52" t="s">
        <v>194</v>
      </c>
      <c r="H998" s="52" t="s">
        <v>62</v>
      </c>
      <c r="I998" s="52">
        <v>2005</v>
      </c>
      <c r="J998" s="52"/>
      <c r="K998" s="52" t="s">
        <v>63</v>
      </c>
      <c r="L998" s="52" t="s">
        <v>64</v>
      </c>
      <c r="M998" s="52">
        <v>25</v>
      </c>
      <c r="N998" s="53">
        <f>SUM(O998/M998)</f>
        <v>240000</v>
      </c>
      <c r="O998" s="53">
        <v>6000000</v>
      </c>
      <c r="P998" s="52"/>
      <c r="Q998" s="52"/>
      <c r="R998" s="52"/>
      <c r="S998" s="53">
        <f t="shared" si="367"/>
        <v>6000000</v>
      </c>
      <c r="T998" s="52">
        <v>5</v>
      </c>
      <c r="U998" s="53"/>
      <c r="V998" s="52">
        <v>0.5</v>
      </c>
      <c r="W998" s="53">
        <f>SUM(U998*V998)</f>
        <v>0</v>
      </c>
      <c r="X998" s="52"/>
      <c r="Y998" s="53">
        <f>SUM(U998*X998)</f>
        <v>0</v>
      </c>
      <c r="Z998" s="53">
        <f>SUM(W998+Y998)</f>
        <v>0</v>
      </c>
      <c r="AA998" s="57">
        <v>5</v>
      </c>
      <c r="AB998" s="53">
        <v>6000000</v>
      </c>
      <c r="AC998" s="53">
        <f t="shared" si="372"/>
        <v>0</v>
      </c>
      <c r="AD998" s="56" t="s">
        <v>213</v>
      </c>
      <c r="AE998" s="56"/>
      <c r="AG998" s="5"/>
    </row>
    <row r="999" spans="1:33" s="1" customFormat="1" x14ac:dyDescent="0.25">
      <c r="A999" s="49">
        <v>70</v>
      </c>
      <c r="B999" s="22" t="s">
        <v>1766</v>
      </c>
      <c r="C999" s="50" t="s">
        <v>58</v>
      </c>
      <c r="D999" s="51" t="s">
        <v>1768</v>
      </c>
      <c r="E999" s="52" t="s">
        <v>256</v>
      </c>
      <c r="F999" s="52"/>
      <c r="G999" s="52" t="s">
        <v>260</v>
      </c>
      <c r="H999" s="52" t="s">
        <v>62</v>
      </c>
      <c r="I999" s="52">
        <v>2011</v>
      </c>
      <c r="J999" s="52"/>
      <c r="K999" s="52" t="s">
        <v>261</v>
      </c>
      <c r="L999" s="52" t="s">
        <v>64</v>
      </c>
      <c r="M999" s="52">
        <v>1</v>
      </c>
      <c r="N999" s="53">
        <f>SUM(O999/M999)</f>
        <v>48530000</v>
      </c>
      <c r="O999" s="53">
        <v>48530000</v>
      </c>
      <c r="P999" s="52"/>
      <c r="Q999" s="52"/>
      <c r="R999" s="52"/>
      <c r="S999" s="53">
        <f t="shared" si="367"/>
        <v>48530000</v>
      </c>
      <c r="T999" s="52">
        <v>5</v>
      </c>
      <c r="U999" s="53"/>
      <c r="V999" s="52">
        <v>0.5</v>
      </c>
      <c r="W999" s="53">
        <f>SUM(U999*V999)</f>
        <v>0</v>
      </c>
      <c r="X999" s="52"/>
      <c r="Y999" s="53">
        <f>SUM(U999*X999)</f>
        <v>0</v>
      </c>
      <c r="Z999" s="53">
        <f>SUM(W999+Y999)</f>
        <v>0</v>
      </c>
      <c r="AA999" s="57">
        <v>5</v>
      </c>
      <c r="AB999" s="53">
        <v>48530000</v>
      </c>
      <c r="AC999" s="53">
        <f t="shared" si="372"/>
        <v>0</v>
      </c>
      <c r="AD999" s="56" t="s">
        <v>213</v>
      </c>
      <c r="AE999" s="56"/>
      <c r="AG999" s="5"/>
    </row>
    <row r="1000" spans="1:33" s="1" customFormat="1" x14ac:dyDescent="0.25">
      <c r="A1000" s="49">
        <v>71</v>
      </c>
      <c r="B1000" s="22" t="s">
        <v>1766</v>
      </c>
      <c r="C1000" s="50" t="s">
        <v>75</v>
      </c>
      <c r="D1000" s="51" t="s">
        <v>1768</v>
      </c>
      <c r="E1000" s="52" t="s">
        <v>262</v>
      </c>
      <c r="F1000" s="52"/>
      <c r="G1000" s="52" t="s">
        <v>260</v>
      </c>
      <c r="H1000" s="52" t="s">
        <v>62</v>
      </c>
      <c r="I1000" s="52">
        <v>2013</v>
      </c>
      <c r="J1000" s="52"/>
      <c r="K1000" s="52" t="s">
        <v>261</v>
      </c>
      <c r="L1000" s="52" t="s">
        <v>64</v>
      </c>
      <c r="M1000" s="52">
        <v>1</v>
      </c>
      <c r="N1000" s="53">
        <f>SUM(O1000/M1000)</f>
        <v>109433500</v>
      </c>
      <c r="O1000" s="53">
        <v>109433500</v>
      </c>
      <c r="P1000" s="52"/>
      <c r="Q1000" s="52"/>
      <c r="R1000" s="52"/>
      <c r="S1000" s="53">
        <f t="shared" si="367"/>
        <v>109433500</v>
      </c>
      <c r="T1000" s="52">
        <v>5</v>
      </c>
      <c r="U1000" s="53"/>
      <c r="V1000" s="52">
        <v>0.5</v>
      </c>
      <c r="W1000" s="53">
        <f>SUM(U1000*V1000)</f>
        <v>0</v>
      </c>
      <c r="X1000" s="52"/>
      <c r="Y1000" s="53">
        <f>SUM(U1000*X1000)</f>
        <v>0</v>
      </c>
      <c r="Z1000" s="53">
        <f>SUM(W1000+Y1000)</f>
        <v>0</v>
      </c>
      <c r="AA1000" s="57">
        <v>5</v>
      </c>
      <c r="AB1000" s="53">
        <v>109433500</v>
      </c>
      <c r="AC1000" s="53">
        <f t="shared" si="372"/>
        <v>0</v>
      </c>
      <c r="AD1000" s="56" t="s">
        <v>195</v>
      </c>
      <c r="AE1000" s="56"/>
      <c r="AG1000" s="5"/>
    </row>
    <row r="1001" spans="1:33" s="1" customFormat="1" x14ac:dyDescent="0.25">
      <c r="A1001" s="49">
        <v>72</v>
      </c>
      <c r="B1001" s="22" t="s">
        <v>1766</v>
      </c>
      <c r="C1001" s="50" t="s">
        <v>75</v>
      </c>
      <c r="D1001" s="51" t="s">
        <v>1768</v>
      </c>
      <c r="E1001" s="52" t="s">
        <v>263</v>
      </c>
      <c r="F1001" s="52"/>
      <c r="G1001" s="52" t="s">
        <v>260</v>
      </c>
      <c r="H1001" s="52" t="s">
        <v>62</v>
      </c>
      <c r="I1001" s="52">
        <v>2014</v>
      </c>
      <c r="J1001" s="52"/>
      <c r="K1001" s="52" t="s">
        <v>261</v>
      </c>
      <c r="L1001" s="52" t="s">
        <v>64</v>
      </c>
      <c r="M1001" s="52">
        <v>1</v>
      </c>
      <c r="N1001" s="53">
        <f>SUM(O1001/M1001)</f>
        <v>85272000</v>
      </c>
      <c r="O1001" s="53">
        <v>85272000</v>
      </c>
      <c r="P1001" s="52"/>
      <c r="Q1001" s="52"/>
      <c r="R1001" s="52"/>
      <c r="S1001" s="53">
        <f t="shared" si="367"/>
        <v>85272000</v>
      </c>
      <c r="T1001" s="52">
        <v>5</v>
      </c>
      <c r="U1001" s="53"/>
      <c r="V1001" s="52">
        <v>0.5</v>
      </c>
      <c r="W1001" s="53">
        <f>SUM(U1001*V1001)</f>
        <v>0</v>
      </c>
      <c r="X1001" s="52"/>
      <c r="Y1001" s="53">
        <f>SUM(U1001*X1001)</f>
        <v>0</v>
      </c>
      <c r="Z1001" s="53">
        <f>SUM(W1001+Y1001)</f>
        <v>0</v>
      </c>
      <c r="AA1001" s="57">
        <v>5</v>
      </c>
      <c r="AB1001" s="53">
        <v>85272000</v>
      </c>
      <c r="AC1001" s="53">
        <f t="shared" si="372"/>
        <v>0</v>
      </c>
      <c r="AD1001" s="56" t="s">
        <v>195</v>
      </c>
      <c r="AE1001" s="56"/>
      <c r="AG1001" s="5"/>
    </row>
    <row r="1002" spans="1:33" s="1" customFormat="1" x14ac:dyDescent="0.25">
      <c r="A1002" s="49"/>
      <c r="B1002" s="50"/>
      <c r="C1002" s="50"/>
      <c r="D1002" s="51"/>
      <c r="E1002" s="52"/>
      <c r="F1002" s="52"/>
      <c r="G1002" s="52"/>
      <c r="H1002" s="52"/>
      <c r="I1002" s="52"/>
      <c r="J1002" s="52"/>
      <c r="K1002" s="52"/>
      <c r="L1002" s="52"/>
      <c r="M1002" s="52"/>
      <c r="N1002" s="53"/>
      <c r="O1002" s="53"/>
      <c r="P1002" s="52"/>
      <c r="Q1002" s="52"/>
      <c r="R1002" s="52"/>
      <c r="S1002" s="53"/>
      <c r="T1002" s="52"/>
      <c r="U1002" s="53"/>
      <c r="V1002" s="52"/>
      <c r="W1002" s="53"/>
      <c r="X1002" s="52"/>
      <c r="Y1002" s="53"/>
      <c r="Z1002" s="53"/>
      <c r="AA1002" s="57"/>
      <c r="AB1002" s="53"/>
      <c r="AC1002" s="53"/>
      <c r="AD1002" s="56"/>
      <c r="AE1002" s="56"/>
      <c r="AG1002" s="5"/>
    </row>
    <row r="1003" spans="1:33" s="1" customFormat="1" x14ac:dyDescent="0.25">
      <c r="A1003" s="25"/>
      <c r="B1003" s="26" t="s">
        <v>3719</v>
      </c>
      <c r="C1003" s="26"/>
      <c r="D1003" s="27" t="s">
        <v>3720</v>
      </c>
      <c r="E1003" s="28"/>
      <c r="F1003" s="28"/>
      <c r="G1003" s="28"/>
      <c r="H1003" s="28"/>
      <c r="I1003" s="28"/>
      <c r="J1003" s="28"/>
      <c r="K1003" s="28"/>
      <c r="L1003" s="28"/>
      <c r="M1003" s="28">
        <f>SUM(M1004:M1009)</f>
        <v>6</v>
      </c>
      <c r="N1003" s="40"/>
      <c r="O1003" s="40">
        <f>SUM(O1004:O1009)</f>
        <v>24306000</v>
      </c>
      <c r="P1003" s="28"/>
      <c r="Q1003" s="28"/>
      <c r="R1003" s="28"/>
      <c r="S1003" s="40">
        <f>SUM(S1004:S1009)</f>
        <v>24306000</v>
      </c>
      <c r="T1003" s="28"/>
      <c r="U1003" s="40">
        <f>SUM(U1004:U1009)</f>
        <v>4861200</v>
      </c>
      <c r="V1003" s="28"/>
      <c r="W1003" s="40">
        <f>SUM(W1004:W1009)</f>
        <v>405099.99999999988</v>
      </c>
      <c r="X1003" s="28"/>
      <c r="Y1003" s="40"/>
      <c r="Z1003" s="40">
        <f>SUM(Z1004:Z1009)</f>
        <v>405099.99999999988</v>
      </c>
      <c r="AA1003" s="153"/>
      <c r="AB1003" s="40">
        <f>SUM(AB1004:AB1009)</f>
        <v>405099.99999999988</v>
      </c>
      <c r="AC1003" s="40">
        <f>SUM(AC1004:AC1009)</f>
        <v>23900900</v>
      </c>
      <c r="AD1003" s="167"/>
      <c r="AE1003" s="167"/>
      <c r="AG1003" s="5"/>
    </row>
    <row r="1004" spans="1:33" s="1" customFormat="1" x14ac:dyDescent="0.25">
      <c r="A1004" s="49"/>
      <c r="B1004" s="308" t="s">
        <v>1758</v>
      </c>
      <c r="C1004" s="308" t="s">
        <v>904</v>
      </c>
      <c r="D1004" s="309" t="s">
        <v>402</v>
      </c>
      <c r="E1004" s="310" t="s">
        <v>453</v>
      </c>
      <c r="F1004" s="310"/>
      <c r="G1004" s="310" t="s">
        <v>194</v>
      </c>
      <c r="H1004" s="310" t="s">
        <v>62</v>
      </c>
      <c r="I1004" s="310">
        <v>2023</v>
      </c>
      <c r="J1004" s="310"/>
      <c r="K1004" s="310" t="s">
        <v>63</v>
      </c>
      <c r="L1004" s="310" t="s">
        <v>64</v>
      </c>
      <c r="M1004" s="310">
        <v>1</v>
      </c>
      <c r="N1004" s="311">
        <f t="shared" ref="N1004:N1009" si="375">SUM(O1004/M1004)</f>
        <v>4051000</v>
      </c>
      <c r="O1004" s="311">
        <v>4051000</v>
      </c>
      <c r="P1004" s="310"/>
      <c r="Q1004" s="310"/>
      <c r="R1004" s="310"/>
      <c r="S1004" s="311">
        <f t="shared" ref="S1004:S1009" si="376">SUM(O1004-R1004)</f>
        <v>4051000</v>
      </c>
      <c r="T1004" s="310">
        <v>5</v>
      </c>
      <c r="U1004" s="311">
        <f t="shared" ref="U1004:U1009" si="377">SUM(S1004/T1004)</f>
        <v>810200</v>
      </c>
      <c r="V1004" s="310">
        <f t="shared" ref="V1004:V1009" si="378">1/12</f>
        <v>8.3333333333333329E-2</v>
      </c>
      <c r="W1004" s="311">
        <f t="shared" ref="W1004:W1009" si="379">SUM(U1004*V1004)</f>
        <v>67516.666666666657</v>
      </c>
      <c r="X1004" s="310"/>
      <c r="Y1004" s="311"/>
      <c r="Z1004" s="311">
        <f t="shared" ref="Z1004:Z1009" si="380">SUM(W1004+Y1004)</f>
        <v>67516.666666666657</v>
      </c>
      <c r="AA1004" s="312">
        <f t="shared" ref="AA1004:AA1009" si="381">1/12</f>
        <v>8.3333333333333329E-2</v>
      </c>
      <c r="AB1004" s="311">
        <f t="shared" ref="AB1004:AB1009" si="382">SUM(U1004*AA1004)</f>
        <v>67516.666666666657</v>
      </c>
      <c r="AC1004" s="311">
        <f t="shared" ref="AC1004:AC1009" si="383">SUM(O1004-AB1004)</f>
        <v>3983483.3333333335</v>
      </c>
      <c r="AD1004" s="56"/>
      <c r="AE1004" s="56"/>
      <c r="AG1004" s="5"/>
    </row>
    <row r="1005" spans="1:33" s="1" customFormat="1" x14ac:dyDescent="0.25">
      <c r="A1005" s="49"/>
      <c r="B1005" s="308" t="s">
        <v>1758</v>
      </c>
      <c r="C1005" s="308" t="s">
        <v>905</v>
      </c>
      <c r="D1005" s="309" t="s">
        <v>402</v>
      </c>
      <c r="E1005" s="310" t="s">
        <v>453</v>
      </c>
      <c r="F1005" s="310"/>
      <c r="G1005" s="310" t="s">
        <v>194</v>
      </c>
      <c r="H1005" s="310" t="s">
        <v>62</v>
      </c>
      <c r="I1005" s="310">
        <v>2023</v>
      </c>
      <c r="J1005" s="310"/>
      <c r="K1005" s="310" t="s">
        <v>63</v>
      </c>
      <c r="L1005" s="310" t="s">
        <v>64</v>
      </c>
      <c r="M1005" s="310">
        <v>1</v>
      </c>
      <c r="N1005" s="311">
        <f t="shared" si="375"/>
        <v>4051000</v>
      </c>
      <c r="O1005" s="311">
        <v>4051000</v>
      </c>
      <c r="P1005" s="310"/>
      <c r="Q1005" s="310"/>
      <c r="R1005" s="310"/>
      <c r="S1005" s="311">
        <f t="shared" si="376"/>
        <v>4051000</v>
      </c>
      <c r="T1005" s="310">
        <v>5</v>
      </c>
      <c r="U1005" s="311">
        <f t="shared" si="377"/>
        <v>810200</v>
      </c>
      <c r="V1005" s="310">
        <f t="shared" si="378"/>
        <v>8.3333333333333329E-2</v>
      </c>
      <c r="W1005" s="311">
        <f t="shared" si="379"/>
        <v>67516.666666666657</v>
      </c>
      <c r="X1005" s="310"/>
      <c r="Y1005" s="311"/>
      <c r="Z1005" s="311">
        <f t="shared" si="380"/>
        <v>67516.666666666657</v>
      </c>
      <c r="AA1005" s="312">
        <f t="shared" si="381"/>
        <v>8.3333333333333329E-2</v>
      </c>
      <c r="AB1005" s="311">
        <f t="shared" si="382"/>
        <v>67516.666666666657</v>
      </c>
      <c r="AC1005" s="311">
        <f t="shared" si="383"/>
        <v>3983483.3333333335</v>
      </c>
      <c r="AD1005" s="56"/>
      <c r="AE1005" s="56"/>
      <c r="AG1005" s="5"/>
    </row>
    <row r="1006" spans="1:33" s="1" customFormat="1" x14ac:dyDescent="0.25">
      <c r="A1006" s="49"/>
      <c r="B1006" s="308" t="s">
        <v>1758</v>
      </c>
      <c r="C1006" s="308" t="s">
        <v>906</v>
      </c>
      <c r="D1006" s="309" t="s">
        <v>402</v>
      </c>
      <c r="E1006" s="310" t="s">
        <v>453</v>
      </c>
      <c r="F1006" s="310"/>
      <c r="G1006" s="310" t="s">
        <v>194</v>
      </c>
      <c r="H1006" s="310" t="s">
        <v>62</v>
      </c>
      <c r="I1006" s="310">
        <v>2023</v>
      </c>
      <c r="J1006" s="310"/>
      <c r="K1006" s="310" t="s">
        <v>63</v>
      </c>
      <c r="L1006" s="310" t="s">
        <v>64</v>
      </c>
      <c r="M1006" s="310">
        <v>1</v>
      </c>
      <c r="N1006" s="311">
        <f t="shared" si="375"/>
        <v>4051000</v>
      </c>
      <c r="O1006" s="311">
        <v>4051000</v>
      </c>
      <c r="P1006" s="310"/>
      <c r="Q1006" s="310"/>
      <c r="R1006" s="310"/>
      <c r="S1006" s="311">
        <f t="shared" si="376"/>
        <v>4051000</v>
      </c>
      <c r="T1006" s="310">
        <v>5</v>
      </c>
      <c r="U1006" s="311">
        <f t="shared" si="377"/>
        <v>810200</v>
      </c>
      <c r="V1006" s="310">
        <f t="shared" si="378"/>
        <v>8.3333333333333329E-2</v>
      </c>
      <c r="W1006" s="311">
        <f t="shared" si="379"/>
        <v>67516.666666666657</v>
      </c>
      <c r="X1006" s="310"/>
      <c r="Y1006" s="311"/>
      <c r="Z1006" s="311">
        <f t="shared" si="380"/>
        <v>67516.666666666657</v>
      </c>
      <c r="AA1006" s="312">
        <f t="shared" si="381"/>
        <v>8.3333333333333329E-2</v>
      </c>
      <c r="AB1006" s="311">
        <f t="shared" si="382"/>
        <v>67516.666666666657</v>
      </c>
      <c r="AC1006" s="311">
        <f t="shared" si="383"/>
        <v>3983483.3333333335</v>
      </c>
      <c r="AD1006" s="56"/>
      <c r="AE1006" s="56"/>
      <c r="AG1006" s="5"/>
    </row>
    <row r="1007" spans="1:33" s="1" customFormat="1" x14ac:dyDescent="0.25">
      <c r="A1007" s="49"/>
      <c r="B1007" s="308" t="s">
        <v>1758</v>
      </c>
      <c r="C1007" s="308" t="s">
        <v>908</v>
      </c>
      <c r="D1007" s="309" t="s">
        <v>402</v>
      </c>
      <c r="E1007" s="310" t="s">
        <v>453</v>
      </c>
      <c r="F1007" s="310"/>
      <c r="G1007" s="310" t="s">
        <v>194</v>
      </c>
      <c r="H1007" s="310" t="s">
        <v>62</v>
      </c>
      <c r="I1007" s="310">
        <v>2023</v>
      </c>
      <c r="J1007" s="310"/>
      <c r="K1007" s="310" t="s">
        <v>63</v>
      </c>
      <c r="L1007" s="310" t="s">
        <v>64</v>
      </c>
      <c r="M1007" s="310">
        <v>1</v>
      </c>
      <c r="N1007" s="311">
        <f t="shared" si="375"/>
        <v>4051000</v>
      </c>
      <c r="O1007" s="311">
        <v>4051000</v>
      </c>
      <c r="P1007" s="310"/>
      <c r="Q1007" s="310"/>
      <c r="R1007" s="310"/>
      <c r="S1007" s="311">
        <f t="shared" si="376"/>
        <v>4051000</v>
      </c>
      <c r="T1007" s="310">
        <v>5</v>
      </c>
      <c r="U1007" s="311">
        <f t="shared" si="377"/>
        <v>810200</v>
      </c>
      <c r="V1007" s="310">
        <f t="shared" si="378"/>
        <v>8.3333333333333329E-2</v>
      </c>
      <c r="W1007" s="311">
        <f t="shared" si="379"/>
        <v>67516.666666666657</v>
      </c>
      <c r="X1007" s="310"/>
      <c r="Y1007" s="311"/>
      <c r="Z1007" s="311">
        <f t="shared" si="380"/>
        <v>67516.666666666657</v>
      </c>
      <c r="AA1007" s="312">
        <f t="shared" si="381"/>
        <v>8.3333333333333329E-2</v>
      </c>
      <c r="AB1007" s="311">
        <f t="shared" si="382"/>
        <v>67516.666666666657</v>
      </c>
      <c r="AC1007" s="311">
        <f t="shared" si="383"/>
        <v>3983483.3333333335</v>
      </c>
      <c r="AD1007" s="56"/>
      <c r="AE1007" s="56"/>
      <c r="AG1007" s="5"/>
    </row>
    <row r="1008" spans="1:33" s="1" customFormat="1" x14ac:dyDescent="0.25">
      <c r="A1008" s="21"/>
      <c r="B1008" s="308" t="s">
        <v>1758</v>
      </c>
      <c r="C1008" s="308" t="s">
        <v>3168</v>
      </c>
      <c r="D1008" s="408" t="s">
        <v>402</v>
      </c>
      <c r="E1008" s="310" t="s">
        <v>453</v>
      </c>
      <c r="F1008" s="310"/>
      <c r="G1008" s="310" t="s">
        <v>194</v>
      </c>
      <c r="H1008" s="310" t="s">
        <v>62</v>
      </c>
      <c r="I1008" s="310">
        <v>2023</v>
      </c>
      <c r="J1008" s="310"/>
      <c r="K1008" s="310" t="s">
        <v>63</v>
      </c>
      <c r="L1008" s="310" t="s">
        <v>64</v>
      </c>
      <c r="M1008" s="310">
        <v>1</v>
      </c>
      <c r="N1008" s="406">
        <f t="shared" si="375"/>
        <v>4051000</v>
      </c>
      <c r="O1008" s="406">
        <v>4051000</v>
      </c>
      <c r="P1008" s="310"/>
      <c r="Q1008" s="310"/>
      <c r="R1008" s="310"/>
      <c r="S1008" s="310">
        <f t="shared" si="376"/>
        <v>4051000</v>
      </c>
      <c r="T1008" s="310">
        <v>5</v>
      </c>
      <c r="U1008" s="310">
        <f t="shared" si="377"/>
        <v>810200</v>
      </c>
      <c r="V1008" s="310">
        <f t="shared" si="378"/>
        <v>8.3333333333333329E-2</v>
      </c>
      <c r="W1008" s="310">
        <f t="shared" si="379"/>
        <v>67516.666666666657</v>
      </c>
      <c r="X1008" s="310"/>
      <c r="Y1008" s="310"/>
      <c r="Z1008" s="310">
        <f t="shared" si="380"/>
        <v>67516.666666666657</v>
      </c>
      <c r="AA1008" s="310">
        <f t="shared" si="381"/>
        <v>8.3333333333333329E-2</v>
      </c>
      <c r="AB1008" s="310">
        <f t="shared" si="382"/>
        <v>67516.666666666657</v>
      </c>
      <c r="AC1008" s="310">
        <f t="shared" si="383"/>
        <v>3983483.3333333335</v>
      </c>
      <c r="AD1008" s="24"/>
      <c r="AE1008" s="24"/>
    </row>
    <row r="1009" spans="1:31" s="1" customFormat="1" x14ac:dyDescent="0.25">
      <c r="A1009" s="21"/>
      <c r="B1009" s="308" t="s">
        <v>1758</v>
      </c>
      <c r="C1009" s="308" t="s">
        <v>3170</v>
      </c>
      <c r="D1009" s="408" t="s">
        <v>402</v>
      </c>
      <c r="E1009" s="310" t="s">
        <v>453</v>
      </c>
      <c r="F1009" s="310"/>
      <c r="G1009" s="310" t="s">
        <v>194</v>
      </c>
      <c r="H1009" s="310" t="s">
        <v>62</v>
      </c>
      <c r="I1009" s="310">
        <v>2023</v>
      </c>
      <c r="J1009" s="310"/>
      <c r="K1009" s="310" t="s">
        <v>63</v>
      </c>
      <c r="L1009" s="310" t="s">
        <v>64</v>
      </c>
      <c r="M1009" s="310">
        <v>1</v>
      </c>
      <c r="N1009" s="406">
        <f t="shared" si="375"/>
        <v>4051000</v>
      </c>
      <c r="O1009" s="406">
        <v>4051000</v>
      </c>
      <c r="P1009" s="310"/>
      <c r="Q1009" s="310"/>
      <c r="R1009" s="310"/>
      <c r="S1009" s="310">
        <f t="shared" si="376"/>
        <v>4051000</v>
      </c>
      <c r="T1009" s="310">
        <v>5</v>
      </c>
      <c r="U1009" s="310">
        <f t="shared" si="377"/>
        <v>810200</v>
      </c>
      <c r="V1009" s="310">
        <f t="shared" si="378"/>
        <v>8.3333333333333329E-2</v>
      </c>
      <c r="W1009" s="310">
        <f t="shared" si="379"/>
        <v>67516.666666666657</v>
      </c>
      <c r="X1009" s="310"/>
      <c r="Y1009" s="310"/>
      <c r="Z1009" s="310">
        <f t="shared" si="380"/>
        <v>67516.666666666657</v>
      </c>
      <c r="AA1009" s="310">
        <f t="shared" si="381"/>
        <v>8.3333333333333329E-2</v>
      </c>
      <c r="AB1009" s="310">
        <f t="shared" si="382"/>
        <v>67516.666666666657</v>
      </c>
      <c r="AC1009" s="310">
        <f t="shared" si="383"/>
        <v>3983483.3333333335</v>
      </c>
      <c r="AD1009" s="24"/>
      <c r="AE1009" s="24"/>
    </row>
    <row r="1010" spans="1:31" s="1" customFormat="1" x14ac:dyDescent="0.25">
      <c r="A1010" s="17"/>
      <c r="B1010" s="18" t="s">
        <v>1240</v>
      </c>
      <c r="C1010" s="18"/>
      <c r="D1010" s="84" t="s">
        <v>1241</v>
      </c>
      <c r="E1010" s="20"/>
      <c r="F1010" s="20"/>
      <c r="G1010" s="20"/>
      <c r="H1010" s="20"/>
      <c r="I1010" s="20"/>
      <c r="J1010" s="20"/>
      <c r="K1010" s="20"/>
      <c r="L1010" s="20"/>
      <c r="M1010" s="20"/>
      <c r="N1010" s="20"/>
      <c r="O1010" s="20"/>
      <c r="P1010" s="20"/>
      <c r="Q1010" s="20"/>
      <c r="R1010" s="20"/>
      <c r="S1010" s="20"/>
      <c r="T1010" s="20"/>
      <c r="U1010" s="20"/>
      <c r="V1010" s="20"/>
      <c r="W1010" s="20"/>
      <c r="X1010" s="20"/>
      <c r="Y1010" s="20"/>
      <c r="Z1010" s="20"/>
      <c r="AA1010" s="20"/>
      <c r="AB1010" s="20"/>
      <c r="AC1010" s="20"/>
      <c r="AD1010" s="20"/>
      <c r="AE1010" s="20"/>
    </row>
    <row r="1011" spans="1:31" s="1" customFormat="1" x14ac:dyDescent="0.25">
      <c r="A1011" s="25"/>
      <c r="B1011" s="26" t="s">
        <v>1242</v>
      </c>
      <c r="C1011" s="26"/>
      <c r="D1011" s="64" t="s">
        <v>1243</v>
      </c>
      <c r="E1011" s="28"/>
      <c r="F1011" s="28"/>
      <c r="G1011" s="28"/>
      <c r="H1011" s="28"/>
      <c r="I1011" s="28"/>
      <c r="J1011" s="28"/>
      <c r="K1011" s="28"/>
      <c r="L1011" s="28"/>
      <c r="M1011" s="28"/>
      <c r="N1011" s="28"/>
      <c r="O1011" s="28"/>
      <c r="P1011" s="28"/>
      <c r="Q1011" s="28"/>
      <c r="R1011" s="28"/>
      <c r="S1011" s="28"/>
      <c r="T1011" s="28"/>
      <c r="U1011" s="28"/>
      <c r="V1011" s="28"/>
      <c r="W1011" s="28"/>
      <c r="X1011" s="28"/>
      <c r="Y1011" s="28"/>
      <c r="Z1011" s="28"/>
      <c r="AA1011" s="28"/>
      <c r="AB1011" s="28"/>
      <c r="AC1011" s="28"/>
      <c r="AD1011" s="28"/>
      <c r="AE1011" s="28"/>
    </row>
    <row r="1012" spans="1:31" s="1" customFormat="1" x14ac:dyDescent="0.25">
      <c r="A1012" s="21"/>
      <c r="B1012" s="22"/>
      <c r="C1012" s="22"/>
      <c r="D1012" s="65"/>
      <c r="E1012" s="24"/>
      <c r="F1012" s="24"/>
      <c r="G1012" s="24"/>
      <c r="H1012" s="24"/>
      <c r="I1012" s="24"/>
      <c r="J1012" s="24"/>
      <c r="K1012" s="24"/>
      <c r="L1012" s="24"/>
      <c r="M1012" s="24"/>
      <c r="N1012" s="24"/>
      <c r="O1012" s="24"/>
      <c r="P1012" s="24"/>
      <c r="Q1012" s="24"/>
      <c r="R1012" s="24"/>
      <c r="S1012" s="24"/>
      <c r="T1012" s="24"/>
      <c r="U1012" s="24"/>
      <c r="V1012" s="24"/>
      <c r="W1012" s="24"/>
      <c r="X1012" s="24"/>
      <c r="Y1012" s="24"/>
      <c r="Z1012" s="24"/>
      <c r="AA1012" s="24"/>
      <c r="AB1012" s="24"/>
      <c r="AC1012" s="24"/>
      <c r="AD1012" s="24"/>
      <c r="AE1012" s="24"/>
    </row>
    <row r="1013" spans="1:31" s="1" customFormat="1" x14ac:dyDescent="0.25">
      <c r="A1013" s="25"/>
      <c r="B1013" s="26" t="s">
        <v>1244</v>
      </c>
      <c r="C1013" s="26"/>
      <c r="D1013" s="64" t="s">
        <v>1245</v>
      </c>
      <c r="E1013" s="28"/>
      <c r="F1013" s="28"/>
      <c r="G1013" s="28"/>
      <c r="H1013" s="28"/>
      <c r="I1013" s="28"/>
      <c r="J1013" s="28"/>
      <c r="K1013" s="28"/>
      <c r="L1013" s="28"/>
      <c r="M1013" s="28"/>
      <c r="N1013" s="28"/>
      <c r="O1013" s="28"/>
      <c r="P1013" s="28"/>
      <c r="Q1013" s="28"/>
      <c r="R1013" s="28"/>
      <c r="S1013" s="28"/>
      <c r="T1013" s="28"/>
      <c r="U1013" s="28"/>
      <c r="V1013" s="28"/>
      <c r="W1013" s="28"/>
      <c r="X1013" s="28"/>
      <c r="Y1013" s="28"/>
      <c r="Z1013" s="28"/>
      <c r="AA1013" s="28"/>
      <c r="AB1013" s="28"/>
      <c r="AC1013" s="28"/>
      <c r="AD1013" s="28"/>
      <c r="AE1013" s="28"/>
    </row>
    <row r="1014" spans="1:31" s="1" customFormat="1" x14ac:dyDescent="0.25">
      <c r="A1014" s="21"/>
      <c r="B1014" s="22"/>
      <c r="C1014" s="22"/>
      <c r="D1014" s="65"/>
      <c r="E1014" s="24"/>
      <c r="F1014" s="24"/>
      <c r="G1014" s="24"/>
      <c r="H1014" s="24"/>
      <c r="I1014" s="24"/>
      <c r="J1014" s="24"/>
      <c r="K1014" s="24"/>
      <c r="L1014" s="24"/>
      <c r="M1014" s="24"/>
      <c r="N1014" s="24"/>
      <c r="O1014" s="24"/>
      <c r="P1014" s="24"/>
      <c r="Q1014" s="24"/>
      <c r="R1014" s="24"/>
      <c r="S1014" s="24"/>
      <c r="T1014" s="24"/>
      <c r="U1014" s="24"/>
      <c r="V1014" s="24"/>
      <c r="W1014" s="24"/>
      <c r="X1014" s="24"/>
      <c r="Y1014" s="24"/>
      <c r="Z1014" s="24"/>
      <c r="AA1014" s="24"/>
      <c r="AB1014" s="24"/>
      <c r="AC1014" s="24"/>
      <c r="AD1014" s="24"/>
      <c r="AE1014" s="24"/>
    </row>
    <row r="1015" spans="1:31" s="1" customFormat="1" x14ac:dyDescent="0.25">
      <c r="A1015" s="17"/>
      <c r="B1015" s="18" t="s">
        <v>1246</v>
      </c>
      <c r="C1015" s="18"/>
      <c r="D1015" s="84" t="s">
        <v>1247</v>
      </c>
      <c r="E1015" s="20"/>
      <c r="F1015" s="20"/>
      <c r="G1015" s="20"/>
      <c r="H1015" s="20"/>
      <c r="I1015" s="20"/>
      <c r="J1015" s="20"/>
      <c r="K1015" s="20"/>
      <c r="L1015" s="20"/>
      <c r="M1015" s="20">
        <f>SUM(M1016+M1018)</f>
        <v>0</v>
      </c>
      <c r="N1015" s="20"/>
      <c r="O1015" s="20">
        <f>O1016+O1018</f>
        <v>0</v>
      </c>
      <c r="P1015" s="20">
        <f>P1016+P1018</f>
        <v>0</v>
      </c>
      <c r="Q1015" s="20">
        <f>Q1016+Q1018</f>
        <v>0</v>
      </c>
      <c r="R1015" s="20">
        <f>R1016+R1018</f>
        <v>0</v>
      </c>
      <c r="S1015" s="20">
        <f>S1016+S1018</f>
        <v>0</v>
      </c>
      <c r="T1015" s="20"/>
      <c r="U1015" s="20">
        <f>U1016+U1018</f>
        <v>0</v>
      </c>
      <c r="V1015" s="20"/>
      <c r="W1015" s="20">
        <f>W1016+W1018</f>
        <v>0</v>
      </c>
      <c r="X1015" s="20"/>
      <c r="Y1015" s="20">
        <f>Y1016+Y1018</f>
        <v>0</v>
      </c>
      <c r="Z1015" s="20">
        <f>Z1016+Z1018</f>
        <v>0</v>
      </c>
      <c r="AA1015" s="20"/>
      <c r="AB1015" s="20">
        <f>AB1016+AB1018</f>
        <v>0</v>
      </c>
      <c r="AC1015" s="20">
        <f>AC1016+AC1018</f>
        <v>0</v>
      </c>
      <c r="AD1015" s="20"/>
      <c r="AE1015" s="20"/>
    </row>
    <row r="1016" spans="1:31" s="1" customFormat="1" x14ac:dyDescent="0.25">
      <c r="A1016" s="25"/>
      <c r="B1016" s="26" t="s">
        <v>1248</v>
      </c>
      <c r="C1016" s="26"/>
      <c r="D1016" s="64" t="s">
        <v>1249</v>
      </c>
      <c r="E1016" s="28"/>
      <c r="F1016" s="28"/>
      <c r="G1016" s="28"/>
      <c r="H1016" s="28"/>
      <c r="I1016" s="28"/>
      <c r="J1016" s="28"/>
      <c r="K1016" s="28"/>
      <c r="L1016" s="28"/>
      <c r="M1016" s="28">
        <f>SUM(M1017:M1017)</f>
        <v>0</v>
      </c>
      <c r="N1016" s="28"/>
      <c r="O1016" s="28">
        <f>SUM(O1017:O1017)</f>
        <v>0</v>
      </c>
      <c r="P1016" s="28">
        <f>SUM(P1017:P1017)</f>
        <v>0</v>
      </c>
      <c r="Q1016" s="28">
        <f>SUM(Q1017:Q1017)</f>
        <v>0</v>
      </c>
      <c r="R1016" s="28">
        <f>SUM(R1017:R1017)</f>
        <v>0</v>
      </c>
      <c r="S1016" s="28">
        <f>SUM(S1017:S1017)</f>
        <v>0</v>
      </c>
      <c r="T1016" s="28"/>
      <c r="U1016" s="28">
        <f>SUM(U1017:U1017)</f>
        <v>0</v>
      </c>
      <c r="V1016" s="28"/>
      <c r="W1016" s="28">
        <f>SUM(W1017:W1017)</f>
        <v>0</v>
      </c>
      <c r="X1016" s="28"/>
      <c r="Y1016" s="28">
        <f>SUM(Y1017:Y1017)</f>
        <v>0</v>
      </c>
      <c r="Z1016" s="28">
        <f>SUM(Z1017:Z1017)</f>
        <v>0</v>
      </c>
      <c r="AA1016" s="28"/>
      <c r="AB1016" s="28">
        <f>SUM(AB1017:AB1017)</f>
        <v>0</v>
      </c>
      <c r="AC1016" s="28">
        <f>SUM(AC1017:AC1017)</f>
        <v>0</v>
      </c>
      <c r="AD1016" s="28"/>
      <c r="AE1016" s="28"/>
    </row>
    <row r="1017" spans="1:31" s="1" customFormat="1" x14ac:dyDescent="0.25">
      <c r="A1017" s="21"/>
      <c r="B1017" s="22"/>
      <c r="C1017" s="22"/>
      <c r="D1017" s="65"/>
      <c r="E1017" s="24"/>
      <c r="F1017" s="24"/>
      <c r="G1017" s="24"/>
      <c r="H1017" s="24"/>
      <c r="I1017" s="24"/>
      <c r="J1017" s="24"/>
      <c r="K1017" s="24"/>
      <c r="L1017" s="24"/>
      <c r="M1017" s="24"/>
      <c r="N1017" s="24"/>
      <c r="O1017" s="24"/>
      <c r="P1017" s="24"/>
      <c r="Q1017" s="24"/>
      <c r="R1017" s="24"/>
      <c r="S1017" s="24"/>
      <c r="T1017" s="24"/>
      <c r="U1017" s="24"/>
      <c r="V1017" s="24"/>
      <c r="W1017" s="24"/>
      <c r="X1017" s="24"/>
      <c r="Y1017" s="24"/>
      <c r="Z1017" s="24"/>
      <c r="AA1017" s="24"/>
      <c r="AB1017" s="24"/>
      <c r="AC1017" s="24"/>
      <c r="AD1017" s="24"/>
      <c r="AE1017" s="24"/>
    </row>
    <row r="1018" spans="1:31" s="1" customFormat="1" x14ac:dyDescent="0.25">
      <c r="A1018" s="25"/>
      <c r="B1018" s="26" t="s">
        <v>1250</v>
      </c>
      <c r="C1018" s="26"/>
      <c r="D1018" s="64" t="s">
        <v>1251</v>
      </c>
      <c r="E1018" s="28"/>
      <c r="F1018" s="28"/>
      <c r="G1018" s="28"/>
      <c r="H1018" s="28"/>
      <c r="I1018" s="28"/>
      <c r="J1018" s="28"/>
      <c r="K1018" s="28"/>
      <c r="L1018" s="28"/>
      <c r="M1018" s="28">
        <f>SUM(M1019:M1019)</f>
        <v>0</v>
      </c>
      <c r="N1018" s="28"/>
      <c r="O1018" s="28">
        <f>SUM(O1019:O1019)</f>
        <v>0</v>
      </c>
      <c r="P1018" s="28">
        <f>SUM(P1019:P1019)</f>
        <v>0</v>
      </c>
      <c r="Q1018" s="28">
        <f>SUM(Q1019:Q1019)</f>
        <v>0</v>
      </c>
      <c r="R1018" s="28">
        <f>SUM(R1019:R1019)</f>
        <v>0</v>
      </c>
      <c r="S1018" s="28">
        <f>SUM(S1019:S1019)</f>
        <v>0</v>
      </c>
      <c r="T1018" s="28"/>
      <c r="U1018" s="28">
        <f>SUM(U1019:U1019)</f>
        <v>0</v>
      </c>
      <c r="V1018" s="28"/>
      <c r="W1018" s="28">
        <f>SUM(W1019:W1019)</f>
        <v>0</v>
      </c>
      <c r="X1018" s="28"/>
      <c r="Y1018" s="28">
        <f>SUM(Y1019:Y1019)</f>
        <v>0</v>
      </c>
      <c r="Z1018" s="28">
        <f>SUM(Z1019:Z1019)</f>
        <v>0</v>
      </c>
      <c r="AA1018" s="28"/>
      <c r="AB1018" s="28">
        <f>SUM(AB1019:AB1019)</f>
        <v>0</v>
      </c>
      <c r="AC1018" s="28">
        <f>SUM(AC1019:AC1019)</f>
        <v>0</v>
      </c>
      <c r="AD1018" s="28"/>
      <c r="AE1018" s="28"/>
    </row>
    <row r="1019" spans="1:31" s="1" customFormat="1" x14ac:dyDescent="0.25">
      <c r="A1019" s="21"/>
      <c r="B1019" s="22"/>
      <c r="C1019" s="22"/>
      <c r="D1019" s="65"/>
      <c r="E1019" s="24"/>
      <c r="F1019" s="24"/>
      <c r="G1019" s="24"/>
      <c r="H1019" s="24"/>
      <c r="I1019" s="24"/>
      <c r="J1019" s="24"/>
      <c r="K1019" s="24"/>
      <c r="L1019" s="24"/>
      <c r="M1019" s="24"/>
      <c r="N1019" s="24"/>
      <c r="O1019" s="24"/>
      <c r="P1019" s="24"/>
      <c r="Q1019" s="24"/>
      <c r="R1019" s="24"/>
      <c r="S1019" s="24"/>
      <c r="T1019" s="24"/>
      <c r="U1019" s="24"/>
      <c r="V1019" s="24"/>
      <c r="W1019" s="24"/>
      <c r="X1019" s="24"/>
      <c r="Y1019" s="24"/>
      <c r="Z1019" s="24"/>
      <c r="AA1019" s="24"/>
      <c r="AB1019" s="24"/>
      <c r="AC1019" s="24"/>
      <c r="AD1019" s="24"/>
      <c r="AE1019" s="24"/>
    </row>
    <row r="1020" spans="1:31" s="1" customFormat="1" ht="25.5" x14ac:dyDescent="0.25">
      <c r="A1020" s="17"/>
      <c r="B1020" s="18" t="s">
        <v>1252</v>
      </c>
      <c r="C1020" s="18"/>
      <c r="D1020" s="84" t="s">
        <v>1253</v>
      </c>
      <c r="E1020" s="20"/>
      <c r="F1020" s="20"/>
      <c r="G1020" s="20"/>
      <c r="H1020" s="20"/>
      <c r="I1020" s="20"/>
      <c r="J1020" s="20"/>
      <c r="K1020" s="20"/>
      <c r="L1020" s="20"/>
      <c r="M1020" s="20">
        <f>SUM(M1021+M1023+M1025)</f>
        <v>0</v>
      </c>
      <c r="N1020" s="20"/>
      <c r="O1020" s="20">
        <f>O1021+O1023+O1025</f>
        <v>0</v>
      </c>
      <c r="P1020" s="20">
        <f>P1021+P1023+P1025</f>
        <v>0</v>
      </c>
      <c r="Q1020" s="20">
        <f>Q1021+Q1023+Q1025</f>
        <v>0</v>
      </c>
      <c r="R1020" s="20">
        <f>R1021+R1023+R1025</f>
        <v>0</v>
      </c>
      <c r="S1020" s="20">
        <f>S1021+S1023+S1025</f>
        <v>0</v>
      </c>
      <c r="T1020" s="20"/>
      <c r="U1020" s="20">
        <f>U1021+U1023+U1025</f>
        <v>0</v>
      </c>
      <c r="V1020" s="20"/>
      <c r="W1020" s="20">
        <f>W1021+W1023+W1025</f>
        <v>0</v>
      </c>
      <c r="X1020" s="20"/>
      <c r="Y1020" s="20">
        <f>Y1021+Y1023+Y1025</f>
        <v>0</v>
      </c>
      <c r="Z1020" s="20">
        <f>Z1021+Z1023+Z1025</f>
        <v>0</v>
      </c>
      <c r="AA1020" s="20"/>
      <c r="AB1020" s="20">
        <f>AB1021+AB1023+AB1025</f>
        <v>0</v>
      </c>
      <c r="AC1020" s="20">
        <f>AC1021+AC1023+AC1025</f>
        <v>0</v>
      </c>
      <c r="AD1020" s="20"/>
      <c r="AE1020" s="20"/>
    </row>
    <row r="1021" spans="1:31" s="1" customFormat="1" x14ac:dyDescent="0.25">
      <c r="A1021" s="25"/>
      <c r="B1021" s="26" t="s">
        <v>1254</v>
      </c>
      <c r="C1021" s="26"/>
      <c r="D1021" s="64" t="s">
        <v>1255</v>
      </c>
      <c r="E1021" s="28"/>
      <c r="F1021" s="28"/>
      <c r="G1021" s="28"/>
      <c r="H1021" s="28"/>
      <c r="I1021" s="28"/>
      <c r="J1021" s="28"/>
      <c r="K1021" s="28"/>
      <c r="L1021" s="28"/>
      <c r="M1021" s="28">
        <f>SUM(M1022:M1022)</f>
        <v>0</v>
      </c>
      <c r="N1021" s="28"/>
      <c r="O1021" s="28">
        <f>SUM(O1022:O1022)</f>
        <v>0</v>
      </c>
      <c r="P1021" s="28">
        <f>SUM(P1022:P1022)</f>
        <v>0</v>
      </c>
      <c r="Q1021" s="28">
        <f>SUM(Q1022:Q1022)</f>
        <v>0</v>
      </c>
      <c r="R1021" s="28">
        <f>SUM(R1022:R1022)</f>
        <v>0</v>
      </c>
      <c r="S1021" s="28">
        <f>SUM(S1022:S1022)</f>
        <v>0</v>
      </c>
      <c r="T1021" s="28"/>
      <c r="U1021" s="28">
        <f>SUM(U1022:U1022)</f>
        <v>0</v>
      </c>
      <c r="V1021" s="28"/>
      <c r="W1021" s="28">
        <f>SUM(W1022:W1022)</f>
        <v>0</v>
      </c>
      <c r="X1021" s="28"/>
      <c r="Y1021" s="28">
        <f>SUM(Y1022:Y1022)</f>
        <v>0</v>
      </c>
      <c r="Z1021" s="28">
        <f>SUM(Z1022:Z1022)</f>
        <v>0</v>
      </c>
      <c r="AA1021" s="28"/>
      <c r="AB1021" s="28">
        <f>SUM(AB1022:AB1022)</f>
        <v>0</v>
      </c>
      <c r="AC1021" s="28">
        <f>SUM(AC1022:AC1022)</f>
        <v>0</v>
      </c>
      <c r="AD1021" s="28"/>
      <c r="AE1021" s="28"/>
    </row>
    <row r="1022" spans="1:31" s="1" customFormat="1" x14ac:dyDescent="0.25">
      <c r="A1022" s="21"/>
      <c r="B1022" s="22"/>
      <c r="C1022" s="22"/>
      <c r="D1022" s="65"/>
      <c r="E1022" s="24"/>
      <c r="F1022" s="24"/>
      <c r="G1022" s="24"/>
      <c r="H1022" s="24"/>
      <c r="I1022" s="24"/>
      <c r="J1022" s="24"/>
      <c r="K1022" s="24"/>
      <c r="L1022" s="24"/>
      <c r="M1022" s="24"/>
      <c r="N1022" s="24"/>
      <c r="O1022" s="24"/>
      <c r="P1022" s="24"/>
      <c r="Q1022" s="24"/>
      <c r="R1022" s="24"/>
      <c r="S1022" s="24"/>
      <c r="T1022" s="24"/>
      <c r="U1022" s="24"/>
      <c r="V1022" s="24"/>
      <c r="W1022" s="24"/>
      <c r="X1022" s="24"/>
      <c r="Y1022" s="24"/>
      <c r="Z1022" s="24"/>
      <c r="AA1022" s="24"/>
      <c r="AB1022" s="24"/>
      <c r="AC1022" s="24"/>
      <c r="AD1022" s="24"/>
      <c r="AE1022" s="24"/>
    </row>
    <row r="1023" spans="1:31" s="1" customFormat="1" x14ac:dyDescent="0.25">
      <c r="A1023" s="25"/>
      <c r="B1023" s="26" t="s">
        <v>1256</v>
      </c>
      <c r="C1023" s="26"/>
      <c r="D1023" s="64" t="s">
        <v>1257</v>
      </c>
      <c r="E1023" s="28"/>
      <c r="F1023" s="28"/>
      <c r="G1023" s="28"/>
      <c r="H1023" s="28"/>
      <c r="I1023" s="28"/>
      <c r="J1023" s="28"/>
      <c r="K1023" s="28"/>
      <c r="L1023" s="28"/>
      <c r="M1023" s="28">
        <f>SUM(M1024:M1024)</f>
        <v>0</v>
      </c>
      <c r="N1023" s="28"/>
      <c r="O1023" s="28">
        <f>SUM(O1024:O1024)</f>
        <v>0</v>
      </c>
      <c r="P1023" s="28">
        <f>SUM(P1024:P1024)</f>
        <v>0</v>
      </c>
      <c r="Q1023" s="28">
        <f>SUM(Q1024:Q1024)</f>
        <v>0</v>
      </c>
      <c r="R1023" s="28">
        <f>SUM(R1024:R1024)</f>
        <v>0</v>
      </c>
      <c r="S1023" s="28">
        <f>SUM(S1024:S1024)</f>
        <v>0</v>
      </c>
      <c r="T1023" s="28"/>
      <c r="U1023" s="28">
        <f>SUM(U1024:U1024)</f>
        <v>0</v>
      </c>
      <c r="V1023" s="28"/>
      <c r="W1023" s="28">
        <f>SUM(W1024:W1024)</f>
        <v>0</v>
      </c>
      <c r="X1023" s="28"/>
      <c r="Y1023" s="28">
        <f>SUM(Y1024:Y1024)</f>
        <v>0</v>
      </c>
      <c r="Z1023" s="28">
        <f>SUM(Z1024:Z1024)</f>
        <v>0</v>
      </c>
      <c r="AA1023" s="28"/>
      <c r="AB1023" s="28">
        <f>SUM(AB1024:AB1024)</f>
        <v>0</v>
      </c>
      <c r="AC1023" s="28">
        <f>SUM(AC1024:AC1024)</f>
        <v>0</v>
      </c>
      <c r="AD1023" s="28"/>
      <c r="AE1023" s="28"/>
    </row>
    <row r="1024" spans="1:31" s="1" customFormat="1" x14ac:dyDescent="0.25">
      <c r="A1024" s="21"/>
      <c r="B1024" s="22"/>
      <c r="C1024" s="22"/>
      <c r="D1024" s="65"/>
      <c r="E1024" s="24"/>
      <c r="F1024" s="24"/>
      <c r="G1024" s="24"/>
      <c r="H1024" s="24"/>
      <c r="I1024" s="24"/>
      <c r="J1024" s="24"/>
      <c r="K1024" s="24"/>
      <c r="L1024" s="24"/>
      <c r="M1024" s="24"/>
      <c r="N1024" s="24"/>
      <c r="O1024" s="24"/>
      <c r="P1024" s="24"/>
      <c r="Q1024" s="24"/>
      <c r="R1024" s="24"/>
      <c r="S1024" s="24"/>
      <c r="T1024" s="24"/>
      <c r="U1024" s="24"/>
      <c r="V1024" s="24"/>
      <c r="W1024" s="24"/>
      <c r="X1024" s="24"/>
      <c r="Y1024" s="24"/>
      <c r="Z1024" s="24"/>
      <c r="AA1024" s="24"/>
      <c r="AB1024" s="24"/>
      <c r="AC1024" s="24"/>
      <c r="AD1024" s="24"/>
      <c r="AE1024" s="24"/>
    </row>
    <row r="1025" spans="1:31" s="1" customFormat="1" x14ac:dyDescent="0.25">
      <c r="A1025" s="25"/>
      <c r="B1025" s="26" t="s">
        <v>1258</v>
      </c>
      <c r="C1025" s="26"/>
      <c r="D1025" s="64" t="s">
        <v>1259</v>
      </c>
      <c r="E1025" s="28"/>
      <c r="F1025" s="28"/>
      <c r="G1025" s="28"/>
      <c r="H1025" s="28"/>
      <c r="I1025" s="28"/>
      <c r="J1025" s="28"/>
      <c r="K1025" s="28"/>
      <c r="L1025" s="28"/>
      <c r="M1025" s="28">
        <f>SUM(M1026:M1028)</f>
        <v>0</v>
      </c>
      <c r="N1025" s="28"/>
      <c r="O1025" s="28">
        <f t="shared" ref="O1025:AC1025" si="384">SUM(O1026:O1028)</f>
        <v>0</v>
      </c>
      <c r="P1025" s="28">
        <f t="shared" si="384"/>
        <v>0</v>
      </c>
      <c r="Q1025" s="28">
        <f t="shared" si="384"/>
        <v>0</v>
      </c>
      <c r="R1025" s="28">
        <f t="shared" si="384"/>
        <v>0</v>
      </c>
      <c r="S1025" s="28">
        <f t="shared" si="384"/>
        <v>0</v>
      </c>
      <c r="T1025" s="28"/>
      <c r="U1025" s="28">
        <f t="shared" si="384"/>
        <v>0</v>
      </c>
      <c r="V1025" s="28"/>
      <c r="W1025" s="28">
        <f t="shared" si="384"/>
        <v>0</v>
      </c>
      <c r="X1025" s="28"/>
      <c r="Y1025" s="28">
        <f t="shared" si="384"/>
        <v>0</v>
      </c>
      <c r="Z1025" s="28">
        <f t="shared" si="384"/>
        <v>0</v>
      </c>
      <c r="AA1025" s="28"/>
      <c r="AB1025" s="28">
        <f t="shared" si="384"/>
        <v>0</v>
      </c>
      <c r="AC1025" s="28">
        <f t="shared" si="384"/>
        <v>0</v>
      </c>
      <c r="AD1025" s="28"/>
      <c r="AE1025" s="28"/>
    </row>
    <row r="1026" spans="1:31" s="1" customFormat="1" x14ac:dyDescent="0.25">
      <c r="A1026" s="21"/>
      <c r="B1026" s="22"/>
      <c r="C1026" s="22"/>
      <c r="D1026" s="65"/>
      <c r="E1026" s="24"/>
      <c r="F1026" s="24"/>
      <c r="G1026" s="24"/>
      <c r="H1026" s="24"/>
      <c r="I1026" s="24"/>
      <c r="J1026" s="24"/>
      <c r="K1026" s="24"/>
      <c r="L1026" s="24"/>
      <c r="M1026" s="24"/>
      <c r="N1026" s="24"/>
      <c r="O1026" s="24"/>
      <c r="P1026" s="24"/>
      <c r="Q1026" s="24"/>
      <c r="R1026" s="24"/>
      <c r="S1026" s="24"/>
      <c r="T1026" s="24"/>
      <c r="U1026" s="24"/>
      <c r="V1026" s="24"/>
      <c r="W1026" s="24"/>
      <c r="X1026" s="24"/>
      <c r="Y1026" s="24"/>
      <c r="Z1026" s="24"/>
      <c r="AA1026" s="24"/>
      <c r="AB1026" s="24"/>
      <c r="AC1026" s="24"/>
      <c r="AD1026" s="24"/>
      <c r="AE1026" s="24"/>
    </row>
    <row r="1027" spans="1:31" s="1" customFormat="1" x14ac:dyDescent="0.25">
      <c r="A1027" s="21"/>
      <c r="B1027" s="22"/>
      <c r="C1027" s="22"/>
      <c r="D1027" s="65"/>
      <c r="E1027" s="24"/>
      <c r="F1027" s="24"/>
      <c r="G1027" s="24"/>
      <c r="H1027" s="24"/>
      <c r="I1027" s="24"/>
      <c r="J1027" s="24"/>
      <c r="K1027" s="24"/>
      <c r="L1027" s="24"/>
      <c r="M1027" s="24"/>
      <c r="N1027" s="24"/>
      <c r="O1027" s="24"/>
      <c r="P1027" s="24"/>
      <c r="Q1027" s="24"/>
      <c r="R1027" s="24"/>
      <c r="S1027" s="24"/>
      <c r="T1027" s="24"/>
      <c r="U1027" s="24"/>
      <c r="V1027" s="24"/>
      <c r="W1027" s="24"/>
      <c r="X1027" s="24"/>
      <c r="Y1027" s="24"/>
      <c r="Z1027" s="24"/>
      <c r="AA1027" s="24"/>
      <c r="AB1027" s="24"/>
      <c r="AC1027" s="24"/>
      <c r="AD1027" s="24"/>
      <c r="AE1027" s="24"/>
    </row>
    <row r="1028" spans="1:31" s="1" customFormat="1" x14ac:dyDescent="0.25">
      <c r="A1028" s="21"/>
      <c r="B1028" s="22"/>
      <c r="C1028" s="22"/>
      <c r="D1028" s="65"/>
      <c r="E1028" s="24"/>
      <c r="F1028" s="24"/>
      <c r="G1028" s="24"/>
      <c r="H1028" s="24"/>
      <c r="I1028" s="24"/>
      <c r="J1028" s="24"/>
      <c r="K1028" s="24"/>
      <c r="L1028" s="24"/>
      <c r="M1028" s="24"/>
      <c r="N1028" s="24"/>
      <c r="O1028" s="24"/>
      <c r="P1028" s="24"/>
      <c r="Q1028" s="24"/>
      <c r="R1028" s="24"/>
      <c r="S1028" s="24"/>
      <c r="T1028" s="24"/>
      <c r="U1028" s="24"/>
      <c r="V1028" s="24"/>
      <c r="W1028" s="24"/>
      <c r="X1028" s="24"/>
      <c r="Y1028" s="24"/>
      <c r="Z1028" s="24"/>
      <c r="AA1028" s="24"/>
      <c r="AB1028" s="24"/>
      <c r="AC1028" s="24"/>
      <c r="AD1028" s="24"/>
      <c r="AE1028" s="24"/>
    </row>
    <row r="1029" spans="1:31" s="1" customFormat="1" x14ac:dyDescent="0.25">
      <c r="A1029" s="17"/>
      <c r="B1029" s="18" t="s">
        <v>1260</v>
      </c>
      <c r="C1029" s="18"/>
      <c r="D1029" s="84" t="s">
        <v>1261</v>
      </c>
      <c r="E1029" s="20"/>
      <c r="F1029" s="20"/>
      <c r="G1029" s="20"/>
      <c r="H1029" s="20"/>
      <c r="I1029" s="20"/>
      <c r="J1029" s="20"/>
      <c r="K1029" s="20"/>
      <c r="L1029" s="20"/>
      <c r="M1029" s="20">
        <f>SUM(M1030+M1032)</f>
        <v>0</v>
      </c>
      <c r="N1029" s="20"/>
      <c r="O1029" s="20">
        <f>O1030+O1032</f>
        <v>0</v>
      </c>
      <c r="P1029" s="20">
        <f>P1030+P1032</f>
        <v>0</v>
      </c>
      <c r="Q1029" s="20">
        <f>Q1030+Q1032</f>
        <v>0</v>
      </c>
      <c r="R1029" s="20">
        <f>R1030+R1032</f>
        <v>0</v>
      </c>
      <c r="S1029" s="20">
        <f>S1030+S1032</f>
        <v>0</v>
      </c>
      <c r="T1029" s="20"/>
      <c r="U1029" s="20">
        <f>U1030+U1032</f>
        <v>0</v>
      </c>
      <c r="V1029" s="20"/>
      <c r="W1029" s="20">
        <f>W1030+W1032</f>
        <v>0</v>
      </c>
      <c r="X1029" s="20"/>
      <c r="Y1029" s="20">
        <f>Y1030+Y1032</f>
        <v>0</v>
      </c>
      <c r="Z1029" s="20">
        <f>Z1030+Z1032</f>
        <v>0</v>
      </c>
      <c r="AA1029" s="20"/>
      <c r="AB1029" s="20">
        <f>AB1030+AB1032</f>
        <v>0</v>
      </c>
      <c r="AC1029" s="20">
        <f>AC1030+AC1032</f>
        <v>0</v>
      </c>
      <c r="AD1029" s="20"/>
      <c r="AE1029" s="20"/>
    </row>
    <row r="1030" spans="1:31" s="1" customFormat="1" x14ac:dyDescent="0.25">
      <c r="A1030" s="25"/>
      <c r="B1030" s="26" t="s">
        <v>1262</v>
      </c>
      <c r="C1030" s="26"/>
      <c r="D1030" s="64" t="s">
        <v>1261</v>
      </c>
      <c r="E1030" s="28"/>
      <c r="F1030" s="28"/>
      <c r="G1030" s="28"/>
      <c r="H1030" s="28"/>
      <c r="I1030" s="28"/>
      <c r="J1030" s="28"/>
      <c r="K1030" s="28"/>
      <c r="L1030" s="28"/>
      <c r="M1030" s="28">
        <f>SUM(M1031:M1031)</f>
        <v>0</v>
      </c>
      <c r="N1030" s="28"/>
      <c r="O1030" s="28">
        <f>SUM(O1031:O1031)</f>
        <v>0</v>
      </c>
      <c r="P1030" s="28">
        <f>SUM(P1031:P1031)</f>
        <v>0</v>
      </c>
      <c r="Q1030" s="28">
        <f>SUM(Q1031:Q1031)</f>
        <v>0</v>
      </c>
      <c r="R1030" s="28">
        <f>SUM(R1031:R1031)</f>
        <v>0</v>
      </c>
      <c r="S1030" s="28">
        <f>SUM(S1031:S1031)</f>
        <v>0</v>
      </c>
      <c r="T1030" s="28"/>
      <c r="U1030" s="28">
        <f>SUM(U1031:U1031)</f>
        <v>0</v>
      </c>
      <c r="V1030" s="28"/>
      <c r="W1030" s="28">
        <f>SUM(W1031:W1031)</f>
        <v>0</v>
      </c>
      <c r="X1030" s="28"/>
      <c r="Y1030" s="28">
        <f>SUM(Y1031:Y1031)</f>
        <v>0</v>
      </c>
      <c r="Z1030" s="28">
        <f>SUM(Z1031:Z1031)</f>
        <v>0</v>
      </c>
      <c r="AA1030" s="28"/>
      <c r="AB1030" s="28">
        <f>SUM(AB1031:AB1031)</f>
        <v>0</v>
      </c>
      <c r="AC1030" s="28">
        <f>SUM(AC1031:AC1031)</f>
        <v>0</v>
      </c>
      <c r="AD1030" s="28"/>
      <c r="AE1030" s="28"/>
    </row>
    <row r="1031" spans="1:31" s="1" customFormat="1" x14ac:dyDescent="0.25">
      <c r="A1031" s="21"/>
      <c r="B1031" s="22"/>
      <c r="C1031" s="22"/>
      <c r="D1031" s="65"/>
      <c r="E1031" s="24"/>
      <c r="F1031" s="24"/>
      <c r="G1031" s="24"/>
      <c r="H1031" s="24"/>
      <c r="I1031" s="24"/>
      <c r="J1031" s="24"/>
      <c r="K1031" s="24"/>
      <c r="L1031" s="24"/>
      <c r="M1031" s="24"/>
      <c r="N1031" s="24"/>
      <c r="O1031" s="24"/>
      <c r="P1031" s="24"/>
      <c r="Q1031" s="24"/>
      <c r="R1031" s="24"/>
      <c r="S1031" s="24"/>
      <c r="T1031" s="24"/>
      <c r="U1031" s="24"/>
      <c r="V1031" s="24"/>
      <c r="W1031" s="24"/>
      <c r="X1031" s="24"/>
      <c r="Y1031" s="24"/>
      <c r="Z1031" s="24"/>
      <c r="AA1031" s="24"/>
      <c r="AB1031" s="24"/>
      <c r="AC1031" s="24"/>
      <c r="AD1031" s="24"/>
      <c r="AE1031" s="24"/>
    </row>
    <row r="1032" spans="1:31" s="1" customFormat="1" x14ac:dyDescent="0.25">
      <c r="A1032" s="25"/>
      <c r="B1032" s="26" t="s">
        <v>1263</v>
      </c>
      <c r="C1032" s="26"/>
      <c r="D1032" s="64" t="s">
        <v>1264</v>
      </c>
      <c r="E1032" s="28"/>
      <c r="F1032" s="28"/>
      <c r="G1032" s="28"/>
      <c r="H1032" s="28"/>
      <c r="I1032" s="28"/>
      <c r="J1032" s="28"/>
      <c r="K1032" s="28"/>
      <c r="L1032" s="28"/>
      <c r="M1032" s="28">
        <f>SUM(M1033:M1035)</f>
        <v>0</v>
      </c>
      <c r="N1032" s="28"/>
      <c r="O1032" s="28">
        <f t="shared" ref="O1032:AC1032" si="385">SUM(O1033:O1035)</f>
        <v>0</v>
      </c>
      <c r="P1032" s="28">
        <f t="shared" si="385"/>
        <v>0</v>
      </c>
      <c r="Q1032" s="28">
        <f t="shared" si="385"/>
        <v>0</v>
      </c>
      <c r="R1032" s="28">
        <f t="shared" si="385"/>
        <v>0</v>
      </c>
      <c r="S1032" s="28">
        <f t="shared" si="385"/>
        <v>0</v>
      </c>
      <c r="T1032" s="28"/>
      <c r="U1032" s="28">
        <f t="shared" si="385"/>
        <v>0</v>
      </c>
      <c r="V1032" s="28"/>
      <c r="W1032" s="28">
        <f t="shared" si="385"/>
        <v>0</v>
      </c>
      <c r="X1032" s="28"/>
      <c r="Y1032" s="28">
        <f t="shared" si="385"/>
        <v>0</v>
      </c>
      <c r="Z1032" s="28">
        <f t="shared" si="385"/>
        <v>0</v>
      </c>
      <c r="AA1032" s="28"/>
      <c r="AB1032" s="28">
        <f t="shared" si="385"/>
        <v>0</v>
      </c>
      <c r="AC1032" s="28">
        <f t="shared" si="385"/>
        <v>0</v>
      </c>
      <c r="AD1032" s="28"/>
      <c r="AE1032" s="28"/>
    </row>
    <row r="1033" spans="1:31" s="1" customFormat="1" x14ac:dyDescent="0.25">
      <c r="A1033" s="21"/>
      <c r="B1033" s="22"/>
      <c r="C1033" s="22"/>
      <c r="D1033" s="65"/>
      <c r="E1033" s="24"/>
      <c r="F1033" s="24"/>
      <c r="G1033" s="24"/>
      <c r="H1033" s="24"/>
      <c r="I1033" s="24"/>
      <c r="J1033" s="24"/>
      <c r="K1033" s="24"/>
      <c r="L1033" s="24"/>
      <c r="M1033" s="24"/>
      <c r="N1033" s="24"/>
      <c r="O1033" s="24"/>
      <c r="P1033" s="24"/>
      <c r="Q1033" s="24"/>
      <c r="R1033" s="24"/>
      <c r="S1033" s="24"/>
      <c r="T1033" s="24"/>
      <c r="U1033" s="24"/>
      <c r="V1033" s="24"/>
      <c r="W1033" s="24"/>
      <c r="X1033" s="24"/>
      <c r="Y1033" s="24"/>
      <c r="Z1033" s="24"/>
      <c r="AA1033" s="24"/>
      <c r="AB1033" s="24"/>
      <c r="AC1033" s="24"/>
      <c r="AD1033" s="24"/>
      <c r="AE1033" s="24"/>
    </row>
    <row r="1034" spans="1:31" s="1" customFormat="1" x14ac:dyDescent="0.25">
      <c r="A1034" s="21"/>
      <c r="B1034" s="22"/>
      <c r="C1034" s="22"/>
      <c r="D1034" s="65"/>
      <c r="E1034" s="24"/>
      <c r="F1034" s="24"/>
      <c r="G1034" s="24"/>
      <c r="H1034" s="24"/>
      <c r="I1034" s="24"/>
      <c r="J1034" s="24"/>
      <c r="K1034" s="24"/>
      <c r="L1034" s="24"/>
      <c r="M1034" s="24"/>
      <c r="N1034" s="24"/>
      <c r="O1034" s="24"/>
      <c r="P1034" s="24"/>
      <c r="Q1034" s="24"/>
      <c r="R1034" s="24"/>
      <c r="S1034" s="24"/>
      <c r="T1034" s="24"/>
      <c r="U1034" s="24"/>
      <c r="V1034" s="24"/>
      <c r="W1034" s="24"/>
      <c r="X1034" s="24"/>
      <c r="Y1034" s="24"/>
      <c r="Z1034" s="24"/>
      <c r="AA1034" s="24"/>
      <c r="AB1034" s="24"/>
      <c r="AC1034" s="24"/>
      <c r="AD1034" s="24"/>
      <c r="AE1034" s="24"/>
    </row>
    <row r="1035" spans="1:31" s="1" customFormat="1" x14ac:dyDescent="0.25">
      <c r="A1035" s="21"/>
      <c r="B1035" s="22"/>
      <c r="C1035" s="22"/>
      <c r="D1035" s="65"/>
      <c r="E1035" s="24"/>
      <c r="F1035" s="24"/>
      <c r="G1035" s="24"/>
      <c r="H1035" s="24"/>
      <c r="I1035" s="24"/>
      <c r="J1035" s="24"/>
      <c r="K1035" s="24"/>
      <c r="L1035" s="24"/>
      <c r="M1035" s="24"/>
      <c r="N1035" s="24"/>
      <c r="O1035" s="24"/>
      <c r="P1035" s="24"/>
      <c r="Q1035" s="24"/>
      <c r="R1035" s="24"/>
      <c r="S1035" s="24"/>
      <c r="T1035" s="24"/>
      <c r="U1035" s="24"/>
      <c r="V1035" s="24"/>
      <c r="W1035" s="24"/>
      <c r="X1035" s="24"/>
      <c r="Y1035" s="24"/>
      <c r="Z1035" s="24"/>
      <c r="AA1035" s="24"/>
      <c r="AB1035" s="24"/>
      <c r="AC1035" s="24"/>
      <c r="AD1035" s="24"/>
      <c r="AE1035" s="24"/>
    </row>
    <row r="1036" spans="1:31" s="1" customFormat="1" x14ac:dyDescent="0.25">
      <c r="A1036" s="17"/>
      <c r="B1036" s="18" t="s">
        <v>1265</v>
      </c>
      <c r="C1036" s="18"/>
      <c r="D1036" s="84" t="s">
        <v>1266</v>
      </c>
      <c r="E1036" s="20"/>
      <c r="F1036" s="20"/>
      <c r="G1036" s="20"/>
      <c r="H1036" s="20"/>
      <c r="I1036" s="20"/>
      <c r="J1036" s="20"/>
      <c r="K1036" s="20"/>
      <c r="L1036" s="20"/>
      <c r="M1036" s="20">
        <f>SUM(M1037+M1039+M1041+M1043)</f>
        <v>0</v>
      </c>
      <c r="N1036" s="20"/>
      <c r="O1036" s="20">
        <f>O1037+O1039+O1041+O1043</f>
        <v>0</v>
      </c>
      <c r="P1036" s="20">
        <f>P1037+P1039+P1041+P1043</f>
        <v>0</v>
      </c>
      <c r="Q1036" s="20">
        <f>Q1037+Q1039+Q1041+Q1043</f>
        <v>0</v>
      </c>
      <c r="R1036" s="20">
        <f>R1037+R1039+R1041+R1043</f>
        <v>0</v>
      </c>
      <c r="S1036" s="20">
        <f>S1037+S1039+S1041+S1043</f>
        <v>0</v>
      </c>
      <c r="T1036" s="20"/>
      <c r="U1036" s="20">
        <f>U1037+U1039+U1041+U1043</f>
        <v>0</v>
      </c>
      <c r="V1036" s="20"/>
      <c r="W1036" s="20">
        <f>W1037+W1039+W1041+W1043</f>
        <v>0</v>
      </c>
      <c r="X1036" s="20"/>
      <c r="Y1036" s="20">
        <f>Y1037+Y1039+Y1041+Y1043</f>
        <v>0</v>
      </c>
      <c r="Z1036" s="20">
        <f>Z1037+Z1039+Z1041+Z1043</f>
        <v>0</v>
      </c>
      <c r="AA1036" s="20"/>
      <c r="AB1036" s="20">
        <f>AB1037+AB1039+AB1041+AB1043</f>
        <v>0</v>
      </c>
      <c r="AC1036" s="20">
        <f>AC1037+AC1039+AC1041+AC1043</f>
        <v>0</v>
      </c>
      <c r="AD1036" s="20"/>
      <c r="AE1036" s="20"/>
    </row>
    <row r="1037" spans="1:31" s="1" customFormat="1" x14ac:dyDescent="0.25">
      <c r="A1037" s="25"/>
      <c r="B1037" s="26" t="s">
        <v>1267</v>
      </c>
      <c r="C1037" s="26"/>
      <c r="D1037" s="64" t="s">
        <v>1268</v>
      </c>
      <c r="E1037" s="28"/>
      <c r="F1037" s="28"/>
      <c r="G1037" s="28"/>
      <c r="H1037" s="28"/>
      <c r="I1037" s="28"/>
      <c r="J1037" s="28"/>
      <c r="K1037" s="28"/>
      <c r="L1037" s="28"/>
      <c r="M1037" s="28">
        <f>SUM(M1038:M1038)</f>
        <v>0</v>
      </c>
      <c r="N1037" s="28"/>
      <c r="O1037" s="28">
        <f>SUM(O1038:O1038)</f>
        <v>0</v>
      </c>
      <c r="P1037" s="28">
        <f>SUM(P1038:P1038)</f>
        <v>0</v>
      </c>
      <c r="Q1037" s="28">
        <f>SUM(Q1038:Q1038)</f>
        <v>0</v>
      </c>
      <c r="R1037" s="28">
        <f>SUM(R1038:R1038)</f>
        <v>0</v>
      </c>
      <c r="S1037" s="28">
        <f>SUM(S1038:S1038)</f>
        <v>0</v>
      </c>
      <c r="T1037" s="28"/>
      <c r="U1037" s="28">
        <f>SUM(U1038:U1038)</f>
        <v>0</v>
      </c>
      <c r="V1037" s="28"/>
      <c r="W1037" s="28">
        <f>SUM(W1038:W1038)</f>
        <v>0</v>
      </c>
      <c r="X1037" s="28"/>
      <c r="Y1037" s="28">
        <f>SUM(Y1038:Y1038)</f>
        <v>0</v>
      </c>
      <c r="Z1037" s="28">
        <f>SUM(Z1038:Z1038)</f>
        <v>0</v>
      </c>
      <c r="AA1037" s="28"/>
      <c r="AB1037" s="28">
        <f>SUM(AB1038:AB1038)</f>
        <v>0</v>
      </c>
      <c r="AC1037" s="28">
        <f>SUM(AC1038:AC1038)</f>
        <v>0</v>
      </c>
      <c r="AD1037" s="28"/>
      <c r="AE1037" s="28"/>
    </row>
    <row r="1038" spans="1:31" s="1" customFormat="1" x14ac:dyDescent="0.25">
      <c r="A1038" s="21"/>
      <c r="B1038" s="22"/>
      <c r="C1038" s="22"/>
      <c r="D1038" s="65"/>
      <c r="E1038" s="24"/>
      <c r="F1038" s="24"/>
      <c r="G1038" s="24"/>
      <c r="H1038" s="24"/>
      <c r="I1038" s="24"/>
      <c r="J1038" s="24"/>
      <c r="K1038" s="24"/>
      <c r="L1038" s="24"/>
      <c r="M1038" s="24"/>
      <c r="N1038" s="24"/>
      <c r="O1038" s="24"/>
      <c r="P1038" s="24"/>
      <c r="Q1038" s="24"/>
      <c r="R1038" s="24"/>
      <c r="S1038" s="24"/>
      <c r="T1038" s="24"/>
      <c r="U1038" s="24"/>
      <c r="V1038" s="24"/>
      <c r="W1038" s="24"/>
      <c r="X1038" s="24"/>
      <c r="Y1038" s="24"/>
      <c r="Z1038" s="24"/>
      <c r="AA1038" s="24"/>
      <c r="AB1038" s="24"/>
      <c r="AC1038" s="24"/>
      <c r="AD1038" s="24"/>
      <c r="AE1038" s="24"/>
    </row>
    <row r="1039" spans="1:31" s="1" customFormat="1" x14ac:dyDescent="0.25">
      <c r="A1039" s="25"/>
      <c r="B1039" s="26" t="s">
        <v>1269</v>
      </c>
      <c r="C1039" s="26"/>
      <c r="D1039" s="64" t="s">
        <v>1270</v>
      </c>
      <c r="E1039" s="28"/>
      <c r="F1039" s="28"/>
      <c r="G1039" s="28"/>
      <c r="H1039" s="28"/>
      <c r="I1039" s="28"/>
      <c r="J1039" s="28"/>
      <c r="K1039" s="28"/>
      <c r="L1039" s="28"/>
      <c r="M1039" s="28">
        <f>SUM(M1040:M1040)</f>
        <v>0</v>
      </c>
      <c r="N1039" s="28"/>
      <c r="O1039" s="28">
        <f>SUM(O1040:O1040)</f>
        <v>0</v>
      </c>
      <c r="P1039" s="28">
        <f>SUM(P1040:P1040)</f>
        <v>0</v>
      </c>
      <c r="Q1039" s="28">
        <f>SUM(Q1040:Q1040)</f>
        <v>0</v>
      </c>
      <c r="R1039" s="28">
        <f>SUM(R1040:R1040)</f>
        <v>0</v>
      </c>
      <c r="S1039" s="28">
        <f>SUM(S1040:S1040)</f>
        <v>0</v>
      </c>
      <c r="T1039" s="28"/>
      <c r="U1039" s="28">
        <f>SUM(U1040:U1040)</f>
        <v>0</v>
      </c>
      <c r="V1039" s="28"/>
      <c r="W1039" s="28">
        <f>SUM(W1040:W1040)</f>
        <v>0</v>
      </c>
      <c r="X1039" s="28"/>
      <c r="Y1039" s="28">
        <f>SUM(Y1040:Y1040)</f>
        <v>0</v>
      </c>
      <c r="Z1039" s="28">
        <f>SUM(Z1040:Z1040)</f>
        <v>0</v>
      </c>
      <c r="AA1039" s="28"/>
      <c r="AB1039" s="28">
        <f>SUM(AB1040:AB1040)</f>
        <v>0</v>
      </c>
      <c r="AC1039" s="28">
        <f>SUM(AC1040:AC1040)</f>
        <v>0</v>
      </c>
      <c r="AD1039" s="28"/>
      <c r="AE1039" s="28"/>
    </row>
    <row r="1040" spans="1:31" s="1" customFormat="1" x14ac:dyDescent="0.25">
      <c r="A1040" s="21"/>
      <c r="B1040" s="22"/>
      <c r="C1040" s="22"/>
      <c r="D1040" s="65"/>
      <c r="E1040" s="24"/>
      <c r="F1040" s="24"/>
      <c r="G1040" s="24"/>
      <c r="H1040" s="24"/>
      <c r="I1040" s="24"/>
      <c r="J1040" s="24"/>
      <c r="K1040" s="24"/>
      <c r="L1040" s="24"/>
      <c r="M1040" s="24"/>
      <c r="N1040" s="24"/>
      <c r="O1040" s="24"/>
      <c r="P1040" s="24"/>
      <c r="Q1040" s="24"/>
      <c r="R1040" s="24"/>
      <c r="S1040" s="24"/>
      <c r="T1040" s="24"/>
      <c r="U1040" s="24"/>
      <c r="V1040" s="24"/>
      <c r="W1040" s="24"/>
      <c r="X1040" s="24"/>
      <c r="Y1040" s="24"/>
      <c r="Z1040" s="24"/>
      <c r="AA1040" s="24"/>
      <c r="AB1040" s="24"/>
      <c r="AC1040" s="24"/>
      <c r="AD1040" s="24"/>
      <c r="AE1040" s="24"/>
    </row>
    <row r="1041" spans="1:31" s="1" customFormat="1" x14ac:dyDescent="0.25">
      <c r="A1041" s="25"/>
      <c r="B1041" s="26" t="s">
        <v>1271</v>
      </c>
      <c r="C1041" s="26"/>
      <c r="D1041" s="64" t="s">
        <v>1272</v>
      </c>
      <c r="E1041" s="28"/>
      <c r="F1041" s="28"/>
      <c r="G1041" s="28"/>
      <c r="H1041" s="28"/>
      <c r="I1041" s="28"/>
      <c r="J1041" s="28"/>
      <c r="K1041" s="28"/>
      <c r="L1041" s="28"/>
      <c r="M1041" s="28">
        <f>SUM(M1042:M1042)</f>
        <v>0</v>
      </c>
      <c r="N1041" s="28"/>
      <c r="O1041" s="28">
        <f>SUM(O1042:O1042)</f>
        <v>0</v>
      </c>
      <c r="P1041" s="28">
        <f>SUM(P1042:P1042)</f>
        <v>0</v>
      </c>
      <c r="Q1041" s="28">
        <f>SUM(Q1042:Q1042)</f>
        <v>0</v>
      </c>
      <c r="R1041" s="28">
        <f>SUM(R1042:R1042)</f>
        <v>0</v>
      </c>
      <c r="S1041" s="28">
        <f>SUM(S1042:S1042)</f>
        <v>0</v>
      </c>
      <c r="T1041" s="28"/>
      <c r="U1041" s="28">
        <f>SUM(U1042:U1042)</f>
        <v>0</v>
      </c>
      <c r="V1041" s="28"/>
      <c r="W1041" s="28">
        <f>SUM(W1042:W1042)</f>
        <v>0</v>
      </c>
      <c r="X1041" s="28"/>
      <c r="Y1041" s="28">
        <f>SUM(Y1042:Y1042)</f>
        <v>0</v>
      </c>
      <c r="Z1041" s="28">
        <f>SUM(Z1042:Z1042)</f>
        <v>0</v>
      </c>
      <c r="AA1041" s="28"/>
      <c r="AB1041" s="28">
        <f>SUM(AB1042:AB1042)</f>
        <v>0</v>
      </c>
      <c r="AC1041" s="28">
        <f>SUM(AC1042:AC1042)</f>
        <v>0</v>
      </c>
      <c r="AD1041" s="28"/>
      <c r="AE1041" s="28"/>
    </row>
    <row r="1042" spans="1:31" s="1" customFormat="1" x14ac:dyDescent="0.25">
      <c r="A1042" s="21"/>
      <c r="B1042" s="22"/>
      <c r="C1042" s="22"/>
      <c r="D1042" s="65"/>
      <c r="E1042" s="24"/>
      <c r="F1042" s="24"/>
      <c r="G1042" s="24"/>
      <c r="H1042" s="24"/>
      <c r="I1042" s="24"/>
      <c r="J1042" s="24"/>
      <c r="K1042" s="24"/>
      <c r="L1042" s="24"/>
      <c r="M1042" s="24"/>
      <c r="N1042" s="24"/>
      <c r="O1042" s="24"/>
      <c r="P1042" s="24"/>
      <c r="Q1042" s="24"/>
      <c r="R1042" s="24"/>
      <c r="S1042" s="24"/>
      <c r="T1042" s="24"/>
      <c r="U1042" s="24"/>
      <c r="V1042" s="24"/>
      <c r="W1042" s="24"/>
      <c r="X1042" s="24"/>
      <c r="Y1042" s="24"/>
      <c r="Z1042" s="24"/>
      <c r="AA1042" s="24"/>
      <c r="AB1042" s="24"/>
      <c r="AC1042" s="24"/>
      <c r="AD1042" s="24"/>
      <c r="AE1042" s="24"/>
    </row>
    <row r="1043" spans="1:31" s="1" customFormat="1" x14ac:dyDescent="0.25">
      <c r="A1043" s="25"/>
      <c r="B1043" s="26" t="s">
        <v>1273</v>
      </c>
      <c r="C1043" s="26"/>
      <c r="D1043" s="64" t="s">
        <v>1274</v>
      </c>
      <c r="E1043" s="28"/>
      <c r="F1043" s="28"/>
      <c r="G1043" s="28"/>
      <c r="H1043" s="28"/>
      <c r="I1043" s="28"/>
      <c r="J1043" s="28"/>
      <c r="K1043" s="28"/>
      <c r="L1043" s="28"/>
      <c r="M1043" s="28">
        <f>SUM(M1044:M1044)</f>
        <v>0</v>
      </c>
      <c r="N1043" s="28"/>
      <c r="O1043" s="28">
        <f>SUM(O1044:O1044)</f>
        <v>0</v>
      </c>
      <c r="P1043" s="28">
        <f>SUM(P1044:P1044)</f>
        <v>0</v>
      </c>
      <c r="Q1043" s="28">
        <f>SUM(Q1044:Q1044)</f>
        <v>0</v>
      </c>
      <c r="R1043" s="28">
        <f>SUM(R1044:R1044)</f>
        <v>0</v>
      </c>
      <c r="S1043" s="28">
        <f>SUM(S1044:S1044)</f>
        <v>0</v>
      </c>
      <c r="T1043" s="28"/>
      <c r="U1043" s="28">
        <f>SUM(U1044:U1044)</f>
        <v>0</v>
      </c>
      <c r="V1043" s="28"/>
      <c r="W1043" s="28">
        <f>SUM(W1044:W1044)</f>
        <v>0</v>
      </c>
      <c r="X1043" s="28"/>
      <c r="Y1043" s="28">
        <f>SUM(Y1044:Y1044)</f>
        <v>0</v>
      </c>
      <c r="Z1043" s="28">
        <f>SUM(Z1044:Z1044)</f>
        <v>0</v>
      </c>
      <c r="AA1043" s="28"/>
      <c r="AB1043" s="28">
        <f>SUM(AB1044:AB1044)</f>
        <v>0</v>
      </c>
      <c r="AC1043" s="28">
        <f>SUM(AC1044:AC1044)</f>
        <v>0</v>
      </c>
      <c r="AD1043" s="28"/>
      <c r="AE1043" s="28"/>
    </row>
    <row r="1044" spans="1:31" s="1" customFormat="1" x14ac:dyDescent="0.25">
      <c r="A1044" s="21"/>
      <c r="B1044" s="22"/>
      <c r="C1044" s="22"/>
      <c r="D1044" s="65"/>
      <c r="E1044" s="24"/>
      <c r="F1044" s="24"/>
      <c r="G1044" s="24"/>
      <c r="H1044" s="24"/>
      <c r="I1044" s="24"/>
      <c r="J1044" s="24"/>
      <c r="K1044" s="24"/>
      <c r="L1044" s="24"/>
      <c r="M1044" s="24"/>
      <c r="N1044" s="24"/>
      <c r="O1044" s="24"/>
      <c r="P1044" s="24"/>
      <c r="Q1044" s="24"/>
      <c r="R1044" s="24"/>
      <c r="S1044" s="24"/>
      <c r="T1044" s="24"/>
      <c r="U1044" s="24"/>
      <c r="V1044" s="24"/>
      <c r="W1044" s="24"/>
      <c r="X1044" s="24"/>
      <c r="Y1044" s="24"/>
      <c r="Z1044" s="24"/>
      <c r="AA1044" s="24"/>
      <c r="AB1044" s="24"/>
      <c r="AC1044" s="24"/>
      <c r="AD1044" s="24"/>
      <c r="AE1044" s="24"/>
    </row>
    <row r="1045" spans="1:31" s="1" customFormat="1" x14ac:dyDescent="0.25">
      <c r="A1045" s="17"/>
      <c r="B1045" s="18" t="s">
        <v>1275</v>
      </c>
      <c r="C1045" s="18"/>
      <c r="D1045" s="84" t="s">
        <v>1276</v>
      </c>
      <c r="E1045" s="20"/>
      <c r="F1045" s="20"/>
      <c r="G1045" s="20"/>
      <c r="H1045" s="20"/>
      <c r="I1045" s="20"/>
      <c r="J1045" s="20"/>
      <c r="K1045" s="20"/>
      <c r="L1045" s="20"/>
      <c r="M1045" s="20">
        <f>SUM(M1046)</f>
        <v>0</v>
      </c>
      <c r="N1045" s="20"/>
      <c r="O1045" s="20">
        <f t="shared" ref="O1045:AC1045" si="386">O1046</f>
        <v>0</v>
      </c>
      <c r="P1045" s="20">
        <f t="shared" si="386"/>
        <v>0</v>
      </c>
      <c r="Q1045" s="20">
        <f t="shared" si="386"/>
        <v>0</v>
      </c>
      <c r="R1045" s="20">
        <f t="shared" si="386"/>
        <v>0</v>
      </c>
      <c r="S1045" s="20">
        <f t="shared" si="386"/>
        <v>0</v>
      </c>
      <c r="T1045" s="20"/>
      <c r="U1045" s="20">
        <f t="shared" si="386"/>
        <v>0</v>
      </c>
      <c r="V1045" s="20"/>
      <c r="W1045" s="20">
        <f t="shared" si="386"/>
        <v>0</v>
      </c>
      <c r="X1045" s="20"/>
      <c r="Y1045" s="20">
        <f t="shared" si="386"/>
        <v>0</v>
      </c>
      <c r="Z1045" s="20">
        <f t="shared" si="386"/>
        <v>0</v>
      </c>
      <c r="AA1045" s="20"/>
      <c r="AB1045" s="20">
        <f t="shared" si="386"/>
        <v>0</v>
      </c>
      <c r="AC1045" s="20">
        <f t="shared" si="386"/>
        <v>0</v>
      </c>
      <c r="AD1045" s="20"/>
      <c r="AE1045" s="20"/>
    </row>
    <row r="1046" spans="1:31" s="1" customFormat="1" ht="25.5" x14ac:dyDescent="0.25">
      <c r="A1046" s="25"/>
      <c r="B1046" s="26" t="s">
        <v>1277</v>
      </c>
      <c r="C1046" s="26"/>
      <c r="D1046" s="64" t="s">
        <v>1278</v>
      </c>
      <c r="E1046" s="28"/>
      <c r="F1046" s="28"/>
      <c r="G1046" s="28"/>
      <c r="H1046" s="28"/>
      <c r="I1046" s="28"/>
      <c r="J1046" s="28"/>
      <c r="K1046" s="28"/>
      <c r="L1046" s="28"/>
      <c r="M1046" s="28">
        <f>SUM(M1047:M1047)</f>
        <v>0</v>
      </c>
      <c r="N1046" s="28"/>
      <c r="O1046" s="28">
        <f>SUM(O1047:O1047)</f>
        <v>0</v>
      </c>
      <c r="P1046" s="28">
        <f>SUM(P1047:P1047)</f>
        <v>0</v>
      </c>
      <c r="Q1046" s="28">
        <f>SUM(Q1047:Q1047)</f>
        <v>0</v>
      </c>
      <c r="R1046" s="28">
        <f>SUM(R1047:R1047)</f>
        <v>0</v>
      </c>
      <c r="S1046" s="28">
        <f>SUM(S1047:S1047)</f>
        <v>0</v>
      </c>
      <c r="T1046" s="28"/>
      <c r="U1046" s="28">
        <f>SUM(U1047:U1047)</f>
        <v>0</v>
      </c>
      <c r="V1046" s="28"/>
      <c r="W1046" s="28">
        <f>SUM(W1047:W1047)</f>
        <v>0</v>
      </c>
      <c r="X1046" s="28"/>
      <c r="Y1046" s="28">
        <f>SUM(Y1047:Y1047)</f>
        <v>0</v>
      </c>
      <c r="Z1046" s="28">
        <f>SUM(Z1047:Z1047)</f>
        <v>0</v>
      </c>
      <c r="AA1046" s="28"/>
      <c r="AB1046" s="28">
        <f>SUM(AB1047:AB1047)</f>
        <v>0</v>
      </c>
      <c r="AC1046" s="28">
        <f>SUM(AC1047:AC1047)</f>
        <v>0</v>
      </c>
      <c r="AD1046" s="28"/>
      <c r="AE1046" s="28"/>
    </row>
    <row r="1047" spans="1:31" s="1" customFormat="1" x14ac:dyDescent="0.25">
      <c r="A1047" s="21"/>
      <c r="B1047" s="22"/>
      <c r="C1047" s="22"/>
      <c r="D1047" s="65"/>
      <c r="E1047" s="24"/>
      <c r="F1047" s="24"/>
      <c r="G1047" s="24"/>
      <c r="H1047" s="24"/>
      <c r="I1047" s="24"/>
      <c r="J1047" s="24"/>
      <c r="K1047" s="24"/>
      <c r="L1047" s="24"/>
      <c r="M1047" s="24"/>
      <c r="N1047" s="24"/>
      <c r="O1047" s="24"/>
      <c r="P1047" s="24"/>
      <c r="Q1047" s="24"/>
      <c r="R1047" s="24"/>
      <c r="S1047" s="24"/>
      <c r="T1047" s="24"/>
      <c r="U1047" s="24"/>
      <c r="V1047" s="24"/>
      <c r="W1047" s="24"/>
      <c r="X1047" s="24"/>
      <c r="Y1047" s="24"/>
      <c r="Z1047" s="24"/>
      <c r="AA1047" s="24"/>
      <c r="AB1047" s="24"/>
      <c r="AC1047" s="24"/>
      <c r="AD1047" s="24"/>
      <c r="AE1047" s="24"/>
    </row>
    <row r="1048" spans="1:31" s="1" customFormat="1" x14ac:dyDescent="0.25">
      <c r="A1048" s="17"/>
      <c r="B1048" s="18" t="s">
        <v>1279</v>
      </c>
      <c r="C1048" s="18"/>
      <c r="D1048" s="84" t="s">
        <v>1280</v>
      </c>
      <c r="E1048" s="20"/>
      <c r="F1048" s="20"/>
      <c r="G1048" s="20"/>
      <c r="H1048" s="20"/>
      <c r="I1048" s="20"/>
      <c r="J1048" s="20"/>
      <c r="K1048" s="20"/>
      <c r="L1048" s="20"/>
      <c r="M1048" s="20">
        <f>SUM(M1049)</f>
        <v>0</v>
      </c>
      <c r="N1048" s="20"/>
      <c r="O1048" s="20">
        <f t="shared" ref="O1048:AC1048" si="387">O1049</f>
        <v>0</v>
      </c>
      <c r="P1048" s="20">
        <f t="shared" si="387"/>
        <v>0</v>
      </c>
      <c r="Q1048" s="20">
        <f t="shared" si="387"/>
        <v>0</v>
      </c>
      <c r="R1048" s="20">
        <f t="shared" si="387"/>
        <v>0</v>
      </c>
      <c r="S1048" s="20">
        <f t="shared" si="387"/>
        <v>0</v>
      </c>
      <c r="T1048" s="20"/>
      <c r="U1048" s="20">
        <f t="shared" si="387"/>
        <v>0</v>
      </c>
      <c r="V1048" s="20"/>
      <c r="W1048" s="20">
        <f t="shared" si="387"/>
        <v>0</v>
      </c>
      <c r="X1048" s="20"/>
      <c r="Y1048" s="20">
        <f t="shared" si="387"/>
        <v>0</v>
      </c>
      <c r="Z1048" s="20">
        <f t="shared" si="387"/>
        <v>0</v>
      </c>
      <c r="AA1048" s="20"/>
      <c r="AB1048" s="20">
        <f t="shared" si="387"/>
        <v>0</v>
      </c>
      <c r="AC1048" s="20">
        <f t="shared" si="387"/>
        <v>0</v>
      </c>
      <c r="AD1048" s="20"/>
      <c r="AE1048" s="20"/>
    </row>
    <row r="1049" spans="1:31" s="1" customFormat="1" ht="25.5" x14ac:dyDescent="0.25">
      <c r="A1049" s="25"/>
      <c r="B1049" s="26" t="s">
        <v>1281</v>
      </c>
      <c r="C1049" s="26"/>
      <c r="D1049" s="64" t="s">
        <v>1282</v>
      </c>
      <c r="E1049" s="28"/>
      <c r="F1049" s="28"/>
      <c r="G1049" s="28"/>
      <c r="H1049" s="28"/>
      <c r="I1049" s="28"/>
      <c r="J1049" s="28"/>
      <c r="K1049" s="28"/>
      <c r="L1049" s="28"/>
      <c r="M1049" s="28">
        <f>SUM(M1050:M1050)</f>
        <v>0</v>
      </c>
      <c r="N1049" s="28"/>
      <c r="O1049" s="28">
        <f>SUM(O1050:O1050)</f>
        <v>0</v>
      </c>
      <c r="P1049" s="28">
        <f>SUM(P1050:P1050)</f>
        <v>0</v>
      </c>
      <c r="Q1049" s="28">
        <f>SUM(Q1050:Q1050)</f>
        <v>0</v>
      </c>
      <c r="R1049" s="28">
        <f>SUM(R1050:R1050)</f>
        <v>0</v>
      </c>
      <c r="S1049" s="28">
        <f>SUM(S1050:S1050)</f>
        <v>0</v>
      </c>
      <c r="T1049" s="28"/>
      <c r="U1049" s="28">
        <f>SUM(U1050:U1050)</f>
        <v>0</v>
      </c>
      <c r="V1049" s="28"/>
      <c r="W1049" s="28">
        <f>SUM(W1050:W1050)</f>
        <v>0</v>
      </c>
      <c r="X1049" s="28"/>
      <c r="Y1049" s="28">
        <f>SUM(Y1050:Y1050)</f>
        <v>0</v>
      </c>
      <c r="Z1049" s="28">
        <f>SUM(Z1050:Z1050)</f>
        <v>0</v>
      </c>
      <c r="AA1049" s="28"/>
      <c r="AB1049" s="28">
        <f>SUM(AB1050:AB1050)</f>
        <v>0</v>
      </c>
      <c r="AC1049" s="28">
        <f>SUM(AC1050:AC1050)</f>
        <v>0</v>
      </c>
      <c r="AD1049" s="28"/>
      <c r="AE1049" s="28"/>
    </row>
    <row r="1050" spans="1:31" s="1" customFormat="1" x14ac:dyDescent="0.25">
      <c r="A1050" s="21"/>
      <c r="B1050" s="22"/>
      <c r="C1050" s="22"/>
      <c r="D1050" s="65"/>
      <c r="E1050" s="24"/>
      <c r="F1050" s="24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  <c r="S1050" s="24"/>
      <c r="T1050" s="24"/>
      <c r="U1050" s="24"/>
      <c r="V1050" s="24"/>
      <c r="W1050" s="24"/>
      <c r="X1050" s="24"/>
      <c r="Y1050" s="24"/>
      <c r="Z1050" s="24"/>
      <c r="AA1050" s="24"/>
      <c r="AB1050" s="24"/>
      <c r="AC1050" s="24"/>
      <c r="AD1050" s="24"/>
      <c r="AE1050" s="24"/>
    </row>
    <row r="1051" spans="1:31" s="1" customFormat="1" x14ac:dyDescent="0.25">
      <c r="A1051" s="17"/>
      <c r="B1051" s="18" t="s">
        <v>1283</v>
      </c>
      <c r="C1051" s="18"/>
      <c r="D1051" s="84" t="s">
        <v>1284</v>
      </c>
      <c r="E1051" s="20"/>
      <c r="F1051" s="20"/>
      <c r="G1051" s="20"/>
      <c r="H1051" s="20"/>
      <c r="I1051" s="20"/>
      <c r="J1051" s="20"/>
      <c r="K1051" s="20"/>
      <c r="L1051" s="20"/>
      <c r="M1051" s="20">
        <f>SUM(M1052+M1054+M1056)</f>
        <v>0</v>
      </c>
      <c r="N1051" s="20"/>
      <c r="O1051" s="20">
        <f>O1052+O1054+O1056</f>
        <v>0</v>
      </c>
      <c r="P1051" s="20">
        <f>P1052+P1054+P1056</f>
        <v>0</v>
      </c>
      <c r="Q1051" s="20">
        <f>Q1052+Q1054+Q1056</f>
        <v>0</v>
      </c>
      <c r="R1051" s="20">
        <f>R1052+R1054+R1056</f>
        <v>0</v>
      </c>
      <c r="S1051" s="20">
        <f>S1052+S1054+S1056</f>
        <v>0</v>
      </c>
      <c r="T1051" s="20"/>
      <c r="U1051" s="20">
        <f>U1052+U1054+U1056</f>
        <v>0</v>
      </c>
      <c r="V1051" s="20"/>
      <c r="W1051" s="20">
        <f>W1052+W1054+W1056</f>
        <v>0</v>
      </c>
      <c r="X1051" s="20"/>
      <c r="Y1051" s="20">
        <f>Y1052+Y1054+Y1056</f>
        <v>0</v>
      </c>
      <c r="Z1051" s="20">
        <f>Z1052+Z1054+Z1056</f>
        <v>0</v>
      </c>
      <c r="AA1051" s="20"/>
      <c r="AB1051" s="20">
        <f>AB1052+AB1054+AB1056</f>
        <v>0</v>
      </c>
      <c r="AC1051" s="20">
        <f>AC1052+AC1054+AC1056</f>
        <v>0</v>
      </c>
      <c r="AD1051" s="20"/>
      <c r="AE1051" s="20"/>
    </row>
    <row r="1052" spans="1:31" s="1" customFormat="1" x14ac:dyDescent="0.25">
      <c r="A1052" s="25"/>
      <c r="B1052" s="26" t="s">
        <v>1285</v>
      </c>
      <c r="C1052" s="26"/>
      <c r="D1052" s="64" t="s">
        <v>1286</v>
      </c>
      <c r="E1052" s="28"/>
      <c r="F1052" s="28"/>
      <c r="G1052" s="28"/>
      <c r="H1052" s="28"/>
      <c r="I1052" s="28"/>
      <c r="J1052" s="28"/>
      <c r="K1052" s="28"/>
      <c r="L1052" s="28"/>
      <c r="M1052" s="28">
        <f>SUM(M1053:M1053)</f>
        <v>0</v>
      </c>
      <c r="N1052" s="28"/>
      <c r="O1052" s="28">
        <f>SUM(O1053:O1053)</f>
        <v>0</v>
      </c>
      <c r="P1052" s="28">
        <f>SUM(P1053:P1053)</f>
        <v>0</v>
      </c>
      <c r="Q1052" s="28">
        <f>SUM(Q1053:Q1053)</f>
        <v>0</v>
      </c>
      <c r="R1052" s="28">
        <f>SUM(R1053:R1053)</f>
        <v>0</v>
      </c>
      <c r="S1052" s="28">
        <f>SUM(S1053:S1053)</f>
        <v>0</v>
      </c>
      <c r="T1052" s="28"/>
      <c r="U1052" s="28">
        <f>SUM(U1053:U1053)</f>
        <v>0</v>
      </c>
      <c r="V1052" s="28"/>
      <c r="W1052" s="28">
        <f>SUM(W1053:W1053)</f>
        <v>0</v>
      </c>
      <c r="X1052" s="28"/>
      <c r="Y1052" s="28">
        <f>SUM(Y1053:Y1053)</f>
        <v>0</v>
      </c>
      <c r="Z1052" s="28">
        <f>SUM(Z1053:Z1053)</f>
        <v>0</v>
      </c>
      <c r="AA1052" s="28"/>
      <c r="AB1052" s="28">
        <f>SUM(AB1053:AB1053)</f>
        <v>0</v>
      </c>
      <c r="AC1052" s="28">
        <f>SUM(AC1053:AC1053)</f>
        <v>0</v>
      </c>
      <c r="AD1052" s="28"/>
      <c r="AE1052" s="28"/>
    </row>
    <row r="1053" spans="1:31" s="1" customFormat="1" x14ac:dyDescent="0.25">
      <c r="A1053" s="21"/>
      <c r="B1053" s="22"/>
      <c r="C1053" s="22"/>
      <c r="D1053" s="85"/>
      <c r="E1053" s="24"/>
      <c r="F1053" s="24"/>
      <c r="G1053" s="24"/>
      <c r="H1053" s="24"/>
      <c r="I1053" s="24"/>
      <c r="J1053" s="24"/>
      <c r="K1053" s="24"/>
      <c r="L1053" s="24"/>
      <c r="M1053" s="24"/>
      <c r="N1053" s="24"/>
      <c r="O1053" s="24"/>
      <c r="P1053" s="24"/>
      <c r="Q1053" s="24"/>
      <c r="R1053" s="24"/>
      <c r="S1053" s="24"/>
      <c r="T1053" s="24"/>
      <c r="U1053" s="24"/>
      <c r="V1053" s="24"/>
      <c r="W1053" s="24"/>
      <c r="X1053" s="24"/>
      <c r="Y1053" s="24"/>
      <c r="Z1053" s="24"/>
      <c r="AA1053" s="24"/>
      <c r="AB1053" s="24"/>
      <c r="AC1053" s="24"/>
      <c r="AD1053" s="24"/>
      <c r="AE1053" s="24"/>
    </row>
    <row r="1054" spans="1:31" s="1" customFormat="1" x14ac:dyDescent="0.25">
      <c r="A1054" s="25"/>
      <c r="B1054" s="26" t="s">
        <v>1287</v>
      </c>
      <c r="C1054" s="26"/>
      <c r="D1054" s="64" t="s">
        <v>1288</v>
      </c>
      <c r="E1054" s="28"/>
      <c r="F1054" s="28"/>
      <c r="G1054" s="28"/>
      <c r="H1054" s="28"/>
      <c r="I1054" s="28"/>
      <c r="J1054" s="28"/>
      <c r="K1054" s="28"/>
      <c r="L1054" s="28"/>
      <c r="M1054" s="28">
        <f>SUM(M1055:M1055)</f>
        <v>0</v>
      </c>
      <c r="N1054" s="28"/>
      <c r="O1054" s="28">
        <f>SUM(O1055:O1055)</f>
        <v>0</v>
      </c>
      <c r="P1054" s="28">
        <f>SUM(P1055:P1055)</f>
        <v>0</v>
      </c>
      <c r="Q1054" s="28">
        <f>SUM(Q1055:Q1055)</f>
        <v>0</v>
      </c>
      <c r="R1054" s="28">
        <f>SUM(R1055:R1055)</f>
        <v>0</v>
      </c>
      <c r="S1054" s="28">
        <f>SUM(S1055:S1055)</f>
        <v>0</v>
      </c>
      <c r="T1054" s="28"/>
      <c r="U1054" s="28">
        <f>SUM(U1055:U1055)</f>
        <v>0</v>
      </c>
      <c r="V1054" s="28"/>
      <c r="W1054" s="28">
        <f>SUM(W1055:W1055)</f>
        <v>0</v>
      </c>
      <c r="X1054" s="28"/>
      <c r="Y1054" s="28">
        <f>SUM(Y1055:Y1055)</f>
        <v>0</v>
      </c>
      <c r="Z1054" s="28">
        <f>SUM(Z1055:Z1055)</f>
        <v>0</v>
      </c>
      <c r="AA1054" s="28"/>
      <c r="AB1054" s="28">
        <f>SUM(AB1055:AB1055)</f>
        <v>0</v>
      </c>
      <c r="AC1054" s="28">
        <f>SUM(AC1055:AC1055)</f>
        <v>0</v>
      </c>
      <c r="AD1054" s="28"/>
      <c r="AE1054" s="28"/>
    </row>
    <row r="1055" spans="1:31" s="1" customFormat="1" x14ac:dyDescent="0.25">
      <c r="A1055" s="21"/>
      <c r="B1055" s="22"/>
      <c r="C1055" s="22"/>
      <c r="D1055" s="85"/>
      <c r="E1055" s="24"/>
      <c r="F1055" s="24"/>
      <c r="G1055" s="24"/>
      <c r="H1055" s="24"/>
      <c r="I1055" s="24"/>
      <c r="J1055" s="24"/>
      <c r="K1055" s="24"/>
      <c r="L1055" s="24"/>
      <c r="M1055" s="24"/>
      <c r="N1055" s="24"/>
      <c r="O1055" s="24"/>
      <c r="P1055" s="24"/>
      <c r="Q1055" s="24"/>
      <c r="R1055" s="24"/>
      <c r="S1055" s="24"/>
      <c r="T1055" s="24"/>
      <c r="U1055" s="24"/>
      <c r="V1055" s="24"/>
      <c r="W1055" s="24"/>
      <c r="X1055" s="24"/>
      <c r="Y1055" s="24"/>
      <c r="Z1055" s="24"/>
      <c r="AA1055" s="24"/>
      <c r="AB1055" s="24"/>
      <c r="AC1055" s="24"/>
      <c r="AD1055" s="24"/>
      <c r="AE1055" s="24"/>
    </row>
    <row r="1056" spans="1:31" s="1" customFormat="1" x14ac:dyDescent="0.25">
      <c r="A1056" s="25"/>
      <c r="B1056" s="26" t="s">
        <v>1289</v>
      </c>
      <c r="C1056" s="26"/>
      <c r="D1056" s="64" t="s">
        <v>1290</v>
      </c>
      <c r="E1056" s="28"/>
      <c r="F1056" s="28"/>
      <c r="G1056" s="28"/>
      <c r="H1056" s="28"/>
      <c r="I1056" s="28"/>
      <c r="J1056" s="28"/>
      <c r="K1056" s="28"/>
      <c r="L1056" s="28"/>
      <c r="M1056" s="28">
        <f>SUM(M1057:M1057)</f>
        <v>0</v>
      </c>
      <c r="N1056" s="28"/>
      <c r="O1056" s="28">
        <f>SUM(O1057:O1057)</f>
        <v>0</v>
      </c>
      <c r="P1056" s="28">
        <f>SUM(P1057:P1057)</f>
        <v>0</v>
      </c>
      <c r="Q1056" s="28">
        <f>SUM(Q1057:Q1057)</f>
        <v>0</v>
      </c>
      <c r="R1056" s="28">
        <f>SUM(R1057:R1057)</f>
        <v>0</v>
      </c>
      <c r="S1056" s="28">
        <f>SUM(S1057:S1057)</f>
        <v>0</v>
      </c>
      <c r="T1056" s="28"/>
      <c r="U1056" s="28">
        <f>SUM(U1057:U1057)</f>
        <v>0</v>
      </c>
      <c r="V1056" s="28"/>
      <c r="W1056" s="28">
        <f>SUM(W1057:W1057)</f>
        <v>0</v>
      </c>
      <c r="X1056" s="28"/>
      <c r="Y1056" s="28">
        <f>SUM(Y1057:Y1057)</f>
        <v>0</v>
      </c>
      <c r="Z1056" s="28">
        <f>SUM(Z1057:Z1057)</f>
        <v>0</v>
      </c>
      <c r="AA1056" s="28"/>
      <c r="AB1056" s="28">
        <f>SUM(AB1057:AB1057)</f>
        <v>0</v>
      </c>
      <c r="AC1056" s="28">
        <f>SUM(AC1057:AC1057)</f>
        <v>0</v>
      </c>
      <c r="AD1056" s="28"/>
      <c r="AE1056" s="28"/>
    </row>
    <row r="1057" spans="1:35" s="1" customFormat="1" x14ac:dyDescent="0.25">
      <c r="A1057" s="21"/>
      <c r="B1057" s="22"/>
      <c r="C1057" s="22"/>
      <c r="D1057" s="85"/>
      <c r="E1057" s="24"/>
      <c r="F1057" s="24"/>
      <c r="G1057" s="24"/>
      <c r="H1057" s="24"/>
      <c r="I1057" s="24"/>
      <c r="J1057" s="24"/>
      <c r="K1057" s="24"/>
      <c r="L1057" s="24"/>
      <c r="M1057" s="24"/>
      <c r="N1057" s="24"/>
      <c r="O1057" s="24"/>
      <c r="P1057" s="24"/>
      <c r="Q1057" s="24"/>
      <c r="R1057" s="24"/>
      <c r="S1057" s="24"/>
      <c r="T1057" s="24"/>
      <c r="U1057" s="24"/>
      <c r="V1057" s="24"/>
      <c r="W1057" s="24"/>
      <c r="X1057" s="24"/>
      <c r="Y1057" s="24"/>
      <c r="Z1057" s="24"/>
      <c r="AA1057" s="24"/>
      <c r="AB1057" s="24"/>
      <c r="AC1057" s="24"/>
      <c r="AD1057" s="24"/>
      <c r="AE1057" s="24"/>
    </row>
    <row r="1058" spans="1:35" s="1" customFormat="1" x14ac:dyDescent="0.25">
      <c r="A1058" s="17"/>
      <c r="B1058" s="18" t="s">
        <v>1291</v>
      </c>
      <c r="C1058" s="18"/>
      <c r="D1058" s="84" t="s">
        <v>1292</v>
      </c>
      <c r="E1058" s="20"/>
      <c r="F1058" s="20"/>
      <c r="G1058" s="20"/>
      <c r="H1058" s="20"/>
      <c r="I1058" s="20"/>
      <c r="J1058" s="20"/>
      <c r="K1058" s="20"/>
      <c r="L1058" s="20"/>
      <c r="M1058" s="20">
        <f>SUM(M1059)</f>
        <v>4</v>
      </c>
      <c r="N1058" s="20"/>
      <c r="O1058" s="37">
        <f>SUM(O1059)</f>
        <v>50797500</v>
      </c>
      <c r="P1058" s="20">
        <f t="shared" ref="P1058:Y1058" si="388">P1059</f>
        <v>0</v>
      </c>
      <c r="Q1058" s="20">
        <f t="shared" si="388"/>
        <v>0</v>
      </c>
      <c r="R1058" s="20">
        <f t="shared" si="388"/>
        <v>0</v>
      </c>
      <c r="S1058" s="37">
        <f>SUM(S1059)</f>
        <v>50797500</v>
      </c>
      <c r="T1058" s="37"/>
      <c r="U1058" s="37">
        <f>SUM(U1059)</f>
        <v>10159500</v>
      </c>
      <c r="V1058" s="37"/>
      <c r="W1058" s="37">
        <f>SUM(W1059)</f>
        <v>4479750</v>
      </c>
      <c r="X1058" s="37"/>
      <c r="Y1058" s="37">
        <f t="shared" si="388"/>
        <v>0</v>
      </c>
      <c r="Z1058" s="37">
        <f>SUM(Z1059)</f>
        <v>4479750</v>
      </c>
      <c r="AA1058" s="37"/>
      <c r="AB1058" s="37">
        <f>SUM(AB1059)</f>
        <v>39598125</v>
      </c>
      <c r="AC1058" s="37">
        <f>SUM(AC1059)</f>
        <v>11199375</v>
      </c>
      <c r="AD1058" s="20"/>
      <c r="AE1058" s="20"/>
      <c r="AF1058" s="1">
        <v>39598125</v>
      </c>
      <c r="AG1058" s="5"/>
    </row>
    <row r="1059" spans="1:35" s="160" customFormat="1" x14ac:dyDescent="0.25">
      <c r="A1059" s="138"/>
      <c r="B1059" s="139" t="s">
        <v>1293</v>
      </c>
      <c r="C1059" s="139"/>
      <c r="D1059" s="184" t="s">
        <v>1292</v>
      </c>
      <c r="E1059" s="141"/>
      <c r="F1059" s="141"/>
      <c r="G1059" s="141"/>
      <c r="H1059" s="141"/>
      <c r="I1059" s="141"/>
      <c r="J1059" s="141"/>
      <c r="K1059" s="141"/>
      <c r="L1059" s="141"/>
      <c r="M1059" s="141">
        <f>SUM(M1061:M1064)</f>
        <v>4</v>
      </c>
      <c r="N1059" s="141"/>
      <c r="O1059" s="142">
        <f>SUM(O1061:O1064)</f>
        <v>50797500</v>
      </c>
      <c r="P1059" s="141">
        <f>SUM(P1061:P1063)</f>
        <v>0</v>
      </c>
      <c r="Q1059" s="141">
        <f>SUM(Q1061:Q1063)</f>
        <v>0</v>
      </c>
      <c r="R1059" s="141">
        <f>SUM(R1061:R1063)</f>
        <v>0</v>
      </c>
      <c r="S1059" s="142">
        <f>SUM(S1061:S1064)</f>
        <v>50797500</v>
      </c>
      <c r="T1059" s="141"/>
      <c r="U1059" s="142">
        <f>SUM(U1061:U1064)</f>
        <v>10159500</v>
      </c>
      <c r="V1059" s="141"/>
      <c r="W1059" s="142">
        <f>SUM(W1061:W1064)</f>
        <v>4479750</v>
      </c>
      <c r="X1059" s="141"/>
      <c r="Y1059" s="142">
        <f>SUM(Y1061:Y1064)</f>
        <v>0</v>
      </c>
      <c r="Z1059" s="142">
        <f>SUM(Z1061:Z1064)</f>
        <v>4479750</v>
      </c>
      <c r="AA1059" s="141"/>
      <c r="AB1059" s="142">
        <f>SUM(AB1061:AB1064)</f>
        <v>39598125</v>
      </c>
      <c r="AC1059" s="142">
        <f>SUM(AC1061:AC1064)</f>
        <v>11199375</v>
      </c>
      <c r="AD1059" s="141"/>
      <c r="AE1059" s="141"/>
      <c r="AF1059" s="161">
        <f>AB1058-AF1058</f>
        <v>0</v>
      </c>
      <c r="AG1059" s="185"/>
    </row>
    <row r="1060" spans="1:35" s="1" customFormat="1" x14ac:dyDescent="0.25">
      <c r="A1060" s="25"/>
      <c r="B1060" s="26" t="s">
        <v>1769</v>
      </c>
      <c r="C1060" s="26"/>
      <c r="D1060" s="64" t="s">
        <v>1770</v>
      </c>
      <c r="E1060" s="28"/>
      <c r="F1060" s="28"/>
      <c r="G1060" s="28"/>
      <c r="H1060" s="28"/>
      <c r="I1060" s="28"/>
      <c r="J1060" s="28"/>
      <c r="K1060" s="28"/>
      <c r="L1060" s="28"/>
      <c r="M1060" s="28"/>
      <c r="N1060" s="28"/>
      <c r="O1060" s="40">
        <f>SUM(O1061:O1064)</f>
        <v>50797500</v>
      </c>
      <c r="P1060" s="28"/>
      <c r="Q1060" s="28"/>
      <c r="R1060" s="28"/>
      <c r="S1060" s="40">
        <f>SUM(S1061:S1064)</f>
        <v>50797500</v>
      </c>
      <c r="T1060" s="28"/>
      <c r="U1060" s="40">
        <f>SUM(U1061:U1064)</f>
        <v>10159500</v>
      </c>
      <c r="V1060" s="28"/>
      <c r="W1060" s="40">
        <f>SUM(W1061:W1064)</f>
        <v>4479750</v>
      </c>
      <c r="X1060" s="28"/>
      <c r="Y1060" s="40"/>
      <c r="Z1060" s="40">
        <f>SUM(Z1061:Z1064)</f>
        <v>4479750</v>
      </c>
      <c r="AA1060" s="28"/>
      <c r="AB1060" s="40">
        <f>SUM(AB1061:AB1064)</f>
        <v>39598125</v>
      </c>
      <c r="AC1060" s="40">
        <f>SUM(AC1061:AC1064)</f>
        <v>11199375</v>
      </c>
      <c r="AD1060" s="28"/>
      <c r="AE1060" s="28"/>
      <c r="AF1060" s="1" t="s">
        <v>1771</v>
      </c>
      <c r="AG1060" s="8"/>
    </row>
    <row r="1061" spans="1:35" s="1" customFormat="1" x14ac:dyDescent="0.25">
      <c r="A1061" s="21">
        <v>1</v>
      </c>
      <c r="B1061" s="22" t="s">
        <v>1772</v>
      </c>
      <c r="C1061" s="22" t="s">
        <v>58</v>
      </c>
      <c r="D1061" s="23" t="s">
        <v>1294</v>
      </c>
      <c r="E1061" s="24" t="s">
        <v>166</v>
      </c>
      <c r="F1061" s="24"/>
      <c r="G1061" s="24" t="s">
        <v>466</v>
      </c>
      <c r="H1061" s="24" t="s">
        <v>62</v>
      </c>
      <c r="I1061" s="24">
        <v>2015</v>
      </c>
      <c r="J1061" s="24"/>
      <c r="K1061" s="24" t="s">
        <v>202</v>
      </c>
      <c r="L1061" s="24" t="s">
        <v>64</v>
      </c>
      <c r="M1061" s="24">
        <v>1</v>
      </c>
      <c r="N1061" s="41">
        <f>SUM(O1061/M1061)</f>
        <v>2500000</v>
      </c>
      <c r="O1061" s="41">
        <v>2500000</v>
      </c>
      <c r="P1061" s="24"/>
      <c r="Q1061" s="24"/>
      <c r="R1061" s="24"/>
      <c r="S1061" s="41">
        <f>SUM(O1061-R1061)</f>
        <v>2500000</v>
      </c>
      <c r="T1061" s="24">
        <v>5</v>
      </c>
      <c r="U1061" s="41">
        <f>SUM(S1061/T1061)</f>
        <v>500000</v>
      </c>
      <c r="V1061" s="24">
        <v>0.5</v>
      </c>
      <c r="W1061" s="41"/>
      <c r="X1061" s="24"/>
      <c r="Y1061" s="41">
        <f>SUM(U1061*X1061)</f>
        <v>0</v>
      </c>
      <c r="Z1061" s="41"/>
      <c r="AA1061" s="24">
        <v>5</v>
      </c>
      <c r="AB1061" s="41">
        <f>SUM(U1061*AA1061)</f>
        <v>2500000</v>
      </c>
      <c r="AC1061" s="41">
        <f>SUM(O1061-AB1061)</f>
        <v>0</v>
      </c>
      <c r="AD1061" s="70" t="s">
        <v>1295</v>
      </c>
      <c r="AE1061" s="24"/>
      <c r="AG1061" s="88"/>
    </row>
    <row r="1062" spans="1:35" s="1" customFormat="1" x14ac:dyDescent="0.25">
      <c r="A1062" s="21">
        <v>2</v>
      </c>
      <c r="B1062" s="22" t="s">
        <v>1773</v>
      </c>
      <c r="C1062" s="22" t="s">
        <v>58</v>
      </c>
      <c r="D1062" s="23" t="s">
        <v>1296</v>
      </c>
      <c r="E1062" s="24" t="s">
        <v>166</v>
      </c>
      <c r="F1062" s="24"/>
      <c r="G1062" s="24" t="s">
        <v>466</v>
      </c>
      <c r="H1062" s="24" t="s">
        <v>62</v>
      </c>
      <c r="I1062" s="24">
        <v>2015</v>
      </c>
      <c r="J1062" s="24"/>
      <c r="K1062" s="24" t="s">
        <v>202</v>
      </c>
      <c r="L1062" s="24" t="s">
        <v>64</v>
      </c>
      <c r="M1062" s="24">
        <v>1</v>
      </c>
      <c r="N1062" s="41">
        <f>SUM(O1062/M1062)</f>
        <v>1500000</v>
      </c>
      <c r="O1062" s="41">
        <v>1500000</v>
      </c>
      <c r="P1062" s="24"/>
      <c r="Q1062" s="24"/>
      <c r="R1062" s="24"/>
      <c r="S1062" s="41">
        <f>SUM(O1062-R1062)</f>
        <v>1500000</v>
      </c>
      <c r="T1062" s="24">
        <v>5</v>
      </c>
      <c r="U1062" s="41">
        <f>SUM(S1062/T1062)</f>
        <v>300000</v>
      </c>
      <c r="V1062" s="24">
        <v>0.5</v>
      </c>
      <c r="W1062" s="41"/>
      <c r="X1062" s="24"/>
      <c r="Y1062" s="41">
        <f>SUM(U1062*X1062)</f>
        <v>0</v>
      </c>
      <c r="Z1062" s="41"/>
      <c r="AA1062" s="24">
        <v>5</v>
      </c>
      <c r="AB1062" s="41">
        <f>SUM(U1062*AA1062)</f>
        <v>1500000</v>
      </c>
      <c r="AC1062" s="41">
        <f>SUM(O1062-AB1062)</f>
        <v>0</v>
      </c>
      <c r="AD1062" s="70" t="s">
        <v>1295</v>
      </c>
      <c r="AE1062" s="24"/>
      <c r="AG1062" s="88"/>
    </row>
    <row r="1063" spans="1:35" s="1" customFormat="1" x14ac:dyDescent="0.25">
      <c r="A1063" s="21">
        <v>3</v>
      </c>
      <c r="B1063" s="22" t="s">
        <v>1774</v>
      </c>
      <c r="C1063" s="22" t="s">
        <v>58</v>
      </c>
      <c r="D1063" s="23" t="s">
        <v>1297</v>
      </c>
      <c r="E1063" s="24" t="s">
        <v>166</v>
      </c>
      <c r="F1063" s="24"/>
      <c r="G1063" s="24" t="s">
        <v>466</v>
      </c>
      <c r="H1063" s="24" t="s">
        <v>62</v>
      </c>
      <c r="I1063" s="24">
        <v>2015</v>
      </c>
      <c r="J1063" s="24"/>
      <c r="K1063" s="24" t="s">
        <v>202</v>
      </c>
      <c r="L1063" s="24" t="s">
        <v>64</v>
      </c>
      <c r="M1063" s="24">
        <v>1</v>
      </c>
      <c r="N1063" s="41">
        <f>SUM(O1063/M1063)</f>
        <v>2000000</v>
      </c>
      <c r="O1063" s="41">
        <v>2000000</v>
      </c>
      <c r="P1063" s="24"/>
      <c r="Q1063" s="24"/>
      <c r="R1063" s="24"/>
      <c r="S1063" s="41">
        <f>SUM(O1063-R1063)</f>
        <v>2000000</v>
      </c>
      <c r="T1063" s="24">
        <v>5</v>
      </c>
      <c r="U1063" s="41">
        <f>SUM(S1063/T1063)</f>
        <v>400000</v>
      </c>
      <c r="V1063" s="24">
        <v>0.5</v>
      </c>
      <c r="W1063" s="41"/>
      <c r="X1063" s="24"/>
      <c r="Y1063" s="41">
        <f>SUM(U1063*X1063)</f>
        <v>0</v>
      </c>
      <c r="Z1063" s="41"/>
      <c r="AA1063" s="24">
        <v>5</v>
      </c>
      <c r="AB1063" s="41">
        <f>SUM(U1063*AA1063)</f>
        <v>2000000</v>
      </c>
      <c r="AC1063" s="41">
        <f>SUM(O1063-AB1063)</f>
        <v>0</v>
      </c>
      <c r="AD1063" s="70" t="s">
        <v>1295</v>
      </c>
      <c r="AE1063" s="24"/>
      <c r="AG1063" s="88"/>
    </row>
    <row r="1064" spans="1:35" s="1" customFormat="1" x14ac:dyDescent="0.25">
      <c r="A1064" s="21">
        <v>4</v>
      </c>
      <c r="B1064" s="22" t="s">
        <v>1775</v>
      </c>
      <c r="C1064" s="50"/>
      <c r="D1064" s="51" t="s">
        <v>1298</v>
      </c>
      <c r="E1064" s="52" t="s">
        <v>166</v>
      </c>
      <c r="F1064" s="52"/>
      <c r="G1064" s="52" t="s">
        <v>466</v>
      </c>
      <c r="H1064" s="52" t="s">
        <v>62</v>
      </c>
      <c r="I1064" s="52">
        <v>2019</v>
      </c>
      <c r="J1064" s="52"/>
      <c r="K1064" s="52" t="s">
        <v>202</v>
      </c>
      <c r="L1064" s="52" t="s">
        <v>64</v>
      </c>
      <c r="M1064" s="52">
        <v>1</v>
      </c>
      <c r="N1064" s="53">
        <v>44797500</v>
      </c>
      <c r="O1064" s="53">
        <v>44797500</v>
      </c>
      <c r="P1064" s="52"/>
      <c r="Q1064" s="52"/>
      <c r="R1064" s="52"/>
      <c r="S1064" s="53">
        <f>SUM(O1064-R1064)</f>
        <v>44797500</v>
      </c>
      <c r="T1064" s="52">
        <v>5</v>
      </c>
      <c r="U1064" s="53">
        <f>SUM(S1064/T1064)</f>
        <v>8959500</v>
      </c>
      <c r="V1064" s="52">
        <v>0.5</v>
      </c>
      <c r="W1064" s="53">
        <f>SUM(U1064*V1064)</f>
        <v>4479750</v>
      </c>
      <c r="X1064" s="52"/>
      <c r="Y1064" s="53">
        <f>SUM(U1064*X1064)</f>
        <v>0</v>
      </c>
      <c r="Z1064" s="53">
        <f>SUM(W1064+Y1064)</f>
        <v>4479750</v>
      </c>
      <c r="AA1064" s="52">
        <f>2023-I1064+V1064+X1064-9/12</f>
        <v>3.75</v>
      </c>
      <c r="AB1064" s="53">
        <f>SUM(U1064*AA1064)</f>
        <v>33598125</v>
      </c>
      <c r="AC1064" s="53">
        <f>SUM(S1064-AB1064)</f>
        <v>11199375</v>
      </c>
      <c r="AD1064" s="52"/>
      <c r="AE1064" s="52"/>
      <c r="AG1064" s="88"/>
    </row>
    <row r="1065" spans="1:35" s="1" customFormat="1" x14ac:dyDescent="0.25">
      <c r="A1065" s="21"/>
      <c r="B1065" s="22"/>
      <c r="C1065" s="22"/>
      <c r="D1065" s="23"/>
      <c r="E1065" s="24"/>
      <c r="F1065" s="24"/>
      <c r="G1065" s="24"/>
      <c r="H1065" s="24"/>
      <c r="I1065" s="24"/>
      <c r="J1065" s="24"/>
      <c r="K1065" s="24"/>
      <c r="L1065" s="24"/>
      <c r="M1065" s="24"/>
      <c r="N1065" s="41"/>
      <c r="O1065" s="41"/>
      <c r="P1065" s="24"/>
      <c r="Q1065" s="24"/>
      <c r="R1065" s="24"/>
      <c r="S1065" s="41"/>
      <c r="T1065" s="24"/>
      <c r="U1065" s="41"/>
      <c r="V1065" s="24"/>
      <c r="W1065" s="41"/>
      <c r="X1065" s="24"/>
      <c r="Y1065" s="41"/>
      <c r="Z1065" s="41"/>
      <c r="AA1065" s="24"/>
      <c r="AB1065" s="41"/>
      <c r="AC1065" s="41"/>
      <c r="AD1065" s="24"/>
      <c r="AE1065" s="24"/>
      <c r="AF1065" s="8"/>
    </row>
    <row r="1066" spans="1:35" s="16" customFormat="1" ht="23.25" customHeight="1" x14ac:dyDescent="0.25">
      <c r="A1066" s="29">
        <v>3</v>
      </c>
      <c r="B1066" s="30" t="s">
        <v>1299</v>
      </c>
      <c r="C1066" s="30"/>
      <c r="D1066" s="89" t="s">
        <v>1300</v>
      </c>
      <c r="E1066" s="32"/>
      <c r="F1066" s="32"/>
      <c r="G1066" s="32"/>
      <c r="H1066" s="32"/>
      <c r="I1066" s="32"/>
      <c r="J1066" s="32"/>
      <c r="K1066" s="32"/>
      <c r="L1066" s="32"/>
      <c r="M1066" s="32">
        <f>SUM(M1067+M1180)</f>
        <v>52</v>
      </c>
      <c r="N1066" s="32"/>
      <c r="O1066" s="34">
        <f>SUM(O1067+O1180)</f>
        <v>22965463545</v>
      </c>
      <c r="P1066" s="34">
        <f>SUM(P1067+P1180)</f>
        <v>14709203696</v>
      </c>
      <c r="Q1066" s="34">
        <f>Q1067+Q1177+Q1180+Q1184</f>
        <v>273942214.5</v>
      </c>
      <c r="R1066" s="32">
        <f>R1067+R1177+R1180+R1184</f>
        <v>0</v>
      </c>
      <c r="S1066" s="34">
        <f>SUM(S1067+S1180)</f>
        <v>37222734192.815948</v>
      </c>
      <c r="T1066" s="32"/>
      <c r="U1066" s="34">
        <f>SUM(U1067+U1180)</f>
        <v>1127928813.1225278</v>
      </c>
      <c r="V1066" s="32"/>
      <c r="W1066" s="34">
        <f>SUM(W1067+W1180)</f>
        <v>331923026.63619041</v>
      </c>
      <c r="X1066" s="32"/>
      <c r="Y1066" s="34">
        <f>Y1067+Y1177+Y1180+Y1184</f>
        <v>0</v>
      </c>
      <c r="Z1066" s="34">
        <f>SUM(Z1067+Z1180)</f>
        <v>331923026.63619041</v>
      </c>
      <c r="AA1066" s="32"/>
      <c r="AB1066" s="34">
        <f>SUM(AB1067+AB1180)</f>
        <v>8959067687.5220146</v>
      </c>
      <c r="AC1066" s="34">
        <f>SUM(AC1067+AC1180)</f>
        <v>14073065691.337505</v>
      </c>
      <c r="AD1066" s="32"/>
      <c r="AE1066" s="32"/>
      <c r="AF1066" s="36">
        <v>8627144660.8864174</v>
      </c>
      <c r="AG1066" s="90">
        <v>685558738.03612709</v>
      </c>
      <c r="AH1066" s="1"/>
      <c r="AI1066" s="36">
        <f>AH1066+W1066+Y1066-AB1066</f>
        <v>-8627144660.8858242</v>
      </c>
    </row>
    <row r="1067" spans="1:35" s="1" customFormat="1" x14ac:dyDescent="0.25">
      <c r="A1067" s="17"/>
      <c r="B1067" s="18" t="s">
        <v>1301</v>
      </c>
      <c r="C1067" s="18"/>
      <c r="D1067" s="84" t="s">
        <v>1302</v>
      </c>
      <c r="E1067" s="20"/>
      <c r="F1067" s="20"/>
      <c r="G1067" s="20"/>
      <c r="H1067" s="20"/>
      <c r="I1067" s="20"/>
      <c r="J1067" s="20"/>
      <c r="K1067" s="20"/>
      <c r="L1067" s="20"/>
      <c r="M1067" s="20">
        <f>SUM(M1068)</f>
        <v>51</v>
      </c>
      <c r="N1067" s="20"/>
      <c r="O1067" s="37">
        <f>SUM(O1068)</f>
        <v>22885663545</v>
      </c>
      <c r="P1067" s="37">
        <f>SUM(P1068)</f>
        <v>14629403696</v>
      </c>
      <c r="Q1067" s="37">
        <f>Q1068+Q1134</f>
        <v>273942214.5</v>
      </c>
      <c r="R1067" s="20">
        <f>R1068+R1134</f>
        <v>0</v>
      </c>
      <c r="S1067" s="37">
        <f>SUM(S1068)</f>
        <v>37142934192.815948</v>
      </c>
      <c r="T1067" s="20"/>
      <c r="U1067" s="37">
        <f>SUM(U1068)</f>
        <v>1126332813.1225278</v>
      </c>
      <c r="V1067" s="20"/>
      <c r="W1067" s="37">
        <f>SUM(W1068)</f>
        <v>331125026.63619041</v>
      </c>
      <c r="X1067" s="20"/>
      <c r="Y1067" s="37">
        <f>Y1068+Y1134</f>
        <v>0</v>
      </c>
      <c r="Z1067" s="37">
        <f>SUM(Z1068)</f>
        <v>331125026.63619041</v>
      </c>
      <c r="AA1067" s="20"/>
      <c r="AB1067" s="37">
        <f>SUM(AB1068)</f>
        <v>8940713687.5220146</v>
      </c>
      <c r="AC1067" s="37">
        <f>SUM(AC1068)</f>
        <v>14011619691.337505</v>
      </c>
      <c r="AD1067" s="20"/>
      <c r="AE1067" s="20"/>
      <c r="AF1067" s="8">
        <f>SUM(AF1066+Z1066-AB1066)</f>
        <v>5.931854248046875E-4</v>
      </c>
      <c r="AG1067" s="5">
        <f>AG1066-U1069</f>
        <v>21065336.600000024</v>
      </c>
    </row>
    <row r="1068" spans="1:35" s="1" customFormat="1" ht="25.5" x14ac:dyDescent="0.25">
      <c r="A1068" s="138"/>
      <c r="B1068" s="139" t="s">
        <v>1303</v>
      </c>
      <c r="C1068" s="139"/>
      <c r="D1068" s="184" t="s">
        <v>1304</v>
      </c>
      <c r="E1068" s="141"/>
      <c r="F1068" s="141"/>
      <c r="G1068" s="141"/>
      <c r="H1068" s="141"/>
      <c r="I1068" s="141"/>
      <c r="J1068" s="141"/>
      <c r="K1068" s="141"/>
      <c r="L1068" s="141"/>
      <c r="M1068" s="141">
        <f>SUM(M1069+M1134)</f>
        <v>51</v>
      </c>
      <c r="N1068" s="141"/>
      <c r="O1068" s="142">
        <f>SUM(O1069+O1134)</f>
        <v>22885663545</v>
      </c>
      <c r="P1068" s="142">
        <f>SUM(P1069+P1134)</f>
        <v>14629403696</v>
      </c>
      <c r="Q1068" s="142">
        <f>SUM(Q1080:Q1133)</f>
        <v>173999684</v>
      </c>
      <c r="R1068" s="141"/>
      <c r="S1068" s="142">
        <f>SUM(S1069+S1134)</f>
        <v>37142934192.815948</v>
      </c>
      <c r="T1068" s="141"/>
      <c r="U1068" s="142">
        <f>SUM(U1069+U1134)</f>
        <v>1126332813.1225278</v>
      </c>
      <c r="V1068" s="141"/>
      <c r="W1068" s="142">
        <f>SUM(W1069+W1134)</f>
        <v>331125026.63619041</v>
      </c>
      <c r="X1068" s="141"/>
      <c r="Y1068" s="142">
        <f>SUM(Y1080:Y1133)</f>
        <v>0</v>
      </c>
      <c r="Z1068" s="142">
        <f>SUM(Z1069+Z1134)</f>
        <v>331125026.63619041</v>
      </c>
      <c r="AA1068" s="141"/>
      <c r="AB1068" s="142">
        <f>SUM(AB1069+AB1134)</f>
        <v>8940713687.5220146</v>
      </c>
      <c r="AC1068" s="142">
        <f>SUM(AC1069+AC1134)</f>
        <v>14011619691.337505</v>
      </c>
      <c r="AD1068" s="141"/>
      <c r="AE1068" s="141"/>
      <c r="AF1068" s="5">
        <v>13829936550</v>
      </c>
      <c r="AG1068" s="5">
        <f>'[3]BI Tahun  SMT I 2023'!$AH$1160-AG1067</f>
        <v>52860963.399999976</v>
      </c>
      <c r="AH1068" s="36"/>
    </row>
    <row r="1069" spans="1:35" s="1" customFormat="1" x14ac:dyDescent="0.25">
      <c r="A1069" s="25"/>
      <c r="B1069" s="26" t="s">
        <v>1776</v>
      </c>
      <c r="C1069" s="26"/>
      <c r="D1069" s="64" t="s">
        <v>1777</v>
      </c>
      <c r="E1069" s="186"/>
      <c r="F1069" s="28"/>
      <c r="G1069" s="28"/>
      <c r="H1069" s="28"/>
      <c r="I1069" s="28"/>
      <c r="J1069" s="28"/>
      <c r="K1069" s="28"/>
      <c r="L1069" s="28"/>
      <c r="M1069" s="28">
        <f>SUM(M1070:M1132)</f>
        <v>34</v>
      </c>
      <c r="N1069" s="28"/>
      <c r="O1069" s="40">
        <f>SUM(O1070:O1132)</f>
        <v>13829936550</v>
      </c>
      <c r="P1069" s="40">
        <f>SUM(P1070:P1132)</f>
        <v>13655936866</v>
      </c>
      <c r="Q1069" s="40">
        <f>SUM(Q1070:Q1132)</f>
        <v>173999684</v>
      </c>
      <c r="R1069" s="28"/>
      <c r="S1069" s="40">
        <f>SUM(S1070:S1132)</f>
        <v>24279622770.463203</v>
      </c>
      <c r="T1069" s="28"/>
      <c r="U1069" s="40">
        <f>SUM(U1070:U1132)</f>
        <v>664493401.43612707</v>
      </c>
      <c r="V1069" s="28"/>
      <c r="W1069" s="40">
        <f>SUM(W1070:W1132)</f>
        <v>220781500.45303318</v>
      </c>
      <c r="X1069" s="28"/>
      <c r="Y1069" s="40"/>
      <c r="Z1069" s="40">
        <f>SUM(Z1070:Z1132)</f>
        <v>220781500.45303318</v>
      </c>
      <c r="AA1069" s="28"/>
      <c r="AB1069" s="40">
        <f>SUM(AB1070:AB1132)</f>
        <v>5065387200.92834</v>
      </c>
      <c r="AC1069" s="40">
        <f>SUM(AC1070:AC1132)</f>
        <v>8831219182.931179</v>
      </c>
      <c r="AD1069" s="28"/>
      <c r="AE1069" s="28"/>
      <c r="AF1069" s="5">
        <v>14883203380</v>
      </c>
      <c r="AG1069" s="5">
        <v>25332889600.463203</v>
      </c>
      <c r="AH1069" s="36"/>
    </row>
    <row r="1070" spans="1:35" s="1" customFormat="1" x14ac:dyDescent="0.25">
      <c r="A1070" s="49">
        <v>1</v>
      </c>
      <c r="B1070" s="22" t="s">
        <v>1778</v>
      </c>
      <c r="C1070" s="65" t="s">
        <v>58</v>
      </c>
      <c r="D1070" s="24" t="s">
        <v>1779</v>
      </c>
      <c r="E1070" s="52"/>
      <c r="F1070" s="24"/>
      <c r="G1070" s="24" t="s">
        <v>1309</v>
      </c>
      <c r="H1070" s="24" t="s">
        <v>62</v>
      </c>
      <c r="I1070" s="24">
        <v>2013</v>
      </c>
      <c r="J1070" s="24"/>
      <c r="K1070" s="24"/>
      <c r="L1070" s="24" t="s">
        <v>64</v>
      </c>
      <c r="M1070" s="24">
        <v>1</v>
      </c>
      <c r="N1070" s="53">
        <f>766836000+622000000+1240815360+1091684640+323124000+15578000+155500000+97295000+67630000</f>
        <v>4380463000</v>
      </c>
      <c r="O1070" s="53">
        <f>766836000+622000000+1240815360+1091684640+323124000+15578000+155500000+97295000+67630000</f>
        <v>4380463000</v>
      </c>
      <c r="P1070" s="52">
        <v>4380463000</v>
      </c>
      <c r="Q1070" s="43">
        <f t="shared" ref="Q1070:Q1074" si="389">O1070-P1070</f>
        <v>0</v>
      </c>
      <c r="R1070" s="52"/>
      <c r="S1070" s="53"/>
      <c r="T1070" s="52"/>
      <c r="U1070" s="53"/>
      <c r="V1070" s="52"/>
      <c r="W1070" s="53"/>
      <c r="X1070" s="52"/>
      <c r="Y1070" s="56">
        <f t="shared" ref="Y1070:Y1074" si="390">SUM(U1070*X1070)</f>
        <v>0</v>
      </c>
      <c r="Z1070" s="56">
        <f t="shared" ref="Z1070:Z1074" si="391">W1070+Y1070</f>
        <v>0</v>
      </c>
      <c r="AA1070" s="52">
        <v>2.5</v>
      </c>
      <c r="AB1070" s="56">
        <v>219023150</v>
      </c>
      <c r="AC1070" s="53"/>
      <c r="AD1070" s="52"/>
      <c r="AE1070" s="24"/>
      <c r="AF1070" s="5">
        <v>219023150</v>
      </c>
      <c r="AG1070" s="5">
        <f>AG1069-S1069</f>
        <v>1053266830</v>
      </c>
      <c r="AH1070" s="36"/>
    </row>
    <row r="1071" spans="1:35" s="1" customFormat="1" x14ac:dyDescent="0.25">
      <c r="A1071" s="49"/>
      <c r="B1071" s="22"/>
      <c r="C1071" s="65"/>
      <c r="D1071" s="24"/>
      <c r="E1071" s="52"/>
      <c r="F1071" s="43"/>
      <c r="G1071" s="24"/>
      <c r="H1071" s="24"/>
      <c r="I1071" s="24"/>
      <c r="J1071" s="24"/>
      <c r="K1071" s="24"/>
      <c r="L1071" s="24"/>
      <c r="M1071" s="24"/>
      <c r="N1071" s="53">
        <f>4054000+65243000+2717000</f>
        <v>72014000</v>
      </c>
      <c r="O1071" s="53">
        <f>4054000+65243000+2717000</f>
        <v>72014000</v>
      </c>
      <c r="P1071" s="52">
        <v>72014000</v>
      </c>
      <c r="Q1071" s="43">
        <f t="shared" si="389"/>
        <v>0</v>
      </c>
      <c r="R1071" s="52"/>
      <c r="S1071" s="53">
        <v>4233453850</v>
      </c>
      <c r="T1071" s="52">
        <v>47.5</v>
      </c>
      <c r="U1071" s="53">
        <f t="shared" ref="U1071:U1074" si="392">SUM(S1071/T1071)</f>
        <v>89125344.210526317</v>
      </c>
      <c r="V1071" s="52"/>
      <c r="W1071" s="53">
        <f t="shared" ref="W1071:W1072" si="393">SUM(U1071*V1071)</f>
        <v>0</v>
      </c>
      <c r="X1071" s="52"/>
      <c r="Y1071" s="56">
        <f t="shared" si="390"/>
        <v>0</v>
      </c>
      <c r="Z1071" s="56">
        <f t="shared" si="391"/>
        <v>0</v>
      </c>
      <c r="AA1071" s="52">
        <v>3.75</v>
      </c>
      <c r="AB1071" s="56">
        <f t="shared" ref="AB1071:AB1072" si="394">SUM(U1071*AA1071)</f>
        <v>334220040.78947371</v>
      </c>
      <c r="AC1071" s="53"/>
      <c r="AD1071" s="52" t="s">
        <v>1307</v>
      </c>
      <c r="AE1071" s="24"/>
      <c r="AF1071" s="5">
        <v>334220040.78947371</v>
      </c>
      <c r="AG1071" s="5">
        <f>AG1069-S1175-S1182</f>
        <v>24279622770.463203</v>
      </c>
      <c r="AH1071" s="36"/>
    </row>
    <row r="1072" spans="1:35" s="1" customFormat="1" x14ac:dyDescent="0.25">
      <c r="A1072" s="49"/>
      <c r="B1072" s="22"/>
      <c r="C1072" s="65"/>
      <c r="D1072" s="24"/>
      <c r="E1072" s="52"/>
      <c r="F1072" s="24"/>
      <c r="G1072" s="24"/>
      <c r="H1072" s="24"/>
      <c r="I1072" s="24"/>
      <c r="J1072" s="24"/>
      <c r="K1072" s="24"/>
      <c r="L1072" s="24"/>
      <c r="M1072" s="24"/>
      <c r="N1072" s="53">
        <v>38203000</v>
      </c>
      <c r="O1072" s="53">
        <v>38203000</v>
      </c>
      <c r="P1072" s="52">
        <v>38203000</v>
      </c>
      <c r="Q1072" s="43">
        <f t="shared" si="389"/>
        <v>0</v>
      </c>
      <c r="R1072" s="52"/>
      <c r="S1072" s="53">
        <v>3937436809.2105265</v>
      </c>
      <c r="T1072" s="52">
        <f>T1071-AA1071</f>
        <v>43.75</v>
      </c>
      <c r="U1072" s="53">
        <f t="shared" si="392"/>
        <v>89998555.63909775</v>
      </c>
      <c r="V1072" s="52">
        <v>0.5</v>
      </c>
      <c r="W1072" s="53">
        <f t="shared" si="393"/>
        <v>44999277.819548875</v>
      </c>
      <c r="X1072" s="54"/>
      <c r="Y1072" s="56">
        <f t="shared" si="390"/>
        <v>0</v>
      </c>
      <c r="Z1072" s="56">
        <f t="shared" si="391"/>
        <v>44999277.819548875</v>
      </c>
      <c r="AA1072" s="57">
        <f>1/12+0.5+0.5+0.5+0.5+0.5+0.5+0.5</f>
        <v>3.5833333333333335</v>
      </c>
      <c r="AB1072" s="56">
        <f t="shared" si="394"/>
        <v>322494824.37343359</v>
      </c>
      <c r="AC1072" s="53"/>
      <c r="AD1072" s="52"/>
      <c r="AE1072" s="52"/>
      <c r="AF1072" s="5">
        <v>277495546.55388474</v>
      </c>
      <c r="AG1072" s="5">
        <v>34798419530.84095</v>
      </c>
      <c r="AH1072" s="36"/>
    </row>
    <row r="1073" spans="1:34" s="1" customFormat="1" x14ac:dyDescent="0.25">
      <c r="A1073" s="49"/>
      <c r="B1073" s="22"/>
      <c r="C1073" s="65"/>
      <c r="D1073" s="24"/>
      <c r="E1073" s="52"/>
      <c r="F1073" s="24"/>
      <c r="G1073" s="24"/>
      <c r="H1073" s="24"/>
      <c r="I1073" s="24"/>
      <c r="J1073" s="24"/>
      <c r="K1073" s="24"/>
      <c r="L1073" s="24"/>
      <c r="M1073" s="24"/>
      <c r="N1073" s="53">
        <v>50000000</v>
      </c>
      <c r="O1073" s="53">
        <v>50000000</v>
      </c>
      <c r="P1073" s="52">
        <v>50000000</v>
      </c>
      <c r="Q1073" s="43">
        <f t="shared" si="389"/>
        <v>0</v>
      </c>
      <c r="R1073" s="52"/>
      <c r="S1073" s="53">
        <v>3709941262.656642</v>
      </c>
      <c r="T1073" s="57">
        <f>T1072-AA1072</f>
        <v>40.166666666666664</v>
      </c>
      <c r="U1073" s="53">
        <f t="shared" si="392"/>
        <v>92363682.887717232</v>
      </c>
      <c r="V1073" s="52">
        <v>0.5</v>
      </c>
      <c r="W1073" s="53">
        <f>SUM(U1073*V1073)+94634.92</f>
        <v>46276476.363858618</v>
      </c>
      <c r="X1073" s="57"/>
      <c r="Y1073" s="56">
        <f t="shared" si="390"/>
        <v>0</v>
      </c>
      <c r="Z1073" s="56">
        <f t="shared" si="391"/>
        <v>46276476.363858618</v>
      </c>
      <c r="AA1073" s="57">
        <f>1/12+0.5</f>
        <v>0.58333333333333337</v>
      </c>
      <c r="AB1073" s="56">
        <f t="shared" ref="AB1073" si="395">SUM(U1073*AA1073)</f>
        <v>53878815.017835058</v>
      </c>
      <c r="AC1073" s="53">
        <f t="shared" ref="AC1073:AC1074" si="396">SUM(S1073-AB1073)</f>
        <v>3656062447.6388068</v>
      </c>
      <c r="AD1073" s="52"/>
      <c r="AE1073" s="52"/>
      <c r="AF1073" s="5">
        <v>7602338.6529849218</v>
      </c>
      <c r="AG1073" s="5">
        <f>AG1072-S1066</f>
        <v>-2424314661.9749985</v>
      </c>
      <c r="AH1073" s="36"/>
    </row>
    <row r="1074" spans="1:34" s="1" customFormat="1" x14ac:dyDescent="0.25">
      <c r="A1074" s="49">
        <v>2</v>
      </c>
      <c r="B1074" s="22" t="s">
        <v>1780</v>
      </c>
      <c r="C1074" s="187" t="s">
        <v>58</v>
      </c>
      <c r="D1074" s="24" t="s">
        <v>1336</v>
      </c>
      <c r="E1074" s="52"/>
      <c r="F1074" s="24"/>
      <c r="G1074" s="24" t="s">
        <v>1309</v>
      </c>
      <c r="H1074" s="24" t="s">
        <v>62</v>
      </c>
      <c r="I1074" s="24">
        <v>2016</v>
      </c>
      <c r="J1074" s="24"/>
      <c r="K1074" s="24"/>
      <c r="L1074" s="24" t="s">
        <v>64</v>
      </c>
      <c r="M1074" s="24">
        <v>1</v>
      </c>
      <c r="N1074" s="53">
        <f>59850000+139650000+7953000</f>
        <v>207453000</v>
      </c>
      <c r="O1074" s="53">
        <f>59850000+139650000+7953000</f>
        <v>207453000</v>
      </c>
      <c r="P1074" s="52">
        <v>207453000</v>
      </c>
      <c r="Q1074" s="43">
        <f t="shared" si="389"/>
        <v>0</v>
      </c>
      <c r="R1074" s="52"/>
      <c r="S1074" s="53">
        <v>207453000</v>
      </c>
      <c r="T1074" s="52">
        <v>50</v>
      </c>
      <c r="U1074" s="53">
        <f t="shared" si="392"/>
        <v>4149060</v>
      </c>
      <c r="V1074" s="52">
        <v>0.5</v>
      </c>
      <c r="W1074" s="53">
        <f t="shared" ref="W1074" si="397">SUM(U1074*V1074)</f>
        <v>2074530</v>
      </c>
      <c r="X1074" s="52"/>
      <c r="Y1074" s="56">
        <f t="shared" si="390"/>
        <v>0</v>
      </c>
      <c r="Z1074" s="56">
        <f t="shared" si="391"/>
        <v>2074530</v>
      </c>
      <c r="AA1074" s="52">
        <f>2.75+0.5+0.5+0.5+0.5+0.5+0.5+0.5</f>
        <v>6.25</v>
      </c>
      <c r="AB1074" s="56">
        <f t="shared" ref="AB1074" si="398">SUM(U1074*AA1074)</f>
        <v>25931625</v>
      </c>
      <c r="AC1074" s="53">
        <f t="shared" si="396"/>
        <v>181521375</v>
      </c>
      <c r="AD1074" s="52" t="s">
        <v>1307</v>
      </c>
      <c r="AE1074" s="52"/>
      <c r="AF1074" s="5">
        <v>23857095</v>
      </c>
      <c r="AG1074" s="5"/>
      <c r="AH1074" s="36"/>
    </row>
    <row r="1075" spans="1:34" s="1" customFormat="1" x14ac:dyDescent="0.25">
      <c r="A1075" s="49">
        <v>3</v>
      </c>
      <c r="B1075" s="22" t="s">
        <v>1780</v>
      </c>
      <c r="C1075" s="187" t="s">
        <v>75</v>
      </c>
      <c r="D1075" s="24" t="s">
        <v>1327</v>
      </c>
      <c r="E1075" s="52"/>
      <c r="F1075" s="24"/>
      <c r="G1075" s="24" t="s">
        <v>1309</v>
      </c>
      <c r="H1075" s="24" t="s">
        <v>62</v>
      </c>
      <c r="I1075" s="24">
        <v>2012</v>
      </c>
      <c r="J1075" s="24"/>
      <c r="K1075" s="24"/>
      <c r="L1075" s="24" t="s">
        <v>64</v>
      </c>
      <c r="M1075" s="24">
        <v>1</v>
      </c>
      <c r="N1075" s="53">
        <v>74854300</v>
      </c>
      <c r="O1075" s="53">
        <v>74854300</v>
      </c>
      <c r="P1075" s="52">
        <v>74854300</v>
      </c>
      <c r="Q1075" s="43">
        <v>0</v>
      </c>
      <c r="R1075" s="52"/>
      <c r="S1075" s="53">
        <v>74854300</v>
      </c>
      <c r="T1075" s="52">
        <v>50</v>
      </c>
      <c r="U1075" s="53">
        <v>1497086</v>
      </c>
      <c r="V1075" s="52">
        <v>0.5</v>
      </c>
      <c r="W1075" s="53">
        <v>748543</v>
      </c>
      <c r="X1075" s="52"/>
      <c r="Y1075" s="56">
        <v>0</v>
      </c>
      <c r="Z1075" s="56">
        <v>748543</v>
      </c>
      <c r="AA1075" s="52">
        <v>11.5</v>
      </c>
      <c r="AB1075" s="56">
        <v>17216489</v>
      </c>
      <c r="AC1075" s="53">
        <v>57637811</v>
      </c>
      <c r="AD1075" s="52" t="s">
        <v>1307</v>
      </c>
      <c r="AE1075" s="52"/>
      <c r="AF1075" s="5"/>
      <c r="AG1075" s="5"/>
      <c r="AH1075" s="36"/>
    </row>
    <row r="1076" spans="1:34" s="1" customFormat="1" x14ac:dyDescent="0.25">
      <c r="A1076" s="49">
        <v>4</v>
      </c>
      <c r="B1076" s="22" t="s">
        <v>1780</v>
      </c>
      <c r="C1076" s="187" t="s">
        <v>79</v>
      </c>
      <c r="D1076" s="24" t="s">
        <v>1308</v>
      </c>
      <c r="E1076" s="52"/>
      <c r="F1076" s="43"/>
      <c r="G1076" s="24" t="s">
        <v>1309</v>
      </c>
      <c r="H1076" s="24" t="s">
        <v>62</v>
      </c>
      <c r="I1076" s="24">
        <v>1985</v>
      </c>
      <c r="J1076" s="24"/>
      <c r="K1076" s="24"/>
      <c r="L1076" s="24" t="s">
        <v>64</v>
      </c>
      <c r="M1076" s="24">
        <v>1</v>
      </c>
      <c r="N1076" s="53">
        <v>61793000</v>
      </c>
      <c r="O1076" s="53">
        <v>61793000</v>
      </c>
      <c r="P1076" s="52">
        <v>61793000</v>
      </c>
      <c r="Q1076" s="43">
        <f t="shared" ref="Q1076:Q1079" si="399">O1076-P1076</f>
        <v>0</v>
      </c>
      <c r="R1076" s="52"/>
      <c r="S1076" s="53">
        <v>61793000</v>
      </c>
      <c r="T1076" s="52">
        <v>50</v>
      </c>
      <c r="U1076" s="53">
        <f t="shared" ref="U1076:U1079" si="400">SUM(S1076/T1076)</f>
        <v>1235860</v>
      </c>
      <c r="V1076" s="52">
        <v>0.5</v>
      </c>
      <c r="W1076" s="53">
        <f t="shared" ref="W1076" si="401">SUM(U1076*V1076)</f>
        <v>617930</v>
      </c>
      <c r="X1076" s="52"/>
      <c r="Y1076" s="56">
        <f t="shared" ref="Y1076" si="402">SUM(U1076*X1076)</f>
        <v>0</v>
      </c>
      <c r="Z1076" s="56">
        <f t="shared" ref="Z1076:Z1079" si="403">W1076+Y1076</f>
        <v>617930</v>
      </c>
      <c r="AA1076" s="52">
        <f>36.5+0.5+0.5+0.5+0.5</f>
        <v>38.5</v>
      </c>
      <c r="AB1076" s="56">
        <f t="shared" ref="AB1076:AB1079" si="404">SUM(U1076*AA1076)</f>
        <v>47580610</v>
      </c>
      <c r="AC1076" s="53">
        <f t="shared" ref="AC1076" si="405">SUM(S1076-AB1076)</f>
        <v>14212390</v>
      </c>
      <c r="AD1076" s="24" t="s">
        <v>1307</v>
      </c>
      <c r="AE1076" s="24"/>
      <c r="AF1076" s="5">
        <v>46962680</v>
      </c>
      <c r="AG1076" s="5"/>
      <c r="AH1076" s="36"/>
    </row>
    <row r="1077" spans="1:34" s="1" customFormat="1" x14ac:dyDescent="0.25">
      <c r="A1077" s="49">
        <v>5</v>
      </c>
      <c r="B1077" s="22" t="s">
        <v>1781</v>
      </c>
      <c r="C1077" s="65" t="s">
        <v>58</v>
      </c>
      <c r="D1077" s="24" t="s">
        <v>1310</v>
      </c>
      <c r="E1077" s="52"/>
      <c r="F1077" s="24"/>
      <c r="G1077" s="24" t="s">
        <v>1309</v>
      </c>
      <c r="H1077" s="24" t="s">
        <v>62</v>
      </c>
      <c r="I1077" s="24">
        <v>1985</v>
      </c>
      <c r="J1077" s="24"/>
      <c r="K1077" s="24"/>
      <c r="L1077" s="24" t="s">
        <v>64</v>
      </c>
      <c r="M1077" s="24">
        <v>1</v>
      </c>
      <c r="N1077" s="53">
        <f>277707000+37721500+2611000+1696000+29996000</f>
        <v>349731500</v>
      </c>
      <c r="O1077" s="53">
        <f>277707000+37721500+2611000+1696000+29996000</f>
        <v>349731500</v>
      </c>
      <c r="P1077" s="59">
        <v>349731500</v>
      </c>
      <c r="Q1077" s="43">
        <f t="shared" si="399"/>
        <v>0</v>
      </c>
      <c r="R1077" s="52"/>
      <c r="S1077" s="53">
        <v>349731500</v>
      </c>
      <c r="T1077" s="52">
        <v>50</v>
      </c>
      <c r="U1077" s="53">
        <f t="shared" si="400"/>
        <v>6994630</v>
      </c>
      <c r="V1077" s="52">
        <v>0.5</v>
      </c>
      <c r="W1077" s="53"/>
      <c r="X1077" s="52"/>
      <c r="Y1077" s="56"/>
      <c r="Z1077" s="56">
        <f t="shared" si="403"/>
        <v>0</v>
      </c>
      <c r="AA1077" s="52">
        <v>33.5</v>
      </c>
      <c r="AB1077" s="56">
        <f t="shared" si="404"/>
        <v>234320105</v>
      </c>
      <c r="AC1077" s="53"/>
      <c r="AE1077" s="24"/>
      <c r="AF1077" s="5">
        <v>234320105</v>
      </c>
      <c r="AG1077" s="5"/>
      <c r="AH1077" s="36"/>
    </row>
    <row r="1078" spans="1:34" s="1" customFormat="1" x14ac:dyDescent="0.25">
      <c r="A1078" s="49"/>
      <c r="B1078" s="22"/>
      <c r="C1078" s="65"/>
      <c r="D1078" s="24"/>
      <c r="E1078" s="52"/>
      <c r="F1078" s="24"/>
      <c r="G1078" s="24"/>
      <c r="H1078" s="24"/>
      <c r="I1078" s="24"/>
      <c r="J1078" s="24"/>
      <c r="K1078" s="24"/>
      <c r="L1078" s="24"/>
      <c r="M1078" s="24"/>
      <c r="N1078" s="53">
        <v>99800000</v>
      </c>
      <c r="O1078" s="53">
        <v>99800000</v>
      </c>
      <c r="P1078" s="56">
        <v>99800000</v>
      </c>
      <c r="Q1078" s="43">
        <f t="shared" si="399"/>
        <v>0</v>
      </c>
      <c r="R1078" s="52"/>
      <c r="S1078" s="53">
        <v>215211395</v>
      </c>
      <c r="T1078" s="52">
        <v>17</v>
      </c>
      <c r="U1078" s="53">
        <f t="shared" si="400"/>
        <v>12659493.823529411</v>
      </c>
      <c r="V1078" s="52">
        <v>0.5</v>
      </c>
      <c r="W1078" s="53">
        <f t="shared" ref="W1078" si="406">SUM(U1078*V1078)</f>
        <v>6329746.9117647056</v>
      </c>
      <c r="X1078" s="52"/>
      <c r="Y1078" s="56">
        <f t="shared" ref="Y1078:Y1079" si="407">SUM(U1078*X1078)</f>
        <v>0</v>
      </c>
      <c r="Z1078" s="56">
        <f t="shared" si="403"/>
        <v>6329746.9117647056</v>
      </c>
      <c r="AA1078" s="57">
        <f>1.08333333333333+0.5+0.5+0.5+0.5+0.5+0.5+0.5</f>
        <v>4.5833333333333304</v>
      </c>
      <c r="AB1078" s="56">
        <f t="shared" si="404"/>
        <v>58022680.024509765</v>
      </c>
      <c r="AC1078" s="53"/>
      <c r="AD1078" s="24" t="s">
        <v>1307</v>
      </c>
      <c r="AE1078" s="24"/>
      <c r="AF1078" s="5">
        <v>51692933.112745062</v>
      </c>
      <c r="AG1078" s="5"/>
      <c r="AH1078" s="36"/>
    </row>
    <row r="1079" spans="1:34" s="1" customFormat="1" x14ac:dyDescent="0.25">
      <c r="A1079" s="49"/>
      <c r="B1079" s="22"/>
      <c r="C1079" s="65"/>
      <c r="D1079" s="24"/>
      <c r="E1079" s="52"/>
      <c r="F1079" s="24"/>
      <c r="G1079" s="24"/>
      <c r="H1079" s="24"/>
      <c r="I1079" s="24"/>
      <c r="J1079" s="24"/>
      <c r="K1079" s="24"/>
      <c r="L1079" s="24"/>
      <c r="M1079" s="24"/>
      <c r="N1079" s="53">
        <v>79707000</v>
      </c>
      <c r="O1079" s="53">
        <v>79707000</v>
      </c>
      <c r="P1079" s="56">
        <v>79707000</v>
      </c>
      <c r="Q1079" s="43">
        <f t="shared" si="399"/>
        <v>0</v>
      </c>
      <c r="R1079" s="52"/>
      <c r="S1079" s="53">
        <v>243225461.88725495</v>
      </c>
      <c r="T1079" s="57">
        <f>T1078-AA1078</f>
        <v>12.41666666666667</v>
      </c>
      <c r="U1079" s="53">
        <f t="shared" si="400"/>
        <v>19588627.803000394</v>
      </c>
      <c r="V1079" s="52">
        <v>0.5</v>
      </c>
      <c r="W1079" s="53">
        <f>SUM(U1079*V1079)+315945.61</f>
        <v>10110259.511500197</v>
      </c>
      <c r="X1079" s="57"/>
      <c r="Y1079" s="56">
        <f t="shared" si="407"/>
        <v>0</v>
      </c>
      <c r="Z1079" s="56">
        <f t="shared" si="403"/>
        <v>10110259.511500197</v>
      </c>
      <c r="AA1079" s="57">
        <f>5/12+0.5</f>
        <v>0.91666666666666674</v>
      </c>
      <c r="AB1079" s="56">
        <f t="shared" si="404"/>
        <v>17956242.152750362</v>
      </c>
      <c r="AC1079" s="53">
        <f t="shared" ref="AC1079" si="408">SUM(S1079-AB1079)</f>
        <v>225269219.73450458</v>
      </c>
      <c r="AD1079" s="52"/>
      <c r="AE1079" s="24"/>
      <c r="AF1079" s="5">
        <v>7845982.6415243512</v>
      </c>
      <c r="AG1079" s="5"/>
      <c r="AH1079" s="36"/>
    </row>
    <row r="1080" spans="1:34" s="1" customFormat="1" x14ac:dyDescent="0.25">
      <c r="A1080" s="21">
        <v>6</v>
      </c>
      <c r="B1080" s="22" t="s">
        <v>1782</v>
      </c>
      <c r="C1080" s="22" t="s">
        <v>79</v>
      </c>
      <c r="D1080" s="65" t="s">
        <v>1305</v>
      </c>
      <c r="E1080" s="91"/>
      <c r="F1080" s="24"/>
      <c r="G1080" s="24" t="s">
        <v>1306</v>
      </c>
      <c r="H1080" s="24" t="s">
        <v>62</v>
      </c>
      <c r="I1080" s="24">
        <v>1985</v>
      </c>
      <c r="J1080" s="24"/>
      <c r="K1080" s="24"/>
      <c r="L1080" s="24" t="s">
        <v>64</v>
      </c>
      <c r="M1080" s="24">
        <v>1</v>
      </c>
      <c r="N1080" s="41">
        <v>813864000</v>
      </c>
      <c r="O1080" s="41">
        <v>813864000</v>
      </c>
      <c r="P1080" s="24">
        <v>813864000</v>
      </c>
      <c r="Q1080" s="43">
        <f>O1080-P1080</f>
        <v>0</v>
      </c>
      <c r="R1080" s="24"/>
      <c r="S1080" s="41">
        <v>813864000</v>
      </c>
      <c r="T1080" s="24">
        <v>50</v>
      </c>
      <c r="U1080" s="41">
        <f>SUM(S1080/T1080)</f>
        <v>16277280</v>
      </c>
      <c r="V1080" s="24">
        <v>0.5</v>
      </c>
      <c r="W1080" s="41"/>
      <c r="X1080" s="24"/>
      <c r="Y1080" s="70">
        <f>SUM(U1080*X1080)</f>
        <v>0</v>
      </c>
      <c r="Z1080" s="70">
        <f>W1080+Y1080</f>
        <v>0</v>
      </c>
      <c r="AA1080" s="24">
        <v>35</v>
      </c>
      <c r="AB1080" s="70">
        <f>SUM(U1080*AA1080)</f>
        <v>569704800</v>
      </c>
      <c r="AC1080" s="41"/>
      <c r="AD1080" s="24" t="s">
        <v>1307</v>
      </c>
      <c r="AE1080" s="24"/>
      <c r="AF1080" s="8">
        <v>569704800</v>
      </c>
      <c r="AG1080" s="5"/>
      <c r="AH1080" s="36"/>
    </row>
    <row r="1081" spans="1:34" s="1" customFormat="1" x14ac:dyDescent="0.25">
      <c r="A1081" s="21"/>
      <c r="B1081" s="22"/>
      <c r="C1081" s="22"/>
      <c r="D1081" s="65"/>
      <c r="E1081" s="91"/>
      <c r="F1081" s="24"/>
      <c r="G1081" s="24"/>
      <c r="H1081" s="24"/>
      <c r="I1081" s="24"/>
      <c r="J1081" s="24"/>
      <c r="K1081" s="24"/>
      <c r="L1081" s="24"/>
      <c r="M1081" s="24"/>
      <c r="N1081" s="53">
        <v>49888000</v>
      </c>
      <c r="O1081" s="53">
        <v>49888000</v>
      </c>
      <c r="P1081" s="52">
        <v>49888000</v>
      </c>
      <c r="Q1081" s="43">
        <f t="shared" ref="Q1081:Q1100" si="409">O1081-P1081</f>
        <v>0</v>
      </c>
      <c r="R1081" s="52"/>
      <c r="S1081" s="53">
        <v>294047200</v>
      </c>
      <c r="T1081" s="52">
        <f>T1080-AA1080+5</f>
        <v>20</v>
      </c>
      <c r="U1081" s="53">
        <f>SUM(S1081/T1081)</f>
        <v>14702360</v>
      </c>
      <c r="V1081" s="52">
        <v>0.5</v>
      </c>
      <c r="W1081" s="53">
        <f>SUM(U1081*V1081)</f>
        <v>7351180</v>
      </c>
      <c r="X1081" s="52"/>
      <c r="Y1081" s="56">
        <f>SUM(U1081*X1081)</f>
        <v>0</v>
      </c>
      <c r="Z1081" s="56">
        <f t="shared" ref="Z1081:Z1087" si="410">W1081+Y1081</f>
        <v>7351180</v>
      </c>
      <c r="AA1081" s="52">
        <f>3/12+0.5+0.5+0.5+0.5+0.5+0.5</f>
        <v>3.25</v>
      </c>
      <c r="AB1081" s="56">
        <f>SUM(U1081*AA1081)</f>
        <v>47782670</v>
      </c>
      <c r="AC1081" s="53"/>
      <c r="AD1081" s="24"/>
      <c r="AE1081" s="24"/>
      <c r="AF1081" s="8">
        <v>40431490</v>
      </c>
      <c r="AG1081" s="5"/>
      <c r="AH1081" s="36"/>
    </row>
    <row r="1082" spans="1:34" s="1" customFormat="1" x14ac:dyDescent="0.25">
      <c r="A1082" s="21"/>
      <c r="B1082" s="22"/>
      <c r="C1082" s="22"/>
      <c r="D1082" s="65"/>
      <c r="E1082" s="91"/>
      <c r="F1082" s="24"/>
      <c r="G1082" s="24"/>
      <c r="H1082" s="24"/>
      <c r="I1082" s="24"/>
      <c r="J1082" s="24"/>
      <c r="K1082" s="24"/>
      <c r="L1082" s="24"/>
      <c r="M1082" s="24"/>
      <c r="N1082" s="53">
        <v>50000000</v>
      </c>
      <c r="O1082" s="53">
        <v>50000000</v>
      </c>
      <c r="P1082" s="52">
        <v>50000000</v>
      </c>
      <c r="Q1082" s="43">
        <f t="shared" si="409"/>
        <v>0</v>
      </c>
      <c r="R1082" s="52"/>
      <c r="S1082" s="53">
        <v>303615710</v>
      </c>
      <c r="T1082" s="52">
        <f>20-AA1081</f>
        <v>16.75</v>
      </c>
      <c r="U1082" s="53">
        <f>SUM(S1082/T1082)</f>
        <v>18126311.044776119</v>
      </c>
      <c r="V1082" s="52">
        <v>0.5</v>
      </c>
      <c r="W1082" s="53">
        <f>SUM(U1082*V1082)+43783.36</f>
        <v>9106938.882388059</v>
      </c>
      <c r="X1082" s="57"/>
      <c r="Y1082" s="56">
        <f>SUM(U1082*X1082)</f>
        <v>0</v>
      </c>
      <c r="Z1082" s="56">
        <f t="shared" si="410"/>
        <v>9106938.882388059</v>
      </c>
      <c r="AA1082" s="57">
        <f>1/12+0.5</f>
        <v>0.58333333333333337</v>
      </c>
      <c r="AB1082" s="56">
        <f>SUM(U1082*AA1082)</f>
        <v>10573681.44278607</v>
      </c>
      <c r="AC1082" s="53">
        <f>SUM(S1082-AB1082)</f>
        <v>293042028.5572139</v>
      </c>
      <c r="AD1082" s="24"/>
      <c r="AE1082" s="24"/>
      <c r="AF1082" s="8">
        <v>1466742.5603864733</v>
      </c>
      <c r="AG1082" s="5"/>
      <c r="AH1082" s="36"/>
    </row>
    <row r="1083" spans="1:34" s="1" customFormat="1" x14ac:dyDescent="0.25">
      <c r="A1083" s="21">
        <v>7</v>
      </c>
      <c r="B1083" s="22" t="s">
        <v>1783</v>
      </c>
      <c r="C1083" s="187" t="s">
        <v>58</v>
      </c>
      <c r="D1083" s="24" t="s">
        <v>1316</v>
      </c>
      <c r="E1083" s="52"/>
      <c r="F1083" s="24"/>
      <c r="G1083" s="24" t="s">
        <v>1309</v>
      </c>
      <c r="H1083" s="24" t="s">
        <v>62</v>
      </c>
      <c r="I1083" s="24">
        <v>1985</v>
      </c>
      <c r="J1083" s="24"/>
      <c r="K1083" s="24"/>
      <c r="L1083" s="24" t="s">
        <v>64</v>
      </c>
      <c r="M1083" s="24">
        <v>1</v>
      </c>
      <c r="N1083" s="53">
        <f>386121000+37109500+2611000+1696000</f>
        <v>427537500</v>
      </c>
      <c r="O1083" s="53">
        <f>386121000+37109500+2611000+1696000</f>
        <v>427537500</v>
      </c>
      <c r="P1083" s="52">
        <v>427537500</v>
      </c>
      <c r="Q1083" s="43">
        <f t="shared" si="409"/>
        <v>0</v>
      </c>
      <c r="R1083" s="52"/>
      <c r="S1083" s="53"/>
      <c r="T1083" s="52"/>
      <c r="U1083" s="53"/>
      <c r="V1083" s="52"/>
      <c r="W1083" s="53"/>
      <c r="X1083" s="52"/>
      <c r="Y1083" s="56">
        <f t="shared" ref="Y1083:Y1086" si="411">SUM(U1083*X1083)</f>
        <v>0</v>
      </c>
      <c r="Z1083" s="56">
        <f t="shared" si="410"/>
        <v>0</v>
      </c>
      <c r="AA1083" s="52">
        <v>30.5</v>
      </c>
      <c r="AB1083" s="56">
        <v>256522500</v>
      </c>
      <c r="AC1083" s="53"/>
      <c r="AD1083" s="52"/>
      <c r="AE1083" s="52"/>
      <c r="AF1083" s="8">
        <v>256522500</v>
      </c>
      <c r="AG1083" s="5"/>
      <c r="AH1083" s="36"/>
    </row>
    <row r="1084" spans="1:34" s="1" customFormat="1" x14ac:dyDescent="0.25">
      <c r="A1084" s="21"/>
      <c r="B1084" s="22"/>
      <c r="C1084" s="65"/>
      <c r="D1084" s="24"/>
      <c r="E1084" s="52"/>
      <c r="F1084" s="24"/>
      <c r="G1084" s="24"/>
      <c r="H1084" s="24"/>
      <c r="I1084" s="24"/>
      <c r="J1084" s="24"/>
      <c r="K1084" s="24"/>
      <c r="L1084" s="24"/>
      <c r="M1084" s="24"/>
      <c r="N1084" s="53">
        <v>10000000</v>
      </c>
      <c r="O1084" s="53">
        <v>10000000</v>
      </c>
      <c r="P1084" s="52">
        <v>10000000</v>
      </c>
      <c r="Q1084" s="43">
        <f t="shared" si="409"/>
        <v>0</v>
      </c>
      <c r="R1084" s="52"/>
      <c r="S1084" s="53"/>
      <c r="T1084" s="52"/>
      <c r="U1084" s="53"/>
      <c r="V1084" s="52"/>
      <c r="W1084" s="53"/>
      <c r="X1084" s="52"/>
      <c r="Y1084" s="56">
        <f t="shared" si="411"/>
        <v>0</v>
      </c>
      <c r="Z1084" s="56">
        <f t="shared" si="410"/>
        <v>0</v>
      </c>
      <c r="AA1084" s="57">
        <v>1.1666666666666665</v>
      </c>
      <c r="AB1084" s="56">
        <v>10559208.333333332</v>
      </c>
      <c r="AC1084" s="53"/>
      <c r="AD1084" s="52"/>
      <c r="AE1084" s="52"/>
      <c r="AF1084" s="8">
        <v>10559208.333333332</v>
      </c>
      <c r="AG1084" s="5"/>
      <c r="AH1084" s="36"/>
    </row>
    <row r="1085" spans="1:34" s="1" customFormat="1" x14ac:dyDescent="0.25">
      <c r="A1085" s="21"/>
      <c r="B1085" s="22"/>
      <c r="C1085" s="65"/>
      <c r="D1085" s="24"/>
      <c r="E1085" s="52"/>
      <c r="F1085" s="24"/>
      <c r="G1085" s="24"/>
      <c r="H1085" s="24"/>
      <c r="I1085" s="24"/>
      <c r="J1085" s="24"/>
      <c r="K1085" s="24"/>
      <c r="L1085" s="24"/>
      <c r="M1085" s="24"/>
      <c r="N1085" s="53">
        <f>185600000+4675000</f>
        <v>190275000</v>
      </c>
      <c r="O1085" s="53">
        <f>185600000+4675000</f>
        <v>190275000</v>
      </c>
      <c r="P1085" s="52">
        <v>190275000</v>
      </c>
      <c r="Q1085" s="43">
        <f t="shared" si="409"/>
        <v>0</v>
      </c>
      <c r="R1085" s="52"/>
      <c r="S1085" s="53">
        <v>360730791.66666663</v>
      </c>
      <c r="T1085" s="52">
        <v>19</v>
      </c>
      <c r="U1085" s="53">
        <f t="shared" ref="U1085:U1091" si="412">SUM(S1085/T1085)</f>
        <v>18985831.140350875</v>
      </c>
      <c r="V1085" s="52">
        <v>0.5</v>
      </c>
      <c r="W1085" s="53"/>
      <c r="X1085" s="52"/>
      <c r="Y1085" s="56"/>
      <c r="Z1085" s="56">
        <f t="shared" si="410"/>
        <v>0</v>
      </c>
      <c r="AA1085" s="52">
        <v>1.75</v>
      </c>
      <c r="AB1085" s="56">
        <f t="shared" ref="AB1085:AB1089" si="413">SUM(U1085*AA1085)</f>
        <v>33225204.495614029</v>
      </c>
      <c r="AC1085" s="53"/>
      <c r="AD1085" s="52" t="s">
        <v>1307</v>
      </c>
      <c r="AE1085" s="52"/>
      <c r="AF1085" s="8">
        <v>33225204.495614029</v>
      </c>
      <c r="AG1085" s="5"/>
      <c r="AH1085" s="36"/>
    </row>
    <row r="1086" spans="1:34" s="1" customFormat="1" x14ac:dyDescent="0.25">
      <c r="A1086" s="21"/>
      <c r="B1086" s="22"/>
      <c r="C1086" s="65"/>
      <c r="D1086" s="24"/>
      <c r="E1086" s="52"/>
      <c r="F1086" s="24"/>
      <c r="G1086" s="24"/>
      <c r="H1086" s="24"/>
      <c r="I1086" s="24"/>
      <c r="J1086" s="24"/>
      <c r="K1086" s="24"/>
      <c r="L1086" s="24"/>
      <c r="M1086" s="24"/>
      <c r="N1086" s="53">
        <v>75210000</v>
      </c>
      <c r="O1086" s="53">
        <v>75210000</v>
      </c>
      <c r="P1086" s="52">
        <v>75210000</v>
      </c>
      <c r="Q1086" s="43">
        <f t="shared" si="409"/>
        <v>0</v>
      </c>
      <c r="R1086" s="52"/>
      <c r="S1086" s="53">
        <v>402715587.17105258</v>
      </c>
      <c r="T1086" s="52">
        <v>18</v>
      </c>
      <c r="U1086" s="53">
        <f t="shared" si="412"/>
        <v>22373088.176169589</v>
      </c>
      <c r="V1086" s="52">
        <v>0.5</v>
      </c>
      <c r="W1086" s="53">
        <f t="shared" ref="W1086:W1087" si="414">SUM(U1086*V1086)</f>
        <v>11186544.088084795</v>
      </c>
      <c r="X1086" s="52"/>
      <c r="Y1086" s="56">
        <f t="shared" si="411"/>
        <v>0</v>
      </c>
      <c r="Z1086" s="56">
        <f t="shared" si="410"/>
        <v>11186544.088084795</v>
      </c>
      <c r="AA1086" s="52">
        <f>1.5+0.5+0.5+0.5+0.5+0.5+0.5+0.5</f>
        <v>5</v>
      </c>
      <c r="AB1086" s="56">
        <f t="shared" si="413"/>
        <v>111865440.88084795</v>
      </c>
      <c r="AC1086" s="53"/>
      <c r="AD1086" s="52"/>
      <c r="AE1086" s="52"/>
      <c r="AF1086" s="8">
        <v>100678896.79276314</v>
      </c>
      <c r="AG1086" s="5"/>
      <c r="AH1086" s="36"/>
    </row>
    <row r="1087" spans="1:34" s="1" customFormat="1" x14ac:dyDescent="0.25">
      <c r="A1087" s="21"/>
      <c r="B1087" s="22"/>
      <c r="C1087" s="65"/>
      <c r="D1087" s="24"/>
      <c r="E1087" s="52"/>
      <c r="F1087" s="24"/>
      <c r="G1087" s="24"/>
      <c r="H1087" s="24"/>
      <c r="I1087" s="24"/>
      <c r="J1087" s="24"/>
      <c r="K1087" s="24"/>
      <c r="L1087" s="24"/>
      <c r="M1087" s="24"/>
      <c r="N1087" s="311">
        <v>99123837</v>
      </c>
      <c r="O1087" s="311">
        <v>99123837</v>
      </c>
      <c r="P1087" s="170"/>
      <c r="Q1087" s="362">
        <f t="shared" si="409"/>
        <v>99123837</v>
      </c>
      <c r="R1087" s="310"/>
      <c r="S1087" s="311">
        <f>290850146.290205+Q1087</f>
        <v>389973983.290205</v>
      </c>
      <c r="T1087" s="310">
        <f>T1086-AA1086</f>
        <v>13</v>
      </c>
      <c r="U1087" s="311">
        <f t="shared" si="412"/>
        <v>29997998.714631155</v>
      </c>
      <c r="V1087" s="312">
        <f>1/12</f>
        <v>8.3333333333333329E-2</v>
      </c>
      <c r="W1087" s="311">
        <f t="shared" si="414"/>
        <v>2499833.2262192629</v>
      </c>
      <c r="X1087" s="310"/>
      <c r="Y1087" s="313"/>
      <c r="Z1087" s="313">
        <f t="shared" si="410"/>
        <v>2499833.2262192629</v>
      </c>
      <c r="AA1087" s="312">
        <f>1/12</f>
        <v>8.3333333333333329E-2</v>
      </c>
      <c r="AB1087" s="313">
        <f t="shared" si="413"/>
        <v>2499833.2262192629</v>
      </c>
      <c r="AC1087" s="311">
        <f t="shared" ref="AC1087" si="415">SUM(S1087-AB1087)</f>
        <v>387474150.06398576</v>
      </c>
      <c r="AD1087" s="52"/>
      <c r="AE1087" s="52"/>
      <c r="AF1087" s="8">
        <v>99123837</v>
      </c>
      <c r="AG1087" s="5">
        <f>AF1087+AC1086</f>
        <v>99123837</v>
      </c>
      <c r="AH1087" s="36"/>
    </row>
    <row r="1088" spans="1:34" s="1" customFormat="1" x14ac:dyDescent="0.25">
      <c r="A1088" s="21">
        <v>8</v>
      </c>
      <c r="B1088" s="22" t="s">
        <v>1783</v>
      </c>
      <c r="C1088" s="65" t="s">
        <v>75</v>
      </c>
      <c r="D1088" s="24" t="s">
        <v>1312</v>
      </c>
      <c r="E1088" s="52"/>
      <c r="F1088" s="24"/>
      <c r="G1088" s="24" t="s">
        <v>1309</v>
      </c>
      <c r="H1088" s="24" t="s">
        <v>62</v>
      </c>
      <c r="I1088" s="24">
        <v>1985</v>
      </c>
      <c r="J1088" s="24"/>
      <c r="K1088" s="24"/>
      <c r="L1088" s="24" t="s">
        <v>64</v>
      </c>
      <c r="M1088" s="24">
        <v>1</v>
      </c>
      <c r="N1088" s="53">
        <v>723920000</v>
      </c>
      <c r="O1088" s="53">
        <v>723920000</v>
      </c>
      <c r="P1088" s="52">
        <v>723920000</v>
      </c>
      <c r="Q1088" s="43">
        <f t="shared" si="409"/>
        <v>0</v>
      </c>
      <c r="R1088" s="52"/>
      <c r="S1088" s="53">
        <v>723920000</v>
      </c>
      <c r="T1088" s="52">
        <v>50</v>
      </c>
      <c r="U1088" s="53">
        <f t="shared" si="412"/>
        <v>14478400</v>
      </c>
      <c r="V1088" s="52">
        <v>0.5</v>
      </c>
      <c r="W1088" s="53"/>
      <c r="X1088" s="54"/>
      <c r="Y1088" s="56">
        <f t="shared" ref="Y1088:Y1099" si="416">SUM(U1088*X1088)</f>
        <v>0</v>
      </c>
      <c r="Z1088" s="56"/>
      <c r="AA1088" s="52">
        <v>35.5</v>
      </c>
      <c r="AB1088" s="56">
        <f t="shared" si="413"/>
        <v>513983200</v>
      </c>
      <c r="AC1088" s="53"/>
      <c r="AD1088" s="52" t="s">
        <v>1307</v>
      </c>
      <c r="AE1088" s="52"/>
      <c r="AF1088" s="8">
        <v>513983200</v>
      </c>
      <c r="AG1088" s="5"/>
      <c r="AH1088" s="36"/>
    </row>
    <row r="1089" spans="1:34" s="1" customFormat="1" x14ac:dyDescent="0.25">
      <c r="A1089" s="21"/>
      <c r="B1089" s="22"/>
      <c r="C1089" s="65"/>
      <c r="D1089" s="24"/>
      <c r="E1089" s="52"/>
      <c r="F1089" s="24"/>
      <c r="G1089" s="24"/>
      <c r="H1089" s="24"/>
      <c r="I1089" s="24"/>
      <c r="J1089" s="24"/>
      <c r="K1089" s="24"/>
      <c r="L1089" s="24"/>
      <c r="M1089" s="24"/>
      <c r="N1089" s="53">
        <v>49780000</v>
      </c>
      <c r="O1089" s="53">
        <v>49780000</v>
      </c>
      <c r="P1089" s="52">
        <v>49780000</v>
      </c>
      <c r="Q1089" s="43">
        <f t="shared" si="409"/>
        <v>0</v>
      </c>
      <c r="R1089" s="52"/>
      <c r="S1089" s="53">
        <v>259716800</v>
      </c>
      <c r="T1089" s="52">
        <f>T1088-AA1088+5</f>
        <v>19.5</v>
      </c>
      <c r="U1089" s="53">
        <f t="shared" si="412"/>
        <v>13318810.256410256</v>
      </c>
      <c r="V1089" s="52">
        <v>0.5</v>
      </c>
      <c r="W1089" s="53">
        <f t="shared" ref="W1089" si="417">SUM(U1089*V1089)</f>
        <v>6659405.128205128</v>
      </c>
      <c r="X1089" s="54"/>
      <c r="Y1089" s="56">
        <f t="shared" si="416"/>
        <v>0</v>
      </c>
      <c r="Z1089" s="56">
        <f t="shared" ref="Z1089:Z1100" si="418">W1089+Y1089</f>
        <v>6659405.128205128</v>
      </c>
      <c r="AA1089" s="57">
        <f>2/12+0.5+0.5+0.5+0.5+0.5</f>
        <v>2.6666666666666665</v>
      </c>
      <c r="AB1089" s="56">
        <f t="shared" si="413"/>
        <v>35516827.350427344</v>
      </c>
      <c r="AC1089" s="53"/>
      <c r="AD1089" s="52"/>
      <c r="AE1089" s="52"/>
      <c r="AF1089" s="8">
        <v>28857422.22222222</v>
      </c>
      <c r="AG1089" s="5"/>
      <c r="AH1089" s="36"/>
    </row>
    <row r="1090" spans="1:34" s="1" customFormat="1" x14ac:dyDescent="0.25">
      <c r="A1090" s="21"/>
      <c r="B1090" s="22"/>
      <c r="C1090" s="65"/>
      <c r="D1090" s="24"/>
      <c r="E1090" s="52"/>
      <c r="F1090" s="24"/>
      <c r="G1090" s="24"/>
      <c r="H1090" s="24"/>
      <c r="I1090" s="24"/>
      <c r="J1090" s="24"/>
      <c r="K1090" s="24"/>
      <c r="L1090" s="24"/>
      <c r="M1090" s="24"/>
      <c r="N1090" s="53">
        <v>79697000</v>
      </c>
      <c r="O1090" s="53">
        <v>79697000</v>
      </c>
      <c r="P1090" s="52">
        <v>79697000</v>
      </c>
      <c r="Q1090" s="43">
        <f t="shared" si="409"/>
        <v>0</v>
      </c>
      <c r="R1090" s="52"/>
      <c r="S1090" s="53">
        <v>310556377.77777779</v>
      </c>
      <c r="T1090" s="57">
        <f>T1089-AA1089</f>
        <v>16.833333333333332</v>
      </c>
      <c r="U1090" s="53">
        <f t="shared" si="412"/>
        <v>18448893.729372941</v>
      </c>
      <c r="V1090" s="52">
        <v>0.5</v>
      </c>
      <c r="W1090" s="53">
        <f>SUM(U1090*V1090)+177393.21</f>
        <v>9401840.0746864714</v>
      </c>
      <c r="X1090" s="57"/>
      <c r="Y1090" s="56">
        <f t="shared" si="416"/>
        <v>0</v>
      </c>
      <c r="Z1090" s="56">
        <f t="shared" si="418"/>
        <v>9401840.0746864714</v>
      </c>
      <c r="AA1090" s="57">
        <f>4/12+0.5</f>
        <v>0.83333333333333326</v>
      </c>
      <c r="AB1090" s="56">
        <f t="shared" ref="AB1090" si="419">SUM(U1090*AA1090)</f>
        <v>15374078.107810782</v>
      </c>
      <c r="AC1090" s="53">
        <f t="shared" ref="AC1090:AC1097" si="420">SUM(S1090-AB1090)</f>
        <v>295182299.669967</v>
      </c>
      <c r="AD1090" s="52"/>
      <c r="AE1090" s="52"/>
      <c r="AF1090" s="8">
        <v>5972238.034188034</v>
      </c>
      <c r="AG1090" s="5"/>
      <c r="AH1090" s="36"/>
    </row>
    <row r="1091" spans="1:34" s="1" customFormat="1" x14ac:dyDescent="0.25">
      <c r="A1091" s="21">
        <v>9</v>
      </c>
      <c r="B1091" s="22" t="s">
        <v>1783</v>
      </c>
      <c r="C1091" s="187" t="s">
        <v>79</v>
      </c>
      <c r="D1091" s="24" t="s">
        <v>1311</v>
      </c>
      <c r="E1091" s="52"/>
      <c r="F1091" s="24"/>
      <c r="G1091" s="24" t="s">
        <v>1309</v>
      </c>
      <c r="H1091" s="24" t="s">
        <v>62</v>
      </c>
      <c r="I1091" s="24">
        <v>1985</v>
      </c>
      <c r="J1091" s="24"/>
      <c r="K1091" s="24"/>
      <c r="L1091" s="24" t="s">
        <v>64</v>
      </c>
      <c r="M1091" s="24">
        <v>1</v>
      </c>
      <c r="N1091" s="53">
        <f>289620000+44820500+2611000+1696000</f>
        <v>338747500</v>
      </c>
      <c r="O1091" s="53">
        <f>289620000+44820500+2611000+1696000</f>
        <v>338747500</v>
      </c>
      <c r="P1091" s="56">
        <v>338747500</v>
      </c>
      <c r="Q1091" s="43">
        <f t="shared" si="409"/>
        <v>0</v>
      </c>
      <c r="R1091" s="52"/>
      <c r="S1091" s="53">
        <v>338747500</v>
      </c>
      <c r="T1091" s="52">
        <v>50</v>
      </c>
      <c r="U1091" s="53">
        <f t="shared" si="412"/>
        <v>6774950</v>
      </c>
      <c r="V1091" s="52">
        <v>0.5</v>
      </c>
      <c r="W1091" s="53">
        <f t="shared" ref="W1091:W1098" si="421">SUM(U1091*V1091)</f>
        <v>3387475</v>
      </c>
      <c r="X1091" s="52"/>
      <c r="Y1091" s="56">
        <f t="shared" si="416"/>
        <v>0</v>
      </c>
      <c r="Z1091" s="56">
        <f t="shared" si="418"/>
        <v>3387475</v>
      </c>
      <c r="AA1091" s="52">
        <v>38.5</v>
      </c>
      <c r="AB1091" s="56">
        <f t="shared" ref="AB1091" si="422">SUM(U1091*AA1091)</f>
        <v>260835575</v>
      </c>
      <c r="AC1091" s="53">
        <f t="shared" si="420"/>
        <v>77911925</v>
      </c>
      <c r="AD1091" s="52" t="s">
        <v>1307</v>
      </c>
      <c r="AE1091" s="24"/>
      <c r="AF1091" s="8">
        <v>257448100</v>
      </c>
      <c r="AG1091" s="5"/>
      <c r="AH1091" s="36"/>
    </row>
    <row r="1092" spans="1:34" s="1" customFormat="1" x14ac:dyDescent="0.25">
      <c r="A1092" s="21">
        <v>10</v>
      </c>
      <c r="B1092" s="22" t="s">
        <v>1784</v>
      </c>
      <c r="C1092" s="85"/>
      <c r="D1092" s="52" t="s">
        <v>1338</v>
      </c>
      <c r="E1092" s="52"/>
      <c r="F1092" s="52"/>
      <c r="G1092" s="52" t="s">
        <v>61</v>
      </c>
      <c r="H1092" s="52" t="s">
        <v>62</v>
      </c>
      <c r="I1092" s="52">
        <v>2019</v>
      </c>
      <c r="J1092" s="52"/>
      <c r="K1092" s="52"/>
      <c r="L1092" s="52" t="s">
        <v>64</v>
      </c>
      <c r="M1092" s="52">
        <v>1</v>
      </c>
      <c r="N1092" s="53">
        <v>99600495</v>
      </c>
      <c r="O1092" s="53">
        <v>99600495</v>
      </c>
      <c r="P1092" s="52">
        <v>99600495</v>
      </c>
      <c r="Q1092" s="43">
        <f t="shared" si="409"/>
        <v>0</v>
      </c>
      <c r="R1092" s="52"/>
      <c r="S1092" s="53">
        <v>99600495</v>
      </c>
      <c r="T1092" s="52">
        <v>50</v>
      </c>
      <c r="U1092" s="53">
        <f t="shared" ref="U1092" si="423">SUM(S1092/T1092)</f>
        <v>1992009.9</v>
      </c>
      <c r="V1092" s="52">
        <v>0.5</v>
      </c>
      <c r="W1092" s="53">
        <f t="shared" si="421"/>
        <v>996004.95</v>
      </c>
      <c r="X1092" s="52"/>
      <c r="Y1092" s="56">
        <f t="shared" si="416"/>
        <v>0</v>
      </c>
      <c r="Z1092" s="56">
        <f t="shared" si="418"/>
        <v>996004.95</v>
      </c>
      <c r="AA1092" s="57">
        <f>1/12+0.5+0.5+0.5+0.5+0.5+0.5+0.5</f>
        <v>3.5833333333333335</v>
      </c>
      <c r="AB1092" s="56">
        <f t="shared" ref="AB1092:AB1093" si="424">SUM(U1092*AA1092)</f>
        <v>7138035.4749999996</v>
      </c>
      <c r="AC1092" s="53">
        <f t="shared" si="420"/>
        <v>92462459.525000006</v>
      </c>
      <c r="AD1092" s="52" t="s">
        <v>1307</v>
      </c>
      <c r="AE1092" s="52"/>
      <c r="AF1092" s="8">
        <v>6142030.5250000004</v>
      </c>
      <c r="AG1092" s="5"/>
      <c r="AH1092" s="36"/>
    </row>
    <row r="1093" spans="1:34" s="1" customFormat="1" x14ac:dyDescent="0.25">
      <c r="A1093" s="21">
        <v>11</v>
      </c>
      <c r="B1093" s="22" t="s">
        <v>1785</v>
      </c>
      <c r="C1093" s="65" t="s">
        <v>58</v>
      </c>
      <c r="D1093" s="24" t="s">
        <v>1328</v>
      </c>
      <c r="E1093" s="52"/>
      <c r="F1093" s="24"/>
      <c r="G1093" s="24" t="s">
        <v>1309</v>
      </c>
      <c r="H1093" s="24" t="s">
        <v>62</v>
      </c>
      <c r="I1093" s="24">
        <v>2012</v>
      </c>
      <c r="J1093" s="24"/>
      <c r="K1093" s="24"/>
      <c r="L1093" s="24" t="s">
        <v>64</v>
      </c>
      <c r="M1093" s="24">
        <v>1</v>
      </c>
      <c r="N1093" s="53">
        <v>66622500</v>
      </c>
      <c r="O1093" s="53">
        <v>66622500</v>
      </c>
      <c r="P1093" s="52">
        <v>66622500</v>
      </c>
      <c r="Q1093" s="43">
        <f t="shared" si="409"/>
        <v>0</v>
      </c>
      <c r="R1093" s="52"/>
      <c r="S1093" s="53">
        <v>66622500</v>
      </c>
      <c r="T1093" s="52">
        <v>50</v>
      </c>
      <c r="U1093" s="53">
        <f t="shared" ref="U1093" si="425">SUM(S1093/T1093)</f>
        <v>1332450</v>
      </c>
      <c r="V1093" s="52">
        <v>0.5</v>
      </c>
      <c r="W1093" s="53">
        <f t="shared" si="421"/>
        <v>666225</v>
      </c>
      <c r="X1093" s="52"/>
      <c r="Y1093" s="56">
        <f t="shared" si="416"/>
        <v>0</v>
      </c>
      <c r="Z1093" s="56">
        <f t="shared" si="418"/>
        <v>666225</v>
      </c>
      <c r="AA1093" s="52">
        <v>11.5</v>
      </c>
      <c r="AB1093" s="56">
        <f t="shared" si="424"/>
        <v>15323175</v>
      </c>
      <c r="AC1093" s="53">
        <f t="shared" si="420"/>
        <v>51299325</v>
      </c>
      <c r="AD1093" s="52" t="s">
        <v>1307</v>
      </c>
      <c r="AE1093" s="52"/>
      <c r="AF1093" s="8">
        <v>14656950</v>
      </c>
      <c r="AG1093" s="5"/>
      <c r="AH1093" s="36"/>
    </row>
    <row r="1094" spans="1:34" s="1" customFormat="1" x14ac:dyDescent="0.25">
      <c r="A1094" s="21">
        <v>12</v>
      </c>
      <c r="B1094" s="22" t="s">
        <v>1785</v>
      </c>
      <c r="C1094" s="187" t="s">
        <v>75</v>
      </c>
      <c r="D1094" s="24" t="s">
        <v>1335</v>
      </c>
      <c r="E1094" s="52"/>
      <c r="F1094" s="24"/>
      <c r="G1094" s="24" t="s">
        <v>1309</v>
      </c>
      <c r="H1094" s="24" t="s">
        <v>62</v>
      </c>
      <c r="I1094" s="24">
        <v>2015</v>
      </c>
      <c r="J1094" s="24"/>
      <c r="K1094" s="24"/>
      <c r="L1094" s="24" t="s">
        <v>64</v>
      </c>
      <c r="M1094" s="24">
        <v>1</v>
      </c>
      <c r="N1094" s="53">
        <f>4085000+54748000+2574000</f>
        <v>61407000</v>
      </c>
      <c r="O1094" s="53">
        <f>4085000+54748000+2574000</f>
        <v>61407000</v>
      </c>
      <c r="P1094" s="52">
        <v>61407000</v>
      </c>
      <c r="Q1094" s="43">
        <f t="shared" si="409"/>
        <v>0</v>
      </c>
      <c r="R1094" s="52"/>
      <c r="S1094" s="53">
        <v>61407000</v>
      </c>
      <c r="T1094" s="52">
        <v>50</v>
      </c>
      <c r="U1094" s="53">
        <f t="shared" ref="U1094" si="426">SUM(S1094/T1094)</f>
        <v>1228140</v>
      </c>
      <c r="V1094" s="52">
        <v>0.5</v>
      </c>
      <c r="W1094" s="53">
        <f t="shared" si="421"/>
        <v>614070</v>
      </c>
      <c r="X1094" s="52"/>
      <c r="Y1094" s="56">
        <f t="shared" si="416"/>
        <v>0</v>
      </c>
      <c r="Z1094" s="56">
        <f t="shared" si="418"/>
        <v>614070</v>
      </c>
      <c r="AA1094" s="52">
        <f>3.75+0.5+0.5+0.5+0.5+0.5+0.5+0.5</f>
        <v>7.25</v>
      </c>
      <c r="AB1094" s="56">
        <f t="shared" ref="AB1094:AB1100" si="427">SUM(U1094*AA1094)</f>
        <v>8904015</v>
      </c>
      <c r="AC1094" s="53">
        <f t="shared" si="420"/>
        <v>52502985</v>
      </c>
      <c r="AD1094" s="52" t="s">
        <v>1307</v>
      </c>
      <c r="AE1094" s="52"/>
      <c r="AF1094" s="8">
        <v>8289945</v>
      </c>
      <c r="AG1094" s="5"/>
      <c r="AH1094" s="36"/>
    </row>
    <row r="1095" spans="1:34" s="1" customFormat="1" x14ac:dyDescent="0.25">
      <c r="A1095" s="21">
        <v>13</v>
      </c>
      <c r="B1095" s="22" t="s">
        <v>1786</v>
      </c>
      <c r="C1095" s="65" t="s">
        <v>58</v>
      </c>
      <c r="D1095" s="24" t="s">
        <v>1313</v>
      </c>
      <c r="E1095" s="52"/>
      <c r="F1095" s="24"/>
      <c r="G1095" s="24" t="s">
        <v>1309</v>
      </c>
      <c r="H1095" s="24" t="s">
        <v>62</v>
      </c>
      <c r="I1095" s="24">
        <v>1985</v>
      </c>
      <c r="J1095" s="24"/>
      <c r="K1095" s="24"/>
      <c r="L1095" s="24" t="s">
        <v>64</v>
      </c>
      <c r="M1095" s="24">
        <v>1</v>
      </c>
      <c r="N1095" s="53">
        <v>536413000</v>
      </c>
      <c r="O1095" s="53">
        <v>536413000</v>
      </c>
      <c r="P1095" s="52">
        <v>536413000</v>
      </c>
      <c r="Q1095" s="43">
        <f t="shared" si="409"/>
        <v>0</v>
      </c>
      <c r="R1095" s="52"/>
      <c r="S1095" s="53">
        <v>536413000</v>
      </c>
      <c r="T1095" s="52">
        <v>50</v>
      </c>
      <c r="U1095" s="53">
        <f t="shared" ref="U1095:U1100" si="428">SUM(S1095/T1095)</f>
        <v>10728260</v>
      </c>
      <c r="V1095" s="52">
        <v>0.5</v>
      </c>
      <c r="W1095" s="53">
        <f t="shared" si="421"/>
        <v>5364130</v>
      </c>
      <c r="X1095" s="54"/>
      <c r="Y1095" s="56">
        <f t="shared" si="416"/>
        <v>0</v>
      </c>
      <c r="Z1095" s="56">
        <f t="shared" si="418"/>
        <v>5364130</v>
      </c>
      <c r="AA1095" s="52">
        <f>34.5+0.5+0.5+0.5+0.5+0.5+0.5+0.5</f>
        <v>38</v>
      </c>
      <c r="AB1095" s="56">
        <f t="shared" si="427"/>
        <v>407673880</v>
      </c>
      <c r="AC1095" s="53">
        <f t="shared" si="420"/>
        <v>128739120</v>
      </c>
      <c r="AD1095" s="52" t="s">
        <v>1307</v>
      </c>
      <c r="AE1095" s="52"/>
      <c r="AF1095" s="8">
        <v>402309750</v>
      </c>
      <c r="AG1095" s="5"/>
      <c r="AH1095" s="36"/>
    </row>
    <row r="1096" spans="1:34" s="1" customFormat="1" x14ac:dyDescent="0.25">
      <c r="A1096" s="21">
        <v>14</v>
      </c>
      <c r="B1096" s="22" t="s">
        <v>1787</v>
      </c>
      <c r="C1096" s="65" t="s">
        <v>58</v>
      </c>
      <c r="D1096" s="24" t="s">
        <v>778</v>
      </c>
      <c r="E1096" s="52"/>
      <c r="F1096" s="24"/>
      <c r="G1096" s="24" t="s">
        <v>466</v>
      </c>
      <c r="H1096" s="24" t="s">
        <v>62</v>
      </c>
      <c r="I1096" s="24">
        <v>2014</v>
      </c>
      <c r="J1096" s="24"/>
      <c r="K1096" s="24"/>
      <c r="L1096" s="24" t="s">
        <v>64</v>
      </c>
      <c r="M1096" s="24">
        <v>1</v>
      </c>
      <c r="N1096" s="53">
        <f>29780400+58277100+8200000+15935000+10400000+5324000+135979900+69487600+80725000</f>
        <v>414109000</v>
      </c>
      <c r="O1096" s="53">
        <f>29780400+58277100+8200000+15935000+10400000+5324000+135979900+69487600+80725000</f>
        <v>414109000</v>
      </c>
      <c r="P1096" s="52">
        <v>414109000</v>
      </c>
      <c r="Q1096" s="43">
        <f t="shared" si="409"/>
        <v>0</v>
      </c>
      <c r="R1096" s="52"/>
      <c r="S1096" s="53">
        <v>414109000</v>
      </c>
      <c r="T1096" s="52">
        <v>50</v>
      </c>
      <c r="U1096" s="53">
        <f t="shared" si="428"/>
        <v>8282180</v>
      </c>
      <c r="V1096" s="52">
        <v>0.5</v>
      </c>
      <c r="W1096" s="53">
        <f t="shared" si="421"/>
        <v>4141090</v>
      </c>
      <c r="X1096" s="52"/>
      <c r="Y1096" s="56">
        <f t="shared" si="416"/>
        <v>0</v>
      </c>
      <c r="Z1096" s="56">
        <f t="shared" si="418"/>
        <v>4141090</v>
      </c>
      <c r="AA1096" s="52">
        <v>9.5</v>
      </c>
      <c r="AB1096" s="56">
        <f t="shared" si="427"/>
        <v>78680710</v>
      </c>
      <c r="AC1096" s="53">
        <f t="shared" si="420"/>
        <v>335428290</v>
      </c>
      <c r="AD1096" s="52" t="s">
        <v>1307</v>
      </c>
      <c r="AE1096" s="52"/>
      <c r="AF1096" s="8">
        <v>74539620</v>
      </c>
      <c r="AG1096" s="5"/>
      <c r="AH1096" s="36"/>
    </row>
    <row r="1097" spans="1:34" s="1" customFormat="1" x14ac:dyDescent="0.25">
      <c r="A1097" s="21">
        <v>15</v>
      </c>
      <c r="B1097" s="22" t="s">
        <v>1788</v>
      </c>
      <c r="C1097" s="187" t="s">
        <v>58</v>
      </c>
      <c r="D1097" s="24" t="s">
        <v>564</v>
      </c>
      <c r="E1097" s="52"/>
      <c r="F1097" s="24"/>
      <c r="G1097" s="24" t="s">
        <v>1309</v>
      </c>
      <c r="H1097" s="24" t="s">
        <v>62</v>
      </c>
      <c r="I1097" s="24">
        <v>1985</v>
      </c>
      <c r="J1097" s="24"/>
      <c r="K1097" s="24"/>
      <c r="L1097" s="24" t="s">
        <v>64</v>
      </c>
      <c r="M1097" s="24">
        <v>1</v>
      </c>
      <c r="N1097" s="53">
        <v>38124000</v>
      </c>
      <c r="O1097" s="53">
        <v>38124000</v>
      </c>
      <c r="P1097" s="52">
        <v>38124000</v>
      </c>
      <c r="Q1097" s="43">
        <f t="shared" si="409"/>
        <v>0</v>
      </c>
      <c r="R1097" s="52"/>
      <c r="S1097" s="53">
        <v>38124000</v>
      </c>
      <c r="T1097" s="52">
        <v>50</v>
      </c>
      <c r="U1097" s="53">
        <f t="shared" si="428"/>
        <v>762480</v>
      </c>
      <c r="V1097" s="52">
        <v>0.5</v>
      </c>
      <c r="W1097" s="53">
        <f t="shared" si="421"/>
        <v>381240</v>
      </c>
      <c r="X1097" s="52"/>
      <c r="Y1097" s="56">
        <f t="shared" si="416"/>
        <v>0</v>
      </c>
      <c r="Z1097" s="56">
        <f t="shared" si="418"/>
        <v>381240</v>
      </c>
      <c r="AA1097" s="52">
        <f>36.5+0.5+0.5+0.5+0.5</f>
        <v>38.5</v>
      </c>
      <c r="AB1097" s="56">
        <f t="shared" si="427"/>
        <v>29355480</v>
      </c>
      <c r="AC1097" s="53">
        <f t="shared" si="420"/>
        <v>8768520</v>
      </c>
      <c r="AD1097" s="24" t="s">
        <v>1307</v>
      </c>
      <c r="AE1097" s="24"/>
      <c r="AF1097" s="8">
        <v>28974240</v>
      </c>
      <c r="AG1097" s="5"/>
      <c r="AH1097" s="36"/>
    </row>
    <row r="1098" spans="1:34" s="1" customFormat="1" x14ac:dyDescent="0.25">
      <c r="A1098" s="21">
        <v>16</v>
      </c>
      <c r="B1098" s="22" t="s">
        <v>1788</v>
      </c>
      <c r="C1098" s="187" t="s">
        <v>58</v>
      </c>
      <c r="D1098" s="24" t="s">
        <v>1322</v>
      </c>
      <c r="E1098" s="52"/>
      <c r="F1098" s="24"/>
      <c r="G1098" s="24" t="s">
        <v>1309</v>
      </c>
      <c r="H1098" s="24" t="s">
        <v>62</v>
      </c>
      <c r="I1098" s="24">
        <v>2010</v>
      </c>
      <c r="J1098" s="24"/>
      <c r="K1098" s="24"/>
      <c r="L1098" s="24" t="s">
        <v>64</v>
      </c>
      <c r="M1098" s="24">
        <v>1</v>
      </c>
      <c r="N1098" s="53">
        <v>98568400</v>
      </c>
      <c r="O1098" s="53">
        <v>98568400</v>
      </c>
      <c r="P1098" s="52">
        <v>98568400</v>
      </c>
      <c r="Q1098" s="43">
        <f t="shared" si="409"/>
        <v>0</v>
      </c>
      <c r="R1098" s="52"/>
      <c r="S1098" s="53">
        <v>98568400</v>
      </c>
      <c r="T1098" s="52">
        <v>50</v>
      </c>
      <c r="U1098" s="53">
        <f t="shared" si="428"/>
        <v>1971368</v>
      </c>
      <c r="V1098" s="52">
        <v>0.5</v>
      </c>
      <c r="W1098" s="53">
        <f t="shared" si="421"/>
        <v>985684</v>
      </c>
      <c r="X1098" s="54"/>
      <c r="Y1098" s="56">
        <f t="shared" si="416"/>
        <v>0</v>
      </c>
      <c r="Z1098" s="56">
        <f t="shared" si="418"/>
        <v>985684</v>
      </c>
      <c r="AA1098" s="52">
        <v>13</v>
      </c>
      <c r="AB1098" s="56">
        <f t="shared" si="427"/>
        <v>25627784</v>
      </c>
      <c r="AC1098" s="53"/>
      <c r="AD1098" s="52" t="s">
        <v>1307</v>
      </c>
      <c r="AE1098" s="52"/>
      <c r="AF1098" s="8">
        <v>24642100</v>
      </c>
      <c r="AG1098" s="5"/>
      <c r="AH1098" s="36"/>
    </row>
    <row r="1099" spans="1:34" s="1" customFormat="1" x14ac:dyDescent="0.25">
      <c r="A1099" s="21"/>
      <c r="B1099" s="22"/>
      <c r="C1099" s="187"/>
      <c r="D1099" s="24"/>
      <c r="E1099" s="52"/>
      <c r="F1099" s="24"/>
      <c r="G1099" s="24"/>
      <c r="H1099" s="24"/>
      <c r="I1099" s="24"/>
      <c r="J1099" s="24"/>
      <c r="K1099" s="24"/>
      <c r="L1099" s="24"/>
      <c r="M1099" s="24"/>
      <c r="N1099" s="53">
        <v>50000000</v>
      </c>
      <c r="O1099" s="53">
        <v>50000000</v>
      </c>
      <c r="P1099" s="52">
        <v>50000000</v>
      </c>
      <c r="Q1099" s="43">
        <f t="shared" si="409"/>
        <v>0</v>
      </c>
      <c r="R1099" s="52"/>
      <c r="S1099" s="53">
        <v>123926300</v>
      </c>
      <c r="T1099" s="52">
        <f>T1098-AA1098</f>
        <v>37</v>
      </c>
      <c r="U1099" s="53">
        <f t="shared" si="428"/>
        <v>3349359.4594594594</v>
      </c>
      <c r="V1099" s="52">
        <v>0.5</v>
      </c>
      <c r="W1099" s="53">
        <f>SUM(U1099*V1099)+37215.11</f>
        <v>1711894.8397297298</v>
      </c>
      <c r="X1099" s="54"/>
      <c r="Y1099" s="56">
        <f t="shared" si="416"/>
        <v>0</v>
      </c>
      <c r="Z1099" s="56">
        <f t="shared" si="418"/>
        <v>1711894.8397297298</v>
      </c>
      <c r="AA1099" s="57">
        <f>4/12+0.5+0.5</f>
        <v>1.3333333333333333</v>
      </c>
      <c r="AB1099" s="56">
        <f t="shared" si="427"/>
        <v>4465812.6126126125</v>
      </c>
      <c r="AC1099" s="53"/>
      <c r="AD1099" s="52"/>
      <c r="AE1099" s="52"/>
      <c r="AF1099" s="8">
        <v>2753917.7777777775</v>
      </c>
      <c r="AG1099" s="5"/>
      <c r="AH1099" s="36"/>
    </row>
    <row r="1100" spans="1:34" s="1" customFormat="1" x14ac:dyDescent="0.25">
      <c r="A1100" s="21"/>
      <c r="B1100" s="22"/>
      <c r="C1100" s="187"/>
      <c r="D1100" s="24"/>
      <c r="E1100" s="52"/>
      <c r="F1100" s="24"/>
      <c r="G1100" s="24"/>
      <c r="H1100" s="24"/>
      <c r="I1100" s="24"/>
      <c r="J1100" s="24"/>
      <c r="K1100" s="24"/>
      <c r="L1100" s="24"/>
      <c r="M1100" s="24"/>
      <c r="N1100" s="311">
        <v>74875847</v>
      </c>
      <c r="O1100" s="311">
        <v>74875847</v>
      </c>
      <c r="P1100" s="310"/>
      <c r="Q1100" s="362">
        <f t="shared" si="409"/>
        <v>74875847</v>
      </c>
      <c r="R1100" s="310"/>
      <c r="S1100" s="311">
        <v>194336334.38738698</v>
      </c>
      <c r="T1100" s="312">
        <f>T1099-AA1099</f>
        <v>35.666666666666664</v>
      </c>
      <c r="U1100" s="311">
        <f t="shared" si="428"/>
        <v>5448682.2725435607</v>
      </c>
      <c r="V1100" s="312">
        <f>1/12</f>
        <v>8.3333333333333329E-2</v>
      </c>
      <c r="W1100" s="311">
        <f>SUM(U1100*V1100)</f>
        <v>454056.85604529671</v>
      </c>
      <c r="X1100" s="363"/>
      <c r="Y1100" s="313"/>
      <c r="Z1100" s="313">
        <f t="shared" si="418"/>
        <v>454056.85604529671</v>
      </c>
      <c r="AA1100" s="312">
        <f>1/12</f>
        <v>8.3333333333333329E-2</v>
      </c>
      <c r="AB1100" s="313">
        <f t="shared" si="427"/>
        <v>454056.85604529671</v>
      </c>
      <c r="AC1100" s="311">
        <f t="shared" ref="AC1100" si="429">SUM(S1100-AB1100)</f>
        <v>193882277.53134167</v>
      </c>
      <c r="AD1100" s="52"/>
      <c r="AE1100" s="52"/>
      <c r="AF1100" s="8"/>
      <c r="AG1100" s="5"/>
      <c r="AH1100" s="36"/>
    </row>
    <row r="1101" spans="1:34" s="1" customFormat="1" x14ac:dyDescent="0.25">
      <c r="A1101" s="21">
        <v>17</v>
      </c>
      <c r="B1101" s="22" t="s">
        <v>1788</v>
      </c>
      <c r="C1101" s="65" t="s">
        <v>75</v>
      </c>
      <c r="D1101" s="24" t="s">
        <v>1789</v>
      </c>
      <c r="E1101" s="52"/>
      <c r="F1101" s="24"/>
      <c r="G1101" s="24" t="s">
        <v>1309</v>
      </c>
      <c r="H1101" s="24" t="s">
        <v>62</v>
      </c>
      <c r="I1101" s="24">
        <v>2017</v>
      </c>
      <c r="J1101" s="24"/>
      <c r="K1101" s="24"/>
      <c r="L1101" s="24" t="s">
        <v>64</v>
      </c>
      <c r="M1101" s="24">
        <v>1</v>
      </c>
      <c r="N1101" s="53">
        <v>141313000</v>
      </c>
      <c r="O1101" s="53">
        <v>141313000</v>
      </c>
      <c r="P1101" s="52">
        <v>141313000</v>
      </c>
      <c r="Q1101" s="43">
        <f>O1101-P1101</f>
        <v>0</v>
      </c>
      <c r="R1101" s="52"/>
      <c r="S1101" s="53">
        <v>141313000</v>
      </c>
      <c r="T1101" s="52">
        <v>50</v>
      </c>
      <c r="U1101" s="53">
        <f>SUM(S1101/T1101)</f>
        <v>2826260</v>
      </c>
      <c r="V1101" s="52">
        <v>0.5</v>
      </c>
      <c r="W1101" s="53">
        <f>SUM(U1101*V1101)</f>
        <v>1413130</v>
      </c>
      <c r="X1101" s="52"/>
      <c r="Y1101" s="56">
        <f>SUM(U1101*X1101)</f>
        <v>0</v>
      </c>
      <c r="Z1101" s="56">
        <f>W1101+Y1101</f>
        <v>1413130</v>
      </c>
      <c r="AA1101" s="57">
        <f>1.66666666666667+0.5+0.5+0.5+0.5+0.5+0.5+0.5</f>
        <v>5.1666666666666696</v>
      </c>
      <c r="AB1101" s="56">
        <f>SUM(U1101*AA1101)</f>
        <v>14602343.333333341</v>
      </c>
      <c r="AC1101" s="53">
        <f>SUM(S1101-AB1101)</f>
        <v>126710656.66666666</v>
      </c>
      <c r="AD1101" s="52" t="s">
        <v>1307</v>
      </c>
      <c r="AE1101" s="52"/>
      <c r="AF1101" s="8"/>
      <c r="AG1101" s="5"/>
      <c r="AH1101" s="36"/>
    </row>
    <row r="1102" spans="1:34" s="1" customFormat="1" x14ac:dyDescent="0.25">
      <c r="A1102" s="21">
        <v>18</v>
      </c>
      <c r="B1102" s="22" t="s">
        <v>1788</v>
      </c>
      <c r="C1102" s="65" t="s">
        <v>79</v>
      </c>
      <c r="D1102" s="24" t="s">
        <v>1337</v>
      </c>
      <c r="E1102" s="52"/>
      <c r="F1102" s="24"/>
      <c r="G1102" s="24" t="s">
        <v>1309</v>
      </c>
      <c r="H1102" s="24" t="s">
        <v>62</v>
      </c>
      <c r="I1102" s="24">
        <v>2018</v>
      </c>
      <c r="J1102" s="24"/>
      <c r="K1102" s="24"/>
      <c r="L1102" s="24" t="s">
        <v>64</v>
      </c>
      <c r="M1102" s="24">
        <v>1</v>
      </c>
      <c r="N1102" s="53">
        <v>146870000</v>
      </c>
      <c r="O1102" s="53">
        <v>146870000</v>
      </c>
      <c r="P1102" s="52">
        <v>146870000</v>
      </c>
      <c r="Q1102" s="43">
        <f>O1102-P1102</f>
        <v>0</v>
      </c>
      <c r="R1102" s="52"/>
      <c r="S1102" s="53">
        <v>146870000</v>
      </c>
      <c r="T1102" s="52">
        <v>50</v>
      </c>
      <c r="U1102" s="53">
        <f>SUM(S1102/T1102)</f>
        <v>2937400</v>
      </c>
      <c r="V1102" s="52">
        <v>0.5</v>
      </c>
      <c r="W1102" s="53">
        <f>SUM(U1102*V1102)</f>
        <v>1468700</v>
      </c>
      <c r="X1102" s="52"/>
      <c r="Y1102" s="56">
        <f>SUM(U1102*X1102)</f>
        <v>0</v>
      </c>
      <c r="Z1102" s="56">
        <f>W1102+Y1102</f>
        <v>1468700</v>
      </c>
      <c r="AA1102" s="57">
        <f>1.08333333333333+0.5+0.5+0.5+0.5+0.5+0.5+0.5</f>
        <v>4.5833333333333304</v>
      </c>
      <c r="AB1102" s="56">
        <f>SUM(U1102*AA1102)</f>
        <v>13463083.333333325</v>
      </c>
      <c r="AC1102" s="53">
        <f>SUM(S1102-AB1102)</f>
        <v>133406916.66666667</v>
      </c>
      <c r="AD1102" s="52" t="s">
        <v>1307</v>
      </c>
      <c r="AE1102" s="52"/>
      <c r="AF1102" s="8"/>
      <c r="AG1102" s="5"/>
      <c r="AH1102" s="36"/>
    </row>
    <row r="1103" spans="1:34" s="1" customFormat="1" x14ac:dyDescent="0.25">
      <c r="A1103" s="21">
        <v>19</v>
      </c>
      <c r="B1103" s="22" t="s">
        <v>1790</v>
      </c>
      <c r="C1103" s="65" t="s">
        <v>58</v>
      </c>
      <c r="D1103" s="24" t="s">
        <v>1314</v>
      </c>
      <c r="E1103" s="52"/>
      <c r="F1103" s="24"/>
      <c r="G1103" s="24" t="s">
        <v>1309</v>
      </c>
      <c r="H1103" s="24" t="s">
        <v>62</v>
      </c>
      <c r="I1103" s="24">
        <v>1985</v>
      </c>
      <c r="J1103" s="24"/>
      <c r="K1103" s="24"/>
      <c r="L1103" s="24" t="s">
        <v>64</v>
      </c>
      <c r="M1103" s="24">
        <v>1</v>
      </c>
      <c r="N1103" s="53">
        <f>544598000</f>
        <v>544598000</v>
      </c>
      <c r="O1103" s="53">
        <f>544598000</f>
        <v>544598000</v>
      </c>
      <c r="P1103" s="52">
        <v>544598000</v>
      </c>
      <c r="Q1103" s="43">
        <f t="shared" ref="Q1103:Q1131" si="430">O1103-P1103</f>
        <v>0</v>
      </c>
      <c r="R1103" s="52"/>
      <c r="S1103" s="53"/>
      <c r="T1103" s="52"/>
      <c r="U1103" s="53"/>
      <c r="V1103" s="52"/>
      <c r="W1103" s="53"/>
      <c r="X1103" s="52"/>
      <c r="Y1103" s="56">
        <f t="shared" ref="Y1103:Y1114" si="431">SUM(U1103*X1103)</f>
        <v>0</v>
      </c>
      <c r="Z1103" s="56">
        <f t="shared" ref="Z1103:Z1123" si="432">W1103+Y1103</f>
        <v>0</v>
      </c>
      <c r="AA1103" s="52">
        <v>31.5</v>
      </c>
      <c r="AB1103" s="56">
        <v>343096740</v>
      </c>
      <c r="AC1103" s="53"/>
      <c r="AD1103" s="52"/>
      <c r="AE1103" s="52"/>
      <c r="AF1103" s="8"/>
      <c r="AG1103" s="5"/>
      <c r="AH1103" s="36"/>
    </row>
    <row r="1104" spans="1:34" s="1" customFormat="1" x14ac:dyDescent="0.25">
      <c r="A1104" s="21"/>
      <c r="B1104" s="22"/>
      <c r="C1104" s="65"/>
      <c r="D1104" s="24"/>
      <c r="E1104" s="52"/>
      <c r="F1104" s="24"/>
      <c r="G1104" s="24"/>
      <c r="H1104" s="24"/>
      <c r="I1104" s="24"/>
      <c r="J1104" s="24"/>
      <c r="K1104" s="24"/>
      <c r="L1104" s="24"/>
      <c r="M1104" s="24"/>
      <c r="N1104" s="53">
        <v>24950000</v>
      </c>
      <c r="O1104" s="53">
        <v>24950000</v>
      </c>
      <c r="P1104" s="52">
        <v>24950000</v>
      </c>
      <c r="Q1104" s="43">
        <f t="shared" si="430"/>
        <v>0</v>
      </c>
      <c r="R1104" s="52"/>
      <c r="S1104" s="53"/>
      <c r="T1104" s="52"/>
      <c r="U1104" s="53"/>
      <c r="V1104" s="52"/>
      <c r="W1104" s="53"/>
      <c r="X1104" s="52"/>
      <c r="Y1104" s="56">
        <f t="shared" si="431"/>
        <v>0</v>
      </c>
      <c r="Z1104" s="56">
        <f t="shared" si="432"/>
        <v>0</v>
      </c>
      <c r="AA1104" s="52">
        <v>1.25</v>
      </c>
      <c r="AB1104" s="56">
        <v>14898109.210526317</v>
      </c>
      <c r="AC1104" s="53"/>
      <c r="AD1104" s="52"/>
      <c r="AE1104" s="52"/>
      <c r="AF1104" s="8"/>
      <c r="AG1104" s="5"/>
      <c r="AH1104" s="36"/>
    </row>
    <row r="1105" spans="1:34" s="1" customFormat="1" x14ac:dyDescent="0.25">
      <c r="A1105" s="21"/>
      <c r="B1105" s="22"/>
      <c r="C1105" s="65"/>
      <c r="D1105" s="24"/>
      <c r="E1105" s="52"/>
      <c r="F1105" s="24"/>
      <c r="G1105" s="24"/>
      <c r="H1105" s="24"/>
      <c r="I1105" s="24"/>
      <c r="J1105" s="24"/>
      <c r="K1105" s="24"/>
      <c r="L1105" s="24"/>
      <c r="M1105" s="24"/>
      <c r="N1105" s="53">
        <v>142253000</v>
      </c>
      <c r="O1105" s="53">
        <v>142253000</v>
      </c>
      <c r="P1105" s="52">
        <v>142253000</v>
      </c>
      <c r="Q1105" s="43">
        <f t="shared" si="430"/>
        <v>0</v>
      </c>
      <c r="R1105" s="52"/>
      <c r="S1105" s="53">
        <v>353806150.78947401</v>
      </c>
      <c r="T1105" s="52">
        <v>18.5</v>
      </c>
      <c r="U1105" s="53">
        <f t="shared" ref="U1105:U1114" si="433">SUM(S1105/T1105)</f>
        <v>19124656.799431026</v>
      </c>
      <c r="V1105" s="52">
        <v>0.25</v>
      </c>
      <c r="W1105" s="53"/>
      <c r="X1105" s="52"/>
      <c r="Y1105" s="56"/>
      <c r="Z1105" s="56">
        <f t="shared" si="432"/>
        <v>0</v>
      </c>
      <c r="AA1105" s="52">
        <v>0.25</v>
      </c>
      <c r="AB1105" s="56">
        <f t="shared" ref="AB1105:AB1114" si="434">SUM(U1105*AA1105)</f>
        <v>4781164.1998577565</v>
      </c>
      <c r="AC1105" s="53"/>
      <c r="AD1105" s="52"/>
      <c r="AE1105" s="52"/>
      <c r="AF1105" s="8"/>
      <c r="AG1105" s="5"/>
      <c r="AH1105" s="36"/>
    </row>
    <row r="1106" spans="1:34" s="1" customFormat="1" x14ac:dyDescent="0.25">
      <c r="A1106" s="21"/>
      <c r="B1106" s="22"/>
      <c r="C1106" s="65"/>
      <c r="D1106" s="24"/>
      <c r="E1106" s="52"/>
      <c r="F1106" s="24"/>
      <c r="G1106" s="24"/>
      <c r="H1106" s="24"/>
      <c r="I1106" s="24"/>
      <c r="J1106" s="24"/>
      <c r="K1106" s="24"/>
      <c r="L1106" s="24"/>
      <c r="M1106" s="24"/>
      <c r="N1106" s="53">
        <v>21594000</v>
      </c>
      <c r="O1106" s="53">
        <v>21594000</v>
      </c>
      <c r="P1106" s="52">
        <v>21594000</v>
      </c>
      <c r="Q1106" s="43">
        <f t="shared" si="430"/>
        <v>0</v>
      </c>
      <c r="R1106" s="52"/>
      <c r="S1106" s="53">
        <v>370618986.58961624</v>
      </c>
      <c r="T1106" s="52">
        <v>19</v>
      </c>
      <c r="U1106" s="53">
        <f t="shared" si="433"/>
        <v>19506262.452085067</v>
      </c>
      <c r="V1106" s="52">
        <v>0.5</v>
      </c>
      <c r="W1106" s="53">
        <f t="shared" ref="W1106:W1114" si="435">SUM(U1106*V1106)</f>
        <v>9753131.2260425333</v>
      </c>
      <c r="X1106" s="52"/>
      <c r="Y1106" s="56">
        <f t="shared" si="431"/>
        <v>0</v>
      </c>
      <c r="Z1106" s="56">
        <f t="shared" si="432"/>
        <v>9753131.2260425333</v>
      </c>
      <c r="AA1106" s="52">
        <f>1.25+0.5+0.5+0.5+0.5+0.5+0.5+0.5</f>
        <v>4.75</v>
      </c>
      <c r="AB1106" s="56">
        <f t="shared" si="434"/>
        <v>92654746.64740406</v>
      </c>
      <c r="AC1106" s="53">
        <f t="shared" ref="AC1106:AC1114" si="436">SUM(S1106-AB1106)</f>
        <v>277964239.94221216</v>
      </c>
      <c r="AD1106" s="52"/>
      <c r="AE1106" s="52"/>
      <c r="AF1106" s="8"/>
      <c r="AG1106" s="5"/>
      <c r="AH1106" s="36"/>
    </row>
    <row r="1107" spans="1:34" s="1" customFormat="1" x14ac:dyDescent="0.25">
      <c r="A1107" s="21">
        <v>20</v>
      </c>
      <c r="B1107" s="22" t="s">
        <v>1790</v>
      </c>
      <c r="C1107" s="187" t="s">
        <v>75</v>
      </c>
      <c r="D1107" s="24" t="s">
        <v>1320</v>
      </c>
      <c r="E1107" s="52"/>
      <c r="F1107" s="24"/>
      <c r="G1107" s="24" t="s">
        <v>1309</v>
      </c>
      <c r="H1107" s="24" t="s">
        <v>62</v>
      </c>
      <c r="I1107" s="24">
        <v>2012</v>
      </c>
      <c r="J1107" s="24"/>
      <c r="K1107" s="24"/>
      <c r="L1107" s="24" t="s">
        <v>64</v>
      </c>
      <c r="M1107" s="24">
        <v>1</v>
      </c>
      <c r="N1107" s="53">
        <v>70736000</v>
      </c>
      <c r="O1107" s="53">
        <v>70736000</v>
      </c>
      <c r="P1107" s="52">
        <v>70736000</v>
      </c>
      <c r="Q1107" s="43">
        <f>O1107-P1107</f>
        <v>0</v>
      </c>
      <c r="R1107" s="52"/>
      <c r="S1107" s="53">
        <v>70736000</v>
      </c>
      <c r="T1107" s="52">
        <v>50</v>
      </c>
      <c r="U1107" s="53">
        <f>SUM(S1107/T1107)</f>
        <v>1414720</v>
      </c>
      <c r="V1107" s="52">
        <v>0.5</v>
      </c>
      <c r="W1107" s="53">
        <f>SUM(U1107*V1107)</f>
        <v>707360</v>
      </c>
      <c r="X1107" s="54"/>
      <c r="Y1107" s="56">
        <f>SUM(U1107*X1107)</f>
        <v>0</v>
      </c>
      <c r="Z1107" s="56">
        <f>W1107+Y1107</f>
        <v>707360</v>
      </c>
      <c r="AA1107" s="52">
        <v>11.5</v>
      </c>
      <c r="AB1107" s="56">
        <f>SUM(U1107*AA1107)</f>
        <v>16269280</v>
      </c>
      <c r="AC1107" s="53">
        <f>SUM(S1107-AB1107)</f>
        <v>54466720</v>
      </c>
      <c r="AD1107" s="52" t="s">
        <v>1307</v>
      </c>
      <c r="AE1107" s="52"/>
      <c r="AF1107" s="8"/>
      <c r="AG1107" s="5"/>
      <c r="AH1107" s="36"/>
    </row>
    <row r="1108" spans="1:34" s="1" customFormat="1" x14ac:dyDescent="0.25">
      <c r="A1108" s="21">
        <v>21</v>
      </c>
      <c r="B1108" s="22" t="s">
        <v>1788</v>
      </c>
      <c r="C1108" s="65" t="s">
        <v>58</v>
      </c>
      <c r="D1108" s="24" t="s">
        <v>1315</v>
      </c>
      <c r="E1108" s="52"/>
      <c r="F1108" s="24"/>
      <c r="G1108" s="24" t="s">
        <v>1309</v>
      </c>
      <c r="H1108" s="24" t="s">
        <v>62</v>
      </c>
      <c r="I1108" s="24">
        <v>1985</v>
      </c>
      <c r="J1108" s="24"/>
      <c r="K1108" s="24"/>
      <c r="L1108" s="24" t="s">
        <v>64</v>
      </c>
      <c r="M1108" s="24">
        <v>1</v>
      </c>
      <c r="N1108" s="53">
        <v>34454000</v>
      </c>
      <c r="O1108" s="53">
        <v>34454000</v>
      </c>
      <c r="P1108" s="52">
        <v>34454000</v>
      </c>
      <c r="Q1108" s="43">
        <f t="shared" si="430"/>
        <v>0</v>
      </c>
      <c r="R1108" s="52"/>
      <c r="S1108" s="53">
        <v>34454000</v>
      </c>
      <c r="T1108" s="52">
        <v>50</v>
      </c>
      <c r="U1108" s="53">
        <f t="shared" si="433"/>
        <v>689080</v>
      </c>
      <c r="V1108" s="52">
        <v>0.5</v>
      </c>
      <c r="W1108" s="53">
        <f t="shared" si="435"/>
        <v>344540</v>
      </c>
      <c r="X1108" s="52"/>
      <c r="Y1108" s="56">
        <f t="shared" si="431"/>
        <v>0</v>
      </c>
      <c r="Z1108" s="56">
        <f t="shared" si="432"/>
        <v>344540</v>
      </c>
      <c r="AA1108" s="52">
        <v>38.5</v>
      </c>
      <c r="AB1108" s="56">
        <f t="shared" si="434"/>
        <v>26529580</v>
      </c>
      <c r="AC1108" s="53"/>
      <c r="AD1108" s="52" t="s">
        <v>1307</v>
      </c>
      <c r="AE1108" s="52"/>
      <c r="AF1108" s="8"/>
      <c r="AG1108" s="5"/>
      <c r="AH1108" s="36"/>
    </row>
    <row r="1109" spans="1:34" s="1" customFormat="1" x14ac:dyDescent="0.25">
      <c r="A1109" s="21"/>
      <c r="B1109" s="22"/>
      <c r="C1109" s="65"/>
      <c r="D1109" s="24"/>
      <c r="E1109" s="52"/>
      <c r="F1109" s="24"/>
      <c r="G1109" s="24"/>
      <c r="H1109" s="24"/>
      <c r="I1109" s="24"/>
      <c r="J1109" s="24"/>
      <c r="K1109" s="24"/>
      <c r="L1109" s="24"/>
      <c r="M1109" s="24"/>
      <c r="N1109" s="53">
        <v>49170000</v>
      </c>
      <c r="O1109" s="53">
        <v>49170000</v>
      </c>
      <c r="P1109" s="52">
        <v>49170000</v>
      </c>
      <c r="Q1109" s="43">
        <f t="shared" si="430"/>
        <v>0</v>
      </c>
      <c r="R1109" s="52"/>
      <c r="S1109" s="53">
        <v>57438960</v>
      </c>
      <c r="T1109" s="52">
        <f>T1108-AA1108</f>
        <v>11.5</v>
      </c>
      <c r="U1109" s="53">
        <f t="shared" si="433"/>
        <v>4994692.1739130439</v>
      </c>
      <c r="V1109" s="52">
        <v>0.5</v>
      </c>
      <c r="W1109" s="53">
        <f>SUM(U1109*V1109)+69370.72</f>
        <v>2566716.8069565222</v>
      </c>
      <c r="X1109" s="57"/>
      <c r="Y1109" s="56">
        <f t="shared" si="431"/>
        <v>0</v>
      </c>
      <c r="Z1109" s="56">
        <f t="shared" si="432"/>
        <v>2566716.8069565222</v>
      </c>
      <c r="AA1109" s="57">
        <f>4/12+0.5</f>
        <v>0.83333333333333326</v>
      </c>
      <c r="AB1109" s="56">
        <f t="shared" si="434"/>
        <v>4162243.4782608696</v>
      </c>
      <c r="AC1109" s="53">
        <f t="shared" ref="AC1109" si="437">SUM(S1109-AB1109)</f>
        <v>53276716.521739133</v>
      </c>
      <c r="AD1109" s="52"/>
      <c r="AE1109" s="52"/>
      <c r="AF1109" s="8"/>
      <c r="AG1109" s="5"/>
      <c r="AH1109" s="36"/>
    </row>
    <row r="1110" spans="1:34" s="1" customFormat="1" x14ac:dyDescent="0.25">
      <c r="A1110" s="21">
        <v>22</v>
      </c>
      <c r="B1110" s="22" t="s">
        <v>1788</v>
      </c>
      <c r="C1110" s="65" t="s">
        <v>79</v>
      </c>
      <c r="D1110" s="24" t="s">
        <v>1317</v>
      </c>
      <c r="E1110" s="52"/>
      <c r="F1110" s="24"/>
      <c r="G1110" s="24" t="s">
        <v>1309</v>
      </c>
      <c r="H1110" s="24" t="s">
        <v>62</v>
      </c>
      <c r="I1110" s="24">
        <v>1985</v>
      </c>
      <c r="J1110" s="24"/>
      <c r="K1110" s="24"/>
      <c r="L1110" s="24" t="s">
        <v>64</v>
      </c>
      <c r="M1110" s="24">
        <v>1</v>
      </c>
      <c r="N1110" s="53">
        <v>227426000</v>
      </c>
      <c r="O1110" s="53">
        <v>227426000</v>
      </c>
      <c r="P1110" s="52">
        <v>227426000</v>
      </c>
      <c r="Q1110" s="43">
        <f t="shared" si="430"/>
        <v>0</v>
      </c>
      <c r="R1110" s="52"/>
      <c r="S1110" s="53">
        <v>227426000</v>
      </c>
      <c r="T1110" s="52">
        <v>50</v>
      </c>
      <c r="U1110" s="53">
        <f t="shared" si="433"/>
        <v>4548520</v>
      </c>
      <c r="V1110" s="52">
        <v>0.5</v>
      </c>
      <c r="W1110" s="53">
        <f t="shared" si="435"/>
        <v>2274260</v>
      </c>
      <c r="X1110" s="52"/>
      <c r="Y1110" s="56">
        <f t="shared" si="431"/>
        <v>0</v>
      </c>
      <c r="Z1110" s="56">
        <f t="shared" si="432"/>
        <v>2274260</v>
      </c>
      <c r="AA1110" s="52">
        <v>38.5</v>
      </c>
      <c r="AB1110" s="56">
        <f t="shared" si="434"/>
        <v>175118020</v>
      </c>
      <c r="AC1110" s="53">
        <f t="shared" si="436"/>
        <v>52307980</v>
      </c>
      <c r="AD1110" s="52" t="s">
        <v>1307</v>
      </c>
      <c r="AE1110" s="52"/>
      <c r="AF1110" s="8"/>
      <c r="AG1110" s="5"/>
      <c r="AH1110" s="36"/>
    </row>
    <row r="1111" spans="1:34" s="1" customFormat="1" x14ac:dyDescent="0.25">
      <c r="A1111" s="21">
        <v>23</v>
      </c>
      <c r="B1111" s="22" t="s">
        <v>1788</v>
      </c>
      <c r="C1111" s="65" t="s">
        <v>75</v>
      </c>
      <c r="D1111" s="24" t="s">
        <v>1318</v>
      </c>
      <c r="E1111" s="52"/>
      <c r="F1111" s="24"/>
      <c r="G1111" s="24" t="s">
        <v>1309</v>
      </c>
      <c r="H1111" s="24" t="s">
        <v>62</v>
      </c>
      <c r="I1111" s="24">
        <v>1985</v>
      </c>
      <c r="J1111" s="24"/>
      <c r="K1111" s="24"/>
      <c r="L1111" s="24" t="s">
        <v>64</v>
      </c>
      <c r="M1111" s="24">
        <v>1</v>
      </c>
      <c r="N1111" s="53">
        <v>227826000</v>
      </c>
      <c r="O1111" s="53">
        <v>227826000</v>
      </c>
      <c r="P1111" s="52">
        <v>227826000</v>
      </c>
      <c r="Q1111" s="43">
        <f t="shared" si="430"/>
        <v>0</v>
      </c>
      <c r="R1111" s="52"/>
      <c r="S1111" s="53">
        <v>227826000</v>
      </c>
      <c r="T1111" s="52">
        <v>50</v>
      </c>
      <c r="U1111" s="53">
        <f t="shared" si="433"/>
        <v>4556520</v>
      </c>
      <c r="V1111" s="52">
        <v>0.5</v>
      </c>
      <c r="W1111" s="53">
        <f t="shared" si="435"/>
        <v>2278260</v>
      </c>
      <c r="X1111" s="52"/>
      <c r="Y1111" s="56">
        <f t="shared" si="431"/>
        <v>0</v>
      </c>
      <c r="Z1111" s="56">
        <f t="shared" si="432"/>
        <v>2278260</v>
      </c>
      <c r="AA1111" s="52">
        <v>38.5</v>
      </c>
      <c r="AB1111" s="56">
        <f t="shared" si="434"/>
        <v>175426020</v>
      </c>
      <c r="AC1111" s="53">
        <f t="shared" si="436"/>
        <v>52399980</v>
      </c>
      <c r="AD1111" s="52" t="s">
        <v>1307</v>
      </c>
      <c r="AE1111" s="52"/>
      <c r="AF1111" s="8"/>
      <c r="AG1111" s="5"/>
      <c r="AH1111" s="36"/>
    </row>
    <row r="1112" spans="1:34" s="1" customFormat="1" x14ac:dyDescent="0.25">
      <c r="A1112" s="21">
        <v>24</v>
      </c>
      <c r="B1112" s="22" t="s">
        <v>1788</v>
      </c>
      <c r="C1112" s="65" t="s">
        <v>58</v>
      </c>
      <c r="D1112" s="24" t="s">
        <v>1319</v>
      </c>
      <c r="E1112" s="52"/>
      <c r="F1112" s="24"/>
      <c r="G1112" s="24" t="s">
        <v>1309</v>
      </c>
      <c r="H1112" s="24" t="s">
        <v>62</v>
      </c>
      <c r="I1112" s="24">
        <v>2012</v>
      </c>
      <c r="J1112" s="24"/>
      <c r="K1112" s="24"/>
      <c r="L1112" s="24" t="s">
        <v>64</v>
      </c>
      <c r="M1112" s="24">
        <v>1</v>
      </c>
      <c r="N1112" s="53">
        <f>67500000</f>
        <v>67500000</v>
      </c>
      <c r="O1112" s="53">
        <f>67500000</f>
        <v>67500000</v>
      </c>
      <c r="P1112" s="52">
        <v>67500000</v>
      </c>
      <c r="Q1112" s="43">
        <f t="shared" si="430"/>
        <v>0</v>
      </c>
      <c r="R1112" s="52"/>
      <c r="S1112" s="53"/>
      <c r="T1112" s="52"/>
      <c r="U1112" s="53"/>
      <c r="V1112" s="52"/>
      <c r="W1112" s="53"/>
      <c r="X1112" s="52"/>
      <c r="Y1112" s="56">
        <f t="shared" si="431"/>
        <v>0</v>
      </c>
      <c r="Z1112" s="56">
        <f t="shared" si="432"/>
        <v>0</v>
      </c>
      <c r="AA1112" s="52">
        <v>3.5</v>
      </c>
      <c r="AB1112" s="56">
        <v>4725000</v>
      </c>
      <c r="AC1112" s="53"/>
      <c r="AD1112" s="52"/>
      <c r="AE1112" s="52"/>
      <c r="AF1112" s="8"/>
      <c r="AG1112" s="5"/>
      <c r="AH1112" s="36"/>
    </row>
    <row r="1113" spans="1:34" s="1" customFormat="1" x14ac:dyDescent="0.25">
      <c r="A1113" s="21"/>
      <c r="B1113" s="22"/>
      <c r="C1113" s="65"/>
      <c r="D1113" s="24"/>
      <c r="E1113" s="52"/>
      <c r="F1113" s="24"/>
      <c r="G1113" s="24"/>
      <c r="H1113" s="24"/>
      <c r="I1113" s="24"/>
      <c r="J1113" s="24"/>
      <c r="K1113" s="24"/>
      <c r="L1113" s="24"/>
      <c r="M1113" s="24"/>
      <c r="N1113" s="53">
        <f>4054000+67764000+2717000</f>
        <v>74535000</v>
      </c>
      <c r="O1113" s="53">
        <f>4054000+67764000+2717000</f>
        <v>74535000</v>
      </c>
      <c r="P1113" s="56">
        <v>74535000</v>
      </c>
      <c r="Q1113" s="43">
        <f t="shared" si="430"/>
        <v>0</v>
      </c>
      <c r="R1113" s="52"/>
      <c r="S1113" s="53">
        <v>137310000</v>
      </c>
      <c r="T1113" s="52">
        <v>46.5</v>
      </c>
      <c r="U1113" s="53">
        <f t="shared" si="433"/>
        <v>2952903.2258064514</v>
      </c>
      <c r="V1113" s="52"/>
      <c r="W1113" s="53">
        <f t="shared" si="435"/>
        <v>0</v>
      </c>
      <c r="X1113" s="52"/>
      <c r="Y1113" s="56">
        <f t="shared" si="431"/>
        <v>0</v>
      </c>
      <c r="Z1113" s="56">
        <f t="shared" si="432"/>
        <v>0</v>
      </c>
      <c r="AA1113" s="52">
        <f>3/12+3+0.5</f>
        <v>3.75</v>
      </c>
      <c r="AB1113" s="56">
        <f t="shared" si="434"/>
        <v>11073387.096774193</v>
      </c>
      <c r="AC1113" s="53"/>
      <c r="AD1113" s="52" t="s">
        <v>1307</v>
      </c>
      <c r="AE1113" s="52"/>
      <c r="AF1113" s="8"/>
      <c r="AG1113" s="5"/>
      <c r="AH1113" s="36"/>
    </row>
    <row r="1114" spans="1:34" s="1" customFormat="1" x14ac:dyDescent="0.25">
      <c r="A1114" s="21"/>
      <c r="B1114" s="22"/>
      <c r="C1114" s="65"/>
      <c r="D1114" s="24"/>
      <c r="E1114" s="52"/>
      <c r="F1114" s="24"/>
      <c r="G1114" s="24"/>
      <c r="H1114" s="24"/>
      <c r="I1114" s="24"/>
      <c r="J1114" s="24"/>
      <c r="K1114" s="24"/>
      <c r="L1114" s="24"/>
      <c r="M1114" s="24"/>
      <c r="N1114" s="53">
        <v>49750000</v>
      </c>
      <c r="O1114" s="53">
        <v>49750000</v>
      </c>
      <c r="P1114" s="52">
        <v>49750000</v>
      </c>
      <c r="Q1114" s="43">
        <f t="shared" si="430"/>
        <v>0</v>
      </c>
      <c r="R1114" s="52"/>
      <c r="S1114" s="53">
        <v>175986612.90322581</v>
      </c>
      <c r="T1114" s="52">
        <f>T1113-AA1113+5</f>
        <v>47.75</v>
      </c>
      <c r="U1114" s="53">
        <f t="shared" si="433"/>
        <v>3685583.5162979229</v>
      </c>
      <c r="V1114" s="52">
        <v>0.5</v>
      </c>
      <c r="W1114" s="53">
        <f t="shared" si="435"/>
        <v>1842791.7581489615</v>
      </c>
      <c r="X1114" s="54"/>
      <c r="Y1114" s="56">
        <f t="shared" si="431"/>
        <v>0</v>
      </c>
      <c r="Z1114" s="56">
        <f t="shared" si="432"/>
        <v>1842791.7581489615</v>
      </c>
      <c r="AA1114" s="57">
        <f>1/12+0.5+0.5+0.5+0.5+0.5+0.5+0.5</f>
        <v>3.5833333333333335</v>
      </c>
      <c r="AB1114" s="56">
        <f t="shared" si="434"/>
        <v>13206674.266734224</v>
      </c>
      <c r="AC1114" s="53">
        <f t="shared" si="436"/>
        <v>162779938.6364916</v>
      </c>
      <c r="AD1114" s="52"/>
      <c r="AE1114" s="52"/>
      <c r="AF1114" s="8"/>
      <c r="AG1114" s="5"/>
      <c r="AH1114" s="36"/>
    </row>
    <row r="1115" spans="1:34" s="1" customFormat="1" x14ac:dyDescent="0.25">
      <c r="A1115" s="21">
        <v>25</v>
      </c>
      <c r="B1115" s="22" t="s">
        <v>1788</v>
      </c>
      <c r="C1115" s="65" t="s">
        <v>75</v>
      </c>
      <c r="D1115" s="24" t="s">
        <v>1791</v>
      </c>
      <c r="E1115" s="52"/>
      <c r="F1115" s="24"/>
      <c r="G1115" s="24" t="s">
        <v>1309</v>
      </c>
      <c r="H1115" s="24" t="s">
        <v>62</v>
      </c>
      <c r="I1115" s="24">
        <v>2012</v>
      </c>
      <c r="J1115" s="24"/>
      <c r="K1115" s="24"/>
      <c r="L1115" s="24" t="s">
        <v>64</v>
      </c>
      <c r="M1115" s="24">
        <v>1</v>
      </c>
      <c r="N1115" s="53">
        <v>9965000</v>
      </c>
      <c r="O1115" s="53">
        <v>9965000</v>
      </c>
      <c r="P1115" s="52">
        <v>9965000</v>
      </c>
      <c r="Q1115" s="43">
        <f t="shared" si="430"/>
        <v>0</v>
      </c>
      <c r="R1115" s="52"/>
      <c r="S1115" s="53">
        <v>9965000</v>
      </c>
      <c r="T1115" s="52">
        <v>50</v>
      </c>
      <c r="U1115" s="53">
        <f t="shared" ref="U1115:U1120" si="438">SUM(S1115/T1115)</f>
        <v>199300</v>
      </c>
      <c r="V1115" s="52">
        <v>0.5</v>
      </c>
      <c r="W1115" s="53">
        <f t="shared" ref="W1115:W1120" si="439">SUM(U1115*V1115)</f>
        <v>99650</v>
      </c>
      <c r="X1115" s="54"/>
      <c r="Y1115" s="56">
        <f t="shared" ref="Y1115:Y1120" si="440">SUM(U1115*X1115)</f>
        <v>0</v>
      </c>
      <c r="Z1115" s="56">
        <f t="shared" si="432"/>
        <v>99650</v>
      </c>
      <c r="AA1115" s="52">
        <v>11.5</v>
      </c>
      <c r="AB1115" s="56">
        <f t="shared" ref="AB1115:AB1120" si="441">SUM(U1115*AA1115)</f>
        <v>2291950</v>
      </c>
      <c r="AC1115" s="53">
        <f t="shared" ref="AC1115:AC1120" si="442">SUM(S1115-AB1115)</f>
        <v>7673050</v>
      </c>
      <c r="AD1115" s="52" t="s">
        <v>1307</v>
      </c>
      <c r="AE1115" s="52"/>
      <c r="AF1115" s="8"/>
      <c r="AG1115" s="5"/>
      <c r="AH1115" s="36"/>
    </row>
    <row r="1116" spans="1:34" s="1" customFormat="1" x14ac:dyDescent="0.25">
      <c r="A1116" s="21">
        <v>26</v>
      </c>
      <c r="B1116" s="22" t="s">
        <v>1788</v>
      </c>
      <c r="C1116" s="65" t="s">
        <v>58</v>
      </c>
      <c r="D1116" s="24" t="s">
        <v>1329</v>
      </c>
      <c r="E1116" s="52"/>
      <c r="F1116" s="24"/>
      <c r="G1116" s="24" t="s">
        <v>1306</v>
      </c>
      <c r="H1116" s="24" t="s">
        <v>62</v>
      </c>
      <c r="I1116" s="24">
        <v>2013</v>
      </c>
      <c r="J1116" s="24"/>
      <c r="K1116" s="24"/>
      <c r="L1116" s="24" t="s">
        <v>64</v>
      </c>
      <c r="M1116" s="24">
        <v>1</v>
      </c>
      <c r="N1116" s="53">
        <v>64837000</v>
      </c>
      <c r="O1116" s="53">
        <v>64837000</v>
      </c>
      <c r="P1116" s="52">
        <v>64837000</v>
      </c>
      <c r="Q1116" s="43">
        <f t="shared" si="430"/>
        <v>0</v>
      </c>
      <c r="R1116" s="52"/>
      <c r="S1116" s="53">
        <v>64837000</v>
      </c>
      <c r="T1116" s="52">
        <v>50</v>
      </c>
      <c r="U1116" s="53">
        <f t="shared" si="438"/>
        <v>1296740</v>
      </c>
      <c r="V1116" s="52">
        <v>0.5</v>
      </c>
      <c r="W1116" s="53">
        <f t="shared" si="439"/>
        <v>648370</v>
      </c>
      <c r="X1116" s="52"/>
      <c r="Y1116" s="56">
        <f t="shared" si="440"/>
        <v>0</v>
      </c>
      <c r="Z1116" s="56">
        <f t="shared" si="432"/>
        <v>648370</v>
      </c>
      <c r="AA1116" s="52">
        <v>10.5</v>
      </c>
      <c r="AB1116" s="56">
        <f t="shared" si="441"/>
        <v>13615770</v>
      </c>
      <c r="AC1116" s="53">
        <f t="shared" si="442"/>
        <v>51221230</v>
      </c>
      <c r="AD1116" s="52" t="s">
        <v>1307</v>
      </c>
      <c r="AE1116" s="52"/>
      <c r="AF1116" s="8"/>
      <c r="AG1116" s="5"/>
      <c r="AH1116" s="36"/>
    </row>
    <row r="1117" spans="1:34" s="1" customFormat="1" x14ac:dyDescent="0.25">
      <c r="A1117" s="21">
        <v>27</v>
      </c>
      <c r="B1117" s="22" t="s">
        <v>1788</v>
      </c>
      <c r="C1117" s="65" t="s">
        <v>58</v>
      </c>
      <c r="D1117" s="24" t="s">
        <v>1330</v>
      </c>
      <c r="E1117" s="52"/>
      <c r="F1117" s="24"/>
      <c r="G1117" s="24" t="s">
        <v>1306</v>
      </c>
      <c r="H1117" s="24" t="s">
        <v>62</v>
      </c>
      <c r="I1117" s="24">
        <v>2014</v>
      </c>
      <c r="J1117" s="24"/>
      <c r="K1117" s="24"/>
      <c r="L1117" s="24" t="s">
        <v>64</v>
      </c>
      <c r="M1117" s="24">
        <v>1</v>
      </c>
      <c r="N1117" s="53">
        <f>59623500+16257000+10670000+139121500</f>
        <v>225672000</v>
      </c>
      <c r="O1117" s="53">
        <f>59623500+16257000+10670000+139121500</f>
        <v>225672000</v>
      </c>
      <c r="P1117" s="52">
        <v>225672000</v>
      </c>
      <c r="Q1117" s="43">
        <f t="shared" si="430"/>
        <v>0</v>
      </c>
      <c r="R1117" s="52"/>
      <c r="S1117" s="53">
        <v>225672000</v>
      </c>
      <c r="T1117" s="52">
        <v>50</v>
      </c>
      <c r="U1117" s="53">
        <f t="shared" si="438"/>
        <v>4513440</v>
      </c>
      <c r="V1117" s="52">
        <v>0.5</v>
      </c>
      <c r="W1117" s="53">
        <f t="shared" si="439"/>
        <v>2256720</v>
      </c>
      <c r="X1117" s="52"/>
      <c r="Y1117" s="56">
        <f t="shared" si="440"/>
        <v>0</v>
      </c>
      <c r="Z1117" s="56">
        <f t="shared" si="432"/>
        <v>2256720</v>
      </c>
      <c r="AA1117" s="52">
        <v>9.5</v>
      </c>
      <c r="AB1117" s="56">
        <f t="shared" si="441"/>
        <v>42877680</v>
      </c>
      <c r="AC1117" s="53">
        <f t="shared" si="442"/>
        <v>182794320</v>
      </c>
      <c r="AD1117" s="52" t="s">
        <v>1307</v>
      </c>
      <c r="AE1117" s="52"/>
      <c r="AF1117" s="8"/>
      <c r="AG1117" s="5"/>
      <c r="AH1117" s="36"/>
    </row>
    <row r="1118" spans="1:34" s="1" customFormat="1" x14ac:dyDescent="0.25">
      <c r="A1118" s="21">
        <v>28</v>
      </c>
      <c r="B1118" s="22" t="s">
        <v>1788</v>
      </c>
      <c r="C1118" s="85"/>
      <c r="D1118" s="52" t="s">
        <v>1339</v>
      </c>
      <c r="E1118" s="52"/>
      <c r="F1118" s="52"/>
      <c r="G1118" s="52" t="s">
        <v>61</v>
      </c>
      <c r="H1118" s="52" t="s">
        <v>62</v>
      </c>
      <c r="I1118" s="52">
        <v>2019</v>
      </c>
      <c r="J1118" s="52"/>
      <c r="K1118" s="52"/>
      <c r="L1118" s="52" t="s">
        <v>64</v>
      </c>
      <c r="M1118" s="52">
        <v>1</v>
      </c>
      <c r="N1118" s="53">
        <v>178658650</v>
      </c>
      <c r="O1118" s="53">
        <v>178658650</v>
      </c>
      <c r="P1118" s="52">
        <v>178658650</v>
      </c>
      <c r="Q1118" s="43">
        <f t="shared" si="430"/>
        <v>0</v>
      </c>
      <c r="R1118" s="52"/>
      <c r="S1118" s="53">
        <v>178658650</v>
      </c>
      <c r="T1118" s="52">
        <v>50</v>
      </c>
      <c r="U1118" s="53">
        <f t="shared" si="438"/>
        <v>3573173</v>
      </c>
      <c r="V1118" s="52">
        <v>0.5</v>
      </c>
      <c r="W1118" s="53">
        <f t="shared" si="439"/>
        <v>1786586.5</v>
      </c>
      <c r="X1118" s="52"/>
      <c r="Y1118" s="56">
        <f t="shared" si="440"/>
        <v>0</v>
      </c>
      <c r="Z1118" s="56">
        <f t="shared" si="432"/>
        <v>1786586.5</v>
      </c>
      <c r="AA1118" s="59">
        <f>1/12+0.5+0.5+0.5+0.5+0.5+0.5+0.5</f>
        <v>3.5833333333333335</v>
      </c>
      <c r="AB1118" s="56">
        <f t="shared" si="441"/>
        <v>12803869.916666668</v>
      </c>
      <c r="AC1118" s="53">
        <f t="shared" si="442"/>
        <v>165854780.08333334</v>
      </c>
      <c r="AD1118" s="52" t="s">
        <v>1307</v>
      </c>
      <c r="AE1118" s="52"/>
      <c r="AF1118" s="8"/>
      <c r="AG1118" s="5"/>
      <c r="AH1118" s="36"/>
    </row>
    <row r="1119" spans="1:34" s="1" customFormat="1" x14ac:dyDescent="0.25">
      <c r="A1119" s="21">
        <v>29</v>
      </c>
      <c r="B1119" s="22" t="s">
        <v>1788</v>
      </c>
      <c r="C1119" s="65" t="s">
        <v>58</v>
      </c>
      <c r="D1119" s="24" t="s">
        <v>1331</v>
      </c>
      <c r="E1119" s="52"/>
      <c r="F1119" s="24"/>
      <c r="G1119" s="24" t="s">
        <v>466</v>
      </c>
      <c r="H1119" s="24" t="s">
        <v>62</v>
      </c>
      <c r="I1119" s="24">
        <v>2014</v>
      </c>
      <c r="J1119" s="24"/>
      <c r="K1119" s="24"/>
      <c r="L1119" s="24" t="s">
        <v>64</v>
      </c>
      <c r="M1119" s="24">
        <v>1</v>
      </c>
      <c r="N1119" s="53">
        <f>73997400+172660600</f>
        <v>246658000</v>
      </c>
      <c r="O1119" s="53">
        <f>73997400+172660600</f>
        <v>246658000</v>
      </c>
      <c r="P1119" s="52">
        <v>246658000</v>
      </c>
      <c r="Q1119" s="43">
        <f t="shared" si="430"/>
        <v>0</v>
      </c>
      <c r="R1119" s="52"/>
      <c r="S1119" s="53">
        <v>246658000</v>
      </c>
      <c r="T1119" s="52">
        <v>50</v>
      </c>
      <c r="U1119" s="53">
        <f t="shared" si="438"/>
        <v>4933160</v>
      </c>
      <c r="V1119" s="52">
        <v>0.5</v>
      </c>
      <c r="W1119" s="53">
        <f t="shared" si="439"/>
        <v>2466580</v>
      </c>
      <c r="X1119" s="52"/>
      <c r="Y1119" s="56">
        <f t="shared" si="440"/>
        <v>0</v>
      </c>
      <c r="Z1119" s="56">
        <f t="shared" si="432"/>
        <v>2466580</v>
      </c>
      <c r="AA1119" s="52">
        <v>9.5</v>
      </c>
      <c r="AB1119" s="56">
        <f t="shared" si="441"/>
        <v>46865020</v>
      </c>
      <c r="AC1119" s="53">
        <f t="shared" si="442"/>
        <v>199792980</v>
      </c>
      <c r="AD1119" s="52" t="s">
        <v>1307</v>
      </c>
      <c r="AE1119" s="52"/>
      <c r="AF1119" s="8"/>
      <c r="AG1119" s="5"/>
      <c r="AH1119" s="36"/>
    </row>
    <row r="1120" spans="1:34" s="1" customFormat="1" x14ac:dyDescent="0.25">
      <c r="A1120" s="21">
        <v>30</v>
      </c>
      <c r="B1120" s="22" t="s">
        <v>1788</v>
      </c>
      <c r="C1120" s="65" t="s">
        <v>58</v>
      </c>
      <c r="D1120" s="24" t="s">
        <v>1332</v>
      </c>
      <c r="E1120" s="52"/>
      <c r="F1120" s="24"/>
      <c r="G1120" s="24" t="s">
        <v>1309</v>
      </c>
      <c r="H1120" s="24" t="s">
        <v>62</v>
      </c>
      <c r="I1120" s="24">
        <v>2015</v>
      </c>
      <c r="J1120" s="24"/>
      <c r="K1120" s="24"/>
      <c r="L1120" s="24" t="s">
        <v>64</v>
      </c>
      <c r="M1120" s="24">
        <v>1</v>
      </c>
      <c r="N1120" s="53">
        <v>11000000</v>
      </c>
      <c r="O1120" s="53">
        <v>11000000</v>
      </c>
      <c r="P1120" s="52">
        <v>11000000</v>
      </c>
      <c r="Q1120" s="43">
        <f t="shared" si="430"/>
        <v>0</v>
      </c>
      <c r="R1120" s="52"/>
      <c r="S1120" s="53">
        <v>11000000</v>
      </c>
      <c r="T1120" s="52">
        <v>50</v>
      </c>
      <c r="U1120" s="53">
        <f t="shared" si="438"/>
        <v>220000</v>
      </c>
      <c r="V1120" s="52">
        <v>0.5</v>
      </c>
      <c r="W1120" s="53">
        <f t="shared" si="439"/>
        <v>110000</v>
      </c>
      <c r="X1120" s="52"/>
      <c r="Y1120" s="56">
        <f t="shared" si="440"/>
        <v>0</v>
      </c>
      <c r="Z1120" s="56">
        <f t="shared" si="432"/>
        <v>110000</v>
      </c>
      <c r="AA1120" s="57">
        <f>4.66666666666667+0.5+0.5+0.5+0.5+0.5+0.5+0.5</f>
        <v>8.1666666666666696</v>
      </c>
      <c r="AB1120" s="56">
        <f t="shared" si="441"/>
        <v>1796666.6666666672</v>
      </c>
      <c r="AC1120" s="53">
        <f t="shared" si="442"/>
        <v>9203333.3333333321</v>
      </c>
      <c r="AD1120" s="52" t="s">
        <v>1307</v>
      </c>
      <c r="AE1120" s="52"/>
      <c r="AF1120" s="8"/>
      <c r="AG1120" s="5"/>
      <c r="AH1120" s="36"/>
    </row>
    <row r="1121" spans="1:35" s="1" customFormat="1" x14ac:dyDescent="0.25">
      <c r="A1121" s="21">
        <v>31</v>
      </c>
      <c r="B1121" s="22" t="s">
        <v>1792</v>
      </c>
      <c r="C1121" s="65" t="s">
        <v>58</v>
      </c>
      <c r="D1121" s="24" t="s">
        <v>1333</v>
      </c>
      <c r="E1121" s="52"/>
      <c r="F1121" s="24"/>
      <c r="G1121" s="24" t="s">
        <v>1334</v>
      </c>
      <c r="H1121" s="24" t="s">
        <v>62</v>
      </c>
      <c r="I1121" s="24">
        <v>2015</v>
      </c>
      <c r="J1121" s="24"/>
      <c r="K1121" s="24"/>
      <c r="L1121" s="24" t="s">
        <v>64</v>
      </c>
      <c r="M1121" s="24">
        <v>1</v>
      </c>
      <c r="N1121" s="53">
        <f>89593000+5391000+3539000</f>
        <v>98523000</v>
      </c>
      <c r="O1121" s="53">
        <f>89593000+5391000+3539000</f>
        <v>98523000</v>
      </c>
      <c r="P1121" s="52">
        <v>98523000</v>
      </c>
      <c r="Q1121" s="43">
        <f t="shared" si="430"/>
        <v>0</v>
      </c>
      <c r="R1121" s="52"/>
      <c r="S1121" s="53"/>
      <c r="T1121" s="52"/>
      <c r="U1121" s="53"/>
      <c r="V1121" s="52"/>
      <c r="W1121" s="53"/>
      <c r="X1121" s="52"/>
      <c r="Y1121" s="56">
        <f t="shared" ref="Y1121:Y1123" si="443">SUM(U1121*X1121)</f>
        <v>0</v>
      </c>
      <c r="Z1121" s="56">
        <f t="shared" si="432"/>
        <v>0</v>
      </c>
      <c r="AA1121" s="52">
        <v>0.75</v>
      </c>
      <c r="AB1121" s="56">
        <v>1477845</v>
      </c>
      <c r="AC1121" s="53"/>
      <c r="AD1121" s="52"/>
      <c r="AE1121" s="52"/>
      <c r="AF1121" s="8">
        <v>1477845</v>
      </c>
      <c r="AG1121" s="5"/>
      <c r="AH1121" s="36"/>
    </row>
    <row r="1122" spans="1:35" s="1" customFormat="1" x14ac:dyDescent="0.25">
      <c r="A1122" s="21"/>
      <c r="B1122" s="22"/>
      <c r="C1122" s="65"/>
      <c r="D1122" s="24"/>
      <c r="E1122" s="52"/>
      <c r="F1122" s="24"/>
      <c r="G1122" s="24"/>
      <c r="H1122" s="24"/>
      <c r="I1122" s="24"/>
      <c r="J1122" s="24"/>
      <c r="K1122" s="24"/>
      <c r="L1122" s="24"/>
      <c r="M1122" s="24"/>
      <c r="N1122" s="53">
        <v>24800000</v>
      </c>
      <c r="O1122" s="53">
        <v>24800000</v>
      </c>
      <c r="P1122" s="52">
        <v>24800000</v>
      </c>
      <c r="Q1122" s="43">
        <f t="shared" si="430"/>
        <v>0</v>
      </c>
      <c r="R1122" s="52"/>
      <c r="S1122" s="53">
        <v>121845155</v>
      </c>
      <c r="T1122" s="52">
        <v>49</v>
      </c>
      <c r="U1122" s="53">
        <f t="shared" ref="U1122:U1123" si="444">SUM(S1122/T1122)</f>
        <v>2486635.8163265307</v>
      </c>
      <c r="V1122" s="52">
        <v>0.5</v>
      </c>
      <c r="W1122" s="53"/>
      <c r="X1122" s="52"/>
      <c r="Y1122" s="56"/>
      <c r="Z1122" s="56">
        <f t="shared" si="432"/>
        <v>0</v>
      </c>
      <c r="AA1122" s="52">
        <v>1.75</v>
      </c>
      <c r="AB1122" s="56">
        <f t="shared" ref="AB1122:AB1123" si="445">SUM(U1122*AA1122)</f>
        <v>4351612.6785714291</v>
      </c>
      <c r="AC1122" s="53"/>
      <c r="AD1122" s="52" t="s">
        <v>1307</v>
      </c>
      <c r="AE1122" s="52"/>
      <c r="AF1122" s="8">
        <v>4351612.6785714291</v>
      </c>
      <c r="AG1122" s="5"/>
      <c r="AH1122" s="36"/>
    </row>
    <row r="1123" spans="1:35" s="1" customFormat="1" x14ac:dyDescent="0.25">
      <c r="A1123" s="21"/>
      <c r="B1123" s="22"/>
      <c r="C1123" s="65"/>
      <c r="D1123" s="24"/>
      <c r="E1123" s="52"/>
      <c r="F1123" s="24"/>
      <c r="G1123" s="24"/>
      <c r="H1123" s="24"/>
      <c r="I1123" s="24"/>
      <c r="J1123" s="24"/>
      <c r="K1123" s="24"/>
      <c r="L1123" s="24"/>
      <c r="M1123" s="24"/>
      <c r="N1123" s="53">
        <v>54420000</v>
      </c>
      <c r="O1123" s="53">
        <v>54420000</v>
      </c>
      <c r="P1123" s="52">
        <v>54420000</v>
      </c>
      <c r="Q1123" s="43">
        <f t="shared" si="430"/>
        <v>0</v>
      </c>
      <c r="R1123" s="52"/>
      <c r="S1123" s="53">
        <v>171913542.32142857</v>
      </c>
      <c r="T1123" s="52">
        <v>48</v>
      </c>
      <c r="U1123" s="53">
        <f t="shared" si="444"/>
        <v>3581532.1316964286</v>
      </c>
      <c r="V1123" s="52">
        <v>0.5</v>
      </c>
      <c r="W1123" s="53">
        <f t="shared" ref="W1123" si="446">SUM(U1123*V1123)</f>
        <v>1790766.0658482143</v>
      </c>
      <c r="X1123" s="52"/>
      <c r="Y1123" s="56">
        <f t="shared" si="443"/>
        <v>0</v>
      </c>
      <c r="Z1123" s="56">
        <f t="shared" si="432"/>
        <v>1790766.0658482143</v>
      </c>
      <c r="AA1123" s="52">
        <v>5</v>
      </c>
      <c r="AB1123" s="56">
        <f t="shared" si="445"/>
        <v>17907660.658482142</v>
      </c>
      <c r="AC1123" s="53">
        <f t="shared" ref="AC1123" si="447">SUM(S1123-AB1123)</f>
        <v>154005881.66294643</v>
      </c>
      <c r="AD1123" s="52"/>
      <c r="AE1123" s="52"/>
      <c r="AF1123" s="8">
        <v>16116894.592633929</v>
      </c>
      <c r="AG1123" s="5"/>
      <c r="AH1123" s="36"/>
    </row>
    <row r="1124" spans="1:35" s="1" customFormat="1" x14ac:dyDescent="0.25">
      <c r="A1124" s="21">
        <v>32</v>
      </c>
      <c r="B1124" s="22" t="s">
        <v>1793</v>
      </c>
      <c r="C1124" s="187" t="s">
        <v>58</v>
      </c>
      <c r="D1124" s="24" t="s">
        <v>3705</v>
      </c>
      <c r="E1124" s="52"/>
      <c r="F1124" s="24"/>
      <c r="G1124" s="24" t="s">
        <v>1309</v>
      </c>
      <c r="H1124" s="24" t="s">
        <v>62</v>
      </c>
      <c r="I1124" s="24">
        <v>2012</v>
      </c>
      <c r="J1124" s="24"/>
      <c r="K1124" s="24"/>
      <c r="L1124" s="24" t="s">
        <v>64</v>
      </c>
      <c r="M1124" s="24">
        <v>1</v>
      </c>
      <c r="N1124" s="53">
        <f>39622000+47900000</f>
        <v>87522000</v>
      </c>
      <c r="O1124" s="53">
        <f>39622000+47900000</f>
        <v>87522000</v>
      </c>
      <c r="P1124" s="52">
        <v>87522000</v>
      </c>
      <c r="Q1124" s="43">
        <f t="shared" si="430"/>
        <v>0</v>
      </c>
      <c r="R1124" s="52"/>
      <c r="S1124" s="53">
        <v>87522000</v>
      </c>
      <c r="T1124" s="52">
        <v>50</v>
      </c>
      <c r="U1124" s="53">
        <f t="shared" ref="U1124:U1129" si="448">SUM(S1124/T1124)</f>
        <v>1750440</v>
      </c>
      <c r="V1124" s="52">
        <v>0.5</v>
      </c>
      <c r="W1124" s="53"/>
      <c r="X1124" s="52"/>
      <c r="Y1124" s="56"/>
      <c r="Z1124" s="56">
        <f>W1124+Y1124</f>
        <v>0</v>
      </c>
      <c r="AA1124" s="52">
        <v>6.5</v>
      </c>
      <c r="AB1124" s="56">
        <f>SUM(U1124*AA1124)</f>
        <v>11377860</v>
      </c>
      <c r="AC1124" s="53"/>
      <c r="AD1124" s="52" t="s">
        <v>1307</v>
      </c>
      <c r="AE1124" s="52"/>
      <c r="AF1124" s="8"/>
      <c r="AG1124" s="5"/>
      <c r="AH1124" s="36"/>
    </row>
    <row r="1125" spans="1:35" s="1" customFormat="1" x14ac:dyDescent="0.25">
      <c r="A1125" s="21"/>
      <c r="B1125" s="22"/>
      <c r="C1125" s="65"/>
      <c r="D1125" s="24"/>
      <c r="E1125" s="52"/>
      <c r="F1125" s="24"/>
      <c r="G1125" s="24"/>
      <c r="H1125" s="24"/>
      <c r="I1125" s="24"/>
      <c r="J1125" s="24"/>
      <c r="K1125" s="24"/>
      <c r="L1125" s="24"/>
      <c r="M1125" s="24"/>
      <c r="N1125" s="53">
        <f>49780000+49800000</f>
        <v>99580000</v>
      </c>
      <c r="O1125" s="53">
        <f>49780000+49800000</f>
        <v>99580000</v>
      </c>
      <c r="P1125" s="52">
        <v>99580000</v>
      </c>
      <c r="Q1125" s="43">
        <f t="shared" si="430"/>
        <v>0</v>
      </c>
      <c r="R1125" s="92"/>
      <c r="S1125" s="53">
        <v>175724140</v>
      </c>
      <c r="T1125" s="52">
        <v>44</v>
      </c>
      <c r="U1125" s="53">
        <f t="shared" si="448"/>
        <v>3993730.4545454546</v>
      </c>
      <c r="V1125" s="52"/>
      <c r="W1125" s="53">
        <f>SUM(U1125*V1125)</f>
        <v>0</v>
      </c>
      <c r="X1125" s="52"/>
      <c r="Y1125" s="56">
        <f>SUM(U1125*X1125)</f>
        <v>0</v>
      </c>
      <c r="Z1125" s="56">
        <f>W1125+Y1125</f>
        <v>0</v>
      </c>
      <c r="AA1125" s="57">
        <f>1/12+0.5</f>
        <v>0.58333333333333337</v>
      </c>
      <c r="AB1125" s="56">
        <f>SUM(U1125*AA1125)</f>
        <v>2329676.0984848486</v>
      </c>
      <c r="AC1125" s="53"/>
      <c r="AD1125" s="52"/>
      <c r="AE1125" s="52"/>
      <c r="AF1125" s="8"/>
      <c r="AG1125" s="5"/>
      <c r="AH1125" s="36"/>
    </row>
    <row r="1126" spans="1:35" s="1" customFormat="1" x14ac:dyDescent="0.25">
      <c r="A1126" s="21"/>
      <c r="B1126" s="22"/>
      <c r="C1126" s="65"/>
      <c r="D1126" s="24"/>
      <c r="E1126" s="52"/>
      <c r="F1126" s="24"/>
      <c r="G1126" s="24"/>
      <c r="H1126" s="24"/>
      <c r="I1126" s="24"/>
      <c r="J1126" s="24"/>
      <c r="K1126" s="24"/>
      <c r="L1126" s="24"/>
      <c r="M1126" s="24"/>
      <c r="N1126" s="53">
        <f>92173521+'[2]GEDUNG BANGUNAN'!$P$76+'[2]GEDUNG BANGUNAN'!$P$77</f>
        <v>99466521</v>
      </c>
      <c r="O1126" s="53">
        <f>92173521+'[2]GEDUNG BANGUNAN'!$P$76+'[2]GEDUNG BANGUNAN'!$P$77</f>
        <v>99466521</v>
      </c>
      <c r="P1126" s="52">
        <v>99466521</v>
      </c>
      <c r="Q1126" s="43">
        <f t="shared" si="430"/>
        <v>0</v>
      </c>
      <c r="R1126" s="52"/>
      <c r="S1126" s="53">
        <v>272860984.90151513</v>
      </c>
      <c r="T1126" s="57">
        <f>T1125-AA1125+5</f>
        <v>48.416666666666664</v>
      </c>
      <c r="U1126" s="53">
        <f t="shared" si="448"/>
        <v>5635682.9928023778</v>
      </c>
      <c r="V1126" s="52">
        <v>0.5</v>
      </c>
      <c r="W1126" s="53"/>
      <c r="X1126" s="54"/>
      <c r="Y1126" s="56">
        <f>SUM(U1126*X1126)</f>
        <v>0</v>
      </c>
      <c r="Z1126" s="56"/>
      <c r="AA1126" s="57">
        <f>1/12+0.5</f>
        <v>0.58333333333333337</v>
      </c>
      <c r="AB1126" s="56">
        <f>SUM(U1126*AA1126)</f>
        <v>3287481.7458013874</v>
      </c>
      <c r="AC1126" s="53"/>
      <c r="AD1126" s="52"/>
      <c r="AE1126" s="52"/>
      <c r="AF1126" s="8"/>
      <c r="AG1126" s="5"/>
      <c r="AH1126" s="36"/>
    </row>
    <row r="1127" spans="1:35" s="1" customFormat="1" x14ac:dyDescent="0.25">
      <c r="A1127" s="21"/>
      <c r="B1127" s="22"/>
      <c r="C1127" s="65"/>
      <c r="D1127" s="24"/>
      <c r="E1127" s="52"/>
      <c r="F1127" s="24"/>
      <c r="G1127" s="24"/>
      <c r="H1127" s="24"/>
      <c r="I1127" s="24"/>
      <c r="J1127" s="24"/>
      <c r="K1127" s="24"/>
      <c r="L1127" s="24"/>
      <c r="M1127" s="24"/>
      <c r="N1127" s="53">
        <v>49720000</v>
      </c>
      <c r="O1127" s="53">
        <v>49720000</v>
      </c>
      <c r="P1127" s="52">
        <v>49720000</v>
      </c>
      <c r="Q1127" s="43">
        <f t="shared" si="430"/>
        <v>0</v>
      </c>
      <c r="R1127" s="52"/>
      <c r="S1127" s="53">
        <v>319293503.15571374</v>
      </c>
      <c r="T1127" s="57">
        <f>T1126-AA1126+5</f>
        <v>52.833333333333329</v>
      </c>
      <c r="U1127" s="53">
        <f t="shared" si="448"/>
        <v>6043410.154366822</v>
      </c>
      <c r="V1127" s="52">
        <v>0.5</v>
      </c>
      <c r="W1127" s="53"/>
      <c r="X1127" s="54"/>
      <c r="Y1127" s="56">
        <f>SUM(U1127*X1127)</f>
        <v>0</v>
      </c>
      <c r="Z1127" s="56">
        <f>W1127+Y1127</f>
        <v>0</v>
      </c>
      <c r="AA1127" s="57">
        <f>2/12+0.5+0.5+0.5</f>
        <v>1.6666666666666665</v>
      </c>
      <c r="AB1127" s="56">
        <v>10072350.257278036</v>
      </c>
      <c r="AC1127" s="53"/>
      <c r="AD1127" s="52"/>
      <c r="AE1127" s="52"/>
      <c r="AF1127" s="8"/>
      <c r="AG1127" s="5"/>
      <c r="AH1127" s="36"/>
    </row>
    <row r="1128" spans="1:35" s="1" customFormat="1" x14ac:dyDescent="0.25">
      <c r="A1128" s="21"/>
      <c r="B1128" s="22"/>
      <c r="C1128" s="65"/>
      <c r="D1128" s="24"/>
      <c r="E1128" s="52"/>
      <c r="F1128" s="24"/>
      <c r="G1128" s="24"/>
      <c r="H1128" s="24"/>
      <c r="I1128" s="24"/>
      <c r="J1128" s="24"/>
      <c r="K1128" s="24"/>
      <c r="L1128" s="24"/>
      <c r="M1128" s="24"/>
      <c r="N1128" s="53">
        <v>49930000</v>
      </c>
      <c r="O1128" s="53">
        <v>49930000</v>
      </c>
      <c r="P1128" s="52">
        <v>49930000</v>
      </c>
      <c r="Q1128" s="43">
        <f t="shared" si="430"/>
        <v>0</v>
      </c>
      <c r="R1128" s="52"/>
      <c r="S1128" s="53">
        <v>359151152.89843571</v>
      </c>
      <c r="T1128" s="57">
        <f>T1127-AA1127</f>
        <v>51.166666666666664</v>
      </c>
      <c r="U1128" s="53">
        <f t="shared" si="448"/>
        <v>7019240.7732593305</v>
      </c>
      <c r="V1128" s="87"/>
      <c r="W1128" s="53">
        <f>SUM(U1128*V1128)</f>
        <v>0</v>
      </c>
      <c r="X1128" s="54"/>
      <c r="Y1128" s="56">
        <f>SUM(U1128*X1128)</f>
        <v>0</v>
      </c>
      <c r="Z1128" s="56">
        <f>W1128+Y1128</f>
        <v>0</v>
      </c>
      <c r="AA1128" s="57">
        <f>5/12+0.5</f>
        <v>0.91666666666666674</v>
      </c>
      <c r="AB1128" s="56">
        <f>SUM(U1128*AA1128)</f>
        <v>6434304.0421543866</v>
      </c>
      <c r="AC1128" s="53"/>
      <c r="AD1128" s="52"/>
      <c r="AE1128" s="52"/>
      <c r="AF1128" s="8"/>
      <c r="AG1128" s="5"/>
      <c r="AH1128" s="36"/>
    </row>
    <row r="1129" spans="1:35" s="1" customFormat="1" x14ac:dyDescent="0.25">
      <c r="A1129" s="21"/>
      <c r="B1129" s="22"/>
      <c r="C1129" s="65"/>
      <c r="D1129" s="24"/>
      <c r="E1129" s="52"/>
      <c r="F1129" s="24"/>
      <c r="G1129" s="24"/>
      <c r="H1129" s="24"/>
      <c r="I1129" s="24"/>
      <c r="J1129" s="24"/>
      <c r="K1129" s="24"/>
      <c r="L1129" s="24"/>
      <c r="M1129" s="24"/>
      <c r="N1129" s="53">
        <v>50000000</v>
      </c>
      <c r="O1129" s="53">
        <v>50000000</v>
      </c>
      <c r="P1129" s="52">
        <v>50000000</v>
      </c>
      <c r="Q1129" s="43">
        <f t="shared" si="430"/>
        <v>0</v>
      </c>
      <c r="R1129" s="52"/>
      <c r="S1129" s="53">
        <v>402716848.85628134</v>
      </c>
      <c r="T1129" s="57">
        <f>T1128-AA1128</f>
        <v>50.25</v>
      </c>
      <c r="U1129" s="53">
        <f t="shared" si="448"/>
        <v>8014265.6488812203</v>
      </c>
      <c r="V1129" s="87">
        <v>0.5</v>
      </c>
      <c r="W1129" s="53">
        <f>SUM(U1129*V1129)</f>
        <v>4007132.8244406101</v>
      </c>
      <c r="X1129" s="57"/>
      <c r="Y1129" s="56">
        <f>SUM(U1129*X1129)</f>
        <v>0</v>
      </c>
      <c r="Z1129" s="56">
        <f>W1129+Y1129</f>
        <v>4007132.8244406101</v>
      </c>
      <c r="AA1129" s="57">
        <f>1/12+0.5</f>
        <v>0.58333333333333337</v>
      </c>
      <c r="AB1129" s="56">
        <f t="shared" ref="AB1129" si="449">SUM(U1129*AA1129)</f>
        <v>4674988.2951807119</v>
      </c>
      <c r="AC1129" s="53">
        <f t="shared" ref="AC1129" si="450">SUM(S1129-AB1129)</f>
        <v>398041860.5611006</v>
      </c>
      <c r="AD1129" s="52"/>
      <c r="AE1129" s="52"/>
      <c r="AF1129" s="8"/>
      <c r="AG1129" s="5"/>
      <c r="AH1129" s="36"/>
    </row>
    <row r="1130" spans="1:35" s="1" customFormat="1" x14ac:dyDescent="0.25">
      <c r="A1130" s="21">
        <v>33</v>
      </c>
      <c r="B1130" s="22" t="s">
        <v>1794</v>
      </c>
      <c r="C1130" s="65" t="s">
        <v>58</v>
      </c>
      <c r="D1130" s="24" t="s">
        <v>1325</v>
      </c>
      <c r="E1130" s="52"/>
      <c r="F1130" s="24"/>
      <c r="G1130" s="24" t="s">
        <v>1309</v>
      </c>
      <c r="H1130" s="24" t="s">
        <v>62</v>
      </c>
      <c r="I1130" s="24">
        <v>2012</v>
      </c>
      <c r="J1130" s="24"/>
      <c r="K1130" s="24"/>
      <c r="L1130" s="24" t="s">
        <v>64</v>
      </c>
      <c r="M1130" s="24">
        <v>1</v>
      </c>
      <c r="N1130" s="53">
        <v>783377500</v>
      </c>
      <c r="O1130" s="53">
        <v>783377500</v>
      </c>
      <c r="P1130" s="52">
        <v>783377500</v>
      </c>
      <c r="Q1130" s="43">
        <f t="shared" si="430"/>
        <v>0</v>
      </c>
      <c r="R1130" s="52"/>
      <c r="S1130" s="53"/>
      <c r="T1130" s="52"/>
      <c r="U1130" s="53"/>
      <c r="V1130" s="52"/>
      <c r="W1130" s="53"/>
      <c r="X1130" s="52"/>
      <c r="Y1130" s="56">
        <f t="shared" ref="Y1130:Y1131" si="451">SUM(U1130*X1130)</f>
        <v>0</v>
      </c>
      <c r="Z1130" s="56">
        <f t="shared" ref="Z1130:Z1131" si="452">W1130+Y1130</f>
        <v>0</v>
      </c>
      <c r="AA1130" s="52">
        <v>5.5</v>
      </c>
      <c r="AB1130" s="56">
        <v>70503975</v>
      </c>
      <c r="AC1130" s="53"/>
      <c r="AD1130" s="52"/>
      <c r="AE1130" s="52"/>
      <c r="AF1130" s="8">
        <v>70503975</v>
      </c>
      <c r="AG1130" s="5"/>
      <c r="AH1130" s="36"/>
    </row>
    <row r="1131" spans="1:35" s="1" customFormat="1" x14ac:dyDescent="0.25">
      <c r="A1131" s="21"/>
      <c r="B1131" s="22"/>
      <c r="C1131" s="65"/>
      <c r="D1131" s="24"/>
      <c r="E1131" s="52"/>
      <c r="F1131" s="24"/>
      <c r="G1131" s="24"/>
      <c r="H1131" s="24"/>
      <c r="I1131" s="24"/>
      <c r="J1131" s="24"/>
      <c r="K1131" s="24"/>
      <c r="L1131" s="24"/>
      <c r="M1131" s="24"/>
      <c r="N1131" s="53">
        <v>49800000</v>
      </c>
      <c r="O1131" s="53">
        <v>49800000</v>
      </c>
      <c r="P1131" s="52">
        <v>49800000</v>
      </c>
      <c r="Q1131" s="43">
        <f t="shared" si="430"/>
        <v>0</v>
      </c>
      <c r="R1131" s="52"/>
      <c r="S1131" s="53">
        <v>762673525</v>
      </c>
      <c r="T1131" s="52">
        <v>46</v>
      </c>
      <c r="U1131" s="53">
        <f t="shared" ref="U1131" si="453">SUM(S1131/T1131)</f>
        <v>16579859.239130436</v>
      </c>
      <c r="V1131" s="52">
        <v>0.5</v>
      </c>
      <c r="W1131" s="53">
        <f t="shared" ref="W1131" si="454">SUM(U1131*V1131)</f>
        <v>8289929.6195652178</v>
      </c>
      <c r="X1131" s="52"/>
      <c r="Y1131" s="56">
        <f t="shared" si="451"/>
        <v>0</v>
      </c>
      <c r="Z1131" s="56">
        <f t="shared" si="452"/>
        <v>8289929.6195652178</v>
      </c>
      <c r="AA1131" s="52">
        <f>3.25+0.5+0.5+0.5+0.5+0.5+0.5+0.5</f>
        <v>6.75</v>
      </c>
      <c r="AB1131" s="56">
        <f t="shared" ref="AB1131" si="455">SUM(U1131*AA1131)</f>
        <v>111914049.86413044</v>
      </c>
      <c r="AC1131" s="53">
        <f t="shared" ref="AC1131" si="456">SUM(S1131-AB1131)</f>
        <v>650759475.1358695</v>
      </c>
      <c r="AD1131" s="52" t="s">
        <v>1307</v>
      </c>
      <c r="AE1131" s="52"/>
      <c r="AF1131" s="8">
        <v>103624120.24456522</v>
      </c>
      <c r="AG1131" s="5"/>
      <c r="AH1131" s="36"/>
    </row>
    <row r="1132" spans="1:35" s="1" customFormat="1" x14ac:dyDescent="0.25">
      <c r="A1132" s="21">
        <v>34</v>
      </c>
      <c r="B1132" s="22" t="s">
        <v>1794</v>
      </c>
      <c r="C1132" s="65" t="s">
        <v>84</v>
      </c>
      <c r="D1132" s="24" t="s">
        <v>1326</v>
      </c>
      <c r="E1132" s="52"/>
      <c r="F1132" s="24"/>
      <c r="G1132" s="24" t="s">
        <v>1309</v>
      </c>
      <c r="H1132" s="24" t="s">
        <v>62</v>
      </c>
      <c r="I1132" s="24">
        <v>2012</v>
      </c>
      <c r="J1132" s="24"/>
      <c r="K1132" s="24"/>
      <c r="L1132" s="24" t="s">
        <v>64</v>
      </c>
      <c r="M1132" s="24">
        <v>1</v>
      </c>
      <c r="N1132" s="53">
        <v>61250000</v>
      </c>
      <c r="O1132" s="53">
        <v>61250000</v>
      </c>
      <c r="P1132" s="52">
        <v>61250000</v>
      </c>
      <c r="Q1132" s="43">
        <f>O1132-P1132</f>
        <v>0</v>
      </c>
      <c r="R1132" s="52"/>
      <c r="S1132" s="53">
        <v>61250000</v>
      </c>
      <c r="T1132" s="52">
        <v>50</v>
      </c>
      <c r="U1132" s="53">
        <f>SUM(S1132/T1132)</f>
        <v>1225000</v>
      </c>
      <c r="V1132" s="52">
        <v>0.5</v>
      </c>
      <c r="W1132" s="53">
        <f>SUM(U1132*V1132)</f>
        <v>612500</v>
      </c>
      <c r="X1132" s="52"/>
      <c r="Y1132" s="56">
        <f>SUM(U1132*X1132)</f>
        <v>0</v>
      </c>
      <c r="Z1132" s="56">
        <f>W1132+Y1132</f>
        <v>612500</v>
      </c>
      <c r="AA1132" s="52">
        <v>11.5</v>
      </c>
      <c r="AB1132" s="56">
        <f>SUM(U1132*AA1132)</f>
        <v>14087500</v>
      </c>
      <c r="AC1132" s="53">
        <f>SUM(S1132-AB1132)</f>
        <v>47162500</v>
      </c>
      <c r="AD1132" s="52" t="s">
        <v>1307</v>
      </c>
      <c r="AE1132" s="52"/>
      <c r="AF1132" s="8"/>
      <c r="AG1132" s="5"/>
      <c r="AH1132" s="36"/>
    </row>
    <row r="1133" spans="1:35" s="1" customFormat="1" x14ac:dyDescent="0.25">
      <c r="A1133" s="21"/>
      <c r="B1133" s="22"/>
      <c r="C1133" s="65"/>
      <c r="D1133" s="24"/>
      <c r="E1133" s="52"/>
      <c r="F1133" s="24"/>
      <c r="G1133" s="24"/>
      <c r="H1133" s="24"/>
      <c r="I1133" s="24"/>
      <c r="J1133" s="24"/>
      <c r="K1133" s="24"/>
      <c r="L1133" s="24"/>
      <c r="M1133" s="24"/>
      <c r="N1133" s="53"/>
      <c r="O1133" s="53"/>
      <c r="P1133" s="52"/>
      <c r="Q1133" s="43"/>
      <c r="R1133" s="52"/>
      <c r="S1133" s="53"/>
      <c r="T1133" s="52"/>
      <c r="U1133" s="53"/>
      <c r="V1133" s="52"/>
      <c r="W1133" s="53"/>
      <c r="X1133" s="52"/>
      <c r="Y1133" s="56"/>
      <c r="Z1133" s="56"/>
      <c r="AA1133" s="57"/>
      <c r="AB1133" s="56"/>
      <c r="AC1133" s="53"/>
      <c r="AD1133" s="52"/>
      <c r="AE1133" s="52"/>
      <c r="AF1133" s="8"/>
      <c r="AG1133" s="5"/>
      <c r="AH1133" s="36"/>
    </row>
    <row r="1134" spans="1:35" s="1" customFormat="1" ht="25.5" x14ac:dyDescent="0.25">
      <c r="A1134" s="25"/>
      <c r="B1134" s="26" t="s">
        <v>1340</v>
      </c>
      <c r="C1134" s="26"/>
      <c r="D1134" s="64" t="s">
        <v>1341</v>
      </c>
      <c r="E1134" s="28"/>
      <c r="F1134" s="28"/>
      <c r="G1134" s="28"/>
      <c r="H1134" s="28"/>
      <c r="I1134" s="28"/>
      <c r="J1134" s="28"/>
      <c r="K1134" s="28"/>
      <c r="L1134" s="28"/>
      <c r="M1134" s="28">
        <f>SUM(M1135:M1175)</f>
        <v>17</v>
      </c>
      <c r="N1134" s="47">
        <f>SUM(N1135:N1173)</f>
        <v>7987371456</v>
      </c>
      <c r="O1134" s="40">
        <f>SUM(O1135:O1175)</f>
        <v>9055726995</v>
      </c>
      <c r="P1134" s="28">
        <f>SUM(P1135:P1176)</f>
        <v>973466830</v>
      </c>
      <c r="Q1134" s="28">
        <f>SUM(Q1135:Q1176)</f>
        <v>99942530.5</v>
      </c>
      <c r="R1134" s="28">
        <f>SUM(R1135:R1176)</f>
        <v>0</v>
      </c>
      <c r="S1134" s="40">
        <f>SUM(S1135:S1175)</f>
        <v>12863311422.352747</v>
      </c>
      <c r="T1134" s="40"/>
      <c r="U1134" s="40">
        <f>SUM(U1135:U1175)</f>
        <v>461839411.68640083</v>
      </c>
      <c r="V1134" s="40"/>
      <c r="W1134" s="40">
        <f>SUM(W1135:W1175)</f>
        <v>110343526.18315722</v>
      </c>
      <c r="X1134" s="40"/>
      <c r="Y1134" s="40">
        <f>SUM(Y1135:Y1173)</f>
        <v>0</v>
      </c>
      <c r="Z1134" s="40">
        <f>SUM(Z1135:Z1175)</f>
        <v>110343526.18315722</v>
      </c>
      <c r="AA1134" s="40"/>
      <c r="AB1134" s="40">
        <f>SUM(AB1135:AB1175)</f>
        <v>3875326486.5936737</v>
      </c>
      <c r="AC1134" s="40">
        <f>SUM(AC1135:AC1175)</f>
        <v>5180400508.4063263</v>
      </c>
      <c r="AD1134" s="28"/>
      <c r="AE1134" s="28"/>
      <c r="AF1134" s="8">
        <v>3764982960.4105167</v>
      </c>
      <c r="AG1134" s="8"/>
    </row>
    <row r="1135" spans="1:35" s="1" customFormat="1" x14ac:dyDescent="0.25">
      <c r="A1135" s="21">
        <v>1</v>
      </c>
      <c r="B1135" s="22" t="s">
        <v>1795</v>
      </c>
      <c r="C1135" s="65" t="s">
        <v>153</v>
      </c>
      <c r="D1135" s="24" t="s">
        <v>351</v>
      </c>
      <c r="E1135" s="52"/>
      <c r="F1135" s="24"/>
      <c r="G1135" s="24" t="s">
        <v>1309</v>
      </c>
      <c r="H1135" s="24" t="s">
        <v>62</v>
      </c>
      <c r="I1135" s="24">
        <v>1985</v>
      </c>
      <c r="J1135" s="24"/>
      <c r="K1135" s="24"/>
      <c r="L1135" s="24" t="s">
        <v>64</v>
      </c>
      <c r="M1135" s="24">
        <v>1</v>
      </c>
      <c r="N1135" s="41">
        <f>142710000+(19959000/8)</f>
        <v>145204875</v>
      </c>
      <c r="O1135" s="41">
        <f>142710000+(19959000/8)</f>
        <v>145204875</v>
      </c>
      <c r="P1135" s="24"/>
      <c r="Q1135" s="24"/>
      <c r="R1135" s="24"/>
      <c r="S1135" s="41"/>
      <c r="T1135" s="24"/>
      <c r="U1135" s="41"/>
      <c r="V1135" s="24"/>
      <c r="W1135" s="41"/>
      <c r="X1135" s="24"/>
      <c r="Y1135" s="70">
        <f>SUM(U1135*X1135)</f>
        <v>0</v>
      </c>
      <c r="Z1135" s="70">
        <f t="shared" ref="Z1135:Z1174" si="457">W1135+Y1135</f>
        <v>0</v>
      </c>
      <c r="AA1135" s="24">
        <v>30.5</v>
      </c>
      <c r="AB1135" s="70">
        <v>87122925</v>
      </c>
      <c r="AC1135" s="41"/>
      <c r="AD1135" s="24"/>
      <c r="AE1135" s="24"/>
      <c r="AF1135" s="8">
        <f>AF1134+W1134-AB1134</f>
        <v>0</v>
      </c>
      <c r="AG1135" s="5"/>
      <c r="AI1135" s="5"/>
    </row>
    <row r="1136" spans="1:35" s="1" customFormat="1" x14ac:dyDescent="0.25">
      <c r="A1136" s="21"/>
      <c r="B1136" s="22"/>
      <c r="C1136" s="65"/>
      <c r="D1136" s="24"/>
      <c r="E1136" s="52"/>
      <c r="F1136" s="24"/>
      <c r="G1136" s="24"/>
      <c r="H1136" s="24"/>
      <c r="I1136" s="24"/>
      <c r="J1136" s="24"/>
      <c r="K1136" s="24"/>
      <c r="L1136" s="24"/>
      <c r="M1136" s="24"/>
      <c r="N1136" s="41">
        <f>(124569000/8)+(7467000/8)</f>
        <v>16504500</v>
      </c>
      <c r="O1136" s="41">
        <f>(124569000/8)+(7467000/8)</f>
        <v>16504500</v>
      </c>
      <c r="P1136" s="24"/>
      <c r="Q1136" s="24"/>
      <c r="R1136" s="24"/>
      <c r="S1136" s="41">
        <v>74586450</v>
      </c>
      <c r="T1136" s="24">
        <v>20</v>
      </c>
      <c r="U1136" s="41">
        <f t="shared" ref="U1136:U1141" si="458">SUM(S1136/T1136)</f>
        <v>3729322.5</v>
      </c>
      <c r="V1136" s="24"/>
      <c r="W1136" s="41">
        <f>SUM(U1136*V1136)</f>
        <v>0</v>
      </c>
      <c r="X1136" s="24"/>
      <c r="Y1136" s="70">
        <f>SUM(U1136*X1136)</f>
        <v>0</v>
      </c>
      <c r="Z1136" s="70"/>
      <c r="AA1136" s="72">
        <f>4.66666666666667+0.5+0.5+0.5+0.5+0.5</f>
        <v>7.1666666666666696</v>
      </c>
      <c r="AB1136" s="70">
        <v>26726811.250000011</v>
      </c>
      <c r="AC1136" s="41"/>
      <c r="AD1136" s="24" t="s">
        <v>1307</v>
      </c>
      <c r="AE1136" s="24"/>
      <c r="AF1136" s="8"/>
      <c r="AG1136" s="5"/>
      <c r="AI1136" s="5"/>
    </row>
    <row r="1137" spans="1:35" s="1" customFormat="1" x14ac:dyDescent="0.25">
      <c r="A1137" s="21"/>
      <c r="B1137" s="22"/>
      <c r="C1137" s="65"/>
      <c r="D1137" s="24"/>
      <c r="E1137" s="52"/>
      <c r="F1137" s="24"/>
      <c r="G1137" s="24"/>
      <c r="H1137" s="24"/>
      <c r="I1137" s="24"/>
      <c r="J1137" s="24"/>
      <c r="K1137" s="24"/>
      <c r="L1137" s="24"/>
      <c r="M1137" s="24"/>
      <c r="N1137" s="53">
        <f>76000000/2</f>
        <v>38000000</v>
      </c>
      <c r="O1137" s="53">
        <f>76000000/2</f>
        <v>38000000</v>
      </c>
      <c r="P1137" s="52"/>
      <c r="Q1137" s="52"/>
      <c r="R1137" s="52"/>
      <c r="S1137" s="53">
        <v>85859638.749999985</v>
      </c>
      <c r="T1137" s="57">
        <f>T1136-AA1136</f>
        <v>12.83333333333333</v>
      </c>
      <c r="U1137" s="53">
        <f t="shared" si="458"/>
        <v>6690361.4610389611</v>
      </c>
      <c r="V1137" s="57">
        <v>0.5</v>
      </c>
      <c r="W1137" s="53">
        <f>SUM(U1137*V1137)</f>
        <v>3345180.7305194805</v>
      </c>
      <c r="X1137" s="52"/>
      <c r="Y1137" s="56">
        <f t="shared" ref="Y1137" si="459">SUM(U1137*X1137)</f>
        <v>0</v>
      </c>
      <c r="Z1137" s="56">
        <f t="shared" si="457"/>
        <v>3345180.7305194805</v>
      </c>
      <c r="AA1137" s="57">
        <f>4/12+0.5+0.5</f>
        <v>1.3333333333333333</v>
      </c>
      <c r="AB1137" s="56">
        <f>SUM(U1137*AA1137)</f>
        <v>8920481.9480519481</v>
      </c>
      <c r="AC1137" s="53">
        <f>SUM(S1137-AB1137)</f>
        <v>76939156.801948041</v>
      </c>
      <c r="AD1137" s="24"/>
      <c r="AE1137" s="24"/>
      <c r="AF1137" s="8"/>
      <c r="AG1137" s="5"/>
      <c r="AI1137" s="5"/>
    </row>
    <row r="1138" spans="1:35" s="1" customFormat="1" x14ac:dyDescent="0.25">
      <c r="A1138" s="21">
        <v>2</v>
      </c>
      <c r="B1138" s="22" t="s">
        <v>1795</v>
      </c>
      <c r="C1138" s="65" t="s">
        <v>58</v>
      </c>
      <c r="D1138" s="24" t="s">
        <v>1342</v>
      </c>
      <c r="E1138" s="52"/>
      <c r="F1138" s="24"/>
      <c r="G1138" s="24" t="s">
        <v>1309</v>
      </c>
      <c r="H1138" s="24" t="s">
        <v>62</v>
      </c>
      <c r="I1138" s="24">
        <v>1985</v>
      </c>
      <c r="J1138" s="24"/>
      <c r="K1138" s="24"/>
      <c r="L1138" s="24" t="s">
        <v>64</v>
      </c>
      <c r="M1138" s="24">
        <v>1</v>
      </c>
      <c r="N1138" s="41">
        <v>983052000</v>
      </c>
      <c r="O1138" s="41">
        <v>983052000</v>
      </c>
      <c r="P1138" s="24"/>
      <c r="Q1138" s="24"/>
      <c r="R1138" s="24"/>
      <c r="S1138" s="41">
        <v>983052000</v>
      </c>
      <c r="T1138" s="24">
        <v>50</v>
      </c>
      <c r="U1138" s="41">
        <f t="shared" si="458"/>
        <v>19661040</v>
      </c>
      <c r="V1138" s="24">
        <v>0.5</v>
      </c>
      <c r="W1138" s="41"/>
      <c r="X1138" s="24"/>
      <c r="Y1138" s="70"/>
      <c r="Z1138" s="70">
        <f t="shared" si="457"/>
        <v>0</v>
      </c>
      <c r="AA1138" s="24">
        <v>33.5</v>
      </c>
      <c r="AB1138" s="70">
        <f>SUM(U1138*AA1138)</f>
        <v>658644840</v>
      </c>
      <c r="AC1138" s="41"/>
      <c r="AD1138" s="24" t="s">
        <v>1307</v>
      </c>
      <c r="AE1138" s="24"/>
      <c r="AF1138" s="8"/>
      <c r="AG1138" s="5"/>
      <c r="AI1138" s="5"/>
    </row>
    <row r="1139" spans="1:35" s="1" customFormat="1" x14ac:dyDescent="0.25">
      <c r="A1139" s="21"/>
      <c r="B1139" s="22"/>
      <c r="C1139" s="65"/>
      <c r="D1139" s="24"/>
      <c r="E1139" s="52"/>
      <c r="F1139" s="24"/>
      <c r="G1139" s="24"/>
      <c r="H1139" s="24"/>
      <c r="I1139" s="24"/>
      <c r="J1139" s="24"/>
      <c r="K1139" s="24"/>
      <c r="L1139" s="24"/>
      <c r="M1139" s="24"/>
      <c r="N1139" s="41">
        <v>120138750</v>
      </c>
      <c r="O1139" s="41">
        <v>120138750</v>
      </c>
      <c r="P1139" s="24"/>
      <c r="Q1139" s="24"/>
      <c r="R1139" s="24"/>
      <c r="S1139" s="41">
        <v>444545910</v>
      </c>
      <c r="T1139" s="24">
        <v>17</v>
      </c>
      <c r="U1139" s="41">
        <f t="shared" si="458"/>
        <v>26149759.411764707</v>
      </c>
      <c r="V1139" s="24"/>
      <c r="W1139" s="41">
        <f>SUM(U1139*V1139)</f>
        <v>0</v>
      </c>
      <c r="X1139" s="24"/>
      <c r="Y1139" s="70">
        <f t="shared" ref="Y1139:Y1152" si="460">SUM(U1139*X1139)</f>
        <v>0</v>
      </c>
      <c r="Z1139" s="70"/>
      <c r="AA1139" s="72">
        <f>1.08333333333333+0.5+0.5+0.5+0.5+0.5+0.5</f>
        <v>4.0833333333333304</v>
      </c>
      <c r="AB1139" s="70">
        <f>SUM(U1139*AA1139)</f>
        <v>106778184.26470581</v>
      </c>
      <c r="AC1139" s="41"/>
      <c r="AD1139" s="24"/>
      <c r="AE1139" s="24"/>
      <c r="AF1139" s="8"/>
      <c r="AG1139" s="5"/>
      <c r="AI1139" s="5"/>
    </row>
    <row r="1140" spans="1:35" s="1" customFormat="1" x14ac:dyDescent="0.25">
      <c r="A1140" s="21"/>
      <c r="B1140" s="22"/>
      <c r="C1140" s="65"/>
      <c r="D1140" s="24"/>
      <c r="E1140" s="52"/>
      <c r="F1140" s="24"/>
      <c r="G1140" s="24"/>
      <c r="H1140" s="24"/>
      <c r="I1140" s="24"/>
      <c r="J1140" s="24"/>
      <c r="K1140" s="24"/>
      <c r="L1140" s="24"/>
      <c r="M1140" s="24"/>
      <c r="N1140" s="53">
        <v>24969000</v>
      </c>
      <c r="O1140" s="53">
        <v>24969000</v>
      </c>
      <c r="P1140" s="52"/>
      <c r="Q1140" s="52"/>
      <c r="R1140" s="52"/>
      <c r="S1140" s="53">
        <v>362736725.73529422</v>
      </c>
      <c r="T1140" s="57">
        <f>T1139-AA1139</f>
        <v>12.91666666666667</v>
      </c>
      <c r="U1140" s="53">
        <f t="shared" si="458"/>
        <v>28082843.282732449</v>
      </c>
      <c r="V1140" s="52">
        <v>0.5</v>
      </c>
      <c r="W1140" s="53">
        <f>SUM(U1140*V1140)</f>
        <v>14041421.641366225</v>
      </c>
      <c r="X1140" s="57"/>
      <c r="Y1140" s="56">
        <f t="shared" si="460"/>
        <v>0</v>
      </c>
      <c r="Z1140" s="56">
        <f t="shared" si="457"/>
        <v>14041421.641366225</v>
      </c>
      <c r="AA1140" s="57">
        <f>4/12+0.5</f>
        <v>0.83333333333333326</v>
      </c>
      <c r="AB1140" s="56">
        <f>SUM(U1140*AA1140)</f>
        <v>23402369.402277038</v>
      </c>
      <c r="AC1140" s="53"/>
      <c r="AD1140" s="52"/>
      <c r="AE1140" s="24"/>
      <c r="AF1140" s="8"/>
      <c r="AG1140" s="5"/>
      <c r="AI1140" s="5"/>
    </row>
    <row r="1141" spans="1:35" s="1" customFormat="1" x14ac:dyDescent="0.25">
      <c r="A1141" s="21"/>
      <c r="B1141" s="22"/>
      <c r="C1141" s="65"/>
      <c r="D1141" s="24"/>
      <c r="E1141" s="52"/>
      <c r="F1141" s="24"/>
      <c r="G1141" s="24"/>
      <c r="H1141" s="24"/>
      <c r="I1141" s="24"/>
      <c r="J1141" s="24"/>
      <c r="K1141" s="24"/>
      <c r="L1141" s="24"/>
      <c r="M1141" s="24"/>
      <c r="N1141" s="311">
        <v>99942530.5</v>
      </c>
      <c r="O1141" s="311">
        <v>99942530.5</v>
      </c>
      <c r="P1141" s="310"/>
      <c r="Q1141" s="311">
        <f t="shared" ref="Q1141" si="461">O1141-P1141</f>
        <v>99942530.5</v>
      </c>
      <c r="R1141" s="310"/>
      <c r="S1141" s="311">
        <v>439276886.83301699</v>
      </c>
      <c r="T1141" s="312">
        <f>T1140-AA1140</f>
        <v>12.083333333333336</v>
      </c>
      <c r="U1141" s="311">
        <f t="shared" si="458"/>
        <v>36353949.255146228</v>
      </c>
      <c r="V1141" s="312">
        <f>1/12</f>
        <v>8.3333333333333329E-2</v>
      </c>
      <c r="W1141" s="311">
        <f>SUM(U1141*V1141)</f>
        <v>3029495.7712621856</v>
      </c>
      <c r="X1141" s="312"/>
      <c r="Y1141" s="313"/>
      <c r="Z1141" s="313">
        <f t="shared" si="457"/>
        <v>3029495.7712621856</v>
      </c>
      <c r="AA1141" s="312">
        <v>8.3333333333333329E-2</v>
      </c>
      <c r="AB1141" s="313">
        <f>SUM(U1141*AA1141)</f>
        <v>3029495.7712621856</v>
      </c>
      <c r="AC1141" s="311">
        <f>SUM(S1141-AB1141)</f>
        <v>436247391.06175482</v>
      </c>
      <c r="AD1141" s="52"/>
      <c r="AE1141" s="24"/>
      <c r="AF1141" s="8"/>
      <c r="AG1141" s="5"/>
      <c r="AI1141" s="5"/>
    </row>
    <row r="1142" spans="1:35" s="1" customFormat="1" x14ac:dyDescent="0.25">
      <c r="A1142" s="21">
        <v>3</v>
      </c>
      <c r="B1142" s="22" t="s">
        <v>1795</v>
      </c>
      <c r="C1142" s="65" t="s">
        <v>156</v>
      </c>
      <c r="D1142" s="24" t="s">
        <v>1343</v>
      </c>
      <c r="E1142" s="52"/>
      <c r="F1142" s="24"/>
      <c r="G1142" s="24" t="s">
        <v>1309</v>
      </c>
      <c r="H1142" s="24" t="s">
        <v>62</v>
      </c>
      <c r="I1142" s="24">
        <v>1985</v>
      </c>
      <c r="J1142" s="24"/>
      <c r="K1142" s="24"/>
      <c r="L1142" s="24" t="s">
        <v>64</v>
      </c>
      <c r="M1142" s="24">
        <v>1</v>
      </c>
      <c r="N1142" s="41">
        <f>142710000+(19959000/8)</f>
        <v>145204875</v>
      </c>
      <c r="O1142" s="41">
        <f>142710000+(19959000/8)</f>
        <v>145204875</v>
      </c>
      <c r="P1142" s="24"/>
      <c r="Q1142" s="24"/>
      <c r="R1142" s="24"/>
      <c r="S1142" s="41"/>
      <c r="T1142" s="24"/>
      <c r="U1142" s="41"/>
      <c r="V1142" s="24"/>
      <c r="W1142" s="41"/>
      <c r="X1142" s="24"/>
      <c r="Y1142" s="70">
        <f t="shared" si="460"/>
        <v>0</v>
      </c>
      <c r="Z1142" s="70">
        <f t="shared" si="457"/>
        <v>0</v>
      </c>
      <c r="AA1142" s="24">
        <v>30</v>
      </c>
      <c r="AB1142" s="70">
        <v>87122925</v>
      </c>
      <c r="AC1142" s="41"/>
      <c r="AD1142" s="24"/>
      <c r="AE1142" s="24"/>
      <c r="AF1142" s="8"/>
      <c r="AG1142" s="5"/>
      <c r="AI1142" s="5"/>
    </row>
    <row r="1143" spans="1:35" s="1" customFormat="1" x14ac:dyDescent="0.25">
      <c r="A1143" s="21"/>
      <c r="B1143" s="22"/>
      <c r="C1143" s="65"/>
      <c r="D1143" s="24"/>
      <c r="E1143" s="52"/>
      <c r="F1143" s="24"/>
      <c r="G1143" s="24"/>
      <c r="H1143" s="24"/>
      <c r="I1143" s="24"/>
      <c r="J1143" s="24"/>
      <c r="K1143" s="24"/>
      <c r="L1143" s="24"/>
      <c r="M1143" s="24"/>
      <c r="N1143" s="41">
        <f>(124569000/8)+(7467000/8)</f>
        <v>16504500</v>
      </c>
      <c r="O1143" s="41">
        <f>(124569000/8)+(7467000/8)</f>
        <v>16504500</v>
      </c>
      <c r="P1143" s="24"/>
      <c r="Q1143" s="24"/>
      <c r="R1143" s="24"/>
      <c r="S1143" s="41">
        <v>74586450</v>
      </c>
      <c r="T1143" s="24">
        <v>20</v>
      </c>
      <c r="U1143" s="41">
        <f>SUM(S1143/T1143)</f>
        <v>3729322.5</v>
      </c>
      <c r="V1143" s="24">
        <v>0.5</v>
      </c>
      <c r="W1143" s="41"/>
      <c r="X1143" s="24"/>
      <c r="Y1143" s="70">
        <f t="shared" si="460"/>
        <v>0</v>
      </c>
      <c r="Z1143" s="70"/>
      <c r="AA1143" s="72">
        <f>8/12+1+0.5+1+0.5+0.5</f>
        <v>4.1666666666666661</v>
      </c>
      <c r="AB1143" s="70">
        <f>SUM(U1143*AA1143)</f>
        <v>15538843.749999998</v>
      </c>
      <c r="AC1143" s="41"/>
      <c r="AD1143" s="24" t="s">
        <v>1307</v>
      </c>
      <c r="AE1143" s="24"/>
      <c r="AF1143" s="8"/>
      <c r="AG1143" s="5"/>
      <c r="AI1143" s="5"/>
    </row>
    <row r="1144" spans="1:35" s="1" customFormat="1" x14ac:dyDescent="0.25">
      <c r="A1144" s="21"/>
      <c r="B1144" s="22"/>
      <c r="C1144" s="65"/>
      <c r="D1144" s="24"/>
      <c r="E1144" s="52"/>
      <c r="F1144" s="24"/>
      <c r="G1144" s="24"/>
      <c r="H1144" s="24"/>
      <c r="I1144" s="24"/>
      <c r="J1144" s="24"/>
      <c r="K1144" s="24"/>
      <c r="L1144" s="24"/>
      <c r="M1144" s="24"/>
      <c r="N1144" s="53">
        <v>49847500</v>
      </c>
      <c r="O1144" s="53">
        <v>49847500</v>
      </c>
      <c r="P1144" s="52"/>
      <c r="Q1144" s="52"/>
      <c r="R1144" s="52"/>
      <c r="S1144" s="53">
        <v>108895106.25</v>
      </c>
      <c r="T1144" s="57">
        <f>T1143-AA1143+5</f>
        <v>20.833333333333336</v>
      </c>
      <c r="U1144" s="53">
        <f>SUM(S1144/T1144)</f>
        <v>5226965.0999999996</v>
      </c>
      <c r="V1144" s="52">
        <v>0.5</v>
      </c>
      <c r="W1144" s="53">
        <f>SUM(U1144*V1144)</f>
        <v>2613482.5499999998</v>
      </c>
      <c r="X1144" s="54"/>
      <c r="Y1144" s="56">
        <f t="shared" si="460"/>
        <v>0</v>
      </c>
      <c r="Z1144" s="56">
        <f t="shared" si="457"/>
        <v>2613482.5499999998</v>
      </c>
      <c r="AA1144" s="57">
        <f>1/12+0.5+0.5+0.5+0.5+0.5+0.5+0.5</f>
        <v>3.5833333333333335</v>
      </c>
      <c r="AB1144" s="56">
        <f>SUM(U1144*AA1144)</f>
        <v>18729958.274999999</v>
      </c>
      <c r="AC1144" s="53">
        <f>SUM(S1144-AB1144)</f>
        <v>90165147.974999994</v>
      </c>
      <c r="AD1144" s="52"/>
      <c r="AE1144" s="24"/>
      <c r="AF1144" s="8"/>
      <c r="AG1144" s="5"/>
      <c r="AI1144" s="5"/>
    </row>
    <row r="1145" spans="1:35" s="1" customFormat="1" x14ac:dyDescent="0.25">
      <c r="A1145" s="21">
        <v>4</v>
      </c>
      <c r="B1145" s="22" t="s">
        <v>1795</v>
      </c>
      <c r="C1145" s="65" t="s">
        <v>159</v>
      </c>
      <c r="D1145" s="24" t="s">
        <v>1344</v>
      </c>
      <c r="E1145" s="52"/>
      <c r="F1145" s="24"/>
      <c r="G1145" s="24" t="s">
        <v>1309</v>
      </c>
      <c r="H1145" s="24" t="s">
        <v>62</v>
      </c>
      <c r="I1145" s="24">
        <v>1985</v>
      </c>
      <c r="J1145" s="24"/>
      <c r="K1145" s="24"/>
      <c r="L1145" s="24" t="s">
        <v>64</v>
      </c>
      <c r="M1145" s="24">
        <v>1</v>
      </c>
      <c r="N1145" s="53">
        <v>106523000</v>
      </c>
      <c r="O1145" s="53">
        <v>106523000</v>
      </c>
      <c r="P1145" s="52"/>
      <c r="Q1145" s="52"/>
      <c r="R1145" s="52"/>
      <c r="S1145" s="53">
        <v>106523000</v>
      </c>
      <c r="T1145" s="52">
        <v>50</v>
      </c>
      <c r="U1145" s="53">
        <f>SUM(S1145/T1145)</f>
        <v>2130460</v>
      </c>
      <c r="V1145" s="52">
        <v>0.5</v>
      </c>
      <c r="W1145" s="53">
        <f>SUM(U1145*V1145)</f>
        <v>1065230</v>
      </c>
      <c r="X1145" s="52"/>
      <c r="Y1145" s="56">
        <f t="shared" si="460"/>
        <v>0</v>
      </c>
      <c r="Z1145" s="56">
        <f t="shared" si="457"/>
        <v>1065230</v>
      </c>
      <c r="AA1145" s="52">
        <v>38.5</v>
      </c>
      <c r="AB1145" s="56">
        <f>SUM(U1145*AA1145)</f>
        <v>82022710</v>
      </c>
      <c r="AC1145" s="53">
        <f>SUM(S1145-AB1145)</f>
        <v>24500290</v>
      </c>
      <c r="AD1145" s="52" t="s">
        <v>1307</v>
      </c>
      <c r="AE1145" s="24"/>
      <c r="AF1145" s="8"/>
      <c r="AG1145" s="5"/>
      <c r="AI1145" s="5"/>
    </row>
    <row r="1146" spans="1:35" s="1" customFormat="1" x14ac:dyDescent="0.25">
      <c r="A1146" s="21">
        <v>5</v>
      </c>
      <c r="B1146" s="22" t="s">
        <v>1795</v>
      </c>
      <c r="C1146" s="65" t="s">
        <v>143</v>
      </c>
      <c r="D1146" s="24" t="s">
        <v>1345</v>
      </c>
      <c r="E1146" s="52"/>
      <c r="F1146" s="24"/>
      <c r="G1146" s="24" t="s">
        <v>1309</v>
      </c>
      <c r="H1146" s="24" t="s">
        <v>62</v>
      </c>
      <c r="I1146" s="24">
        <v>1985</v>
      </c>
      <c r="J1146" s="24"/>
      <c r="K1146" s="24"/>
      <c r="L1146" s="24" t="s">
        <v>64</v>
      </c>
      <c r="M1146" s="24">
        <v>1</v>
      </c>
      <c r="N1146" s="53">
        <f>300303000+9967000</f>
        <v>310270000</v>
      </c>
      <c r="O1146" s="53">
        <f>300303000+9967000</f>
        <v>310270000</v>
      </c>
      <c r="P1146" s="52"/>
      <c r="Q1146" s="52"/>
      <c r="R1146" s="52"/>
      <c r="S1146" s="53"/>
      <c r="T1146" s="52"/>
      <c r="U1146" s="53"/>
      <c r="V1146" s="52"/>
      <c r="W1146" s="53"/>
      <c r="X1146" s="52"/>
      <c r="Y1146" s="56">
        <f t="shared" si="460"/>
        <v>0</v>
      </c>
      <c r="Z1146" s="56">
        <f t="shared" si="457"/>
        <v>0</v>
      </c>
      <c r="AA1146" s="52">
        <v>30.5</v>
      </c>
      <c r="AB1146" s="56">
        <v>186162000</v>
      </c>
      <c r="AC1146" s="53"/>
      <c r="AD1146" s="52"/>
      <c r="AE1146" s="24"/>
      <c r="AF1146" s="8"/>
      <c r="AG1146" s="5"/>
      <c r="AI1146" s="5"/>
    </row>
    <row r="1147" spans="1:35" s="1" customFormat="1" x14ac:dyDescent="0.25">
      <c r="A1147" s="21"/>
      <c r="B1147" s="22"/>
      <c r="C1147" s="65"/>
      <c r="D1147" s="24"/>
      <c r="E1147" s="52"/>
      <c r="F1147" s="24"/>
      <c r="G1147" s="24"/>
      <c r="H1147" s="24"/>
      <c r="I1147" s="24"/>
      <c r="J1147" s="24"/>
      <c r="K1147" s="24"/>
      <c r="L1147" s="24"/>
      <c r="M1147" s="24"/>
      <c r="N1147" s="53">
        <f>(124569000/8)+(7467000/8)</f>
        <v>16504500</v>
      </c>
      <c r="O1147" s="53">
        <f>(124569000/8)+(7467000/8)</f>
        <v>16504500</v>
      </c>
      <c r="P1147" s="52"/>
      <c r="Q1147" s="52"/>
      <c r="R1147" s="52"/>
      <c r="S1147" s="53">
        <v>140612500</v>
      </c>
      <c r="T1147" s="52">
        <v>20</v>
      </c>
      <c r="U1147" s="53">
        <f>SUM(S1147/T1147)</f>
        <v>7030625</v>
      </c>
      <c r="V1147" s="52">
        <v>0.5</v>
      </c>
      <c r="W1147" s="53"/>
      <c r="X1147" s="52"/>
      <c r="Y1147" s="56">
        <f t="shared" si="460"/>
        <v>0</v>
      </c>
      <c r="Z1147" s="56"/>
      <c r="AA1147" s="57">
        <f>4.66666666666667+0.5</f>
        <v>5.1666666666666696</v>
      </c>
      <c r="AB1147" s="56">
        <f>SUM(U1147*AA1147)</f>
        <v>36324895.833333351</v>
      </c>
      <c r="AC1147" s="53"/>
      <c r="AD1147" s="52" t="s">
        <v>1307</v>
      </c>
      <c r="AE1147" s="24"/>
      <c r="AF1147" s="8"/>
      <c r="AG1147" s="5"/>
      <c r="AI1147" s="5"/>
    </row>
    <row r="1148" spans="1:35" s="1" customFormat="1" x14ac:dyDescent="0.25">
      <c r="A1148" s="21"/>
      <c r="B1148" s="22"/>
      <c r="C1148" s="65"/>
      <c r="D1148" s="24"/>
      <c r="E1148" s="52"/>
      <c r="F1148" s="24"/>
      <c r="G1148" s="24"/>
      <c r="H1148" s="24"/>
      <c r="I1148" s="24"/>
      <c r="J1148" s="24"/>
      <c r="K1148" s="24"/>
      <c r="L1148" s="24"/>
      <c r="M1148" s="24"/>
      <c r="N1148" s="53">
        <v>49890000</v>
      </c>
      <c r="O1148" s="53">
        <v>49890000</v>
      </c>
      <c r="P1148" s="52"/>
      <c r="Q1148" s="52"/>
      <c r="R1148" s="52"/>
      <c r="S1148" s="53">
        <v>154177604.16666666</v>
      </c>
      <c r="T1148" s="57">
        <f>T1147-AA1147+5</f>
        <v>19.833333333333329</v>
      </c>
      <c r="U1148" s="53">
        <f>SUM(S1148/T1148)</f>
        <v>7773660.7142857155</v>
      </c>
      <c r="V1148" s="52">
        <v>0.5</v>
      </c>
      <c r="W1148" s="53">
        <f>SUM(U1148*V1148)</f>
        <v>3886830.3571428577</v>
      </c>
      <c r="X1148" s="54"/>
      <c r="Y1148" s="56">
        <f t="shared" si="460"/>
        <v>0</v>
      </c>
      <c r="Z1148" s="56">
        <f t="shared" si="457"/>
        <v>3886830.3571428577</v>
      </c>
      <c r="AA1148" s="57">
        <f>2/12+0.5+0.5+0.5+0.5+0.5</f>
        <v>2.6666666666666665</v>
      </c>
      <c r="AB1148" s="56">
        <f>SUM(U1148*AA1148)</f>
        <v>20729761.904761907</v>
      </c>
      <c r="AC1148" s="53">
        <f>SUM(S1148-AB1148)</f>
        <v>133447842.26190475</v>
      </c>
      <c r="AD1148" s="52"/>
      <c r="AE1148" s="24"/>
      <c r="AF1148" s="8"/>
      <c r="AG1148" s="5"/>
      <c r="AI1148" s="5"/>
    </row>
    <row r="1149" spans="1:35" s="1" customFormat="1" x14ac:dyDescent="0.25">
      <c r="A1149" s="21">
        <v>6</v>
      </c>
      <c r="B1149" s="22" t="s">
        <v>1795</v>
      </c>
      <c r="C1149" s="65" t="s">
        <v>140</v>
      </c>
      <c r="D1149" s="24" t="s">
        <v>1346</v>
      </c>
      <c r="E1149" s="52"/>
      <c r="F1149" s="24"/>
      <c r="G1149" s="24" t="s">
        <v>1309</v>
      </c>
      <c r="H1149" s="24" t="s">
        <v>62</v>
      </c>
      <c r="I1149" s="24">
        <v>1985</v>
      </c>
      <c r="J1149" s="24"/>
      <c r="K1149" s="24"/>
      <c r="L1149" s="24" t="s">
        <v>64</v>
      </c>
      <c r="M1149" s="24">
        <v>1</v>
      </c>
      <c r="N1149" s="53">
        <v>77471000</v>
      </c>
      <c r="O1149" s="53">
        <v>77471000</v>
      </c>
      <c r="P1149" s="52"/>
      <c r="Q1149" s="52"/>
      <c r="R1149" s="52"/>
      <c r="S1149" s="53">
        <v>77471000</v>
      </c>
      <c r="T1149" s="52">
        <v>50</v>
      </c>
      <c r="U1149" s="53">
        <f>SUM(S1149/T1149)</f>
        <v>1549420</v>
      </c>
      <c r="V1149" s="52">
        <v>0.5</v>
      </c>
      <c r="W1149" s="53">
        <f>SUM(U1149*V1149)</f>
        <v>774710</v>
      </c>
      <c r="X1149" s="52"/>
      <c r="Y1149" s="56">
        <f t="shared" si="460"/>
        <v>0</v>
      </c>
      <c r="Z1149" s="56">
        <f t="shared" si="457"/>
        <v>774710</v>
      </c>
      <c r="AA1149" s="52">
        <v>38.5</v>
      </c>
      <c r="AB1149" s="56">
        <f>SUM(U1149*AA1149)</f>
        <v>59652670</v>
      </c>
      <c r="AC1149" s="53">
        <f>SUM(S1149-AB1149)</f>
        <v>17818330</v>
      </c>
      <c r="AD1149" s="52" t="s">
        <v>1307</v>
      </c>
      <c r="AE1149" s="24"/>
      <c r="AF1149" s="8"/>
      <c r="AG1149" s="5"/>
      <c r="AI1149" s="5"/>
    </row>
    <row r="1150" spans="1:35" s="1" customFormat="1" x14ac:dyDescent="0.25">
      <c r="A1150" s="21">
        <v>7</v>
      </c>
      <c r="B1150" s="22" t="s">
        <v>1795</v>
      </c>
      <c r="C1150" s="65" t="s">
        <v>313</v>
      </c>
      <c r="D1150" s="24" t="s">
        <v>603</v>
      </c>
      <c r="E1150" s="52"/>
      <c r="F1150" s="24"/>
      <c r="G1150" s="24" t="s">
        <v>1309</v>
      </c>
      <c r="H1150" s="24" t="s">
        <v>62</v>
      </c>
      <c r="I1150" s="24">
        <v>1985</v>
      </c>
      <c r="J1150" s="24"/>
      <c r="K1150" s="24"/>
      <c r="L1150" s="24" t="s">
        <v>64</v>
      </c>
      <c r="M1150" s="24">
        <v>1</v>
      </c>
      <c r="N1150" s="53">
        <f>142710000+(19959000/8)</f>
        <v>145204875</v>
      </c>
      <c r="O1150" s="53">
        <f>142710000+(19959000/8)</f>
        <v>145204875</v>
      </c>
      <c r="P1150" s="52"/>
      <c r="Q1150" s="52"/>
      <c r="R1150" s="52"/>
      <c r="S1150" s="53"/>
      <c r="T1150" s="52"/>
      <c r="U1150" s="53"/>
      <c r="V1150" s="52"/>
      <c r="W1150" s="53"/>
      <c r="X1150" s="52"/>
      <c r="Y1150" s="56">
        <f t="shared" si="460"/>
        <v>0</v>
      </c>
      <c r="Z1150" s="56">
        <f t="shared" si="457"/>
        <v>0</v>
      </c>
      <c r="AA1150" s="52">
        <v>30.5</v>
      </c>
      <c r="AB1150" s="56">
        <v>87122925</v>
      </c>
      <c r="AC1150" s="53"/>
      <c r="AD1150" s="52"/>
      <c r="AE1150" s="24"/>
      <c r="AF1150" s="8"/>
      <c r="AG1150" s="5"/>
      <c r="AI1150" s="5"/>
    </row>
    <row r="1151" spans="1:35" s="1" customFormat="1" x14ac:dyDescent="0.25">
      <c r="A1151" s="21"/>
      <c r="B1151" s="22"/>
      <c r="C1151" s="65"/>
      <c r="D1151" s="24"/>
      <c r="E1151" s="52"/>
      <c r="F1151" s="24"/>
      <c r="G1151" s="24"/>
      <c r="H1151" s="24"/>
      <c r="I1151" s="24"/>
      <c r="J1151" s="24"/>
      <c r="K1151" s="24"/>
      <c r="L1151" s="24"/>
      <c r="M1151" s="24"/>
      <c r="N1151" s="53">
        <f>(124569000/8)+(7467000/8)</f>
        <v>16504500</v>
      </c>
      <c r="O1151" s="53">
        <f>(124569000/8)+(7467000/8)</f>
        <v>16504500</v>
      </c>
      <c r="P1151" s="52"/>
      <c r="Q1151" s="52"/>
      <c r="R1151" s="52"/>
      <c r="S1151" s="53">
        <v>74586450</v>
      </c>
      <c r="T1151" s="52">
        <v>20</v>
      </c>
      <c r="U1151" s="53">
        <f t="shared" ref="U1151:U1156" si="462">SUM(S1151/T1151)</f>
        <v>3729322.5</v>
      </c>
      <c r="V1151" s="52">
        <v>0.5</v>
      </c>
      <c r="W1151" s="53"/>
      <c r="X1151" s="52"/>
      <c r="Y1151" s="56">
        <f t="shared" si="460"/>
        <v>0</v>
      </c>
      <c r="Z1151" s="56"/>
      <c r="AA1151" s="57">
        <f>8/12+1+0.5+1+0.5+0.5</f>
        <v>4.1666666666666661</v>
      </c>
      <c r="AB1151" s="56">
        <f t="shared" ref="AB1151:AB1156" si="463">SUM(U1151*AA1151)</f>
        <v>15538843.749999998</v>
      </c>
      <c r="AC1151" s="53"/>
      <c r="AD1151" s="52" t="s">
        <v>1307</v>
      </c>
      <c r="AE1151" s="24"/>
      <c r="AF1151" s="8"/>
      <c r="AG1151" s="5"/>
      <c r="AI1151" s="5"/>
    </row>
    <row r="1152" spans="1:35" s="1" customFormat="1" x14ac:dyDescent="0.25">
      <c r="A1152" s="21"/>
      <c r="B1152" s="22"/>
      <c r="C1152" s="65"/>
      <c r="D1152" s="24"/>
      <c r="E1152" s="52"/>
      <c r="F1152" s="24"/>
      <c r="G1152" s="24"/>
      <c r="H1152" s="24"/>
      <c r="I1152" s="24"/>
      <c r="J1152" s="24"/>
      <c r="K1152" s="24"/>
      <c r="L1152" s="24"/>
      <c r="M1152" s="24"/>
      <c r="N1152" s="53">
        <v>49847500</v>
      </c>
      <c r="O1152" s="53">
        <v>49847500</v>
      </c>
      <c r="P1152" s="52"/>
      <c r="Q1152" s="52"/>
      <c r="R1152" s="52"/>
      <c r="S1152" s="53">
        <v>108895106.25</v>
      </c>
      <c r="T1152" s="57">
        <f>15.8333333333333+5</f>
        <v>20.8333333333333</v>
      </c>
      <c r="U1152" s="53">
        <f t="shared" si="462"/>
        <v>5226965.100000008</v>
      </c>
      <c r="V1152" s="52">
        <v>0.5</v>
      </c>
      <c r="W1152" s="53">
        <f>SUM(U1152*V1152)</f>
        <v>2613482.550000004</v>
      </c>
      <c r="X1152" s="93"/>
      <c r="Y1152" s="56">
        <f t="shared" si="460"/>
        <v>0</v>
      </c>
      <c r="Z1152" s="56">
        <f t="shared" si="457"/>
        <v>2613482.550000004</v>
      </c>
      <c r="AA1152" s="57">
        <f>1/12+0.5+0.5+0.5+0.5+0.5+0.5+0.5</f>
        <v>3.5833333333333335</v>
      </c>
      <c r="AB1152" s="56">
        <f t="shared" si="463"/>
        <v>18729958.275000028</v>
      </c>
      <c r="AC1152" s="53">
        <f>SUM(S1152-AB1152)</f>
        <v>90165147.974999964</v>
      </c>
      <c r="AD1152" s="52"/>
      <c r="AE1152" s="24"/>
      <c r="AF1152" s="8"/>
      <c r="AG1152" s="5"/>
      <c r="AI1152" s="5"/>
    </row>
    <row r="1153" spans="1:35" s="1" customFormat="1" x14ac:dyDescent="0.25">
      <c r="A1153" s="21">
        <v>8</v>
      </c>
      <c r="B1153" s="22" t="s">
        <v>1795</v>
      </c>
      <c r="C1153" s="65" t="s">
        <v>75</v>
      </c>
      <c r="D1153" s="24" t="s">
        <v>1347</v>
      </c>
      <c r="E1153" s="52"/>
      <c r="F1153" s="24"/>
      <c r="G1153" s="24" t="s">
        <v>1309</v>
      </c>
      <c r="H1153" s="24" t="s">
        <v>62</v>
      </c>
      <c r="I1153" s="24">
        <v>1985</v>
      </c>
      <c r="J1153" s="24"/>
      <c r="K1153" s="24"/>
      <c r="L1153" s="24" t="s">
        <v>64</v>
      </c>
      <c r="M1153" s="24">
        <v>1</v>
      </c>
      <c r="N1153" s="53">
        <v>910574000</v>
      </c>
      <c r="O1153" s="53">
        <v>910574000</v>
      </c>
      <c r="P1153" s="52"/>
      <c r="Q1153" s="52"/>
      <c r="R1153" s="52"/>
      <c r="S1153" s="53">
        <v>910574000</v>
      </c>
      <c r="T1153" s="52">
        <v>50</v>
      </c>
      <c r="U1153" s="53">
        <f t="shared" si="462"/>
        <v>18211480</v>
      </c>
      <c r="V1153" s="52">
        <v>0.5</v>
      </c>
      <c r="W1153" s="53"/>
      <c r="X1153" s="52"/>
      <c r="Y1153" s="56"/>
      <c r="Z1153" s="56">
        <f t="shared" si="457"/>
        <v>0</v>
      </c>
      <c r="AA1153" s="52">
        <v>33.5</v>
      </c>
      <c r="AB1153" s="56">
        <f t="shared" si="463"/>
        <v>610084580</v>
      </c>
      <c r="AC1153" s="53"/>
      <c r="AD1153" s="52" t="s">
        <v>1307</v>
      </c>
      <c r="AE1153" s="24"/>
      <c r="AF1153" s="8"/>
      <c r="AG1153" s="5"/>
      <c r="AI1153" s="5"/>
    </row>
    <row r="1154" spans="1:35" s="1" customFormat="1" x14ac:dyDescent="0.25">
      <c r="A1154" s="21"/>
      <c r="B1154" s="22"/>
      <c r="C1154" s="65"/>
      <c r="D1154" s="24"/>
      <c r="E1154" s="52"/>
      <c r="F1154" s="24"/>
      <c r="G1154" s="24"/>
      <c r="H1154" s="24"/>
      <c r="I1154" s="24"/>
      <c r="J1154" s="24"/>
      <c r="K1154" s="24"/>
      <c r="L1154" s="24"/>
      <c r="M1154" s="24"/>
      <c r="N1154" s="53">
        <v>93441250</v>
      </c>
      <c r="O1154" s="53">
        <v>93441250</v>
      </c>
      <c r="P1154" s="52"/>
      <c r="Q1154" s="52"/>
      <c r="R1154" s="52"/>
      <c r="S1154" s="53">
        <v>393930670</v>
      </c>
      <c r="T1154" s="52">
        <v>17</v>
      </c>
      <c r="U1154" s="53">
        <f t="shared" si="462"/>
        <v>23172392.352941178</v>
      </c>
      <c r="V1154" s="52"/>
      <c r="W1154" s="53">
        <f>SUM(U1154*V1154)</f>
        <v>0</v>
      </c>
      <c r="X1154" s="52"/>
      <c r="Y1154" s="56">
        <f t="shared" ref="Y1154:Y1170" si="464">SUM(U1154*X1154)</f>
        <v>0</v>
      </c>
      <c r="Z1154" s="56"/>
      <c r="AA1154" s="57">
        <f>1.08333333333333+0.5+0.5+0.5+0.5+0.5+0.5</f>
        <v>4.0833333333333304</v>
      </c>
      <c r="AB1154" s="56">
        <f t="shared" si="463"/>
        <v>94620602.107843071</v>
      </c>
      <c r="AC1154" s="53"/>
      <c r="AD1154" s="52"/>
      <c r="AE1154" s="24"/>
      <c r="AF1154" s="8"/>
      <c r="AG1154" s="5"/>
      <c r="AI1154" s="5"/>
    </row>
    <row r="1155" spans="1:35" s="1" customFormat="1" x14ac:dyDescent="0.25">
      <c r="A1155" s="21"/>
      <c r="B1155" s="22"/>
      <c r="C1155" s="65"/>
      <c r="D1155" s="24"/>
      <c r="E1155" s="52"/>
      <c r="F1155" s="24"/>
      <c r="G1155" s="24"/>
      <c r="H1155" s="24"/>
      <c r="I1155" s="24"/>
      <c r="J1155" s="24"/>
      <c r="K1155" s="24"/>
      <c r="L1155" s="24"/>
      <c r="M1155" s="24"/>
      <c r="N1155" s="53">
        <v>24969000</v>
      </c>
      <c r="O1155" s="53">
        <v>24969000</v>
      </c>
      <c r="P1155" s="52"/>
      <c r="Q1155" s="52"/>
      <c r="R1155" s="52"/>
      <c r="S1155" s="53">
        <v>324279067.89215696</v>
      </c>
      <c r="T1155" s="57">
        <f>T1154-AA1154</f>
        <v>12.91666666666667</v>
      </c>
      <c r="U1155" s="53">
        <f t="shared" si="462"/>
        <v>25105476.22390892</v>
      </c>
      <c r="V1155" s="52">
        <v>0.5</v>
      </c>
      <c r="W1155" s="53">
        <f>SUM(U1155*V1155)</f>
        <v>12552738.11195446</v>
      </c>
      <c r="X1155" s="57"/>
      <c r="Y1155" s="56">
        <f t="shared" ref="Y1155" si="465">SUM(U1155*X1155)</f>
        <v>0</v>
      </c>
      <c r="Z1155" s="56">
        <f t="shared" si="457"/>
        <v>12552738.11195446</v>
      </c>
      <c r="AA1155" s="57">
        <f>4/12+0.5</f>
        <v>0.83333333333333326</v>
      </c>
      <c r="AB1155" s="56">
        <f t="shared" si="463"/>
        <v>20921230.186590765</v>
      </c>
      <c r="AC1155" s="53"/>
      <c r="AD1155" s="52"/>
      <c r="AE1155" s="24"/>
      <c r="AF1155" s="8"/>
      <c r="AG1155" s="5"/>
      <c r="AI1155" s="5"/>
    </row>
    <row r="1156" spans="1:35" s="1" customFormat="1" x14ac:dyDescent="0.25">
      <c r="A1156" s="21"/>
      <c r="B1156" s="22"/>
      <c r="C1156" s="65"/>
      <c r="D1156" s="24"/>
      <c r="E1156" s="52"/>
      <c r="F1156" s="24"/>
      <c r="G1156" s="24"/>
      <c r="H1156" s="24"/>
      <c r="I1156" s="24"/>
      <c r="J1156" s="24"/>
      <c r="K1156" s="24"/>
      <c r="L1156" s="24"/>
      <c r="M1156" s="24"/>
      <c r="N1156" s="311">
        <v>99942530.5</v>
      </c>
      <c r="O1156" s="311">
        <v>99942530.5</v>
      </c>
      <c r="P1156" s="310"/>
      <c r="Q1156" s="310"/>
      <c r="R1156" s="310"/>
      <c r="S1156" s="311">
        <v>403300368.20556617</v>
      </c>
      <c r="T1156" s="312">
        <f>T1155-AA1155</f>
        <v>12.083333333333336</v>
      </c>
      <c r="U1156" s="311">
        <f t="shared" si="462"/>
        <v>33376582.196322709</v>
      </c>
      <c r="V1156" s="312">
        <f>1/12</f>
        <v>8.3333333333333329E-2</v>
      </c>
      <c r="W1156" s="311">
        <f>SUM(U1156*V1156)</f>
        <v>2781381.8496935591</v>
      </c>
      <c r="X1156" s="312"/>
      <c r="Y1156" s="313"/>
      <c r="Z1156" s="313">
        <f t="shared" si="457"/>
        <v>2781381.8496935591</v>
      </c>
      <c r="AA1156" s="312">
        <v>8.3333333333333329E-2</v>
      </c>
      <c r="AB1156" s="313">
        <f t="shared" si="463"/>
        <v>2781381.8496935591</v>
      </c>
      <c r="AC1156" s="311">
        <f>SUM(S1156-AB1156)</f>
        <v>400518986.35587263</v>
      </c>
      <c r="AD1156" s="52"/>
      <c r="AE1156" s="24"/>
      <c r="AF1156" s="8"/>
      <c r="AG1156" s="5"/>
      <c r="AI1156" s="5"/>
    </row>
    <row r="1157" spans="1:35" s="1" customFormat="1" x14ac:dyDescent="0.25">
      <c r="A1157" s="21">
        <v>9</v>
      </c>
      <c r="B1157" s="22" t="s">
        <v>1795</v>
      </c>
      <c r="C1157" s="65" t="s">
        <v>162</v>
      </c>
      <c r="D1157" s="24" t="s">
        <v>578</v>
      </c>
      <c r="E1157" s="52"/>
      <c r="F1157" s="24"/>
      <c r="G1157" s="24" t="s">
        <v>1309</v>
      </c>
      <c r="H1157" s="24" t="s">
        <v>62</v>
      </c>
      <c r="I1157" s="24">
        <v>1985</v>
      </c>
      <c r="J1157" s="24"/>
      <c r="K1157" s="24"/>
      <c r="L1157" s="24" t="s">
        <v>64</v>
      </c>
      <c r="M1157" s="24">
        <v>1</v>
      </c>
      <c r="N1157" s="53">
        <f>142710000+(19959000/8)</f>
        <v>145204875</v>
      </c>
      <c r="O1157" s="53">
        <f>142710000+(19959000/8)</f>
        <v>145204875</v>
      </c>
      <c r="P1157" s="52"/>
      <c r="Q1157" s="52"/>
      <c r="R1157" s="52"/>
      <c r="S1157" s="53"/>
      <c r="T1157" s="52"/>
      <c r="U1157" s="53"/>
      <c r="V1157" s="52"/>
      <c r="W1157" s="53"/>
      <c r="X1157" s="52"/>
      <c r="Y1157" s="56">
        <f t="shared" si="464"/>
        <v>0</v>
      </c>
      <c r="Z1157" s="56">
        <f t="shared" si="457"/>
        <v>0</v>
      </c>
      <c r="AA1157" s="52">
        <v>30.5</v>
      </c>
      <c r="AB1157" s="56">
        <v>87122925</v>
      </c>
      <c r="AC1157" s="53"/>
      <c r="AD1157" s="52"/>
      <c r="AE1157" s="24"/>
      <c r="AF1157" s="8"/>
      <c r="AG1157" s="5"/>
      <c r="AI1157" s="5"/>
    </row>
    <row r="1158" spans="1:35" s="1" customFormat="1" x14ac:dyDescent="0.25">
      <c r="A1158" s="21"/>
      <c r="B1158" s="22"/>
      <c r="C1158" s="65"/>
      <c r="D1158" s="24"/>
      <c r="E1158" s="52"/>
      <c r="F1158" s="24"/>
      <c r="G1158" s="24"/>
      <c r="H1158" s="24"/>
      <c r="I1158" s="24"/>
      <c r="J1158" s="24"/>
      <c r="K1158" s="24"/>
      <c r="L1158" s="24"/>
      <c r="M1158" s="24"/>
      <c r="N1158" s="53">
        <f>(124569000/8)+(7467000/8)</f>
        <v>16504500</v>
      </c>
      <c r="O1158" s="53">
        <f>(124569000/8)+(7467000/8)</f>
        <v>16504500</v>
      </c>
      <c r="P1158" s="52"/>
      <c r="Q1158" s="52"/>
      <c r="R1158" s="52"/>
      <c r="S1158" s="53">
        <v>74586450</v>
      </c>
      <c r="T1158" s="52">
        <v>20</v>
      </c>
      <c r="U1158" s="53">
        <f>SUM(S1158/T1158)</f>
        <v>3729322.5</v>
      </c>
      <c r="V1158" s="52">
        <v>0.5</v>
      </c>
      <c r="W1158" s="53">
        <f>SUM(U1158*V1158)</f>
        <v>1864661.25</v>
      </c>
      <c r="X1158" s="52"/>
      <c r="Y1158" s="56">
        <f t="shared" si="464"/>
        <v>0</v>
      </c>
      <c r="Z1158" s="56">
        <f t="shared" si="457"/>
        <v>1864661.25</v>
      </c>
      <c r="AA1158" s="57">
        <f>4.66666666666667+0.5+0.5+0.5+0.5+0.5+0.5+0.5</f>
        <v>8.1666666666666696</v>
      </c>
      <c r="AB1158" s="56">
        <f>SUM(U1158*AA1158)</f>
        <v>30456133.750000011</v>
      </c>
      <c r="AC1158" s="53">
        <f>SUM(S1158-AB1158)</f>
        <v>44130316.249999985</v>
      </c>
      <c r="AD1158" s="52" t="s">
        <v>1307</v>
      </c>
      <c r="AE1158" s="24"/>
      <c r="AF1158" s="8"/>
      <c r="AG1158" s="5"/>
      <c r="AI1158" s="5"/>
    </row>
    <row r="1159" spans="1:35" s="1" customFormat="1" x14ac:dyDescent="0.25">
      <c r="A1159" s="21">
        <v>10</v>
      </c>
      <c r="B1159" s="22" t="s">
        <v>1795</v>
      </c>
      <c r="C1159" s="65" t="s">
        <v>559</v>
      </c>
      <c r="D1159" s="24" t="s">
        <v>597</v>
      </c>
      <c r="E1159" s="52"/>
      <c r="F1159" s="24"/>
      <c r="G1159" s="24" t="s">
        <v>1309</v>
      </c>
      <c r="H1159" s="24" t="s">
        <v>62</v>
      </c>
      <c r="I1159" s="24">
        <v>1985</v>
      </c>
      <c r="J1159" s="24"/>
      <c r="K1159" s="24"/>
      <c r="L1159" s="24" t="s">
        <v>64</v>
      </c>
      <c r="M1159" s="24">
        <v>1</v>
      </c>
      <c r="N1159" s="53">
        <f>142710000+(19959000/8)</f>
        <v>145204875</v>
      </c>
      <c r="O1159" s="53">
        <f>142710000+(19959000/8)</f>
        <v>145204875</v>
      </c>
      <c r="P1159" s="52"/>
      <c r="Q1159" s="52"/>
      <c r="R1159" s="52"/>
      <c r="S1159" s="53"/>
      <c r="T1159" s="52"/>
      <c r="U1159" s="53"/>
      <c r="V1159" s="52"/>
      <c r="W1159" s="53"/>
      <c r="X1159" s="52"/>
      <c r="Y1159" s="56">
        <f t="shared" si="464"/>
        <v>0</v>
      </c>
      <c r="Z1159" s="56">
        <f t="shared" si="457"/>
        <v>0</v>
      </c>
      <c r="AA1159" s="52">
        <v>30.5</v>
      </c>
      <c r="AB1159" s="56">
        <v>87122925</v>
      </c>
      <c r="AC1159" s="53"/>
      <c r="AD1159" s="52"/>
      <c r="AE1159" s="24"/>
      <c r="AF1159" s="8"/>
      <c r="AG1159" s="5"/>
      <c r="AI1159" s="5"/>
    </row>
    <row r="1160" spans="1:35" s="1" customFormat="1" x14ac:dyDescent="0.25">
      <c r="A1160" s="21"/>
      <c r="B1160" s="22"/>
      <c r="C1160" s="65"/>
      <c r="D1160" s="24"/>
      <c r="E1160" s="52"/>
      <c r="F1160" s="24"/>
      <c r="G1160" s="24"/>
      <c r="H1160" s="24"/>
      <c r="I1160" s="24"/>
      <c r="J1160" s="24"/>
      <c r="K1160" s="24"/>
      <c r="L1160" s="24"/>
      <c r="M1160" s="24"/>
      <c r="N1160" s="53">
        <f>(124569000/8)+(7467000/8)</f>
        <v>16504500</v>
      </c>
      <c r="O1160" s="53">
        <f>(124569000/8)+(7467000/8)</f>
        <v>16504500</v>
      </c>
      <c r="P1160" s="52"/>
      <c r="Q1160" s="52"/>
      <c r="R1160" s="52"/>
      <c r="S1160" s="53">
        <v>74586450</v>
      </c>
      <c r="T1160" s="52">
        <v>20</v>
      </c>
      <c r="U1160" s="53">
        <f>SUM(S1160/T1160)</f>
        <v>3729322.5</v>
      </c>
      <c r="V1160" s="52">
        <v>0.5</v>
      </c>
      <c r="W1160" s="53"/>
      <c r="X1160" s="52"/>
      <c r="Y1160" s="56">
        <f t="shared" si="464"/>
        <v>0</v>
      </c>
      <c r="Z1160" s="56"/>
      <c r="AA1160" s="57">
        <f>8/12+1+0.5+1+0.5+0.5</f>
        <v>4.1666666666666661</v>
      </c>
      <c r="AB1160" s="56">
        <f>SUM(U1160*AA1160)</f>
        <v>15538843.749999998</v>
      </c>
      <c r="AC1160" s="53"/>
      <c r="AD1160" s="52" t="s">
        <v>1307</v>
      </c>
      <c r="AE1160" s="24"/>
      <c r="AF1160" s="8"/>
      <c r="AG1160" s="5"/>
      <c r="AI1160" s="5"/>
    </row>
    <row r="1161" spans="1:35" s="1" customFormat="1" x14ac:dyDescent="0.25">
      <c r="A1161" s="21"/>
      <c r="B1161" s="22"/>
      <c r="C1161" s="65"/>
      <c r="D1161" s="24"/>
      <c r="E1161" s="52"/>
      <c r="F1161" s="24"/>
      <c r="G1161" s="24"/>
      <c r="H1161" s="24"/>
      <c r="I1161" s="24"/>
      <c r="J1161" s="24"/>
      <c r="K1161" s="24"/>
      <c r="L1161" s="24"/>
      <c r="M1161" s="24"/>
      <c r="N1161" s="53">
        <v>49847500</v>
      </c>
      <c r="O1161" s="53">
        <v>49847500</v>
      </c>
      <c r="P1161" s="52"/>
      <c r="Q1161" s="52"/>
      <c r="R1161" s="52"/>
      <c r="S1161" s="53">
        <v>108895106.25</v>
      </c>
      <c r="T1161" s="57">
        <f>15.8333333333333+5</f>
        <v>20.8333333333333</v>
      </c>
      <c r="U1161" s="53">
        <f>SUM(S1161/T1161)</f>
        <v>5226965.100000008</v>
      </c>
      <c r="V1161" s="52">
        <v>0.5</v>
      </c>
      <c r="W1161" s="53">
        <f>SUM(U1161*V1161)</f>
        <v>2613482.550000004</v>
      </c>
      <c r="X1161" s="54"/>
      <c r="Y1161" s="56">
        <f t="shared" si="464"/>
        <v>0</v>
      </c>
      <c r="Z1161" s="56">
        <f t="shared" si="457"/>
        <v>2613482.550000004</v>
      </c>
      <c r="AA1161" s="57">
        <f>1/12+0.5+0.5+0.5+0.5+0.5+0.5+0.5</f>
        <v>3.5833333333333335</v>
      </c>
      <c r="AB1161" s="56">
        <f>SUM(U1161*AA1161)</f>
        <v>18729958.275000028</v>
      </c>
      <c r="AC1161" s="53">
        <f>SUM(S1161-AB1161)</f>
        <v>90165147.974999964</v>
      </c>
      <c r="AD1161" s="52"/>
      <c r="AE1161" s="24"/>
      <c r="AF1161" s="8"/>
      <c r="AG1161" s="5"/>
      <c r="AI1161" s="5"/>
    </row>
    <row r="1162" spans="1:35" s="1" customFormat="1" x14ac:dyDescent="0.25">
      <c r="A1162" s="21">
        <v>11</v>
      </c>
      <c r="B1162" s="22" t="s">
        <v>1795</v>
      </c>
      <c r="C1162" s="65" t="s">
        <v>312</v>
      </c>
      <c r="D1162" s="24" t="s">
        <v>772</v>
      </c>
      <c r="E1162" s="52"/>
      <c r="F1162" s="24"/>
      <c r="G1162" s="24" t="s">
        <v>1309</v>
      </c>
      <c r="H1162" s="24" t="s">
        <v>62</v>
      </c>
      <c r="I1162" s="24">
        <v>1985</v>
      </c>
      <c r="J1162" s="24"/>
      <c r="K1162" s="24"/>
      <c r="L1162" s="24" t="s">
        <v>64</v>
      </c>
      <c r="M1162" s="24">
        <v>1</v>
      </c>
      <c r="N1162" s="53">
        <f>142710000+(19959000/8)</f>
        <v>145204875</v>
      </c>
      <c r="O1162" s="53">
        <f>142710000+(19959000/8)</f>
        <v>145204875</v>
      </c>
      <c r="P1162" s="52"/>
      <c r="Q1162" s="52"/>
      <c r="R1162" s="52"/>
      <c r="S1162" s="53">
        <v>145204875</v>
      </c>
      <c r="T1162" s="52">
        <v>50</v>
      </c>
      <c r="U1162" s="53">
        <f>SUM(S1162/T1162)</f>
        <v>2904097.5</v>
      </c>
      <c r="V1162" s="52">
        <v>0.5</v>
      </c>
      <c r="W1162" s="53">
        <f>SUM(U1162*V1162)</f>
        <v>1452048.75</v>
      </c>
      <c r="X1162" s="54"/>
      <c r="Y1162" s="56">
        <f t="shared" si="464"/>
        <v>0</v>
      </c>
      <c r="Z1162" s="56">
        <f t="shared" si="457"/>
        <v>1452048.75</v>
      </c>
      <c r="AA1162" s="52">
        <v>38.5</v>
      </c>
      <c r="AB1162" s="56">
        <f>SUM(U1162*AA1162)</f>
        <v>111807753.75</v>
      </c>
      <c r="AC1162" s="53">
        <f>SUM(S1162-AB1162)</f>
        <v>33397121.25</v>
      </c>
      <c r="AD1162" s="52" t="s">
        <v>1307</v>
      </c>
      <c r="AE1162" s="24"/>
      <c r="AF1162" s="8"/>
      <c r="AG1162" s="5"/>
      <c r="AI1162" s="5"/>
    </row>
    <row r="1163" spans="1:35" s="1" customFormat="1" x14ac:dyDescent="0.25">
      <c r="A1163" s="21">
        <v>12</v>
      </c>
      <c r="B1163" s="22" t="s">
        <v>1795</v>
      </c>
      <c r="C1163" s="65" t="s">
        <v>561</v>
      </c>
      <c r="D1163" s="24" t="s">
        <v>1348</v>
      </c>
      <c r="E1163" s="52"/>
      <c r="F1163" s="24"/>
      <c r="G1163" s="24" t="s">
        <v>1309</v>
      </c>
      <c r="H1163" s="24" t="s">
        <v>62</v>
      </c>
      <c r="I1163" s="24">
        <v>1985</v>
      </c>
      <c r="J1163" s="24"/>
      <c r="K1163" s="24"/>
      <c r="L1163" s="24" t="s">
        <v>64</v>
      </c>
      <c r="M1163" s="24">
        <v>1</v>
      </c>
      <c r="N1163" s="53">
        <v>107542000</v>
      </c>
      <c r="O1163" s="53">
        <v>107542000</v>
      </c>
      <c r="P1163" s="52"/>
      <c r="Q1163" s="52"/>
      <c r="R1163" s="52"/>
      <c r="S1163" s="53">
        <v>107542000</v>
      </c>
      <c r="T1163" s="52">
        <v>50</v>
      </c>
      <c r="U1163" s="53">
        <f>SUM(S1163/T1163)</f>
        <v>2150840</v>
      </c>
      <c r="V1163" s="52">
        <v>0.5</v>
      </c>
      <c r="W1163" s="53">
        <f>SUM(U1163*V1163)</f>
        <v>1075420</v>
      </c>
      <c r="X1163" s="54"/>
      <c r="Y1163" s="56">
        <f t="shared" si="464"/>
        <v>0</v>
      </c>
      <c r="Z1163" s="56">
        <f t="shared" si="457"/>
        <v>1075420</v>
      </c>
      <c r="AA1163" s="52">
        <v>38.5</v>
      </c>
      <c r="AB1163" s="56">
        <f>SUM(U1163*AA1163)</f>
        <v>82807340</v>
      </c>
      <c r="AC1163" s="53">
        <f>SUM(S1163-AB1163)</f>
        <v>24734660</v>
      </c>
      <c r="AD1163" s="52" t="s">
        <v>1307</v>
      </c>
      <c r="AE1163" s="24"/>
      <c r="AF1163" s="8"/>
      <c r="AG1163" s="5"/>
      <c r="AI1163" s="5"/>
    </row>
    <row r="1164" spans="1:35" s="1" customFormat="1" x14ac:dyDescent="0.25">
      <c r="A1164" s="21">
        <v>13</v>
      </c>
      <c r="B1164" s="22" t="s">
        <v>1795</v>
      </c>
      <c r="C1164" s="65" t="s">
        <v>150</v>
      </c>
      <c r="D1164" s="24" t="s">
        <v>601</v>
      </c>
      <c r="E1164" s="52"/>
      <c r="F1164" s="24"/>
      <c r="G1164" s="24" t="s">
        <v>1309</v>
      </c>
      <c r="H1164" s="24" t="s">
        <v>62</v>
      </c>
      <c r="I1164" s="24">
        <v>1985</v>
      </c>
      <c r="J1164" s="24"/>
      <c r="K1164" s="24"/>
      <c r="L1164" s="24" t="s">
        <v>212</v>
      </c>
      <c r="M1164" s="24">
        <v>1</v>
      </c>
      <c r="N1164" s="53">
        <f>142710000+(19959000/8)</f>
        <v>145204875</v>
      </c>
      <c r="O1164" s="53">
        <f>142710000+(19959000/8)</f>
        <v>145204875</v>
      </c>
      <c r="P1164" s="52"/>
      <c r="Q1164" s="52"/>
      <c r="R1164" s="52"/>
      <c r="S1164" s="53"/>
      <c r="T1164" s="52"/>
      <c r="U1164" s="53"/>
      <c r="V1164" s="52"/>
      <c r="W1164" s="53"/>
      <c r="X1164" s="52"/>
      <c r="Y1164" s="56">
        <f t="shared" si="464"/>
        <v>0</v>
      </c>
      <c r="Z1164" s="56">
        <f t="shared" si="457"/>
        <v>0</v>
      </c>
      <c r="AA1164" s="52">
        <v>30.5</v>
      </c>
      <c r="AB1164" s="56">
        <v>87122925</v>
      </c>
      <c r="AC1164" s="53"/>
      <c r="AD1164" s="52"/>
      <c r="AE1164" s="24"/>
      <c r="AF1164" s="8"/>
      <c r="AG1164" s="5"/>
      <c r="AI1164" s="5"/>
    </row>
    <row r="1165" spans="1:35" s="1" customFormat="1" x14ac:dyDescent="0.25">
      <c r="A1165" s="21"/>
      <c r="B1165" s="22"/>
      <c r="C1165" s="65"/>
      <c r="D1165" s="24"/>
      <c r="E1165" s="52"/>
      <c r="F1165" s="24"/>
      <c r="G1165" s="24"/>
      <c r="H1165" s="24"/>
      <c r="I1165" s="24"/>
      <c r="J1165" s="24"/>
      <c r="K1165" s="24"/>
      <c r="L1165" s="24"/>
      <c r="M1165" s="24"/>
      <c r="N1165" s="53">
        <f>(124569000/8)+(7467000/8)</f>
        <v>16504500</v>
      </c>
      <c r="O1165" s="53">
        <f>(124569000/8)+(7467000/8)</f>
        <v>16504500</v>
      </c>
      <c r="P1165" s="52"/>
      <c r="Q1165" s="52"/>
      <c r="R1165" s="52"/>
      <c r="S1165" s="53">
        <v>74586450</v>
      </c>
      <c r="T1165" s="52">
        <v>20</v>
      </c>
      <c r="U1165" s="53">
        <f>SUM(S1165/T1165)</f>
        <v>3729322.5</v>
      </c>
      <c r="V1165" s="52">
        <v>0.5</v>
      </c>
      <c r="W1165" s="53"/>
      <c r="X1165" s="52"/>
      <c r="Y1165" s="56">
        <f t="shared" si="464"/>
        <v>0</v>
      </c>
      <c r="Z1165" s="56"/>
      <c r="AA1165" s="57">
        <f>8/12+1+0.5+1+0.5+0.5</f>
        <v>4.1666666666666661</v>
      </c>
      <c r="AB1165" s="56">
        <f>SUM(U1165*AA1165)</f>
        <v>15538843.749999998</v>
      </c>
      <c r="AC1165" s="53"/>
      <c r="AD1165" s="52" t="s">
        <v>1307</v>
      </c>
      <c r="AE1165" s="24"/>
      <c r="AF1165" s="8"/>
      <c r="AG1165" s="5"/>
      <c r="AI1165" s="5"/>
    </row>
    <row r="1166" spans="1:35" s="1" customFormat="1" x14ac:dyDescent="0.25">
      <c r="A1166" s="21"/>
      <c r="B1166" s="22"/>
      <c r="C1166" s="65"/>
      <c r="D1166" s="24"/>
      <c r="E1166" s="52"/>
      <c r="F1166" s="24"/>
      <c r="G1166" s="24"/>
      <c r="H1166" s="24"/>
      <c r="I1166" s="24"/>
      <c r="J1166" s="24"/>
      <c r="K1166" s="24"/>
      <c r="L1166" s="24"/>
      <c r="M1166" s="24"/>
      <c r="N1166" s="53">
        <v>49847500</v>
      </c>
      <c r="O1166" s="53">
        <v>49847500</v>
      </c>
      <c r="P1166" s="52"/>
      <c r="Q1166" s="52"/>
      <c r="R1166" s="52"/>
      <c r="S1166" s="53">
        <v>108895106.25</v>
      </c>
      <c r="T1166" s="57">
        <f>15.8333333333333+5</f>
        <v>20.8333333333333</v>
      </c>
      <c r="U1166" s="53">
        <f>SUM(S1166/T1166)</f>
        <v>5226965.100000008</v>
      </c>
      <c r="V1166" s="52">
        <v>0.5</v>
      </c>
      <c r="W1166" s="53">
        <f>SUM(U1166*V1166)</f>
        <v>2613482.550000004</v>
      </c>
      <c r="X1166" s="54"/>
      <c r="Y1166" s="56">
        <f t="shared" si="464"/>
        <v>0</v>
      </c>
      <c r="Z1166" s="56">
        <f t="shared" si="457"/>
        <v>2613482.550000004</v>
      </c>
      <c r="AA1166" s="57">
        <f>1/12+0.5+0.5+0.5+0.5+0.5+0.5+0.5</f>
        <v>3.5833333333333335</v>
      </c>
      <c r="AB1166" s="56">
        <f>SUM(U1166*AA1166)</f>
        <v>18729958.275000028</v>
      </c>
      <c r="AC1166" s="53">
        <f>SUM(S1166-AB1166)</f>
        <v>90165147.974999964</v>
      </c>
      <c r="AD1166" s="52"/>
      <c r="AE1166" s="24"/>
      <c r="AF1166" s="8"/>
      <c r="AG1166" s="5"/>
      <c r="AI1166" s="5"/>
    </row>
    <row r="1167" spans="1:35" s="1" customFormat="1" x14ac:dyDescent="0.25">
      <c r="A1167" s="21">
        <v>14</v>
      </c>
      <c r="B1167" s="22" t="s">
        <v>1795</v>
      </c>
      <c r="C1167" s="65" t="s">
        <v>146</v>
      </c>
      <c r="D1167" s="24" t="s">
        <v>1349</v>
      </c>
      <c r="E1167" s="52"/>
      <c r="F1167" s="24"/>
      <c r="G1167" s="24" t="s">
        <v>1309</v>
      </c>
      <c r="H1167" s="24" t="s">
        <v>62</v>
      </c>
      <c r="I1167" s="24">
        <v>1985</v>
      </c>
      <c r="J1167" s="24"/>
      <c r="K1167" s="24"/>
      <c r="L1167" s="24" t="s">
        <v>64</v>
      </c>
      <c r="M1167" s="24">
        <v>1</v>
      </c>
      <c r="N1167" s="41">
        <f>142710000+7218500+2611000+1696000+(19959000/8)</f>
        <v>156730375</v>
      </c>
      <c r="O1167" s="41">
        <f>142710000+7218500+2611000+1696000+(19959000/8)</f>
        <v>156730375</v>
      </c>
      <c r="P1167" s="24"/>
      <c r="Q1167" s="24"/>
      <c r="R1167" s="24"/>
      <c r="S1167" s="41"/>
      <c r="T1167" s="24"/>
      <c r="U1167" s="41"/>
      <c r="V1167" s="24"/>
      <c r="W1167" s="41"/>
      <c r="X1167" s="24"/>
      <c r="Y1167" s="70">
        <f t="shared" si="464"/>
        <v>0</v>
      </c>
      <c r="Z1167" s="70">
        <f t="shared" si="457"/>
        <v>0</v>
      </c>
      <c r="AA1167" s="24">
        <v>30.5</v>
      </c>
      <c r="AB1167" s="70">
        <v>94038225</v>
      </c>
      <c r="AC1167" s="41"/>
      <c r="AD1167" s="24"/>
      <c r="AE1167" s="24"/>
      <c r="AF1167" s="8"/>
      <c r="AG1167" s="5"/>
      <c r="AI1167" s="5"/>
    </row>
    <row r="1168" spans="1:35" s="1" customFormat="1" x14ac:dyDescent="0.25">
      <c r="A1168" s="21"/>
      <c r="B1168" s="22"/>
      <c r="C1168" s="65"/>
      <c r="D1168" s="24"/>
      <c r="E1168" s="52"/>
      <c r="F1168" s="24"/>
      <c r="G1168" s="24"/>
      <c r="H1168" s="24"/>
      <c r="I1168" s="24"/>
      <c r="J1168" s="24"/>
      <c r="K1168" s="24"/>
      <c r="L1168" s="24"/>
      <c r="M1168" s="24"/>
      <c r="N1168" s="41">
        <f>(124569000/8)+(7467000/8)</f>
        <v>16504500</v>
      </c>
      <c r="O1168" s="41">
        <f>(124569000/8)+(7467000/8)</f>
        <v>16504500</v>
      </c>
      <c r="P1168" s="24"/>
      <c r="Q1168" s="24"/>
      <c r="R1168" s="24"/>
      <c r="S1168" s="41">
        <v>79196650</v>
      </c>
      <c r="T1168" s="24">
        <v>20</v>
      </c>
      <c r="U1168" s="41">
        <f>SUM(S1168/T1168)</f>
        <v>3959832.5</v>
      </c>
      <c r="V1168" s="24"/>
      <c r="W1168" s="41">
        <f>SUM(U1168*V1168)</f>
        <v>0</v>
      </c>
      <c r="X1168" s="24"/>
      <c r="Y1168" s="70">
        <f t="shared" si="464"/>
        <v>0</v>
      </c>
      <c r="Z1168" s="70"/>
      <c r="AA1168" s="72">
        <f>4.66666666666667+0.5+0.5+0.5+0.5+0.5</f>
        <v>7.1666666666666696</v>
      </c>
      <c r="AB1168" s="70">
        <f>SUM(U1168*AA1168)</f>
        <v>28378799.583333343</v>
      </c>
      <c r="AC1168" s="41"/>
      <c r="AD1168" s="24" t="s">
        <v>1307</v>
      </c>
      <c r="AE1168" s="24"/>
      <c r="AF1168" s="8"/>
      <c r="AG1168" s="5"/>
      <c r="AI1168" s="5"/>
    </row>
    <row r="1169" spans="1:35" s="1" customFormat="1" x14ac:dyDescent="0.25">
      <c r="A1169" s="21"/>
      <c r="B1169" s="22"/>
      <c r="C1169" s="65"/>
      <c r="D1169" s="24"/>
      <c r="E1169" s="52"/>
      <c r="F1169" s="24"/>
      <c r="G1169" s="24"/>
      <c r="H1169" s="24"/>
      <c r="I1169" s="24"/>
      <c r="J1169" s="24"/>
      <c r="K1169" s="24"/>
      <c r="L1169" s="24"/>
      <c r="M1169" s="24"/>
      <c r="N1169" s="53">
        <f>76000000/2</f>
        <v>38000000</v>
      </c>
      <c r="O1169" s="53">
        <f>76000000/2</f>
        <v>38000000</v>
      </c>
      <c r="P1169" s="52"/>
      <c r="Q1169" s="52"/>
      <c r="R1169" s="52"/>
      <c r="S1169" s="53">
        <v>88817850.416666657</v>
      </c>
      <c r="T1169" s="57">
        <f>T1168-AA1168</f>
        <v>12.83333333333333</v>
      </c>
      <c r="U1169" s="53">
        <f>SUM(S1169/T1169)</f>
        <v>6920871.461038962</v>
      </c>
      <c r="V1169" s="57">
        <v>0.5</v>
      </c>
      <c r="W1169" s="53">
        <f>SUM(U1169*V1169)</f>
        <v>3460435.730519481</v>
      </c>
      <c r="X1169" s="52"/>
      <c r="Y1169" s="56">
        <f t="shared" si="464"/>
        <v>0</v>
      </c>
      <c r="Z1169" s="56">
        <f t="shared" si="457"/>
        <v>3460435.730519481</v>
      </c>
      <c r="AA1169" s="57">
        <f>4/12+0.5+0.5</f>
        <v>1.3333333333333333</v>
      </c>
      <c r="AB1169" s="56">
        <f>SUM(U1169*AA1169)</f>
        <v>9227828.614718616</v>
      </c>
      <c r="AC1169" s="53">
        <f>SUM(S1169-AB1169)</f>
        <v>79590021.801948041</v>
      </c>
      <c r="AD1169" s="24"/>
      <c r="AE1169" s="24"/>
      <c r="AF1169" s="8"/>
      <c r="AG1169" s="5"/>
      <c r="AI1169" s="5"/>
    </row>
    <row r="1170" spans="1:35" s="1" customFormat="1" x14ac:dyDescent="0.25">
      <c r="A1170" s="21">
        <v>15</v>
      </c>
      <c r="B1170" s="22" t="s">
        <v>1795</v>
      </c>
      <c r="C1170" s="65" t="s">
        <v>58</v>
      </c>
      <c r="D1170" s="24" t="s">
        <v>787</v>
      </c>
      <c r="E1170" s="52"/>
      <c r="F1170" s="24"/>
      <c r="G1170" s="24" t="s">
        <v>1309</v>
      </c>
      <c r="H1170" s="24" t="s">
        <v>62</v>
      </c>
      <c r="I1170" s="24">
        <v>1985</v>
      </c>
      <c r="J1170" s="24"/>
      <c r="K1170" s="24"/>
      <c r="L1170" s="24" t="s">
        <v>64</v>
      </c>
      <c r="M1170" s="24">
        <v>1</v>
      </c>
      <c r="N1170" s="41">
        <v>782271000</v>
      </c>
      <c r="O1170" s="41">
        <v>782271000</v>
      </c>
      <c r="P1170" s="24"/>
      <c r="Q1170" s="24"/>
      <c r="R1170" s="24"/>
      <c r="S1170" s="41"/>
      <c r="T1170" s="24"/>
      <c r="U1170" s="41"/>
      <c r="V1170" s="24"/>
      <c r="W1170" s="41"/>
      <c r="X1170" s="24"/>
      <c r="Y1170" s="70">
        <f t="shared" si="464"/>
        <v>0</v>
      </c>
      <c r="Z1170" s="70">
        <f t="shared" si="457"/>
        <v>0</v>
      </c>
      <c r="AA1170" s="24">
        <v>33</v>
      </c>
      <c r="AB1170" s="70">
        <v>516298860</v>
      </c>
      <c r="AC1170" s="41"/>
      <c r="AD1170" s="24" t="s">
        <v>1307</v>
      </c>
      <c r="AE1170" s="24"/>
      <c r="AF1170" s="8"/>
      <c r="AG1170" s="5"/>
      <c r="AI1170" s="5"/>
    </row>
    <row r="1171" spans="1:35" s="1" customFormat="1" x14ac:dyDescent="0.25">
      <c r="A1171" s="21"/>
      <c r="B1171" s="22"/>
      <c r="C1171" s="65"/>
      <c r="D1171" s="24"/>
      <c r="E1171" s="52"/>
      <c r="F1171" s="24"/>
      <c r="G1171" s="24"/>
      <c r="H1171" s="24"/>
      <c r="I1171" s="24"/>
      <c r="J1171" s="24"/>
      <c r="K1171" s="24"/>
      <c r="L1171" s="24"/>
      <c r="M1171" s="24"/>
      <c r="N1171" s="41">
        <v>189653250</v>
      </c>
      <c r="O1171" s="41">
        <v>189653250</v>
      </c>
      <c r="P1171" s="24"/>
      <c r="Q1171" s="24"/>
      <c r="R1171" s="24"/>
      <c r="S1171" s="41">
        <v>455625390</v>
      </c>
      <c r="T1171" s="24">
        <v>18.5</v>
      </c>
      <c r="U1171" s="41">
        <f>SUM(S1171/T1171)</f>
        <v>24628399.459459461</v>
      </c>
      <c r="V1171" s="72">
        <v>8.3333333333333329E-2</v>
      </c>
      <c r="W1171" s="41"/>
      <c r="X1171" s="72"/>
      <c r="Y1171" s="70"/>
      <c r="Z1171" s="70">
        <f t="shared" si="457"/>
        <v>0</v>
      </c>
      <c r="AA1171" s="72">
        <v>8.3333333333333329E-2</v>
      </c>
      <c r="AB1171" s="70">
        <f>SUM(U1171*AA1171)</f>
        <v>2052366.6216216218</v>
      </c>
      <c r="AC1171" s="41"/>
      <c r="AD1171" s="24"/>
      <c r="AE1171" s="24"/>
      <c r="AF1171" s="8"/>
      <c r="AG1171" s="5"/>
      <c r="AI1171" s="5"/>
    </row>
    <row r="1172" spans="1:35" s="1" customFormat="1" x14ac:dyDescent="0.25">
      <c r="A1172" s="21"/>
      <c r="B1172" s="22"/>
      <c r="C1172" s="65"/>
      <c r="D1172" s="24"/>
      <c r="E1172" s="52"/>
      <c r="F1172" s="24"/>
      <c r="G1172" s="24"/>
      <c r="H1172" s="24"/>
      <c r="I1172" s="24"/>
      <c r="J1172" s="24"/>
      <c r="K1172" s="24"/>
      <c r="L1172" s="24"/>
      <c r="M1172" s="24"/>
      <c r="N1172" s="41">
        <v>28780750</v>
      </c>
      <c r="O1172" s="41">
        <v>28780750</v>
      </c>
      <c r="P1172" s="24"/>
      <c r="Q1172" s="24"/>
      <c r="R1172" s="24"/>
      <c r="S1172" s="41">
        <v>482353773.37837839</v>
      </c>
      <c r="T1172" s="24">
        <v>19</v>
      </c>
      <c r="U1172" s="41">
        <f>SUM(S1172/T1172)</f>
        <v>25387040.704125177</v>
      </c>
      <c r="V1172" s="24">
        <v>0.5</v>
      </c>
      <c r="W1172" s="41">
        <f>SUM(U1172*V1172)</f>
        <v>12693520.352062589</v>
      </c>
      <c r="X1172" s="24"/>
      <c r="Y1172" s="70">
        <f>SUM(U1172*X1172)</f>
        <v>0</v>
      </c>
      <c r="Z1172" s="70">
        <f t="shared" si="457"/>
        <v>12693520.352062589</v>
      </c>
      <c r="AA1172" s="72">
        <f>1.08333333333333+0.5+0.5+0.5+0.5+0.5+0.5</f>
        <v>4.0833333333333304</v>
      </c>
      <c r="AB1172" s="70">
        <f>SUM(U1172*AA1172)</f>
        <v>103663749.5418444</v>
      </c>
      <c r="AC1172" s="41">
        <f>SUM(S1172-AB1172)</f>
        <v>378690023.83653402</v>
      </c>
      <c r="AD1172" s="24" t="s">
        <v>1307</v>
      </c>
      <c r="AE1172" s="24"/>
      <c r="AF1172" s="8"/>
      <c r="AG1172" s="5"/>
      <c r="AI1172" s="5"/>
    </row>
    <row r="1173" spans="1:35" s="1" customFormat="1" x14ac:dyDescent="0.25">
      <c r="A1173" s="49">
        <v>16</v>
      </c>
      <c r="B1173" s="22" t="s">
        <v>1795</v>
      </c>
      <c r="C1173" s="317" t="s">
        <v>75</v>
      </c>
      <c r="D1173" s="52" t="s">
        <v>1350</v>
      </c>
      <c r="E1173" s="318"/>
      <c r="F1173" s="52"/>
      <c r="G1173" s="52" t="s">
        <v>1309</v>
      </c>
      <c r="H1173" s="52" t="s">
        <v>62</v>
      </c>
      <c r="I1173" s="52">
        <v>2010</v>
      </c>
      <c r="J1173" s="52"/>
      <c r="K1173" s="52"/>
      <c r="L1173" s="52" t="s">
        <v>212</v>
      </c>
      <c r="M1173" s="52">
        <v>1</v>
      </c>
      <c r="N1173" s="53">
        <v>2397350895</v>
      </c>
      <c r="O1173" s="53">
        <v>2397350895</v>
      </c>
      <c r="P1173" s="52"/>
      <c r="Q1173" s="52"/>
      <c r="R1173" s="52"/>
      <c r="S1173" s="53">
        <v>2397350895</v>
      </c>
      <c r="T1173" s="57">
        <v>50</v>
      </c>
      <c r="U1173" s="53">
        <f>SUM(S1173/T1173)</f>
        <v>47947017.899999999</v>
      </c>
      <c r="V1173" s="57">
        <v>0.5</v>
      </c>
      <c r="W1173" s="53">
        <f>SUM(U1173*V1173)</f>
        <v>23973508.949999999</v>
      </c>
      <c r="X1173" s="52"/>
      <c r="Y1173" s="56">
        <f t="shared" ref="Y1173" si="466">SUM(U1173*X1173)</f>
        <v>0</v>
      </c>
      <c r="Z1173" s="56">
        <f t="shared" si="457"/>
        <v>23973508.949999999</v>
      </c>
      <c r="AA1173" s="57">
        <f>5/12+0.5+0.5</f>
        <v>1.4166666666666667</v>
      </c>
      <c r="AB1173" s="56">
        <f>SUM(U1173*AA1173)</f>
        <v>67924942.025000006</v>
      </c>
      <c r="AC1173" s="53"/>
      <c r="AD1173" s="52" t="s">
        <v>1307</v>
      </c>
      <c r="AE1173" s="24"/>
      <c r="AG1173" s="5"/>
      <c r="AI1173" s="5"/>
    </row>
    <row r="1174" spans="1:35" s="1" customFormat="1" x14ac:dyDescent="0.25">
      <c r="A1174" s="21"/>
      <c r="B1174" s="50"/>
      <c r="C1174" s="317"/>
      <c r="D1174" s="52"/>
      <c r="E1174" s="318"/>
      <c r="F1174" s="52"/>
      <c r="G1174" s="52"/>
      <c r="H1174" s="52"/>
      <c r="I1174" s="52"/>
      <c r="J1174" s="52"/>
      <c r="K1174" s="52"/>
      <c r="L1174" s="52"/>
      <c r="M1174" s="52"/>
      <c r="N1174" s="311">
        <v>94888709</v>
      </c>
      <c r="O1174" s="311">
        <v>94888709</v>
      </c>
      <c r="P1174" s="310"/>
      <c r="Q1174" s="310"/>
      <c r="R1174" s="310"/>
      <c r="S1174" s="311">
        <v>2424314661.9749999</v>
      </c>
      <c r="T1174" s="312">
        <f>T1173-AA1173</f>
        <v>48.583333333333336</v>
      </c>
      <c r="U1174" s="311">
        <f>SUM(S1174/T1174)</f>
        <v>49900130.263636358</v>
      </c>
      <c r="V1174" s="312">
        <v>8.3333333333333329E-2</v>
      </c>
      <c r="W1174" s="311">
        <f>SUM(U1174*V1174)</f>
        <v>4158344.188636363</v>
      </c>
      <c r="X1174" s="310"/>
      <c r="Y1174" s="313"/>
      <c r="Z1174" s="313">
        <f t="shared" si="457"/>
        <v>4158344.188636363</v>
      </c>
      <c r="AA1174" s="312">
        <v>8.3333333333333329E-2</v>
      </c>
      <c r="AB1174" s="313">
        <f>SUM(U1174*AA1174)</f>
        <v>4158344.188636363</v>
      </c>
      <c r="AC1174" s="311">
        <f>SUM(S1174-AB1174)</f>
        <v>2420156317.7863636</v>
      </c>
      <c r="AD1174" s="52"/>
      <c r="AE1174" s="24"/>
      <c r="AG1174" s="5"/>
      <c r="AI1174" s="5"/>
    </row>
    <row r="1175" spans="1:35" s="1" customFormat="1" x14ac:dyDescent="0.25">
      <c r="A1175" s="21">
        <v>17</v>
      </c>
      <c r="B1175" s="22" t="s">
        <v>1795</v>
      </c>
      <c r="C1175" s="65" t="s">
        <v>135</v>
      </c>
      <c r="D1175" s="24" t="s">
        <v>1324</v>
      </c>
      <c r="E1175" s="52"/>
      <c r="F1175" s="24"/>
      <c r="G1175" s="24" t="s">
        <v>1309</v>
      </c>
      <c r="H1175" s="24" t="s">
        <v>62</v>
      </c>
      <c r="I1175" s="24">
        <v>2012</v>
      </c>
      <c r="J1175" s="24"/>
      <c r="K1175" s="24"/>
      <c r="L1175" s="24" t="s">
        <v>64</v>
      </c>
      <c r="M1175" s="24">
        <v>1</v>
      </c>
      <c r="N1175" s="53">
        <f>707898600+191880000+73688230</f>
        <v>973466830</v>
      </c>
      <c r="O1175" s="53">
        <f>707898600+191880000+73688230</f>
        <v>973466830</v>
      </c>
      <c r="P1175" s="52">
        <v>973466830</v>
      </c>
      <c r="Q1175" s="43">
        <f>O1175-P1175</f>
        <v>0</v>
      </c>
      <c r="R1175" s="52"/>
      <c r="S1175" s="53">
        <v>973466830</v>
      </c>
      <c r="T1175" s="52">
        <v>50</v>
      </c>
      <c r="U1175" s="53">
        <f>SUM(S1175/T1175)</f>
        <v>19469336.600000001</v>
      </c>
      <c r="V1175" s="52">
        <v>0.5</v>
      </c>
      <c r="W1175" s="53">
        <f>SUM(U1175*V1175)</f>
        <v>9734668.3000000007</v>
      </c>
      <c r="X1175" s="54"/>
      <c r="Y1175" s="56">
        <f>SUM(U1175*X1175)</f>
        <v>0</v>
      </c>
      <c r="Z1175" s="56">
        <f>W1175+Y1175</f>
        <v>9734668.3000000007</v>
      </c>
      <c r="AA1175" s="52">
        <v>11.5</v>
      </c>
      <c r="AB1175" s="56">
        <f>SUM(U1175*AA1175)</f>
        <v>223897370.90000001</v>
      </c>
      <c r="AC1175" s="53">
        <f>SUM(S1175-AB1175)</f>
        <v>749569459.10000002</v>
      </c>
      <c r="AD1175" s="52" t="s">
        <v>1307</v>
      </c>
      <c r="AE1175" s="52"/>
      <c r="AG1175" s="5"/>
      <c r="AI1175" s="5"/>
    </row>
    <row r="1176" spans="1:35" s="1" customFormat="1" x14ac:dyDescent="0.25">
      <c r="A1176" s="21"/>
      <c r="B1176" s="22"/>
      <c r="C1176" s="22"/>
      <c r="D1176" s="65"/>
      <c r="E1176" s="94"/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  <c r="S1176" s="24"/>
      <c r="T1176" s="24"/>
      <c r="U1176" s="24"/>
      <c r="V1176" s="24"/>
      <c r="W1176" s="24"/>
      <c r="X1176" s="24"/>
      <c r="Y1176" s="24"/>
      <c r="Z1176" s="24"/>
      <c r="AA1176" s="24"/>
      <c r="AB1176" s="24"/>
      <c r="AC1176" s="24"/>
      <c r="AD1176" s="24"/>
      <c r="AE1176" s="24"/>
      <c r="AG1176" s="5"/>
    </row>
    <row r="1177" spans="1:35" s="1" customFormat="1" x14ac:dyDescent="0.25">
      <c r="A1177" s="17"/>
      <c r="B1177" s="18" t="s">
        <v>1351</v>
      </c>
      <c r="C1177" s="18"/>
      <c r="D1177" s="84" t="s">
        <v>1352</v>
      </c>
      <c r="E1177" s="20"/>
      <c r="F1177" s="20"/>
      <c r="G1177" s="20"/>
      <c r="H1177" s="20"/>
      <c r="I1177" s="20"/>
      <c r="J1177" s="20"/>
      <c r="K1177" s="20"/>
      <c r="L1177" s="20"/>
      <c r="M1177" s="20">
        <f>M1178</f>
        <v>0</v>
      </c>
      <c r="N1177" s="20"/>
      <c r="O1177" s="20">
        <f t="shared" ref="O1177:AC1177" si="467">O1178</f>
        <v>0</v>
      </c>
      <c r="P1177" s="20">
        <f t="shared" si="467"/>
        <v>0</v>
      </c>
      <c r="Q1177" s="20">
        <f t="shared" si="467"/>
        <v>0</v>
      </c>
      <c r="R1177" s="20">
        <f t="shared" si="467"/>
        <v>0</v>
      </c>
      <c r="S1177" s="20">
        <f t="shared" si="467"/>
        <v>0</v>
      </c>
      <c r="T1177" s="20"/>
      <c r="U1177" s="20">
        <f t="shared" si="467"/>
        <v>0</v>
      </c>
      <c r="V1177" s="20"/>
      <c r="W1177" s="20">
        <f t="shared" si="467"/>
        <v>0</v>
      </c>
      <c r="X1177" s="20"/>
      <c r="Y1177" s="20">
        <f t="shared" si="467"/>
        <v>0</v>
      </c>
      <c r="Z1177" s="20">
        <f t="shared" si="467"/>
        <v>0</v>
      </c>
      <c r="AA1177" s="20"/>
      <c r="AB1177" s="20">
        <f t="shared" si="467"/>
        <v>0</v>
      </c>
      <c r="AC1177" s="20">
        <f t="shared" si="467"/>
        <v>0</v>
      </c>
      <c r="AD1177" s="20"/>
      <c r="AE1177" s="20"/>
    </row>
    <row r="1178" spans="1:35" s="1" customFormat="1" ht="25.5" x14ac:dyDescent="0.25">
      <c r="A1178" s="25"/>
      <c r="B1178" s="26" t="s">
        <v>1353</v>
      </c>
      <c r="C1178" s="26"/>
      <c r="D1178" s="64" t="s">
        <v>1354</v>
      </c>
      <c r="E1178" s="28"/>
      <c r="F1178" s="28"/>
      <c r="G1178" s="28"/>
      <c r="H1178" s="28"/>
      <c r="I1178" s="28"/>
      <c r="J1178" s="28"/>
      <c r="K1178" s="28"/>
      <c r="L1178" s="28"/>
      <c r="M1178" s="28">
        <f>SUM(M1179:M1179)</f>
        <v>0</v>
      </c>
      <c r="N1178" s="28"/>
      <c r="O1178" s="28">
        <f>SUM(O1179:O1179)</f>
        <v>0</v>
      </c>
      <c r="P1178" s="28">
        <f>SUM(P1179:P1179)</f>
        <v>0</v>
      </c>
      <c r="Q1178" s="28">
        <f>SUM(Q1179:Q1179)</f>
        <v>0</v>
      </c>
      <c r="R1178" s="28">
        <f>SUM(R1179:R1179)</f>
        <v>0</v>
      </c>
      <c r="S1178" s="28">
        <f>SUM(S1179:S1179)</f>
        <v>0</v>
      </c>
      <c r="T1178" s="28"/>
      <c r="U1178" s="28">
        <f>SUM(U1179:U1179)</f>
        <v>0</v>
      </c>
      <c r="V1178" s="28"/>
      <c r="W1178" s="28">
        <f>SUM(W1179:W1179)</f>
        <v>0</v>
      </c>
      <c r="X1178" s="28"/>
      <c r="Y1178" s="28">
        <f>SUM(Y1179:Y1179)</f>
        <v>0</v>
      </c>
      <c r="Z1178" s="28">
        <f>SUM(Z1179:Z1179)</f>
        <v>0</v>
      </c>
      <c r="AA1178" s="28"/>
      <c r="AB1178" s="28">
        <f>SUM(AB1179:AB1179)</f>
        <v>0</v>
      </c>
      <c r="AC1178" s="28">
        <f>SUM(AC1179:AC1179)</f>
        <v>0</v>
      </c>
      <c r="AD1178" s="28"/>
      <c r="AE1178" s="28"/>
    </row>
    <row r="1179" spans="1:35" s="1" customFormat="1" x14ac:dyDescent="0.25">
      <c r="A1179" s="21"/>
      <c r="B1179" s="22"/>
      <c r="C1179" s="22"/>
      <c r="D1179" s="65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  <c r="S1179" s="24"/>
      <c r="T1179" s="24"/>
      <c r="U1179" s="24"/>
      <c r="V1179" s="24"/>
      <c r="W1179" s="24"/>
      <c r="X1179" s="24"/>
      <c r="Y1179" s="24"/>
      <c r="Z1179" s="24"/>
      <c r="AA1179" s="24"/>
      <c r="AB1179" s="24"/>
      <c r="AC1179" s="24"/>
      <c r="AD1179" s="24"/>
      <c r="AE1179" s="24"/>
    </row>
    <row r="1180" spans="1:35" s="1" customFormat="1" x14ac:dyDescent="0.25">
      <c r="A1180" s="17"/>
      <c r="B1180" s="18" t="s">
        <v>1355</v>
      </c>
      <c r="C1180" s="18"/>
      <c r="D1180" s="84" t="s">
        <v>1356</v>
      </c>
      <c r="E1180" s="20"/>
      <c r="F1180" s="20"/>
      <c r="G1180" s="20"/>
      <c r="H1180" s="20"/>
      <c r="I1180" s="20"/>
      <c r="J1180" s="20"/>
      <c r="K1180" s="20"/>
      <c r="L1180" s="20"/>
      <c r="M1180" s="20">
        <f>M1181</f>
        <v>1</v>
      </c>
      <c r="N1180" s="20"/>
      <c r="O1180" s="37">
        <f t="shared" ref="O1180:AC1180" si="468">O1181</f>
        <v>79800000</v>
      </c>
      <c r="P1180" s="37">
        <f t="shared" si="468"/>
        <v>79800000</v>
      </c>
      <c r="Q1180" s="20">
        <f t="shared" si="468"/>
        <v>0</v>
      </c>
      <c r="R1180" s="20">
        <f t="shared" si="468"/>
        <v>0</v>
      </c>
      <c r="S1180" s="37">
        <f t="shared" si="468"/>
        <v>79800000</v>
      </c>
      <c r="T1180" s="20"/>
      <c r="U1180" s="37">
        <f t="shared" si="468"/>
        <v>1596000</v>
      </c>
      <c r="V1180" s="37"/>
      <c r="W1180" s="37">
        <f t="shared" si="468"/>
        <v>798000</v>
      </c>
      <c r="X1180" s="37"/>
      <c r="Y1180" s="37">
        <f t="shared" si="468"/>
        <v>0</v>
      </c>
      <c r="Z1180" s="37">
        <f t="shared" si="468"/>
        <v>798000</v>
      </c>
      <c r="AA1180" s="37"/>
      <c r="AB1180" s="37">
        <f t="shared" si="468"/>
        <v>18354000</v>
      </c>
      <c r="AC1180" s="37">
        <f t="shared" si="468"/>
        <v>61446000</v>
      </c>
      <c r="AD1180" s="20"/>
      <c r="AE1180" s="20"/>
    </row>
    <row r="1181" spans="1:35" s="1" customFormat="1" x14ac:dyDescent="0.25">
      <c r="A1181" s="25"/>
      <c r="B1181" s="26" t="s">
        <v>1357</v>
      </c>
      <c r="C1181" s="26"/>
      <c r="D1181" s="64" t="s">
        <v>1358</v>
      </c>
      <c r="E1181" s="28"/>
      <c r="F1181" s="28"/>
      <c r="G1181" s="28"/>
      <c r="H1181" s="28"/>
      <c r="I1181" s="28"/>
      <c r="J1181" s="28"/>
      <c r="K1181" s="28"/>
      <c r="L1181" s="28"/>
      <c r="M1181" s="28">
        <f>SUM(M1182:M1183)</f>
        <v>1</v>
      </c>
      <c r="N1181" s="28"/>
      <c r="O1181" s="40">
        <f>SUM(O1182:O1183)</f>
        <v>79800000</v>
      </c>
      <c r="P1181" s="40">
        <f>SUM(P1182:P1183)</f>
        <v>79800000</v>
      </c>
      <c r="Q1181" s="28">
        <f>SUM(Q1182:Q1183)</f>
        <v>0</v>
      </c>
      <c r="R1181" s="28">
        <f>SUM(R1182:R1183)</f>
        <v>0</v>
      </c>
      <c r="S1181" s="40">
        <f>SUM(S1182:S1183)</f>
        <v>79800000</v>
      </c>
      <c r="T1181" s="28"/>
      <c r="U1181" s="40">
        <f>SUM(U1182:U1183)</f>
        <v>1596000</v>
      </c>
      <c r="V1181" s="40"/>
      <c r="W1181" s="40">
        <f>SUM(W1182:W1183)</f>
        <v>798000</v>
      </c>
      <c r="X1181" s="40"/>
      <c r="Y1181" s="40">
        <f>SUM(Y1182:Y1183)</f>
        <v>0</v>
      </c>
      <c r="Z1181" s="40">
        <f>SUM(Z1182:Z1183)</f>
        <v>798000</v>
      </c>
      <c r="AA1181" s="40"/>
      <c r="AB1181" s="40">
        <f>SUM(AB1182:AB1183)</f>
        <v>18354000</v>
      </c>
      <c r="AC1181" s="40">
        <f>SUM(AC1182:AC1183)</f>
        <v>61446000</v>
      </c>
      <c r="AD1181" s="28"/>
      <c r="AE1181" s="28"/>
    </row>
    <row r="1182" spans="1:35" s="1" customFormat="1" x14ac:dyDescent="0.25">
      <c r="A1182" s="21"/>
      <c r="B1182" s="22" t="s">
        <v>1796</v>
      </c>
      <c r="C1182" s="65" t="s">
        <v>58</v>
      </c>
      <c r="D1182" s="24" t="s">
        <v>1321</v>
      </c>
      <c r="E1182" s="52"/>
      <c r="F1182" s="24"/>
      <c r="G1182" s="24" t="s">
        <v>1309</v>
      </c>
      <c r="H1182" s="24" t="s">
        <v>62</v>
      </c>
      <c r="I1182" s="24">
        <v>2012</v>
      </c>
      <c r="J1182" s="24"/>
      <c r="K1182" s="24"/>
      <c r="L1182" s="24" t="s">
        <v>64</v>
      </c>
      <c r="M1182" s="24">
        <v>1</v>
      </c>
      <c r="N1182" s="53">
        <v>79800000</v>
      </c>
      <c r="O1182" s="53">
        <v>79800000</v>
      </c>
      <c r="P1182" s="53">
        <v>79800000</v>
      </c>
      <c r="Q1182" s="43">
        <f>O1182-P1182</f>
        <v>0</v>
      </c>
      <c r="R1182" s="52"/>
      <c r="S1182" s="53">
        <v>79800000</v>
      </c>
      <c r="T1182" s="52">
        <v>50</v>
      </c>
      <c r="U1182" s="53">
        <f>SUM(S1182/T1182)</f>
        <v>1596000</v>
      </c>
      <c r="V1182" s="52">
        <v>0.5</v>
      </c>
      <c r="W1182" s="53">
        <f>SUM(U1182*V1182)</f>
        <v>798000</v>
      </c>
      <c r="X1182" s="54"/>
      <c r="Y1182" s="56">
        <f>SUM(U1182*X1182)</f>
        <v>0</v>
      </c>
      <c r="Z1182" s="56">
        <f>W1182+Y1182</f>
        <v>798000</v>
      </c>
      <c r="AA1182" s="52">
        <v>11.5</v>
      </c>
      <c r="AB1182" s="56">
        <f>SUM(U1182*AA1182)</f>
        <v>18354000</v>
      </c>
      <c r="AC1182" s="53">
        <f>SUM(S1182-AB1182)</f>
        <v>61446000</v>
      </c>
      <c r="AD1182" s="52" t="s">
        <v>1307</v>
      </c>
      <c r="AE1182" s="52"/>
    </row>
    <row r="1183" spans="1:35" s="1" customFormat="1" x14ac:dyDescent="0.25">
      <c r="A1183" s="21"/>
      <c r="B1183" s="22"/>
      <c r="C1183" s="22"/>
      <c r="D1183" s="65"/>
      <c r="E1183" s="24"/>
      <c r="F1183" s="24"/>
      <c r="G1183" s="24"/>
      <c r="H1183" s="24"/>
      <c r="I1183" s="24"/>
      <c r="J1183" s="24"/>
      <c r="K1183" s="24"/>
      <c r="L1183" s="24"/>
      <c r="M1183" s="24"/>
      <c r="N1183" s="24"/>
      <c r="O1183" s="24"/>
      <c r="P1183" s="24"/>
      <c r="Q1183" s="24"/>
      <c r="R1183" s="24"/>
      <c r="S1183" s="24"/>
      <c r="T1183" s="24"/>
      <c r="U1183" s="24"/>
      <c r="V1183" s="24"/>
      <c r="W1183" s="24"/>
      <c r="X1183" s="24"/>
      <c r="Y1183" s="24"/>
      <c r="Z1183" s="24"/>
      <c r="AA1183" s="24"/>
      <c r="AB1183" s="24"/>
      <c r="AC1183" s="24"/>
      <c r="AD1183" s="24"/>
      <c r="AE1183" s="24"/>
    </row>
    <row r="1184" spans="1:35" s="1" customFormat="1" x14ac:dyDescent="0.25">
      <c r="A1184" s="17"/>
      <c r="B1184" s="18" t="s">
        <v>1359</v>
      </c>
      <c r="C1184" s="18"/>
      <c r="D1184" s="84" t="s">
        <v>1360</v>
      </c>
      <c r="E1184" s="20"/>
      <c r="F1184" s="20"/>
      <c r="G1184" s="20"/>
      <c r="H1184" s="20"/>
      <c r="I1184" s="20"/>
      <c r="J1184" s="20"/>
      <c r="K1184" s="20"/>
      <c r="L1184" s="20"/>
      <c r="M1184" s="20">
        <f>M1185</f>
        <v>0</v>
      </c>
      <c r="N1184" s="20"/>
      <c r="O1184" s="20">
        <f t="shared" ref="O1184:AC1184" si="469">O1185</f>
        <v>0</v>
      </c>
      <c r="P1184" s="20">
        <f t="shared" si="469"/>
        <v>0</v>
      </c>
      <c r="Q1184" s="20">
        <f t="shared" si="469"/>
        <v>0</v>
      </c>
      <c r="R1184" s="20">
        <f t="shared" si="469"/>
        <v>0</v>
      </c>
      <c r="S1184" s="20">
        <f t="shared" si="469"/>
        <v>0</v>
      </c>
      <c r="T1184" s="20"/>
      <c r="U1184" s="20">
        <f t="shared" si="469"/>
        <v>0</v>
      </c>
      <c r="V1184" s="20"/>
      <c r="W1184" s="20">
        <f t="shared" si="469"/>
        <v>0</v>
      </c>
      <c r="X1184" s="20"/>
      <c r="Y1184" s="20">
        <f t="shared" si="469"/>
        <v>0</v>
      </c>
      <c r="Z1184" s="20">
        <f t="shared" si="469"/>
        <v>0</v>
      </c>
      <c r="AA1184" s="20"/>
      <c r="AB1184" s="20">
        <f t="shared" si="469"/>
        <v>0</v>
      </c>
      <c r="AC1184" s="20">
        <f t="shared" si="469"/>
        <v>0</v>
      </c>
      <c r="AD1184" s="20"/>
      <c r="AE1184" s="20"/>
    </row>
    <row r="1185" spans="1:34" s="1" customFormat="1" x14ac:dyDescent="0.25">
      <c r="A1185" s="25"/>
      <c r="B1185" s="26" t="s">
        <v>1361</v>
      </c>
      <c r="C1185" s="26"/>
      <c r="D1185" s="64" t="s">
        <v>1362</v>
      </c>
      <c r="E1185" s="28"/>
      <c r="F1185" s="28"/>
      <c r="G1185" s="28"/>
      <c r="H1185" s="28"/>
      <c r="I1185" s="28"/>
      <c r="J1185" s="28"/>
      <c r="K1185" s="28"/>
      <c r="L1185" s="28"/>
      <c r="M1185" s="28">
        <f>SUM(M1186:M1186)</f>
        <v>0</v>
      </c>
      <c r="N1185" s="28"/>
      <c r="O1185" s="28">
        <f>SUM(O1186:O1186)</f>
        <v>0</v>
      </c>
      <c r="P1185" s="28">
        <f>SUM(P1186:P1186)</f>
        <v>0</v>
      </c>
      <c r="Q1185" s="28">
        <f>SUM(Q1186:Q1186)</f>
        <v>0</v>
      </c>
      <c r="R1185" s="28">
        <f>SUM(R1186:R1186)</f>
        <v>0</v>
      </c>
      <c r="S1185" s="28">
        <f>SUM(S1186:S1186)</f>
        <v>0</v>
      </c>
      <c r="T1185" s="28"/>
      <c r="U1185" s="28">
        <f>SUM(U1186:U1186)</f>
        <v>0</v>
      </c>
      <c r="V1185" s="28"/>
      <c r="W1185" s="28">
        <f>SUM(W1186:W1186)</f>
        <v>0</v>
      </c>
      <c r="X1185" s="28"/>
      <c r="Y1185" s="28">
        <f>SUM(Y1186:Y1186)</f>
        <v>0</v>
      </c>
      <c r="Z1185" s="28">
        <f>SUM(Z1186:Z1186)</f>
        <v>0</v>
      </c>
      <c r="AA1185" s="28"/>
      <c r="AB1185" s="28">
        <f>SUM(AB1186:AB1186)</f>
        <v>0</v>
      </c>
      <c r="AC1185" s="28">
        <f>SUM(AC1186:AC1186)</f>
        <v>0</v>
      </c>
      <c r="AD1185" s="28"/>
      <c r="AE1185" s="28"/>
    </row>
    <row r="1186" spans="1:34" s="1" customFormat="1" x14ac:dyDescent="0.25">
      <c r="A1186" s="21"/>
      <c r="B1186" s="22"/>
      <c r="C1186" s="22"/>
      <c r="D1186" s="65"/>
      <c r="E1186" s="24"/>
      <c r="F1186" s="24"/>
      <c r="G1186" s="24"/>
      <c r="H1186" s="24"/>
      <c r="I1186" s="24"/>
      <c r="J1186" s="24"/>
      <c r="K1186" s="24"/>
      <c r="L1186" s="24"/>
      <c r="M1186" s="24"/>
      <c r="N1186" s="24"/>
      <c r="O1186" s="24"/>
      <c r="P1186" s="24"/>
      <c r="Q1186" s="24"/>
      <c r="R1186" s="24"/>
      <c r="S1186" s="24"/>
      <c r="T1186" s="24"/>
      <c r="U1186" s="24"/>
      <c r="V1186" s="24"/>
      <c r="W1186" s="24"/>
      <c r="X1186" s="24"/>
      <c r="Y1186" s="24"/>
      <c r="Z1186" s="24"/>
      <c r="AA1186" s="24"/>
      <c r="AB1186" s="24"/>
      <c r="AC1186" s="24"/>
      <c r="AD1186" s="24"/>
      <c r="AE1186" s="24"/>
      <c r="AF1186" s="8"/>
    </row>
    <row r="1187" spans="1:34" s="16" customFormat="1" ht="23.25" customHeight="1" x14ac:dyDescent="0.25">
      <c r="A1187" s="29">
        <v>4</v>
      </c>
      <c r="B1187" s="30" t="s">
        <v>1363</v>
      </c>
      <c r="C1187" s="30"/>
      <c r="D1187" s="89" t="s">
        <v>1364</v>
      </c>
      <c r="E1187" s="32"/>
      <c r="F1187" s="32"/>
      <c r="G1187" s="32"/>
      <c r="H1187" s="32"/>
      <c r="I1187" s="32"/>
      <c r="J1187" s="32"/>
      <c r="K1187" s="32"/>
      <c r="L1187" s="32"/>
      <c r="M1187" s="32">
        <f>M1188+M1195+M1210+M1259</f>
        <v>18</v>
      </c>
      <c r="N1187" s="32"/>
      <c r="O1187" s="34">
        <f>O1188+O1195+O1210+O1259</f>
        <v>1749770100</v>
      </c>
      <c r="P1187" s="32">
        <f>P1188+P1195+P1210+P1259</f>
        <v>0</v>
      </c>
      <c r="Q1187" s="32">
        <f>Q1188+Q1195+Q1210+Q1259</f>
        <v>0</v>
      </c>
      <c r="R1187" s="32">
        <f>R1188+R1195+R1210+R1259</f>
        <v>0</v>
      </c>
      <c r="S1187" s="34">
        <f>S1188+S1195+S1210+S1259</f>
        <v>1837760683.3333335</v>
      </c>
      <c r="T1187" s="34"/>
      <c r="U1187" s="34">
        <f>U1188+U1195+U1210+U1259</f>
        <v>43087151.180672273</v>
      </c>
      <c r="V1187" s="34"/>
      <c r="W1187" s="34">
        <f>W1188+W1195+W1210+W1259</f>
        <v>20656275.590336137</v>
      </c>
      <c r="X1187" s="34"/>
      <c r="Y1187" s="34">
        <f>Y1188+Y1195+Y1210+Y1259</f>
        <v>0</v>
      </c>
      <c r="Z1187" s="34">
        <f>Z1188+Z1195+Z1210+Z1259</f>
        <v>20656275.590336137</v>
      </c>
      <c r="AA1187" s="34"/>
      <c r="AB1187" s="34">
        <f>AB1188+AB1195+AB1210+AB1259</f>
        <v>349291249.89705884</v>
      </c>
      <c r="AC1187" s="34">
        <f>AC1188+AC1195+AC1210+AC1259</f>
        <v>1400478850.102941</v>
      </c>
      <c r="AD1187" s="32"/>
      <c r="AE1187" s="32"/>
      <c r="AF1187" s="90"/>
      <c r="AG1187" s="36"/>
      <c r="AH1187" s="1"/>
    </row>
    <row r="1188" spans="1:34" s="1" customFormat="1" x14ac:dyDescent="0.25">
      <c r="A1188" s="17"/>
      <c r="B1188" s="18" t="s">
        <v>1365</v>
      </c>
      <c r="C1188" s="18"/>
      <c r="D1188" s="84" t="s">
        <v>1366</v>
      </c>
      <c r="E1188" s="20"/>
      <c r="F1188" s="20"/>
      <c r="G1188" s="20"/>
      <c r="H1188" s="20"/>
      <c r="I1188" s="20"/>
      <c r="J1188" s="20"/>
      <c r="K1188" s="20"/>
      <c r="L1188" s="20"/>
      <c r="M1188" s="20"/>
      <c r="N1188" s="20"/>
      <c r="O1188" s="20">
        <f>O1189+O1191</f>
        <v>0</v>
      </c>
      <c r="P1188" s="20">
        <f>P1189+P1191</f>
        <v>0</v>
      </c>
      <c r="Q1188" s="20">
        <f>Q1189+Q1191</f>
        <v>0</v>
      </c>
      <c r="R1188" s="20">
        <f>R1189+R1191</f>
        <v>0</v>
      </c>
      <c r="S1188" s="20">
        <f>S1189+S1191</f>
        <v>0</v>
      </c>
      <c r="T1188" s="20"/>
      <c r="U1188" s="20">
        <f>U1189+U1191</f>
        <v>0</v>
      </c>
      <c r="V1188" s="20"/>
      <c r="W1188" s="20">
        <f>W1189+W1191</f>
        <v>0</v>
      </c>
      <c r="X1188" s="20"/>
      <c r="Y1188" s="20">
        <f>Y1189+Y1191</f>
        <v>0</v>
      </c>
      <c r="Z1188" s="20">
        <f>Z1189+Z1191</f>
        <v>0</v>
      </c>
      <c r="AA1188" s="20"/>
      <c r="AB1188" s="20">
        <f>AB1189+AB1191</f>
        <v>0</v>
      </c>
      <c r="AC1188" s="20">
        <f>AC1189+AC1191</f>
        <v>0</v>
      </c>
      <c r="AD1188" s="20"/>
      <c r="AE1188" s="20"/>
      <c r="AF1188" s="5"/>
      <c r="AG1188" s="36"/>
    </row>
    <row r="1189" spans="1:34" s="1" customFormat="1" x14ac:dyDescent="0.25">
      <c r="A1189" s="25"/>
      <c r="B1189" s="26" t="s">
        <v>1367</v>
      </c>
      <c r="C1189" s="26"/>
      <c r="D1189" s="64" t="s">
        <v>1368</v>
      </c>
      <c r="E1189" s="28"/>
      <c r="F1189" s="28"/>
      <c r="G1189" s="28"/>
      <c r="H1189" s="28"/>
      <c r="I1189" s="28"/>
      <c r="J1189" s="28"/>
      <c r="K1189" s="28"/>
      <c r="L1189" s="28"/>
      <c r="M1189" s="28">
        <f>SUM(M1190:M1190)</f>
        <v>0</v>
      </c>
      <c r="N1189" s="28"/>
      <c r="O1189" s="28">
        <f>SUM(O1190:O1190)</f>
        <v>0</v>
      </c>
      <c r="P1189" s="28">
        <f>SUM(P1190:P1190)</f>
        <v>0</v>
      </c>
      <c r="Q1189" s="28">
        <f>SUM(Q1190:Q1190)</f>
        <v>0</v>
      </c>
      <c r="R1189" s="28">
        <f>SUM(R1190:R1190)</f>
        <v>0</v>
      </c>
      <c r="S1189" s="28">
        <f>SUM(S1190:S1190)</f>
        <v>0</v>
      </c>
      <c r="T1189" s="28"/>
      <c r="U1189" s="28">
        <f>SUM(U1190:U1190)</f>
        <v>0</v>
      </c>
      <c r="V1189" s="28"/>
      <c r="W1189" s="28">
        <f>SUM(W1190:W1190)</f>
        <v>0</v>
      </c>
      <c r="X1189" s="28"/>
      <c r="Y1189" s="28">
        <f>SUM(Y1190:Y1190)</f>
        <v>0</v>
      </c>
      <c r="Z1189" s="28">
        <f>SUM(Z1190:Z1190)</f>
        <v>0</v>
      </c>
      <c r="AA1189" s="28"/>
      <c r="AB1189" s="28">
        <f>SUM(AB1190:AB1190)</f>
        <v>0</v>
      </c>
      <c r="AC1189" s="28">
        <f>SUM(AC1190:AC1190)</f>
        <v>0</v>
      </c>
      <c r="AD1189" s="28"/>
      <c r="AE1189" s="28"/>
      <c r="AF1189" s="8"/>
      <c r="AG1189" s="5"/>
      <c r="AH1189" s="16"/>
    </row>
    <row r="1190" spans="1:34" s="1" customFormat="1" x14ac:dyDescent="0.25">
      <c r="A1190" s="21"/>
      <c r="B1190" s="22"/>
      <c r="C1190" s="22"/>
      <c r="D1190" s="65"/>
      <c r="E1190" s="24"/>
      <c r="F1190" s="24"/>
      <c r="G1190" s="24"/>
      <c r="H1190" s="24"/>
      <c r="I1190" s="24"/>
      <c r="J1190" s="24"/>
      <c r="K1190" s="24"/>
      <c r="L1190" s="24"/>
      <c r="M1190" s="24"/>
      <c r="N1190" s="24"/>
      <c r="O1190" s="24"/>
      <c r="P1190" s="24"/>
      <c r="Q1190" s="24"/>
      <c r="R1190" s="24"/>
      <c r="S1190" s="24"/>
      <c r="T1190" s="24"/>
      <c r="U1190" s="24"/>
      <c r="V1190" s="24"/>
      <c r="W1190" s="24"/>
      <c r="X1190" s="24"/>
      <c r="Y1190" s="24"/>
      <c r="Z1190" s="24"/>
      <c r="AA1190" s="24"/>
      <c r="AB1190" s="24"/>
      <c r="AC1190" s="24"/>
      <c r="AD1190" s="24"/>
      <c r="AE1190" s="24"/>
    </row>
    <row r="1191" spans="1:34" s="1" customFormat="1" x14ac:dyDescent="0.25">
      <c r="A1191" s="25"/>
      <c r="B1191" s="26" t="s">
        <v>1369</v>
      </c>
      <c r="C1191" s="26"/>
      <c r="D1191" s="64" t="s">
        <v>1370</v>
      </c>
      <c r="E1191" s="28"/>
      <c r="F1191" s="28"/>
      <c r="G1191" s="28"/>
      <c r="H1191" s="28"/>
      <c r="I1191" s="28"/>
      <c r="J1191" s="28"/>
      <c r="K1191" s="28"/>
      <c r="L1191" s="28"/>
      <c r="M1191" s="28">
        <f>SUM(M1192:M1194)</f>
        <v>0</v>
      </c>
      <c r="N1191" s="28"/>
      <c r="O1191" s="28">
        <f t="shared" ref="O1191:AC1191" si="470">SUM(O1192:O1194)</f>
        <v>0</v>
      </c>
      <c r="P1191" s="28">
        <f t="shared" si="470"/>
        <v>0</v>
      </c>
      <c r="Q1191" s="28">
        <f t="shared" si="470"/>
        <v>0</v>
      </c>
      <c r="R1191" s="28">
        <f t="shared" si="470"/>
        <v>0</v>
      </c>
      <c r="S1191" s="28">
        <f t="shared" si="470"/>
        <v>0</v>
      </c>
      <c r="T1191" s="28"/>
      <c r="U1191" s="28">
        <f t="shared" si="470"/>
        <v>0</v>
      </c>
      <c r="V1191" s="28"/>
      <c r="W1191" s="28">
        <f t="shared" si="470"/>
        <v>0</v>
      </c>
      <c r="X1191" s="28"/>
      <c r="Y1191" s="28">
        <f t="shared" si="470"/>
        <v>0</v>
      </c>
      <c r="Z1191" s="28">
        <f t="shared" si="470"/>
        <v>0</v>
      </c>
      <c r="AA1191" s="28"/>
      <c r="AB1191" s="28">
        <f t="shared" si="470"/>
        <v>0</v>
      </c>
      <c r="AC1191" s="28">
        <f t="shared" si="470"/>
        <v>0</v>
      </c>
      <c r="AD1191" s="28"/>
      <c r="AE1191" s="28"/>
    </row>
    <row r="1192" spans="1:34" s="1" customFormat="1" x14ac:dyDescent="0.25">
      <c r="A1192" s="21"/>
      <c r="B1192" s="22"/>
      <c r="C1192" s="22"/>
      <c r="D1192" s="65"/>
      <c r="E1192" s="24"/>
      <c r="F1192" s="24"/>
      <c r="G1192" s="24"/>
      <c r="H1192" s="24"/>
      <c r="I1192" s="24"/>
      <c r="J1192" s="24"/>
      <c r="K1192" s="24"/>
      <c r="L1192" s="24"/>
      <c r="M1192" s="24"/>
      <c r="N1192" s="24"/>
      <c r="O1192" s="24"/>
      <c r="P1192" s="24"/>
      <c r="Q1192" s="24"/>
      <c r="R1192" s="24"/>
      <c r="S1192" s="24"/>
      <c r="T1192" s="24"/>
      <c r="U1192" s="24"/>
      <c r="V1192" s="24"/>
      <c r="W1192" s="24"/>
      <c r="X1192" s="24"/>
      <c r="Y1192" s="24"/>
      <c r="Z1192" s="24"/>
      <c r="AA1192" s="24"/>
      <c r="AB1192" s="24"/>
      <c r="AC1192" s="24"/>
      <c r="AD1192" s="24"/>
      <c r="AE1192" s="24"/>
    </row>
    <row r="1193" spans="1:34" s="1" customFormat="1" x14ac:dyDescent="0.25">
      <c r="A1193" s="21"/>
      <c r="B1193" s="22"/>
      <c r="C1193" s="22"/>
      <c r="D1193" s="65"/>
      <c r="E1193" s="24"/>
      <c r="F1193" s="24"/>
      <c r="G1193" s="24"/>
      <c r="H1193" s="24"/>
      <c r="I1193" s="24"/>
      <c r="J1193" s="24"/>
      <c r="K1193" s="24"/>
      <c r="L1193" s="24"/>
      <c r="M1193" s="24"/>
      <c r="N1193" s="24"/>
      <c r="O1193" s="24"/>
      <c r="P1193" s="24"/>
      <c r="Q1193" s="24"/>
      <c r="R1193" s="24"/>
      <c r="S1193" s="24"/>
      <c r="T1193" s="24"/>
      <c r="U1193" s="24"/>
      <c r="V1193" s="24"/>
      <c r="W1193" s="24"/>
      <c r="X1193" s="24"/>
      <c r="Y1193" s="24"/>
      <c r="Z1193" s="24"/>
      <c r="AA1193" s="24"/>
      <c r="AB1193" s="24"/>
      <c r="AC1193" s="24"/>
      <c r="AD1193" s="24"/>
      <c r="AE1193" s="24"/>
    </row>
    <row r="1194" spans="1:34" s="1" customFormat="1" x14ac:dyDescent="0.25">
      <c r="A1194" s="21"/>
      <c r="B1194" s="22"/>
      <c r="C1194" s="22"/>
      <c r="D1194" s="65"/>
      <c r="E1194" s="24"/>
      <c r="F1194" s="24"/>
      <c r="G1194" s="24"/>
      <c r="H1194" s="24"/>
      <c r="I1194" s="24"/>
      <c r="J1194" s="24"/>
      <c r="K1194" s="24"/>
      <c r="L1194" s="24"/>
      <c r="M1194" s="24"/>
      <c r="N1194" s="24"/>
      <c r="O1194" s="24"/>
      <c r="P1194" s="24"/>
      <c r="Q1194" s="24"/>
      <c r="R1194" s="24"/>
      <c r="S1194" s="24"/>
      <c r="T1194" s="24"/>
      <c r="U1194" s="24"/>
      <c r="V1194" s="24"/>
      <c r="W1194" s="24"/>
      <c r="X1194" s="24"/>
      <c r="Y1194" s="24"/>
      <c r="Z1194" s="24"/>
      <c r="AA1194" s="24"/>
      <c r="AB1194" s="24"/>
      <c r="AC1194" s="24"/>
      <c r="AD1194" s="24"/>
      <c r="AE1194" s="24"/>
    </row>
    <row r="1195" spans="1:34" s="1" customFormat="1" x14ac:dyDescent="0.25">
      <c r="A1195" s="17"/>
      <c r="B1195" s="18" t="s">
        <v>1371</v>
      </c>
      <c r="C1195" s="18"/>
      <c r="D1195" s="84" t="s">
        <v>1372</v>
      </c>
      <c r="E1195" s="20"/>
      <c r="F1195" s="20"/>
      <c r="G1195" s="20"/>
      <c r="H1195" s="20"/>
      <c r="I1195" s="20"/>
      <c r="J1195" s="20"/>
      <c r="K1195" s="20"/>
      <c r="L1195" s="20"/>
      <c r="M1195" s="20">
        <f>M1196+M1198+M1200+M1202+M1204+M1206+M1208</f>
        <v>0</v>
      </c>
      <c r="N1195" s="20"/>
      <c r="O1195" s="20">
        <f>O1196+O1198+O1200+O1202+O1204+O1206+O1208</f>
        <v>0</v>
      </c>
      <c r="P1195" s="20">
        <f>P1196+P1198+P1200+P1202+P1204+P1206+P1208</f>
        <v>0</v>
      </c>
      <c r="Q1195" s="20">
        <f>Q1196+Q1198+Q1200+Q1202+Q1204+Q1206+Q1208</f>
        <v>0</v>
      </c>
      <c r="R1195" s="20">
        <f>R1196+R1198+R1200+R1202+R1204+R1206+R1208</f>
        <v>0</v>
      </c>
      <c r="S1195" s="20">
        <f>S1196+S1198+S1200+S1202+S1204+S1206+S1208</f>
        <v>0</v>
      </c>
      <c r="T1195" s="20"/>
      <c r="U1195" s="20">
        <f>U1196+U1198+U1200+U1202+U1204+U1206+U1208</f>
        <v>0</v>
      </c>
      <c r="V1195" s="20"/>
      <c r="W1195" s="20">
        <f>W1196+W1198+W1200+W1202+W1204+W1206+W1208</f>
        <v>0</v>
      </c>
      <c r="X1195" s="20"/>
      <c r="Y1195" s="20">
        <f>Y1196+Y1198+Y1200+Y1202+Y1204+Y1206+Y1208</f>
        <v>0</v>
      </c>
      <c r="Z1195" s="20">
        <f>Z1196+Z1198+Z1200+Z1202+Z1204+Z1206+Z1208</f>
        <v>0</v>
      </c>
      <c r="AA1195" s="20"/>
      <c r="AB1195" s="20">
        <f>AB1196+AB1198+AB1200+AB1202+AB1204+AB1206+AB1208</f>
        <v>0</v>
      </c>
      <c r="AC1195" s="20">
        <f>AC1196+AC1198+AC1200+AC1202+AC1204+AC1206+AC1208</f>
        <v>0</v>
      </c>
      <c r="AD1195" s="20"/>
      <c r="AE1195" s="20"/>
    </row>
    <row r="1196" spans="1:34" s="1" customFormat="1" x14ac:dyDescent="0.25">
      <c r="A1196" s="25"/>
      <c r="B1196" s="26" t="s">
        <v>1373</v>
      </c>
      <c r="C1196" s="26"/>
      <c r="D1196" s="64" t="s">
        <v>1374</v>
      </c>
      <c r="E1196" s="28"/>
      <c r="F1196" s="28"/>
      <c r="G1196" s="28"/>
      <c r="H1196" s="28"/>
      <c r="I1196" s="28"/>
      <c r="J1196" s="28"/>
      <c r="K1196" s="28"/>
      <c r="L1196" s="28"/>
      <c r="M1196" s="28">
        <f>SUM(M1197:M1197)</f>
        <v>0</v>
      </c>
      <c r="N1196" s="28"/>
      <c r="O1196" s="28">
        <f>SUM(O1197:O1197)</f>
        <v>0</v>
      </c>
      <c r="P1196" s="28">
        <f>SUM(P1197:P1197)</f>
        <v>0</v>
      </c>
      <c r="Q1196" s="28">
        <f>SUM(Q1197:Q1197)</f>
        <v>0</v>
      </c>
      <c r="R1196" s="28">
        <f>SUM(R1197:R1197)</f>
        <v>0</v>
      </c>
      <c r="S1196" s="28">
        <f>SUM(S1197:S1197)</f>
        <v>0</v>
      </c>
      <c r="T1196" s="28"/>
      <c r="U1196" s="28">
        <f>SUM(U1197:U1197)</f>
        <v>0</v>
      </c>
      <c r="V1196" s="28"/>
      <c r="W1196" s="28">
        <f>SUM(W1197:W1197)</f>
        <v>0</v>
      </c>
      <c r="X1196" s="28"/>
      <c r="Y1196" s="28">
        <f>SUM(Y1197:Y1197)</f>
        <v>0</v>
      </c>
      <c r="Z1196" s="28">
        <f>SUM(Z1197:Z1197)</f>
        <v>0</v>
      </c>
      <c r="AA1196" s="28"/>
      <c r="AB1196" s="28">
        <f>SUM(AB1197:AB1197)</f>
        <v>0</v>
      </c>
      <c r="AC1196" s="28">
        <f>SUM(AC1197:AC1197)</f>
        <v>0</v>
      </c>
      <c r="AD1196" s="28"/>
      <c r="AE1196" s="28"/>
    </row>
    <row r="1197" spans="1:34" s="1" customFormat="1" x14ac:dyDescent="0.25">
      <c r="A1197" s="21"/>
      <c r="B1197" s="22"/>
      <c r="C1197" s="22"/>
      <c r="D1197" s="65"/>
      <c r="E1197" s="24"/>
      <c r="F1197" s="24"/>
      <c r="G1197" s="24"/>
      <c r="H1197" s="24"/>
      <c r="I1197" s="24"/>
      <c r="J1197" s="24"/>
      <c r="K1197" s="24"/>
      <c r="L1197" s="24"/>
      <c r="M1197" s="24"/>
      <c r="N1197" s="24"/>
      <c r="O1197" s="24"/>
      <c r="P1197" s="24"/>
      <c r="Q1197" s="24"/>
      <c r="R1197" s="24"/>
      <c r="S1197" s="24"/>
      <c r="T1197" s="24"/>
      <c r="U1197" s="24"/>
      <c r="V1197" s="24"/>
      <c r="W1197" s="24"/>
      <c r="X1197" s="24"/>
      <c r="Y1197" s="24"/>
      <c r="Z1197" s="24"/>
      <c r="AA1197" s="24"/>
      <c r="AB1197" s="24"/>
      <c r="AC1197" s="24"/>
      <c r="AD1197" s="24"/>
      <c r="AE1197" s="24"/>
    </row>
    <row r="1198" spans="1:34" s="1" customFormat="1" ht="25.5" x14ac:dyDescent="0.25">
      <c r="A1198" s="25"/>
      <c r="B1198" s="26" t="s">
        <v>1375</v>
      </c>
      <c r="C1198" s="26"/>
      <c r="D1198" s="64" t="s">
        <v>1376</v>
      </c>
      <c r="E1198" s="28"/>
      <c r="F1198" s="28"/>
      <c r="G1198" s="28"/>
      <c r="H1198" s="28"/>
      <c r="I1198" s="28"/>
      <c r="J1198" s="28"/>
      <c r="K1198" s="28"/>
      <c r="L1198" s="28"/>
      <c r="M1198" s="28">
        <f>SUM(M1199:M1199)</f>
        <v>0</v>
      </c>
      <c r="N1198" s="28"/>
      <c r="O1198" s="28">
        <f>SUM(O1199:O1199)</f>
        <v>0</v>
      </c>
      <c r="P1198" s="28">
        <f>SUM(P1199:P1199)</f>
        <v>0</v>
      </c>
      <c r="Q1198" s="28">
        <f>SUM(Q1199:Q1199)</f>
        <v>0</v>
      </c>
      <c r="R1198" s="28">
        <f>SUM(R1199:R1199)</f>
        <v>0</v>
      </c>
      <c r="S1198" s="28">
        <f>SUM(S1199:S1199)</f>
        <v>0</v>
      </c>
      <c r="T1198" s="28"/>
      <c r="U1198" s="28">
        <f>SUM(U1199:U1199)</f>
        <v>0</v>
      </c>
      <c r="V1198" s="28"/>
      <c r="W1198" s="28">
        <f>SUM(W1199:W1199)</f>
        <v>0</v>
      </c>
      <c r="X1198" s="28"/>
      <c r="Y1198" s="28">
        <f>SUM(Y1199:Y1199)</f>
        <v>0</v>
      </c>
      <c r="Z1198" s="28">
        <f>SUM(Z1199:Z1199)</f>
        <v>0</v>
      </c>
      <c r="AA1198" s="28"/>
      <c r="AB1198" s="28">
        <f>SUM(AB1199:AB1199)</f>
        <v>0</v>
      </c>
      <c r="AC1198" s="28">
        <f>SUM(AC1199:AC1199)</f>
        <v>0</v>
      </c>
      <c r="AD1198" s="28"/>
      <c r="AE1198" s="28"/>
    </row>
    <row r="1199" spans="1:34" s="1" customFormat="1" x14ac:dyDescent="0.25">
      <c r="A1199" s="21"/>
      <c r="B1199" s="22"/>
      <c r="C1199" s="22"/>
      <c r="D1199" s="65"/>
      <c r="E1199" s="24"/>
      <c r="F1199" s="24"/>
      <c r="G1199" s="24"/>
      <c r="H1199" s="24"/>
      <c r="I1199" s="24"/>
      <c r="J1199" s="24"/>
      <c r="K1199" s="24"/>
      <c r="L1199" s="24"/>
      <c r="M1199" s="24"/>
      <c r="N1199" s="24"/>
      <c r="O1199" s="24"/>
      <c r="P1199" s="24"/>
      <c r="Q1199" s="24"/>
      <c r="R1199" s="24"/>
      <c r="S1199" s="24"/>
      <c r="T1199" s="24"/>
      <c r="U1199" s="24"/>
      <c r="V1199" s="24"/>
      <c r="W1199" s="24"/>
      <c r="X1199" s="24"/>
      <c r="Y1199" s="24"/>
      <c r="Z1199" s="24"/>
      <c r="AA1199" s="24"/>
      <c r="AB1199" s="24"/>
      <c r="AC1199" s="24"/>
      <c r="AD1199" s="24"/>
      <c r="AE1199" s="24"/>
    </row>
    <row r="1200" spans="1:34" s="1" customFormat="1" ht="25.5" x14ac:dyDescent="0.25">
      <c r="A1200" s="25"/>
      <c r="B1200" s="26" t="s">
        <v>1377</v>
      </c>
      <c r="C1200" s="26"/>
      <c r="D1200" s="64" t="s">
        <v>1378</v>
      </c>
      <c r="E1200" s="28"/>
      <c r="F1200" s="28"/>
      <c r="G1200" s="28"/>
      <c r="H1200" s="28"/>
      <c r="I1200" s="28"/>
      <c r="J1200" s="28"/>
      <c r="K1200" s="28"/>
      <c r="L1200" s="28"/>
      <c r="M1200" s="28">
        <f>SUM(M1201:M1201)</f>
        <v>0</v>
      </c>
      <c r="N1200" s="28"/>
      <c r="O1200" s="28">
        <f>SUM(O1201:O1201)</f>
        <v>0</v>
      </c>
      <c r="P1200" s="28">
        <f>SUM(P1201:P1201)</f>
        <v>0</v>
      </c>
      <c r="Q1200" s="28">
        <f>SUM(Q1201:Q1201)</f>
        <v>0</v>
      </c>
      <c r="R1200" s="28">
        <f>SUM(R1201:R1201)</f>
        <v>0</v>
      </c>
      <c r="S1200" s="28">
        <f>SUM(S1201:S1201)</f>
        <v>0</v>
      </c>
      <c r="T1200" s="28"/>
      <c r="U1200" s="28">
        <f>SUM(U1201:U1201)</f>
        <v>0</v>
      </c>
      <c r="V1200" s="28"/>
      <c r="W1200" s="28">
        <f>SUM(W1201:W1201)</f>
        <v>0</v>
      </c>
      <c r="X1200" s="28"/>
      <c r="Y1200" s="28">
        <f>SUM(Y1201:Y1201)</f>
        <v>0</v>
      </c>
      <c r="Z1200" s="28">
        <f>SUM(Z1201:Z1201)</f>
        <v>0</v>
      </c>
      <c r="AA1200" s="28"/>
      <c r="AB1200" s="28">
        <f>SUM(AB1201:AB1201)</f>
        <v>0</v>
      </c>
      <c r="AC1200" s="28">
        <f>SUM(AC1201:AC1201)</f>
        <v>0</v>
      </c>
      <c r="AD1200" s="28"/>
      <c r="AE1200" s="28"/>
    </row>
    <row r="1201" spans="1:33" s="1" customFormat="1" x14ac:dyDescent="0.25">
      <c r="A1201" s="21"/>
      <c r="B1201" s="22"/>
      <c r="C1201" s="22"/>
      <c r="D1201" s="65"/>
      <c r="E1201" s="24"/>
      <c r="F1201" s="24"/>
      <c r="G1201" s="24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  <c r="S1201" s="24"/>
      <c r="T1201" s="24"/>
      <c r="U1201" s="24"/>
      <c r="V1201" s="24"/>
      <c r="W1201" s="24"/>
      <c r="X1201" s="24"/>
      <c r="Y1201" s="24"/>
      <c r="Z1201" s="24"/>
      <c r="AA1201" s="24"/>
      <c r="AB1201" s="24"/>
      <c r="AC1201" s="24"/>
      <c r="AD1201" s="24"/>
      <c r="AE1201" s="24"/>
    </row>
    <row r="1202" spans="1:33" s="1" customFormat="1" ht="38.25" x14ac:dyDescent="0.25">
      <c r="A1202" s="25"/>
      <c r="B1202" s="26" t="s">
        <v>1379</v>
      </c>
      <c r="C1202" s="26"/>
      <c r="D1202" s="64" t="s">
        <v>1380</v>
      </c>
      <c r="E1202" s="28"/>
      <c r="F1202" s="28"/>
      <c r="G1202" s="28"/>
      <c r="H1202" s="28"/>
      <c r="I1202" s="28"/>
      <c r="J1202" s="28"/>
      <c r="K1202" s="28"/>
      <c r="L1202" s="28"/>
      <c r="M1202" s="28">
        <f>SUM(M1203:M1203)</f>
        <v>0</v>
      </c>
      <c r="N1202" s="28"/>
      <c r="O1202" s="28">
        <f>SUM(O1203:O1203)</f>
        <v>0</v>
      </c>
      <c r="P1202" s="28">
        <f>SUM(P1203:P1203)</f>
        <v>0</v>
      </c>
      <c r="Q1202" s="28">
        <f>SUM(Q1203:Q1203)</f>
        <v>0</v>
      </c>
      <c r="R1202" s="28">
        <f>SUM(R1203:R1203)</f>
        <v>0</v>
      </c>
      <c r="S1202" s="28">
        <f>SUM(S1203:S1203)</f>
        <v>0</v>
      </c>
      <c r="T1202" s="28"/>
      <c r="U1202" s="28">
        <f>SUM(U1203:U1203)</f>
        <v>0</v>
      </c>
      <c r="V1202" s="28"/>
      <c r="W1202" s="28">
        <f>SUM(W1203:W1203)</f>
        <v>0</v>
      </c>
      <c r="X1202" s="28"/>
      <c r="Y1202" s="28">
        <f>SUM(Y1203:Y1203)</f>
        <v>0</v>
      </c>
      <c r="Z1202" s="28">
        <f>SUM(Z1203:Z1203)</f>
        <v>0</v>
      </c>
      <c r="AA1202" s="28"/>
      <c r="AB1202" s="28">
        <f>SUM(AB1203:AB1203)</f>
        <v>0</v>
      </c>
      <c r="AC1202" s="28">
        <f>SUM(AC1203:AC1203)</f>
        <v>0</v>
      </c>
      <c r="AD1202" s="28"/>
      <c r="AE1202" s="28"/>
    </row>
    <row r="1203" spans="1:33" s="1" customFormat="1" x14ac:dyDescent="0.25">
      <c r="A1203" s="21"/>
      <c r="B1203" s="22"/>
      <c r="C1203" s="22"/>
      <c r="D1203" s="65"/>
      <c r="E1203" s="24"/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  <c r="S1203" s="24"/>
      <c r="T1203" s="24"/>
      <c r="U1203" s="24"/>
      <c r="V1203" s="24"/>
      <c r="W1203" s="24"/>
      <c r="X1203" s="24"/>
      <c r="Y1203" s="24"/>
      <c r="Z1203" s="24"/>
      <c r="AA1203" s="24"/>
      <c r="AB1203" s="24"/>
      <c r="AC1203" s="24"/>
      <c r="AD1203" s="24"/>
      <c r="AE1203" s="24"/>
    </row>
    <row r="1204" spans="1:33" s="1" customFormat="1" ht="25.5" x14ac:dyDescent="0.25">
      <c r="A1204" s="25"/>
      <c r="B1204" s="26" t="s">
        <v>1381</v>
      </c>
      <c r="C1204" s="26"/>
      <c r="D1204" s="64" t="s">
        <v>1382</v>
      </c>
      <c r="E1204" s="28"/>
      <c r="F1204" s="28"/>
      <c r="G1204" s="28"/>
      <c r="H1204" s="28"/>
      <c r="I1204" s="28"/>
      <c r="J1204" s="28"/>
      <c r="K1204" s="28"/>
      <c r="L1204" s="28"/>
      <c r="M1204" s="28">
        <f>SUM(M1205:M1205)</f>
        <v>0</v>
      </c>
      <c r="N1204" s="28"/>
      <c r="O1204" s="28">
        <f>SUM(O1205:O1205)</f>
        <v>0</v>
      </c>
      <c r="P1204" s="28">
        <f>SUM(P1205:P1205)</f>
        <v>0</v>
      </c>
      <c r="Q1204" s="28">
        <f>SUM(Q1205:Q1205)</f>
        <v>0</v>
      </c>
      <c r="R1204" s="28">
        <f>SUM(R1205:R1205)</f>
        <v>0</v>
      </c>
      <c r="S1204" s="28">
        <f>SUM(S1205:S1205)</f>
        <v>0</v>
      </c>
      <c r="T1204" s="28"/>
      <c r="U1204" s="28">
        <f>SUM(U1205:U1205)</f>
        <v>0</v>
      </c>
      <c r="V1204" s="28"/>
      <c r="W1204" s="28">
        <f>SUM(W1205:W1205)</f>
        <v>0</v>
      </c>
      <c r="X1204" s="28"/>
      <c r="Y1204" s="28">
        <f>SUM(Y1205:Y1205)</f>
        <v>0</v>
      </c>
      <c r="Z1204" s="28">
        <f>SUM(Z1205:Z1205)</f>
        <v>0</v>
      </c>
      <c r="AA1204" s="28"/>
      <c r="AB1204" s="28">
        <f>SUM(AB1205:AB1205)</f>
        <v>0</v>
      </c>
      <c r="AC1204" s="28">
        <f>SUM(AC1205:AC1205)</f>
        <v>0</v>
      </c>
      <c r="AD1204" s="28"/>
      <c r="AE1204" s="28"/>
    </row>
    <row r="1205" spans="1:33" s="1" customFormat="1" x14ac:dyDescent="0.25">
      <c r="A1205" s="21"/>
      <c r="B1205" s="22"/>
      <c r="C1205" s="22"/>
      <c r="D1205" s="65"/>
      <c r="E1205" s="24"/>
      <c r="F1205" s="24"/>
      <c r="G1205" s="24"/>
      <c r="H1205" s="24"/>
      <c r="I1205" s="24"/>
      <c r="J1205" s="24"/>
      <c r="K1205" s="24"/>
      <c r="L1205" s="24"/>
      <c r="M1205" s="24"/>
      <c r="N1205" s="24"/>
      <c r="O1205" s="24"/>
      <c r="P1205" s="24"/>
      <c r="Q1205" s="24"/>
      <c r="R1205" s="24"/>
      <c r="S1205" s="24"/>
      <c r="T1205" s="24"/>
      <c r="U1205" s="24"/>
      <c r="V1205" s="24"/>
      <c r="W1205" s="24"/>
      <c r="X1205" s="24"/>
      <c r="Y1205" s="24"/>
      <c r="Z1205" s="24"/>
      <c r="AA1205" s="24"/>
      <c r="AB1205" s="24"/>
      <c r="AC1205" s="24"/>
      <c r="AD1205" s="24"/>
      <c r="AE1205" s="24"/>
    </row>
    <row r="1206" spans="1:33" s="1" customFormat="1" x14ac:dyDescent="0.25">
      <c r="A1206" s="25"/>
      <c r="B1206" s="26" t="s">
        <v>1383</v>
      </c>
      <c r="C1206" s="26"/>
      <c r="D1206" s="64" t="s">
        <v>1384</v>
      </c>
      <c r="E1206" s="28"/>
      <c r="F1206" s="28"/>
      <c r="G1206" s="28"/>
      <c r="H1206" s="28"/>
      <c r="I1206" s="28"/>
      <c r="J1206" s="28"/>
      <c r="K1206" s="28"/>
      <c r="L1206" s="28"/>
      <c r="M1206" s="28">
        <f>SUM(M1207:M1207)</f>
        <v>0</v>
      </c>
      <c r="N1206" s="28"/>
      <c r="O1206" s="28">
        <f>SUM(O1207:O1207)</f>
        <v>0</v>
      </c>
      <c r="P1206" s="28">
        <f>SUM(P1207:P1207)</f>
        <v>0</v>
      </c>
      <c r="Q1206" s="28">
        <f>SUM(Q1207:Q1207)</f>
        <v>0</v>
      </c>
      <c r="R1206" s="28">
        <f>SUM(R1207:R1207)</f>
        <v>0</v>
      </c>
      <c r="S1206" s="28">
        <f>SUM(S1207:S1207)</f>
        <v>0</v>
      </c>
      <c r="T1206" s="28"/>
      <c r="U1206" s="28">
        <f>SUM(U1207:U1207)</f>
        <v>0</v>
      </c>
      <c r="V1206" s="28"/>
      <c r="W1206" s="28">
        <f>SUM(W1207:W1207)</f>
        <v>0</v>
      </c>
      <c r="X1206" s="28"/>
      <c r="Y1206" s="28">
        <f>SUM(Y1207:Y1207)</f>
        <v>0</v>
      </c>
      <c r="Z1206" s="28">
        <f>SUM(Z1207:Z1207)</f>
        <v>0</v>
      </c>
      <c r="AA1206" s="28"/>
      <c r="AB1206" s="28">
        <f>SUM(AB1207:AB1207)</f>
        <v>0</v>
      </c>
      <c r="AC1206" s="28">
        <f>SUM(AC1207:AC1207)</f>
        <v>0</v>
      </c>
      <c r="AD1206" s="28"/>
      <c r="AE1206" s="28"/>
    </row>
    <row r="1207" spans="1:33" s="1" customFormat="1" x14ac:dyDescent="0.25">
      <c r="A1207" s="21"/>
      <c r="B1207" s="22"/>
      <c r="C1207" s="22"/>
      <c r="D1207" s="65"/>
      <c r="E1207" s="24"/>
      <c r="F1207" s="24"/>
      <c r="G1207" s="24"/>
      <c r="H1207" s="24"/>
      <c r="I1207" s="24"/>
      <c r="J1207" s="24"/>
      <c r="K1207" s="24"/>
      <c r="L1207" s="24"/>
      <c r="M1207" s="24"/>
      <c r="N1207" s="24"/>
      <c r="O1207" s="24"/>
      <c r="P1207" s="24"/>
      <c r="Q1207" s="24"/>
      <c r="R1207" s="24"/>
      <c r="S1207" s="24"/>
      <c r="T1207" s="24"/>
      <c r="U1207" s="24"/>
      <c r="V1207" s="24"/>
      <c r="W1207" s="24"/>
      <c r="X1207" s="24"/>
      <c r="Y1207" s="24"/>
      <c r="Z1207" s="24"/>
      <c r="AA1207" s="24"/>
      <c r="AB1207" s="24"/>
      <c r="AC1207" s="24"/>
      <c r="AD1207" s="24"/>
      <c r="AE1207" s="24"/>
    </row>
    <row r="1208" spans="1:33" s="1" customFormat="1" x14ac:dyDescent="0.25">
      <c r="A1208" s="25"/>
      <c r="B1208" s="26" t="s">
        <v>1385</v>
      </c>
      <c r="C1208" s="26"/>
      <c r="D1208" s="64" t="s">
        <v>1386</v>
      </c>
      <c r="E1208" s="28"/>
      <c r="F1208" s="28"/>
      <c r="G1208" s="28"/>
      <c r="H1208" s="28"/>
      <c r="I1208" s="28"/>
      <c r="J1208" s="28"/>
      <c r="K1208" s="28"/>
      <c r="L1208" s="28"/>
      <c r="M1208" s="28">
        <f>SUM(M1209:M1209)</f>
        <v>0</v>
      </c>
      <c r="N1208" s="28"/>
      <c r="O1208" s="28">
        <f>SUM(O1209:O1209)</f>
        <v>0</v>
      </c>
      <c r="P1208" s="28">
        <f>SUM(P1209:P1209)</f>
        <v>0</v>
      </c>
      <c r="Q1208" s="28">
        <f>SUM(Q1209:Q1209)</f>
        <v>0</v>
      </c>
      <c r="R1208" s="28">
        <f>SUM(R1209:R1209)</f>
        <v>0</v>
      </c>
      <c r="S1208" s="28">
        <f>SUM(S1209:S1209)</f>
        <v>0</v>
      </c>
      <c r="T1208" s="28"/>
      <c r="U1208" s="28">
        <f>SUM(U1209:U1209)</f>
        <v>0</v>
      </c>
      <c r="V1208" s="28"/>
      <c r="W1208" s="28">
        <f>SUM(W1209:W1209)</f>
        <v>0</v>
      </c>
      <c r="X1208" s="28"/>
      <c r="Y1208" s="28">
        <f>SUM(Y1209:Y1209)</f>
        <v>0</v>
      </c>
      <c r="Z1208" s="28">
        <f>SUM(Z1209:Z1209)</f>
        <v>0</v>
      </c>
      <c r="AA1208" s="28"/>
      <c r="AB1208" s="28">
        <f>SUM(AB1209:AB1209)</f>
        <v>0</v>
      </c>
      <c r="AC1208" s="28">
        <f>SUM(AC1209:AC1209)</f>
        <v>0</v>
      </c>
      <c r="AD1208" s="28"/>
      <c r="AE1208" s="28"/>
    </row>
    <row r="1209" spans="1:33" s="1" customFormat="1" x14ac:dyDescent="0.25">
      <c r="A1209" s="21"/>
      <c r="B1209" s="22"/>
      <c r="C1209" s="22"/>
      <c r="D1209" s="65"/>
      <c r="E1209" s="24"/>
      <c r="F1209" s="24"/>
      <c r="G1209" s="24"/>
      <c r="H1209" s="24"/>
      <c r="I1209" s="24"/>
      <c r="J1209" s="24"/>
      <c r="K1209" s="24"/>
      <c r="L1209" s="24"/>
      <c r="M1209" s="24"/>
      <c r="N1209" s="24"/>
      <c r="O1209" s="24"/>
      <c r="P1209" s="24"/>
      <c r="Q1209" s="24"/>
      <c r="R1209" s="24"/>
      <c r="S1209" s="24"/>
      <c r="T1209" s="24"/>
      <c r="U1209" s="24"/>
      <c r="V1209" s="24"/>
      <c r="W1209" s="24"/>
      <c r="X1209" s="24"/>
      <c r="Y1209" s="24"/>
      <c r="Z1209" s="24"/>
      <c r="AA1209" s="24"/>
      <c r="AB1209" s="24"/>
      <c r="AC1209" s="24"/>
      <c r="AD1209" s="24"/>
      <c r="AE1209" s="24"/>
    </row>
    <row r="1210" spans="1:33" s="1" customFormat="1" x14ac:dyDescent="0.25">
      <c r="A1210" s="17"/>
      <c r="B1210" s="18" t="s">
        <v>1387</v>
      </c>
      <c r="C1210" s="18"/>
      <c r="D1210" s="84" t="s">
        <v>1388</v>
      </c>
      <c r="E1210" s="20"/>
      <c r="F1210" s="20"/>
      <c r="G1210" s="20"/>
      <c r="H1210" s="20"/>
      <c r="I1210" s="20"/>
      <c r="J1210" s="20"/>
      <c r="K1210" s="20"/>
      <c r="L1210" s="20"/>
      <c r="M1210" s="20">
        <f>M1211+M1223+M1227+M1231+M1235+M1239+M1243+M1247+M1251+M1255</f>
        <v>8</v>
      </c>
      <c r="N1210" s="20"/>
      <c r="O1210" s="37">
        <f t="shared" ref="O1210:AC1210" si="471">O1211+O1223+O1227+O1231+O1235+O1239+O1243+O1247+O1251+O1255</f>
        <v>489024600</v>
      </c>
      <c r="P1210" s="20">
        <f t="shared" si="471"/>
        <v>0</v>
      </c>
      <c r="Q1210" s="20">
        <f t="shared" si="471"/>
        <v>0</v>
      </c>
      <c r="R1210" s="20">
        <f t="shared" si="471"/>
        <v>0</v>
      </c>
      <c r="S1210" s="95">
        <f t="shared" si="471"/>
        <v>577015183.33333337</v>
      </c>
      <c r="T1210" s="20"/>
      <c r="U1210" s="37">
        <f t="shared" si="471"/>
        <v>11568513.680672269</v>
      </c>
      <c r="V1210" s="20"/>
      <c r="W1210" s="37">
        <f t="shared" si="471"/>
        <v>4896956.8403361347</v>
      </c>
      <c r="X1210" s="37"/>
      <c r="Y1210" s="37">
        <f t="shared" si="471"/>
        <v>0</v>
      </c>
      <c r="Z1210" s="37">
        <f t="shared" si="471"/>
        <v>4896956.8403361347</v>
      </c>
      <c r="AA1210" s="20"/>
      <c r="AB1210" s="37">
        <f t="shared" si="471"/>
        <v>66717968.647058822</v>
      </c>
      <c r="AC1210" s="37">
        <f t="shared" si="471"/>
        <v>422306631.35294116</v>
      </c>
      <c r="AD1210" s="20"/>
      <c r="AE1210" s="20"/>
    </row>
    <row r="1211" spans="1:33" s="1" customFormat="1" x14ac:dyDescent="0.25">
      <c r="A1211" s="25"/>
      <c r="B1211" s="26" t="s">
        <v>1389</v>
      </c>
      <c r="C1211" s="26"/>
      <c r="D1211" s="64" t="s">
        <v>1390</v>
      </c>
      <c r="E1211" s="28"/>
      <c r="F1211" s="28"/>
      <c r="G1211" s="28"/>
      <c r="H1211" s="28"/>
      <c r="I1211" s="28"/>
      <c r="J1211" s="28"/>
      <c r="K1211" s="28"/>
      <c r="L1211" s="28"/>
      <c r="M1211" s="28">
        <f>SUM(M1212:M1222)</f>
        <v>8</v>
      </c>
      <c r="N1211" s="28"/>
      <c r="O1211" s="40">
        <f t="shared" ref="O1211:AC1211" si="472">SUM(O1212:O1222)</f>
        <v>489024600</v>
      </c>
      <c r="P1211" s="28">
        <f t="shared" si="472"/>
        <v>0</v>
      </c>
      <c r="Q1211" s="28">
        <f t="shared" si="472"/>
        <v>0</v>
      </c>
      <c r="R1211" s="28">
        <f t="shared" si="472"/>
        <v>0</v>
      </c>
      <c r="S1211" s="96">
        <f t="shared" si="472"/>
        <v>577015183.33333337</v>
      </c>
      <c r="T1211" s="28"/>
      <c r="U1211" s="40">
        <f t="shared" si="472"/>
        <v>11568513.680672269</v>
      </c>
      <c r="V1211" s="28"/>
      <c r="W1211" s="40">
        <f t="shared" si="472"/>
        <v>4896956.8403361347</v>
      </c>
      <c r="X1211" s="40"/>
      <c r="Y1211" s="40">
        <f t="shared" si="472"/>
        <v>0</v>
      </c>
      <c r="Z1211" s="40">
        <f t="shared" si="472"/>
        <v>4896956.8403361347</v>
      </c>
      <c r="AA1211" s="28"/>
      <c r="AB1211" s="40">
        <f t="shared" si="472"/>
        <v>66717968.647058822</v>
      </c>
      <c r="AC1211" s="40">
        <f t="shared" si="472"/>
        <v>422306631.35294116</v>
      </c>
      <c r="AD1211" s="28"/>
      <c r="AE1211" s="28"/>
      <c r="AF1211" s="5">
        <v>61821011.806722686</v>
      </c>
      <c r="AG1211" s="8">
        <f>AF1211+W1211+Y1211-AB1211</f>
        <v>0</v>
      </c>
    </row>
    <row r="1212" spans="1:33" s="1" customFormat="1" x14ac:dyDescent="0.25">
      <c r="A1212" s="21">
        <v>1</v>
      </c>
      <c r="B1212" s="22" t="s">
        <v>1797</v>
      </c>
      <c r="C1212" s="22" t="s">
        <v>58</v>
      </c>
      <c r="D1212" s="65" t="s">
        <v>1391</v>
      </c>
      <c r="E1212" s="24"/>
      <c r="F1212" s="24"/>
      <c r="G1212" s="24" t="s">
        <v>466</v>
      </c>
      <c r="H1212" s="24" t="s">
        <v>62</v>
      </c>
      <c r="I1212" s="24">
        <v>2011</v>
      </c>
      <c r="J1212" s="24"/>
      <c r="K1212" s="24" t="s">
        <v>261</v>
      </c>
      <c r="L1212" s="24" t="s">
        <v>64</v>
      </c>
      <c r="M1212" s="24">
        <v>1</v>
      </c>
      <c r="N1212" s="41">
        <v>87000000</v>
      </c>
      <c r="O1212" s="41">
        <v>87000000</v>
      </c>
      <c r="P1212" s="24"/>
      <c r="Q1212" s="24"/>
      <c r="R1212" s="24"/>
      <c r="S1212" s="41">
        <f>SUM(O1212-R1212)</f>
        <v>87000000</v>
      </c>
      <c r="T1212" s="24">
        <v>50</v>
      </c>
      <c r="U1212" s="70">
        <f t="shared" ref="U1212:U1219" si="473">SUM(S1212/T1212)</f>
        <v>1740000</v>
      </c>
      <c r="V1212" s="24">
        <v>0.5</v>
      </c>
      <c r="W1212" s="70">
        <f t="shared" ref="W1212:W1219" si="474">SUM(U1212*V1212)</f>
        <v>870000</v>
      </c>
      <c r="X1212" s="24"/>
      <c r="Y1212" s="70">
        <f t="shared" ref="Y1212:Y1216" si="475">SUM(U1212*X1212)</f>
        <v>0</v>
      </c>
      <c r="Z1212" s="70">
        <f t="shared" ref="Z1212:Z1219" si="476">SUM(W1212+Y1212)</f>
        <v>870000</v>
      </c>
      <c r="AA1212" s="24">
        <v>12.5</v>
      </c>
      <c r="AB1212" s="70">
        <f t="shared" ref="AB1212:AB1219" si="477">SUM(U1212*AA1212)</f>
        <v>21750000</v>
      </c>
      <c r="AC1212" s="70">
        <f t="shared" ref="AC1212:AC1217" si="478">SUM(S1212-AB1212)</f>
        <v>65250000</v>
      </c>
      <c r="AD1212" s="24"/>
      <c r="AE1212" s="24"/>
      <c r="AF1212" s="5">
        <v>20880000</v>
      </c>
      <c r="AG1212" s="5">
        <f>AF1212+W1212+Y1212-AB1212</f>
        <v>0</v>
      </c>
    </row>
    <row r="1213" spans="1:33" s="1" customFormat="1" x14ac:dyDescent="0.25">
      <c r="A1213" s="21">
        <v>2</v>
      </c>
      <c r="B1213" s="22" t="s">
        <v>1797</v>
      </c>
      <c r="C1213" s="22" t="s">
        <v>75</v>
      </c>
      <c r="D1213" s="65" t="s">
        <v>1392</v>
      </c>
      <c r="E1213" s="24"/>
      <c r="F1213" s="24"/>
      <c r="G1213" s="24" t="s">
        <v>466</v>
      </c>
      <c r="H1213" s="24" t="s">
        <v>62</v>
      </c>
      <c r="I1213" s="24">
        <v>2012</v>
      </c>
      <c r="J1213" s="24"/>
      <c r="K1213" s="24" t="s">
        <v>261</v>
      </c>
      <c r="L1213" s="24" t="s">
        <v>64</v>
      </c>
      <c r="M1213" s="24">
        <v>1</v>
      </c>
      <c r="N1213" s="41">
        <v>5400000</v>
      </c>
      <c r="O1213" s="41">
        <v>5400000</v>
      </c>
      <c r="P1213" s="24"/>
      <c r="Q1213" s="24"/>
      <c r="R1213" s="24"/>
      <c r="S1213" s="41">
        <f>SUM(O1213-R1213)</f>
        <v>5400000</v>
      </c>
      <c r="T1213" s="24">
        <v>50</v>
      </c>
      <c r="U1213" s="70">
        <f t="shared" si="473"/>
        <v>108000</v>
      </c>
      <c r="V1213" s="24">
        <v>0.5</v>
      </c>
      <c r="W1213" s="70">
        <f t="shared" si="474"/>
        <v>54000</v>
      </c>
      <c r="X1213" s="24"/>
      <c r="Y1213" s="70">
        <f t="shared" si="475"/>
        <v>0</v>
      </c>
      <c r="Z1213" s="70">
        <f t="shared" si="476"/>
        <v>54000</v>
      </c>
      <c r="AA1213" s="24">
        <v>11.5</v>
      </c>
      <c r="AB1213" s="70">
        <f t="shared" si="477"/>
        <v>1242000</v>
      </c>
      <c r="AC1213" s="70">
        <f t="shared" si="478"/>
        <v>4158000</v>
      </c>
      <c r="AD1213" s="24"/>
      <c r="AE1213" s="24"/>
      <c r="AF1213" s="5">
        <v>1188000</v>
      </c>
      <c r="AG1213" s="5">
        <f t="shared" ref="AG1213:AG1219" si="479">AF1213+W1213+Y1213-AB1213</f>
        <v>0</v>
      </c>
    </row>
    <row r="1214" spans="1:33" s="1" customFormat="1" ht="25.5" x14ac:dyDescent="0.25">
      <c r="A1214" s="21">
        <v>3</v>
      </c>
      <c r="B1214" s="22" t="s">
        <v>1797</v>
      </c>
      <c r="C1214" s="22" t="s">
        <v>79</v>
      </c>
      <c r="D1214" s="65" t="s">
        <v>1393</v>
      </c>
      <c r="E1214" s="24"/>
      <c r="F1214" s="24"/>
      <c r="G1214" s="24" t="s">
        <v>466</v>
      </c>
      <c r="H1214" s="24" t="s">
        <v>62</v>
      </c>
      <c r="I1214" s="24">
        <v>2013</v>
      </c>
      <c r="J1214" s="24"/>
      <c r="K1214" s="24" t="s">
        <v>261</v>
      </c>
      <c r="L1214" s="24" t="s">
        <v>64</v>
      </c>
      <c r="M1214" s="24">
        <v>1</v>
      </c>
      <c r="N1214" s="41">
        <v>24745600</v>
      </c>
      <c r="O1214" s="41">
        <v>24745600</v>
      </c>
      <c r="P1214" s="24"/>
      <c r="Q1214" s="24"/>
      <c r="R1214" s="24"/>
      <c r="S1214" s="41">
        <f>SUM(O1214-R1214)</f>
        <v>24745600</v>
      </c>
      <c r="T1214" s="24">
        <v>50</v>
      </c>
      <c r="U1214" s="70">
        <f t="shared" si="473"/>
        <v>494912</v>
      </c>
      <c r="V1214" s="24">
        <v>0.5</v>
      </c>
      <c r="W1214" s="70">
        <f t="shared" si="474"/>
        <v>247456</v>
      </c>
      <c r="X1214" s="24"/>
      <c r="Y1214" s="70">
        <f t="shared" si="475"/>
        <v>0</v>
      </c>
      <c r="Z1214" s="70">
        <f t="shared" si="476"/>
        <v>247456</v>
      </c>
      <c r="AA1214" s="24">
        <v>10.5</v>
      </c>
      <c r="AB1214" s="70">
        <f t="shared" si="477"/>
        <v>5196576</v>
      </c>
      <c r="AC1214" s="70">
        <f t="shared" si="478"/>
        <v>19549024</v>
      </c>
      <c r="AD1214" s="24"/>
      <c r="AE1214" s="24"/>
      <c r="AF1214" s="1">
        <v>4949120</v>
      </c>
      <c r="AG1214" s="5">
        <f t="shared" si="479"/>
        <v>0</v>
      </c>
    </row>
    <row r="1215" spans="1:33" s="1" customFormat="1" x14ac:dyDescent="0.25">
      <c r="A1215" s="21">
        <v>4</v>
      </c>
      <c r="B1215" s="22" t="s">
        <v>1797</v>
      </c>
      <c r="C1215" s="22" t="s">
        <v>84</v>
      </c>
      <c r="D1215" s="97" t="s">
        <v>1394</v>
      </c>
      <c r="E1215" s="24"/>
      <c r="F1215" s="24"/>
      <c r="G1215" s="24" t="s">
        <v>466</v>
      </c>
      <c r="H1215" s="24" t="s">
        <v>62</v>
      </c>
      <c r="I1215" s="24">
        <v>2014</v>
      </c>
      <c r="J1215" s="24"/>
      <c r="K1215" s="24" t="s">
        <v>261</v>
      </c>
      <c r="L1215" s="24" t="s">
        <v>64</v>
      </c>
      <c r="M1215" s="24">
        <v>1</v>
      </c>
      <c r="N1215" s="41">
        <v>39560000</v>
      </c>
      <c r="O1215" s="41">
        <v>39560000</v>
      </c>
      <c r="P1215" s="24"/>
      <c r="Q1215" s="24"/>
      <c r="R1215" s="24"/>
      <c r="S1215" s="41">
        <f>SUM(O1215-R1215)</f>
        <v>39560000</v>
      </c>
      <c r="T1215" s="24">
        <v>50</v>
      </c>
      <c r="U1215" s="70">
        <f t="shared" si="473"/>
        <v>791200</v>
      </c>
      <c r="V1215" s="24">
        <v>0.5</v>
      </c>
      <c r="W1215" s="70">
        <f t="shared" si="474"/>
        <v>395600</v>
      </c>
      <c r="X1215" s="24"/>
      <c r="Y1215" s="70">
        <f t="shared" si="475"/>
        <v>0</v>
      </c>
      <c r="Z1215" s="70">
        <f t="shared" si="476"/>
        <v>395600</v>
      </c>
      <c r="AA1215" s="24">
        <v>9.5</v>
      </c>
      <c r="AB1215" s="70">
        <f t="shared" si="477"/>
        <v>7516400</v>
      </c>
      <c r="AC1215" s="70">
        <f t="shared" si="478"/>
        <v>32043600</v>
      </c>
      <c r="AD1215" s="24"/>
      <c r="AE1215" s="24"/>
      <c r="AF1215" s="1">
        <v>7120800</v>
      </c>
      <c r="AG1215" s="5">
        <f t="shared" si="479"/>
        <v>0</v>
      </c>
    </row>
    <row r="1216" spans="1:33" s="1" customFormat="1" x14ac:dyDescent="0.25">
      <c r="A1216" s="21">
        <v>5</v>
      </c>
      <c r="B1216" s="22" t="s">
        <v>1797</v>
      </c>
      <c r="C1216" s="22" t="s">
        <v>88</v>
      </c>
      <c r="D1216" s="65" t="s">
        <v>1395</v>
      </c>
      <c r="E1216" s="24"/>
      <c r="F1216" s="24"/>
      <c r="G1216" s="24" t="s">
        <v>466</v>
      </c>
      <c r="H1216" s="24" t="s">
        <v>62</v>
      </c>
      <c r="I1216" s="24">
        <v>2014</v>
      </c>
      <c r="J1216" s="24"/>
      <c r="K1216" s="24" t="s">
        <v>261</v>
      </c>
      <c r="L1216" s="24" t="s">
        <v>64</v>
      </c>
      <c r="M1216" s="24">
        <v>1</v>
      </c>
      <c r="N1216" s="41">
        <v>139985000</v>
      </c>
      <c r="O1216" s="41">
        <v>139985000</v>
      </c>
      <c r="P1216" s="24"/>
      <c r="Q1216" s="24"/>
      <c r="R1216" s="24"/>
      <c r="S1216" s="41">
        <f>SUM(O1216-R1216)</f>
        <v>139985000</v>
      </c>
      <c r="T1216" s="24">
        <v>50</v>
      </c>
      <c r="U1216" s="70">
        <f t="shared" si="473"/>
        <v>2799700</v>
      </c>
      <c r="V1216" s="24">
        <v>0.5</v>
      </c>
      <c r="W1216" s="70">
        <f t="shared" si="474"/>
        <v>1399850</v>
      </c>
      <c r="X1216" s="24"/>
      <c r="Y1216" s="70">
        <f t="shared" si="475"/>
        <v>0</v>
      </c>
      <c r="Z1216" s="70">
        <f t="shared" si="476"/>
        <v>1399850</v>
      </c>
      <c r="AA1216" s="24">
        <v>9.5</v>
      </c>
      <c r="AB1216" s="70">
        <f t="shared" si="477"/>
        <v>26597150</v>
      </c>
      <c r="AC1216" s="70">
        <f t="shared" si="478"/>
        <v>113387850</v>
      </c>
      <c r="AD1216" s="24"/>
      <c r="AE1216" s="24"/>
      <c r="AF1216" s="1">
        <v>25197300</v>
      </c>
      <c r="AG1216" s="5">
        <f t="shared" si="479"/>
        <v>0</v>
      </c>
    </row>
    <row r="1217" spans="1:33" s="1" customFormat="1" x14ac:dyDescent="0.25">
      <c r="A1217" s="21">
        <v>6</v>
      </c>
      <c r="B1217" s="22" t="s">
        <v>1797</v>
      </c>
      <c r="C1217" s="42" t="s">
        <v>92</v>
      </c>
      <c r="D1217" s="85" t="s">
        <v>1396</v>
      </c>
      <c r="E1217" s="52"/>
      <c r="F1217" s="52"/>
      <c r="G1217" s="52" t="s">
        <v>466</v>
      </c>
      <c r="H1217" s="52" t="s">
        <v>62</v>
      </c>
      <c r="I1217" s="52">
        <v>2019</v>
      </c>
      <c r="J1217" s="52"/>
      <c r="K1217" s="52" t="s">
        <v>261</v>
      </c>
      <c r="L1217" s="52" t="s">
        <v>64</v>
      </c>
      <c r="M1217" s="52">
        <v>1</v>
      </c>
      <c r="N1217" s="53">
        <v>23745000</v>
      </c>
      <c r="O1217" s="53">
        <v>23745000</v>
      </c>
      <c r="P1217" s="53"/>
      <c r="Q1217" s="53"/>
      <c r="R1217" s="53"/>
      <c r="S1217" s="53">
        <v>23745000</v>
      </c>
      <c r="T1217" s="52">
        <v>50</v>
      </c>
      <c r="U1217" s="56">
        <f t="shared" si="473"/>
        <v>474900</v>
      </c>
      <c r="V1217" s="52">
        <v>0.5</v>
      </c>
      <c r="W1217" s="56">
        <f t="shared" si="474"/>
        <v>237450</v>
      </c>
      <c r="X1217" s="24"/>
      <c r="Y1217" s="56">
        <f>SUM(U1217*X1217)</f>
        <v>0</v>
      </c>
      <c r="Z1217" s="56">
        <f t="shared" si="476"/>
        <v>237450</v>
      </c>
      <c r="AA1217" s="57">
        <f>1/12+0.5+0.5+0.5+0.5+0.5+0.5+0.5</f>
        <v>3.5833333333333335</v>
      </c>
      <c r="AB1217" s="56">
        <f t="shared" si="477"/>
        <v>1701725</v>
      </c>
      <c r="AC1217" s="56">
        <f t="shared" si="478"/>
        <v>22043275</v>
      </c>
      <c r="AD1217" s="24"/>
      <c r="AE1217" s="24"/>
      <c r="AF1217" s="1">
        <v>1464275</v>
      </c>
      <c r="AG1217" s="5">
        <f t="shared" si="479"/>
        <v>0</v>
      </c>
    </row>
    <row r="1218" spans="1:33" s="1" customFormat="1" x14ac:dyDescent="0.25">
      <c r="A1218" s="21"/>
      <c r="B1218" s="22" t="s">
        <v>1797</v>
      </c>
      <c r="C1218" s="73" t="s">
        <v>96</v>
      </c>
      <c r="D1218" s="85" t="s">
        <v>1397</v>
      </c>
      <c r="E1218" s="52"/>
      <c r="F1218" s="52"/>
      <c r="G1218" s="52" t="s">
        <v>466</v>
      </c>
      <c r="H1218" s="52" t="s">
        <v>62</v>
      </c>
      <c r="I1218" s="52">
        <v>2022</v>
      </c>
      <c r="J1218" s="52"/>
      <c r="K1218" s="52" t="s">
        <v>261</v>
      </c>
      <c r="L1218" s="52" t="s">
        <v>64</v>
      </c>
      <c r="M1218" s="52">
        <v>1</v>
      </c>
      <c r="N1218" s="53">
        <v>50000000</v>
      </c>
      <c r="O1218" s="53">
        <v>50000000</v>
      </c>
      <c r="P1218" s="52"/>
      <c r="Q1218" s="52"/>
      <c r="R1218" s="52"/>
      <c r="S1218" s="53">
        <v>50000000</v>
      </c>
      <c r="T1218" s="52">
        <v>50</v>
      </c>
      <c r="U1218" s="53">
        <f t="shared" si="473"/>
        <v>1000000</v>
      </c>
      <c r="V1218" s="57"/>
      <c r="W1218" s="53">
        <f t="shared" si="474"/>
        <v>0</v>
      </c>
      <c r="X1218" s="52"/>
      <c r="Y1218" s="87">
        <f>SUM(U1218*X1218)</f>
        <v>0</v>
      </c>
      <c r="Z1218" s="53">
        <f t="shared" si="476"/>
        <v>0</v>
      </c>
      <c r="AA1218" s="57">
        <f>5/12</f>
        <v>0.41666666666666669</v>
      </c>
      <c r="AB1218" s="53">
        <f t="shared" si="477"/>
        <v>416666.66666666669</v>
      </c>
      <c r="AC1218" s="53"/>
      <c r="AD1218" s="24"/>
      <c r="AE1218" s="24"/>
      <c r="AF1218" s="1">
        <v>416666.66666666669</v>
      </c>
      <c r="AG1218" s="5">
        <f t="shared" si="479"/>
        <v>0</v>
      </c>
    </row>
    <row r="1219" spans="1:33" s="1" customFormat="1" x14ac:dyDescent="0.25">
      <c r="A1219" s="21"/>
      <c r="B1219" s="22"/>
      <c r="C1219" s="73"/>
      <c r="D1219" s="85"/>
      <c r="E1219" s="52"/>
      <c r="F1219" s="52"/>
      <c r="G1219" s="52"/>
      <c r="H1219" s="52"/>
      <c r="I1219" s="52"/>
      <c r="J1219" s="52"/>
      <c r="K1219" s="52"/>
      <c r="L1219" s="52"/>
      <c r="M1219" s="52"/>
      <c r="N1219" s="53">
        <v>40000000</v>
      </c>
      <c r="O1219" s="53">
        <v>40000000</v>
      </c>
      <c r="P1219" s="52"/>
      <c r="Q1219" s="52"/>
      <c r="R1219" s="52"/>
      <c r="S1219" s="53">
        <v>89583333.333333343</v>
      </c>
      <c r="T1219" s="57">
        <f>T1218-AA1218</f>
        <v>49.583333333333336</v>
      </c>
      <c r="U1219" s="53">
        <f t="shared" si="473"/>
        <v>1806722.6890756304</v>
      </c>
      <c r="V1219" s="57">
        <v>0.5</v>
      </c>
      <c r="W1219" s="53">
        <f t="shared" si="474"/>
        <v>903361.3445378152</v>
      </c>
      <c r="X1219" s="57"/>
      <c r="Y1219" s="87">
        <f>SUM(U1219*X1219)</f>
        <v>0</v>
      </c>
      <c r="Z1219" s="53">
        <f t="shared" si="476"/>
        <v>903361.3445378152</v>
      </c>
      <c r="AA1219" s="57">
        <f>1/12+0.5</f>
        <v>0.58333333333333337</v>
      </c>
      <c r="AB1219" s="53">
        <f t="shared" si="477"/>
        <v>1053921.5686274511</v>
      </c>
      <c r="AC1219" s="53">
        <f t="shared" ref="AC1219" si="480">SUM(S1219-AB1219)</f>
        <v>88529411.764705896</v>
      </c>
      <c r="AD1219" s="24"/>
      <c r="AE1219" s="24"/>
      <c r="AF1219" s="1">
        <v>150560.22408963586</v>
      </c>
      <c r="AG1219" s="5">
        <f t="shared" si="479"/>
        <v>0</v>
      </c>
    </row>
    <row r="1220" spans="1:33" s="189" customFormat="1" x14ac:dyDescent="0.25">
      <c r="A1220" s="49"/>
      <c r="B1220" s="50" t="s">
        <v>1798</v>
      </c>
      <c r="C1220" s="73" t="s">
        <v>100</v>
      </c>
      <c r="D1220" s="85" t="s">
        <v>1398</v>
      </c>
      <c r="E1220" s="52"/>
      <c r="F1220" s="52"/>
      <c r="G1220" s="52" t="s">
        <v>466</v>
      </c>
      <c r="H1220" s="52" t="s">
        <v>62</v>
      </c>
      <c r="I1220" s="52">
        <v>2022</v>
      </c>
      <c r="J1220" s="52"/>
      <c r="K1220" s="52" t="s">
        <v>261</v>
      </c>
      <c r="L1220" s="52" t="s">
        <v>64</v>
      </c>
      <c r="M1220" s="52">
        <v>1</v>
      </c>
      <c r="N1220" s="53">
        <v>38730000</v>
      </c>
      <c r="O1220" s="53">
        <v>38730000</v>
      </c>
      <c r="P1220" s="52"/>
      <c r="Q1220" s="52"/>
      <c r="R1220" s="52"/>
      <c r="S1220" s="53">
        <v>38730000</v>
      </c>
      <c r="T1220" s="52">
        <v>50</v>
      </c>
      <c r="U1220" s="53">
        <f>SUM(S1220/T1220)</f>
        <v>774600</v>
      </c>
      <c r="V1220" s="57"/>
      <c r="W1220" s="53">
        <f>SUM(U1220*V1220)</f>
        <v>0</v>
      </c>
      <c r="X1220" s="52"/>
      <c r="Y1220" s="87">
        <f>SUM(U1220*X1220)</f>
        <v>0</v>
      </c>
      <c r="Z1220" s="53">
        <f>SUM(W1220+Y1220)</f>
        <v>0</v>
      </c>
      <c r="AA1220" s="57">
        <f>5/12</f>
        <v>0.41666666666666669</v>
      </c>
      <c r="AB1220" s="53">
        <f>SUM(U1220*AA1220)</f>
        <v>322750</v>
      </c>
      <c r="AC1220" s="53"/>
      <c r="AD1220" s="188"/>
      <c r="AE1220" s="188"/>
      <c r="AF1220" s="189">
        <v>322750</v>
      </c>
      <c r="AG1220" s="190">
        <f>AF1220+W1220+Y1220-AB1220</f>
        <v>0</v>
      </c>
    </row>
    <row r="1221" spans="1:33" s="1" customFormat="1" x14ac:dyDescent="0.25">
      <c r="A1221" s="21"/>
      <c r="B1221" s="22"/>
      <c r="C1221" s="73"/>
      <c r="D1221" s="85"/>
      <c r="E1221" s="52"/>
      <c r="F1221" s="52"/>
      <c r="G1221" s="52"/>
      <c r="H1221" s="52"/>
      <c r="I1221" s="52"/>
      <c r="J1221" s="52"/>
      <c r="K1221" s="52"/>
      <c r="L1221" s="52"/>
      <c r="M1221" s="52"/>
      <c r="N1221" s="53">
        <v>39859000</v>
      </c>
      <c r="O1221" s="53">
        <v>39859000</v>
      </c>
      <c r="P1221" s="52"/>
      <c r="Q1221" s="52"/>
      <c r="R1221" s="52"/>
      <c r="S1221" s="53">
        <v>78266250</v>
      </c>
      <c r="T1221" s="57">
        <f>T1220-AA1220</f>
        <v>49.583333333333336</v>
      </c>
      <c r="U1221" s="53">
        <f>SUM(S1221/T1221)</f>
        <v>1578478.9915966387</v>
      </c>
      <c r="V1221" s="57">
        <v>0.5</v>
      </c>
      <c r="W1221" s="53">
        <f>SUM(U1221*V1221)</f>
        <v>789239.49579831935</v>
      </c>
      <c r="X1221" s="57"/>
      <c r="Y1221" s="87">
        <f>SUM(U1221*X1221)</f>
        <v>0</v>
      </c>
      <c r="Z1221" s="53">
        <f>SUM(W1221+Y1221)</f>
        <v>789239.49579831935</v>
      </c>
      <c r="AA1221" s="57">
        <f>1/12+0.5</f>
        <v>0.58333333333333337</v>
      </c>
      <c r="AB1221" s="53">
        <f>SUM(U1221*AA1221)</f>
        <v>920779.41176470602</v>
      </c>
      <c r="AC1221" s="53">
        <f>SUM(S1221-AB1221)</f>
        <v>77345470.588235289</v>
      </c>
      <c r="AD1221" s="24"/>
      <c r="AE1221" s="24"/>
      <c r="AF1221" s="1">
        <v>131539.91596638656</v>
      </c>
      <c r="AG1221" s="5">
        <f>AF1221+W1221+Y1221-AB1221</f>
        <v>0</v>
      </c>
    </row>
    <row r="1222" spans="1:33" s="1" customFormat="1" x14ac:dyDescent="0.25">
      <c r="A1222" s="21"/>
      <c r="B1222" s="22"/>
      <c r="C1222" s="22"/>
      <c r="D1222" s="65"/>
      <c r="E1222" s="24"/>
      <c r="F1222" s="24"/>
      <c r="G1222" s="24"/>
      <c r="H1222" s="24"/>
      <c r="I1222" s="24"/>
      <c r="J1222" s="24"/>
      <c r="K1222" s="24"/>
      <c r="L1222" s="24"/>
      <c r="M1222" s="24"/>
      <c r="N1222" s="24"/>
      <c r="O1222" s="24"/>
      <c r="P1222" s="24"/>
      <c r="Q1222" s="24"/>
      <c r="R1222" s="24"/>
      <c r="S1222" s="24"/>
      <c r="T1222" s="24"/>
      <c r="U1222" s="24"/>
      <c r="V1222" s="24"/>
      <c r="W1222" s="24"/>
      <c r="X1222" s="24"/>
      <c r="Y1222" s="24"/>
      <c r="Z1222" s="24"/>
      <c r="AA1222" s="24"/>
      <c r="AB1222" s="24"/>
      <c r="AC1222" s="24"/>
      <c r="AD1222" s="24"/>
      <c r="AE1222" s="24"/>
    </row>
    <row r="1223" spans="1:33" s="1" customFormat="1" x14ac:dyDescent="0.25">
      <c r="A1223" s="25"/>
      <c r="B1223" s="26" t="s">
        <v>1399</v>
      </c>
      <c r="C1223" s="26"/>
      <c r="D1223" s="64" t="s">
        <v>1400</v>
      </c>
      <c r="E1223" s="28"/>
      <c r="F1223" s="28"/>
      <c r="G1223" s="28"/>
      <c r="H1223" s="28"/>
      <c r="I1223" s="28"/>
      <c r="J1223" s="28"/>
      <c r="K1223" s="28"/>
      <c r="L1223" s="28"/>
      <c r="M1223" s="28">
        <f>SUM(M1224:M1226)</f>
        <v>0</v>
      </c>
      <c r="N1223" s="28"/>
      <c r="O1223" s="28">
        <f t="shared" ref="O1223:AC1223" si="481">SUM(O1224:O1226)</f>
        <v>0</v>
      </c>
      <c r="P1223" s="28">
        <f t="shared" si="481"/>
        <v>0</v>
      </c>
      <c r="Q1223" s="28">
        <f t="shared" si="481"/>
        <v>0</v>
      </c>
      <c r="R1223" s="28">
        <f t="shared" si="481"/>
        <v>0</v>
      </c>
      <c r="S1223" s="28">
        <f t="shared" si="481"/>
        <v>0</v>
      </c>
      <c r="T1223" s="28"/>
      <c r="U1223" s="28">
        <f t="shared" si="481"/>
        <v>0</v>
      </c>
      <c r="V1223" s="28"/>
      <c r="W1223" s="28">
        <f t="shared" si="481"/>
        <v>0</v>
      </c>
      <c r="X1223" s="28"/>
      <c r="Y1223" s="28">
        <f t="shared" si="481"/>
        <v>0</v>
      </c>
      <c r="Z1223" s="28">
        <f t="shared" si="481"/>
        <v>0</v>
      </c>
      <c r="AA1223" s="28"/>
      <c r="AB1223" s="28">
        <f t="shared" si="481"/>
        <v>0</v>
      </c>
      <c r="AC1223" s="28">
        <f t="shared" si="481"/>
        <v>0</v>
      </c>
      <c r="AD1223" s="28"/>
      <c r="AE1223" s="28"/>
    </row>
    <row r="1224" spans="1:33" s="1" customFormat="1" x14ac:dyDescent="0.25">
      <c r="A1224" s="21"/>
      <c r="B1224" s="22"/>
      <c r="C1224" s="22"/>
      <c r="D1224" s="65"/>
      <c r="E1224" s="24"/>
      <c r="F1224" s="24"/>
      <c r="G1224" s="24"/>
      <c r="H1224" s="24"/>
      <c r="I1224" s="24"/>
      <c r="J1224" s="24"/>
      <c r="K1224" s="24"/>
      <c r="L1224" s="24"/>
      <c r="M1224" s="24"/>
      <c r="N1224" s="24"/>
      <c r="O1224" s="24"/>
      <c r="P1224" s="24"/>
      <c r="Q1224" s="24"/>
      <c r="R1224" s="24"/>
      <c r="S1224" s="24"/>
      <c r="T1224" s="24"/>
      <c r="U1224" s="24"/>
      <c r="V1224" s="24"/>
      <c r="W1224" s="24"/>
      <c r="X1224" s="24"/>
      <c r="Y1224" s="24"/>
      <c r="Z1224" s="24"/>
      <c r="AA1224" s="24"/>
      <c r="AB1224" s="24"/>
      <c r="AC1224" s="24"/>
      <c r="AD1224" s="24"/>
      <c r="AE1224" s="24"/>
    </row>
    <row r="1225" spans="1:33" s="1" customFormat="1" x14ac:dyDescent="0.25">
      <c r="A1225" s="21"/>
      <c r="B1225" s="22"/>
      <c r="C1225" s="22"/>
      <c r="D1225" s="65"/>
      <c r="E1225" s="24"/>
      <c r="F1225" s="24"/>
      <c r="G1225" s="24"/>
      <c r="H1225" s="24"/>
      <c r="I1225" s="24"/>
      <c r="J1225" s="24"/>
      <c r="K1225" s="24"/>
      <c r="L1225" s="24"/>
      <c r="M1225" s="24"/>
      <c r="N1225" s="24"/>
      <c r="O1225" s="24"/>
      <c r="P1225" s="24"/>
      <c r="Q1225" s="24"/>
      <c r="R1225" s="24"/>
      <c r="S1225" s="24"/>
      <c r="T1225" s="24"/>
      <c r="U1225" s="24"/>
      <c r="V1225" s="24"/>
      <c r="W1225" s="24"/>
      <c r="X1225" s="24"/>
      <c r="Y1225" s="24"/>
      <c r="Z1225" s="24"/>
      <c r="AA1225" s="24"/>
      <c r="AB1225" s="24"/>
      <c r="AC1225" s="24"/>
      <c r="AD1225" s="24"/>
      <c r="AE1225" s="24"/>
    </row>
    <row r="1226" spans="1:33" s="1" customFormat="1" x14ac:dyDescent="0.25">
      <c r="A1226" s="21"/>
      <c r="B1226" s="22"/>
      <c r="C1226" s="22"/>
      <c r="D1226" s="65"/>
      <c r="E1226" s="24"/>
      <c r="F1226" s="24"/>
      <c r="G1226" s="24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24"/>
      <c r="S1226" s="24"/>
      <c r="T1226" s="24"/>
      <c r="U1226" s="24"/>
      <c r="V1226" s="24"/>
      <c r="W1226" s="24"/>
      <c r="X1226" s="24"/>
      <c r="Y1226" s="24"/>
      <c r="Z1226" s="24"/>
      <c r="AA1226" s="24"/>
      <c r="AB1226" s="24"/>
      <c r="AC1226" s="24"/>
      <c r="AD1226" s="24"/>
      <c r="AE1226" s="24"/>
    </row>
    <row r="1227" spans="1:33" s="1" customFormat="1" x14ac:dyDescent="0.25">
      <c r="A1227" s="25"/>
      <c r="B1227" s="26" t="s">
        <v>1401</v>
      </c>
      <c r="C1227" s="26"/>
      <c r="D1227" s="64" t="s">
        <v>1402</v>
      </c>
      <c r="E1227" s="28"/>
      <c r="F1227" s="28"/>
      <c r="G1227" s="28"/>
      <c r="H1227" s="28"/>
      <c r="I1227" s="28"/>
      <c r="J1227" s="28"/>
      <c r="K1227" s="28"/>
      <c r="L1227" s="28"/>
      <c r="M1227" s="28">
        <f>SUM(M1228:M1230)</f>
        <v>0</v>
      </c>
      <c r="N1227" s="28"/>
      <c r="O1227" s="28">
        <f t="shared" ref="O1227:AC1227" si="482">SUM(O1228:O1230)</f>
        <v>0</v>
      </c>
      <c r="P1227" s="28">
        <f t="shared" si="482"/>
        <v>0</v>
      </c>
      <c r="Q1227" s="28">
        <f t="shared" si="482"/>
        <v>0</v>
      </c>
      <c r="R1227" s="28">
        <f t="shared" si="482"/>
        <v>0</v>
      </c>
      <c r="S1227" s="28">
        <f t="shared" si="482"/>
        <v>0</v>
      </c>
      <c r="T1227" s="28"/>
      <c r="U1227" s="28">
        <f t="shared" si="482"/>
        <v>0</v>
      </c>
      <c r="V1227" s="28"/>
      <c r="W1227" s="28">
        <f t="shared" si="482"/>
        <v>0</v>
      </c>
      <c r="X1227" s="28"/>
      <c r="Y1227" s="28">
        <f t="shared" si="482"/>
        <v>0</v>
      </c>
      <c r="Z1227" s="28">
        <f t="shared" si="482"/>
        <v>0</v>
      </c>
      <c r="AA1227" s="28"/>
      <c r="AB1227" s="28">
        <f t="shared" si="482"/>
        <v>0</v>
      </c>
      <c r="AC1227" s="28">
        <f t="shared" si="482"/>
        <v>0</v>
      </c>
      <c r="AD1227" s="28"/>
      <c r="AE1227" s="28"/>
    </row>
    <row r="1228" spans="1:33" s="1" customFormat="1" x14ac:dyDescent="0.25">
      <c r="A1228" s="21"/>
      <c r="B1228" s="22"/>
      <c r="C1228" s="22"/>
      <c r="D1228" s="65"/>
      <c r="E1228" s="24"/>
      <c r="F1228" s="24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Q1228" s="24"/>
      <c r="R1228" s="24"/>
      <c r="S1228" s="24"/>
      <c r="T1228" s="24"/>
      <c r="U1228" s="24"/>
      <c r="V1228" s="24"/>
      <c r="W1228" s="24"/>
      <c r="X1228" s="24"/>
      <c r="Y1228" s="24"/>
      <c r="Z1228" s="24"/>
      <c r="AA1228" s="24"/>
      <c r="AB1228" s="24"/>
      <c r="AC1228" s="24"/>
      <c r="AD1228" s="24"/>
      <c r="AE1228" s="24"/>
    </row>
    <row r="1229" spans="1:33" s="1" customFormat="1" x14ac:dyDescent="0.25">
      <c r="A1229" s="21"/>
      <c r="B1229" s="22"/>
      <c r="C1229" s="22"/>
      <c r="D1229" s="65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  <c r="S1229" s="24"/>
      <c r="T1229" s="24"/>
      <c r="U1229" s="24"/>
      <c r="V1229" s="24"/>
      <c r="W1229" s="24"/>
      <c r="X1229" s="24"/>
      <c r="Y1229" s="24"/>
      <c r="Z1229" s="24"/>
      <c r="AA1229" s="24"/>
      <c r="AB1229" s="24"/>
      <c r="AC1229" s="24"/>
      <c r="AD1229" s="24"/>
      <c r="AE1229" s="24"/>
    </row>
    <row r="1230" spans="1:33" s="1" customFormat="1" x14ac:dyDescent="0.25">
      <c r="A1230" s="21"/>
      <c r="B1230" s="22"/>
      <c r="C1230" s="22"/>
      <c r="D1230" s="65"/>
      <c r="E1230" s="24"/>
      <c r="F1230" s="24"/>
      <c r="G1230" s="24"/>
      <c r="H1230" s="24"/>
      <c r="I1230" s="24"/>
      <c r="J1230" s="24"/>
      <c r="K1230" s="24"/>
      <c r="L1230" s="24"/>
      <c r="M1230" s="24"/>
      <c r="N1230" s="24"/>
      <c r="O1230" s="24"/>
      <c r="P1230" s="24"/>
      <c r="Q1230" s="24"/>
      <c r="R1230" s="24"/>
      <c r="S1230" s="24"/>
      <c r="T1230" s="24"/>
      <c r="U1230" s="24"/>
      <c r="V1230" s="24"/>
      <c r="W1230" s="24"/>
      <c r="X1230" s="24"/>
      <c r="Y1230" s="24"/>
      <c r="Z1230" s="24"/>
      <c r="AA1230" s="24"/>
      <c r="AB1230" s="24"/>
      <c r="AC1230" s="24"/>
      <c r="AD1230" s="24"/>
      <c r="AE1230" s="24"/>
    </row>
    <row r="1231" spans="1:33" s="1" customFormat="1" ht="25.5" x14ac:dyDescent="0.25">
      <c r="A1231" s="25"/>
      <c r="B1231" s="26" t="s">
        <v>1403</v>
      </c>
      <c r="C1231" s="26"/>
      <c r="D1231" s="64" t="s">
        <v>1404</v>
      </c>
      <c r="E1231" s="28"/>
      <c r="F1231" s="28"/>
      <c r="G1231" s="28"/>
      <c r="H1231" s="28"/>
      <c r="I1231" s="28"/>
      <c r="J1231" s="28"/>
      <c r="K1231" s="28"/>
      <c r="L1231" s="28"/>
      <c r="M1231" s="28">
        <f>SUM(M1232:M1234)</f>
        <v>0</v>
      </c>
      <c r="N1231" s="28"/>
      <c r="O1231" s="28">
        <f t="shared" ref="O1231:AC1231" si="483">SUM(O1232:O1234)</f>
        <v>0</v>
      </c>
      <c r="P1231" s="28">
        <f t="shared" si="483"/>
        <v>0</v>
      </c>
      <c r="Q1231" s="28">
        <f t="shared" si="483"/>
        <v>0</v>
      </c>
      <c r="R1231" s="28">
        <f t="shared" si="483"/>
        <v>0</v>
      </c>
      <c r="S1231" s="28">
        <f t="shared" si="483"/>
        <v>0</v>
      </c>
      <c r="T1231" s="28"/>
      <c r="U1231" s="28">
        <f t="shared" si="483"/>
        <v>0</v>
      </c>
      <c r="V1231" s="28"/>
      <c r="W1231" s="28">
        <f t="shared" si="483"/>
        <v>0</v>
      </c>
      <c r="X1231" s="28"/>
      <c r="Y1231" s="28">
        <f t="shared" si="483"/>
        <v>0</v>
      </c>
      <c r="Z1231" s="28">
        <f t="shared" si="483"/>
        <v>0</v>
      </c>
      <c r="AA1231" s="28"/>
      <c r="AB1231" s="28">
        <f t="shared" si="483"/>
        <v>0</v>
      </c>
      <c r="AC1231" s="28">
        <f t="shared" si="483"/>
        <v>0</v>
      </c>
      <c r="AD1231" s="28"/>
      <c r="AE1231" s="28"/>
    </row>
    <row r="1232" spans="1:33" s="1" customFormat="1" x14ac:dyDescent="0.25">
      <c r="A1232" s="21"/>
      <c r="B1232" s="22"/>
      <c r="C1232" s="22"/>
      <c r="D1232" s="65"/>
      <c r="E1232" s="24"/>
      <c r="F1232" s="24"/>
      <c r="G1232" s="24"/>
      <c r="H1232" s="24"/>
      <c r="I1232" s="24"/>
      <c r="J1232" s="24"/>
      <c r="K1232" s="24"/>
      <c r="L1232" s="24"/>
      <c r="M1232" s="24"/>
      <c r="N1232" s="24"/>
      <c r="O1232" s="24"/>
      <c r="P1232" s="24"/>
      <c r="Q1232" s="24"/>
      <c r="R1232" s="24"/>
      <c r="S1232" s="24"/>
      <c r="T1232" s="24"/>
      <c r="U1232" s="24"/>
      <c r="V1232" s="24"/>
      <c r="W1232" s="24"/>
      <c r="X1232" s="24"/>
      <c r="Y1232" s="24"/>
      <c r="Z1232" s="24"/>
      <c r="AA1232" s="24"/>
      <c r="AB1232" s="24"/>
      <c r="AC1232" s="24"/>
      <c r="AD1232" s="24"/>
      <c r="AE1232" s="24"/>
    </row>
    <row r="1233" spans="1:31" s="1" customFormat="1" x14ac:dyDescent="0.25">
      <c r="A1233" s="21"/>
      <c r="B1233" s="22"/>
      <c r="C1233" s="22"/>
      <c r="D1233" s="65"/>
      <c r="E1233" s="24"/>
      <c r="F1233" s="24"/>
      <c r="G1233" s="24"/>
      <c r="H1233" s="24"/>
      <c r="I1233" s="24"/>
      <c r="J1233" s="24"/>
      <c r="K1233" s="24"/>
      <c r="L1233" s="24"/>
      <c r="M1233" s="24"/>
      <c r="N1233" s="24"/>
      <c r="O1233" s="24"/>
      <c r="P1233" s="24"/>
      <c r="Q1233" s="24"/>
      <c r="R1233" s="24"/>
      <c r="S1233" s="24"/>
      <c r="T1233" s="24"/>
      <c r="U1233" s="24"/>
      <c r="V1233" s="24"/>
      <c r="W1233" s="24"/>
      <c r="X1233" s="24"/>
      <c r="Y1233" s="24"/>
      <c r="Z1233" s="24"/>
      <c r="AA1233" s="24"/>
      <c r="AB1233" s="24"/>
      <c r="AC1233" s="24"/>
      <c r="AD1233" s="24"/>
      <c r="AE1233" s="24"/>
    </row>
    <row r="1234" spans="1:31" s="1" customFormat="1" x14ac:dyDescent="0.25">
      <c r="A1234" s="21"/>
      <c r="B1234" s="22"/>
      <c r="C1234" s="22"/>
      <c r="D1234" s="65"/>
      <c r="E1234" s="24"/>
      <c r="F1234" s="24"/>
      <c r="G1234" s="24"/>
      <c r="H1234" s="24"/>
      <c r="I1234" s="24"/>
      <c r="J1234" s="24"/>
      <c r="K1234" s="24"/>
      <c r="L1234" s="24"/>
      <c r="M1234" s="24"/>
      <c r="N1234" s="24"/>
      <c r="O1234" s="24"/>
      <c r="P1234" s="24"/>
      <c r="Q1234" s="24"/>
      <c r="R1234" s="24"/>
      <c r="S1234" s="24"/>
      <c r="T1234" s="24"/>
      <c r="U1234" s="24"/>
      <c r="V1234" s="24"/>
      <c r="W1234" s="24"/>
      <c r="X1234" s="24"/>
      <c r="Y1234" s="24"/>
      <c r="Z1234" s="24"/>
      <c r="AA1234" s="24"/>
      <c r="AB1234" s="24"/>
      <c r="AC1234" s="24"/>
      <c r="AD1234" s="24"/>
      <c r="AE1234" s="24"/>
    </row>
    <row r="1235" spans="1:31" s="1" customFormat="1" x14ac:dyDescent="0.25">
      <c r="A1235" s="25"/>
      <c r="B1235" s="26" t="s">
        <v>1405</v>
      </c>
      <c r="C1235" s="26"/>
      <c r="D1235" s="64" t="s">
        <v>1406</v>
      </c>
      <c r="E1235" s="28"/>
      <c r="F1235" s="28"/>
      <c r="G1235" s="28"/>
      <c r="H1235" s="28"/>
      <c r="I1235" s="28"/>
      <c r="J1235" s="28"/>
      <c r="K1235" s="28"/>
      <c r="L1235" s="28"/>
      <c r="M1235" s="28">
        <f>SUM(M1236:M1238)</f>
        <v>0</v>
      </c>
      <c r="N1235" s="28"/>
      <c r="O1235" s="28">
        <f t="shared" ref="O1235:AC1235" si="484">SUM(O1236:O1238)</f>
        <v>0</v>
      </c>
      <c r="P1235" s="28">
        <f t="shared" si="484"/>
        <v>0</v>
      </c>
      <c r="Q1235" s="28">
        <f t="shared" si="484"/>
        <v>0</v>
      </c>
      <c r="R1235" s="28">
        <f t="shared" si="484"/>
        <v>0</v>
      </c>
      <c r="S1235" s="28">
        <f t="shared" si="484"/>
        <v>0</v>
      </c>
      <c r="T1235" s="28"/>
      <c r="U1235" s="28">
        <f t="shared" si="484"/>
        <v>0</v>
      </c>
      <c r="V1235" s="28"/>
      <c r="W1235" s="28">
        <f t="shared" si="484"/>
        <v>0</v>
      </c>
      <c r="X1235" s="28"/>
      <c r="Y1235" s="28">
        <f t="shared" si="484"/>
        <v>0</v>
      </c>
      <c r="Z1235" s="28">
        <f t="shared" si="484"/>
        <v>0</v>
      </c>
      <c r="AA1235" s="28"/>
      <c r="AB1235" s="28">
        <f t="shared" si="484"/>
        <v>0</v>
      </c>
      <c r="AC1235" s="28">
        <f t="shared" si="484"/>
        <v>0</v>
      </c>
      <c r="AD1235" s="28"/>
      <c r="AE1235" s="28"/>
    </row>
    <row r="1236" spans="1:31" s="1" customFormat="1" x14ac:dyDescent="0.25">
      <c r="A1236" s="21"/>
      <c r="B1236" s="22"/>
      <c r="C1236" s="22"/>
      <c r="D1236" s="65"/>
      <c r="E1236" s="24"/>
      <c r="F1236" s="24"/>
      <c r="G1236" s="24"/>
      <c r="H1236" s="24"/>
      <c r="I1236" s="24"/>
      <c r="J1236" s="24"/>
      <c r="K1236" s="24"/>
      <c r="L1236" s="24"/>
      <c r="M1236" s="24"/>
      <c r="N1236" s="24"/>
      <c r="O1236" s="24"/>
      <c r="P1236" s="24"/>
      <c r="Q1236" s="24"/>
      <c r="R1236" s="24"/>
      <c r="S1236" s="24"/>
      <c r="T1236" s="24"/>
      <c r="U1236" s="24"/>
      <c r="V1236" s="24"/>
      <c r="W1236" s="24"/>
      <c r="X1236" s="24"/>
      <c r="Y1236" s="24"/>
      <c r="Z1236" s="24"/>
      <c r="AA1236" s="24"/>
      <c r="AB1236" s="24"/>
      <c r="AC1236" s="24"/>
      <c r="AD1236" s="24"/>
      <c r="AE1236" s="24"/>
    </row>
    <row r="1237" spans="1:31" s="1" customFormat="1" x14ac:dyDescent="0.25">
      <c r="A1237" s="21"/>
      <c r="B1237" s="22"/>
      <c r="C1237" s="22"/>
      <c r="D1237" s="65"/>
      <c r="E1237" s="24"/>
      <c r="F1237" s="24"/>
      <c r="G1237" s="24"/>
      <c r="H1237" s="24"/>
      <c r="I1237" s="24"/>
      <c r="J1237" s="24"/>
      <c r="K1237" s="24"/>
      <c r="L1237" s="24"/>
      <c r="M1237" s="24"/>
      <c r="N1237" s="24"/>
      <c r="O1237" s="24"/>
      <c r="P1237" s="24"/>
      <c r="Q1237" s="24"/>
      <c r="R1237" s="24"/>
      <c r="S1237" s="24"/>
      <c r="T1237" s="24"/>
      <c r="U1237" s="24"/>
      <c r="V1237" s="24"/>
      <c r="W1237" s="24"/>
      <c r="X1237" s="24"/>
      <c r="Y1237" s="24"/>
      <c r="Z1237" s="24"/>
      <c r="AA1237" s="24"/>
      <c r="AB1237" s="24"/>
      <c r="AC1237" s="24"/>
      <c r="AD1237" s="24"/>
      <c r="AE1237" s="24"/>
    </row>
    <row r="1238" spans="1:31" s="1" customFormat="1" x14ac:dyDescent="0.25">
      <c r="A1238" s="21"/>
      <c r="B1238" s="22"/>
      <c r="C1238" s="22"/>
      <c r="D1238" s="65"/>
      <c r="E1238" s="24"/>
      <c r="F1238" s="24"/>
      <c r="G1238" s="24"/>
      <c r="H1238" s="24"/>
      <c r="I1238" s="24"/>
      <c r="J1238" s="24"/>
      <c r="K1238" s="24"/>
      <c r="L1238" s="24"/>
      <c r="M1238" s="24"/>
      <c r="N1238" s="24"/>
      <c r="O1238" s="24"/>
      <c r="P1238" s="24"/>
      <c r="Q1238" s="24"/>
      <c r="R1238" s="24"/>
      <c r="S1238" s="24"/>
      <c r="T1238" s="24"/>
      <c r="U1238" s="24"/>
      <c r="V1238" s="24"/>
      <c r="W1238" s="24"/>
      <c r="X1238" s="24"/>
      <c r="Y1238" s="24"/>
      <c r="Z1238" s="24"/>
      <c r="AA1238" s="24"/>
      <c r="AB1238" s="24"/>
      <c r="AC1238" s="24"/>
      <c r="AD1238" s="24"/>
      <c r="AE1238" s="24"/>
    </row>
    <row r="1239" spans="1:31" s="1" customFormat="1" x14ac:dyDescent="0.25">
      <c r="A1239" s="25"/>
      <c r="B1239" s="26" t="s">
        <v>1407</v>
      </c>
      <c r="C1239" s="26"/>
      <c r="D1239" s="64" t="s">
        <v>1408</v>
      </c>
      <c r="E1239" s="28"/>
      <c r="F1239" s="28"/>
      <c r="G1239" s="28"/>
      <c r="H1239" s="28"/>
      <c r="I1239" s="28"/>
      <c r="J1239" s="28"/>
      <c r="K1239" s="28"/>
      <c r="L1239" s="28"/>
      <c r="M1239" s="28">
        <f>SUM(M1240:M1242)</f>
        <v>0</v>
      </c>
      <c r="N1239" s="28"/>
      <c r="O1239" s="28">
        <f t="shared" ref="O1239:AC1239" si="485">SUM(O1240:O1242)</f>
        <v>0</v>
      </c>
      <c r="P1239" s="28">
        <f t="shared" si="485"/>
        <v>0</v>
      </c>
      <c r="Q1239" s="28">
        <f t="shared" si="485"/>
        <v>0</v>
      </c>
      <c r="R1239" s="28">
        <f t="shared" si="485"/>
        <v>0</v>
      </c>
      <c r="S1239" s="28">
        <f t="shared" si="485"/>
        <v>0</v>
      </c>
      <c r="T1239" s="28"/>
      <c r="U1239" s="28">
        <f t="shared" si="485"/>
        <v>0</v>
      </c>
      <c r="V1239" s="28"/>
      <c r="W1239" s="28">
        <f t="shared" si="485"/>
        <v>0</v>
      </c>
      <c r="X1239" s="28"/>
      <c r="Y1239" s="28">
        <f t="shared" si="485"/>
        <v>0</v>
      </c>
      <c r="Z1239" s="28">
        <f t="shared" si="485"/>
        <v>0</v>
      </c>
      <c r="AA1239" s="28"/>
      <c r="AB1239" s="28">
        <f t="shared" si="485"/>
        <v>0</v>
      </c>
      <c r="AC1239" s="28">
        <f t="shared" si="485"/>
        <v>0</v>
      </c>
      <c r="AD1239" s="28"/>
      <c r="AE1239" s="28"/>
    </row>
    <row r="1240" spans="1:31" s="1" customFormat="1" x14ac:dyDescent="0.25">
      <c r="A1240" s="21"/>
      <c r="B1240" s="22"/>
      <c r="C1240" s="22"/>
      <c r="D1240" s="65"/>
      <c r="E1240" s="24"/>
      <c r="F1240" s="24"/>
      <c r="G1240" s="24"/>
      <c r="H1240" s="24"/>
      <c r="I1240" s="24"/>
      <c r="J1240" s="24"/>
      <c r="K1240" s="24"/>
      <c r="L1240" s="24"/>
      <c r="M1240" s="24"/>
      <c r="N1240" s="24"/>
      <c r="O1240" s="24"/>
      <c r="P1240" s="24"/>
      <c r="Q1240" s="24"/>
      <c r="R1240" s="24"/>
      <c r="S1240" s="24"/>
      <c r="T1240" s="24"/>
      <c r="U1240" s="24"/>
      <c r="V1240" s="24"/>
      <c r="W1240" s="24"/>
      <c r="X1240" s="24"/>
      <c r="Y1240" s="24"/>
      <c r="Z1240" s="24"/>
      <c r="AA1240" s="24"/>
      <c r="AB1240" s="24"/>
      <c r="AC1240" s="24"/>
      <c r="AD1240" s="24"/>
      <c r="AE1240" s="24"/>
    </row>
    <row r="1241" spans="1:31" s="1" customFormat="1" x14ac:dyDescent="0.25">
      <c r="A1241" s="21"/>
      <c r="B1241" s="22"/>
      <c r="C1241" s="22"/>
      <c r="D1241" s="65"/>
      <c r="E1241" s="24"/>
      <c r="F1241" s="24"/>
      <c r="G1241" s="24"/>
      <c r="H1241" s="24"/>
      <c r="I1241" s="24"/>
      <c r="J1241" s="24"/>
      <c r="K1241" s="24"/>
      <c r="L1241" s="24"/>
      <c r="M1241" s="24"/>
      <c r="N1241" s="24"/>
      <c r="O1241" s="24"/>
      <c r="P1241" s="24"/>
      <c r="Q1241" s="24"/>
      <c r="R1241" s="24"/>
      <c r="S1241" s="24"/>
      <c r="T1241" s="24"/>
      <c r="U1241" s="24"/>
      <c r="V1241" s="24"/>
      <c r="W1241" s="24"/>
      <c r="X1241" s="24"/>
      <c r="Y1241" s="24"/>
      <c r="Z1241" s="24"/>
      <c r="AA1241" s="24"/>
      <c r="AB1241" s="24"/>
      <c r="AC1241" s="24"/>
      <c r="AD1241" s="24"/>
      <c r="AE1241" s="24"/>
    </row>
    <row r="1242" spans="1:31" s="1" customFormat="1" x14ac:dyDescent="0.25">
      <c r="A1242" s="21"/>
      <c r="B1242" s="22"/>
      <c r="C1242" s="22"/>
      <c r="D1242" s="65"/>
      <c r="E1242" s="24"/>
      <c r="F1242" s="24"/>
      <c r="G1242" s="24"/>
      <c r="H1242" s="24"/>
      <c r="I1242" s="24"/>
      <c r="J1242" s="24"/>
      <c r="K1242" s="24"/>
      <c r="L1242" s="24"/>
      <c r="M1242" s="24"/>
      <c r="N1242" s="24"/>
      <c r="O1242" s="24"/>
      <c r="P1242" s="24"/>
      <c r="Q1242" s="24"/>
      <c r="R1242" s="24"/>
      <c r="S1242" s="24"/>
      <c r="T1242" s="24"/>
      <c r="U1242" s="24"/>
      <c r="V1242" s="24"/>
      <c r="W1242" s="24"/>
      <c r="X1242" s="24"/>
      <c r="Y1242" s="24"/>
      <c r="Z1242" s="24"/>
      <c r="AA1242" s="24"/>
      <c r="AB1242" s="24"/>
      <c r="AC1242" s="24"/>
      <c r="AD1242" s="24"/>
      <c r="AE1242" s="24"/>
    </row>
    <row r="1243" spans="1:31" s="1" customFormat="1" x14ac:dyDescent="0.25">
      <c r="A1243" s="25"/>
      <c r="B1243" s="26" t="s">
        <v>1409</v>
      </c>
      <c r="C1243" s="26"/>
      <c r="D1243" s="64" t="s">
        <v>1410</v>
      </c>
      <c r="E1243" s="28"/>
      <c r="F1243" s="28"/>
      <c r="G1243" s="28"/>
      <c r="H1243" s="28"/>
      <c r="I1243" s="28"/>
      <c r="J1243" s="28"/>
      <c r="K1243" s="28"/>
      <c r="L1243" s="28"/>
      <c r="M1243" s="28">
        <f>SUM(M1244:M1246)</f>
        <v>0</v>
      </c>
      <c r="N1243" s="28"/>
      <c r="O1243" s="28">
        <f t="shared" ref="O1243:AC1243" si="486">SUM(O1244:O1246)</f>
        <v>0</v>
      </c>
      <c r="P1243" s="28">
        <f t="shared" si="486"/>
        <v>0</v>
      </c>
      <c r="Q1243" s="28">
        <f t="shared" si="486"/>
        <v>0</v>
      </c>
      <c r="R1243" s="28">
        <f t="shared" si="486"/>
        <v>0</v>
      </c>
      <c r="S1243" s="28">
        <f t="shared" si="486"/>
        <v>0</v>
      </c>
      <c r="T1243" s="28"/>
      <c r="U1243" s="28">
        <f t="shared" si="486"/>
        <v>0</v>
      </c>
      <c r="V1243" s="28"/>
      <c r="W1243" s="28">
        <f t="shared" si="486"/>
        <v>0</v>
      </c>
      <c r="X1243" s="28"/>
      <c r="Y1243" s="28">
        <f t="shared" si="486"/>
        <v>0</v>
      </c>
      <c r="Z1243" s="28">
        <f t="shared" si="486"/>
        <v>0</v>
      </c>
      <c r="AA1243" s="28"/>
      <c r="AB1243" s="28">
        <f t="shared" si="486"/>
        <v>0</v>
      </c>
      <c r="AC1243" s="28">
        <f t="shared" si="486"/>
        <v>0</v>
      </c>
      <c r="AD1243" s="28"/>
      <c r="AE1243" s="28"/>
    </row>
    <row r="1244" spans="1:31" s="1" customFormat="1" x14ac:dyDescent="0.25">
      <c r="A1244" s="21"/>
      <c r="B1244" s="22"/>
      <c r="C1244" s="22"/>
      <c r="D1244" s="65"/>
      <c r="E1244" s="24"/>
      <c r="F1244" s="24"/>
      <c r="G1244" s="24"/>
      <c r="H1244" s="24"/>
      <c r="I1244" s="24"/>
      <c r="J1244" s="24"/>
      <c r="K1244" s="24"/>
      <c r="L1244" s="24"/>
      <c r="M1244" s="24"/>
      <c r="N1244" s="24"/>
      <c r="O1244" s="24"/>
      <c r="P1244" s="24"/>
      <c r="Q1244" s="24"/>
      <c r="R1244" s="24"/>
      <c r="S1244" s="24"/>
      <c r="T1244" s="24"/>
      <c r="U1244" s="24"/>
      <c r="V1244" s="24"/>
      <c r="W1244" s="24"/>
      <c r="X1244" s="24"/>
      <c r="Y1244" s="24"/>
      <c r="Z1244" s="24"/>
      <c r="AA1244" s="24"/>
      <c r="AB1244" s="24"/>
      <c r="AC1244" s="24"/>
      <c r="AD1244" s="24"/>
      <c r="AE1244" s="24"/>
    </row>
    <row r="1245" spans="1:31" s="1" customFormat="1" x14ac:dyDescent="0.25">
      <c r="A1245" s="21"/>
      <c r="B1245" s="22"/>
      <c r="C1245" s="22"/>
      <c r="D1245" s="65"/>
      <c r="E1245" s="24"/>
      <c r="F1245" s="24"/>
      <c r="G1245" s="24"/>
      <c r="H1245" s="24"/>
      <c r="I1245" s="24"/>
      <c r="J1245" s="24"/>
      <c r="K1245" s="24"/>
      <c r="L1245" s="24"/>
      <c r="M1245" s="24"/>
      <c r="N1245" s="24"/>
      <c r="O1245" s="24"/>
      <c r="P1245" s="24"/>
      <c r="Q1245" s="24"/>
      <c r="R1245" s="24"/>
      <c r="S1245" s="24"/>
      <c r="T1245" s="24"/>
      <c r="U1245" s="24"/>
      <c r="V1245" s="24"/>
      <c r="W1245" s="24"/>
      <c r="X1245" s="24"/>
      <c r="Y1245" s="24"/>
      <c r="Z1245" s="24"/>
      <c r="AA1245" s="24"/>
      <c r="AB1245" s="24"/>
      <c r="AC1245" s="24"/>
      <c r="AD1245" s="24"/>
      <c r="AE1245" s="24"/>
    </row>
    <row r="1246" spans="1:31" s="1" customFormat="1" x14ac:dyDescent="0.25">
      <c r="A1246" s="21"/>
      <c r="B1246" s="22"/>
      <c r="C1246" s="22"/>
      <c r="D1246" s="65"/>
      <c r="E1246" s="24"/>
      <c r="F1246" s="24"/>
      <c r="G1246" s="24"/>
      <c r="H1246" s="24"/>
      <c r="I1246" s="24"/>
      <c r="J1246" s="24"/>
      <c r="K1246" s="24"/>
      <c r="L1246" s="24"/>
      <c r="M1246" s="24"/>
      <c r="N1246" s="24"/>
      <c r="O1246" s="24"/>
      <c r="P1246" s="24"/>
      <c r="Q1246" s="24"/>
      <c r="R1246" s="24"/>
      <c r="S1246" s="24"/>
      <c r="T1246" s="24"/>
      <c r="U1246" s="24"/>
      <c r="V1246" s="24"/>
      <c r="W1246" s="24"/>
      <c r="X1246" s="24"/>
      <c r="Y1246" s="24"/>
      <c r="Z1246" s="24"/>
      <c r="AA1246" s="24"/>
      <c r="AB1246" s="24"/>
      <c r="AC1246" s="24"/>
      <c r="AD1246" s="24"/>
      <c r="AE1246" s="24"/>
    </row>
    <row r="1247" spans="1:31" s="1" customFormat="1" x14ac:dyDescent="0.25">
      <c r="A1247" s="25"/>
      <c r="B1247" s="26" t="s">
        <v>1411</v>
      </c>
      <c r="C1247" s="26"/>
      <c r="D1247" s="64" t="s">
        <v>1412</v>
      </c>
      <c r="E1247" s="28"/>
      <c r="F1247" s="28"/>
      <c r="G1247" s="28"/>
      <c r="H1247" s="28"/>
      <c r="I1247" s="28"/>
      <c r="J1247" s="28"/>
      <c r="K1247" s="28"/>
      <c r="L1247" s="28"/>
      <c r="M1247" s="28">
        <f>SUM(M1248:M1250)</f>
        <v>0</v>
      </c>
      <c r="N1247" s="28"/>
      <c r="O1247" s="28">
        <f t="shared" ref="O1247:AC1247" si="487">SUM(O1248:O1250)</f>
        <v>0</v>
      </c>
      <c r="P1247" s="28">
        <f t="shared" si="487"/>
        <v>0</v>
      </c>
      <c r="Q1247" s="28">
        <f t="shared" si="487"/>
        <v>0</v>
      </c>
      <c r="R1247" s="28">
        <f t="shared" si="487"/>
        <v>0</v>
      </c>
      <c r="S1247" s="28">
        <f t="shared" si="487"/>
        <v>0</v>
      </c>
      <c r="T1247" s="28"/>
      <c r="U1247" s="28">
        <f t="shared" si="487"/>
        <v>0</v>
      </c>
      <c r="V1247" s="28"/>
      <c r="W1247" s="28">
        <f t="shared" si="487"/>
        <v>0</v>
      </c>
      <c r="X1247" s="28"/>
      <c r="Y1247" s="28">
        <f t="shared" si="487"/>
        <v>0</v>
      </c>
      <c r="Z1247" s="28">
        <f t="shared" si="487"/>
        <v>0</v>
      </c>
      <c r="AA1247" s="28"/>
      <c r="AB1247" s="28">
        <f t="shared" si="487"/>
        <v>0</v>
      </c>
      <c r="AC1247" s="28">
        <f t="shared" si="487"/>
        <v>0</v>
      </c>
      <c r="AD1247" s="28"/>
      <c r="AE1247" s="28"/>
    </row>
    <row r="1248" spans="1:31" s="1" customFormat="1" x14ac:dyDescent="0.25">
      <c r="A1248" s="21"/>
      <c r="B1248" s="22"/>
      <c r="C1248" s="22"/>
      <c r="D1248" s="65"/>
      <c r="E1248" s="24"/>
      <c r="F1248" s="24"/>
      <c r="G1248" s="24"/>
      <c r="H1248" s="24"/>
      <c r="I1248" s="24"/>
      <c r="J1248" s="24"/>
      <c r="K1248" s="24"/>
      <c r="L1248" s="24"/>
      <c r="M1248" s="24"/>
      <c r="N1248" s="24"/>
      <c r="O1248" s="24"/>
      <c r="P1248" s="24"/>
      <c r="Q1248" s="24"/>
      <c r="R1248" s="24"/>
      <c r="S1248" s="24"/>
      <c r="T1248" s="24"/>
      <c r="U1248" s="24"/>
      <c r="V1248" s="24"/>
      <c r="W1248" s="24"/>
      <c r="X1248" s="24"/>
      <c r="Y1248" s="24"/>
      <c r="Z1248" s="24"/>
      <c r="AA1248" s="24"/>
      <c r="AB1248" s="24"/>
      <c r="AC1248" s="24"/>
      <c r="AD1248" s="24"/>
      <c r="AE1248" s="24"/>
    </row>
    <row r="1249" spans="1:33" s="1" customFormat="1" x14ac:dyDescent="0.25">
      <c r="A1249" s="21"/>
      <c r="B1249" s="22"/>
      <c r="C1249" s="22"/>
      <c r="D1249" s="65"/>
      <c r="E1249" s="24"/>
      <c r="F1249" s="24"/>
      <c r="G1249" s="24"/>
      <c r="H1249" s="24"/>
      <c r="I1249" s="24"/>
      <c r="J1249" s="24"/>
      <c r="K1249" s="24"/>
      <c r="L1249" s="24"/>
      <c r="M1249" s="24"/>
      <c r="N1249" s="24"/>
      <c r="O1249" s="24"/>
      <c r="P1249" s="24"/>
      <c r="Q1249" s="24"/>
      <c r="R1249" s="24"/>
      <c r="S1249" s="24"/>
      <c r="T1249" s="24"/>
      <c r="U1249" s="24"/>
      <c r="V1249" s="24"/>
      <c r="W1249" s="24"/>
      <c r="X1249" s="24"/>
      <c r="Y1249" s="24"/>
      <c r="Z1249" s="24"/>
      <c r="AA1249" s="24"/>
      <c r="AB1249" s="24"/>
      <c r="AC1249" s="24"/>
      <c r="AD1249" s="24"/>
      <c r="AE1249" s="24"/>
    </row>
    <row r="1250" spans="1:33" s="1" customFormat="1" x14ac:dyDescent="0.25">
      <c r="A1250" s="21"/>
      <c r="B1250" s="22"/>
      <c r="C1250" s="22"/>
      <c r="D1250" s="65"/>
      <c r="E1250" s="24"/>
      <c r="F1250" s="24"/>
      <c r="G1250" s="24"/>
      <c r="H1250" s="24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  <c r="S1250" s="24"/>
      <c r="T1250" s="24"/>
      <c r="U1250" s="24"/>
      <c r="V1250" s="24"/>
      <c r="W1250" s="24"/>
      <c r="X1250" s="24"/>
      <c r="Y1250" s="24"/>
      <c r="Z1250" s="24"/>
      <c r="AA1250" s="24"/>
      <c r="AB1250" s="24"/>
      <c r="AC1250" s="24"/>
      <c r="AD1250" s="24"/>
      <c r="AE1250" s="24"/>
    </row>
    <row r="1251" spans="1:33" s="1" customFormat="1" x14ac:dyDescent="0.25">
      <c r="A1251" s="25"/>
      <c r="B1251" s="26" t="s">
        <v>1413</v>
      </c>
      <c r="C1251" s="26"/>
      <c r="D1251" s="64" t="s">
        <v>1414</v>
      </c>
      <c r="E1251" s="28"/>
      <c r="F1251" s="28"/>
      <c r="G1251" s="28"/>
      <c r="H1251" s="28"/>
      <c r="I1251" s="28"/>
      <c r="J1251" s="28"/>
      <c r="K1251" s="28"/>
      <c r="L1251" s="28"/>
      <c r="M1251" s="28">
        <f>SUM(M1252:M1254)</f>
        <v>0</v>
      </c>
      <c r="N1251" s="28"/>
      <c r="O1251" s="28">
        <f t="shared" ref="O1251:AC1251" si="488">SUM(O1252:O1254)</f>
        <v>0</v>
      </c>
      <c r="P1251" s="28">
        <f t="shared" si="488"/>
        <v>0</v>
      </c>
      <c r="Q1251" s="28">
        <f t="shared" si="488"/>
        <v>0</v>
      </c>
      <c r="R1251" s="28">
        <f t="shared" si="488"/>
        <v>0</v>
      </c>
      <c r="S1251" s="28">
        <f t="shared" si="488"/>
        <v>0</v>
      </c>
      <c r="T1251" s="28"/>
      <c r="U1251" s="28">
        <f t="shared" si="488"/>
        <v>0</v>
      </c>
      <c r="V1251" s="28"/>
      <c r="W1251" s="28">
        <f t="shared" si="488"/>
        <v>0</v>
      </c>
      <c r="X1251" s="28"/>
      <c r="Y1251" s="28">
        <f t="shared" si="488"/>
        <v>0</v>
      </c>
      <c r="Z1251" s="28">
        <f t="shared" si="488"/>
        <v>0</v>
      </c>
      <c r="AA1251" s="28"/>
      <c r="AB1251" s="28">
        <f t="shared" si="488"/>
        <v>0</v>
      </c>
      <c r="AC1251" s="28">
        <f t="shared" si="488"/>
        <v>0</v>
      </c>
      <c r="AD1251" s="28"/>
      <c r="AE1251" s="28"/>
    </row>
    <row r="1252" spans="1:33" s="1" customFormat="1" x14ac:dyDescent="0.25">
      <c r="A1252" s="21"/>
      <c r="B1252" s="22"/>
      <c r="C1252" s="22"/>
      <c r="D1252" s="65"/>
      <c r="E1252" s="24"/>
      <c r="F1252" s="24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  <c r="S1252" s="24"/>
      <c r="T1252" s="24"/>
      <c r="U1252" s="24"/>
      <c r="V1252" s="24"/>
      <c r="W1252" s="24"/>
      <c r="X1252" s="24"/>
      <c r="Y1252" s="24"/>
      <c r="Z1252" s="24"/>
      <c r="AA1252" s="24"/>
      <c r="AB1252" s="24"/>
      <c r="AC1252" s="24"/>
      <c r="AD1252" s="24"/>
      <c r="AE1252" s="24"/>
    </row>
    <row r="1253" spans="1:33" s="1" customFormat="1" x14ac:dyDescent="0.25">
      <c r="A1253" s="21"/>
      <c r="B1253" s="22"/>
      <c r="C1253" s="22"/>
      <c r="D1253" s="65"/>
      <c r="E1253" s="24"/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  <c r="S1253" s="24"/>
      <c r="T1253" s="24"/>
      <c r="U1253" s="24"/>
      <c r="V1253" s="24"/>
      <c r="W1253" s="24"/>
      <c r="X1253" s="24"/>
      <c r="Y1253" s="24"/>
      <c r="Z1253" s="24"/>
      <c r="AA1253" s="24"/>
      <c r="AB1253" s="24"/>
      <c r="AC1253" s="24"/>
      <c r="AD1253" s="24"/>
      <c r="AE1253" s="24"/>
    </row>
    <row r="1254" spans="1:33" s="1" customFormat="1" x14ac:dyDescent="0.25">
      <c r="A1254" s="21"/>
      <c r="B1254" s="22"/>
      <c r="C1254" s="22"/>
      <c r="D1254" s="65"/>
      <c r="E1254" s="24"/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  <c r="S1254" s="24"/>
      <c r="T1254" s="24"/>
      <c r="U1254" s="24"/>
      <c r="V1254" s="24"/>
      <c r="W1254" s="24"/>
      <c r="X1254" s="24"/>
      <c r="Y1254" s="24"/>
      <c r="Z1254" s="24"/>
      <c r="AA1254" s="24"/>
      <c r="AB1254" s="24"/>
      <c r="AC1254" s="24"/>
      <c r="AD1254" s="24"/>
      <c r="AE1254" s="24"/>
    </row>
    <row r="1255" spans="1:33" s="1" customFormat="1" x14ac:dyDescent="0.25">
      <c r="A1255" s="25"/>
      <c r="B1255" s="26" t="s">
        <v>1415</v>
      </c>
      <c r="C1255" s="26"/>
      <c r="D1255" s="64" t="s">
        <v>1416</v>
      </c>
      <c r="E1255" s="28"/>
      <c r="F1255" s="28"/>
      <c r="G1255" s="28"/>
      <c r="H1255" s="28"/>
      <c r="I1255" s="28"/>
      <c r="J1255" s="28"/>
      <c r="K1255" s="28"/>
      <c r="L1255" s="28"/>
      <c r="M1255" s="28">
        <f>SUM(M1256:M1258)</f>
        <v>0</v>
      </c>
      <c r="N1255" s="28"/>
      <c r="O1255" s="28">
        <f t="shared" ref="O1255:AC1255" si="489">SUM(O1256:O1258)</f>
        <v>0</v>
      </c>
      <c r="P1255" s="28">
        <f t="shared" si="489"/>
        <v>0</v>
      </c>
      <c r="Q1255" s="28">
        <f t="shared" si="489"/>
        <v>0</v>
      </c>
      <c r="R1255" s="28">
        <f t="shared" si="489"/>
        <v>0</v>
      </c>
      <c r="S1255" s="28">
        <f t="shared" si="489"/>
        <v>0</v>
      </c>
      <c r="T1255" s="28"/>
      <c r="U1255" s="28">
        <f t="shared" si="489"/>
        <v>0</v>
      </c>
      <c r="V1255" s="28"/>
      <c r="W1255" s="28">
        <f t="shared" si="489"/>
        <v>0</v>
      </c>
      <c r="X1255" s="28"/>
      <c r="Y1255" s="28">
        <f t="shared" si="489"/>
        <v>0</v>
      </c>
      <c r="Z1255" s="28">
        <f t="shared" si="489"/>
        <v>0</v>
      </c>
      <c r="AA1255" s="28"/>
      <c r="AB1255" s="28">
        <f t="shared" si="489"/>
        <v>0</v>
      </c>
      <c r="AC1255" s="28">
        <f t="shared" si="489"/>
        <v>0</v>
      </c>
      <c r="AD1255" s="28"/>
      <c r="AE1255" s="28"/>
    </row>
    <row r="1256" spans="1:33" s="1" customFormat="1" x14ac:dyDescent="0.25">
      <c r="A1256" s="21"/>
      <c r="B1256" s="22"/>
      <c r="C1256" s="22"/>
      <c r="D1256" s="65"/>
      <c r="E1256" s="24"/>
      <c r="F1256" s="24"/>
      <c r="G1256" s="24"/>
      <c r="H1256" s="24"/>
      <c r="I1256" s="24"/>
      <c r="J1256" s="24"/>
      <c r="K1256" s="24"/>
      <c r="L1256" s="24"/>
      <c r="M1256" s="24"/>
      <c r="N1256" s="24"/>
      <c r="O1256" s="24"/>
      <c r="P1256" s="24"/>
      <c r="Q1256" s="24"/>
      <c r="R1256" s="24"/>
      <c r="S1256" s="24"/>
      <c r="T1256" s="24"/>
      <c r="U1256" s="24"/>
      <c r="V1256" s="24"/>
      <c r="W1256" s="24"/>
      <c r="X1256" s="24"/>
      <c r="Y1256" s="24"/>
      <c r="Z1256" s="24"/>
      <c r="AA1256" s="24"/>
      <c r="AB1256" s="24"/>
      <c r="AC1256" s="24"/>
      <c r="AD1256" s="24"/>
      <c r="AE1256" s="24"/>
    </row>
    <row r="1257" spans="1:33" s="1" customFormat="1" x14ac:dyDescent="0.25">
      <c r="A1257" s="21"/>
      <c r="B1257" s="22"/>
      <c r="C1257" s="22"/>
      <c r="D1257" s="65"/>
      <c r="E1257" s="24"/>
      <c r="F1257" s="24"/>
      <c r="G1257" s="24"/>
      <c r="H1257" s="24"/>
      <c r="I1257" s="24"/>
      <c r="J1257" s="24"/>
      <c r="K1257" s="24"/>
      <c r="L1257" s="24"/>
      <c r="M1257" s="24"/>
      <c r="N1257" s="24"/>
      <c r="O1257" s="24"/>
      <c r="P1257" s="24"/>
      <c r="Q1257" s="24"/>
      <c r="R1257" s="24"/>
      <c r="S1257" s="24"/>
      <c r="T1257" s="24"/>
      <c r="U1257" s="24"/>
      <c r="V1257" s="24"/>
      <c r="W1257" s="24"/>
      <c r="X1257" s="24"/>
      <c r="Y1257" s="24"/>
      <c r="Z1257" s="24"/>
      <c r="AA1257" s="24"/>
      <c r="AB1257" s="24"/>
      <c r="AC1257" s="24"/>
      <c r="AD1257" s="24"/>
      <c r="AE1257" s="24"/>
    </row>
    <row r="1258" spans="1:33" s="1" customFormat="1" x14ac:dyDescent="0.25">
      <c r="A1258" s="21"/>
      <c r="B1258" s="22"/>
      <c r="C1258" s="22"/>
      <c r="D1258" s="65"/>
      <c r="E1258" s="24"/>
      <c r="F1258" s="24"/>
      <c r="G1258" s="24"/>
      <c r="H1258" s="24"/>
      <c r="I1258" s="24"/>
      <c r="J1258" s="24"/>
      <c r="K1258" s="24"/>
      <c r="L1258" s="24"/>
      <c r="M1258" s="24"/>
      <c r="N1258" s="24"/>
      <c r="O1258" s="24"/>
      <c r="P1258" s="24"/>
      <c r="Q1258" s="24"/>
      <c r="R1258" s="24"/>
      <c r="S1258" s="24"/>
      <c r="T1258" s="24"/>
      <c r="U1258" s="24"/>
      <c r="V1258" s="24"/>
      <c r="W1258" s="24"/>
      <c r="X1258" s="24"/>
      <c r="Y1258" s="24"/>
      <c r="Z1258" s="24"/>
      <c r="AA1258" s="24"/>
      <c r="AB1258" s="24"/>
      <c r="AC1258" s="24"/>
      <c r="AD1258" s="24"/>
      <c r="AE1258" s="24"/>
    </row>
    <row r="1259" spans="1:33" s="1" customFormat="1" x14ac:dyDescent="0.25">
      <c r="A1259" s="17"/>
      <c r="B1259" s="18" t="s">
        <v>1417</v>
      </c>
      <c r="C1259" s="18"/>
      <c r="D1259" s="84" t="s">
        <v>1418</v>
      </c>
      <c r="E1259" s="20"/>
      <c r="F1259" s="20"/>
      <c r="G1259" s="20"/>
      <c r="H1259" s="20"/>
      <c r="I1259" s="20"/>
      <c r="J1259" s="20"/>
      <c r="K1259" s="20"/>
      <c r="L1259" s="20"/>
      <c r="M1259" s="20">
        <f>M1260+M1264+M1276+M1280</f>
        <v>10</v>
      </c>
      <c r="N1259" s="20"/>
      <c r="O1259" s="37">
        <f>O1260+O1264+O1276+O1280</f>
        <v>1260745500</v>
      </c>
      <c r="P1259" s="20">
        <f>P1260+P1264+P1276+P1280</f>
        <v>0</v>
      </c>
      <c r="Q1259" s="20">
        <f>Q1260+Q1264+Q1276+Q1280</f>
        <v>0</v>
      </c>
      <c r="R1259" s="20">
        <f>R1260+R1264+R1276+R1280</f>
        <v>0</v>
      </c>
      <c r="S1259" s="37">
        <f>S1260+S1264+S1276+S1280</f>
        <v>1260745500</v>
      </c>
      <c r="T1259" s="20"/>
      <c r="U1259" s="37">
        <f>U1260+U1264+U1276+U1280</f>
        <v>31518637.5</v>
      </c>
      <c r="V1259" s="20"/>
      <c r="W1259" s="37">
        <f>W1260+W1264+W1276+W1280</f>
        <v>15759318.75</v>
      </c>
      <c r="X1259" s="20"/>
      <c r="Y1259" s="37">
        <f>Y1260+Y1264+Y1276+Y1280</f>
        <v>0</v>
      </c>
      <c r="Z1259" s="37">
        <f>Z1260+Z1264+Z1276+Z1280</f>
        <v>15759318.75</v>
      </c>
      <c r="AA1259" s="20"/>
      <c r="AB1259" s="37">
        <f>AB1260+AB1264+AB1276+AB1280</f>
        <v>282573281.25</v>
      </c>
      <c r="AC1259" s="37">
        <f>AC1260+AC1264+AC1276+AC1280</f>
        <v>978172218.75</v>
      </c>
      <c r="AD1259" s="20"/>
      <c r="AE1259" s="20"/>
    </row>
    <row r="1260" spans="1:33" s="1" customFormat="1" x14ac:dyDescent="0.25">
      <c r="A1260" s="25"/>
      <c r="B1260" s="26" t="s">
        <v>1419</v>
      </c>
      <c r="C1260" s="26"/>
      <c r="D1260" s="64" t="s">
        <v>1420</v>
      </c>
      <c r="E1260" s="28"/>
      <c r="F1260" s="28"/>
      <c r="G1260" s="28"/>
      <c r="H1260" s="28"/>
      <c r="I1260" s="28"/>
      <c r="J1260" s="28"/>
      <c r="K1260" s="28"/>
      <c r="L1260" s="28"/>
      <c r="M1260" s="28">
        <f>SUM(M1261:M1263)</f>
        <v>0</v>
      </c>
      <c r="N1260" s="28"/>
      <c r="O1260" s="28">
        <f t="shared" ref="O1260:AC1260" si="490">SUM(O1261:O1263)</f>
        <v>0</v>
      </c>
      <c r="P1260" s="28">
        <f t="shared" si="490"/>
        <v>0</v>
      </c>
      <c r="Q1260" s="28">
        <f t="shared" si="490"/>
        <v>0</v>
      </c>
      <c r="R1260" s="28">
        <f t="shared" si="490"/>
        <v>0</v>
      </c>
      <c r="S1260" s="40">
        <f t="shared" si="490"/>
        <v>0</v>
      </c>
      <c r="T1260" s="28"/>
      <c r="U1260" s="48">
        <f t="shared" si="490"/>
        <v>0</v>
      </c>
      <c r="V1260" s="28"/>
      <c r="W1260" s="28">
        <f t="shared" si="490"/>
        <v>0</v>
      </c>
      <c r="X1260" s="28"/>
      <c r="Y1260" s="28">
        <f t="shared" si="490"/>
        <v>0</v>
      </c>
      <c r="Z1260" s="28">
        <f t="shared" si="490"/>
        <v>0</v>
      </c>
      <c r="AA1260" s="28"/>
      <c r="AB1260" s="28">
        <f t="shared" si="490"/>
        <v>0</v>
      </c>
      <c r="AC1260" s="28">
        <f t="shared" si="490"/>
        <v>0</v>
      </c>
      <c r="AD1260" s="28"/>
      <c r="AE1260" s="28"/>
    </row>
    <row r="1261" spans="1:33" s="1" customFormat="1" x14ac:dyDescent="0.25">
      <c r="A1261" s="21"/>
      <c r="B1261" s="22"/>
      <c r="C1261" s="22"/>
      <c r="D1261" s="65"/>
      <c r="E1261" s="24"/>
      <c r="F1261" s="24"/>
      <c r="G1261" s="24"/>
      <c r="H1261" s="24"/>
      <c r="I1261" s="24"/>
      <c r="J1261" s="24"/>
      <c r="K1261" s="24"/>
      <c r="L1261" s="24"/>
      <c r="M1261" s="24"/>
      <c r="N1261" s="24"/>
      <c r="O1261" s="24"/>
      <c r="P1261" s="24"/>
      <c r="Q1261" s="24"/>
      <c r="R1261" s="24"/>
      <c r="S1261" s="41"/>
      <c r="T1261" s="24"/>
      <c r="U1261" s="44"/>
      <c r="V1261" s="24"/>
      <c r="W1261" s="24"/>
      <c r="X1261" s="24"/>
      <c r="Y1261" s="24"/>
      <c r="Z1261" s="24"/>
      <c r="AA1261" s="24"/>
      <c r="AB1261" s="24"/>
      <c r="AC1261" s="24"/>
      <c r="AD1261" s="24"/>
      <c r="AE1261" s="24"/>
    </row>
    <row r="1262" spans="1:33" s="1" customFormat="1" x14ac:dyDescent="0.25">
      <c r="A1262" s="21"/>
      <c r="B1262" s="22"/>
      <c r="C1262" s="22"/>
      <c r="D1262" s="65"/>
      <c r="E1262" s="24"/>
      <c r="F1262" s="24"/>
      <c r="G1262" s="24"/>
      <c r="H1262" s="24"/>
      <c r="I1262" s="24"/>
      <c r="J1262" s="24"/>
      <c r="K1262" s="24"/>
      <c r="L1262" s="24"/>
      <c r="M1262" s="24"/>
      <c r="N1262" s="24"/>
      <c r="O1262" s="24"/>
      <c r="P1262" s="24"/>
      <c r="Q1262" s="24"/>
      <c r="R1262" s="24"/>
      <c r="S1262" s="41"/>
      <c r="T1262" s="24"/>
      <c r="U1262" s="44"/>
      <c r="V1262" s="24"/>
      <c r="W1262" s="24"/>
      <c r="X1262" s="24"/>
      <c r="Y1262" s="24"/>
      <c r="Z1262" s="24"/>
      <c r="AA1262" s="24"/>
      <c r="AB1262" s="24"/>
      <c r="AC1262" s="24"/>
      <c r="AD1262" s="24"/>
      <c r="AE1262" s="24"/>
    </row>
    <row r="1263" spans="1:33" s="1" customFormat="1" x14ac:dyDescent="0.25">
      <c r="A1263" s="21"/>
      <c r="B1263" s="22"/>
      <c r="C1263" s="22"/>
      <c r="D1263" s="65"/>
      <c r="E1263" s="24"/>
      <c r="F1263" s="24"/>
      <c r="G1263" s="24"/>
      <c r="H1263" s="24"/>
      <c r="I1263" s="24"/>
      <c r="J1263" s="24"/>
      <c r="K1263" s="24"/>
      <c r="L1263" s="24"/>
      <c r="M1263" s="24"/>
      <c r="N1263" s="24"/>
      <c r="O1263" s="24"/>
      <c r="P1263" s="24"/>
      <c r="Q1263" s="24"/>
      <c r="R1263" s="24"/>
      <c r="S1263" s="41"/>
      <c r="T1263" s="24"/>
      <c r="U1263" s="44"/>
      <c r="V1263" s="24"/>
      <c r="W1263" s="24"/>
      <c r="X1263" s="24"/>
      <c r="Y1263" s="24"/>
      <c r="Z1263" s="24"/>
      <c r="AA1263" s="24"/>
      <c r="AB1263" s="24"/>
      <c r="AC1263" s="24"/>
      <c r="AD1263" s="24"/>
      <c r="AE1263" s="24"/>
    </row>
    <row r="1264" spans="1:33" s="1" customFormat="1" x14ac:dyDescent="0.25">
      <c r="A1264" s="25"/>
      <c r="B1264" s="26" t="s">
        <v>1421</v>
      </c>
      <c r="C1264" s="26"/>
      <c r="D1264" s="64" t="s">
        <v>1422</v>
      </c>
      <c r="E1264" s="28"/>
      <c r="F1264" s="28"/>
      <c r="G1264" s="28"/>
      <c r="H1264" s="28"/>
      <c r="I1264" s="28"/>
      <c r="J1264" s="28"/>
      <c r="K1264" s="28"/>
      <c r="L1264" s="28"/>
      <c r="M1264" s="28">
        <f>SUM(M1265:M1275)</f>
        <v>10</v>
      </c>
      <c r="N1264" s="28"/>
      <c r="O1264" s="40">
        <f>SUM(O1265:O1275)</f>
        <v>1260745500</v>
      </c>
      <c r="P1264" s="28">
        <f>SUM(P1265:P1275)</f>
        <v>0</v>
      </c>
      <c r="Q1264" s="28">
        <f>SUM(Q1265:Q1275)</f>
        <v>0</v>
      </c>
      <c r="R1264" s="28">
        <f>SUM(R1265:R1275)</f>
        <v>0</v>
      </c>
      <c r="S1264" s="40">
        <f>SUM(S1265:S1275)</f>
        <v>1260745500</v>
      </c>
      <c r="T1264" s="28"/>
      <c r="U1264" s="40">
        <f>SUM(U1265:U1275)</f>
        <v>31518637.5</v>
      </c>
      <c r="V1264" s="28"/>
      <c r="W1264" s="40">
        <f>SUM(W1265:W1275)</f>
        <v>15759318.75</v>
      </c>
      <c r="X1264" s="28"/>
      <c r="Y1264" s="40">
        <f>SUM(Y1265:Y1275)</f>
        <v>0</v>
      </c>
      <c r="Z1264" s="40">
        <f>SUM(Z1265:Z1275)</f>
        <v>15759318.75</v>
      </c>
      <c r="AA1264" s="28"/>
      <c r="AB1264" s="98">
        <f>SUM(AB1265:AB1275)</f>
        <v>282573281.25</v>
      </c>
      <c r="AC1264" s="40">
        <f>SUM(AC1265:AC1275)</f>
        <v>978172218.75</v>
      </c>
      <c r="AD1264" s="28"/>
      <c r="AE1264" s="28"/>
      <c r="AG1264" s="8"/>
    </row>
    <row r="1265" spans="1:33" s="1" customFormat="1" x14ac:dyDescent="0.25">
      <c r="A1265" s="21">
        <v>1</v>
      </c>
      <c r="B1265" s="22" t="s">
        <v>1799</v>
      </c>
      <c r="C1265" s="22" t="s">
        <v>58</v>
      </c>
      <c r="D1265" s="65" t="s">
        <v>1423</v>
      </c>
      <c r="E1265" s="24" t="s">
        <v>263</v>
      </c>
      <c r="F1265" s="24"/>
      <c r="G1265" s="24" t="s">
        <v>260</v>
      </c>
      <c r="H1265" s="24" t="s">
        <v>62</v>
      </c>
      <c r="I1265" s="24">
        <v>2009</v>
      </c>
      <c r="J1265" s="24"/>
      <c r="K1265" s="24" t="s">
        <v>261</v>
      </c>
      <c r="L1265" s="24" t="s">
        <v>64</v>
      </c>
      <c r="M1265" s="24">
        <v>1</v>
      </c>
      <c r="N1265" s="41">
        <v>16825000</v>
      </c>
      <c r="O1265" s="41">
        <v>16825000</v>
      </c>
      <c r="P1265" s="24"/>
      <c r="Q1265" s="24"/>
      <c r="R1265" s="24"/>
      <c r="S1265" s="41">
        <v>16825000</v>
      </c>
      <c r="T1265" s="24">
        <v>40</v>
      </c>
      <c r="U1265" s="41">
        <f t="shared" ref="U1265:U1274" si="491">SUM(S1265/T1265)</f>
        <v>420625</v>
      </c>
      <c r="V1265" s="24">
        <v>0.5</v>
      </c>
      <c r="W1265" s="41">
        <f t="shared" ref="W1265:W1274" si="492">SUM(U1265*V1265)</f>
        <v>210312.5</v>
      </c>
      <c r="X1265" s="24"/>
      <c r="Y1265" s="41">
        <f t="shared" ref="Y1265:Y1273" si="493">SUM(U1265*X1265)</f>
        <v>0</v>
      </c>
      <c r="Z1265" s="70">
        <f>W1265+Y1265</f>
        <v>210312.5</v>
      </c>
      <c r="AA1265" s="24">
        <f t="shared" ref="AA1265:AA1270" si="494">2023-I1265+V1265+X1265</f>
        <v>14.5</v>
      </c>
      <c r="AB1265" s="41">
        <f t="shared" ref="AB1265:AB1274" si="495">SUM(U1265*AA1265)</f>
        <v>6099062.5</v>
      </c>
      <c r="AC1265" s="41">
        <f t="shared" ref="AC1265:AC1274" si="496">SUM(S1265-AB1265)</f>
        <v>10725937.5</v>
      </c>
      <c r="AD1265" s="24"/>
      <c r="AE1265" s="24"/>
      <c r="AF1265" s="1">
        <v>5888750</v>
      </c>
      <c r="AG1265" s="5">
        <f>AF1265+Z1265-AB1265</f>
        <v>0</v>
      </c>
    </row>
    <row r="1266" spans="1:33" s="1" customFormat="1" ht="25.5" x14ac:dyDescent="0.25">
      <c r="A1266" s="21">
        <v>2</v>
      </c>
      <c r="B1266" s="22" t="s">
        <v>1799</v>
      </c>
      <c r="C1266" s="22" t="s">
        <v>75</v>
      </c>
      <c r="D1266" s="65" t="s">
        <v>1424</v>
      </c>
      <c r="E1266" s="24" t="s">
        <v>263</v>
      </c>
      <c r="F1266" s="24"/>
      <c r="G1266" s="24" t="s">
        <v>260</v>
      </c>
      <c r="H1266" s="24" t="s">
        <v>62</v>
      </c>
      <c r="I1266" s="24">
        <v>2011</v>
      </c>
      <c r="J1266" s="24"/>
      <c r="K1266" s="24" t="s">
        <v>261</v>
      </c>
      <c r="L1266" s="24" t="s">
        <v>64</v>
      </c>
      <c r="M1266" s="24">
        <v>1</v>
      </c>
      <c r="N1266" s="41">
        <v>198385000</v>
      </c>
      <c r="O1266" s="41">
        <v>198385000</v>
      </c>
      <c r="P1266" s="24"/>
      <c r="Q1266" s="24"/>
      <c r="R1266" s="24"/>
      <c r="S1266" s="41">
        <v>198385000</v>
      </c>
      <c r="T1266" s="24">
        <v>40</v>
      </c>
      <c r="U1266" s="41">
        <f t="shared" si="491"/>
        <v>4959625</v>
      </c>
      <c r="V1266" s="24">
        <v>0.5</v>
      </c>
      <c r="W1266" s="41">
        <f t="shared" si="492"/>
        <v>2479812.5</v>
      </c>
      <c r="X1266" s="24"/>
      <c r="Y1266" s="41">
        <f t="shared" si="493"/>
        <v>0</v>
      </c>
      <c r="Z1266" s="70">
        <f t="shared" ref="Z1266:Z1274" si="497">W1266+Y1266</f>
        <v>2479812.5</v>
      </c>
      <c r="AA1266" s="24">
        <f t="shared" si="494"/>
        <v>12.5</v>
      </c>
      <c r="AB1266" s="41">
        <f t="shared" si="495"/>
        <v>61995312.5</v>
      </c>
      <c r="AC1266" s="41">
        <f t="shared" si="496"/>
        <v>136389687.5</v>
      </c>
      <c r="AD1266" s="24"/>
      <c r="AE1266" s="24"/>
      <c r="AF1266" s="1">
        <v>59515500</v>
      </c>
      <c r="AG1266" s="5">
        <f t="shared" ref="AG1266:AG1274" si="498">AF1266+Z1266-AB1266</f>
        <v>0</v>
      </c>
    </row>
    <row r="1267" spans="1:33" s="1" customFormat="1" ht="25.5" x14ac:dyDescent="0.25">
      <c r="A1267" s="21">
        <v>3</v>
      </c>
      <c r="B1267" s="22" t="s">
        <v>1799</v>
      </c>
      <c r="C1267" s="22" t="s">
        <v>79</v>
      </c>
      <c r="D1267" s="65" t="s">
        <v>1424</v>
      </c>
      <c r="E1267" s="24" t="s">
        <v>263</v>
      </c>
      <c r="F1267" s="24"/>
      <c r="G1267" s="24" t="s">
        <v>260</v>
      </c>
      <c r="H1267" s="24" t="s">
        <v>62</v>
      </c>
      <c r="I1267" s="24">
        <v>2012</v>
      </c>
      <c r="J1267" s="24"/>
      <c r="K1267" s="24" t="s">
        <v>261</v>
      </c>
      <c r="L1267" s="24" t="s">
        <v>64</v>
      </c>
      <c r="M1267" s="24">
        <v>1</v>
      </c>
      <c r="N1267" s="41">
        <v>197879000</v>
      </c>
      <c r="O1267" s="41">
        <v>197879000</v>
      </c>
      <c r="P1267" s="24"/>
      <c r="Q1267" s="24"/>
      <c r="R1267" s="24"/>
      <c r="S1267" s="41">
        <v>197879000</v>
      </c>
      <c r="T1267" s="24">
        <v>40</v>
      </c>
      <c r="U1267" s="41">
        <f t="shared" si="491"/>
        <v>4946975</v>
      </c>
      <c r="V1267" s="24">
        <v>0.5</v>
      </c>
      <c r="W1267" s="41">
        <f t="shared" si="492"/>
        <v>2473487.5</v>
      </c>
      <c r="X1267" s="24"/>
      <c r="Y1267" s="41">
        <f t="shared" si="493"/>
        <v>0</v>
      </c>
      <c r="Z1267" s="70">
        <f t="shared" si="497"/>
        <v>2473487.5</v>
      </c>
      <c r="AA1267" s="24">
        <f t="shared" si="494"/>
        <v>11.5</v>
      </c>
      <c r="AB1267" s="41">
        <f t="shared" si="495"/>
        <v>56890212.5</v>
      </c>
      <c r="AC1267" s="41">
        <f t="shared" si="496"/>
        <v>140988787.5</v>
      </c>
      <c r="AD1267" s="24"/>
      <c r="AE1267" s="24"/>
      <c r="AF1267" s="1">
        <v>54416725</v>
      </c>
      <c r="AG1267" s="5">
        <f t="shared" si="498"/>
        <v>0</v>
      </c>
    </row>
    <row r="1268" spans="1:33" s="1" customFormat="1" ht="25.5" x14ac:dyDescent="0.25">
      <c r="A1268" s="21">
        <v>4</v>
      </c>
      <c r="B1268" s="22" t="s">
        <v>1799</v>
      </c>
      <c r="C1268" s="22" t="s">
        <v>84</v>
      </c>
      <c r="D1268" s="65" t="s">
        <v>1425</v>
      </c>
      <c r="E1268" s="24"/>
      <c r="F1268" s="24"/>
      <c r="G1268" s="24" t="s">
        <v>260</v>
      </c>
      <c r="H1268" s="24" t="s">
        <v>62</v>
      </c>
      <c r="I1268" s="24">
        <v>2014</v>
      </c>
      <c r="J1268" s="24"/>
      <c r="K1268" s="24" t="s">
        <v>261</v>
      </c>
      <c r="L1268" s="24" t="s">
        <v>64</v>
      </c>
      <c r="M1268" s="24">
        <v>1</v>
      </c>
      <c r="N1268" s="41">
        <v>189000000</v>
      </c>
      <c r="O1268" s="41">
        <v>189000000</v>
      </c>
      <c r="P1268" s="24"/>
      <c r="Q1268" s="24"/>
      <c r="R1268" s="24"/>
      <c r="S1268" s="41">
        <v>189000000</v>
      </c>
      <c r="T1268" s="24">
        <v>40</v>
      </c>
      <c r="U1268" s="41">
        <f t="shared" si="491"/>
        <v>4725000</v>
      </c>
      <c r="V1268" s="24">
        <v>0.5</v>
      </c>
      <c r="W1268" s="41">
        <f t="shared" si="492"/>
        <v>2362500</v>
      </c>
      <c r="X1268" s="24"/>
      <c r="Y1268" s="41">
        <f t="shared" si="493"/>
        <v>0</v>
      </c>
      <c r="Z1268" s="70">
        <f t="shared" si="497"/>
        <v>2362500</v>
      </c>
      <c r="AA1268" s="24">
        <f t="shared" si="494"/>
        <v>9.5</v>
      </c>
      <c r="AB1268" s="41">
        <f t="shared" si="495"/>
        <v>44887500</v>
      </c>
      <c r="AC1268" s="41">
        <f t="shared" si="496"/>
        <v>144112500</v>
      </c>
      <c r="AD1268" s="24"/>
      <c r="AE1268" s="24"/>
      <c r="AF1268" s="1">
        <v>42525000</v>
      </c>
      <c r="AG1268" s="5">
        <f t="shared" si="498"/>
        <v>0</v>
      </c>
    </row>
    <row r="1269" spans="1:33" s="1" customFormat="1" ht="25.5" x14ac:dyDescent="0.25">
      <c r="A1269" s="21">
        <v>5</v>
      </c>
      <c r="B1269" s="22" t="s">
        <v>1799</v>
      </c>
      <c r="C1269" s="22" t="s">
        <v>88</v>
      </c>
      <c r="D1269" s="65" t="s">
        <v>1426</v>
      </c>
      <c r="E1269" s="24"/>
      <c r="F1269" s="24"/>
      <c r="G1269" s="24" t="s">
        <v>260</v>
      </c>
      <c r="H1269" s="24" t="s">
        <v>62</v>
      </c>
      <c r="I1269" s="24">
        <v>2014</v>
      </c>
      <c r="J1269" s="24"/>
      <c r="K1269" s="24" t="s">
        <v>261</v>
      </c>
      <c r="L1269" s="24" t="s">
        <v>64</v>
      </c>
      <c r="M1269" s="24">
        <v>1</v>
      </c>
      <c r="N1269" s="41">
        <v>196130000</v>
      </c>
      <c r="O1269" s="41">
        <v>196130000</v>
      </c>
      <c r="P1269" s="24"/>
      <c r="Q1269" s="24"/>
      <c r="R1269" s="24"/>
      <c r="S1269" s="41">
        <v>196130000</v>
      </c>
      <c r="T1269" s="24">
        <v>40</v>
      </c>
      <c r="U1269" s="41">
        <f t="shared" si="491"/>
        <v>4903250</v>
      </c>
      <c r="V1269" s="24">
        <v>0.5</v>
      </c>
      <c r="W1269" s="41">
        <f t="shared" si="492"/>
        <v>2451625</v>
      </c>
      <c r="X1269" s="24"/>
      <c r="Y1269" s="41">
        <f t="shared" si="493"/>
        <v>0</v>
      </c>
      <c r="Z1269" s="70">
        <f t="shared" si="497"/>
        <v>2451625</v>
      </c>
      <c r="AA1269" s="24">
        <f t="shared" si="494"/>
        <v>9.5</v>
      </c>
      <c r="AB1269" s="41">
        <f t="shared" si="495"/>
        <v>46580875</v>
      </c>
      <c r="AC1269" s="41">
        <f t="shared" si="496"/>
        <v>149549125</v>
      </c>
      <c r="AD1269" s="24"/>
      <c r="AE1269" s="24"/>
      <c r="AF1269" s="1">
        <v>44129250</v>
      </c>
      <c r="AG1269" s="5">
        <f t="shared" si="498"/>
        <v>0</v>
      </c>
    </row>
    <row r="1270" spans="1:33" s="1" customFormat="1" x14ac:dyDescent="0.25">
      <c r="A1270" s="21">
        <v>6</v>
      </c>
      <c r="B1270" s="22" t="s">
        <v>1799</v>
      </c>
      <c r="C1270" s="22" t="s">
        <v>92</v>
      </c>
      <c r="D1270" s="97" t="s">
        <v>1427</v>
      </c>
      <c r="E1270" s="24"/>
      <c r="F1270" s="24"/>
      <c r="G1270" s="24" t="s">
        <v>260</v>
      </c>
      <c r="H1270" s="24" t="s">
        <v>62</v>
      </c>
      <c r="I1270" s="24">
        <v>2014</v>
      </c>
      <c r="J1270" s="24"/>
      <c r="K1270" s="24" t="s">
        <v>261</v>
      </c>
      <c r="L1270" s="24" t="s">
        <v>64</v>
      </c>
      <c r="M1270" s="24">
        <v>1</v>
      </c>
      <c r="N1270" s="41">
        <v>49318500</v>
      </c>
      <c r="O1270" s="41">
        <v>49318500</v>
      </c>
      <c r="P1270" s="24"/>
      <c r="Q1270" s="24"/>
      <c r="R1270" s="24"/>
      <c r="S1270" s="41">
        <v>49318500</v>
      </c>
      <c r="T1270" s="24">
        <v>40</v>
      </c>
      <c r="U1270" s="41">
        <f t="shared" si="491"/>
        <v>1232962.5</v>
      </c>
      <c r="V1270" s="24">
        <v>0.5</v>
      </c>
      <c r="W1270" s="41">
        <f t="shared" si="492"/>
        <v>616481.25</v>
      </c>
      <c r="X1270" s="24"/>
      <c r="Y1270" s="41">
        <f t="shared" si="493"/>
        <v>0</v>
      </c>
      <c r="Z1270" s="70">
        <f t="shared" si="497"/>
        <v>616481.25</v>
      </c>
      <c r="AA1270" s="24">
        <f t="shared" si="494"/>
        <v>9.5</v>
      </c>
      <c r="AB1270" s="41">
        <f t="shared" si="495"/>
        <v>11713143.75</v>
      </c>
      <c r="AC1270" s="41">
        <f t="shared" si="496"/>
        <v>37605356.25</v>
      </c>
      <c r="AD1270" s="24"/>
      <c r="AE1270" s="24"/>
      <c r="AF1270" s="1">
        <v>11096662.5</v>
      </c>
      <c r="AG1270" s="5">
        <f t="shared" si="498"/>
        <v>0</v>
      </c>
    </row>
    <row r="1271" spans="1:33" s="1" customFormat="1" x14ac:dyDescent="0.25">
      <c r="A1271" s="21">
        <v>7</v>
      </c>
      <c r="B1271" s="22" t="s">
        <v>1799</v>
      </c>
      <c r="C1271" s="22" t="s">
        <v>96</v>
      </c>
      <c r="D1271" s="65" t="s">
        <v>1423</v>
      </c>
      <c r="E1271" s="24"/>
      <c r="F1271" s="24"/>
      <c r="G1271" s="24" t="s">
        <v>260</v>
      </c>
      <c r="H1271" s="24" t="s">
        <v>62</v>
      </c>
      <c r="I1271" s="24">
        <v>2016</v>
      </c>
      <c r="J1271" s="24"/>
      <c r="K1271" s="24" t="s">
        <v>261</v>
      </c>
      <c r="L1271" s="24" t="s">
        <v>64</v>
      </c>
      <c r="M1271" s="24">
        <v>1</v>
      </c>
      <c r="N1271" s="41">
        <v>98800000</v>
      </c>
      <c r="O1271" s="41">
        <v>98800000</v>
      </c>
      <c r="P1271" s="24"/>
      <c r="Q1271" s="24"/>
      <c r="R1271" s="24"/>
      <c r="S1271" s="41">
        <v>98800000</v>
      </c>
      <c r="T1271" s="24">
        <v>40</v>
      </c>
      <c r="U1271" s="41">
        <f t="shared" si="491"/>
        <v>2470000</v>
      </c>
      <c r="V1271" s="24">
        <v>0.5</v>
      </c>
      <c r="W1271" s="41">
        <f t="shared" si="492"/>
        <v>1235000</v>
      </c>
      <c r="X1271" s="24"/>
      <c r="Y1271" s="41">
        <f t="shared" si="493"/>
        <v>0</v>
      </c>
      <c r="Z1271" s="70">
        <f t="shared" si="497"/>
        <v>1235000</v>
      </c>
      <c r="AA1271" s="72">
        <f>2023-I1271+V1271+X1271-2/12</f>
        <v>7.333333333333333</v>
      </c>
      <c r="AB1271" s="41">
        <f t="shared" si="495"/>
        <v>18113333.333333332</v>
      </c>
      <c r="AC1271" s="41">
        <f t="shared" si="496"/>
        <v>80686666.666666672</v>
      </c>
      <c r="AD1271" s="24"/>
      <c r="AE1271" s="24"/>
      <c r="AF1271" s="1">
        <v>16878333.333333332</v>
      </c>
      <c r="AG1271" s="5">
        <f t="shared" si="498"/>
        <v>0</v>
      </c>
    </row>
    <row r="1272" spans="1:33" s="189" customFormat="1" x14ac:dyDescent="0.25">
      <c r="A1272" s="49">
        <v>8</v>
      </c>
      <c r="B1272" s="50" t="s">
        <v>1748</v>
      </c>
      <c r="C1272" s="50" t="s">
        <v>58</v>
      </c>
      <c r="D1272" s="85" t="s">
        <v>681</v>
      </c>
      <c r="E1272" s="52"/>
      <c r="F1272" s="52"/>
      <c r="G1272" s="52" t="s">
        <v>260</v>
      </c>
      <c r="H1272" s="52" t="s">
        <v>62</v>
      </c>
      <c r="I1272" s="52">
        <v>2017</v>
      </c>
      <c r="J1272" s="52"/>
      <c r="K1272" s="52" t="s">
        <v>261</v>
      </c>
      <c r="L1272" s="52" t="s">
        <v>64</v>
      </c>
      <c r="M1272" s="52">
        <v>1</v>
      </c>
      <c r="N1272" s="53">
        <v>39850000</v>
      </c>
      <c r="O1272" s="53">
        <v>39850000</v>
      </c>
      <c r="P1272" s="52"/>
      <c r="Q1272" s="52"/>
      <c r="R1272" s="52"/>
      <c r="S1272" s="53">
        <v>39850000</v>
      </c>
      <c r="T1272" s="52">
        <v>40</v>
      </c>
      <c r="U1272" s="53">
        <f t="shared" si="491"/>
        <v>996250</v>
      </c>
      <c r="V1272" s="52">
        <v>0.5</v>
      </c>
      <c r="W1272" s="53">
        <f t="shared" si="492"/>
        <v>498125</v>
      </c>
      <c r="X1272" s="52"/>
      <c r="Y1272" s="53">
        <f t="shared" si="493"/>
        <v>0</v>
      </c>
      <c r="Z1272" s="56">
        <f t="shared" si="497"/>
        <v>498125</v>
      </c>
      <c r="AA1272" s="57">
        <f>2023-I1272+V1272+X1272-1/12</f>
        <v>6.416666666666667</v>
      </c>
      <c r="AB1272" s="53">
        <f t="shared" si="495"/>
        <v>6392604.166666667</v>
      </c>
      <c r="AC1272" s="53">
        <f t="shared" si="496"/>
        <v>33457395.833333332</v>
      </c>
      <c r="AD1272" s="52"/>
      <c r="AE1272" s="52"/>
      <c r="AF1272" s="189">
        <v>5894479.166666667</v>
      </c>
      <c r="AG1272" s="190">
        <f t="shared" si="498"/>
        <v>0</v>
      </c>
    </row>
    <row r="1273" spans="1:33" s="1" customFormat="1" x14ac:dyDescent="0.25">
      <c r="A1273" s="21">
        <v>9</v>
      </c>
      <c r="B1273" s="22" t="s">
        <v>1799</v>
      </c>
      <c r="C1273" s="22" t="s">
        <v>75</v>
      </c>
      <c r="D1273" s="65" t="s">
        <v>1428</v>
      </c>
      <c r="E1273" s="24"/>
      <c r="F1273" s="24"/>
      <c r="G1273" s="24" t="s">
        <v>260</v>
      </c>
      <c r="H1273" s="24" t="s">
        <v>62</v>
      </c>
      <c r="I1273" s="24">
        <v>2017</v>
      </c>
      <c r="J1273" s="24"/>
      <c r="K1273" s="24" t="s">
        <v>261</v>
      </c>
      <c r="L1273" s="24" t="s">
        <v>64</v>
      </c>
      <c r="M1273" s="24">
        <v>1</v>
      </c>
      <c r="N1273" s="41">
        <v>74900000</v>
      </c>
      <c r="O1273" s="41">
        <v>74900000</v>
      </c>
      <c r="P1273" s="24"/>
      <c r="Q1273" s="24"/>
      <c r="R1273" s="24"/>
      <c r="S1273" s="41">
        <v>74900000</v>
      </c>
      <c r="T1273" s="24">
        <v>40</v>
      </c>
      <c r="U1273" s="41">
        <f t="shared" si="491"/>
        <v>1872500</v>
      </c>
      <c r="V1273" s="24">
        <v>0.5</v>
      </c>
      <c r="W1273" s="41">
        <f t="shared" si="492"/>
        <v>936250</v>
      </c>
      <c r="X1273" s="24"/>
      <c r="Y1273" s="41">
        <f t="shared" si="493"/>
        <v>0</v>
      </c>
      <c r="Z1273" s="70">
        <f t="shared" si="497"/>
        <v>936250</v>
      </c>
      <c r="AA1273" s="72">
        <f>2023-I1273+V1273+X1273-1/12</f>
        <v>6.416666666666667</v>
      </c>
      <c r="AB1273" s="41">
        <f t="shared" si="495"/>
        <v>12015208.333333334</v>
      </c>
      <c r="AC1273" s="41">
        <f t="shared" si="496"/>
        <v>62884791.666666664</v>
      </c>
      <c r="AD1273" s="24"/>
      <c r="AE1273" s="24"/>
      <c r="AF1273" s="1">
        <v>11078958.333333334</v>
      </c>
      <c r="AG1273" s="5">
        <f t="shared" si="498"/>
        <v>0</v>
      </c>
    </row>
    <row r="1274" spans="1:33" s="1" customFormat="1" x14ac:dyDescent="0.25">
      <c r="A1274" s="21">
        <v>10</v>
      </c>
      <c r="B1274" s="22" t="s">
        <v>1799</v>
      </c>
      <c r="C1274" s="42" t="s">
        <v>79</v>
      </c>
      <c r="D1274" s="85" t="s">
        <v>1428</v>
      </c>
      <c r="E1274" s="52"/>
      <c r="F1274" s="52"/>
      <c r="G1274" s="52" t="s">
        <v>260</v>
      </c>
      <c r="H1274" s="52" t="s">
        <v>62</v>
      </c>
      <c r="I1274" s="52">
        <v>2019</v>
      </c>
      <c r="J1274" s="52"/>
      <c r="K1274" s="52" t="s">
        <v>261</v>
      </c>
      <c r="L1274" s="52" t="s">
        <v>64</v>
      </c>
      <c r="M1274" s="52">
        <v>1</v>
      </c>
      <c r="N1274" s="53">
        <v>199658000</v>
      </c>
      <c r="O1274" s="53">
        <v>199658000</v>
      </c>
      <c r="P1274" s="53"/>
      <c r="Q1274" s="53"/>
      <c r="R1274" s="53"/>
      <c r="S1274" s="53">
        <v>199658000</v>
      </c>
      <c r="T1274" s="52">
        <v>40</v>
      </c>
      <c r="U1274" s="53">
        <f t="shared" si="491"/>
        <v>4991450</v>
      </c>
      <c r="V1274" s="52">
        <v>0.5</v>
      </c>
      <c r="W1274" s="53">
        <f t="shared" si="492"/>
        <v>2495725</v>
      </c>
      <c r="X1274" s="24"/>
      <c r="Y1274" s="53">
        <f t="shared" ref="Y1274" si="499">SUM(U1274*X1274)</f>
        <v>0</v>
      </c>
      <c r="Z1274" s="56">
        <f t="shared" si="497"/>
        <v>2495725</v>
      </c>
      <c r="AA1274" s="72">
        <f>2023-I1274+V1274+X1274-11/12</f>
        <v>3.5833333333333335</v>
      </c>
      <c r="AB1274" s="53">
        <f t="shared" si="495"/>
        <v>17886029.166666668</v>
      </c>
      <c r="AC1274" s="53">
        <f t="shared" si="496"/>
        <v>181771970.83333334</v>
      </c>
      <c r="AD1274" s="24"/>
      <c r="AE1274" s="24"/>
      <c r="AF1274" s="1">
        <v>15390304.166666668</v>
      </c>
      <c r="AG1274" s="5">
        <f t="shared" si="498"/>
        <v>0</v>
      </c>
    </row>
    <row r="1275" spans="1:33" s="1" customFormat="1" x14ac:dyDescent="0.25">
      <c r="A1275" s="21"/>
      <c r="B1275" s="22"/>
      <c r="C1275" s="22"/>
      <c r="D1275" s="65"/>
      <c r="E1275" s="24"/>
      <c r="F1275" s="24"/>
      <c r="G1275" s="24"/>
      <c r="H1275" s="24"/>
      <c r="I1275" s="24"/>
      <c r="J1275" s="24"/>
      <c r="K1275" s="24"/>
      <c r="L1275" s="24"/>
      <c r="M1275" s="24"/>
      <c r="N1275" s="24"/>
      <c r="O1275" s="24"/>
      <c r="P1275" s="24"/>
      <c r="Q1275" s="24"/>
      <c r="R1275" s="24"/>
      <c r="S1275" s="24"/>
      <c r="T1275" s="24"/>
      <c r="U1275" s="24"/>
      <c r="V1275" s="24"/>
      <c r="W1275" s="24"/>
      <c r="X1275" s="24"/>
      <c r="Y1275" s="24"/>
      <c r="Z1275" s="24"/>
      <c r="AA1275" s="24"/>
      <c r="AB1275" s="24"/>
      <c r="AC1275" s="24"/>
      <c r="AD1275" s="24"/>
      <c r="AE1275" s="24"/>
    </row>
    <row r="1276" spans="1:33" s="1" customFormat="1" x14ac:dyDescent="0.25">
      <c r="A1276" s="25"/>
      <c r="B1276" s="26" t="s">
        <v>1429</v>
      </c>
      <c r="C1276" s="26"/>
      <c r="D1276" s="64" t="s">
        <v>1430</v>
      </c>
      <c r="E1276" s="28"/>
      <c r="F1276" s="28"/>
      <c r="G1276" s="28"/>
      <c r="H1276" s="28"/>
      <c r="I1276" s="28"/>
      <c r="J1276" s="28"/>
      <c r="K1276" s="28"/>
      <c r="L1276" s="28"/>
      <c r="M1276" s="28">
        <f>SUM(M1277:M1279)</f>
        <v>0</v>
      </c>
      <c r="N1276" s="40"/>
      <c r="O1276" s="40">
        <f t="shared" ref="O1276:AC1276" si="500">SUM(O1277:O1279)</f>
        <v>0</v>
      </c>
      <c r="P1276" s="28">
        <f t="shared" si="500"/>
        <v>0</v>
      </c>
      <c r="Q1276" s="28">
        <f t="shared" si="500"/>
        <v>0</v>
      </c>
      <c r="R1276" s="28">
        <f t="shared" si="500"/>
        <v>0</v>
      </c>
      <c r="S1276" s="40">
        <f t="shared" si="500"/>
        <v>0</v>
      </c>
      <c r="T1276" s="28"/>
      <c r="U1276" s="40">
        <f t="shared" si="500"/>
        <v>0</v>
      </c>
      <c r="V1276" s="28"/>
      <c r="W1276" s="28">
        <f t="shared" si="500"/>
        <v>0</v>
      </c>
      <c r="X1276" s="28"/>
      <c r="Y1276" s="40">
        <f t="shared" si="500"/>
        <v>0</v>
      </c>
      <c r="Z1276" s="40">
        <f t="shared" si="500"/>
        <v>0</v>
      </c>
      <c r="AA1276" s="28"/>
      <c r="AB1276" s="40">
        <f t="shared" si="500"/>
        <v>0</v>
      </c>
      <c r="AC1276" s="40">
        <f t="shared" si="500"/>
        <v>0</v>
      </c>
      <c r="AD1276" s="28"/>
      <c r="AE1276" s="28"/>
    </row>
    <row r="1277" spans="1:33" s="1" customFormat="1" x14ac:dyDescent="0.25">
      <c r="A1277" s="21"/>
      <c r="B1277" s="22"/>
      <c r="C1277" s="22"/>
      <c r="D1277" s="65"/>
      <c r="E1277" s="24"/>
      <c r="F1277" s="24"/>
      <c r="G1277" s="24"/>
      <c r="H1277" s="24"/>
      <c r="I1277" s="24"/>
      <c r="J1277" s="24"/>
      <c r="K1277" s="24"/>
      <c r="L1277" s="24"/>
      <c r="M1277" s="24"/>
      <c r="N1277" s="41"/>
      <c r="O1277" s="41"/>
      <c r="P1277" s="24"/>
      <c r="Q1277" s="24"/>
      <c r="R1277" s="24"/>
      <c r="S1277" s="41"/>
      <c r="T1277" s="24"/>
      <c r="U1277" s="41"/>
      <c r="V1277" s="24"/>
      <c r="W1277" s="24"/>
      <c r="X1277" s="72"/>
      <c r="Y1277" s="41"/>
      <c r="Z1277" s="41"/>
      <c r="AA1277" s="72"/>
      <c r="AB1277" s="41"/>
      <c r="AC1277" s="41"/>
      <c r="AD1277" s="24"/>
      <c r="AE1277" s="24"/>
    </row>
    <row r="1278" spans="1:33" s="1" customFormat="1" x14ac:dyDescent="0.25">
      <c r="A1278" s="21"/>
      <c r="B1278" s="22"/>
      <c r="C1278" s="22"/>
      <c r="D1278" s="65"/>
      <c r="E1278" s="24"/>
      <c r="F1278" s="24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  <c r="S1278" s="24"/>
      <c r="T1278" s="24"/>
      <c r="U1278" s="24"/>
      <c r="V1278" s="24"/>
      <c r="W1278" s="24"/>
      <c r="X1278" s="24"/>
      <c r="Y1278" s="24"/>
      <c r="Z1278" s="24"/>
      <c r="AA1278" s="24"/>
      <c r="AB1278" s="24"/>
      <c r="AC1278" s="24"/>
      <c r="AD1278" s="24"/>
      <c r="AE1278" s="24"/>
    </row>
    <row r="1279" spans="1:33" s="1" customFormat="1" x14ac:dyDescent="0.25">
      <c r="A1279" s="21"/>
      <c r="B1279" s="22"/>
      <c r="C1279" s="22"/>
      <c r="D1279" s="65"/>
      <c r="E1279" s="24"/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  <c r="S1279" s="24"/>
      <c r="T1279" s="24"/>
      <c r="U1279" s="24"/>
      <c r="V1279" s="24"/>
      <c r="W1279" s="24"/>
      <c r="X1279" s="24"/>
      <c r="Y1279" s="24"/>
      <c r="Z1279" s="24"/>
      <c r="AA1279" s="24"/>
      <c r="AB1279" s="24"/>
      <c r="AC1279" s="24"/>
      <c r="AD1279" s="24"/>
      <c r="AE1279" s="24"/>
    </row>
    <row r="1280" spans="1:33" s="1" customFormat="1" x14ac:dyDescent="0.25">
      <c r="A1280" s="25"/>
      <c r="B1280" s="26" t="s">
        <v>1431</v>
      </c>
      <c r="C1280" s="26"/>
      <c r="D1280" s="64" t="s">
        <v>1432</v>
      </c>
      <c r="E1280" s="28"/>
      <c r="F1280" s="28"/>
      <c r="G1280" s="28"/>
      <c r="H1280" s="28"/>
      <c r="I1280" s="28"/>
      <c r="J1280" s="28"/>
      <c r="K1280" s="28"/>
      <c r="L1280" s="28"/>
      <c r="M1280" s="28">
        <f>SUM(M1281:M1283)</f>
        <v>0</v>
      </c>
      <c r="N1280" s="28"/>
      <c r="O1280" s="28">
        <f t="shared" ref="O1280:AC1280" si="501">SUM(O1281:O1283)</f>
        <v>0</v>
      </c>
      <c r="P1280" s="28">
        <f t="shared" si="501"/>
        <v>0</v>
      </c>
      <c r="Q1280" s="28">
        <f t="shared" si="501"/>
        <v>0</v>
      </c>
      <c r="R1280" s="28">
        <f t="shared" si="501"/>
        <v>0</v>
      </c>
      <c r="S1280" s="28">
        <f t="shared" si="501"/>
        <v>0</v>
      </c>
      <c r="T1280" s="28"/>
      <c r="U1280" s="28">
        <f t="shared" si="501"/>
        <v>0</v>
      </c>
      <c r="V1280" s="28"/>
      <c r="W1280" s="28">
        <f t="shared" si="501"/>
        <v>0</v>
      </c>
      <c r="X1280" s="28"/>
      <c r="Y1280" s="28">
        <f t="shared" si="501"/>
        <v>0</v>
      </c>
      <c r="Z1280" s="28">
        <f t="shared" si="501"/>
        <v>0</v>
      </c>
      <c r="AA1280" s="28"/>
      <c r="AB1280" s="28">
        <f t="shared" si="501"/>
        <v>0</v>
      </c>
      <c r="AC1280" s="28">
        <f t="shared" si="501"/>
        <v>0</v>
      </c>
      <c r="AD1280" s="28"/>
      <c r="AE1280" s="28"/>
    </row>
    <row r="1281" spans="1:34" s="1" customFormat="1" x14ac:dyDescent="0.25">
      <c r="A1281" s="21"/>
      <c r="B1281" s="22"/>
      <c r="C1281" s="22"/>
      <c r="D1281" s="65"/>
      <c r="E1281" s="24"/>
      <c r="F1281" s="24"/>
      <c r="G1281" s="24"/>
      <c r="H1281" s="24"/>
      <c r="I1281" s="24"/>
      <c r="J1281" s="24"/>
      <c r="K1281" s="24"/>
      <c r="L1281" s="24"/>
      <c r="M1281" s="24"/>
      <c r="N1281" s="24"/>
      <c r="O1281" s="24"/>
      <c r="P1281" s="24"/>
      <c r="Q1281" s="24"/>
      <c r="R1281" s="24"/>
      <c r="S1281" s="24"/>
      <c r="T1281" s="24"/>
      <c r="U1281" s="24"/>
      <c r="V1281" s="24"/>
      <c r="W1281" s="24"/>
      <c r="X1281" s="24"/>
      <c r="Y1281" s="24"/>
      <c r="Z1281" s="24"/>
      <c r="AA1281" s="24"/>
      <c r="AB1281" s="24"/>
      <c r="AC1281" s="24"/>
      <c r="AD1281" s="24"/>
      <c r="AE1281" s="24"/>
    </row>
    <row r="1282" spans="1:34" s="1" customFormat="1" x14ac:dyDescent="0.25">
      <c r="A1282" s="21"/>
      <c r="B1282" s="22"/>
      <c r="C1282" s="22"/>
      <c r="D1282" s="65"/>
      <c r="E1282" s="24"/>
      <c r="F1282" s="24"/>
      <c r="G1282" s="24"/>
      <c r="H1282" s="24"/>
      <c r="I1282" s="24"/>
      <c r="J1282" s="24"/>
      <c r="K1282" s="24"/>
      <c r="L1282" s="24"/>
      <c r="M1282" s="24"/>
      <c r="N1282" s="24"/>
      <c r="O1282" s="24"/>
      <c r="P1282" s="24"/>
      <c r="Q1282" s="24"/>
      <c r="R1282" s="24"/>
      <c r="S1282" s="24"/>
      <c r="T1282" s="24"/>
      <c r="U1282" s="24"/>
      <c r="V1282" s="24"/>
      <c r="W1282" s="24"/>
      <c r="X1282" s="24"/>
      <c r="Y1282" s="24"/>
      <c r="Z1282" s="24"/>
      <c r="AA1282" s="24"/>
      <c r="AB1282" s="24"/>
      <c r="AC1282" s="24"/>
      <c r="AD1282" s="24"/>
      <c r="AE1282" s="24"/>
    </row>
    <row r="1283" spans="1:34" s="1" customFormat="1" x14ac:dyDescent="0.25">
      <c r="A1283" s="21"/>
      <c r="B1283" s="22"/>
      <c r="C1283" s="22"/>
      <c r="D1283" s="65"/>
      <c r="E1283" s="24"/>
      <c r="F1283" s="24"/>
      <c r="G1283" s="24"/>
      <c r="H1283" s="24"/>
      <c r="I1283" s="24"/>
      <c r="J1283" s="24"/>
      <c r="K1283" s="24"/>
      <c r="L1283" s="24"/>
      <c r="M1283" s="24"/>
      <c r="N1283" s="24"/>
      <c r="O1283" s="24"/>
      <c r="P1283" s="24"/>
      <c r="Q1283" s="24"/>
      <c r="R1283" s="24"/>
      <c r="S1283" s="24"/>
      <c r="T1283" s="24"/>
      <c r="U1283" s="24"/>
      <c r="V1283" s="24"/>
      <c r="W1283" s="24"/>
      <c r="X1283" s="24"/>
      <c r="Y1283" s="24"/>
      <c r="Z1283" s="24"/>
      <c r="AA1283" s="24"/>
      <c r="AB1283" s="24"/>
      <c r="AC1283" s="24"/>
      <c r="AD1283" s="24"/>
      <c r="AE1283" s="24"/>
    </row>
    <row r="1284" spans="1:34" s="16" customFormat="1" ht="25.5" customHeight="1" x14ac:dyDescent="0.25">
      <c r="A1284" s="29">
        <v>5</v>
      </c>
      <c r="B1284" s="30" t="s">
        <v>1433</v>
      </c>
      <c r="C1284" s="30"/>
      <c r="D1284" s="89" t="s">
        <v>1434</v>
      </c>
      <c r="E1284" s="32"/>
      <c r="F1284" s="32"/>
      <c r="G1284" s="32"/>
      <c r="H1284" s="32"/>
      <c r="I1284" s="32"/>
      <c r="J1284" s="32"/>
      <c r="K1284" s="32"/>
      <c r="L1284" s="32"/>
      <c r="M1284" s="32">
        <f>M1285+M1333+M1346+M1359+M1400+M1405+M1410</f>
        <v>924</v>
      </c>
      <c r="N1284" s="32"/>
      <c r="O1284" s="34">
        <f>O1285+O1333+O1346+O1359+O1400+O1405+O1410</f>
        <v>254806915</v>
      </c>
      <c r="P1284" s="32">
        <f>P1285+P1333+P1346+P1359+P1400+P1405+P1410</f>
        <v>0</v>
      </c>
      <c r="Q1284" s="32">
        <f>Q1285+Q1333+Q1346+Q1359+Q1400+Q1405+Q1410</f>
        <v>0</v>
      </c>
      <c r="R1284" s="32">
        <f>R1285+R1333+R1346+R1359+R1400+R1405+R1410</f>
        <v>0</v>
      </c>
      <c r="S1284" s="32">
        <f>S1285+S1333+S1346+S1359+S1400+S1405+S1410</f>
        <v>0</v>
      </c>
      <c r="T1284" s="32"/>
      <c r="U1284" s="32">
        <f>U1285+U1333+U1346+U1359+U1400+U1405+U1410</f>
        <v>0</v>
      </c>
      <c r="V1284" s="32"/>
      <c r="W1284" s="32">
        <f>W1285+W1333+W1346+W1359+W1400+W1405+W1410</f>
        <v>0</v>
      </c>
      <c r="X1284" s="32"/>
      <c r="Y1284" s="32">
        <f>Y1285+Y1333+Y1346+Y1359+Y1400+Y1405+Y1410</f>
        <v>0</v>
      </c>
      <c r="Z1284" s="32">
        <f>Z1285+Z1333+Z1346+Z1359+Z1400+Z1405+Z1410</f>
        <v>0</v>
      </c>
      <c r="AA1284" s="32"/>
      <c r="AB1284" s="32">
        <f>AB1285+AB1333+AB1346+AB1359+AB1400+AB1405+AB1410</f>
        <v>0</v>
      </c>
      <c r="AC1284" s="34">
        <f>AC1285+AC1333+AC1346+AC1359+AC1400+AC1405+AC1410</f>
        <v>254806915</v>
      </c>
      <c r="AD1284" s="32"/>
      <c r="AE1284" s="32"/>
      <c r="AH1284" s="1"/>
    </row>
    <row r="1285" spans="1:34" s="1" customFormat="1" x14ac:dyDescent="0.25">
      <c r="A1285" s="17"/>
      <c r="B1285" s="18" t="s">
        <v>1435</v>
      </c>
      <c r="C1285" s="18"/>
      <c r="D1285" s="84" t="s">
        <v>1436</v>
      </c>
      <c r="E1285" s="20"/>
      <c r="F1285" s="20"/>
      <c r="G1285" s="20"/>
      <c r="H1285" s="20"/>
      <c r="I1285" s="20"/>
      <c r="J1285" s="20"/>
      <c r="K1285" s="20"/>
      <c r="L1285" s="20"/>
      <c r="M1285" s="20">
        <f>M1286+M1309+M1313+M1317+M1321+M1325+M1329</f>
        <v>924</v>
      </c>
      <c r="N1285" s="20"/>
      <c r="O1285" s="37">
        <f>O1286+O1309+O1313+O1317+O1321+O1325+O1329</f>
        <v>254806915</v>
      </c>
      <c r="P1285" s="20">
        <f>P1286+P1309+P1313+P1317+P1321+P1325+P1329</f>
        <v>0</v>
      </c>
      <c r="Q1285" s="20">
        <f>Q1286+Q1309+Q1313+Q1317+Q1321+Q1325+Q1329</f>
        <v>0</v>
      </c>
      <c r="R1285" s="20">
        <f>R1286+R1309+R1313+R1317+R1321+R1325+R1329</f>
        <v>0</v>
      </c>
      <c r="S1285" s="20">
        <f>S1286+S1309+S1313+S1317+S1321+S1325+S1329</f>
        <v>0</v>
      </c>
      <c r="T1285" s="20"/>
      <c r="U1285" s="20">
        <f>U1286+U1309+U1313+U1317+U1321+U1325+U1329</f>
        <v>0</v>
      </c>
      <c r="V1285" s="20"/>
      <c r="W1285" s="20">
        <f>W1286+W1309+W1313+W1317+W1321+W1325+W1329</f>
        <v>0</v>
      </c>
      <c r="X1285" s="20"/>
      <c r="Y1285" s="20">
        <f>Y1286+Y1309+Y1313+Y1317+Y1321+Y1325+Y1329</f>
        <v>0</v>
      </c>
      <c r="Z1285" s="20">
        <f>Z1286+Z1309+Z1313+Z1317+Z1321+Z1325+Z1329</f>
        <v>0</v>
      </c>
      <c r="AA1285" s="20"/>
      <c r="AB1285" s="20">
        <f>AB1286+AB1309+AB1313+AB1317+AB1321+AB1325+AB1329</f>
        <v>0</v>
      </c>
      <c r="AC1285" s="37">
        <f>AC1286+AC1309+AC1313+AC1317+AC1321+AC1325+AC1329</f>
        <v>254806915</v>
      </c>
      <c r="AD1285" s="20"/>
      <c r="AE1285" s="20"/>
    </row>
    <row r="1286" spans="1:34" s="1" customFormat="1" x14ac:dyDescent="0.25">
      <c r="A1286" s="25"/>
      <c r="B1286" s="26" t="s">
        <v>1437</v>
      </c>
      <c r="C1286" s="26"/>
      <c r="D1286" s="64" t="s">
        <v>1438</v>
      </c>
      <c r="E1286" s="28"/>
      <c r="F1286" s="28"/>
      <c r="G1286" s="28"/>
      <c r="H1286" s="28"/>
      <c r="I1286" s="28"/>
      <c r="J1286" s="28"/>
      <c r="K1286" s="28"/>
      <c r="L1286" s="28"/>
      <c r="M1286" s="28">
        <f>SUM(M1287:M1308)</f>
        <v>924</v>
      </c>
      <c r="N1286" s="28"/>
      <c r="O1286" s="40">
        <f>SUM(O1287:O1308)</f>
        <v>254806915</v>
      </c>
      <c r="P1286" s="28">
        <f>SUM(P1287:P1308)</f>
        <v>0</v>
      </c>
      <c r="Q1286" s="28">
        <f>SUM(Q1287:Q1308)</f>
        <v>0</v>
      </c>
      <c r="R1286" s="28">
        <f>SUM(R1287:R1308)</f>
        <v>0</v>
      </c>
      <c r="S1286" s="28">
        <f>SUM(S1287:S1308)</f>
        <v>0</v>
      </c>
      <c r="T1286" s="28"/>
      <c r="U1286" s="28">
        <f>SUM(U1287:U1308)</f>
        <v>0</v>
      </c>
      <c r="V1286" s="28"/>
      <c r="W1286" s="28">
        <f>SUM(W1287:W1308)</f>
        <v>0</v>
      </c>
      <c r="X1286" s="28"/>
      <c r="Y1286" s="28">
        <f>SUM(Y1287:Y1308)</f>
        <v>0</v>
      </c>
      <c r="Z1286" s="28">
        <f>SUM(Z1287:Z1308)</f>
        <v>0</v>
      </c>
      <c r="AA1286" s="28"/>
      <c r="AB1286" s="28">
        <f>SUM(AB1287:AB1308)</f>
        <v>0</v>
      </c>
      <c r="AC1286" s="40">
        <f>SUM(AC1287:AC1308)</f>
        <v>254806915</v>
      </c>
      <c r="AD1286" s="28"/>
      <c r="AE1286" s="28"/>
      <c r="AH1286" s="16"/>
    </row>
    <row r="1287" spans="1:34" s="1" customFormat="1" x14ac:dyDescent="0.25">
      <c r="A1287" s="21">
        <v>1</v>
      </c>
      <c r="B1287" s="22" t="s">
        <v>1800</v>
      </c>
      <c r="C1287" s="22" t="s">
        <v>1439</v>
      </c>
      <c r="D1287" s="65" t="s">
        <v>1440</v>
      </c>
      <c r="E1287" s="24" t="s">
        <v>263</v>
      </c>
      <c r="F1287" s="24"/>
      <c r="G1287" s="24" t="s">
        <v>1441</v>
      </c>
      <c r="H1287" s="24" t="s">
        <v>62</v>
      </c>
      <c r="I1287" s="24">
        <v>2004</v>
      </c>
      <c r="J1287" s="24"/>
      <c r="K1287" s="24" t="s">
        <v>63</v>
      </c>
      <c r="L1287" s="24" t="s">
        <v>64</v>
      </c>
      <c r="M1287" s="24">
        <v>30</v>
      </c>
      <c r="N1287" s="41">
        <v>1162000</v>
      </c>
      <c r="O1287" s="41">
        <v>1162000</v>
      </c>
      <c r="P1287" s="24"/>
      <c r="Q1287" s="24"/>
      <c r="R1287" s="24"/>
      <c r="S1287" s="24"/>
      <c r="T1287" s="24"/>
      <c r="U1287" s="24"/>
      <c r="V1287" s="24"/>
      <c r="W1287" s="24"/>
      <c r="X1287" s="24"/>
      <c r="Y1287" s="24"/>
      <c r="Z1287" s="24"/>
      <c r="AA1287" s="24"/>
      <c r="AB1287" s="24"/>
      <c r="AC1287" s="41">
        <v>1162000</v>
      </c>
      <c r="AD1287" s="24"/>
      <c r="AE1287" s="24"/>
    </row>
    <row r="1288" spans="1:34" s="1" customFormat="1" x14ac:dyDescent="0.25">
      <c r="A1288" s="21">
        <v>2</v>
      </c>
      <c r="B1288" s="22" t="s">
        <v>1800</v>
      </c>
      <c r="C1288" s="22" t="s">
        <v>1439</v>
      </c>
      <c r="D1288" s="65" t="s">
        <v>1442</v>
      </c>
      <c r="E1288" s="24" t="s">
        <v>263</v>
      </c>
      <c r="F1288" s="24"/>
      <c r="G1288" s="24" t="s">
        <v>1441</v>
      </c>
      <c r="H1288" s="24" t="s">
        <v>62</v>
      </c>
      <c r="I1288" s="24">
        <v>2004</v>
      </c>
      <c r="J1288" s="24"/>
      <c r="K1288" s="24" t="s">
        <v>63</v>
      </c>
      <c r="L1288" s="24" t="s">
        <v>64</v>
      </c>
      <c r="M1288" s="24">
        <v>30</v>
      </c>
      <c r="N1288" s="41">
        <v>2214000</v>
      </c>
      <c r="O1288" s="41">
        <v>2214000</v>
      </c>
      <c r="P1288" s="24"/>
      <c r="Q1288" s="24"/>
      <c r="R1288" s="24"/>
      <c r="S1288" s="24"/>
      <c r="T1288" s="24"/>
      <c r="U1288" s="24"/>
      <c r="V1288" s="24"/>
      <c r="W1288" s="24"/>
      <c r="X1288" s="24"/>
      <c r="Y1288" s="24"/>
      <c r="Z1288" s="24"/>
      <c r="AA1288" s="24"/>
      <c r="AB1288" s="24"/>
      <c r="AC1288" s="41">
        <v>2214000</v>
      </c>
      <c r="AD1288" s="24"/>
      <c r="AE1288" s="24"/>
    </row>
    <row r="1289" spans="1:34" s="1" customFormat="1" x14ac:dyDescent="0.25">
      <c r="A1289" s="21">
        <v>3</v>
      </c>
      <c r="B1289" s="22" t="s">
        <v>1800</v>
      </c>
      <c r="C1289" s="22" t="s">
        <v>868</v>
      </c>
      <c r="D1289" s="65" t="s">
        <v>1443</v>
      </c>
      <c r="E1289" s="24" t="s">
        <v>263</v>
      </c>
      <c r="F1289" s="24"/>
      <c r="G1289" s="24" t="s">
        <v>1441</v>
      </c>
      <c r="H1289" s="24" t="s">
        <v>62</v>
      </c>
      <c r="I1289" s="24">
        <v>2004</v>
      </c>
      <c r="J1289" s="24"/>
      <c r="K1289" s="24" t="s">
        <v>1444</v>
      </c>
      <c r="L1289" s="24" t="s">
        <v>64</v>
      </c>
      <c r="M1289" s="24">
        <v>4</v>
      </c>
      <c r="N1289" s="41">
        <v>520000</v>
      </c>
      <c r="O1289" s="41">
        <v>520000</v>
      </c>
      <c r="P1289" s="24"/>
      <c r="Q1289" s="24"/>
      <c r="R1289" s="24"/>
      <c r="S1289" s="24"/>
      <c r="T1289" s="24"/>
      <c r="U1289" s="24"/>
      <c r="V1289" s="24"/>
      <c r="W1289" s="24"/>
      <c r="X1289" s="24"/>
      <c r="Y1289" s="24"/>
      <c r="Z1289" s="24"/>
      <c r="AA1289" s="24"/>
      <c r="AB1289" s="24"/>
      <c r="AC1289" s="41">
        <v>520000</v>
      </c>
      <c r="AD1289" s="24"/>
      <c r="AE1289" s="24"/>
    </row>
    <row r="1290" spans="1:34" s="1" customFormat="1" x14ac:dyDescent="0.25">
      <c r="A1290" s="21">
        <v>4</v>
      </c>
      <c r="B1290" s="22" t="s">
        <v>1800</v>
      </c>
      <c r="C1290" s="22" t="s">
        <v>274</v>
      </c>
      <c r="D1290" s="65" t="s">
        <v>1445</v>
      </c>
      <c r="E1290" s="24" t="s">
        <v>263</v>
      </c>
      <c r="F1290" s="24"/>
      <c r="G1290" s="24" t="s">
        <v>1441</v>
      </c>
      <c r="H1290" s="24" t="s">
        <v>62</v>
      </c>
      <c r="I1290" s="24">
        <v>2004</v>
      </c>
      <c r="J1290" s="24"/>
      <c r="K1290" s="24" t="s">
        <v>1444</v>
      </c>
      <c r="L1290" s="24" t="s">
        <v>64</v>
      </c>
      <c r="M1290" s="24">
        <v>5</v>
      </c>
      <c r="N1290" s="41">
        <v>1360000</v>
      </c>
      <c r="O1290" s="41">
        <v>1360000</v>
      </c>
      <c r="P1290" s="24"/>
      <c r="Q1290" s="24"/>
      <c r="R1290" s="24"/>
      <c r="S1290" s="24"/>
      <c r="T1290" s="24"/>
      <c r="U1290" s="24"/>
      <c r="V1290" s="24"/>
      <c r="W1290" s="24"/>
      <c r="X1290" s="24"/>
      <c r="Y1290" s="24"/>
      <c r="Z1290" s="24"/>
      <c r="AA1290" s="24"/>
      <c r="AB1290" s="24"/>
      <c r="AC1290" s="41">
        <v>1360000</v>
      </c>
      <c r="AD1290" s="24"/>
      <c r="AE1290" s="24"/>
    </row>
    <row r="1291" spans="1:34" s="1" customFormat="1" x14ac:dyDescent="0.25">
      <c r="A1291" s="21">
        <v>5</v>
      </c>
      <c r="B1291" s="22" t="s">
        <v>1800</v>
      </c>
      <c r="C1291" s="22" t="s">
        <v>58</v>
      </c>
      <c r="D1291" s="65" t="s">
        <v>1446</v>
      </c>
      <c r="E1291" s="24" t="s">
        <v>263</v>
      </c>
      <c r="F1291" s="24"/>
      <c r="G1291" s="24" t="s">
        <v>1441</v>
      </c>
      <c r="H1291" s="24" t="s">
        <v>62</v>
      </c>
      <c r="I1291" s="24">
        <v>2004</v>
      </c>
      <c r="J1291" s="24"/>
      <c r="K1291" s="24" t="s">
        <v>202</v>
      </c>
      <c r="L1291" s="24" t="s">
        <v>64</v>
      </c>
      <c r="M1291" s="24">
        <v>1</v>
      </c>
      <c r="N1291" s="41">
        <v>1499200</v>
      </c>
      <c r="O1291" s="41">
        <v>1499200</v>
      </c>
      <c r="P1291" s="24"/>
      <c r="Q1291" s="24"/>
      <c r="R1291" s="24"/>
      <c r="S1291" s="24"/>
      <c r="T1291" s="24"/>
      <c r="U1291" s="24"/>
      <c r="V1291" s="24"/>
      <c r="W1291" s="24"/>
      <c r="X1291" s="24"/>
      <c r="Y1291" s="24"/>
      <c r="Z1291" s="24"/>
      <c r="AA1291" s="24"/>
      <c r="AB1291" s="24"/>
      <c r="AC1291" s="41">
        <v>1499200</v>
      </c>
      <c r="AD1291" s="24"/>
      <c r="AE1291" s="24"/>
    </row>
    <row r="1292" spans="1:34" s="1" customFormat="1" x14ac:dyDescent="0.25">
      <c r="A1292" s="21">
        <v>6</v>
      </c>
      <c r="B1292" s="22" t="s">
        <v>1800</v>
      </c>
      <c r="C1292" s="22" t="s">
        <v>1439</v>
      </c>
      <c r="D1292" s="65" t="s">
        <v>1440</v>
      </c>
      <c r="E1292" s="24" t="s">
        <v>263</v>
      </c>
      <c r="F1292" s="24"/>
      <c r="G1292" s="24" t="s">
        <v>1441</v>
      </c>
      <c r="H1292" s="24" t="s">
        <v>62</v>
      </c>
      <c r="I1292" s="24">
        <v>2007</v>
      </c>
      <c r="J1292" s="24"/>
      <c r="K1292" s="24" t="s">
        <v>63</v>
      </c>
      <c r="L1292" s="24" t="s">
        <v>64</v>
      </c>
      <c r="M1292" s="24">
        <v>30</v>
      </c>
      <c r="N1292" s="41">
        <v>6146800</v>
      </c>
      <c r="O1292" s="41">
        <v>6146800</v>
      </c>
      <c r="P1292" s="24"/>
      <c r="Q1292" s="24"/>
      <c r="R1292" s="24"/>
      <c r="S1292" s="24"/>
      <c r="T1292" s="24"/>
      <c r="U1292" s="24"/>
      <c r="V1292" s="24"/>
      <c r="W1292" s="24"/>
      <c r="X1292" s="24"/>
      <c r="Y1292" s="24"/>
      <c r="Z1292" s="24"/>
      <c r="AA1292" s="24"/>
      <c r="AB1292" s="24"/>
      <c r="AC1292" s="41">
        <v>6146800</v>
      </c>
      <c r="AD1292" s="24"/>
      <c r="AE1292" s="24"/>
    </row>
    <row r="1293" spans="1:34" s="1" customFormat="1" x14ac:dyDescent="0.25">
      <c r="A1293" s="21">
        <v>7</v>
      </c>
      <c r="B1293" s="22" t="s">
        <v>1800</v>
      </c>
      <c r="C1293" s="22" t="s">
        <v>1447</v>
      </c>
      <c r="D1293" s="65" t="s">
        <v>1448</v>
      </c>
      <c r="E1293" s="24" t="s">
        <v>263</v>
      </c>
      <c r="F1293" s="24"/>
      <c r="G1293" s="24" t="s">
        <v>1441</v>
      </c>
      <c r="H1293" s="24" t="s">
        <v>62</v>
      </c>
      <c r="I1293" s="24">
        <v>2007</v>
      </c>
      <c r="J1293" s="24"/>
      <c r="K1293" s="24" t="s">
        <v>63</v>
      </c>
      <c r="L1293" s="24" t="s">
        <v>64</v>
      </c>
      <c r="M1293" s="24">
        <v>48</v>
      </c>
      <c r="N1293" s="41">
        <v>3730700</v>
      </c>
      <c r="O1293" s="41">
        <v>3730700</v>
      </c>
      <c r="P1293" s="24"/>
      <c r="Q1293" s="24"/>
      <c r="R1293" s="24"/>
      <c r="S1293" s="24"/>
      <c r="T1293" s="24"/>
      <c r="U1293" s="24"/>
      <c r="V1293" s="24"/>
      <c r="W1293" s="24"/>
      <c r="X1293" s="24"/>
      <c r="Y1293" s="24"/>
      <c r="Z1293" s="24"/>
      <c r="AA1293" s="24"/>
      <c r="AB1293" s="24"/>
      <c r="AC1293" s="41">
        <v>3730700</v>
      </c>
      <c r="AD1293" s="24"/>
      <c r="AE1293" s="24"/>
    </row>
    <row r="1294" spans="1:34" s="1" customFormat="1" x14ac:dyDescent="0.25">
      <c r="A1294" s="21">
        <v>8</v>
      </c>
      <c r="B1294" s="22" t="s">
        <v>1800</v>
      </c>
      <c r="C1294" s="22" t="s">
        <v>58</v>
      </c>
      <c r="D1294" s="65" t="s">
        <v>1449</v>
      </c>
      <c r="E1294" s="24" t="s">
        <v>263</v>
      </c>
      <c r="F1294" s="24"/>
      <c r="G1294" s="24" t="s">
        <v>1441</v>
      </c>
      <c r="H1294" s="24" t="s">
        <v>62</v>
      </c>
      <c r="I1294" s="24">
        <v>2007</v>
      </c>
      <c r="J1294" s="24"/>
      <c r="K1294" s="24" t="s">
        <v>63</v>
      </c>
      <c r="L1294" s="24" t="s">
        <v>64</v>
      </c>
      <c r="M1294" s="24">
        <v>1</v>
      </c>
      <c r="N1294" s="41">
        <v>1499200</v>
      </c>
      <c r="O1294" s="41">
        <v>1499200</v>
      </c>
      <c r="P1294" s="24"/>
      <c r="Q1294" s="24"/>
      <c r="R1294" s="24"/>
      <c r="S1294" s="24"/>
      <c r="T1294" s="24"/>
      <c r="U1294" s="24"/>
      <c r="V1294" s="24"/>
      <c r="W1294" s="24"/>
      <c r="X1294" s="24"/>
      <c r="Y1294" s="24"/>
      <c r="Z1294" s="24"/>
      <c r="AA1294" s="24"/>
      <c r="AB1294" s="24"/>
      <c r="AC1294" s="41">
        <v>1499200</v>
      </c>
      <c r="AD1294" s="24"/>
      <c r="AE1294" s="24"/>
    </row>
    <row r="1295" spans="1:34" s="1" customFormat="1" x14ac:dyDescent="0.25">
      <c r="A1295" s="21">
        <v>9</v>
      </c>
      <c r="B1295" s="22" t="s">
        <v>1800</v>
      </c>
      <c r="C1295" s="22" t="s">
        <v>1450</v>
      </c>
      <c r="D1295" s="65" t="s">
        <v>1449</v>
      </c>
      <c r="E1295" s="24" t="s">
        <v>263</v>
      </c>
      <c r="F1295" s="24"/>
      <c r="G1295" s="24" t="s">
        <v>1441</v>
      </c>
      <c r="H1295" s="24" t="s">
        <v>62</v>
      </c>
      <c r="I1295" s="24">
        <v>2007</v>
      </c>
      <c r="J1295" s="24"/>
      <c r="K1295" s="24" t="s">
        <v>63</v>
      </c>
      <c r="L1295" s="24" t="s">
        <v>64</v>
      </c>
      <c r="M1295" s="24">
        <v>82</v>
      </c>
      <c r="N1295" s="41">
        <v>2997300</v>
      </c>
      <c r="O1295" s="41">
        <v>2997300</v>
      </c>
      <c r="P1295" s="24"/>
      <c r="Q1295" s="24"/>
      <c r="R1295" s="24"/>
      <c r="S1295" s="24"/>
      <c r="T1295" s="24"/>
      <c r="U1295" s="24"/>
      <c r="V1295" s="24"/>
      <c r="W1295" s="24"/>
      <c r="X1295" s="24"/>
      <c r="Y1295" s="24"/>
      <c r="Z1295" s="24"/>
      <c r="AA1295" s="24"/>
      <c r="AB1295" s="24"/>
      <c r="AC1295" s="41">
        <v>2997300</v>
      </c>
      <c r="AD1295" s="24"/>
      <c r="AE1295" s="24"/>
    </row>
    <row r="1296" spans="1:34" s="1" customFormat="1" x14ac:dyDescent="0.25">
      <c r="A1296" s="21">
        <v>10</v>
      </c>
      <c r="B1296" s="22" t="s">
        <v>1800</v>
      </c>
      <c r="C1296" s="22" t="s">
        <v>1439</v>
      </c>
      <c r="D1296" s="65" t="s">
        <v>1451</v>
      </c>
      <c r="E1296" s="24" t="s">
        <v>263</v>
      </c>
      <c r="F1296" s="24"/>
      <c r="G1296" s="24" t="s">
        <v>1441</v>
      </c>
      <c r="H1296" s="24" t="s">
        <v>62</v>
      </c>
      <c r="I1296" s="24">
        <v>2007</v>
      </c>
      <c r="J1296" s="24"/>
      <c r="K1296" s="24" t="s">
        <v>63</v>
      </c>
      <c r="L1296" s="24" t="s">
        <v>64</v>
      </c>
      <c r="M1296" s="24">
        <v>30</v>
      </c>
      <c r="N1296" s="41">
        <v>2214000</v>
      </c>
      <c r="O1296" s="41">
        <v>2214000</v>
      </c>
      <c r="P1296" s="24"/>
      <c r="Q1296" s="24"/>
      <c r="R1296" s="24"/>
      <c r="S1296" s="24"/>
      <c r="T1296" s="24"/>
      <c r="U1296" s="24"/>
      <c r="V1296" s="24"/>
      <c r="W1296" s="24"/>
      <c r="X1296" s="24"/>
      <c r="Y1296" s="24"/>
      <c r="Z1296" s="24"/>
      <c r="AA1296" s="24"/>
      <c r="AB1296" s="24"/>
      <c r="AC1296" s="41">
        <v>2214000</v>
      </c>
      <c r="AD1296" s="24"/>
      <c r="AE1296" s="24"/>
    </row>
    <row r="1297" spans="1:31" s="1" customFormat="1" x14ac:dyDescent="0.25">
      <c r="A1297" s="21">
        <v>11</v>
      </c>
      <c r="B1297" s="22" t="s">
        <v>1800</v>
      </c>
      <c r="C1297" s="22" t="s">
        <v>1452</v>
      </c>
      <c r="D1297" s="65" t="s">
        <v>1451</v>
      </c>
      <c r="E1297" s="24" t="s">
        <v>263</v>
      </c>
      <c r="F1297" s="24"/>
      <c r="G1297" s="24" t="s">
        <v>1441</v>
      </c>
      <c r="H1297" s="24" t="s">
        <v>62</v>
      </c>
      <c r="I1297" s="24">
        <v>2007</v>
      </c>
      <c r="J1297" s="24"/>
      <c r="K1297" s="24" t="s">
        <v>63</v>
      </c>
      <c r="L1297" s="24" t="s">
        <v>64</v>
      </c>
      <c r="M1297" s="24">
        <v>201</v>
      </c>
      <c r="N1297" s="41">
        <v>20124250</v>
      </c>
      <c r="O1297" s="41">
        <v>20124250</v>
      </c>
      <c r="P1297" s="24"/>
      <c r="Q1297" s="24"/>
      <c r="R1297" s="24"/>
      <c r="S1297" s="24"/>
      <c r="T1297" s="24"/>
      <c r="U1297" s="24"/>
      <c r="V1297" s="24"/>
      <c r="W1297" s="24"/>
      <c r="X1297" s="24"/>
      <c r="Y1297" s="24"/>
      <c r="Z1297" s="24"/>
      <c r="AA1297" s="24"/>
      <c r="AB1297" s="24"/>
      <c r="AC1297" s="41">
        <v>20124250</v>
      </c>
      <c r="AD1297" s="24"/>
      <c r="AE1297" s="24"/>
    </row>
    <row r="1298" spans="1:31" s="1" customFormat="1" x14ac:dyDescent="0.25">
      <c r="A1298" s="21">
        <v>12</v>
      </c>
      <c r="B1298" s="22" t="s">
        <v>1800</v>
      </c>
      <c r="C1298" s="22" t="s">
        <v>1453</v>
      </c>
      <c r="D1298" s="65" t="s">
        <v>1454</v>
      </c>
      <c r="E1298" s="24" t="s">
        <v>263</v>
      </c>
      <c r="F1298" s="24"/>
      <c r="G1298" s="24" t="s">
        <v>1441</v>
      </c>
      <c r="H1298" s="24" t="s">
        <v>62</v>
      </c>
      <c r="I1298" s="24">
        <v>2007</v>
      </c>
      <c r="J1298" s="24"/>
      <c r="K1298" s="24" t="s">
        <v>63</v>
      </c>
      <c r="L1298" s="24" t="s">
        <v>64</v>
      </c>
      <c r="M1298" s="24">
        <v>79</v>
      </c>
      <c r="N1298" s="41">
        <v>6119000</v>
      </c>
      <c r="O1298" s="41">
        <v>6119000</v>
      </c>
      <c r="P1298" s="24"/>
      <c r="Q1298" s="24"/>
      <c r="R1298" s="24"/>
      <c r="S1298" s="24"/>
      <c r="T1298" s="24"/>
      <c r="U1298" s="24"/>
      <c r="V1298" s="24"/>
      <c r="W1298" s="24"/>
      <c r="X1298" s="24"/>
      <c r="Y1298" s="24"/>
      <c r="Z1298" s="24"/>
      <c r="AA1298" s="24"/>
      <c r="AB1298" s="24"/>
      <c r="AC1298" s="41">
        <v>6119000</v>
      </c>
      <c r="AD1298" s="24"/>
      <c r="AE1298" s="24"/>
    </row>
    <row r="1299" spans="1:31" s="1" customFormat="1" x14ac:dyDescent="0.25">
      <c r="A1299" s="21">
        <v>13</v>
      </c>
      <c r="B1299" s="22" t="s">
        <v>1800</v>
      </c>
      <c r="C1299" s="22" t="s">
        <v>1455</v>
      </c>
      <c r="D1299" s="65" t="s">
        <v>1456</v>
      </c>
      <c r="E1299" s="24" t="s">
        <v>263</v>
      </c>
      <c r="F1299" s="24"/>
      <c r="G1299" s="24" t="s">
        <v>1441</v>
      </c>
      <c r="H1299" s="24" t="s">
        <v>62</v>
      </c>
      <c r="I1299" s="24">
        <v>2007</v>
      </c>
      <c r="J1299" s="24"/>
      <c r="K1299" s="24" t="s">
        <v>63</v>
      </c>
      <c r="L1299" s="24" t="s">
        <v>64</v>
      </c>
      <c r="M1299" s="24">
        <v>117</v>
      </c>
      <c r="N1299" s="41">
        <v>15926750</v>
      </c>
      <c r="O1299" s="41">
        <v>15926750</v>
      </c>
      <c r="P1299" s="24"/>
      <c r="Q1299" s="24"/>
      <c r="R1299" s="24"/>
      <c r="S1299" s="24"/>
      <c r="T1299" s="24"/>
      <c r="U1299" s="24"/>
      <c r="V1299" s="24"/>
      <c r="W1299" s="24"/>
      <c r="X1299" s="24"/>
      <c r="Y1299" s="24"/>
      <c r="Z1299" s="24"/>
      <c r="AA1299" s="24"/>
      <c r="AB1299" s="24"/>
      <c r="AC1299" s="41">
        <v>15926750</v>
      </c>
      <c r="AD1299" s="24"/>
      <c r="AE1299" s="24"/>
    </row>
    <row r="1300" spans="1:31" s="1" customFormat="1" x14ac:dyDescent="0.25">
      <c r="A1300" s="21">
        <v>14</v>
      </c>
      <c r="B1300" s="22" t="s">
        <v>1800</v>
      </c>
      <c r="C1300" s="22" t="s">
        <v>1457</v>
      </c>
      <c r="D1300" s="65" t="s">
        <v>1456</v>
      </c>
      <c r="E1300" s="24" t="s">
        <v>263</v>
      </c>
      <c r="F1300" s="24"/>
      <c r="G1300" s="24" t="s">
        <v>1441</v>
      </c>
      <c r="H1300" s="24" t="s">
        <v>62</v>
      </c>
      <c r="I1300" s="24">
        <v>2007</v>
      </c>
      <c r="J1300" s="24"/>
      <c r="K1300" s="24" t="s">
        <v>63</v>
      </c>
      <c r="L1300" s="24" t="s">
        <v>64</v>
      </c>
      <c r="M1300" s="24">
        <v>68</v>
      </c>
      <c r="N1300" s="41">
        <v>8805900</v>
      </c>
      <c r="O1300" s="41">
        <v>8805900</v>
      </c>
      <c r="P1300" s="24"/>
      <c r="Q1300" s="24"/>
      <c r="R1300" s="24"/>
      <c r="S1300" s="24"/>
      <c r="T1300" s="24"/>
      <c r="U1300" s="24"/>
      <c r="V1300" s="24"/>
      <c r="W1300" s="24"/>
      <c r="X1300" s="24"/>
      <c r="Y1300" s="24"/>
      <c r="Z1300" s="24"/>
      <c r="AA1300" s="24"/>
      <c r="AB1300" s="24"/>
      <c r="AC1300" s="41">
        <v>8805900</v>
      </c>
      <c r="AD1300" s="24"/>
      <c r="AE1300" s="24"/>
    </row>
    <row r="1301" spans="1:31" s="1" customFormat="1" x14ac:dyDescent="0.25">
      <c r="A1301" s="21">
        <v>15</v>
      </c>
      <c r="B1301" s="22" t="s">
        <v>1800</v>
      </c>
      <c r="C1301" s="22" t="s">
        <v>1458</v>
      </c>
      <c r="D1301" s="65" t="s">
        <v>1459</v>
      </c>
      <c r="E1301" s="24" t="s">
        <v>263</v>
      </c>
      <c r="F1301" s="24"/>
      <c r="G1301" s="24" t="s">
        <v>1441</v>
      </c>
      <c r="H1301" s="24" t="s">
        <v>62</v>
      </c>
      <c r="I1301" s="24">
        <v>2007</v>
      </c>
      <c r="J1301" s="24"/>
      <c r="K1301" s="24" t="s">
        <v>63</v>
      </c>
      <c r="L1301" s="24" t="s">
        <v>64</v>
      </c>
      <c r="M1301" s="24">
        <v>49</v>
      </c>
      <c r="N1301" s="41">
        <v>2496800</v>
      </c>
      <c r="O1301" s="41">
        <v>2496800</v>
      </c>
      <c r="P1301" s="24"/>
      <c r="Q1301" s="24"/>
      <c r="R1301" s="24"/>
      <c r="S1301" s="24"/>
      <c r="T1301" s="24"/>
      <c r="U1301" s="24"/>
      <c r="V1301" s="24"/>
      <c r="W1301" s="24"/>
      <c r="X1301" s="24"/>
      <c r="Y1301" s="24"/>
      <c r="Z1301" s="24"/>
      <c r="AA1301" s="24"/>
      <c r="AB1301" s="24"/>
      <c r="AC1301" s="41">
        <v>2496800</v>
      </c>
      <c r="AD1301" s="24"/>
      <c r="AE1301" s="24"/>
    </row>
    <row r="1302" spans="1:31" s="1" customFormat="1" x14ac:dyDescent="0.25">
      <c r="A1302" s="21">
        <v>16</v>
      </c>
      <c r="B1302" s="22" t="s">
        <v>1800</v>
      </c>
      <c r="C1302" s="22" t="s">
        <v>1460</v>
      </c>
      <c r="D1302" s="65" t="s">
        <v>1461</v>
      </c>
      <c r="E1302" s="24" t="s">
        <v>263</v>
      </c>
      <c r="F1302" s="24"/>
      <c r="G1302" s="24" t="s">
        <v>1441</v>
      </c>
      <c r="H1302" s="24" t="s">
        <v>62</v>
      </c>
      <c r="I1302" s="24">
        <v>2007</v>
      </c>
      <c r="J1302" s="24"/>
      <c r="K1302" s="24" t="s">
        <v>63</v>
      </c>
      <c r="L1302" s="24" t="s">
        <v>64</v>
      </c>
      <c r="M1302" s="24">
        <v>144</v>
      </c>
      <c r="N1302" s="41">
        <v>8290800</v>
      </c>
      <c r="O1302" s="41">
        <v>8290800</v>
      </c>
      <c r="P1302" s="24"/>
      <c r="Q1302" s="24"/>
      <c r="R1302" s="24"/>
      <c r="S1302" s="24"/>
      <c r="T1302" s="24"/>
      <c r="U1302" s="24"/>
      <c r="V1302" s="24"/>
      <c r="W1302" s="24"/>
      <c r="X1302" s="24"/>
      <c r="Y1302" s="24"/>
      <c r="Z1302" s="24"/>
      <c r="AA1302" s="24"/>
      <c r="AB1302" s="24"/>
      <c r="AC1302" s="41">
        <v>8290800</v>
      </c>
      <c r="AD1302" s="24"/>
      <c r="AE1302" s="24"/>
    </row>
    <row r="1303" spans="1:31" s="1" customFormat="1" x14ac:dyDescent="0.25">
      <c r="A1303" s="21">
        <v>17</v>
      </c>
      <c r="B1303" s="22" t="s">
        <v>1800</v>
      </c>
      <c r="C1303" s="22" t="s">
        <v>1028</v>
      </c>
      <c r="D1303" s="65" t="s">
        <v>1462</v>
      </c>
      <c r="E1303" s="24" t="s">
        <v>263</v>
      </c>
      <c r="F1303" s="24"/>
      <c r="G1303" s="24" t="s">
        <v>1441</v>
      </c>
      <c r="H1303" s="24" t="s">
        <v>62</v>
      </c>
      <c r="I1303" s="24">
        <v>2015</v>
      </c>
      <c r="J1303" s="24"/>
      <c r="K1303" s="24" t="s">
        <v>664</v>
      </c>
      <c r="L1303" s="24" t="s">
        <v>64</v>
      </c>
      <c r="M1303" s="24">
        <v>1</v>
      </c>
      <c r="N1303" s="41">
        <v>20373100</v>
      </c>
      <c r="O1303" s="41">
        <v>20373100</v>
      </c>
      <c r="P1303" s="24"/>
      <c r="Q1303" s="24"/>
      <c r="R1303" s="24"/>
      <c r="S1303" s="24"/>
      <c r="T1303" s="24"/>
      <c r="U1303" s="24"/>
      <c r="V1303" s="24"/>
      <c r="W1303" s="24"/>
      <c r="X1303" s="24"/>
      <c r="Y1303" s="24"/>
      <c r="Z1303" s="24"/>
      <c r="AA1303" s="24"/>
      <c r="AB1303" s="24"/>
      <c r="AC1303" s="41">
        <v>20373100</v>
      </c>
      <c r="AD1303" s="24"/>
      <c r="AE1303" s="24"/>
    </row>
    <row r="1304" spans="1:31" s="1" customFormat="1" x14ac:dyDescent="0.25">
      <c r="A1304" s="21">
        <v>18</v>
      </c>
      <c r="B1304" s="22" t="s">
        <v>1800</v>
      </c>
      <c r="C1304" s="22" t="s">
        <v>1029</v>
      </c>
      <c r="D1304" s="65" t="s">
        <v>1462</v>
      </c>
      <c r="E1304" s="24" t="s">
        <v>263</v>
      </c>
      <c r="F1304" s="24"/>
      <c r="G1304" s="24" t="s">
        <v>1441</v>
      </c>
      <c r="H1304" s="24" t="s">
        <v>62</v>
      </c>
      <c r="I1304" s="24">
        <v>2016</v>
      </c>
      <c r="J1304" s="24"/>
      <c r="K1304" s="24" t="s">
        <v>664</v>
      </c>
      <c r="L1304" s="24" t="s">
        <v>64</v>
      </c>
      <c r="M1304" s="24">
        <v>1</v>
      </c>
      <c r="N1304" s="41">
        <v>24844600</v>
      </c>
      <c r="O1304" s="41">
        <v>24844600</v>
      </c>
      <c r="P1304" s="24"/>
      <c r="Q1304" s="24"/>
      <c r="R1304" s="24"/>
      <c r="S1304" s="24"/>
      <c r="T1304" s="24"/>
      <c r="U1304" s="24"/>
      <c r="V1304" s="24"/>
      <c r="W1304" s="24"/>
      <c r="X1304" s="24"/>
      <c r="Y1304" s="24"/>
      <c r="Z1304" s="24"/>
      <c r="AA1304" s="24"/>
      <c r="AB1304" s="24"/>
      <c r="AC1304" s="41">
        <v>24844600</v>
      </c>
      <c r="AD1304" s="24"/>
      <c r="AE1304" s="24"/>
    </row>
    <row r="1305" spans="1:31" s="1" customFormat="1" x14ac:dyDescent="0.25">
      <c r="A1305" s="21">
        <v>19</v>
      </c>
      <c r="B1305" s="22" t="s">
        <v>1800</v>
      </c>
      <c r="C1305" s="22" t="s">
        <v>1030</v>
      </c>
      <c r="D1305" s="65" t="s">
        <v>1462</v>
      </c>
      <c r="E1305" s="24"/>
      <c r="F1305" s="24"/>
      <c r="G1305" s="24" t="s">
        <v>1441</v>
      </c>
      <c r="H1305" s="24" t="s">
        <v>62</v>
      </c>
      <c r="I1305" s="24">
        <v>2017</v>
      </c>
      <c r="J1305" s="24"/>
      <c r="K1305" s="24" t="s">
        <v>261</v>
      </c>
      <c r="L1305" s="24" t="s">
        <v>64</v>
      </c>
      <c r="M1305" s="24">
        <v>1</v>
      </c>
      <c r="N1305" s="41">
        <v>34989141</v>
      </c>
      <c r="O1305" s="41">
        <v>34989141</v>
      </c>
      <c r="P1305" s="24"/>
      <c r="Q1305" s="24"/>
      <c r="R1305" s="24"/>
      <c r="S1305" s="24"/>
      <c r="T1305" s="24"/>
      <c r="U1305" s="24"/>
      <c r="V1305" s="24"/>
      <c r="W1305" s="24"/>
      <c r="X1305" s="24"/>
      <c r="Y1305" s="24"/>
      <c r="Z1305" s="24"/>
      <c r="AA1305" s="24"/>
      <c r="AB1305" s="24"/>
      <c r="AC1305" s="41">
        <v>34989141</v>
      </c>
      <c r="AD1305" s="24"/>
      <c r="AE1305" s="24"/>
    </row>
    <row r="1306" spans="1:31" s="1" customFormat="1" x14ac:dyDescent="0.25">
      <c r="A1306" s="21">
        <v>20</v>
      </c>
      <c r="B1306" s="22" t="s">
        <v>1800</v>
      </c>
      <c r="C1306" s="22" t="s">
        <v>1032</v>
      </c>
      <c r="D1306" s="65" t="s">
        <v>1462</v>
      </c>
      <c r="E1306" s="24"/>
      <c r="F1306" s="24"/>
      <c r="G1306" s="24" t="s">
        <v>1441</v>
      </c>
      <c r="H1306" s="24" t="s">
        <v>62</v>
      </c>
      <c r="I1306" s="24">
        <v>2018</v>
      </c>
      <c r="J1306" s="24"/>
      <c r="K1306" s="24" t="s">
        <v>261</v>
      </c>
      <c r="L1306" s="24" t="s">
        <v>64</v>
      </c>
      <c r="M1306" s="24">
        <v>1</v>
      </c>
      <c r="N1306" s="41">
        <v>51578800</v>
      </c>
      <c r="O1306" s="41">
        <v>51578800</v>
      </c>
      <c r="P1306" s="24"/>
      <c r="Q1306" s="24"/>
      <c r="R1306" s="24"/>
      <c r="S1306" s="24"/>
      <c r="T1306" s="24"/>
      <c r="U1306" s="24"/>
      <c r="V1306" s="24"/>
      <c r="W1306" s="24"/>
      <c r="X1306" s="24"/>
      <c r="Y1306" s="24"/>
      <c r="Z1306" s="24"/>
      <c r="AA1306" s="24"/>
      <c r="AB1306" s="24"/>
      <c r="AC1306" s="41">
        <v>51578800</v>
      </c>
      <c r="AD1306" s="24"/>
      <c r="AE1306" s="24"/>
    </row>
    <row r="1307" spans="1:31" s="1" customFormat="1" x14ac:dyDescent="0.25">
      <c r="A1307" s="21"/>
      <c r="B1307" s="22" t="s">
        <v>1800</v>
      </c>
      <c r="C1307" s="99" t="s">
        <v>1212</v>
      </c>
      <c r="D1307" s="100" t="s">
        <v>1462</v>
      </c>
      <c r="E1307" s="101"/>
      <c r="F1307" s="101"/>
      <c r="G1307" s="101" t="s">
        <v>1441</v>
      </c>
      <c r="H1307" s="101" t="s">
        <v>62</v>
      </c>
      <c r="I1307" s="101">
        <v>2020</v>
      </c>
      <c r="J1307" s="101"/>
      <c r="K1307" s="101" t="s">
        <v>261</v>
      </c>
      <c r="L1307" s="101" t="s">
        <v>64</v>
      </c>
      <c r="M1307" s="101">
        <v>1</v>
      </c>
      <c r="N1307" s="77">
        <v>37914574</v>
      </c>
      <c r="O1307" s="77">
        <v>37914574</v>
      </c>
      <c r="P1307" s="24"/>
      <c r="Q1307" s="24"/>
      <c r="R1307" s="24"/>
      <c r="S1307" s="24"/>
      <c r="T1307" s="24"/>
      <c r="U1307" s="24"/>
      <c r="V1307" s="24"/>
      <c r="W1307" s="24"/>
      <c r="X1307" s="24"/>
      <c r="Y1307" s="24"/>
      <c r="Z1307" s="24"/>
      <c r="AA1307" s="24"/>
      <c r="AB1307" s="24"/>
      <c r="AC1307" s="53">
        <v>37914574</v>
      </c>
      <c r="AD1307" s="24"/>
      <c r="AE1307" s="24"/>
    </row>
    <row r="1308" spans="1:31" s="1" customFormat="1" x14ac:dyDescent="0.25">
      <c r="A1308" s="21"/>
      <c r="B1308" s="22"/>
      <c r="C1308" s="22"/>
      <c r="D1308" s="65"/>
      <c r="E1308" s="24"/>
      <c r="F1308" s="24"/>
      <c r="G1308" s="24"/>
      <c r="H1308" s="24"/>
      <c r="I1308" s="24"/>
      <c r="J1308" s="24"/>
      <c r="K1308" s="24"/>
      <c r="L1308" s="24"/>
      <c r="M1308" s="24"/>
      <c r="N1308" s="24"/>
      <c r="O1308" s="24"/>
      <c r="P1308" s="24"/>
      <c r="Q1308" s="24"/>
      <c r="R1308" s="24"/>
      <c r="S1308" s="24"/>
      <c r="T1308" s="24"/>
      <c r="U1308" s="24"/>
      <c r="V1308" s="24"/>
      <c r="W1308" s="24"/>
      <c r="X1308" s="24"/>
      <c r="Y1308" s="24"/>
      <c r="Z1308" s="24"/>
      <c r="AA1308" s="24"/>
      <c r="AB1308" s="24"/>
      <c r="AC1308" s="24"/>
      <c r="AD1308" s="24"/>
      <c r="AE1308" s="24"/>
    </row>
    <row r="1309" spans="1:31" s="1" customFormat="1" ht="25.5" x14ac:dyDescent="0.25">
      <c r="A1309" s="25"/>
      <c r="B1309" s="26" t="s">
        <v>1463</v>
      </c>
      <c r="C1309" s="26"/>
      <c r="D1309" s="64" t="s">
        <v>1464</v>
      </c>
      <c r="E1309" s="28"/>
      <c r="F1309" s="28"/>
      <c r="G1309" s="28"/>
      <c r="H1309" s="28"/>
      <c r="I1309" s="28"/>
      <c r="J1309" s="28"/>
      <c r="K1309" s="28"/>
      <c r="L1309" s="28"/>
      <c r="M1309" s="28">
        <f>SUM(M1310:M1312)</f>
        <v>0</v>
      </c>
      <c r="N1309" s="28"/>
      <c r="O1309" s="28">
        <f>SUM(O1310:O1312)</f>
        <v>0</v>
      </c>
      <c r="P1309" s="28">
        <f t="shared" ref="P1309:AC1309" si="502">SUM(P1310:P1312)</f>
        <v>0</v>
      </c>
      <c r="Q1309" s="28">
        <f t="shared" si="502"/>
        <v>0</v>
      </c>
      <c r="R1309" s="28">
        <f t="shared" si="502"/>
        <v>0</v>
      </c>
      <c r="S1309" s="28">
        <f t="shared" si="502"/>
        <v>0</v>
      </c>
      <c r="T1309" s="28"/>
      <c r="U1309" s="28">
        <f t="shared" si="502"/>
        <v>0</v>
      </c>
      <c r="V1309" s="28"/>
      <c r="W1309" s="28">
        <f t="shared" si="502"/>
        <v>0</v>
      </c>
      <c r="X1309" s="28"/>
      <c r="Y1309" s="28">
        <f t="shared" si="502"/>
        <v>0</v>
      </c>
      <c r="Z1309" s="28">
        <f t="shared" si="502"/>
        <v>0</v>
      </c>
      <c r="AA1309" s="28"/>
      <c r="AB1309" s="28">
        <f t="shared" si="502"/>
        <v>0</v>
      </c>
      <c r="AC1309" s="28">
        <f t="shared" si="502"/>
        <v>0</v>
      </c>
      <c r="AD1309" s="28"/>
      <c r="AE1309" s="28"/>
    </row>
    <row r="1310" spans="1:31" s="1" customFormat="1" x14ac:dyDescent="0.25">
      <c r="A1310" s="21"/>
      <c r="B1310" s="22"/>
      <c r="C1310" s="22"/>
      <c r="D1310" s="65"/>
      <c r="E1310" s="24"/>
      <c r="F1310" s="24"/>
      <c r="G1310" s="24"/>
      <c r="H1310" s="24"/>
      <c r="I1310" s="24"/>
      <c r="J1310" s="24"/>
      <c r="K1310" s="24"/>
      <c r="L1310" s="24"/>
      <c r="M1310" s="24"/>
      <c r="N1310" s="24"/>
      <c r="O1310" s="24"/>
      <c r="P1310" s="24"/>
      <c r="Q1310" s="24"/>
      <c r="R1310" s="24"/>
      <c r="S1310" s="24"/>
      <c r="T1310" s="24"/>
      <c r="U1310" s="24"/>
      <c r="V1310" s="24"/>
      <c r="W1310" s="24"/>
      <c r="X1310" s="24"/>
      <c r="Y1310" s="24"/>
      <c r="Z1310" s="24"/>
      <c r="AA1310" s="24"/>
      <c r="AB1310" s="24"/>
      <c r="AC1310" s="24"/>
      <c r="AD1310" s="24"/>
      <c r="AE1310" s="24"/>
    </row>
    <row r="1311" spans="1:31" s="1" customFormat="1" x14ac:dyDescent="0.25">
      <c r="A1311" s="21"/>
      <c r="B1311" s="22"/>
      <c r="C1311" s="22"/>
      <c r="D1311" s="65"/>
      <c r="E1311" s="24"/>
      <c r="F1311" s="24"/>
      <c r="G1311" s="24"/>
      <c r="H1311" s="24"/>
      <c r="I1311" s="24"/>
      <c r="J1311" s="24"/>
      <c r="K1311" s="24"/>
      <c r="L1311" s="24"/>
      <c r="M1311" s="24"/>
      <c r="N1311" s="24"/>
      <c r="O1311" s="24"/>
      <c r="P1311" s="24"/>
      <c r="Q1311" s="24"/>
      <c r="R1311" s="24"/>
      <c r="S1311" s="24"/>
      <c r="T1311" s="24"/>
      <c r="U1311" s="24"/>
      <c r="V1311" s="24"/>
      <c r="W1311" s="24"/>
      <c r="X1311" s="24"/>
      <c r="Y1311" s="24"/>
      <c r="Z1311" s="24"/>
      <c r="AA1311" s="24"/>
      <c r="AB1311" s="24"/>
      <c r="AC1311" s="24"/>
      <c r="AD1311" s="24"/>
      <c r="AE1311" s="24"/>
    </row>
    <row r="1312" spans="1:31" s="1" customFormat="1" x14ac:dyDescent="0.25">
      <c r="A1312" s="21"/>
      <c r="B1312" s="22"/>
      <c r="C1312" s="22"/>
      <c r="D1312" s="65"/>
      <c r="E1312" s="24"/>
      <c r="F1312" s="24"/>
      <c r="G1312" s="24"/>
      <c r="H1312" s="24"/>
      <c r="I1312" s="24"/>
      <c r="J1312" s="24"/>
      <c r="K1312" s="24"/>
      <c r="L1312" s="24"/>
      <c r="M1312" s="24"/>
      <c r="N1312" s="24"/>
      <c r="O1312" s="24"/>
      <c r="P1312" s="24"/>
      <c r="Q1312" s="24"/>
      <c r="R1312" s="24"/>
      <c r="S1312" s="24"/>
      <c r="T1312" s="24"/>
      <c r="U1312" s="24"/>
      <c r="V1312" s="24"/>
      <c r="W1312" s="24"/>
      <c r="X1312" s="24"/>
      <c r="Y1312" s="24"/>
      <c r="Z1312" s="24"/>
      <c r="AA1312" s="24"/>
      <c r="AB1312" s="24"/>
      <c r="AC1312" s="24"/>
      <c r="AD1312" s="24"/>
      <c r="AE1312" s="24"/>
    </row>
    <row r="1313" spans="1:31" s="1" customFormat="1" x14ac:dyDescent="0.25">
      <c r="A1313" s="25"/>
      <c r="B1313" s="26" t="s">
        <v>1465</v>
      </c>
      <c r="C1313" s="26"/>
      <c r="D1313" s="64" t="s">
        <v>1466</v>
      </c>
      <c r="E1313" s="28"/>
      <c r="F1313" s="28"/>
      <c r="G1313" s="28"/>
      <c r="H1313" s="28"/>
      <c r="I1313" s="28"/>
      <c r="J1313" s="28"/>
      <c r="K1313" s="28"/>
      <c r="L1313" s="28"/>
      <c r="M1313" s="28">
        <f>SUM(M1314:M1316)</f>
        <v>0</v>
      </c>
      <c r="N1313" s="28"/>
      <c r="O1313" s="28">
        <f t="shared" ref="O1313:AC1313" si="503">SUM(O1314:O1316)</f>
        <v>0</v>
      </c>
      <c r="P1313" s="28">
        <f t="shared" si="503"/>
        <v>0</v>
      </c>
      <c r="Q1313" s="28">
        <f t="shared" si="503"/>
        <v>0</v>
      </c>
      <c r="R1313" s="28">
        <f t="shared" si="503"/>
        <v>0</v>
      </c>
      <c r="S1313" s="28">
        <f t="shared" si="503"/>
        <v>0</v>
      </c>
      <c r="T1313" s="28"/>
      <c r="U1313" s="28">
        <f t="shared" si="503"/>
        <v>0</v>
      </c>
      <c r="V1313" s="28"/>
      <c r="W1313" s="28">
        <f t="shared" si="503"/>
        <v>0</v>
      </c>
      <c r="X1313" s="28"/>
      <c r="Y1313" s="28">
        <f t="shared" si="503"/>
        <v>0</v>
      </c>
      <c r="Z1313" s="28">
        <f t="shared" si="503"/>
        <v>0</v>
      </c>
      <c r="AA1313" s="28"/>
      <c r="AB1313" s="28">
        <f t="shared" si="503"/>
        <v>0</v>
      </c>
      <c r="AC1313" s="28">
        <f t="shared" si="503"/>
        <v>0</v>
      </c>
      <c r="AD1313" s="28"/>
      <c r="AE1313" s="28"/>
    </row>
    <row r="1314" spans="1:31" s="1" customFormat="1" x14ac:dyDescent="0.25">
      <c r="A1314" s="21"/>
      <c r="B1314" s="22"/>
      <c r="C1314" s="22"/>
      <c r="D1314" s="65"/>
      <c r="E1314" s="24"/>
      <c r="F1314" s="24"/>
      <c r="G1314" s="24"/>
      <c r="H1314" s="24"/>
      <c r="I1314" s="24"/>
      <c r="J1314" s="24"/>
      <c r="K1314" s="24"/>
      <c r="L1314" s="24"/>
      <c r="M1314" s="24"/>
      <c r="N1314" s="24"/>
      <c r="O1314" s="24"/>
      <c r="P1314" s="24"/>
      <c r="Q1314" s="24"/>
      <c r="R1314" s="24"/>
      <c r="S1314" s="24"/>
      <c r="T1314" s="24"/>
      <c r="U1314" s="24"/>
      <c r="V1314" s="24"/>
      <c r="W1314" s="24"/>
      <c r="X1314" s="24"/>
      <c r="Y1314" s="24"/>
      <c r="Z1314" s="24"/>
      <c r="AA1314" s="24"/>
      <c r="AB1314" s="24"/>
      <c r="AC1314" s="24"/>
      <c r="AD1314" s="24"/>
      <c r="AE1314" s="24"/>
    </row>
    <row r="1315" spans="1:31" s="1" customFormat="1" x14ac:dyDescent="0.25">
      <c r="A1315" s="21"/>
      <c r="B1315" s="22"/>
      <c r="C1315" s="22"/>
      <c r="D1315" s="65"/>
      <c r="E1315" s="24"/>
      <c r="F1315" s="24"/>
      <c r="G1315" s="24"/>
      <c r="H1315" s="24"/>
      <c r="I1315" s="24"/>
      <c r="J1315" s="24"/>
      <c r="K1315" s="24"/>
      <c r="L1315" s="24"/>
      <c r="M1315" s="24"/>
      <c r="N1315" s="24"/>
      <c r="O1315" s="24"/>
      <c r="P1315" s="24"/>
      <c r="Q1315" s="24"/>
      <c r="R1315" s="24"/>
      <c r="S1315" s="24"/>
      <c r="T1315" s="24"/>
      <c r="U1315" s="24"/>
      <c r="V1315" s="24"/>
      <c r="W1315" s="24"/>
      <c r="X1315" s="24"/>
      <c r="Y1315" s="24"/>
      <c r="Z1315" s="24"/>
      <c r="AA1315" s="24"/>
      <c r="AB1315" s="24"/>
      <c r="AC1315" s="24"/>
      <c r="AD1315" s="24"/>
      <c r="AE1315" s="24"/>
    </row>
    <row r="1316" spans="1:31" s="1" customFormat="1" x14ac:dyDescent="0.25">
      <c r="A1316" s="21"/>
      <c r="B1316" s="22"/>
      <c r="C1316" s="22"/>
      <c r="D1316" s="65"/>
      <c r="E1316" s="24"/>
      <c r="F1316" s="24"/>
      <c r="G1316" s="24"/>
      <c r="H1316" s="24"/>
      <c r="I1316" s="24"/>
      <c r="J1316" s="24"/>
      <c r="K1316" s="24"/>
      <c r="L1316" s="24"/>
      <c r="M1316" s="24"/>
      <c r="N1316" s="24"/>
      <c r="O1316" s="24"/>
      <c r="P1316" s="24"/>
      <c r="Q1316" s="24"/>
      <c r="R1316" s="24"/>
      <c r="S1316" s="24"/>
      <c r="T1316" s="24"/>
      <c r="U1316" s="24"/>
      <c r="V1316" s="24"/>
      <c r="W1316" s="24"/>
      <c r="X1316" s="24"/>
      <c r="Y1316" s="24"/>
      <c r="Z1316" s="24"/>
      <c r="AA1316" s="24"/>
      <c r="AB1316" s="24"/>
      <c r="AC1316" s="24"/>
      <c r="AD1316" s="24"/>
      <c r="AE1316" s="24"/>
    </row>
    <row r="1317" spans="1:31" s="1" customFormat="1" x14ac:dyDescent="0.25">
      <c r="A1317" s="25"/>
      <c r="B1317" s="26" t="s">
        <v>1467</v>
      </c>
      <c r="C1317" s="26"/>
      <c r="D1317" s="64" t="s">
        <v>1468</v>
      </c>
      <c r="E1317" s="28"/>
      <c r="F1317" s="28"/>
      <c r="G1317" s="28"/>
      <c r="H1317" s="28"/>
      <c r="I1317" s="28"/>
      <c r="J1317" s="28"/>
      <c r="K1317" s="28"/>
      <c r="L1317" s="28"/>
      <c r="M1317" s="28">
        <f>SUM(M1318:M1320)</f>
        <v>0</v>
      </c>
      <c r="N1317" s="28"/>
      <c r="O1317" s="28">
        <f t="shared" ref="O1317:AC1317" si="504">SUM(O1318:O1320)</f>
        <v>0</v>
      </c>
      <c r="P1317" s="28">
        <f t="shared" si="504"/>
        <v>0</v>
      </c>
      <c r="Q1317" s="28">
        <f t="shared" si="504"/>
        <v>0</v>
      </c>
      <c r="R1317" s="28">
        <f t="shared" si="504"/>
        <v>0</v>
      </c>
      <c r="S1317" s="28">
        <f t="shared" si="504"/>
        <v>0</v>
      </c>
      <c r="T1317" s="28"/>
      <c r="U1317" s="28">
        <f t="shared" si="504"/>
        <v>0</v>
      </c>
      <c r="V1317" s="28"/>
      <c r="W1317" s="28">
        <f t="shared" si="504"/>
        <v>0</v>
      </c>
      <c r="X1317" s="28"/>
      <c r="Y1317" s="28">
        <f t="shared" si="504"/>
        <v>0</v>
      </c>
      <c r="Z1317" s="28">
        <f t="shared" si="504"/>
        <v>0</v>
      </c>
      <c r="AA1317" s="28"/>
      <c r="AB1317" s="28">
        <f t="shared" si="504"/>
        <v>0</v>
      </c>
      <c r="AC1317" s="28">
        <f t="shared" si="504"/>
        <v>0</v>
      </c>
      <c r="AD1317" s="28"/>
      <c r="AE1317" s="28"/>
    </row>
    <row r="1318" spans="1:31" s="1" customFormat="1" x14ac:dyDescent="0.25">
      <c r="A1318" s="21"/>
      <c r="B1318" s="22"/>
      <c r="C1318" s="22"/>
      <c r="D1318" s="65"/>
      <c r="E1318" s="24"/>
      <c r="F1318" s="24"/>
      <c r="G1318" s="24"/>
      <c r="H1318" s="24"/>
      <c r="I1318" s="24"/>
      <c r="J1318" s="24"/>
      <c r="K1318" s="24"/>
      <c r="L1318" s="24"/>
      <c r="M1318" s="24"/>
      <c r="N1318" s="24"/>
      <c r="O1318" s="24"/>
      <c r="P1318" s="24"/>
      <c r="Q1318" s="24"/>
      <c r="R1318" s="24"/>
      <c r="S1318" s="24"/>
      <c r="T1318" s="24"/>
      <c r="U1318" s="24"/>
      <c r="V1318" s="24"/>
      <c r="W1318" s="24"/>
      <c r="X1318" s="24"/>
      <c r="Y1318" s="24"/>
      <c r="Z1318" s="24"/>
      <c r="AA1318" s="24"/>
      <c r="AB1318" s="24"/>
      <c r="AC1318" s="24"/>
      <c r="AD1318" s="24"/>
      <c r="AE1318" s="24"/>
    </row>
    <row r="1319" spans="1:31" s="1" customFormat="1" x14ac:dyDescent="0.25">
      <c r="A1319" s="21"/>
      <c r="B1319" s="22"/>
      <c r="C1319" s="22"/>
      <c r="D1319" s="65"/>
      <c r="E1319" s="24"/>
      <c r="F1319" s="24"/>
      <c r="G1319" s="24"/>
      <c r="H1319" s="24"/>
      <c r="I1319" s="24"/>
      <c r="J1319" s="24"/>
      <c r="K1319" s="24"/>
      <c r="L1319" s="24"/>
      <c r="M1319" s="24"/>
      <c r="N1319" s="24"/>
      <c r="O1319" s="24"/>
      <c r="P1319" s="24"/>
      <c r="Q1319" s="24"/>
      <c r="R1319" s="24"/>
      <c r="S1319" s="24"/>
      <c r="T1319" s="24"/>
      <c r="U1319" s="24"/>
      <c r="V1319" s="24"/>
      <c r="W1319" s="24"/>
      <c r="X1319" s="24"/>
      <c r="Y1319" s="24"/>
      <c r="Z1319" s="24"/>
      <c r="AA1319" s="24"/>
      <c r="AB1319" s="24"/>
      <c r="AC1319" s="24"/>
      <c r="AD1319" s="24"/>
      <c r="AE1319" s="24"/>
    </row>
    <row r="1320" spans="1:31" s="1" customFormat="1" x14ac:dyDescent="0.25">
      <c r="A1320" s="21"/>
      <c r="B1320" s="22"/>
      <c r="C1320" s="22"/>
      <c r="D1320" s="65"/>
      <c r="E1320" s="24"/>
      <c r="F1320" s="24"/>
      <c r="G1320" s="24"/>
      <c r="H1320" s="24"/>
      <c r="I1320" s="24"/>
      <c r="J1320" s="24"/>
      <c r="K1320" s="24"/>
      <c r="L1320" s="24"/>
      <c r="M1320" s="24"/>
      <c r="N1320" s="24"/>
      <c r="O1320" s="24"/>
      <c r="P1320" s="24"/>
      <c r="Q1320" s="24"/>
      <c r="R1320" s="24"/>
      <c r="S1320" s="24"/>
      <c r="T1320" s="24"/>
      <c r="U1320" s="24"/>
      <c r="V1320" s="24"/>
      <c r="W1320" s="24"/>
      <c r="X1320" s="24"/>
      <c r="Y1320" s="24"/>
      <c r="Z1320" s="24"/>
      <c r="AA1320" s="24"/>
      <c r="AB1320" s="24"/>
      <c r="AC1320" s="24"/>
      <c r="AD1320" s="24"/>
      <c r="AE1320" s="24"/>
    </row>
    <row r="1321" spans="1:31" s="1" customFormat="1" ht="25.5" x14ac:dyDescent="0.25">
      <c r="A1321" s="25"/>
      <c r="B1321" s="26" t="s">
        <v>1469</v>
      </c>
      <c r="C1321" s="26"/>
      <c r="D1321" s="64" t="s">
        <v>1470</v>
      </c>
      <c r="E1321" s="28"/>
      <c r="F1321" s="28"/>
      <c r="G1321" s="28"/>
      <c r="H1321" s="28"/>
      <c r="I1321" s="28"/>
      <c r="J1321" s="28"/>
      <c r="K1321" s="28"/>
      <c r="L1321" s="28"/>
      <c r="M1321" s="28">
        <f>SUM(M1322:M1324)</f>
        <v>0</v>
      </c>
      <c r="N1321" s="28"/>
      <c r="O1321" s="28">
        <f t="shared" ref="O1321:AC1321" si="505">SUM(O1322:O1324)</f>
        <v>0</v>
      </c>
      <c r="P1321" s="28">
        <f t="shared" si="505"/>
        <v>0</v>
      </c>
      <c r="Q1321" s="28">
        <f t="shared" si="505"/>
        <v>0</v>
      </c>
      <c r="R1321" s="28">
        <f t="shared" si="505"/>
        <v>0</v>
      </c>
      <c r="S1321" s="28">
        <f t="shared" si="505"/>
        <v>0</v>
      </c>
      <c r="T1321" s="28"/>
      <c r="U1321" s="28">
        <f t="shared" si="505"/>
        <v>0</v>
      </c>
      <c r="V1321" s="28"/>
      <c r="W1321" s="28">
        <f t="shared" si="505"/>
        <v>0</v>
      </c>
      <c r="X1321" s="28"/>
      <c r="Y1321" s="28">
        <f t="shared" si="505"/>
        <v>0</v>
      </c>
      <c r="Z1321" s="28">
        <f t="shared" si="505"/>
        <v>0</v>
      </c>
      <c r="AA1321" s="28"/>
      <c r="AB1321" s="28">
        <f t="shared" si="505"/>
        <v>0</v>
      </c>
      <c r="AC1321" s="28">
        <f t="shared" si="505"/>
        <v>0</v>
      </c>
      <c r="AD1321" s="28"/>
      <c r="AE1321" s="28"/>
    </row>
    <row r="1322" spans="1:31" s="1" customFormat="1" x14ac:dyDescent="0.25">
      <c r="A1322" s="21"/>
      <c r="B1322" s="22"/>
      <c r="C1322" s="22"/>
      <c r="D1322" s="65"/>
      <c r="E1322" s="24"/>
      <c r="F1322" s="24"/>
      <c r="G1322" s="24"/>
      <c r="H1322" s="24"/>
      <c r="I1322" s="24"/>
      <c r="J1322" s="24"/>
      <c r="K1322" s="24"/>
      <c r="L1322" s="24"/>
      <c r="M1322" s="24"/>
      <c r="N1322" s="24"/>
      <c r="O1322" s="24"/>
      <c r="P1322" s="24"/>
      <c r="Q1322" s="24"/>
      <c r="R1322" s="24"/>
      <c r="S1322" s="24"/>
      <c r="T1322" s="24"/>
      <c r="U1322" s="24"/>
      <c r="V1322" s="24"/>
      <c r="W1322" s="24"/>
      <c r="X1322" s="24"/>
      <c r="Y1322" s="24"/>
      <c r="Z1322" s="24"/>
      <c r="AA1322" s="24"/>
      <c r="AB1322" s="24"/>
      <c r="AC1322" s="24"/>
      <c r="AD1322" s="24"/>
      <c r="AE1322" s="24"/>
    </row>
    <row r="1323" spans="1:31" s="1" customFormat="1" x14ac:dyDescent="0.25">
      <c r="A1323" s="21"/>
      <c r="B1323" s="22"/>
      <c r="C1323" s="22"/>
      <c r="D1323" s="65"/>
      <c r="E1323" s="24"/>
      <c r="F1323" s="24"/>
      <c r="G1323" s="24"/>
      <c r="H1323" s="24"/>
      <c r="I1323" s="24"/>
      <c r="J1323" s="24"/>
      <c r="K1323" s="24"/>
      <c r="L1323" s="24"/>
      <c r="M1323" s="24"/>
      <c r="N1323" s="24"/>
      <c r="O1323" s="24"/>
      <c r="P1323" s="24"/>
      <c r="Q1323" s="24"/>
      <c r="R1323" s="24"/>
      <c r="S1323" s="24"/>
      <c r="T1323" s="24"/>
      <c r="U1323" s="24"/>
      <c r="V1323" s="24"/>
      <c r="W1323" s="24"/>
      <c r="X1323" s="24"/>
      <c r="Y1323" s="24"/>
      <c r="Z1323" s="24"/>
      <c r="AA1323" s="24"/>
      <c r="AB1323" s="24"/>
      <c r="AC1323" s="24"/>
      <c r="AD1323" s="24"/>
      <c r="AE1323" s="24"/>
    </row>
    <row r="1324" spans="1:31" s="1" customFormat="1" x14ac:dyDescent="0.25">
      <c r="A1324" s="21"/>
      <c r="B1324" s="22"/>
      <c r="C1324" s="22"/>
      <c r="D1324" s="65"/>
      <c r="E1324" s="24"/>
      <c r="F1324" s="24"/>
      <c r="G1324" s="24"/>
      <c r="H1324" s="24"/>
      <c r="I1324" s="24"/>
      <c r="J1324" s="24"/>
      <c r="K1324" s="24"/>
      <c r="L1324" s="24"/>
      <c r="M1324" s="24"/>
      <c r="N1324" s="24"/>
      <c r="O1324" s="24"/>
      <c r="P1324" s="24"/>
      <c r="Q1324" s="24"/>
      <c r="R1324" s="24"/>
      <c r="S1324" s="24"/>
      <c r="T1324" s="24"/>
      <c r="U1324" s="24"/>
      <c r="V1324" s="24"/>
      <c r="W1324" s="24"/>
      <c r="X1324" s="24"/>
      <c r="Y1324" s="24"/>
      <c r="Z1324" s="24"/>
      <c r="AA1324" s="24"/>
      <c r="AB1324" s="24"/>
      <c r="AC1324" s="24"/>
      <c r="AD1324" s="24"/>
      <c r="AE1324" s="24"/>
    </row>
    <row r="1325" spans="1:31" s="1" customFormat="1" ht="25.5" x14ac:dyDescent="0.25">
      <c r="A1325" s="25"/>
      <c r="B1325" s="26" t="s">
        <v>1471</v>
      </c>
      <c r="C1325" s="26"/>
      <c r="D1325" s="64" t="s">
        <v>1472</v>
      </c>
      <c r="E1325" s="28"/>
      <c r="F1325" s="28"/>
      <c r="G1325" s="28"/>
      <c r="H1325" s="28"/>
      <c r="I1325" s="28"/>
      <c r="J1325" s="28"/>
      <c r="K1325" s="28"/>
      <c r="L1325" s="28"/>
      <c r="M1325" s="28">
        <f>SUM(M1326:M1328)</f>
        <v>0</v>
      </c>
      <c r="N1325" s="28"/>
      <c r="O1325" s="28">
        <f t="shared" ref="O1325:AC1325" si="506">SUM(O1326:O1328)</f>
        <v>0</v>
      </c>
      <c r="P1325" s="28">
        <f t="shared" si="506"/>
        <v>0</v>
      </c>
      <c r="Q1325" s="28">
        <f t="shared" si="506"/>
        <v>0</v>
      </c>
      <c r="R1325" s="28">
        <f t="shared" si="506"/>
        <v>0</v>
      </c>
      <c r="S1325" s="28">
        <f t="shared" si="506"/>
        <v>0</v>
      </c>
      <c r="T1325" s="28"/>
      <c r="U1325" s="28">
        <f t="shared" si="506"/>
        <v>0</v>
      </c>
      <c r="V1325" s="28"/>
      <c r="W1325" s="28">
        <f t="shared" si="506"/>
        <v>0</v>
      </c>
      <c r="X1325" s="28"/>
      <c r="Y1325" s="28">
        <f t="shared" si="506"/>
        <v>0</v>
      </c>
      <c r="Z1325" s="28">
        <f t="shared" si="506"/>
        <v>0</v>
      </c>
      <c r="AA1325" s="28"/>
      <c r="AB1325" s="28">
        <f t="shared" si="506"/>
        <v>0</v>
      </c>
      <c r="AC1325" s="28">
        <f t="shared" si="506"/>
        <v>0</v>
      </c>
      <c r="AD1325" s="28"/>
      <c r="AE1325" s="28"/>
    </row>
    <row r="1326" spans="1:31" s="1" customFormat="1" x14ac:dyDescent="0.25">
      <c r="A1326" s="21"/>
      <c r="B1326" s="22"/>
      <c r="C1326" s="22"/>
      <c r="D1326" s="65"/>
      <c r="E1326" s="24"/>
      <c r="F1326" s="24"/>
      <c r="G1326" s="24"/>
      <c r="H1326" s="24"/>
      <c r="I1326" s="24"/>
      <c r="J1326" s="24"/>
      <c r="K1326" s="24"/>
      <c r="L1326" s="24"/>
      <c r="M1326" s="24"/>
      <c r="N1326" s="24"/>
      <c r="O1326" s="24"/>
      <c r="P1326" s="24"/>
      <c r="Q1326" s="24"/>
      <c r="R1326" s="24"/>
      <c r="S1326" s="24"/>
      <c r="T1326" s="24"/>
      <c r="U1326" s="24"/>
      <c r="V1326" s="24"/>
      <c r="W1326" s="24"/>
      <c r="X1326" s="24"/>
      <c r="Y1326" s="24"/>
      <c r="Z1326" s="24"/>
      <c r="AA1326" s="24"/>
      <c r="AB1326" s="24"/>
      <c r="AC1326" s="24"/>
      <c r="AD1326" s="24"/>
      <c r="AE1326" s="24"/>
    </row>
    <row r="1327" spans="1:31" s="1" customFormat="1" x14ac:dyDescent="0.25">
      <c r="A1327" s="21"/>
      <c r="B1327" s="22"/>
      <c r="C1327" s="22"/>
      <c r="D1327" s="65"/>
      <c r="E1327" s="24"/>
      <c r="F1327" s="24"/>
      <c r="G1327" s="24"/>
      <c r="H1327" s="24"/>
      <c r="I1327" s="24"/>
      <c r="J1327" s="24"/>
      <c r="K1327" s="24"/>
      <c r="L1327" s="24"/>
      <c r="M1327" s="24"/>
      <c r="N1327" s="24"/>
      <c r="O1327" s="24"/>
      <c r="P1327" s="24"/>
      <c r="Q1327" s="24"/>
      <c r="R1327" s="24"/>
      <c r="S1327" s="24"/>
      <c r="T1327" s="24"/>
      <c r="U1327" s="24"/>
      <c r="V1327" s="24"/>
      <c r="W1327" s="24"/>
      <c r="X1327" s="24"/>
      <c r="Y1327" s="24"/>
      <c r="Z1327" s="24"/>
      <c r="AA1327" s="24"/>
      <c r="AB1327" s="24"/>
      <c r="AC1327" s="24"/>
      <c r="AD1327" s="24"/>
      <c r="AE1327" s="24"/>
    </row>
    <row r="1328" spans="1:31" s="1" customFormat="1" x14ac:dyDescent="0.25">
      <c r="A1328" s="21"/>
      <c r="B1328" s="22"/>
      <c r="C1328" s="22"/>
      <c r="D1328" s="65"/>
      <c r="E1328" s="24"/>
      <c r="F1328" s="24"/>
      <c r="G1328" s="24"/>
      <c r="H1328" s="24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  <c r="S1328" s="24"/>
      <c r="T1328" s="24"/>
      <c r="U1328" s="24"/>
      <c r="V1328" s="24"/>
      <c r="W1328" s="24"/>
      <c r="X1328" s="24"/>
      <c r="Y1328" s="24"/>
      <c r="Z1328" s="24"/>
      <c r="AA1328" s="24"/>
      <c r="AB1328" s="24"/>
      <c r="AC1328" s="24"/>
      <c r="AD1328" s="24"/>
      <c r="AE1328" s="24"/>
    </row>
    <row r="1329" spans="1:31" s="1" customFormat="1" x14ac:dyDescent="0.25">
      <c r="A1329" s="25"/>
      <c r="B1329" s="26" t="s">
        <v>1473</v>
      </c>
      <c r="C1329" s="26"/>
      <c r="D1329" s="64" t="s">
        <v>1474</v>
      </c>
      <c r="E1329" s="28"/>
      <c r="F1329" s="28"/>
      <c r="G1329" s="28"/>
      <c r="H1329" s="28"/>
      <c r="I1329" s="28"/>
      <c r="J1329" s="28"/>
      <c r="K1329" s="28"/>
      <c r="L1329" s="28"/>
      <c r="M1329" s="28">
        <f>SUM(M1330:M1332)</f>
        <v>0</v>
      </c>
      <c r="N1329" s="28"/>
      <c r="O1329" s="28">
        <f t="shared" ref="O1329:AC1329" si="507">SUM(O1330:O1332)</f>
        <v>0</v>
      </c>
      <c r="P1329" s="28">
        <f t="shared" si="507"/>
        <v>0</v>
      </c>
      <c r="Q1329" s="28">
        <f t="shared" si="507"/>
        <v>0</v>
      </c>
      <c r="R1329" s="28">
        <f t="shared" si="507"/>
        <v>0</v>
      </c>
      <c r="S1329" s="28">
        <f t="shared" si="507"/>
        <v>0</v>
      </c>
      <c r="T1329" s="28"/>
      <c r="U1329" s="28">
        <f t="shared" si="507"/>
        <v>0</v>
      </c>
      <c r="V1329" s="28"/>
      <c r="W1329" s="28">
        <f t="shared" si="507"/>
        <v>0</v>
      </c>
      <c r="X1329" s="28"/>
      <c r="Y1329" s="28">
        <f t="shared" si="507"/>
        <v>0</v>
      </c>
      <c r="Z1329" s="28">
        <f t="shared" si="507"/>
        <v>0</v>
      </c>
      <c r="AA1329" s="28"/>
      <c r="AB1329" s="28">
        <f t="shared" si="507"/>
        <v>0</v>
      </c>
      <c r="AC1329" s="28">
        <f t="shared" si="507"/>
        <v>0</v>
      </c>
      <c r="AD1329" s="28"/>
      <c r="AE1329" s="28"/>
    </row>
    <row r="1330" spans="1:31" s="1" customFormat="1" x14ac:dyDescent="0.25">
      <c r="A1330" s="21"/>
      <c r="B1330" s="22"/>
      <c r="C1330" s="22"/>
      <c r="D1330" s="65"/>
      <c r="E1330" s="24"/>
      <c r="F1330" s="24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  <c r="S1330" s="24"/>
      <c r="T1330" s="24"/>
      <c r="U1330" s="24"/>
      <c r="V1330" s="24"/>
      <c r="W1330" s="24"/>
      <c r="X1330" s="24"/>
      <c r="Y1330" s="24"/>
      <c r="Z1330" s="24"/>
      <c r="AA1330" s="24"/>
      <c r="AB1330" s="24"/>
      <c r="AC1330" s="24"/>
      <c r="AD1330" s="24"/>
      <c r="AE1330" s="24"/>
    </row>
    <row r="1331" spans="1:31" s="1" customFormat="1" x14ac:dyDescent="0.25">
      <c r="A1331" s="21"/>
      <c r="B1331" s="22"/>
      <c r="C1331" s="22"/>
      <c r="D1331" s="65"/>
      <c r="E1331" s="24"/>
      <c r="F1331" s="24"/>
      <c r="G1331" s="24"/>
      <c r="H1331" s="24"/>
      <c r="I1331" s="24"/>
      <c r="J1331" s="24"/>
      <c r="K1331" s="24"/>
      <c r="L1331" s="24"/>
      <c r="M1331" s="24"/>
      <c r="N1331" s="24"/>
      <c r="O1331" s="24"/>
      <c r="P1331" s="24"/>
      <c r="Q1331" s="24"/>
      <c r="R1331" s="24"/>
      <c r="S1331" s="24"/>
      <c r="T1331" s="24"/>
      <c r="U1331" s="24"/>
      <c r="V1331" s="24"/>
      <c r="W1331" s="24"/>
      <c r="X1331" s="24"/>
      <c r="Y1331" s="24"/>
      <c r="Z1331" s="24"/>
      <c r="AA1331" s="24"/>
      <c r="AB1331" s="24"/>
      <c r="AC1331" s="24"/>
      <c r="AD1331" s="24"/>
      <c r="AE1331" s="24"/>
    </row>
    <row r="1332" spans="1:31" s="1" customFormat="1" x14ac:dyDescent="0.25">
      <c r="A1332" s="21"/>
      <c r="B1332" s="22"/>
      <c r="C1332" s="22"/>
      <c r="D1332" s="65"/>
      <c r="E1332" s="24"/>
      <c r="F1332" s="24"/>
      <c r="G1332" s="24"/>
      <c r="H1332" s="24"/>
      <c r="I1332" s="24"/>
      <c r="J1332" s="24"/>
      <c r="K1332" s="24"/>
      <c r="L1332" s="24"/>
      <c r="M1332" s="24"/>
      <c r="N1332" s="24"/>
      <c r="O1332" s="24"/>
      <c r="P1332" s="24"/>
      <c r="Q1332" s="24"/>
      <c r="R1332" s="24"/>
      <c r="S1332" s="24"/>
      <c r="T1332" s="24"/>
      <c r="U1332" s="24"/>
      <c r="V1332" s="24"/>
      <c r="W1332" s="24"/>
      <c r="X1332" s="24"/>
      <c r="Y1332" s="24"/>
      <c r="Z1332" s="24"/>
      <c r="AA1332" s="24"/>
      <c r="AB1332" s="24"/>
      <c r="AC1332" s="24"/>
      <c r="AD1332" s="24"/>
      <c r="AE1332" s="24"/>
    </row>
    <row r="1333" spans="1:31" s="1" customFormat="1" ht="38.25" x14ac:dyDescent="0.25">
      <c r="A1333" s="17"/>
      <c r="B1333" s="18" t="s">
        <v>1475</v>
      </c>
      <c r="C1333" s="18"/>
      <c r="D1333" s="84" t="s">
        <v>1476</v>
      </c>
      <c r="E1333" s="20"/>
      <c r="F1333" s="20"/>
      <c r="G1333" s="20"/>
      <c r="H1333" s="20"/>
      <c r="I1333" s="20"/>
      <c r="J1333" s="20"/>
      <c r="K1333" s="20"/>
      <c r="L1333" s="20"/>
      <c r="M1333" s="20">
        <f>M1334+M1338+M1342</f>
        <v>0</v>
      </c>
      <c r="N1333" s="20"/>
      <c r="O1333" s="20">
        <f t="shared" ref="O1333:AC1333" si="508">O1334+O1338+O1342</f>
        <v>0</v>
      </c>
      <c r="P1333" s="20">
        <f t="shared" si="508"/>
        <v>0</v>
      </c>
      <c r="Q1333" s="20">
        <f t="shared" si="508"/>
        <v>0</v>
      </c>
      <c r="R1333" s="20">
        <f t="shared" si="508"/>
        <v>0</v>
      </c>
      <c r="S1333" s="20">
        <f t="shared" si="508"/>
        <v>0</v>
      </c>
      <c r="T1333" s="20"/>
      <c r="U1333" s="20">
        <f t="shared" si="508"/>
        <v>0</v>
      </c>
      <c r="V1333" s="20"/>
      <c r="W1333" s="20">
        <f t="shared" si="508"/>
        <v>0</v>
      </c>
      <c r="X1333" s="20"/>
      <c r="Y1333" s="20">
        <f t="shared" si="508"/>
        <v>0</v>
      </c>
      <c r="Z1333" s="20">
        <f t="shared" si="508"/>
        <v>0</v>
      </c>
      <c r="AA1333" s="20"/>
      <c r="AB1333" s="20">
        <f t="shared" si="508"/>
        <v>0</v>
      </c>
      <c r="AC1333" s="20">
        <f t="shared" si="508"/>
        <v>0</v>
      </c>
      <c r="AD1333" s="20"/>
      <c r="AE1333" s="20"/>
    </row>
    <row r="1334" spans="1:31" s="1" customFormat="1" x14ac:dyDescent="0.25">
      <c r="A1334" s="25"/>
      <c r="B1334" s="26" t="s">
        <v>1477</v>
      </c>
      <c r="C1334" s="26"/>
      <c r="D1334" s="64" t="s">
        <v>1478</v>
      </c>
      <c r="E1334" s="28"/>
      <c r="F1334" s="28"/>
      <c r="G1334" s="28"/>
      <c r="H1334" s="28"/>
      <c r="I1334" s="28"/>
      <c r="J1334" s="28"/>
      <c r="K1334" s="28"/>
      <c r="L1334" s="28"/>
      <c r="M1334" s="28">
        <f>SUM(M1335:M1337)</f>
        <v>0</v>
      </c>
      <c r="N1334" s="28"/>
      <c r="O1334" s="28">
        <f t="shared" ref="O1334:AC1334" si="509">SUM(O1335:O1337)</f>
        <v>0</v>
      </c>
      <c r="P1334" s="28">
        <f t="shared" si="509"/>
        <v>0</v>
      </c>
      <c r="Q1334" s="28">
        <f t="shared" si="509"/>
        <v>0</v>
      </c>
      <c r="R1334" s="28">
        <f t="shared" si="509"/>
        <v>0</v>
      </c>
      <c r="S1334" s="28">
        <f t="shared" si="509"/>
        <v>0</v>
      </c>
      <c r="T1334" s="28"/>
      <c r="U1334" s="28">
        <f t="shared" si="509"/>
        <v>0</v>
      </c>
      <c r="V1334" s="28"/>
      <c r="W1334" s="28">
        <f t="shared" si="509"/>
        <v>0</v>
      </c>
      <c r="X1334" s="28"/>
      <c r="Y1334" s="28">
        <f t="shared" si="509"/>
        <v>0</v>
      </c>
      <c r="Z1334" s="28">
        <f t="shared" si="509"/>
        <v>0</v>
      </c>
      <c r="AA1334" s="28"/>
      <c r="AB1334" s="28">
        <f t="shared" si="509"/>
        <v>0</v>
      </c>
      <c r="AC1334" s="28">
        <f t="shared" si="509"/>
        <v>0</v>
      </c>
      <c r="AD1334" s="28"/>
      <c r="AE1334" s="28"/>
    </row>
    <row r="1335" spans="1:31" s="1" customFormat="1" x14ac:dyDescent="0.25">
      <c r="A1335" s="21"/>
      <c r="B1335" s="22"/>
      <c r="C1335" s="22"/>
      <c r="D1335" s="65"/>
      <c r="E1335" s="24"/>
      <c r="F1335" s="24"/>
      <c r="G1335" s="24"/>
      <c r="H1335" s="24"/>
      <c r="I1335" s="24"/>
      <c r="J1335" s="24"/>
      <c r="K1335" s="24"/>
      <c r="L1335" s="24"/>
      <c r="M1335" s="24"/>
      <c r="N1335" s="24"/>
      <c r="O1335" s="24"/>
      <c r="P1335" s="24"/>
      <c r="Q1335" s="24"/>
      <c r="R1335" s="24"/>
      <c r="S1335" s="24"/>
      <c r="T1335" s="24"/>
      <c r="U1335" s="24"/>
      <c r="V1335" s="24"/>
      <c r="W1335" s="24"/>
      <c r="X1335" s="24"/>
      <c r="Y1335" s="24"/>
      <c r="Z1335" s="24"/>
      <c r="AA1335" s="24"/>
      <c r="AB1335" s="24"/>
      <c r="AC1335" s="24"/>
      <c r="AD1335" s="24"/>
      <c r="AE1335" s="24"/>
    </row>
    <row r="1336" spans="1:31" s="1" customFormat="1" x14ac:dyDescent="0.25">
      <c r="A1336" s="21"/>
      <c r="B1336" s="22"/>
      <c r="C1336" s="22"/>
      <c r="D1336" s="65"/>
      <c r="E1336" s="24"/>
      <c r="F1336" s="24"/>
      <c r="G1336" s="24"/>
      <c r="H1336" s="24"/>
      <c r="I1336" s="24"/>
      <c r="J1336" s="24"/>
      <c r="K1336" s="24"/>
      <c r="L1336" s="24"/>
      <c r="M1336" s="24"/>
      <c r="N1336" s="24"/>
      <c r="O1336" s="24"/>
      <c r="P1336" s="24"/>
      <c r="Q1336" s="24"/>
      <c r="R1336" s="24"/>
      <c r="S1336" s="24"/>
      <c r="T1336" s="24"/>
      <c r="U1336" s="24"/>
      <c r="V1336" s="24"/>
      <c r="W1336" s="24"/>
      <c r="X1336" s="24"/>
      <c r="Y1336" s="24"/>
      <c r="Z1336" s="24"/>
      <c r="AA1336" s="24"/>
      <c r="AB1336" s="24"/>
      <c r="AC1336" s="24"/>
      <c r="AD1336" s="24"/>
      <c r="AE1336" s="24"/>
    </row>
    <row r="1337" spans="1:31" s="1" customFormat="1" x14ac:dyDescent="0.25">
      <c r="A1337" s="21"/>
      <c r="B1337" s="22"/>
      <c r="C1337" s="22"/>
      <c r="D1337" s="65"/>
      <c r="E1337" s="24"/>
      <c r="F1337" s="24"/>
      <c r="G1337" s="24"/>
      <c r="H1337" s="24"/>
      <c r="I1337" s="24"/>
      <c r="J1337" s="24"/>
      <c r="K1337" s="24"/>
      <c r="L1337" s="24"/>
      <c r="M1337" s="24"/>
      <c r="N1337" s="24"/>
      <c r="O1337" s="24"/>
      <c r="P1337" s="24"/>
      <c r="Q1337" s="24"/>
      <c r="R1337" s="24"/>
      <c r="S1337" s="24"/>
      <c r="T1337" s="24"/>
      <c r="U1337" s="24"/>
      <c r="V1337" s="24"/>
      <c r="W1337" s="24"/>
      <c r="X1337" s="24"/>
      <c r="Y1337" s="24"/>
      <c r="Z1337" s="24"/>
      <c r="AA1337" s="24"/>
      <c r="AB1337" s="24"/>
      <c r="AC1337" s="24"/>
      <c r="AD1337" s="24"/>
      <c r="AE1337" s="24"/>
    </row>
    <row r="1338" spans="1:31" s="1" customFormat="1" x14ac:dyDescent="0.25">
      <c r="A1338" s="25"/>
      <c r="B1338" s="26" t="s">
        <v>1479</v>
      </c>
      <c r="C1338" s="26"/>
      <c r="D1338" s="64" t="s">
        <v>1480</v>
      </c>
      <c r="E1338" s="28"/>
      <c r="F1338" s="28"/>
      <c r="G1338" s="28"/>
      <c r="H1338" s="28"/>
      <c r="I1338" s="28"/>
      <c r="J1338" s="28"/>
      <c r="K1338" s="28"/>
      <c r="L1338" s="28"/>
      <c r="M1338" s="28">
        <f>SUM(M1339:M1341)</f>
        <v>0</v>
      </c>
      <c r="N1338" s="28"/>
      <c r="O1338" s="28">
        <f t="shared" ref="O1338:AC1338" si="510">SUM(O1339:O1341)</f>
        <v>0</v>
      </c>
      <c r="P1338" s="28">
        <f t="shared" si="510"/>
        <v>0</v>
      </c>
      <c r="Q1338" s="28">
        <f t="shared" si="510"/>
        <v>0</v>
      </c>
      <c r="R1338" s="28">
        <f t="shared" si="510"/>
        <v>0</v>
      </c>
      <c r="S1338" s="28">
        <f t="shared" si="510"/>
        <v>0</v>
      </c>
      <c r="T1338" s="28"/>
      <c r="U1338" s="28">
        <f t="shared" si="510"/>
        <v>0</v>
      </c>
      <c r="V1338" s="28"/>
      <c r="W1338" s="28">
        <f t="shared" si="510"/>
        <v>0</v>
      </c>
      <c r="X1338" s="28"/>
      <c r="Y1338" s="28">
        <f t="shared" si="510"/>
        <v>0</v>
      </c>
      <c r="Z1338" s="28">
        <f t="shared" si="510"/>
        <v>0</v>
      </c>
      <c r="AA1338" s="28"/>
      <c r="AB1338" s="28">
        <f t="shared" si="510"/>
        <v>0</v>
      </c>
      <c r="AC1338" s="28">
        <f t="shared" si="510"/>
        <v>0</v>
      </c>
      <c r="AD1338" s="28"/>
      <c r="AE1338" s="28"/>
    </row>
    <row r="1339" spans="1:31" s="1" customFormat="1" x14ac:dyDescent="0.25">
      <c r="A1339" s="21"/>
      <c r="B1339" s="22"/>
      <c r="C1339" s="22"/>
      <c r="D1339" s="65"/>
      <c r="E1339" s="24"/>
      <c r="F1339" s="24"/>
      <c r="G1339" s="24"/>
      <c r="H1339" s="24"/>
      <c r="I1339" s="24"/>
      <c r="J1339" s="24"/>
      <c r="K1339" s="24"/>
      <c r="L1339" s="24"/>
      <c r="M1339" s="24"/>
      <c r="N1339" s="24"/>
      <c r="O1339" s="24"/>
      <c r="P1339" s="24"/>
      <c r="Q1339" s="24"/>
      <c r="R1339" s="24"/>
      <c r="S1339" s="24"/>
      <c r="T1339" s="24"/>
      <c r="U1339" s="24"/>
      <c r="V1339" s="24"/>
      <c r="W1339" s="24"/>
      <c r="X1339" s="24"/>
      <c r="Y1339" s="24"/>
      <c r="Z1339" s="24"/>
      <c r="AA1339" s="24"/>
      <c r="AB1339" s="24"/>
      <c r="AC1339" s="24"/>
      <c r="AD1339" s="24"/>
      <c r="AE1339" s="24"/>
    </row>
    <row r="1340" spans="1:31" s="1" customFormat="1" x14ac:dyDescent="0.25">
      <c r="A1340" s="21"/>
      <c r="B1340" s="22"/>
      <c r="C1340" s="22"/>
      <c r="D1340" s="65"/>
      <c r="E1340" s="24"/>
      <c r="F1340" s="24"/>
      <c r="G1340" s="24"/>
      <c r="H1340" s="24"/>
      <c r="I1340" s="24"/>
      <c r="J1340" s="24"/>
      <c r="K1340" s="24"/>
      <c r="L1340" s="24"/>
      <c r="M1340" s="24"/>
      <c r="N1340" s="24"/>
      <c r="O1340" s="24"/>
      <c r="P1340" s="24"/>
      <c r="Q1340" s="24"/>
      <c r="R1340" s="24"/>
      <c r="S1340" s="24"/>
      <c r="T1340" s="24"/>
      <c r="U1340" s="24"/>
      <c r="V1340" s="24"/>
      <c r="W1340" s="24"/>
      <c r="X1340" s="24"/>
      <c r="Y1340" s="24"/>
      <c r="Z1340" s="24"/>
      <c r="AA1340" s="24"/>
      <c r="AB1340" s="24"/>
      <c r="AC1340" s="24"/>
      <c r="AD1340" s="24"/>
      <c r="AE1340" s="24"/>
    </row>
    <row r="1341" spans="1:31" s="1" customFormat="1" x14ac:dyDescent="0.25">
      <c r="A1341" s="21"/>
      <c r="B1341" s="22"/>
      <c r="C1341" s="22"/>
      <c r="D1341" s="65"/>
      <c r="E1341" s="24"/>
      <c r="F1341" s="24"/>
      <c r="G1341" s="24"/>
      <c r="H1341" s="24"/>
      <c r="I1341" s="24"/>
      <c r="J1341" s="24"/>
      <c r="K1341" s="24"/>
      <c r="L1341" s="24"/>
      <c r="M1341" s="24"/>
      <c r="N1341" s="24"/>
      <c r="O1341" s="24"/>
      <c r="P1341" s="24"/>
      <c r="Q1341" s="24"/>
      <c r="R1341" s="24"/>
      <c r="S1341" s="24"/>
      <c r="T1341" s="24"/>
      <c r="U1341" s="24"/>
      <c r="V1341" s="24"/>
      <c r="W1341" s="24"/>
      <c r="X1341" s="24"/>
      <c r="Y1341" s="24"/>
      <c r="Z1341" s="24"/>
      <c r="AA1341" s="24"/>
      <c r="AB1341" s="24"/>
      <c r="AC1341" s="24"/>
      <c r="AD1341" s="24"/>
      <c r="AE1341" s="24"/>
    </row>
    <row r="1342" spans="1:31" s="1" customFormat="1" x14ac:dyDescent="0.25">
      <c r="A1342" s="25"/>
      <c r="B1342" s="26" t="s">
        <v>1481</v>
      </c>
      <c r="C1342" s="26"/>
      <c r="D1342" s="64" t="s">
        <v>1482</v>
      </c>
      <c r="E1342" s="28"/>
      <c r="F1342" s="28"/>
      <c r="G1342" s="28"/>
      <c r="H1342" s="28"/>
      <c r="I1342" s="28"/>
      <c r="J1342" s="28"/>
      <c r="K1342" s="28"/>
      <c r="L1342" s="28"/>
      <c r="M1342" s="28">
        <f>SUM(M1343:M1345)</f>
        <v>0</v>
      </c>
      <c r="N1342" s="28"/>
      <c r="O1342" s="28">
        <f t="shared" ref="O1342:AC1342" si="511">SUM(O1343:O1345)</f>
        <v>0</v>
      </c>
      <c r="P1342" s="28">
        <f t="shared" si="511"/>
        <v>0</v>
      </c>
      <c r="Q1342" s="28">
        <f t="shared" si="511"/>
        <v>0</v>
      </c>
      <c r="R1342" s="28">
        <f t="shared" si="511"/>
        <v>0</v>
      </c>
      <c r="S1342" s="28">
        <f t="shared" si="511"/>
        <v>0</v>
      </c>
      <c r="T1342" s="28"/>
      <c r="U1342" s="28">
        <f t="shared" si="511"/>
        <v>0</v>
      </c>
      <c r="V1342" s="28"/>
      <c r="W1342" s="28">
        <f t="shared" si="511"/>
        <v>0</v>
      </c>
      <c r="X1342" s="28"/>
      <c r="Y1342" s="28">
        <f t="shared" si="511"/>
        <v>0</v>
      </c>
      <c r="Z1342" s="28">
        <f t="shared" si="511"/>
        <v>0</v>
      </c>
      <c r="AA1342" s="28"/>
      <c r="AB1342" s="28">
        <f t="shared" si="511"/>
        <v>0</v>
      </c>
      <c r="AC1342" s="28">
        <f t="shared" si="511"/>
        <v>0</v>
      </c>
      <c r="AD1342" s="28"/>
      <c r="AE1342" s="28"/>
    </row>
    <row r="1343" spans="1:31" s="1" customFormat="1" x14ac:dyDescent="0.25">
      <c r="A1343" s="21"/>
      <c r="B1343" s="22"/>
      <c r="C1343" s="22"/>
      <c r="D1343" s="65"/>
      <c r="E1343" s="24"/>
      <c r="F1343" s="24"/>
      <c r="G1343" s="24"/>
      <c r="H1343" s="24"/>
      <c r="I1343" s="24"/>
      <c r="J1343" s="24"/>
      <c r="K1343" s="24"/>
      <c r="L1343" s="24"/>
      <c r="M1343" s="24"/>
      <c r="N1343" s="24"/>
      <c r="O1343" s="24"/>
      <c r="P1343" s="24"/>
      <c r="Q1343" s="24"/>
      <c r="R1343" s="24"/>
      <c r="S1343" s="24"/>
      <c r="T1343" s="24"/>
      <c r="U1343" s="24"/>
      <c r="V1343" s="24"/>
      <c r="W1343" s="24"/>
      <c r="X1343" s="24"/>
      <c r="Y1343" s="24"/>
      <c r="Z1343" s="24"/>
      <c r="AA1343" s="24"/>
      <c r="AB1343" s="24"/>
      <c r="AC1343" s="24"/>
      <c r="AD1343" s="24"/>
      <c r="AE1343" s="24"/>
    </row>
    <row r="1344" spans="1:31" s="1" customFormat="1" x14ac:dyDescent="0.25">
      <c r="A1344" s="21"/>
      <c r="B1344" s="22"/>
      <c r="C1344" s="22"/>
      <c r="D1344" s="65"/>
      <c r="E1344" s="24"/>
      <c r="F1344" s="24"/>
      <c r="G1344" s="24"/>
      <c r="H1344" s="24"/>
      <c r="I1344" s="24"/>
      <c r="J1344" s="24"/>
      <c r="K1344" s="24"/>
      <c r="L1344" s="24"/>
      <c r="M1344" s="24"/>
      <c r="N1344" s="24"/>
      <c r="O1344" s="24"/>
      <c r="P1344" s="24"/>
      <c r="Q1344" s="24"/>
      <c r="R1344" s="24"/>
      <c r="S1344" s="24"/>
      <c r="T1344" s="24"/>
      <c r="U1344" s="24"/>
      <c r="V1344" s="24"/>
      <c r="W1344" s="24"/>
      <c r="X1344" s="24"/>
      <c r="Y1344" s="24"/>
      <c r="Z1344" s="24"/>
      <c r="AA1344" s="24"/>
      <c r="AB1344" s="24"/>
      <c r="AC1344" s="24"/>
      <c r="AD1344" s="24"/>
      <c r="AE1344" s="24"/>
    </row>
    <row r="1345" spans="1:31" s="1" customFormat="1" x14ac:dyDescent="0.25">
      <c r="A1345" s="21"/>
      <c r="B1345" s="22"/>
      <c r="C1345" s="22"/>
      <c r="D1345" s="65"/>
      <c r="E1345" s="24"/>
      <c r="F1345" s="24"/>
      <c r="G1345" s="24"/>
      <c r="H1345" s="24"/>
      <c r="I1345" s="24"/>
      <c r="J1345" s="24"/>
      <c r="K1345" s="24"/>
      <c r="L1345" s="24"/>
      <c r="M1345" s="24"/>
      <c r="N1345" s="24"/>
      <c r="O1345" s="24"/>
      <c r="P1345" s="24"/>
      <c r="Q1345" s="24"/>
      <c r="R1345" s="24"/>
      <c r="S1345" s="24"/>
      <c r="T1345" s="24"/>
      <c r="U1345" s="24"/>
      <c r="V1345" s="24"/>
      <c r="W1345" s="24"/>
      <c r="X1345" s="24"/>
      <c r="Y1345" s="24"/>
      <c r="Z1345" s="24"/>
      <c r="AA1345" s="24"/>
      <c r="AB1345" s="24"/>
      <c r="AC1345" s="24"/>
      <c r="AD1345" s="24"/>
      <c r="AE1345" s="24"/>
    </row>
    <row r="1346" spans="1:31" s="1" customFormat="1" x14ac:dyDescent="0.25">
      <c r="A1346" s="17"/>
      <c r="B1346" s="18" t="s">
        <v>1483</v>
      </c>
      <c r="C1346" s="18"/>
      <c r="D1346" s="84" t="s">
        <v>1484</v>
      </c>
      <c r="E1346" s="20"/>
      <c r="F1346" s="20"/>
      <c r="G1346" s="20"/>
      <c r="H1346" s="20"/>
      <c r="I1346" s="20"/>
      <c r="J1346" s="20"/>
      <c r="K1346" s="20"/>
      <c r="L1346" s="20"/>
      <c r="M1346" s="20">
        <f>M1347+M1351+M1355</f>
        <v>0</v>
      </c>
      <c r="N1346" s="20"/>
      <c r="O1346" s="20">
        <f t="shared" ref="O1346:AC1346" si="512">O1347+O1351+O1355</f>
        <v>0</v>
      </c>
      <c r="P1346" s="20">
        <f t="shared" si="512"/>
        <v>0</v>
      </c>
      <c r="Q1346" s="20">
        <f t="shared" si="512"/>
        <v>0</v>
      </c>
      <c r="R1346" s="20">
        <f t="shared" si="512"/>
        <v>0</v>
      </c>
      <c r="S1346" s="20">
        <f t="shared" si="512"/>
        <v>0</v>
      </c>
      <c r="T1346" s="20"/>
      <c r="U1346" s="20">
        <f t="shared" si="512"/>
        <v>0</v>
      </c>
      <c r="V1346" s="20"/>
      <c r="W1346" s="20">
        <f t="shared" si="512"/>
        <v>0</v>
      </c>
      <c r="X1346" s="20"/>
      <c r="Y1346" s="20">
        <f t="shared" si="512"/>
        <v>0</v>
      </c>
      <c r="Z1346" s="20">
        <f t="shared" si="512"/>
        <v>0</v>
      </c>
      <c r="AA1346" s="20"/>
      <c r="AB1346" s="20">
        <f t="shared" si="512"/>
        <v>0</v>
      </c>
      <c r="AC1346" s="20">
        <f t="shared" si="512"/>
        <v>0</v>
      </c>
      <c r="AD1346" s="20"/>
      <c r="AE1346" s="20"/>
    </row>
    <row r="1347" spans="1:31" s="1" customFormat="1" x14ac:dyDescent="0.25">
      <c r="A1347" s="25"/>
      <c r="B1347" s="26" t="s">
        <v>1485</v>
      </c>
      <c r="C1347" s="26"/>
      <c r="D1347" s="64" t="s">
        <v>1486</v>
      </c>
      <c r="E1347" s="28"/>
      <c r="F1347" s="28"/>
      <c r="G1347" s="28"/>
      <c r="H1347" s="28"/>
      <c r="I1347" s="28"/>
      <c r="J1347" s="28"/>
      <c r="K1347" s="28"/>
      <c r="L1347" s="28"/>
      <c r="M1347" s="28">
        <f>SUM(M1348:M1350)</f>
        <v>0</v>
      </c>
      <c r="N1347" s="28"/>
      <c r="O1347" s="28">
        <f t="shared" ref="O1347:AC1347" si="513">SUM(O1348:O1350)</f>
        <v>0</v>
      </c>
      <c r="P1347" s="28">
        <f t="shared" si="513"/>
        <v>0</v>
      </c>
      <c r="Q1347" s="28">
        <f t="shared" si="513"/>
        <v>0</v>
      </c>
      <c r="R1347" s="28">
        <f t="shared" si="513"/>
        <v>0</v>
      </c>
      <c r="S1347" s="28">
        <f t="shared" si="513"/>
        <v>0</v>
      </c>
      <c r="T1347" s="28"/>
      <c r="U1347" s="28">
        <f t="shared" si="513"/>
        <v>0</v>
      </c>
      <c r="V1347" s="28"/>
      <c r="W1347" s="28">
        <f t="shared" si="513"/>
        <v>0</v>
      </c>
      <c r="X1347" s="28"/>
      <c r="Y1347" s="28">
        <f t="shared" si="513"/>
        <v>0</v>
      </c>
      <c r="Z1347" s="28">
        <f t="shared" si="513"/>
        <v>0</v>
      </c>
      <c r="AA1347" s="28"/>
      <c r="AB1347" s="28">
        <f t="shared" si="513"/>
        <v>0</v>
      </c>
      <c r="AC1347" s="28">
        <f t="shared" si="513"/>
        <v>0</v>
      </c>
      <c r="AD1347" s="28"/>
      <c r="AE1347" s="28"/>
    </row>
    <row r="1348" spans="1:31" s="1" customFormat="1" x14ac:dyDescent="0.25">
      <c r="A1348" s="21"/>
      <c r="B1348" s="22"/>
      <c r="C1348" s="22"/>
      <c r="D1348" s="65"/>
      <c r="E1348" s="24"/>
      <c r="F1348" s="24"/>
      <c r="G1348" s="24"/>
      <c r="H1348" s="24"/>
      <c r="I1348" s="24"/>
      <c r="J1348" s="24"/>
      <c r="K1348" s="24"/>
      <c r="L1348" s="24"/>
      <c r="M1348" s="24"/>
      <c r="N1348" s="24"/>
      <c r="O1348" s="24"/>
      <c r="P1348" s="24"/>
      <c r="Q1348" s="24"/>
      <c r="R1348" s="24"/>
      <c r="S1348" s="24"/>
      <c r="T1348" s="24"/>
      <c r="U1348" s="24"/>
      <c r="V1348" s="24"/>
      <c r="W1348" s="24"/>
      <c r="X1348" s="24"/>
      <c r="Y1348" s="24"/>
      <c r="Z1348" s="24"/>
      <c r="AA1348" s="24"/>
      <c r="AB1348" s="24"/>
      <c r="AC1348" s="24"/>
      <c r="AD1348" s="24"/>
      <c r="AE1348" s="24"/>
    </row>
    <row r="1349" spans="1:31" s="1" customFormat="1" x14ac:dyDescent="0.25">
      <c r="A1349" s="21"/>
      <c r="B1349" s="22"/>
      <c r="C1349" s="22"/>
      <c r="D1349" s="65"/>
      <c r="E1349" s="24"/>
      <c r="F1349" s="24"/>
      <c r="G1349" s="24"/>
      <c r="H1349" s="24"/>
      <c r="I1349" s="24"/>
      <c r="J1349" s="24"/>
      <c r="K1349" s="24"/>
      <c r="L1349" s="24"/>
      <c r="M1349" s="24"/>
      <c r="N1349" s="24"/>
      <c r="O1349" s="24"/>
      <c r="P1349" s="24"/>
      <c r="Q1349" s="24"/>
      <c r="R1349" s="24"/>
      <c r="S1349" s="24"/>
      <c r="T1349" s="24"/>
      <c r="U1349" s="24"/>
      <c r="V1349" s="24"/>
      <c r="W1349" s="24"/>
      <c r="X1349" s="24"/>
      <c r="Y1349" s="24"/>
      <c r="Z1349" s="24"/>
      <c r="AA1349" s="24"/>
      <c r="AB1349" s="24"/>
      <c r="AC1349" s="24"/>
      <c r="AD1349" s="24"/>
      <c r="AE1349" s="24"/>
    </row>
    <row r="1350" spans="1:31" s="1" customFormat="1" x14ac:dyDescent="0.25">
      <c r="A1350" s="21"/>
      <c r="B1350" s="22"/>
      <c r="C1350" s="22"/>
      <c r="D1350" s="65"/>
      <c r="E1350" s="24"/>
      <c r="F1350" s="24"/>
      <c r="G1350" s="24"/>
      <c r="H1350" s="24"/>
      <c r="I1350" s="24"/>
      <c r="J1350" s="24"/>
      <c r="K1350" s="24"/>
      <c r="L1350" s="24"/>
      <c r="M1350" s="24"/>
      <c r="N1350" s="24"/>
      <c r="O1350" s="24"/>
      <c r="P1350" s="24"/>
      <c r="Q1350" s="24"/>
      <c r="R1350" s="24"/>
      <c r="S1350" s="24"/>
      <c r="T1350" s="24"/>
      <c r="U1350" s="24"/>
      <c r="V1350" s="24"/>
      <c r="W1350" s="24"/>
      <c r="X1350" s="24"/>
      <c r="Y1350" s="24"/>
      <c r="Z1350" s="24"/>
      <c r="AA1350" s="24"/>
      <c r="AB1350" s="24"/>
      <c r="AC1350" s="24"/>
      <c r="AD1350" s="24"/>
      <c r="AE1350" s="24"/>
    </row>
    <row r="1351" spans="1:31" s="1" customFormat="1" x14ac:dyDescent="0.25">
      <c r="A1351" s="25"/>
      <c r="B1351" s="26" t="s">
        <v>1487</v>
      </c>
      <c r="C1351" s="26"/>
      <c r="D1351" s="64" t="s">
        <v>1488</v>
      </c>
      <c r="E1351" s="28"/>
      <c r="F1351" s="28"/>
      <c r="G1351" s="28"/>
      <c r="H1351" s="28"/>
      <c r="I1351" s="28"/>
      <c r="J1351" s="28"/>
      <c r="K1351" s="28"/>
      <c r="L1351" s="28"/>
      <c r="M1351" s="28">
        <f>SUM(M1352:M1354)</f>
        <v>0</v>
      </c>
      <c r="N1351" s="28"/>
      <c r="O1351" s="28">
        <f t="shared" ref="O1351:AC1351" si="514">SUM(O1352:O1354)</f>
        <v>0</v>
      </c>
      <c r="P1351" s="28">
        <f t="shared" si="514"/>
        <v>0</v>
      </c>
      <c r="Q1351" s="28">
        <f t="shared" si="514"/>
        <v>0</v>
      </c>
      <c r="R1351" s="28">
        <f t="shared" si="514"/>
        <v>0</v>
      </c>
      <c r="S1351" s="28">
        <f t="shared" si="514"/>
        <v>0</v>
      </c>
      <c r="T1351" s="28"/>
      <c r="U1351" s="28">
        <f t="shared" si="514"/>
        <v>0</v>
      </c>
      <c r="V1351" s="28"/>
      <c r="W1351" s="28">
        <f t="shared" si="514"/>
        <v>0</v>
      </c>
      <c r="X1351" s="28"/>
      <c r="Y1351" s="28">
        <f t="shared" si="514"/>
        <v>0</v>
      </c>
      <c r="Z1351" s="28">
        <f t="shared" si="514"/>
        <v>0</v>
      </c>
      <c r="AA1351" s="28"/>
      <c r="AB1351" s="28">
        <f t="shared" si="514"/>
        <v>0</v>
      </c>
      <c r="AC1351" s="28">
        <f t="shared" si="514"/>
        <v>0</v>
      </c>
      <c r="AD1351" s="28"/>
      <c r="AE1351" s="28"/>
    </row>
    <row r="1352" spans="1:31" s="1" customFormat="1" x14ac:dyDescent="0.25">
      <c r="A1352" s="21"/>
      <c r="B1352" s="22"/>
      <c r="C1352" s="22"/>
      <c r="D1352" s="65"/>
      <c r="E1352" s="24"/>
      <c r="F1352" s="24"/>
      <c r="G1352" s="24"/>
      <c r="H1352" s="24"/>
      <c r="I1352" s="24"/>
      <c r="J1352" s="24"/>
      <c r="K1352" s="24"/>
      <c r="L1352" s="24"/>
      <c r="M1352" s="24"/>
      <c r="N1352" s="24"/>
      <c r="O1352" s="24"/>
      <c r="P1352" s="24"/>
      <c r="Q1352" s="24"/>
      <c r="R1352" s="24"/>
      <c r="S1352" s="24"/>
      <c r="T1352" s="24"/>
      <c r="U1352" s="24"/>
      <c r="V1352" s="24"/>
      <c r="W1352" s="24"/>
      <c r="X1352" s="24"/>
      <c r="Y1352" s="24"/>
      <c r="Z1352" s="24"/>
      <c r="AA1352" s="24"/>
      <c r="AB1352" s="24"/>
      <c r="AC1352" s="24"/>
      <c r="AD1352" s="24"/>
      <c r="AE1352" s="24"/>
    </row>
    <row r="1353" spans="1:31" s="1" customFormat="1" x14ac:dyDescent="0.25">
      <c r="A1353" s="21"/>
      <c r="B1353" s="22"/>
      <c r="C1353" s="22"/>
      <c r="D1353" s="65"/>
      <c r="E1353" s="24"/>
      <c r="F1353" s="24"/>
      <c r="G1353" s="24"/>
      <c r="H1353" s="24"/>
      <c r="I1353" s="24"/>
      <c r="J1353" s="24"/>
      <c r="K1353" s="24"/>
      <c r="L1353" s="24"/>
      <c r="M1353" s="24"/>
      <c r="N1353" s="24"/>
      <c r="O1353" s="24"/>
      <c r="P1353" s="24"/>
      <c r="Q1353" s="24"/>
      <c r="R1353" s="24"/>
      <c r="S1353" s="24"/>
      <c r="T1353" s="24"/>
      <c r="U1353" s="24"/>
      <c r="V1353" s="24"/>
      <c r="W1353" s="24"/>
      <c r="X1353" s="24"/>
      <c r="Y1353" s="24"/>
      <c r="Z1353" s="24"/>
      <c r="AA1353" s="24"/>
      <c r="AB1353" s="24"/>
      <c r="AC1353" s="24"/>
      <c r="AD1353" s="24"/>
      <c r="AE1353" s="24"/>
    </row>
    <row r="1354" spans="1:31" s="1" customFormat="1" x14ac:dyDescent="0.25">
      <c r="A1354" s="21"/>
      <c r="B1354" s="22"/>
      <c r="C1354" s="22"/>
      <c r="D1354" s="65"/>
      <c r="E1354" s="24"/>
      <c r="F1354" s="24"/>
      <c r="G1354" s="24"/>
      <c r="H1354" s="24"/>
      <c r="I1354" s="24"/>
      <c r="J1354" s="24"/>
      <c r="K1354" s="24"/>
      <c r="L1354" s="24"/>
      <c r="M1354" s="24"/>
      <c r="N1354" s="24"/>
      <c r="O1354" s="24"/>
      <c r="P1354" s="24"/>
      <c r="Q1354" s="24"/>
      <c r="R1354" s="24"/>
      <c r="S1354" s="24"/>
      <c r="T1354" s="24"/>
      <c r="U1354" s="24"/>
      <c r="V1354" s="24"/>
      <c r="W1354" s="24"/>
      <c r="X1354" s="24"/>
      <c r="Y1354" s="24"/>
      <c r="Z1354" s="24"/>
      <c r="AA1354" s="24"/>
      <c r="AB1354" s="24"/>
      <c r="AC1354" s="24"/>
      <c r="AD1354" s="24"/>
      <c r="AE1354" s="24"/>
    </row>
    <row r="1355" spans="1:31" s="1" customFormat="1" x14ac:dyDescent="0.25">
      <c r="A1355" s="25"/>
      <c r="B1355" s="26" t="s">
        <v>1489</v>
      </c>
      <c r="C1355" s="26"/>
      <c r="D1355" s="64" t="s">
        <v>1490</v>
      </c>
      <c r="E1355" s="28"/>
      <c r="F1355" s="28"/>
      <c r="G1355" s="28"/>
      <c r="H1355" s="28"/>
      <c r="I1355" s="28"/>
      <c r="J1355" s="28"/>
      <c r="K1355" s="28"/>
      <c r="L1355" s="28"/>
      <c r="M1355" s="28">
        <f>SUM(M1356:M1358)</f>
        <v>0</v>
      </c>
      <c r="N1355" s="28"/>
      <c r="O1355" s="28">
        <f t="shared" ref="O1355:AC1355" si="515">SUM(O1356:O1358)</f>
        <v>0</v>
      </c>
      <c r="P1355" s="28">
        <f t="shared" si="515"/>
        <v>0</v>
      </c>
      <c r="Q1355" s="28">
        <f t="shared" si="515"/>
        <v>0</v>
      </c>
      <c r="R1355" s="28">
        <f t="shared" si="515"/>
        <v>0</v>
      </c>
      <c r="S1355" s="28">
        <f t="shared" si="515"/>
        <v>0</v>
      </c>
      <c r="T1355" s="28"/>
      <c r="U1355" s="28">
        <f t="shared" si="515"/>
        <v>0</v>
      </c>
      <c r="V1355" s="28"/>
      <c r="W1355" s="28">
        <f t="shared" si="515"/>
        <v>0</v>
      </c>
      <c r="X1355" s="28"/>
      <c r="Y1355" s="28">
        <f t="shared" si="515"/>
        <v>0</v>
      </c>
      <c r="Z1355" s="28">
        <f t="shared" si="515"/>
        <v>0</v>
      </c>
      <c r="AA1355" s="28"/>
      <c r="AB1355" s="28">
        <f t="shared" si="515"/>
        <v>0</v>
      </c>
      <c r="AC1355" s="28">
        <f t="shared" si="515"/>
        <v>0</v>
      </c>
      <c r="AD1355" s="28"/>
      <c r="AE1355" s="28"/>
    </row>
    <row r="1356" spans="1:31" s="1" customFormat="1" x14ac:dyDescent="0.25">
      <c r="A1356" s="21"/>
      <c r="B1356" s="22"/>
      <c r="C1356" s="22"/>
      <c r="D1356" s="65"/>
      <c r="E1356" s="24"/>
      <c r="F1356" s="24"/>
      <c r="G1356" s="24"/>
      <c r="H1356" s="24"/>
      <c r="I1356" s="24"/>
      <c r="J1356" s="24"/>
      <c r="K1356" s="24"/>
      <c r="L1356" s="24"/>
      <c r="M1356" s="24"/>
      <c r="N1356" s="24"/>
      <c r="O1356" s="24"/>
      <c r="P1356" s="24"/>
      <c r="Q1356" s="24"/>
      <c r="R1356" s="24"/>
      <c r="S1356" s="24"/>
      <c r="T1356" s="24"/>
      <c r="U1356" s="24"/>
      <c r="V1356" s="24"/>
      <c r="W1356" s="24"/>
      <c r="X1356" s="24"/>
      <c r="Y1356" s="24"/>
      <c r="Z1356" s="24"/>
      <c r="AA1356" s="24"/>
      <c r="AB1356" s="24"/>
      <c r="AC1356" s="24"/>
      <c r="AD1356" s="24"/>
      <c r="AE1356" s="24"/>
    </row>
    <row r="1357" spans="1:31" s="1" customFormat="1" x14ac:dyDescent="0.25">
      <c r="A1357" s="21"/>
      <c r="B1357" s="22"/>
      <c r="C1357" s="22"/>
      <c r="D1357" s="65"/>
      <c r="E1357" s="24"/>
      <c r="F1357" s="24"/>
      <c r="G1357" s="24"/>
      <c r="H1357" s="24"/>
      <c r="I1357" s="24"/>
      <c r="J1357" s="24"/>
      <c r="K1357" s="24"/>
      <c r="L1357" s="24"/>
      <c r="M1357" s="24"/>
      <c r="N1357" s="24"/>
      <c r="O1357" s="24"/>
      <c r="P1357" s="24"/>
      <c r="Q1357" s="24"/>
      <c r="R1357" s="24"/>
      <c r="S1357" s="24"/>
      <c r="T1357" s="24"/>
      <c r="U1357" s="24"/>
      <c r="V1357" s="24"/>
      <c r="W1357" s="24"/>
      <c r="X1357" s="24"/>
      <c r="Y1357" s="24"/>
      <c r="Z1357" s="24"/>
      <c r="AA1357" s="24"/>
      <c r="AB1357" s="24"/>
      <c r="AC1357" s="24"/>
      <c r="AD1357" s="24"/>
      <c r="AE1357" s="24"/>
    </row>
    <row r="1358" spans="1:31" s="1" customFormat="1" x14ac:dyDescent="0.25">
      <c r="A1358" s="21"/>
      <c r="B1358" s="22"/>
      <c r="C1358" s="22"/>
      <c r="D1358" s="65"/>
      <c r="E1358" s="24"/>
      <c r="F1358" s="24"/>
      <c r="G1358" s="24"/>
      <c r="H1358" s="24"/>
      <c r="I1358" s="24"/>
      <c r="J1358" s="24"/>
      <c r="K1358" s="24"/>
      <c r="L1358" s="24"/>
      <c r="M1358" s="24"/>
      <c r="N1358" s="24"/>
      <c r="O1358" s="24"/>
      <c r="P1358" s="24"/>
      <c r="Q1358" s="24"/>
      <c r="R1358" s="24"/>
      <c r="S1358" s="24"/>
      <c r="T1358" s="24"/>
      <c r="U1358" s="24"/>
      <c r="V1358" s="24"/>
      <c r="W1358" s="24"/>
      <c r="X1358" s="24"/>
      <c r="Y1358" s="24"/>
      <c r="Z1358" s="24"/>
      <c r="AA1358" s="24"/>
      <c r="AB1358" s="24"/>
      <c r="AC1358" s="24"/>
      <c r="AD1358" s="24"/>
      <c r="AE1358" s="24"/>
    </row>
    <row r="1359" spans="1:31" s="1" customFormat="1" x14ac:dyDescent="0.25">
      <c r="A1359" s="17"/>
      <c r="B1359" s="18" t="s">
        <v>1491</v>
      </c>
      <c r="C1359" s="18"/>
      <c r="D1359" s="84" t="s">
        <v>1492</v>
      </c>
      <c r="E1359" s="20"/>
      <c r="F1359" s="20"/>
      <c r="G1359" s="20"/>
      <c r="H1359" s="20"/>
      <c r="I1359" s="20"/>
      <c r="J1359" s="20"/>
      <c r="K1359" s="20"/>
      <c r="L1359" s="20"/>
      <c r="M1359" s="20">
        <f>M1360+M1364+M1368+M1372+M1376+M1380+M1384+M1388+M1392+M1396</f>
        <v>0</v>
      </c>
      <c r="N1359" s="20"/>
      <c r="O1359" s="20">
        <f t="shared" ref="O1359:AC1359" si="516">O1360+O1364+O1368+O1372+O1376+O1380+O1384+O1388+O1392+O1396</f>
        <v>0</v>
      </c>
      <c r="P1359" s="20">
        <f t="shared" si="516"/>
        <v>0</v>
      </c>
      <c r="Q1359" s="20">
        <f t="shared" si="516"/>
        <v>0</v>
      </c>
      <c r="R1359" s="20">
        <f t="shared" si="516"/>
        <v>0</v>
      </c>
      <c r="S1359" s="20">
        <f t="shared" si="516"/>
        <v>0</v>
      </c>
      <c r="T1359" s="20"/>
      <c r="U1359" s="20">
        <f t="shared" si="516"/>
        <v>0</v>
      </c>
      <c r="V1359" s="20"/>
      <c r="W1359" s="20">
        <f t="shared" si="516"/>
        <v>0</v>
      </c>
      <c r="X1359" s="20"/>
      <c r="Y1359" s="20">
        <f t="shared" si="516"/>
        <v>0</v>
      </c>
      <c r="Z1359" s="20">
        <f t="shared" si="516"/>
        <v>0</v>
      </c>
      <c r="AA1359" s="20"/>
      <c r="AB1359" s="20">
        <f t="shared" si="516"/>
        <v>0</v>
      </c>
      <c r="AC1359" s="20">
        <f t="shared" si="516"/>
        <v>0</v>
      </c>
      <c r="AD1359" s="20"/>
      <c r="AE1359" s="20"/>
    </row>
    <row r="1360" spans="1:31" s="1" customFormat="1" ht="25.5" x14ac:dyDescent="0.25">
      <c r="A1360" s="25"/>
      <c r="B1360" s="26" t="s">
        <v>1493</v>
      </c>
      <c r="C1360" s="26"/>
      <c r="D1360" s="64" t="s">
        <v>1494</v>
      </c>
      <c r="E1360" s="28"/>
      <c r="F1360" s="28"/>
      <c r="G1360" s="28"/>
      <c r="H1360" s="28"/>
      <c r="I1360" s="28"/>
      <c r="J1360" s="28"/>
      <c r="K1360" s="28"/>
      <c r="L1360" s="28"/>
      <c r="M1360" s="28">
        <f>SUM(M1361:M1363)</f>
        <v>0</v>
      </c>
      <c r="N1360" s="28"/>
      <c r="O1360" s="28">
        <f t="shared" ref="O1360:AC1360" si="517">SUM(O1361:O1363)</f>
        <v>0</v>
      </c>
      <c r="P1360" s="28">
        <f t="shared" si="517"/>
        <v>0</v>
      </c>
      <c r="Q1360" s="28">
        <f t="shared" si="517"/>
        <v>0</v>
      </c>
      <c r="R1360" s="28">
        <f t="shared" si="517"/>
        <v>0</v>
      </c>
      <c r="S1360" s="28">
        <f t="shared" si="517"/>
        <v>0</v>
      </c>
      <c r="T1360" s="28"/>
      <c r="U1360" s="28">
        <f t="shared" si="517"/>
        <v>0</v>
      </c>
      <c r="V1360" s="28"/>
      <c r="W1360" s="28">
        <f t="shared" si="517"/>
        <v>0</v>
      </c>
      <c r="X1360" s="28"/>
      <c r="Y1360" s="28">
        <f t="shared" si="517"/>
        <v>0</v>
      </c>
      <c r="Z1360" s="28">
        <f t="shared" si="517"/>
        <v>0</v>
      </c>
      <c r="AA1360" s="28"/>
      <c r="AB1360" s="28">
        <f t="shared" si="517"/>
        <v>0</v>
      </c>
      <c r="AC1360" s="28">
        <f t="shared" si="517"/>
        <v>0</v>
      </c>
      <c r="AD1360" s="28"/>
      <c r="AE1360" s="28"/>
    </row>
    <row r="1361" spans="1:31" s="1" customFormat="1" x14ac:dyDescent="0.25">
      <c r="A1361" s="21"/>
      <c r="B1361" s="22"/>
      <c r="C1361" s="22"/>
      <c r="D1361" s="65"/>
      <c r="E1361" s="24"/>
      <c r="F1361" s="24"/>
      <c r="G1361" s="24"/>
      <c r="H1361" s="24"/>
      <c r="I1361" s="24"/>
      <c r="J1361" s="24"/>
      <c r="K1361" s="24"/>
      <c r="L1361" s="24"/>
      <c r="M1361" s="24"/>
      <c r="N1361" s="24"/>
      <c r="O1361" s="24"/>
      <c r="P1361" s="24"/>
      <c r="Q1361" s="24"/>
      <c r="R1361" s="24"/>
      <c r="S1361" s="24"/>
      <c r="T1361" s="24"/>
      <c r="U1361" s="24"/>
      <c r="V1361" s="24"/>
      <c r="W1361" s="24"/>
      <c r="X1361" s="24"/>
      <c r="Y1361" s="24"/>
      <c r="Z1361" s="24"/>
      <c r="AA1361" s="24"/>
      <c r="AB1361" s="24"/>
      <c r="AC1361" s="24"/>
      <c r="AD1361" s="24"/>
      <c r="AE1361" s="24"/>
    </row>
    <row r="1362" spans="1:31" s="1" customFormat="1" x14ac:dyDescent="0.25">
      <c r="A1362" s="21"/>
      <c r="B1362" s="22"/>
      <c r="C1362" s="22"/>
      <c r="D1362" s="65"/>
      <c r="E1362" s="24"/>
      <c r="F1362" s="24"/>
      <c r="G1362" s="24"/>
      <c r="H1362" s="24"/>
      <c r="I1362" s="24"/>
      <c r="J1362" s="24"/>
      <c r="K1362" s="24"/>
      <c r="L1362" s="24"/>
      <c r="M1362" s="24"/>
      <c r="N1362" s="24"/>
      <c r="O1362" s="24"/>
      <c r="P1362" s="24"/>
      <c r="Q1362" s="24"/>
      <c r="R1362" s="24"/>
      <c r="S1362" s="24"/>
      <c r="T1362" s="24"/>
      <c r="U1362" s="24"/>
      <c r="V1362" s="24"/>
      <c r="W1362" s="24"/>
      <c r="X1362" s="24"/>
      <c r="Y1362" s="24"/>
      <c r="Z1362" s="24"/>
      <c r="AA1362" s="24"/>
      <c r="AB1362" s="24"/>
      <c r="AC1362" s="24"/>
      <c r="AD1362" s="24"/>
      <c r="AE1362" s="24"/>
    </row>
    <row r="1363" spans="1:31" s="1" customFormat="1" x14ac:dyDescent="0.25">
      <c r="A1363" s="21"/>
      <c r="B1363" s="22"/>
      <c r="C1363" s="22"/>
      <c r="D1363" s="65"/>
      <c r="E1363" s="24"/>
      <c r="F1363" s="24"/>
      <c r="G1363" s="24"/>
      <c r="H1363" s="24"/>
      <c r="I1363" s="24"/>
      <c r="J1363" s="24"/>
      <c r="K1363" s="24"/>
      <c r="L1363" s="24"/>
      <c r="M1363" s="24"/>
      <c r="N1363" s="24"/>
      <c r="O1363" s="24"/>
      <c r="P1363" s="24"/>
      <c r="Q1363" s="24"/>
      <c r="R1363" s="24"/>
      <c r="S1363" s="24"/>
      <c r="T1363" s="24"/>
      <c r="U1363" s="24"/>
      <c r="V1363" s="24"/>
      <c r="W1363" s="24"/>
      <c r="X1363" s="24"/>
      <c r="Y1363" s="24"/>
      <c r="Z1363" s="24"/>
      <c r="AA1363" s="24"/>
      <c r="AB1363" s="24"/>
      <c r="AC1363" s="24"/>
      <c r="AD1363" s="24"/>
      <c r="AE1363" s="24"/>
    </row>
    <row r="1364" spans="1:31" s="1" customFormat="1" ht="25.5" x14ac:dyDescent="0.25">
      <c r="A1364" s="25"/>
      <c r="B1364" s="26" t="s">
        <v>1495</v>
      </c>
      <c r="C1364" s="26"/>
      <c r="D1364" s="64" t="s">
        <v>1496</v>
      </c>
      <c r="E1364" s="28"/>
      <c r="F1364" s="28"/>
      <c r="G1364" s="28"/>
      <c r="H1364" s="28"/>
      <c r="I1364" s="28"/>
      <c r="J1364" s="28"/>
      <c r="K1364" s="28"/>
      <c r="L1364" s="28"/>
      <c r="M1364" s="28">
        <f>SUM(M1365:M1367)</f>
        <v>0</v>
      </c>
      <c r="N1364" s="28"/>
      <c r="O1364" s="28">
        <f t="shared" ref="O1364:AC1364" si="518">SUM(O1365:O1367)</f>
        <v>0</v>
      </c>
      <c r="P1364" s="28">
        <f t="shared" si="518"/>
        <v>0</v>
      </c>
      <c r="Q1364" s="28">
        <f t="shared" si="518"/>
        <v>0</v>
      </c>
      <c r="R1364" s="28">
        <f t="shared" si="518"/>
        <v>0</v>
      </c>
      <c r="S1364" s="28">
        <f t="shared" si="518"/>
        <v>0</v>
      </c>
      <c r="T1364" s="28"/>
      <c r="U1364" s="28">
        <f t="shared" si="518"/>
        <v>0</v>
      </c>
      <c r="V1364" s="28"/>
      <c r="W1364" s="28">
        <f t="shared" si="518"/>
        <v>0</v>
      </c>
      <c r="X1364" s="28"/>
      <c r="Y1364" s="28">
        <f t="shared" si="518"/>
        <v>0</v>
      </c>
      <c r="Z1364" s="28">
        <f t="shared" si="518"/>
        <v>0</v>
      </c>
      <c r="AA1364" s="28"/>
      <c r="AB1364" s="28">
        <f t="shared" si="518"/>
        <v>0</v>
      </c>
      <c r="AC1364" s="28">
        <f t="shared" si="518"/>
        <v>0</v>
      </c>
      <c r="AD1364" s="28"/>
      <c r="AE1364" s="28"/>
    </row>
    <row r="1365" spans="1:31" s="1" customFormat="1" x14ac:dyDescent="0.25">
      <c r="A1365" s="21"/>
      <c r="B1365" s="22"/>
      <c r="C1365" s="22"/>
      <c r="D1365" s="65"/>
      <c r="E1365" s="24"/>
      <c r="F1365" s="24"/>
      <c r="G1365" s="24"/>
      <c r="H1365" s="24"/>
      <c r="I1365" s="24"/>
      <c r="J1365" s="24"/>
      <c r="K1365" s="24"/>
      <c r="L1365" s="24"/>
      <c r="M1365" s="24"/>
      <c r="N1365" s="24"/>
      <c r="O1365" s="24"/>
      <c r="P1365" s="24"/>
      <c r="Q1365" s="24"/>
      <c r="R1365" s="24"/>
      <c r="S1365" s="24"/>
      <c r="T1365" s="24"/>
      <c r="U1365" s="24"/>
      <c r="V1365" s="24"/>
      <c r="W1365" s="24"/>
      <c r="X1365" s="24"/>
      <c r="Y1365" s="24"/>
      <c r="Z1365" s="24"/>
      <c r="AA1365" s="24"/>
      <c r="AB1365" s="24"/>
      <c r="AC1365" s="24"/>
      <c r="AD1365" s="24"/>
      <c r="AE1365" s="24"/>
    </row>
    <row r="1366" spans="1:31" s="1" customFormat="1" x14ac:dyDescent="0.25">
      <c r="A1366" s="21"/>
      <c r="B1366" s="22"/>
      <c r="C1366" s="22"/>
      <c r="D1366" s="65"/>
      <c r="E1366" s="24"/>
      <c r="F1366" s="24"/>
      <c r="G1366" s="24"/>
      <c r="H1366" s="24"/>
      <c r="I1366" s="24"/>
      <c r="J1366" s="24"/>
      <c r="K1366" s="24"/>
      <c r="L1366" s="24"/>
      <c r="M1366" s="24"/>
      <c r="N1366" s="24"/>
      <c r="O1366" s="24"/>
      <c r="P1366" s="24"/>
      <c r="Q1366" s="24"/>
      <c r="R1366" s="24"/>
      <c r="S1366" s="24"/>
      <c r="T1366" s="24"/>
      <c r="U1366" s="24"/>
      <c r="V1366" s="24"/>
      <c r="W1366" s="24"/>
      <c r="X1366" s="24"/>
      <c r="Y1366" s="24"/>
      <c r="Z1366" s="24"/>
      <c r="AA1366" s="24"/>
      <c r="AB1366" s="24"/>
      <c r="AC1366" s="24"/>
      <c r="AD1366" s="24"/>
      <c r="AE1366" s="24"/>
    </row>
    <row r="1367" spans="1:31" s="1" customFormat="1" x14ac:dyDescent="0.25">
      <c r="A1367" s="21"/>
      <c r="B1367" s="22"/>
      <c r="C1367" s="22"/>
      <c r="D1367" s="65"/>
      <c r="E1367" s="24"/>
      <c r="F1367" s="24"/>
      <c r="G1367" s="24"/>
      <c r="H1367" s="24"/>
      <c r="I1367" s="24"/>
      <c r="J1367" s="24"/>
      <c r="K1367" s="24"/>
      <c r="L1367" s="24"/>
      <c r="M1367" s="24"/>
      <c r="N1367" s="24"/>
      <c r="O1367" s="24"/>
      <c r="P1367" s="24"/>
      <c r="Q1367" s="24"/>
      <c r="R1367" s="24"/>
      <c r="S1367" s="24"/>
      <c r="T1367" s="24"/>
      <c r="U1367" s="24"/>
      <c r="V1367" s="24"/>
      <c r="W1367" s="24"/>
      <c r="X1367" s="24"/>
      <c r="Y1367" s="24"/>
      <c r="Z1367" s="24"/>
      <c r="AA1367" s="24"/>
      <c r="AB1367" s="24"/>
      <c r="AC1367" s="24"/>
      <c r="AD1367" s="24"/>
      <c r="AE1367" s="24"/>
    </row>
    <row r="1368" spans="1:31" s="1" customFormat="1" ht="38.25" x14ac:dyDescent="0.25">
      <c r="A1368" s="25"/>
      <c r="B1368" s="26" t="s">
        <v>1497</v>
      </c>
      <c r="C1368" s="26"/>
      <c r="D1368" s="64" t="s">
        <v>1498</v>
      </c>
      <c r="E1368" s="28"/>
      <c r="F1368" s="28"/>
      <c r="G1368" s="28"/>
      <c r="H1368" s="28"/>
      <c r="I1368" s="28"/>
      <c r="J1368" s="28"/>
      <c r="K1368" s="28"/>
      <c r="L1368" s="28"/>
      <c r="M1368" s="28">
        <f>SUM(M1369:M1371)</f>
        <v>0</v>
      </c>
      <c r="N1368" s="28"/>
      <c r="O1368" s="28">
        <f t="shared" ref="O1368:AC1368" si="519">SUM(O1369:O1371)</f>
        <v>0</v>
      </c>
      <c r="P1368" s="28">
        <f t="shared" si="519"/>
        <v>0</v>
      </c>
      <c r="Q1368" s="28">
        <f t="shared" si="519"/>
        <v>0</v>
      </c>
      <c r="R1368" s="28">
        <f t="shared" si="519"/>
        <v>0</v>
      </c>
      <c r="S1368" s="28">
        <f t="shared" si="519"/>
        <v>0</v>
      </c>
      <c r="T1368" s="28"/>
      <c r="U1368" s="28">
        <f t="shared" si="519"/>
        <v>0</v>
      </c>
      <c r="V1368" s="28"/>
      <c r="W1368" s="28">
        <f t="shared" si="519"/>
        <v>0</v>
      </c>
      <c r="X1368" s="28"/>
      <c r="Y1368" s="28">
        <f t="shared" si="519"/>
        <v>0</v>
      </c>
      <c r="Z1368" s="28">
        <f t="shared" si="519"/>
        <v>0</v>
      </c>
      <c r="AA1368" s="28"/>
      <c r="AB1368" s="28">
        <f t="shared" si="519"/>
        <v>0</v>
      </c>
      <c r="AC1368" s="28">
        <f t="shared" si="519"/>
        <v>0</v>
      </c>
      <c r="AD1368" s="28"/>
      <c r="AE1368" s="28"/>
    </row>
    <row r="1369" spans="1:31" s="1" customFormat="1" x14ac:dyDescent="0.25">
      <c r="A1369" s="21"/>
      <c r="B1369" s="22"/>
      <c r="C1369" s="22"/>
      <c r="D1369" s="65"/>
      <c r="E1369" s="24"/>
      <c r="F1369" s="24"/>
      <c r="G1369" s="24"/>
      <c r="H1369" s="24"/>
      <c r="I1369" s="24"/>
      <c r="J1369" s="24"/>
      <c r="K1369" s="24"/>
      <c r="L1369" s="24"/>
      <c r="M1369" s="24"/>
      <c r="N1369" s="24"/>
      <c r="O1369" s="24"/>
      <c r="P1369" s="24"/>
      <c r="Q1369" s="24"/>
      <c r="R1369" s="24"/>
      <c r="S1369" s="24"/>
      <c r="T1369" s="24"/>
      <c r="U1369" s="24"/>
      <c r="V1369" s="24"/>
      <c r="W1369" s="24"/>
      <c r="X1369" s="24"/>
      <c r="Y1369" s="24"/>
      <c r="Z1369" s="24"/>
      <c r="AA1369" s="24"/>
      <c r="AB1369" s="24"/>
      <c r="AC1369" s="24"/>
      <c r="AD1369" s="24"/>
      <c r="AE1369" s="24"/>
    </row>
    <row r="1370" spans="1:31" s="1" customFormat="1" x14ac:dyDescent="0.25">
      <c r="A1370" s="21"/>
      <c r="B1370" s="22"/>
      <c r="C1370" s="22"/>
      <c r="D1370" s="65"/>
      <c r="E1370" s="24"/>
      <c r="F1370" s="24"/>
      <c r="G1370" s="24"/>
      <c r="H1370" s="24"/>
      <c r="I1370" s="24"/>
      <c r="J1370" s="24"/>
      <c r="K1370" s="24"/>
      <c r="L1370" s="24"/>
      <c r="M1370" s="24"/>
      <c r="N1370" s="24"/>
      <c r="O1370" s="24"/>
      <c r="P1370" s="24"/>
      <c r="Q1370" s="24"/>
      <c r="R1370" s="24"/>
      <c r="S1370" s="24"/>
      <c r="T1370" s="24"/>
      <c r="U1370" s="24"/>
      <c r="V1370" s="24"/>
      <c r="W1370" s="24"/>
      <c r="X1370" s="24"/>
      <c r="Y1370" s="24"/>
      <c r="Z1370" s="24"/>
      <c r="AA1370" s="24"/>
      <c r="AB1370" s="24"/>
      <c r="AC1370" s="24"/>
      <c r="AD1370" s="24"/>
      <c r="AE1370" s="24"/>
    </row>
    <row r="1371" spans="1:31" s="1" customFormat="1" x14ac:dyDescent="0.25">
      <c r="A1371" s="21"/>
      <c r="B1371" s="22"/>
      <c r="C1371" s="22"/>
      <c r="D1371" s="65"/>
      <c r="E1371" s="24"/>
      <c r="F1371" s="24"/>
      <c r="G1371" s="24"/>
      <c r="H1371" s="24"/>
      <c r="I1371" s="24"/>
      <c r="J1371" s="24"/>
      <c r="K1371" s="24"/>
      <c r="L1371" s="24"/>
      <c r="M1371" s="24"/>
      <c r="N1371" s="24"/>
      <c r="O1371" s="24"/>
      <c r="P1371" s="24"/>
      <c r="Q1371" s="24"/>
      <c r="R1371" s="24"/>
      <c r="S1371" s="24"/>
      <c r="T1371" s="24"/>
      <c r="U1371" s="24"/>
      <c r="V1371" s="24"/>
      <c r="W1371" s="24"/>
      <c r="X1371" s="24"/>
      <c r="Y1371" s="24"/>
      <c r="Z1371" s="24"/>
      <c r="AA1371" s="24"/>
      <c r="AB1371" s="24"/>
      <c r="AC1371" s="24"/>
      <c r="AD1371" s="24"/>
      <c r="AE1371" s="24"/>
    </row>
    <row r="1372" spans="1:31" s="1" customFormat="1" ht="25.5" x14ac:dyDescent="0.25">
      <c r="A1372" s="25"/>
      <c r="B1372" s="26" t="s">
        <v>1499</v>
      </c>
      <c r="C1372" s="26"/>
      <c r="D1372" s="64" t="s">
        <v>1500</v>
      </c>
      <c r="E1372" s="28"/>
      <c r="F1372" s="28"/>
      <c r="G1372" s="28"/>
      <c r="H1372" s="28"/>
      <c r="I1372" s="28"/>
      <c r="J1372" s="28"/>
      <c r="K1372" s="28"/>
      <c r="L1372" s="28"/>
      <c r="M1372" s="28">
        <f>SUM(M1373:M1375)</f>
        <v>0</v>
      </c>
      <c r="N1372" s="28"/>
      <c r="O1372" s="28">
        <f t="shared" ref="O1372:AC1372" si="520">SUM(O1373:O1375)</f>
        <v>0</v>
      </c>
      <c r="P1372" s="28">
        <f t="shared" si="520"/>
        <v>0</v>
      </c>
      <c r="Q1372" s="28">
        <f t="shared" si="520"/>
        <v>0</v>
      </c>
      <c r="R1372" s="28">
        <f t="shared" si="520"/>
        <v>0</v>
      </c>
      <c r="S1372" s="28">
        <f t="shared" si="520"/>
        <v>0</v>
      </c>
      <c r="T1372" s="28"/>
      <c r="U1372" s="28">
        <f t="shared" si="520"/>
        <v>0</v>
      </c>
      <c r="V1372" s="28"/>
      <c r="W1372" s="28">
        <f t="shared" si="520"/>
        <v>0</v>
      </c>
      <c r="X1372" s="28"/>
      <c r="Y1372" s="28">
        <f t="shared" si="520"/>
        <v>0</v>
      </c>
      <c r="Z1372" s="28">
        <f t="shared" si="520"/>
        <v>0</v>
      </c>
      <c r="AA1372" s="28"/>
      <c r="AB1372" s="28">
        <f t="shared" si="520"/>
        <v>0</v>
      </c>
      <c r="AC1372" s="28">
        <f t="shared" si="520"/>
        <v>0</v>
      </c>
      <c r="AD1372" s="28"/>
      <c r="AE1372" s="28"/>
    </row>
    <row r="1373" spans="1:31" s="1" customFormat="1" x14ac:dyDescent="0.25">
      <c r="A1373" s="21"/>
      <c r="B1373" s="22"/>
      <c r="C1373" s="22"/>
      <c r="D1373" s="65"/>
      <c r="E1373" s="24"/>
      <c r="F1373" s="24"/>
      <c r="G1373" s="24"/>
      <c r="H1373" s="24"/>
      <c r="I1373" s="24"/>
      <c r="J1373" s="24"/>
      <c r="K1373" s="24"/>
      <c r="L1373" s="24"/>
      <c r="M1373" s="24"/>
      <c r="N1373" s="24"/>
      <c r="O1373" s="24"/>
      <c r="P1373" s="24"/>
      <c r="Q1373" s="24"/>
      <c r="R1373" s="24"/>
      <c r="S1373" s="24"/>
      <c r="T1373" s="24"/>
      <c r="U1373" s="24"/>
      <c r="V1373" s="24"/>
      <c r="W1373" s="24"/>
      <c r="X1373" s="24"/>
      <c r="Y1373" s="24"/>
      <c r="Z1373" s="24"/>
      <c r="AA1373" s="24"/>
      <c r="AB1373" s="24"/>
      <c r="AC1373" s="24"/>
      <c r="AD1373" s="24"/>
      <c r="AE1373" s="24"/>
    </row>
    <row r="1374" spans="1:31" s="1" customFormat="1" x14ac:dyDescent="0.25">
      <c r="A1374" s="21"/>
      <c r="B1374" s="22"/>
      <c r="C1374" s="22"/>
      <c r="D1374" s="65"/>
      <c r="E1374" s="24"/>
      <c r="F1374" s="24"/>
      <c r="G1374" s="24"/>
      <c r="H1374" s="24"/>
      <c r="I1374" s="24"/>
      <c r="J1374" s="24"/>
      <c r="K1374" s="24"/>
      <c r="L1374" s="24"/>
      <c r="M1374" s="24"/>
      <c r="N1374" s="24"/>
      <c r="O1374" s="24"/>
      <c r="P1374" s="24"/>
      <c r="Q1374" s="24"/>
      <c r="R1374" s="24"/>
      <c r="S1374" s="24"/>
      <c r="T1374" s="24"/>
      <c r="U1374" s="24"/>
      <c r="V1374" s="24"/>
      <c r="W1374" s="24"/>
      <c r="X1374" s="24"/>
      <c r="Y1374" s="24"/>
      <c r="Z1374" s="24"/>
      <c r="AA1374" s="24"/>
      <c r="AB1374" s="24"/>
      <c r="AC1374" s="24"/>
      <c r="AD1374" s="24"/>
      <c r="AE1374" s="24"/>
    </row>
    <row r="1375" spans="1:31" s="1" customFormat="1" x14ac:dyDescent="0.25">
      <c r="A1375" s="21"/>
      <c r="B1375" s="22"/>
      <c r="C1375" s="22"/>
      <c r="D1375" s="65"/>
      <c r="E1375" s="24"/>
      <c r="F1375" s="24"/>
      <c r="G1375" s="24"/>
      <c r="H1375" s="24"/>
      <c r="I1375" s="24"/>
      <c r="J1375" s="24"/>
      <c r="K1375" s="24"/>
      <c r="L1375" s="24"/>
      <c r="M1375" s="24"/>
      <c r="N1375" s="24"/>
      <c r="O1375" s="24"/>
      <c r="P1375" s="24"/>
      <c r="Q1375" s="24"/>
      <c r="R1375" s="24"/>
      <c r="S1375" s="24"/>
      <c r="T1375" s="24"/>
      <c r="U1375" s="24"/>
      <c r="V1375" s="24"/>
      <c r="W1375" s="24"/>
      <c r="X1375" s="24"/>
      <c r="Y1375" s="24"/>
      <c r="Z1375" s="24"/>
      <c r="AA1375" s="24"/>
      <c r="AB1375" s="24"/>
      <c r="AC1375" s="24"/>
      <c r="AD1375" s="24"/>
      <c r="AE1375" s="24"/>
    </row>
    <row r="1376" spans="1:31" s="1" customFormat="1" ht="25.5" x14ac:dyDescent="0.25">
      <c r="A1376" s="25"/>
      <c r="B1376" s="26" t="s">
        <v>1501</v>
      </c>
      <c r="C1376" s="26"/>
      <c r="D1376" s="64" t="s">
        <v>1502</v>
      </c>
      <c r="E1376" s="28"/>
      <c r="F1376" s="28"/>
      <c r="G1376" s="28"/>
      <c r="H1376" s="28"/>
      <c r="I1376" s="28"/>
      <c r="J1376" s="28"/>
      <c r="K1376" s="28"/>
      <c r="L1376" s="28"/>
      <c r="M1376" s="28">
        <f>SUM(M1377:M1379)</f>
        <v>0</v>
      </c>
      <c r="N1376" s="28"/>
      <c r="O1376" s="28">
        <f t="shared" ref="O1376:AC1376" si="521">SUM(O1377:O1379)</f>
        <v>0</v>
      </c>
      <c r="P1376" s="28">
        <f t="shared" si="521"/>
        <v>0</v>
      </c>
      <c r="Q1376" s="28">
        <f t="shared" si="521"/>
        <v>0</v>
      </c>
      <c r="R1376" s="28">
        <f t="shared" si="521"/>
        <v>0</v>
      </c>
      <c r="S1376" s="28">
        <f t="shared" si="521"/>
        <v>0</v>
      </c>
      <c r="T1376" s="28"/>
      <c r="U1376" s="28">
        <f t="shared" si="521"/>
        <v>0</v>
      </c>
      <c r="V1376" s="28"/>
      <c r="W1376" s="28">
        <f t="shared" si="521"/>
        <v>0</v>
      </c>
      <c r="X1376" s="28"/>
      <c r="Y1376" s="28">
        <f t="shared" si="521"/>
        <v>0</v>
      </c>
      <c r="Z1376" s="28">
        <f t="shared" si="521"/>
        <v>0</v>
      </c>
      <c r="AA1376" s="28"/>
      <c r="AB1376" s="28">
        <f t="shared" si="521"/>
        <v>0</v>
      </c>
      <c r="AC1376" s="28">
        <f t="shared" si="521"/>
        <v>0</v>
      </c>
      <c r="AD1376" s="28"/>
      <c r="AE1376" s="28"/>
    </row>
    <row r="1377" spans="1:31" s="1" customFormat="1" x14ac:dyDescent="0.25">
      <c r="A1377" s="21"/>
      <c r="B1377" s="22"/>
      <c r="C1377" s="22"/>
      <c r="D1377" s="65"/>
      <c r="E1377" s="24"/>
      <c r="F1377" s="24"/>
      <c r="G1377" s="24"/>
      <c r="H1377" s="24"/>
      <c r="I1377" s="24"/>
      <c r="J1377" s="24"/>
      <c r="K1377" s="24"/>
      <c r="L1377" s="24"/>
      <c r="M1377" s="24"/>
      <c r="N1377" s="24"/>
      <c r="O1377" s="24"/>
      <c r="P1377" s="24"/>
      <c r="Q1377" s="24"/>
      <c r="R1377" s="24"/>
      <c r="S1377" s="24"/>
      <c r="T1377" s="24"/>
      <c r="U1377" s="24"/>
      <c r="V1377" s="24"/>
      <c r="W1377" s="24"/>
      <c r="X1377" s="24"/>
      <c r="Y1377" s="24"/>
      <c r="Z1377" s="24"/>
      <c r="AA1377" s="24"/>
      <c r="AB1377" s="24"/>
      <c r="AC1377" s="24"/>
      <c r="AD1377" s="24"/>
      <c r="AE1377" s="24"/>
    </row>
    <row r="1378" spans="1:31" s="1" customFormat="1" x14ac:dyDescent="0.25">
      <c r="A1378" s="21"/>
      <c r="B1378" s="22"/>
      <c r="C1378" s="22"/>
      <c r="D1378" s="65"/>
      <c r="E1378" s="24"/>
      <c r="F1378" s="24"/>
      <c r="G1378" s="24"/>
      <c r="H1378" s="24"/>
      <c r="I1378" s="24"/>
      <c r="J1378" s="24"/>
      <c r="K1378" s="24"/>
      <c r="L1378" s="24"/>
      <c r="M1378" s="24"/>
      <c r="N1378" s="24"/>
      <c r="O1378" s="24"/>
      <c r="P1378" s="24"/>
      <c r="Q1378" s="24"/>
      <c r="R1378" s="24"/>
      <c r="S1378" s="24"/>
      <c r="T1378" s="24"/>
      <c r="U1378" s="24"/>
      <c r="V1378" s="24"/>
      <c r="W1378" s="24"/>
      <c r="X1378" s="24"/>
      <c r="Y1378" s="24"/>
      <c r="Z1378" s="24"/>
      <c r="AA1378" s="24"/>
      <c r="AB1378" s="24"/>
      <c r="AC1378" s="24"/>
      <c r="AD1378" s="24"/>
      <c r="AE1378" s="24"/>
    </row>
    <row r="1379" spans="1:31" s="1" customFormat="1" x14ac:dyDescent="0.25">
      <c r="A1379" s="21"/>
      <c r="B1379" s="22"/>
      <c r="C1379" s="22"/>
      <c r="D1379" s="65"/>
      <c r="E1379" s="24"/>
      <c r="F1379" s="24"/>
      <c r="G1379" s="24"/>
      <c r="H1379" s="24"/>
      <c r="I1379" s="24"/>
      <c r="J1379" s="24"/>
      <c r="K1379" s="24"/>
      <c r="L1379" s="24"/>
      <c r="M1379" s="24"/>
      <c r="N1379" s="24"/>
      <c r="O1379" s="24"/>
      <c r="P1379" s="24"/>
      <c r="Q1379" s="24"/>
      <c r="R1379" s="24"/>
      <c r="S1379" s="24"/>
      <c r="T1379" s="24"/>
      <c r="U1379" s="24"/>
      <c r="V1379" s="24"/>
      <c r="W1379" s="24"/>
      <c r="X1379" s="24"/>
      <c r="Y1379" s="24"/>
      <c r="Z1379" s="24"/>
      <c r="AA1379" s="24"/>
      <c r="AB1379" s="24"/>
      <c r="AC1379" s="24"/>
      <c r="AD1379" s="24"/>
      <c r="AE1379" s="24"/>
    </row>
    <row r="1380" spans="1:31" s="1" customFormat="1" ht="25.5" x14ac:dyDescent="0.25">
      <c r="A1380" s="25"/>
      <c r="B1380" s="26" t="s">
        <v>1503</v>
      </c>
      <c r="C1380" s="26"/>
      <c r="D1380" s="64" t="s">
        <v>1504</v>
      </c>
      <c r="E1380" s="28"/>
      <c r="F1380" s="28"/>
      <c r="G1380" s="28"/>
      <c r="H1380" s="28"/>
      <c r="I1380" s="28"/>
      <c r="J1380" s="28"/>
      <c r="K1380" s="28"/>
      <c r="L1380" s="28"/>
      <c r="M1380" s="28">
        <f>SUM(M1381:M1383)</f>
        <v>0</v>
      </c>
      <c r="N1380" s="28"/>
      <c r="O1380" s="28">
        <f t="shared" ref="O1380:AC1380" si="522">SUM(O1381:O1383)</f>
        <v>0</v>
      </c>
      <c r="P1380" s="28">
        <f t="shared" si="522"/>
        <v>0</v>
      </c>
      <c r="Q1380" s="28">
        <f t="shared" si="522"/>
        <v>0</v>
      </c>
      <c r="R1380" s="28">
        <f t="shared" si="522"/>
        <v>0</v>
      </c>
      <c r="S1380" s="28">
        <f t="shared" si="522"/>
        <v>0</v>
      </c>
      <c r="T1380" s="28"/>
      <c r="U1380" s="28">
        <f t="shared" si="522"/>
        <v>0</v>
      </c>
      <c r="V1380" s="28"/>
      <c r="W1380" s="28">
        <f t="shared" si="522"/>
        <v>0</v>
      </c>
      <c r="X1380" s="28"/>
      <c r="Y1380" s="28">
        <f t="shared" si="522"/>
        <v>0</v>
      </c>
      <c r="Z1380" s="28">
        <f t="shared" si="522"/>
        <v>0</v>
      </c>
      <c r="AA1380" s="28"/>
      <c r="AB1380" s="28">
        <f t="shared" si="522"/>
        <v>0</v>
      </c>
      <c r="AC1380" s="28">
        <f t="shared" si="522"/>
        <v>0</v>
      </c>
      <c r="AD1380" s="28"/>
      <c r="AE1380" s="28"/>
    </row>
    <row r="1381" spans="1:31" s="1" customFormat="1" x14ac:dyDescent="0.25">
      <c r="A1381" s="21"/>
      <c r="B1381" s="22"/>
      <c r="C1381" s="22"/>
      <c r="D1381" s="65"/>
      <c r="E1381" s="24"/>
      <c r="F1381" s="24"/>
      <c r="G1381" s="24"/>
      <c r="H1381" s="24"/>
      <c r="I1381" s="24"/>
      <c r="J1381" s="24"/>
      <c r="K1381" s="24"/>
      <c r="L1381" s="24"/>
      <c r="M1381" s="24"/>
      <c r="N1381" s="24"/>
      <c r="O1381" s="24"/>
      <c r="P1381" s="24"/>
      <c r="Q1381" s="24"/>
      <c r="R1381" s="24"/>
      <c r="S1381" s="24"/>
      <c r="T1381" s="24"/>
      <c r="U1381" s="24"/>
      <c r="V1381" s="24"/>
      <c r="W1381" s="24"/>
      <c r="X1381" s="24"/>
      <c r="Y1381" s="24"/>
      <c r="Z1381" s="24"/>
      <c r="AA1381" s="24"/>
      <c r="AB1381" s="24"/>
      <c r="AC1381" s="24"/>
      <c r="AD1381" s="24"/>
      <c r="AE1381" s="24"/>
    </row>
    <row r="1382" spans="1:31" s="1" customFormat="1" x14ac:dyDescent="0.25">
      <c r="A1382" s="21"/>
      <c r="B1382" s="22"/>
      <c r="C1382" s="22"/>
      <c r="D1382" s="65"/>
      <c r="E1382" s="24"/>
      <c r="F1382" s="24"/>
      <c r="G1382" s="24"/>
      <c r="H1382" s="24"/>
      <c r="I1382" s="24"/>
      <c r="J1382" s="24"/>
      <c r="K1382" s="24"/>
      <c r="L1382" s="24"/>
      <c r="M1382" s="24"/>
      <c r="N1382" s="24"/>
      <c r="O1382" s="24"/>
      <c r="P1382" s="24"/>
      <c r="Q1382" s="24"/>
      <c r="R1382" s="24"/>
      <c r="S1382" s="24"/>
      <c r="T1382" s="24"/>
      <c r="U1382" s="24"/>
      <c r="V1382" s="24"/>
      <c r="W1382" s="24"/>
      <c r="X1382" s="24"/>
      <c r="Y1382" s="24"/>
      <c r="Z1382" s="24"/>
      <c r="AA1382" s="24"/>
      <c r="AB1382" s="24"/>
      <c r="AC1382" s="24"/>
      <c r="AD1382" s="24"/>
      <c r="AE1382" s="24"/>
    </row>
    <row r="1383" spans="1:31" s="1" customFormat="1" x14ac:dyDescent="0.25">
      <c r="A1383" s="21"/>
      <c r="B1383" s="22"/>
      <c r="C1383" s="22"/>
      <c r="D1383" s="65"/>
      <c r="E1383" s="24"/>
      <c r="F1383" s="24"/>
      <c r="G1383" s="24"/>
      <c r="H1383" s="24"/>
      <c r="I1383" s="24"/>
      <c r="J1383" s="24"/>
      <c r="K1383" s="24"/>
      <c r="L1383" s="24"/>
      <c r="M1383" s="24"/>
      <c r="N1383" s="24"/>
      <c r="O1383" s="24"/>
      <c r="P1383" s="24"/>
      <c r="Q1383" s="24"/>
      <c r="R1383" s="24"/>
      <c r="S1383" s="24"/>
      <c r="T1383" s="24"/>
      <c r="U1383" s="24"/>
      <c r="V1383" s="24"/>
      <c r="W1383" s="24"/>
      <c r="X1383" s="24"/>
      <c r="Y1383" s="24"/>
      <c r="Z1383" s="24"/>
      <c r="AA1383" s="24"/>
      <c r="AB1383" s="24"/>
      <c r="AC1383" s="24"/>
      <c r="AD1383" s="24"/>
      <c r="AE1383" s="24"/>
    </row>
    <row r="1384" spans="1:31" s="1" customFormat="1" ht="38.25" x14ac:dyDescent="0.25">
      <c r="A1384" s="25"/>
      <c r="B1384" s="26" t="s">
        <v>1505</v>
      </c>
      <c r="C1384" s="26"/>
      <c r="D1384" s="64" t="s">
        <v>1506</v>
      </c>
      <c r="E1384" s="28"/>
      <c r="F1384" s="28"/>
      <c r="G1384" s="28"/>
      <c r="H1384" s="28"/>
      <c r="I1384" s="28"/>
      <c r="J1384" s="28"/>
      <c r="K1384" s="28"/>
      <c r="L1384" s="28"/>
      <c r="M1384" s="28">
        <f>SUM(M1385:M1387)</f>
        <v>0</v>
      </c>
      <c r="N1384" s="28"/>
      <c r="O1384" s="28">
        <f t="shared" ref="O1384:AC1384" si="523">SUM(O1385:O1387)</f>
        <v>0</v>
      </c>
      <c r="P1384" s="28">
        <f t="shared" si="523"/>
        <v>0</v>
      </c>
      <c r="Q1384" s="28">
        <f t="shared" si="523"/>
        <v>0</v>
      </c>
      <c r="R1384" s="28">
        <f t="shared" si="523"/>
        <v>0</v>
      </c>
      <c r="S1384" s="28">
        <f t="shared" si="523"/>
        <v>0</v>
      </c>
      <c r="T1384" s="28"/>
      <c r="U1384" s="28">
        <f t="shared" si="523"/>
        <v>0</v>
      </c>
      <c r="V1384" s="28"/>
      <c r="W1384" s="28">
        <f t="shared" si="523"/>
        <v>0</v>
      </c>
      <c r="X1384" s="28"/>
      <c r="Y1384" s="28">
        <f t="shared" si="523"/>
        <v>0</v>
      </c>
      <c r="Z1384" s="28">
        <f t="shared" si="523"/>
        <v>0</v>
      </c>
      <c r="AA1384" s="28"/>
      <c r="AB1384" s="28">
        <f t="shared" si="523"/>
        <v>0</v>
      </c>
      <c r="AC1384" s="28">
        <f t="shared" si="523"/>
        <v>0</v>
      </c>
      <c r="AD1384" s="28"/>
      <c r="AE1384" s="28"/>
    </row>
    <row r="1385" spans="1:31" s="1" customFormat="1" x14ac:dyDescent="0.25">
      <c r="A1385" s="21"/>
      <c r="B1385" s="22"/>
      <c r="C1385" s="22"/>
      <c r="D1385" s="65"/>
      <c r="E1385" s="24"/>
      <c r="F1385" s="24"/>
      <c r="G1385" s="24"/>
      <c r="H1385" s="24"/>
      <c r="I1385" s="24"/>
      <c r="J1385" s="24"/>
      <c r="K1385" s="24"/>
      <c r="L1385" s="24"/>
      <c r="M1385" s="24"/>
      <c r="N1385" s="24"/>
      <c r="O1385" s="24"/>
      <c r="P1385" s="24"/>
      <c r="Q1385" s="24"/>
      <c r="R1385" s="24"/>
      <c r="S1385" s="24"/>
      <c r="T1385" s="24"/>
      <c r="U1385" s="24"/>
      <c r="V1385" s="24"/>
      <c r="W1385" s="24"/>
      <c r="X1385" s="24"/>
      <c r="Y1385" s="24"/>
      <c r="Z1385" s="24"/>
      <c r="AA1385" s="24"/>
      <c r="AB1385" s="24"/>
      <c r="AC1385" s="24"/>
      <c r="AD1385" s="24"/>
      <c r="AE1385" s="24"/>
    </row>
    <row r="1386" spans="1:31" s="1" customFormat="1" x14ac:dyDescent="0.25">
      <c r="A1386" s="21"/>
      <c r="B1386" s="22"/>
      <c r="C1386" s="22"/>
      <c r="D1386" s="65"/>
      <c r="E1386" s="24"/>
      <c r="F1386" s="24"/>
      <c r="G1386" s="24"/>
      <c r="H1386" s="24"/>
      <c r="I1386" s="24"/>
      <c r="J1386" s="24"/>
      <c r="K1386" s="24"/>
      <c r="L1386" s="24"/>
      <c r="M1386" s="24"/>
      <c r="N1386" s="24"/>
      <c r="O1386" s="24"/>
      <c r="P1386" s="24"/>
      <c r="Q1386" s="24"/>
      <c r="R1386" s="24"/>
      <c r="S1386" s="24"/>
      <c r="T1386" s="24"/>
      <c r="U1386" s="24"/>
      <c r="V1386" s="24"/>
      <c r="W1386" s="24"/>
      <c r="X1386" s="24"/>
      <c r="Y1386" s="24"/>
      <c r="Z1386" s="24"/>
      <c r="AA1386" s="24"/>
      <c r="AB1386" s="24"/>
      <c r="AC1386" s="24"/>
      <c r="AD1386" s="24"/>
      <c r="AE1386" s="24"/>
    </row>
    <row r="1387" spans="1:31" s="1" customFormat="1" x14ac:dyDescent="0.25">
      <c r="A1387" s="21"/>
      <c r="B1387" s="22"/>
      <c r="C1387" s="22"/>
      <c r="D1387" s="65"/>
      <c r="E1387" s="24"/>
      <c r="F1387" s="24"/>
      <c r="G1387" s="24"/>
      <c r="H1387" s="24"/>
      <c r="I1387" s="24"/>
      <c r="J1387" s="24"/>
      <c r="K1387" s="24"/>
      <c r="L1387" s="24"/>
      <c r="M1387" s="24"/>
      <c r="N1387" s="24"/>
      <c r="O1387" s="24"/>
      <c r="P1387" s="24"/>
      <c r="Q1387" s="24"/>
      <c r="R1387" s="24"/>
      <c r="S1387" s="24"/>
      <c r="T1387" s="24"/>
      <c r="U1387" s="24"/>
      <c r="V1387" s="24"/>
      <c r="W1387" s="24"/>
      <c r="X1387" s="24"/>
      <c r="Y1387" s="24"/>
      <c r="Z1387" s="24"/>
      <c r="AA1387" s="24"/>
      <c r="AB1387" s="24"/>
      <c r="AC1387" s="24"/>
      <c r="AD1387" s="24"/>
      <c r="AE1387" s="24"/>
    </row>
    <row r="1388" spans="1:31" s="1" customFormat="1" ht="38.25" x14ac:dyDescent="0.25">
      <c r="A1388" s="25"/>
      <c r="B1388" s="26" t="s">
        <v>1507</v>
      </c>
      <c r="C1388" s="26"/>
      <c r="D1388" s="64" t="s">
        <v>1508</v>
      </c>
      <c r="E1388" s="28"/>
      <c r="F1388" s="28"/>
      <c r="G1388" s="28"/>
      <c r="H1388" s="28"/>
      <c r="I1388" s="28"/>
      <c r="J1388" s="28"/>
      <c r="K1388" s="28"/>
      <c r="L1388" s="28"/>
      <c r="M1388" s="28">
        <f>SUM(M1389:M1391)</f>
        <v>0</v>
      </c>
      <c r="N1388" s="28"/>
      <c r="O1388" s="28">
        <f t="shared" ref="O1388:AC1388" si="524">SUM(O1389:O1391)</f>
        <v>0</v>
      </c>
      <c r="P1388" s="28">
        <f t="shared" si="524"/>
        <v>0</v>
      </c>
      <c r="Q1388" s="28">
        <f t="shared" si="524"/>
        <v>0</v>
      </c>
      <c r="R1388" s="28">
        <f t="shared" si="524"/>
        <v>0</v>
      </c>
      <c r="S1388" s="28">
        <f t="shared" si="524"/>
        <v>0</v>
      </c>
      <c r="T1388" s="28"/>
      <c r="U1388" s="28">
        <f t="shared" si="524"/>
        <v>0</v>
      </c>
      <c r="V1388" s="28"/>
      <c r="W1388" s="28">
        <f t="shared" si="524"/>
        <v>0</v>
      </c>
      <c r="X1388" s="28"/>
      <c r="Y1388" s="28">
        <f t="shared" si="524"/>
        <v>0</v>
      </c>
      <c r="Z1388" s="28">
        <f t="shared" si="524"/>
        <v>0</v>
      </c>
      <c r="AA1388" s="28"/>
      <c r="AB1388" s="28">
        <f t="shared" si="524"/>
        <v>0</v>
      </c>
      <c r="AC1388" s="28">
        <f t="shared" si="524"/>
        <v>0</v>
      </c>
      <c r="AD1388" s="28"/>
      <c r="AE1388" s="28"/>
    </row>
    <row r="1389" spans="1:31" s="1" customFormat="1" x14ac:dyDescent="0.25">
      <c r="A1389" s="21"/>
      <c r="B1389" s="22"/>
      <c r="C1389" s="22"/>
      <c r="D1389" s="65"/>
      <c r="E1389" s="24"/>
      <c r="F1389" s="24"/>
      <c r="G1389" s="24"/>
      <c r="H1389" s="24"/>
      <c r="I1389" s="24"/>
      <c r="J1389" s="24"/>
      <c r="K1389" s="24"/>
      <c r="L1389" s="24"/>
      <c r="M1389" s="24"/>
      <c r="N1389" s="24"/>
      <c r="O1389" s="24"/>
      <c r="P1389" s="24"/>
      <c r="Q1389" s="24"/>
      <c r="R1389" s="24"/>
      <c r="S1389" s="24"/>
      <c r="T1389" s="24"/>
      <c r="U1389" s="24"/>
      <c r="V1389" s="24"/>
      <c r="W1389" s="24"/>
      <c r="X1389" s="24"/>
      <c r="Y1389" s="24"/>
      <c r="Z1389" s="24"/>
      <c r="AA1389" s="24"/>
      <c r="AB1389" s="24"/>
      <c r="AC1389" s="24"/>
      <c r="AD1389" s="24"/>
      <c r="AE1389" s="24"/>
    </row>
    <row r="1390" spans="1:31" s="1" customFormat="1" x14ac:dyDescent="0.25">
      <c r="A1390" s="21"/>
      <c r="B1390" s="22"/>
      <c r="C1390" s="22"/>
      <c r="D1390" s="65"/>
      <c r="E1390" s="24"/>
      <c r="F1390" s="24"/>
      <c r="G1390" s="24"/>
      <c r="H1390" s="24"/>
      <c r="I1390" s="24"/>
      <c r="J1390" s="24"/>
      <c r="K1390" s="24"/>
      <c r="L1390" s="24"/>
      <c r="M1390" s="24"/>
      <c r="N1390" s="24"/>
      <c r="O1390" s="24"/>
      <c r="P1390" s="24"/>
      <c r="Q1390" s="24"/>
      <c r="R1390" s="24"/>
      <c r="S1390" s="24"/>
      <c r="T1390" s="24"/>
      <c r="U1390" s="24"/>
      <c r="V1390" s="24"/>
      <c r="W1390" s="24"/>
      <c r="X1390" s="24"/>
      <c r="Y1390" s="24"/>
      <c r="Z1390" s="24"/>
      <c r="AA1390" s="24"/>
      <c r="AB1390" s="24"/>
      <c r="AC1390" s="24"/>
      <c r="AD1390" s="24"/>
      <c r="AE1390" s="24"/>
    </row>
    <row r="1391" spans="1:31" s="1" customFormat="1" x14ac:dyDescent="0.25">
      <c r="A1391" s="21"/>
      <c r="B1391" s="22"/>
      <c r="C1391" s="22"/>
      <c r="D1391" s="65"/>
      <c r="E1391" s="24"/>
      <c r="F1391" s="24"/>
      <c r="G1391" s="24"/>
      <c r="H1391" s="24"/>
      <c r="I1391" s="24"/>
      <c r="J1391" s="24"/>
      <c r="K1391" s="24"/>
      <c r="L1391" s="24"/>
      <c r="M1391" s="24"/>
      <c r="N1391" s="24"/>
      <c r="O1391" s="24"/>
      <c r="P1391" s="24"/>
      <c r="Q1391" s="24"/>
      <c r="R1391" s="24"/>
      <c r="S1391" s="24"/>
      <c r="T1391" s="24"/>
      <c r="U1391" s="24"/>
      <c r="V1391" s="24"/>
      <c r="W1391" s="24"/>
      <c r="X1391" s="24"/>
      <c r="Y1391" s="24"/>
      <c r="Z1391" s="24"/>
      <c r="AA1391" s="24"/>
      <c r="AB1391" s="24"/>
      <c r="AC1391" s="24"/>
      <c r="AD1391" s="24"/>
      <c r="AE1391" s="24"/>
    </row>
    <row r="1392" spans="1:31" s="1" customFormat="1" ht="38.25" x14ac:dyDescent="0.25">
      <c r="A1392" s="25"/>
      <c r="B1392" s="26" t="s">
        <v>1509</v>
      </c>
      <c r="C1392" s="26"/>
      <c r="D1392" s="64" t="s">
        <v>1510</v>
      </c>
      <c r="E1392" s="28"/>
      <c r="F1392" s="28"/>
      <c r="G1392" s="28"/>
      <c r="H1392" s="28"/>
      <c r="I1392" s="28"/>
      <c r="J1392" s="28"/>
      <c r="K1392" s="28"/>
      <c r="L1392" s="28"/>
      <c r="M1392" s="28">
        <f>SUM(M1393:M1395)</f>
        <v>0</v>
      </c>
      <c r="N1392" s="28"/>
      <c r="O1392" s="28">
        <f t="shared" ref="O1392:AC1392" si="525">SUM(O1393:O1395)</f>
        <v>0</v>
      </c>
      <c r="P1392" s="28">
        <f t="shared" si="525"/>
        <v>0</v>
      </c>
      <c r="Q1392" s="28">
        <f t="shared" si="525"/>
        <v>0</v>
      </c>
      <c r="R1392" s="28">
        <f t="shared" si="525"/>
        <v>0</v>
      </c>
      <c r="S1392" s="28">
        <f t="shared" si="525"/>
        <v>0</v>
      </c>
      <c r="T1392" s="28"/>
      <c r="U1392" s="28">
        <f t="shared" si="525"/>
        <v>0</v>
      </c>
      <c r="V1392" s="28"/>
      <c r="W1392" s="28">
        <f t="shared" si="525"/>
        <v>0</v>
      </c>
      <c r="X1392" s="28"/>
      <c r="Y1392" s="28">
        <f t="shared" si="525"/>
        <v>0</v>
      </c>
      <c r="Z1392" s="28">
        <f t="shared" si="525"/>
        <v>0</v>
      </c>
      <c r="AA1392" s="28"/>
      <c r="AB1392" s="28">
        <f t="shared" si="525"/>
        <v>0</v>
      </c>
      <c r="AC1392" s="28">
        <f t="shared" si="525"/>
        <v>0</v>
      </c>
      <c r="AD1392" s="28"/>
      <c r="AE1392" s="28"/>
    </row>
    <row r="1393" spans="1:31" s="1" customFormat="1" x14ac:dyDescent="0.25">
      <c r="A1393" s="21"/>
      <c r="B1393" s="22"/>
      <c r="C1393" s="22"/>
      <c r="D1393" s="65"/>
      <c r="E1393" s="24"/>
      <c r="F1393" s="24"/>
      <c r="G1393" s="24"/>
      <c r="H1393" s="24"/>
      <c r="I1393" s="24"/>
      <c r="J1393" s="24"/>
      <c r="K1393" s="24"/>
      <c r="L1393" s="24"/>
      <c r="M1393" s="24"/>
      <c r="N1393" s="24"/>
      <c r="O1393" s="24"/>
      <c r="P1393" s="24"/>
      <c r="Q1393" s="24"/>
      <c r="R1393" s="24"/>
      <c r="S1393" s="24"/>
      <c r="T1393" s="24"/>
      <c r="U1393" s="24"/>
      <c r="V1393" s="24"/>
      <c r="W1393" s="24"/>
      <c r="X1393" s="24"/>
      <c r="Y1393" s="24"/>
      <c r="Z1393" s="24"/>
      <c r="AA1393" s="24"/>
      <c r="AB1393" s="24"/>
      <c r="AC1393" s="24"/>
      <c r="AD1393" s="24"/>
      <c r="AE1393" s="24"/>
    </row>
    <row r="1394" spans="1:31" s="1" customFormat="1" x14ac:dyDescent="0.25">
      <c r="A1394" s="21"/>
      <c r="B1394" s="22"/>
      <c r="C1394" s="22"/>
      <c r="D1394" s="65"/>
      <c r="E1394" s="24"/>
      <c r="F1394" s="24"/>
      <c r="G1394" s="24"/>
      <c r="H1394" s="24"/>
      <c r="I1394" s="24"/>
      <c r="J1394" s="24"/>
      <c r="K1394" s="24"/>
      <c r="L1394" s="24"/>
      <c r="M1394" s="24"/>
      <c r="N1394" s="24"/>
      <c r="O1394" s="24"/>
      <c r="P1394" s="24"/>
      <c r="Q1394" s="24"/>
      <c r="R1394" s="24"/>
      <c r="S1394" s="24"/>
      <c r="T1394" s="24"/>
      <c r="U1394" s="24"/>
      <c r="V1394" s="24"/>
      <c r="W1394" s="24"/>
      <c r="X1394" s="24"/>
      <c r="Y1394" s="24"/>
      <c r="Z1394" s="24"/>
      <c r="AA1394" s="24"/>
      <c r="AB1394" s="24"/>
      <c r="AC1394" s="24"/>
      <c r="AD1394" s="24"/>
      <c r="AE1394" s="24"/>
    </row>
    <row r="1395" spans="1:31" s="1" customFormat="1" x14ac:dyDescent="0.25">
      <c r="A1395" s="21"/>
      <c r="B1395" s="22"/>
      <c r="C1395" s="22"/>
      <c r="D1395" s="65"/>
      <c r="E1395" s="24"/>
      <c r="F1395" s="24"/>
      <c r="G1395" s="24"/>
      <c r="H1395" s="24"/>
      <c r="I1395" s="24"/>
      <c r="J1395" s="24"/>
      <c r="K1395" s="24"/>
      <c r="L1395" s="24"/>
      <c r="M1395" s="24"/>
      <c r="N1395" s="24"/>
      <c r="O1395" s="24"/>
      <c r="P1395" s="24"/>
      <c r="Q1395" s="24"/>
      <c r="R1395" s="24"/>
      <c r="S1395" s="24"/>
      <c r="T1395" s="24"/>
      <c r="U1395" s="24"/>
      <c r="V1395" s="24"/>
      <c r="W1395" s="24"/>
      <c r="X1395" s="24"/>
      <c r="Y1395" s="24"/>
      <c r="Z1395" s="24"/>
      <c r="AA1395" s="24"/>
      <c r="AB1395" s="24"/>
      <c r="AC1395" s="24"/>
      <c r="AD1395" s="24"/>
      <c r="AE1395" s="24"/>
    </row>
    <row r="1396" spans="1:31" s="1" customFormat="1" x14ac:dyDescent="0.25">
      <c r="A1396" s="25"/>
      <c r="B1396" s="26" t="s">
        <v>1511</v>
      </c>
      <c r="C1396" s="26"/>
      <c r="D1396" s="64" t="s">
        <v>1512</v>
      </c>
      <c r="E1396" s="28"/>
      <c r="F1396" s="28"/>
      <c r="G1396" s="28"/>
      <c r="H1396" s="28"/>
      <c r="I1396" s="28"/>
      <c r="J1396" s="28"/>
      <c r="K1396" s="28"/>
      <c r="L1396" s="28"/>
      <c r="M1396" s="28">
        <f>SUM(M1397:M1399)</f>
        <v>0</v>
      </c>
      <c r="N1396" s="28"/>
      <c r="O1396" s="28">
        <f t="shared" ref="O1396:AC1396" si="526">SUM(O1397:O1399)</f>
        <v>0</v>
      </c>
      <c r="P1396" s="28">
        <f t="shared" si="526"/>
        <v>0</v>
      </c>
      <c r="Q1396" s="28">
        <f t="shared" si="526"/>
        <v>0</v>
      </c>
      <c r="R1396" s="28">
        <f t="shared" si="526"/>
        <v>0</v>
      </c>
      <c r="S1396" s="28">
        <f t="shared" si="526"/>
        <v>0</v>
      </c>
      <c r="T1396" s="28"/>
      <c r="U1396" s="28">
        <f t="shared" si="526"/>
        <v>0</v>
      </c>
      <c r="V1396" s="28"/>
      <c r="W1396" s="28">
        <f t="shared" si="526"/>
        <v>0</v>
      </c>
      <c r="X1396" s="28"/>
      <c r="Y1396" s="28">
        <f t="shared" si="526"/>
        <v>0</v>
      </c>
      <c r="Z1396" s="28">
        <f t="shared" si="526"/>
        <v>0</v>
      </c>
      <c r="AA1396" s="28"/>
      <c r="AB1396" s="28">
        <f t="shared" si="526"/>
        <v>0</v>
      </c>
      <c r="AC1396" s="28">
        <f t="shared" si="526"/>
        <v>0</v>
      </c>
      <c r="AD1396" s="28"/>
      <c r="AE1396" s="28"/>
    </row>
    <row r="1397" spans="1:31" s="1" customFormat="1" x14ac:dyDescent="0.25">
      <c r="A1397" s="21"/>
      <c r="B1397" s="22"/>
      <c r="C1397" s="22"/>
      <c r="D1397" s="65"/>
      <c r="E1397" s="24"/>
      <c r="F1397" s="24"/>
      <c r="G1397" s="24"/>
      <c r="H1397" s="24"/>
      <c r="I1397" s="24"/>
      <c r="J1397" s="24"/>
      <c r="K1397" s="24"/>
      <c r="L1397" s="24"/>
      <c r="M1397" s="24"/>
      <c r="N1397" s="24"/>
      <c r="O1397" s="24"/>
      <c r="P1397" s="24"/>
      <c r="Q1397" s="24"/>
      <c r="R1397" s="24"/>
      <c r="S1397" s="24"/>
      <c r="T1397" s="24"/>
      <c r="U1397" s="24"/>
      <c r="V1397" s="24"/>
      <c r="W1397" s="24"/>
      <c r="X1397" s="24"/>
      <c r="Y1397" s="24"/>
      <c r="Z1397" s="24"/>
      <c r="AA1397" s="24"/>
      <c r="AB1397" s="24"/>
      <c r="AC1397" s="24"/>
      <c r="AD1397" s="24"/>
      <c r="AE1397" s="24"/>
    </row>
    <row r="1398" spans="1:31" s="1" customFormat="1" x14ac:dyDescent="0.25">
      <c r="A1398" s="21"/>
      <c r="B1398" s="22"/>
      <c r="C1398" s="22"/>
      <c r="D1398" s="65"/>
      <c r="E1398" s="24"/>
      <c r="F1398" s="24"/>
      <c r="G1398" s="24"/>
      <c r="H1398" s="24"/>
      <c r="I1398" s="24"/>
      <c r="J1398" s="24"/>
      <c r="K1398" s="24"/>
      <c r="L1398" s="24"/>
      <c r="M1398" s="24"/>
      <c r="N1398" s="24"/>
      <c r="O1398" s="24"/>
      <c r="P1398" s="24"/>
      <c r="Q1398" s="24"/>
      <c r="R1398" s="24"/>
      <c r="S1398" s="24"/>
      <c r="T1398" s="24"/>
      <c r="U1398" s="24"/>
      <c r="V1398" s="24"/>
      <c r="W1398" s="24"/>
      <c r="X1398" s="24"/>
      <c r="Y1398" s="24"/>
      <c r="Z1398" s="24"/>
      <c r="AA1398" s="24"/>
      <c r="AB1398" s="24"/>
      <c r="AC1398" s="24"/>
      <c r="AD1398" s="24"/>
      <c r="AE1398" s="24"/>
    </row>
    <row r="1399" spans="1:31" s="1" customFormat="1" x14ac:dyDescent="0.25">
      <c r="A1399" s="21"/>
      <c r="B1399" s="22"/>
      <c r="C1399" s="22"/>
      <c r="D1399" s="65"/>
      <c r="E1399" s="24"/>
      <c r="F1399" s="24"/>
      <c r="G1399" s="24"/>
      <c r="H1399" s="24"/>
      <c r="I1399" s="24"/>
      <c r="J1399" s="24"/>
      <c r="K1399" s="24"/>
      <c r="L1399" s="24"/>
      <c r="M1399" s="24"/>
      <c r="N1399" s="24"/>
      <c r="O1399" s="24"/>
      <c r="P1399" s="24"/>
      <c r="Q1399" s="24"/>
      <c r="R1399" s="24"/>
      <c r="S1399" s="24"/>
      <c r="T1399" s="24"/>
      <c r="U1399" s="24"/>
      <c r="V1399" s="24"/>
      <c r="W1399" s="24"/>
      <c r="X1399" s="24"/>
      <c r="Y1399" s="24"/>
      <c r="Z1399" s="24"/>
      <c r="AA1399" s="24"/>
      <c r="AB1399" s="24"/>
      <c r="AC1399" s="24"/>
      <c r="AD1399" s="24"/>
      <c r="AE1399" s="24"/>
    </row>
    <row r="1400" spans="1:31" s="1" customFormat="1" x14ac:dyDescent="0.25">
      <c r="A1400" s="17"/>
      <c r="B1400" s="18" t="s">
        <v>1513</v>
      </c>
      <c r="C1400" s="18"/>
      <c r="D1400" s="84" t="s">
        <v>1514</v>
      </c>
      <c r="E1400" s="20"/>
      <c r="F1400" s="20"/>
      <c r="G1400" s="20"/>
      <c r="H1400" s="20"/>
      <c r="I1400" s="20"/>
      <c r="J1400" s="20"/>
      <c r="K1400" s="20"/>
      <c r="L1400" s="20"/>
      <c r="M1400" s="20">
        <f>M1401</f>
        <v>0</v>
      </c>
      <c r="N1400" s="20"/>
      <c r="O1400" s="20">
        <f t="shared" ref="O1400:AC1400" si="527">O1401</f>
        <v>0</v>
      </c>
      <c r="P1400" s="20">
        <f t="shared" si="527"/>
        <v>0</v>
      </c>
      <c r="Q1400" s="20">
        <f t="shared" si="527"/>
        <v>0</v>
      </c>
      <c r="R1400" s="20">
        <f t="shared" si="527"/>
        <v>0</v>
      </c>
      <c r="S1400" s="20">
        <f t="shared" si="527"/>
        <v>0</v>
      </c>
      <c r="T1400" s="20"/>
      <c r="U1400" s="20">
        <f t="shared" si="527"/>
        <v>0</v>
      </c>
      <c r="V1400" s="20"/>
      <c r="W1400" s="20">
        <f t="shared" si="527"/>
        <v>0</v>
      </c>
      <c r="X1400" s="20"/>
      <c r="Y1400" s="20">
        <f t="shared" si="527"/>
        <v>0</v>
      </c>
      <c r="Z1400" s="20">
        <f t="shared" si="527"/>
        <v>0</v>
      </c>
      <c r="AA1400" s="20"/>
      <c r="AB1400" s="20">
        <f t="shared" si="527"/>
        <v>0</v>
      </c>
      <c r="AC1400" s="20">
        <f t="shared" si="527"/>
        <v>0</v>
      </c>
      <c r="AD1400" s="20"/>
      <c r="AE1400" s="20"/>
    </row>
    <row r="1401" spans="1:31" s="1" customFormat="1" x14ac:dyDescent="0.25">
      <c r="A1401" s="25"/>
      <c r="B1401" s="26" t="s">
        <v>1515</v>
      </c>
      <c r="C1401" s="26"/>
      <c r="D1401" s="64" t="s">
        <v>1514</v>
      </c>
      <c r="E1401" s="28"/>
      <c r="F1401" s="28"/>
      <c r="G1401" s="28"/>
      <c r="H1401" s="28"/>
      <c r="I1401" s="28"/>
      <c r="J1401" s="28"/>
      <c r="K1401" s="28"/>
      <c r="L1401" s="28"/>
      <c r="M1401" s="28">
        <f>SUM(M1402:M1404)</f>
        <v>0</v>
      </c>
      <c r="N1401" s="28"/>
      <c r="O1401" s="28">
        <f t="shared" ref="O1401:AC1401" si="528">SUM(O1402:O1404)</f>
        <v>0</v>
      </c>
      <c r="P1401" s="28">
        <f t="shared" si="528"/>
        <v>0</v>
      </c>
      <c r="Q1401" s="28">
        <f t="shared" si="528"/>
        <v>0</v>
      </c>
      <c r="R1401" s="28">
        <f t="shared" si="528"/>
        <v>0</v>
      </c>
      <c r="S1401" s="28">
        <f t="shared" si="528"/>
        <v>0</v>
      </c>
      <c r="T1401" s="28"/>
      <c r="U1401" s="28">
        <f t="shared" si="528"/>
        <v>0</v>
      </c>
      <c r="V1401" s="28"/>
      <c r="W1401" s="28">
        <f t="shared" si="528"/>
        <v>0</v>
      </c>
      <c r="X1401" s="28"/>
      <c r="Y1401" s="28">
        <f t="shared" si="528"/>
        <v>0</v>
      </c>
      <c r="Z1401" s="28">
        <f t="shared" si="528"/>
        <v>0</v>
      </c>
      <c r="AA1401" s="28"/>
      <c r="AB1401" s="28">
        <f t="shared" si="528"/>
        <v>0</v>
      </c>
      <c r="AC1401" s="28">
        <f t="shared" si="528"/>
        <v>0</v>
      </c>
      <c r="AD1401" s="28"/>
      <c r="AE1401" s="28"/>
    </row>
    <row r="1402" spans="1:31" s="1" customFormat="1" x14ac:dyDescent="0.25">
      <c r="A1402" s="21"/>
      <c r="B1402" s="22"/>
      <c r="C1402" s="22"/>
      <c r="D1402" s="65"/>
      <c r="E1402" s="24"/>
      <c r="F1402" s="24"/>
      <c r="G1402" s="24"/>
      <c r="H1402" s="24"/>
      <c r="I1402" s="24"/>
      <c r="J1402" s="24"/>
      <c r="K1402" s="24"/>
      <c r="L1402" s="24"/>
      <c r="M1402" s="24"/>
      <c r="N1402" s="24"/>
      <c r="O1402" s="24"/>
      <c r="P1402" s="24"/>
      <c r="Q1402" s="24"/>
      <c r="R1402" s="24"/>
      <c r="S1402" s="24"/>
      <c r="T1402" s="24"/>
      <c r="U1402" s="24"/>
      <c r="V1402" s="24"/>
      <c r="W1402" s="24"/>
      <c r="X1402" s="24"/>
      <c r="Y1402" s="24"/>
      <c r="Z1402" s="24"/>
      <c r="AA1402" s="24"/>
      <c r="AB1402" s="24"/>
      <c r="AC1402" s="24"/>
      <c r="AD1402" s="24"/>
      <c r="AE1402" s="24"/>
    </row>
    <row r="1403" spans="1:31" s="1" customFormat="1" x14ac:dyDescent="0.25">
      <c r="A1403" s="21"/>
      <c r="B1403" s="22"/>
      <c r="C1403" s="22"/>
      <c r="D1403" s="65"/>
      <c r="E1403" s="24"/>
      <c r="F1403" s="24"/>
      <c r="G1403" s="24"/>
      <c r="H1403" s="24"/>
      <c r="I1403" s="24"/>
      <c r="J1403" s="24"/>
      <c r="K1403" s="24"/>
      <c r="L1403" s="24"/>
      <c r="M1403" s="24"/>
      <c r="N1403" s="24"/>
      <c r="O1403" s="24"/>
      <c r="P1403" s="24"/>
      <c r="Q1403" s="24"/>
      <c r="R1403" s="24"/>
      <c r="S1403" s="24"/>
      <c r="T1403" s="24"/>
      <c r="U1403" s="24"/>
      <c r="V1403" s="24"/>
      <c r="W1403" s="24"/>
      <c r="X1403" s="24"/>
      <c r="Y1403" s="24"/>
      <c r="Z1403" s="24"/>
      <c r="AA1403" s="24"/>
      <c r="AB1403" s="24"/>
      <c r="AC1403" s="24"/>
      <c r="AD1403" s="24"/>
      <c r="AE1403" s="24"/>
    </row>
    <row r="1404" spans="1:31" s="1" customFormat="1" x14ac:dyDescent="0.25">
      <c r="A1404" s="21"/>
      <c r="B1404" s="22"/>
      <c r="C1404" s="22"/>
      <c r="D1404" s="65"/>
      <c r="E1404" s="24"/>
      <c r="F1404" s="24"/>
      <c r="G1404" s="24"/>
      <c r="H1404" s="24"/>
      <c r="I1404" s="24"/>
      <c r="J1404" s="24"/>
      <c r="K1404" s="24"/>
      <c r="L1404" s="24"/>
      <c r="M1404" s="24"/>
      <c r="N1404" s="24"/>
      <c r="O1404" s="24"/>
      <c r="P1404" s="24"/>
      <c r="Q1404" s="24"/>
      <c r="R1404" s="24"/>
      <c r="S1404" s="24"/>
      <c r="T1404" s="24"/>
      <c r="U1404" s="24"/>
      <c r="V1404" s="24"/>
      <c r="W1404" s="24"/>
      <c r="X1404" s="24"/>
      <c r="Y1404" s="24"/>
      <c r="Z1404" s="24"/>
      <c r="AA1404" s="24"/>
      <c r="AB1404" s="24"/>
      <c r="AC1404" s="24"/>
      <c r="AD1404" s="24"/>
      <c r="AE1404" s="24"/>
    </row>
    <row r="1405" spans="1:31" s="1" customFormat="1" x14ac:dyDescent="0.25">
      <c r="A1405" s="17"/>
      <c r="B1405" s="18" t="s">
        <v>1516</v>
      </c>
      <c r="C1405" s="18"/>
      <c r="D1405" s="84" t="s">
        <v>1517</v>
      </c>
      <c r="E1405" s="20"/>
      <c r="F1405" s="20"/>
      <c r="G1405" s="20"/>
      <c r="H1405" s="20"/>
      <c r="I1405" s="20"/>
      <c r="J1405" s="20"/>
      <c r="K1405" s="20"/>
      <c r="L1405" s="20"/>
      <c r="M1405" s="20">
        <f>M1406</f>
        <v>0</v>
      </c>
      <c r="N1405" s="20"/>
      <c r="O1405" s="20">
        <f t="shared" ref="O1405:AC1405" si="529">O1406</f>
        <v>0</v>
      </c>
      <c r="P1405" s="20">
        <f t="shared" si="529"/>
        <v>0</v>
      </c>
      <c r="Q1405" s="20">
        <f t="shared" si="529"/>
        <v>0</v>
      </c>
      <c r="R1405" s="20">
        <f t="shared" si="529"/>
        <v>0</v>
      </c>
      <c r="S1405" s="20">
        <f t="shared" si="529"/>
        <v>0</v>
      </c>
      <c r="T1405" s="20"/>
      <c r="U1405" s="20">
        <f t="shared" si="529"/>
        <v>0</v>
      </c>
      <c r="V1405" s="20"/>
      <c r="W1405" s="20">
        <f t="shared" si="529"/>
        <v>0</v>
      </c>
      <c r="X1405" s="20"/>
      <c r="Y1405" s="20">
        <f t="shared" si="529"/>
        <v>0</v>
      </c>
      <c r="Z1405" s="20">
        <f t="shared" si="529"/>
        <v>0</v>
      </c>
      <c r="AA1405" s="20"/>
      <c r="AB1405" s="20">
        <f t="shared" si="529"/>
        <v>0</v>
      </c>
      <c r="AC1405" s="20">
        <f t="shared" si="529"/>
        <v>0</v>
      </c>
      <c r="AD1405" s="20"/>
      <c r="AE1405" s="20"/>
    </row>
    <row r="1406" spans="1:31" s="1" customFormat="1" x14ac:dyDescent="0.25">
      <c r="A1406" s="25"/>
      <c r="B1406" s="26" t="s">
        <v>1518</v>
      </c>
      <c r="C1406" s="26"/>
      <c r="D1406" s="64" t="s">
        <v>1517</v>
      </c>
      <c r="E1406" s="28"/>
      <c r="F1406" s="28"/>
      <c r="G1406" s="28"/>
      <c r="H1406" s="28"/>
      <c r="I1406" s="28"/>
      <c r="J1406" s="28"/>
      <c r="K1406" s="28"/>
      <c r="L1406" s="28"/>
      <c r="M1406" s="28">
        <f>SUM(M1407:M1409)</f>
        <v>0</v>
      </c>
      <c r="N1406" s="28"/>
      <c r="O1406" s="28">
        <f t="shared" ref="O1406:AC1406" si="530">SUM(O1407:O1409)</f>
        <v>0</v>
      </c>
      <c r="P1406" s="28">
        <f t="shared" si="530"/>
        <v>0</v>
      </c>
      <c r="Q1406" s="28">
        <f t="shared" si="530"/>
        <v>0</v>
      </c>
      <c r="R1406" s="28">
        <f t="shared" si="530"/>
        <v>0</v>
      </c>
      <c r="S1406" s="28">
        <f t="shared" si="530"/>
        <v>0</v>
      </c>
      <c r="T1406" s="28"/>
      <c r="U1406" s="28">
        <f t="shared" si="530"/>
        <v>0</v>
      </c>
      <c r="V1406" s="28"/>
      <c r="W1406" s="28">
        <f t="shared" si="530"/>
        <v>0</v>
      </c>
      <c r="X1406" s="28"/>
      <c r="Y1406" s="28">
        <f t="shared" si="530"/>
        <v>0</v>
      </c>
      <c r="Z1406" s="28">
        <f t="shared" si="530"/>
        <v>0</v>
      </c>
      <c r="AA1406" s="28"/>
      <c r="AB1406" s="28">
        <f t="shared" si="530"/>
        <v>0</v>
      </c>
      <c r="AC1406" s="28">
        <f t="shared" si="530"/>
        <v>0</v>
      </c>
      <c r="AD1406" s="28"/>
      <c r="AE1406" s="28"/>
    </row>
    <row r="1407" spans="1:31" s="1" customFormat="1" x14ac:dyDescent="0.25">
      <c r="A1407" s="21"/>
      <c r="B1407" s="22"/>
      <c r="C1407" s="22"/>
      <c r="D1407" s="65"/>
      <c r="E1407" s="24"/>
      <c r="F1407" s="24"/>
      <c r="G1407" s="24"/>
      <c r="H1407" s="24"/>
      <c r="I1407" s="24"/>
      <c r="J1407" s="24"/>
      <c r="K1407" s="24"/>
      <c r="L1407" s="24"/>
      <c r="M1407" s="24"/>
      <c r="N1407" s="24"/>
      <c r="O1407" s="24"/>
      <c r="P1407" s="24"/>
      <c r="Q1407" s="24"/>
      <c r="R1407" s="24"/>
      <c r="S1407" s="24"/>
      <c r="T1407" s="24"/>
      <c r="U1407" s="24"/>
      <c r="V1407" s="24"/>
      <c r="W1407" s="24"/>
      <c r="X1407" s="24"/>
      <c r="Y1407" s="24"/>
      <c r="Z1407" s="24"/>
      <c r="AA1407" s="24"/>
      <c r="AB1407" s="24"/>
      <c r="AC1407" s="24"/>
      <c r="AD1407" s="24"/>
      <c r="AE1407" s="24"/>
    </row>
    <row r="1408" spans="1:31" s="1" customFormat="1" x14ac:dyDescent="0.25">
      <c r="A1408" s="21"/>
      <c r="B1408" s="22"/>
      <c r="C1408" s="22"/>
      <c r="D1408" s="65"/>
      <c r="E1408" s="24"/>
      <c r="F1408" s="24"/>
      <c r="G1408" s="24"/>
      <c r="H1408" s="24"/>
      <c r="I1408" s="24"/>
      <c r="J1408" s="24"/>
      <c r="K1408" s="24"/>
      <c r="L1408" s="24"/>
      <c r="M1408" s="24"/>
      <c r="N1408" s="24"/>
      <c r="O1408" s="24"/>
      <c r="P1408" s="24"/>
      <c r="Q1408" s="24"/>
      <c r="R1408" s="24"/>
      <c r="S1408" s="24"/>
      <c r="T1408" s="24"/>
      <c r="U1408" s="24"/>
      <c r="V1408" s="24"/>
      <c r="W1408" s="24"/>
      <c r="X1408" s="24"/>
      <c r="Y1408" s="24"/>
      <c r="Z1408" s="24"/>
      <c r="AA1408" s="24"/>
      <c r="AB1408" s="24"/>
      <c r="AC1408" s="24"/>
      <c r="AD1408" s="24"/>
      <c r="AE1408" s="24"/>
    </row>
    <row r="1409" spans="1:34" s="1" customFormat="1" x14ac:dyDescent="0.25">
      <c r="A1409" s="21"/>
      <c r="B1409" s="22"/>
      <c r="C1409" s="22"/>
      <c r="D1409" s="65"/>
      <c r="E1409" s="24"/>
      <c r="F1409" s="24"/>
      <c r="G1409" s="24"/>
      <c r="H1409" s="24"/>
      <c r="I1409" s="24"/>
      <c r="J1409" s="24"/>
      <c r="K1409" s="24"/>
      <c r="L1409" s="24"/>
      <c r="M1409" s="24"/>
      <c r="N1409" s="24"/>
      <c r="O1409" s="24"/>
      <c r="P1409" s="24"/>
      <c r="Q1409" s="24"/>
      <c r="R1409" s="24"/>
      <c r="S1409" s="24"/>
      <c r="T1409" s="24"/>
      <c r="U1409" s="24"/>
      <c r="V1409" s="24"/>
      <c r="W1409" s="24"/>
      <c r="X1409" s="24"/>
      <c r="Y1409" s="24"/>
      <c r="Z1409" s="24"/>
      <c r="AA1409" s="24"/>
      <c r="AB1409" s="24"/>
      <c r="AC1409" s="24"/>
      <c r="AD1409" s="24"/>
      <c r="AE1409" s="24"/>
    </row>
    <row r="1410" spans="1:34" s="1" customFormat="1" x14ac:dyDescent="0.25">
      <c r="A1410" s="17"/>
      <c r="B1410" s="18" t="s">
        <v>1519</v>
      </c>
      <c r="C1410" s="18"/>
      <c r="D1410" s="84" t="s">
        <v>1520</v>
      </c>
      <c r="E1410" s="20"/>
      <c r="F1410" s="20"/>
      <c r="G1410" s="20"/>
      <c r="H1410" s="20"/>
      <c r="I1410" s="20"/>
      <c r="J1410" s="20"/>
      <c r="K1410" s="20"/>
      <c r="L1410" s="20"/>
      <c r="M1410" s="20">
        <f>M1411</f>
        <v>0</v>
      </c>
      <c r="N1410" s="20"/>
      <c r="O1410" s="37">
        <f t="shared" ref="O1410:AC1410" si="531">O1411</f>
        <v>0</v>
      </c>
      <c r="P1410" s="20">
        <f t="shared" si="531"/>
        <v>0</v>
      </c>
      <c r="Q1410" s="20">
        <f t="shared" si="531"/>
        <v>0</v>
      </c>
      <c r="R1410" s="20">
        <f t="shared" si="531"/>
        <v>0</v>
      </c>
      <c r="S1410" s="20">
        <f t="shared" si="531"/>
        <v>0</v>
      </c>
      <c r="T1410" s="20"/>
      <c r="U1410" s="20">
        <f t="shared" si="531"/>
        <v>0</v>
      </c>
      <c r="V1410" s="20"/>
      <c r="W1410" s="20">
        <f t="shared" si="531"/>
        <v>0</v>
      </c>
      <c r="X1410" s="20"/>
      <c r="Y1410" s="20">
        <f t="shared" si="531"/>
        <v>0</v>
      </c>
      <c r="Z1410" s="20">
        <f t="shared" si="531"/>
        <v>0</v>
      </c>
      <c r="AA1410" s="20"/>
      <c r="AB1410" s="20">
        <f t="shared" si="531"/>
        <v>0</v>
      </c>
      <c r="AC1410" s="20">
        <f t="shared" si="531"/>
        <v>0</v>
      </c>
      <c r="AD1410" s="20"/>
      <c r="AE1410" s="20"/>
    </row>
    <row r="1411" spans="1:34" s="1" customFormat="1" x14ac:dyDescent="0.25">
      <c r="A1411" s="25"/>
      <c r="B1411" s="26" t="s">
        <v>1521</v>
      </c>
      <c r="C1411" s="26"/>
      <c r="D1411" s="64" t="s">
        <v>1520</v>
      </c>
      <c r="E1411" s="28"/>
      <c r="F1411" s="28"/>
      <c r="G1411" s="28"/>
      <c r="H1411" s="28"/>
      <c r="I1411" s="28"/>
      <c r="J1411" s="28"/>
      <c r="K1411" s="28"/>
      <c r="L1411" s="28"/>
      <c r="M1411" s="28">
        <f>SUM(M1412:M1414)</f>
        <v>0</v>
      </c>
      <c r="N1411" s="28"/>
      <c r="O1411" s="40">
        <f>SUM(O1412:O1414)</f>
        <v>0</v>
      </c>
      <c r="P1411" s="28">
        <f t="shared" ref="P1411:AC1411" si="532">SUM(P1412:P1414)</f>
        <v>0</v>
      </c>
      <c r="Q1411" s="28">
        <f t="shared" si="532"/>
        <v>0</v>
      </c>
      <c r="R1411" s="28">
        <f t="shared" si="532"/>
        <v>0</v>
      </c>
      <c r="S1411" s="28">
        <f t="shared" si="532"/>
        <v>0</v>
      </c>
      <c r="T1411" s="28"/>
      <c r="U1411" s="28">
        <f t="shared" si="532"/>
        <v>0</v>
      </c>
      <c r="V1411" s="28"/>
      <c r="W1411" s="28">
        <f t="shared" si="532"/>
        <v>0</v>
      </c>
      <c r="X1411" s="28"/>
      <c r="Y1411" s="28">
        <f t="shared" si="532"/>
        <v>0</v>
      </c>
      <c r="Z1411" s="28">
        <f t="shared" si="532"/>
        <v>0</v>
      </c>
      <c r="AA1411" s="28"/>
      <c r="AB1411" s="28">
        <f t="shared" si="532"/>
        <v>0</v>
      </c>
      <c r="AC1411" s="28">
        <f t="shared" si="532"/>
        <v>0</v>
      </c>
      <c r="AD1411" s="28"/>
      <c r="AE1411" s="28"/>
    </row>
    <row r="1412" spans="1:34" s="1" customFormat="1" x14ac:dyDescent="0.25">
      <c r="A1412" s="21"/>
      <c r="B1412" s="22"/>
      <c r="C1412" s="42"/>
      <c r="D1412" s="65"/>
      <c r="E1412" s="24"/>
      <c r="F1412" s="24"/>
      <c r="G1412" s="24"/>
      <c r="H1412" s="24"/>
      <c r="I1412" s="24"/>
      <c r="J1412" s="24"/>
      <c r="K1412" s="24"/>
      <c r="L1412" s="24"/>
      <c r="M1412" s="24"/>
      <c r="N1412" s="41"/>
      <c r="O1412" s="41"/>
      <c r="P1412" s="24"/>
      <c r="Q1412" s="24"/>
      <c r="R1412" s="24"/>
      <c r="S1412" s="24"/>
      <c r="T1412" s="24"/>
      <c r="U1412" s="24"/>
      <c r="V1412" s="24"/>
      <c r="W1412" s="24"/>
      <c r="X1412" s="24"/>
      <c r="Y1412" s="24"/>
      <c r="Z1412" s="24"/>
      <c r="AA1412" s="24"/>
      <c r="AB1412" s="24"/>
      <c r="AC1412" s="24"/>
      <c r="AD1412" s="24"/>
      <c r="AE1412" s="24"/>
    </row>
    <row r="1413" spans="1:34" s="1" customFormat="1" x14ac:dyDescent="0.25">
      <c r="A1413" s="21"/>
      <c r="B1413" s="22"/>
      <c r="C1413" s="22"/>
      <c r="D1413" s="65"/>
      <c r="E1413" s="24"/>
      <c r="F1413" s="24"/>
      <c r="G1413" s="24"/>
      <c r="H1413" s="24"/>
      <c r="I1413" s="24"/>
      <c r="J1413" s="24"/>
      <c r="K1413" s="24"/>
      <c r="L1413" s="24"/>
      <c r="M1413" s="24"/>
      <c r="N1413" s="24"/>
      <c r="O1413" s="24"/>
      <c r="P1413" s="24"/>
      <c r="Q1413" s="24"/>
      <c r="R1413" s="24"/>
      <c r="S1413" s="24"/>
      <c r="T1413" s="24"/>
      <c r="U1413" s="24"/>
      <c r="V1413" s="24"/>
      <c r="W1413" s="24"/>
      <c r="X1413" s="24"/>
      <c r="Y1413" s="24"/>
      <c r="Z1413" s="24"/>
      <c r="AA1413" s="24"/>
      <c r="AB1413" s="24"/>
      <c r="AC1413" s="24"/>
      <c r="AD1413" s="24"/>
      <c r="AE1413" s="24"/>
    </row>
    <row r="1414" spans="1:34" s="1" customFormat="1" x14ac:dyDescent="0.25">
      <c r="A1414" s="21"/>
      <c r="B1414" s="22"/>
      <c r="C1414" s="22"/>
      <c r="D1414" s="65"/>
      <c r="E1414" s="24"/>
      <c r="F1414" s="24"/>
      <c r="G1414" s="24"/>
      <c r="H1414" s="24"/>
      <c r="I1414" s="24"/>
      <c r="J1414" s="24"/>
      <c r="K1414" s="24"/>
      <c r="L1414" s="24"/>
      <c r="M1414" s="24"/>
      <c r="N1414" s="24"/>
      <c r="O1414" s="24"/>
      <c r="P1414" s="24"/>
      <c r="Q1414" s="24"/>
      <c r="R1414" s="24"/>
      <c r="S1414" s="24"/>
      <c r="T1414" s="24"/>
      <c r="U1414" s="24"/>
      <c r="V1414" s="24"/>
      <c r="W1414" s="24"/>
      <c r="X1414" s="24"/>
      <c r="Y1414" s="24"/>
      <c r="Z1414" s="24"/>
      <c r="AA1414" s="24"/>
      <c r="AB1414" s="24"/>
      <c r="AC1414" s="24"/>
      <c r="AD1414" s="24"/>
      <c r="AE1414" s="24"/>
    </row>
    <row r="1415" spans="1:34" s="103" customFormat="1" ht="28.5" customHeight="1" x14ac:dyDescent="0.25">
      <c r="A1415" s="29">
        <v>6</v>
      </c>
      <c r="B1415" s="30" t="s">
        <v>1522</v>
      </c>
      <c r="C1415" s="30"/>
      <c r="D1415" s="89" t="s">
        <v>1523</v>
      </c>
      <c r="E1415" s="102"/>
      <c r="F1415" s="102"/>
      <c r="G1415" s="102"/>
      <c r="H1415" s="102"/>
      <c r="I1415" s="102"/>
      <c r="J1415" s="102"/>
      <c r="K1415" s="102"/>
      <c r="L1415" s="102"/>
      <c r="M1415" s="102">
        <f>M1416</f>
        <v>0</v>
      </c>
      <c r="N1415" s="102"/>
      <c r="O1415" s="102">
        <f t="shared" ref="O1415:AC1416" si="533">O1416</f>
        <v>0</v>
      </c>
      <c r="P1415" s="102">
        <f t="shared" si="533"/>
        <v>0</v>
      </c>
      <c r="Q1415" s="102">
        <f t="shared" si="533"/>
        <v>0</v>
      </c>
      <c r="R1415" s="102">
        <f t="shared" si="533"/>
        <v>0</v>
      </c>
      <c r="S1415" s="102">
        <f t="shared" si="533"/>
        <v>0</v>
      </c>
      <c r="T1415" s="102"/>
      <c r="U1415" s="102">
        <f t="shared" si="533"/>
        <v>0</v>
      </c>
      <c r="V1415" s="102"/>
      <c r="W1415" s="102">
        <f t="shared" si="533"/>
        <v>0</v>
      </c>
      <c r="X1415" s="102"/>
      <c r="Y1415" s="102">
        <f t="shared" si="533"/>
        <v>0</v>
      </c>
      <c r="Z1415" s="102">
        <f t="shared" si="533"/>
        <v>0</v>
      </c>
      <c r="AA1415" s="102"/>
      <c r="AB1415" s="102">
        <f t="shared" si="533"/>
        <v>0</v>
      </c>
      <c r="AC1415" s="102">
        <f t="shared" si="533"/>
        <v>0</v>
      </c>
      <c r="AD1415" s="102"/>
      <c r="AE1415" s="102"/>
      <c r="AH1415" s="1"/>
    </row>
    <row r="1416" spans="1:34" s="1" customFormat="1" x14ac:dyDescent="0.25">
      <c r="A1416" s="17"/>
      <c r="B1416" s="18" t="s">
        <v>1524</v>
      </c>
      <c r="C1416" s="18"/>
      <c r="D1416" s="84" t="s">
        <v>1523</v>
      </c>
      <c r="E1416" s="20"/>
      <c r="F1416" s="20"/>
      <c r="G1416" s="20"/>
      <c r="H1416" s="20"/>
      <c r="I1416" s="20"/>
      <c r="J1416" s="20"/>
      <c r="K1416" s="20"/>
      <c r="L1416" s="20"/>
      <c r="M1416" s="20">
        <f>M1417</f>
        <v>0</v>
      </c>
      <c r="N1416" s="20"/>
      <c r="O1416" s="20">
        <f t="shared" si="533"/>
        <v>0</v>
      </c>
      <c r="P1416" s="20">
        <f t="shared" si="533"/>
        <v>0</v>
      </c>
      <c r="Q1416" s="20">
        <f t="shared" si="533"/>
        <v>0</v>
      </c>
      <c r="R1416" s="20">
        <f t="shared" si="533"/>
        <v>0</v>
      </c>
      <c r="S1416" s="20">
        <f t="shared" si="533"/>
        <v>0</v>
      </c>
      <c r="T1416" s="20"/>
      <c r="U1416" s="20">
        <f t="shared" si="533"/>
        <v>0</v>
      </c>
      <c r="V1416" s="20"/>
      <c r="W1416" s="20">
        <f t="shared" si="533"/>
        <v>0</v>
      </c>
      <c r="X1416" s="20"/>
      <c r="Y1416" s="20">
        <f t="shared" si="533"/>
        <v>0</v>
      </c>
      <c r="Z1416" s="20">
        <f t="shared" si="533"/>
        <v>0</v>
      </c>
      <c r="AA1416" s="20"/>
      <c r="AB1416" s="20">
        <f t="shared" si="533"/>
        <v>0</v>
      </c>
      <c r="AC1416" s="20">
        <f t="shared" si="533"/>
        <v>0</v>
      </c>
      <c r="AD1416" s="20"/>
      <c r="AE1416" s="20"/>
    </row>
    <row r="1417" spans="1:34" s="1" customFormat="1" x14ac:dyDescent="0.25">
      <c r="A1417" s="25"/>
      <c r="B1417" s="26" t="s">
        <v>1525</v>
      </c>
      <c r="C1417" s="26"/>
      <c r="D1417" s="64" t="s">
        <v>1523</v>
      </c>
      <c r="E1417" s="28"/>
      <c r="F1417" s="28"/>
      <c r="G1417" s="28"/>
      <c r="H1417" s="28"/>
      <c r="I1417" s="28"/>
      <c r="J1417" s="28"/>
      <c r="K1417" s="28"/>
      <c r="L1417" s="28"/>
      <c r="M1417" s="28">
        <f>SUM(M1418:M1420)</f>
        <v>0</v>
      </c>
      <c r="N1417" s="28"/>
      <c r="O1417" s="28">
        <f t="shared" ref="O1417:AC1417" si="534">SUM(O1418:O1420)</f>
        <v>0</v>
      </c>
      <c r="P1417" s="28">
        <f t="shared" si="534"/>
        <v>0</v>
      </c>
      <c r="Q1417" s="28">
        <f t="shared" si="534"/>
        <v>0</v>
      </c>
      <c r="R1417" s="28">
        <f t="shared" si="534"/>
        <v>0</v>
      </c>
      <c r="S1417" s="28">
        <f t="shared" si="534"/>
        <v>0</v>
      </c>
      <c r="T1417" s="28"/>
      <c r="U1417" s="28">
        <f t="shared" si="534"/>
        <v>0</v>
      </c>
      <c r="V1417" s="28"/>
      <c r="W1417" s="28">
        <f t="shared" si="534"/>
        <v>0</v>
      </c>
      <c r="X1417" s="28"/>
      <c r="Y1417" s="28">
        <f t="shared" si="534"/>
        <v>0</v>
      </c>
      <c r="Z1417" s="28">
        <f t="shared" si="534"/>
        <v>0</v>
      </c>
      <c r="AA1417" s="28"/>
      <c r="AB1417" s="28">
        <f t="shared" si="534"/>
        <v>0</v>
      </c>
      <c r="AC1417" s="28">
        <f t="shared" si="534"/>
        <v>0</v>
      </c>
      <c r="AD1417" s="28"/>
      <c r="AE1417" s="28"/>
      <c r="AH1417" s="103"/>
    </row>
    <row r="1418" spans="1:34" s="1" customFormat="1" x14ac:dyDescent="0.25">
      <c r="A1418" s="21"/>
      <c r="B1418" s="22"/>
      <c r="C1418" s="22"/>
      <c r="D1418" s="65"/>
      <c r="E1418" s="24"/>
      <c r="F1418" s="24"/>
      <c r="G1418" s="24"/>
      <c r="H1418" s="24"/>
      <c r="I1418" s="24"/>
      <c r="J1418" s="24"/>
      <c r="K1418" s="24"/>
      <c r="L1418" s="24"/>
      <c r="M1418" s="24"/>
      <c r="N1418" s="24"/>
      <c r="O1418" s="24"/>
      <c r="P1418" s="24"/>
      <c r="Q1418" s="24"/>
      <c r="R1418" s="24"/>
      <c r="S1418" s="24"/>
      <c r="T1418" s="24"/>
      <c r="U1418" s="24"/>
      <c r="V1418" s="24"/>
      <c r="W1418" s="24"/>
      <c r="X1418" s="24"/>
      <c r="Y1418" s="24"/>
      <c r="Z1418" s="24"/>
      <c r="AA1418" s="24"/>
      <c r="AB1418" s="24"/>
      <c r="AC1418" s="24"/>
      <c r="AD1418" s="24"/>
      <c r="AE1418" s="24"/>
    </row>
    <row r="1419" spans="1:34" s="1" customFormat="1" x14ac:dyDescent="0.25">
      <c r="A1419" s="21"/>
      <c r="B1419" s="22"/>
      <c r="C1419" s="22"/>
      <c r="D1419" s="65"/>
      <c r="E1419" s="24"/>
      <c r="F1419" s="24"/>
      <c r="G1419" s="24"/>
      <c r="H1419" s="24"/>
      <c r="I1419" s="24"/>
      <c r="J1419" s="24"/>
      <c r="K1419" s="24"/>
      <c r="L1419" s="24"/>
      <c r="M1419" s="24"/>
      <c r="N1419" s="24"/>
      <c r="O1419" s="24"/>
      <c r="P1419" s="24"/>
      <c r="Q1419" s="24"/>
      <c r="R1419" s="24"/>
      <c r="S1419" s="24"/>
      <c r="T1419" s="24"/>
      <c r="U1419" s="24"/>
      <c r="V1419" s="24"/>
      <c r="W1419" s="24"/>
      <c r="X1419" s="24"/>
      <c r="Y1419" s="24"/>
      <c r="Z1419" s="24"/>
      <c r="AA1419" s="24"/>
      <c r="AB1419" s="24"/>
      <c r="AC1419" s="24"/>
      <c r="AD1419" s="24"/>
      <c r="AE1419" s="24"/>
    </row>
    <row r="1420" spans="1:34" s="1" customFormat="1" x14ac:dyDescent="0.25">
      <c r="A1420" s="21"/>
      <c r="B1420" s="22"/>
      <c r="C1420" s="22"/>
      <c r="D1420" s="65"/>
      <c r="E1420" s="24"/>
      <c r="F1420" s="24"/>
      <c r="G1420" s="24"/>
      <c r="H1420" s="24"/>
      <c r="I1420" s="24"/>
      <c r="J1420" s="24"/>
      <c r="K1420" s="24"/>
      <c r="L1420" s="24"/>
      <c r="M1420" s="24"/>
      <c r="N1420" s="24"/>
      <c r="O1420" s="24"/>
      <c r="P1420" s="24"/>
      <c r="Q1420" s="24"/>
      <c r="R1420" s="24"/>
      <c r="S1420" s="24"/>
      <c r="T1420" s="24"/>
      <c r="U1420" s="24"/>
      <c r="V1420" s="24"/>
      <c r="W1420" s="24"/>
      <c r="X1420" s="24"/>
      <c r="Y1420" s="24"/>
      <c r="Z1420" s="24"/>
      <c r="AA1420" s="24"/>
      <c r="AB1420" s="24"/>
      <c r="AC1420" s="24"/>
      <c r="AD1420" s="24"/>
      <c r="AE1420" s="24"/>
    </row>
    <row r="1421" spans="1:34" s="103" customFormat="1" ht="24.75" customHeight="1" x14ac:dyDescent="0.25">
      <c r="A1421" s="29">
        <v>7</v>
      </c>
      <c r="B1421" s="30" t="s">
        <v>1526</v>
      </c>
      <c r="C1421" s="30"/>
      <c r="D1421" s="89" t="s">
        <v>1527</v>
      </c>
      <c r="E1421" s="102"/>
      <c r="F1421" s="102"/>
      <c r="G1421" s="102"/>
      <c r="H1421" s="102"/>
      <c r="I1421" s="102"/>
      <c r="J1421" s="102"/>
      <c r="K1421" s="102"/>
      <c r="L1421" s="102"/>
      <c r="M1421" s="102">
        <f>M1422+M1499+M1516+M1533</f>
        <v>0</v>
      </c>
      <c r="N1421" s="102"/>
      <c r="O1421" s="104">
        <f t="shared" ref="O1421:AC1421" si="535">O1422+O1499+O1516+O1533</f>
        <v>21107060085.325359</v>
      </c>
      <c r="P1421" s="102">
        <f t="shared" si="535"/>
        <v>0</v>
      </c>
      <c r="Q1421" s="102">
        <f t="shared" si="535"/>
        <v>0</v>
      </c>
      <c r="R1421" s="102">
        <f t="shared" si="535"/>
        <v>0</v>
      </c>
      <c r="S1421" s="102">
        <f t="shared" si="535"/>
        <v>0</v>
      </c>
      <c r="T1421" s="102"/>
      <c r="U1421" s="102">
        <f t="shared" si="535"/>
        <v>0</v>
      </c>
      <c r="V1421" s="102"/>
      <c r="W1421" s="102">
        <f t="shared" si="535"/>
        <v>0</v>
      </c>
      <c r="X1421" s="102"/>
      <c r="Y1421" s="102">
        <f t="shared" si="535"/>
        <v>0</v>
      </c>
      <c r="Z1421" s="102">
        <f t="shared" si="535"/>
        <v>0</v>
      </c>
      <c r="AA1421" s="102"/>
      <c r="AB1421" s="102">
        <f t="shared" si="535"/>
        <v>0</v>
      </c>
      <c r="AC1421" s="102">
        <f t="shared" si="535"/>
        <v>0</v>
      </c>
      <c r="AD1421" s="102"/>
      <c r="AE1421" s="102"/>
      <c r="AH1421" s="1"/>
    </row>
    <row r="1422" spans="1:34" s="1" customFormat="1" ht="25.5" x14ac:dyDescent="0.25">
      <c r="A1422" s="17"/>
      <c r="B1422" s="18" t="s">
        <v>1528</v>
      </c>
      <c r="C1422" s="18"/>
      <c r="D1422" s="84" t="s">
        <v>1529</v>
      </c>
      <c r="E1422" s="20"/>
      <c r="F1422" s="20"/>
      <c r="G1422" s="20"/>
      <c r="H1422" s="20"/>
      <c r="I1422" s="20"/>
      <c r="J1422" s="20"/>
      <c r="K1422" s="20"/>
      <c r="L1422" s="20"/>
      <c r="M1422" s="20">
        <f>M1423+M1427+M1431+M1435+M1439+M1443+M1447+M1451+M1455+M1459+M1463+M1467+M1471+M1475+M1479+M1483+M1487+M1491+M1495</f>
        <v>0</v>
      </c>
      <c r="N1422" s="20"/>
      <c r="O1422" s="37">
        <f t="shared" ref="O1422:AC1422" si="536">O1423+O1427+O1431+O1435+O1439+O1443+O1447+O1451+O1455+O1459+O1463+O1467+O1471+O1475+O1479+O1483+O1487+O1491+O1495</f>
        <v>11798701147.906284</v>
      </c>
      <c r="P1422" s="20">
        <f t="shared" si="536"/>
        <v>0</v>
      </c>
      <c r="Q1422" s="20">
        <f t="shared" si="536"/>
        <v>0</v>
      </c>
      <c r="R1422" s="20">
        <f t="shared" si="536"/>
        <v>0</v>
      </c>
      <c r="S1422" s="20">
        <f t="shared" si="536"/>
        <v>0</v>
      </c>
      <c r="T1422" s="20"/>
      <c r="U1422" s="20">
        <f t="shared" si="536"/>
        <v>0</v>
      </c>
      <c r="V1422" s="20"/>
      <c r="W1422" s="20">
        <f t="shared" si="536"/>
        <v>0</v>
      </c>
      <c r="X1422" s="20"/>
      <c r="Y1422" s="20">
        <f t="shared" si="536"/>
        <v>0</v>
      </c>
      <c r="Z1422" s="20">
        <f t="shared" si="536"/>
        <v>0</v>
      </c>
      <c r="AA1422" s="20"/>
      <c r="AB1422" s="20">
        <f t="shared" si="536"/>
        <v>0</v>
      </c>
      <c r="AC1422" s="20">
        <f t="shared" si="536"/>
        <v>0</v>
      </c>
      <c r="AD1422" s="20"/>
      <c r="AE1422" s="20"/>
    </row>
    <row r="1423" spans="1:34" s="1" customFormat="1" ht="25.5" x14ac:dyDescent="0.25">
      <c r="A1423" s="25"/>
      <c r="B1423" s="26" t="s">
        <v>1530</v>
      </c>
      <c r="C1423" s="26"/>
      <c r="D1423" s="64" t="s">
        <v>1531</v>
      </c>
      <c r="E1423" s="28"/>
      <c r="F1423" s="28"/>
      <c r="G1423" s="28"/>
      <c r="H1423" s="28"/>
      <c r="I1423" s="28"/>
      <c r="J1423" s="28"/>
      <c r="K1423" s="28"/>
      <c r="L1423" s="28"/>
      <c r="M1423" s="28">
        <f>SUM(M1424:M1426)</f>
        <v>0</v>
      </c>
      <c r="N1423" s="28"/>
      <c r="O1423" s="40">
        <f t="shared" ref="O1423:AC1423" si="537">SUM(O1424:O1426)</f>
        <v>509600000</v>
      </c>
      <c r="P1423" s="28">
        <f t="shared" si="537"/>
        <v>0</v>
      </c>
      <c r="Q1423" s="28">
        <f t="shared" si="537"/>
        <v>0</v>
      </c>
      <c r="R1423" s="28">
        <f t="shared" si="537"/>
        <v>0</v>
      </c>
      <c r="S1423" s="28">
        <f t="shared" si="537"/>
        <v>0</v>
      </c>
      <c r="T1423" s="28"/>
      <c r="U1423" s="28">
        <f t="shared" si="537"/>
        <v>0</v>
      </c>
      <c r="V1423" s="28"/>
      <c r="W1423" s="28">
        <f t="shared" si="537"/>
        <v>0</v>
      </c>
      <c r="X1423" s="28"/>
      <c r="Y1423" s="28">
        <f t="shared" si="537"/>
        <v>0</v>
      </c>
      <c r="Z1423" s="28">
        <f t="shared" si="537"/>
        <v>0</v>
      </c>
      <c r="AA1423" s="28"/>
      <c r="AB1423" s="28">
        <f t="shared" si="537"/>
        <v>0</v>
      </c>
      <c r="AC1423" s="28">
        <f t="shared" si="537"/>
        <v>0</v>
      </c>
      <c r="AD1423" s="28"/>
      <c r="AE1423" s="28"/>
      <c r="AH1423" s="103"/>
    </row>
    <row r="1424" spans="1:34" s="1" customFormat="1" x14ac:dyDescent="0.25">
      <c r="A1424" s="21"/>
      <c r="B1424" s="22"/>
      <c r="C1424" s="22"/>
      <c r="D1424" s="65"/>
      <c r="E1424" s="24"/>
      <c r="F1424" s="24"/>
      <c r="G1424" s="24"/>
      <c r="H1424" s="24"/>
      <c r="I1424" s="24"/>
      <c r="J1424" s="24"/>
      <c r="K1424" s="24"/>
      <c r="L1424" s="24"/>
      <c r="M1424" s="24"/>
      <c r="N1424" s="24"/>
      <c r="O1424" s="41">
        <f>AB31</f>
        <v>509600000</v>
      </c>
      <c r="P1424" s="24"/>
      <c r="Q1424" s="24"/>
      <c r="R1424" s="24"/>
      <c r="S1424" s="24"/>
      <c r="T1424" s="24"/>
      <c r="U1424" s="24"/>
      <c r="V1424" s="24"/>
      <c r="W1424" s="24"/>
      <c r="X1424" s="24"/>
      <c r="Y1424" s="24"/>
      <c r="Z1424" s="24"/>
      <c r="AA1424" s="24"/>
      <c r="AB1424" s="24"/>
      <c r="AC1424" s="24"/>
      <c r="AD1424" s="24"/>
      <c r="AE1424" s="24"/>
    </row>
    <row r="1425" spans="1:31" s="1" customFormat="1" x14ac:dyDescent="0.25">
      <c r="A1425" s="21"/>
      <c r="B1425" s="22"/>
      <c r="C1425" s="22"/>
      <c r="D1425" s="65"/>
      <c r="E1425" s="24"/>
      <c r="F1425" s="24"/>
      <c r="G1425" s="24"/>
      <c r="H1425" s="24"/>
      <c r="I1425" s="24"/>
      <c r="J1425" s="24"/>
      <c r="K1425" s="24"/>
      <c r="L1425" s="24"/>
      <c r="M1425" s="24"/>
      <c r="N1425" s="24"/>
      <c r="O1425" s="41"/>
      <c r="P1425" s="24"/>
      <c r="Q1425" s="24"/>
      <c r="R1425" s="24"/>
      <c r="S1425" s="24"/>
      <c r="T1425" s="24"/>
      <c r="U1425" s="24"/>
      <c r="V1425" s="24"/>
      <c r="W1425" s="24"/>
      <c r="X1425" s="24"/>
      <c r="Y1425" s="24"/>
      <c r="Z1425" s="24"/>
      <c r="AA1425" s="24"/>
      <c r="AB1425" s="24"/>
      <c r="AC1425" s="24"/>
      <c r="AD1425" s="24"/>
      <c r="AE1425" s="24"/>
    </row>
    <row r="1426" spans="1:31" s="1" customFormat="1" x14ac:dyDescent="0.25">
      <c r="A1426" s="21"/>
      <c r="B1426" s="22"/>
      <c r="C1426" s="22"/>
      <c r="D1426" s="65"/>
      <c r="E1426" s="24"/>
      <c r="F1426" s="24"/>
      <c r="G1426" s="24"/>
      <c r="H1426" s="24"/>
      <c r="I1426" s="24"/>
      <c r="J1426" s="24"/>
      <c r="K1426" s="24"/>
      <c r="L1426" s="24"/>
      <c r="M1426" s="24"/>
      <c r="N1426" s="24"/>
      <c r="O1426" s="41"/>
      <c r="P1426" s="24"/>
      <c r="Q1426" s="24"/>
      <c r="R1426" s="24"/>
      <c r="S1426" s="24"/>
      <c r="T1426" s="24"/>
      <c r="U1426" s="24"/>
      <c r="V1426" s="24"/>
      <c r="W1426" s="24"/>
      <c r="X1426" s="24"/>
      <c r="Y1426" s="24"/>
      <c r="Z1426" s="24"/>
      <c r="AA1426" s="24"/>
      <c r="AB1426" s="24"/>
      <c r="AC1426" s="24"/>
      <c r="AD1426" s="24"/>
      <c r="AE1426" s="24"/>
    </row>
    <row r="1427" spans="1:31" s="1" customFormat="1" ht="25.5" x14ac:dyDescent="0.25">
      <c r="A1427" s="25"/>
      <c r="B1427" s="26" t="s">
        <v>1532</v>
      </c>
      <c r="C1427" s="26"/>
      <c r="D1427" s="64" t="s">
        <v>1533</v>
      </c>
      <c r="E1427" s="28"/>
      <c r="F1427" s="28"/>
      <c r="G1427" s="28"/>
      <c r="H1427" s="28"/>
      <c r="I1427" s="28"/>
      <c r="J1427" s="28"/>
      <c r="K1427" s="28"/>
      <c r="L1427" s="28"/>
      <c r="M1427" s="28">
        <f>SUM(M1428:M1430)</f>
        <v>0</v>
      </c>
      <c r="N1427" s="28"/>
      <c r="O1427" s="40">
        <f t="shared" ref="O1427:AC1427" si="538">SUM(O1428:O1430)</f>
        <v>2316118233.3333335</v>
      </c>
      <c r="P1427" s="28">
        <f t="shared" si="538"/>
        <v>0</v>
      </c>
      <c r="Q1427" s="28">
        <f t="shared" si="538"/>
        <v>0</v>
      </c>
      <c r="R1427" s="28">
        <f t="shared" si="538"/>
        <v>0</v>
      </c>
      <c r="S1427" s="28">
        <f t="shared" si="538"/>
        <v>0</v>
      </c>
      <c r="T1427" s="28"/>
      <c r="U1427" s="28">
        <f t="shared" si="538"/>
        <v>0</v>
      </c>
      <c r="V1427" s="28"/>
      <c r="W1427" s="28">
        <f t="shared" si="538"/>
        <v>0</v>
      </c>
      <c r="X1427" s="28"/>
      <c r="Y1427" s="28">
        <f t="shared" si="538"/>
        <v>0</v>
      </c>
      <c r="Z1427" s="28">
        <f t="shared" si="538"/>
        <v>0</v>
      </c>
      <c r="AA1427" s="28"/>
      <c r="AB1427" s="28">
        <f t="shared" si="538"/>
        <v>0</v>
      </c>
      <c r="AC1427" s="28">
        <f t="shared" si="538"/>
        <v>0</v>
      </c>
      <c r="AD1427" s="28"/>
      <c r="AE1427" s="28"/>
    </row>
    <row r="1428" spans="1:31" s="1" customFormat="1" x14ac:dyDescent="0.25">
      <c r="A1428" s="21"/>
      <c r="B1428" s="22"/>
      <c r="C1428" s="22"/>
      <c r="D1428" s="65"/>
      <c r="E1428" s="24"/>
      <c r="F1428" s="24"/>
      <c r="G1428" s="24"/>
      <c r="H1428" s="24"/>
      <c r="I1428" s="24"/>
      <c r="J1428" s="24"/>
      <c r="K1428" s="24"/>
      <c r="L1428" s="24"/>
      <c r="M1428" s="24"/>
      <c r="N1428" s="24"/>
      <c r="O1428" s="41">
        <f>AB44</f>
        <v>2316118233.3333335</v>
      </c>
      <c r="P1428" s="24"/>
      <c r="Q1428" s="24"/>
      <c r="R1428" s="24"/>
      <c r="S1428" s="24"/>
      <c r="T1428" s="24"/>
      <c r="U1428" s="24"/>
      <c r="V1428" s="24"/>
      <c r="W1428" s="24"/>
      <c r="X1428" s="24"/>
      <c r="Y1428" s="24"/>
      <c r="Z1428" s="24"/>
      <c r="AA1428" s="24"/>
      <c r="AB1428" s="24"/>
      <c r="AC1428" s="24"/>
      <c r="AD1428" s="24"/>
      <c r="AE1428" s="24"/>
    </row>
    <row r="1429" spans="1:31" s="1" customFormat="1" x14ac:dyDescent="0.25">
      <c r="A1429" s="21"/>
      <c r="B1429" s="22"/>
      <c r="C1429" s="22"/>
      <c r="D1429" s="65"/>
      <c r="E1429" s="24"/>
      <c r="F1429" s="24"/>
      <c r="G1429" s="24"/>
      <c r="H1429" s="24"/>
      <c r="I1429" s="24"/>
      <c r="J1429" s="24"/>
      <c r="K1429" s="24"/>
      <c r="L1429" s="24"/>
      <c r="M1429" s="24"/>
      <c r="N1429" s="24"/>
      <c r="O1429" s="41"/>
      <c r="P1429" s="24"/>
      <c r="Q1429" s="24"/>
      <c r="R1429" s="24"/>
      <c r="S1429" s="24"/>
      <c r="T1429" s="24"/>
      <c r="U1429" s="24"/>
      <c r="V1429" s="24"/>
      <c r="W1429" s="24"/>
      <c r="X1429" s="24"/>
      <c r="Y1429" s="24"/>
      <c r="Z1429" s="24"/>
      <c r="AA1429" s="24"/>
      <c r="AB1429" s="24"/>
      <c r="AC1429" s="24"/>
      <c r="AD1429" s="24"/>
      <c r="AE1429" s="24"/>
    </row>
    <row r="1430" spans="1:31" s="1" customFormat="1" x14ac:dyDescent="0.25">
      <c r="A1430" s="21"/>
      <c r="B1430" s="22"/>
      <c r="C1430" s="22"/>
      <c r="D1430" s="65"/>
      <c r="E1430" s="24"/>
      <c r="F1430" s="24"/>
      <c r="G1430" s="24"/>
      <c r="H1430" s="24"/>
      <c r="I1430" s="24"/>
      <c r="J1430" s="24"/>
      <c r="K1430" s="24"/>
      <c r="L1430" s="24"/>
      <c r="M1430" s="24"/>
      <c r="N1430" s="24"/>
      <c r="O1430" s="41"/>
      <c r="P1430" s="24"/>
      <c r="Q1430" s="24"/>
      <c r="R1430" s="24"/>
      <c r="S1430" s="24"/>
      <c r="T1430" s="24"/>
      <c r="U1430" s="24"/>
      <c r="V1430" s="24"/>
      <c r="W1430" s="24"/>
      <c r="X1430" s="24"/>
      <c r="Y1430" s="24"/>
      <c r="Z1430" s="24"/>
      <c r="AA1430" s="24"/>
      <c r="AB1430" s="24"/>
      <c r="AC1430" s="24"/>
      <c r="AD1430" s="24"/>
      <c r="AE1430" s="24"/>
    </row>
    <row r="1431" spans="1:31" s="1" customFormat="1" ht="25.5" x14ac:dyDescent="0.25">
      <c r="A1431" s="25"/>
      <c r="B1431" s="26" t="s">
        <v>1534</v>
      </c>
      <c r="C1431" s="26"/>
      <c r="D1431" s="64" t="s">
        <v>1535</v>
      </c>
      <c r="E1431" s="28"/>
      <c r="F1431" s="28"/>
      <c r="G1431" s="28"/>
      <c r="H1431" s="28"/>
      <c r="I1431" s="28"/>
      <c r="J1431" s="28"/>
      <c r="K1431" s="28"/>
      <c r="L1431" s="28"/>
      <c r="M1431" s="28">
        <f>SUM(M1432:M1434)</f>
        <v>0</v>
      </c>
      <c r="N1431" s="28"/>
      <c r="O1431" s="40">
        <f t="shared" ref="O1431:AC1431" si="539">SUM(O1432:O1434)</f>
        <v>0</v>
      </c>
      <c r="P1431" s="28">
        <f t="shared" si="539"/>
        <v>0</v>
      </c>
      <c r="Q1431" s="28">
        <f t="shared" si="539"/>
        <v>0</v>
      </c>
      <c r="R1431" s="28">
        <f t="shared" si="539"/>
        <v>0</v>
      </c>
      <c r="S1431" s="28">
        <f t="shared" si="539"/>
        <v>0</v>
      </c>
      <c r="T1431" s="28"/>
      <c r="U1431" s="28">
        <f t="shared" si="539"/>
        <v>0</v>
      </c>
      <c r="V1431" s="28"/>
      <c r="W1431" s="28">
        <f t="shared" si="539"/>
        <v>0</v>
      </c>
      <c r="X1431" s="28"/>
      <c r="Y1431" s="28">
        <f t="shared" si="539"/>
        <v>0</v>
      </c>
      <c r="Z1431" s="28">
        <f t="shared" si="539"/>
        <v>0</v>
      </c>
      <c r="AA1431" s="28"/>
      <c r="AB1431" s="28">
        <f t="shared" si="539"/>
        <v>0</v>
      </c>
      <c r="AC1431" s="28">
        <f t="shared" si="539"/>
        <v>0</v>
      </c>
      <c r="AD1431" s="28"/>
      <c r="AE1431" s="28"/>
    </row>
    <row r="1432" spans="1:31" s="1" customFormat="1" x14ac:dyDescent="0.25">
      <c r="A1432" s="21"/>
      <c r="B1432" s="22"/>
      <c r="C1432" s="22"/>
      <c r="D1432" s="65"/>
      <c r="E1432" s="24"/>
      <c r="F1432" s="24"/>
      <c r="G1432" s="24"/>
      <c r="H1432" s="24"/>
      <c r="I1432" s="24"/>
      <c r="J1432" s="24"/>
      <c r="K1432" s="24"/>
      <c r="L1432" s="24"/>
      <c r="M1432" s="24"/>
      <c r="N1432" s="24"/>
      <c r="O1432" s="41">
        <f>AB89</f>
        <v>0</v>
      </c>
      <c r="P1432" s="24"/>
      <c r="Q1432" s="24"/>
      <c r="R1432" s="24"/>
      <c r="S1432" s="24"/>
      <c r="T1432" s="24"/>
      <c r="U1432" s="24"/>
      <c r="V1432" s="24"/>
      <c r="W1432" s="24"/>
      <c r="X1432" s="24"/>
      <c r="Y1432" s="24"/>
      <c r="Z1432" s="24"/>
      <c r="AA1432" s="24"/>
      <c r="AB1432" s="24"/>
      <c r="AC1432" s="24"/>
      <c r="AD1432" s="24"/>
      <c r="AE1432" s="24"/>
    </row>
    <row r="1433" spans="1:31" s="1" customFormat="1" x14ac:dyDescent="0.25">
      <c r="A1433" s="21"/>
      <c r="B1433" s="22"/>
      <c r="C1433" s="22"/>
      <c r="D1433" s="65"/>
      <c r="E1433" s="24"/>
      <c r="F1433" s="24"/>
      <c r="G1433" s="24"/>
      <c r="H1433" s="24"/>
      <c r="I1433" s="24"/>
      <c r="J1433" s="24"/>
      <c r="K1433" s="24"/>
      <c r="L1433" s="24"/>
      <c r="M1433" s="24"/>
      <c r="N1433" s="24"/>
      <c r="O1433" s="41"/>
      <c r="P1433" s="24"/>
      <c r="Q1433" s="24"/>
      <c r="R1433" s="24"/>
      <c r="S1433" s="24"/>
      <c r="T1433" s="24"/>
      <c r="U1433" s="24"/>
      <c r="V1433" s="24"/>
      <c r="W1433" s="24"/>
      <c r="X1433" s="24"/>
      <c r="Y1433" s="24"/>
      <c r="Z1433" s="24"/>
      <c r="AA1433" s="24"/>
      <c r="AB1433" s="24"/>
      <c r="AC1433" s="24"/>
      <c r="AD1433" s="24"/>
      <c r="AE1433" s="24"/>
    </row>
    <row r="1434" spans="1:31" s="1" customFormat="1" x14ac:dyDescent="0.25">
      <c r="A1434" s="21"/>
      <c r="B1434" s="22"/>
      <c r="C1434" s="22"/>
      <c r="D1434" s="65"/>
      <c r="E1434" s="24"/>
      <c r="F1434" s="24"/>
      <c r="G1434" s="24"/>
      <c r="H1434" s="24"/>
      <c r="I1434" s="24"/>
      <c r="J1434" s="24"/>
      <c r="K1434" s="24"/>
      <c r="L1434" s="24"/>
      <c r="M1434" s="24"/>
      <c r="N1434" s="24"/>
      <c r="O1434" s="41"/>
      <c r="P1434" s="24"/>
      <c r="Q1434" s="24"/>
      <c r="R1434" s="24"/>
      <c r="S1434" s="24"/>
      <c r="T1434" s="24"/>
      <c r="U1434" s="24"/>
      <c r="V1434" s="24"/>
      <c r="W1434" s="24"/>
      <c r="X1434" s="24"/>
      <c r="Y1434" s="24"/>
      <c r="Z1434" s="24"/>
      <c r="AA1434" s="24"/>
      <c r="AB1434" s="24"/>
      <c r="AC1434" s="24"/>
      <c r="AD1434" s="24"/>
      <c r="AE1434" s="24"/>
    </row>
    <row r="1435" spans="1:31" s="1" customFormat="1" ht="25.5" x14ac:dyDescent="0.25">
      <c r="A1435" s="25"/>
      <c r="B1435" s="26" t="s">
        <v>1536</v>
      </c>
      <c r="C1435" s="26"/>
      <c r="D1435" s="64" t="s">
        <v>1537</v>
      </c>
      <c r="E1435" s="28"/>
      <c r="F1435" s="28"/>
      <c r="G1435" s="28"/>
      <c r="H1435" s="28"/>
      <c r="I1435" s="28"/>
      <c r="J1435" s="28"/>
      <c r="K1435" s="28"/>
      <c r="L1435" s="28"/>
      <c r="M1435" s="28">
        <f>SUM(M1436:M1438)</f>
        <v>0</v>
      </c>
      <c r="N1435" s="28"/>
      <c r="O1435" s="40">
        <f t="shared" ref="O1435:AC1435" si="540">SUM(O1436:O1438)</f>
        <v>0</v>
      </c>
      <c r="P1435" s="28">
        <f t="shared" si="540"/>
        <v>0</v>
      </c>
      <c r="Q1435" s="28">
        <f t="shared" si="540"/>
        <v>0</v>
      </c>
      <c r="R1435" s="28">
        <f t="shared" si="540"/>
        <v>0</v>
      </c>
      <c r="S1435" s="28">
        <f t="shared" si="540"/>
        <v>0</v>
      </c>
      <c r="T1435" s="28"/>
      <c r="U1435" s="28">
        <f t="shared" si="540"/>
        <v>0</v>
      </c>
      <c r="V1435" s="28"/>
      <c r="W1435" s="28">
        <f t="shared" si="540"/>
        <v>0</v>
      </c>
      <c r="X1435" s="28"/>
      <c r="Y1435" s="28">
        <f t="shared" si="540"/>
        <v>0</v>
      </c>
      <c r="Z1435" s="28">
        <f t="shared" si="540"/>
        <v>0</v>
      </c>
      <c r="AA1435" s="28"/>
      <c r="AB1435" s="28">
        <f t="shared" si="540"/>
        <v>0</v>
      </c>
      <c r="AC1435" s="28">
        <f t="shared" si="540"/>
        <v>0</v>
      </c>
      <c r="AD1435" s="28"/>
      <c r="AE1435" s="28"/>
    </row>
    <row r="1436" spans="1:31" s="1" customFormat="1" x14ac:dyDescent="0.25">
      <c r="A1436" s="21"/>
      <c r="B1436" s="22"/>
      <c r="C1436" s="22"/>
      <c r="D1436" s="65"/>
      <c r="E1436" s="24"/>
      <c r="F1436" s="24"/>
      <c r="G1436" s="24"/>
      <c r="H1436" s="24"/>
      <c r="I1436" s="24"/>
      <c r="J1436" s="24"/>
      <c r="K1436" s="24"/>
      <c r="L1436" s="24"/>
      <c r="M1436" s="24"/>
      <c r="N1436" s="24"/>
      <c r="O1436" s="41">
        <f>AB96</f>
        <v>0</v>
      </c>
      <c r="P1436" s="24"/>
      <c r="Q1436" s="24"/>
      <c r="R1436" s="24"/>
      <c r="S1436" s="24"/>
      <c r="T1436" s="24"/>
      <c r="U1436" s="24"/>
      <c r="V1436" s="24"/>
      <c r="W1436" s="24"/>
      <c r="X1436" s="24"/>
      <c r="Y1436" s="24"/>
      <c r="Z1436" s="24"/>
      <c r="AA1436" s="24"/>
      <c r="AB1436" s="24"/>
      <c r="AC1436" s="24"/>
      <c r="AD1436" s="24"/>
      <c r="AE1436" s="24"/>
    </row>
    <row r="1437" spans="1:31" s="1" customFormat="1" x14ac:dyDescent="0.25">
      <c r="A1437" s="21"/>
      <c r="B1437" s="22"/>
      <c r="C1437" s="22"/>
      <c r="D1437" s="65"/>
      <c r="E1437" s="24"/>
      <c r="F1437" s="24"/>
      <c r="G1437" s="24"/>
      <c r="H1437" s="24"/>
      <c r="I1437" s="24"/>
      <c r="J1437" s="24"/>
      <c r="K1437" s="24"/>
      <c r="L1437" s="24"/>
      <c r="M1437" s="24"/>
      <c r="N1437" s="24"/>
      <c r="O1437" s="41"/>
      <c r="P1437" s="24"/>
      <c r="Q1437" s="24"/>
      <c r="R1437" s="24"/>
      <c r="S1437" s="24"/>
      <c r="T1437" s="24"/>
      <c r="U1437" s="24"/>
      <c r="V1437" s="24"/>
      <c r="W1437" s="24"/>
      <c r="X1437" s="24"/>
      <c r="Y1437" s="24"/>
      <c r="Z1437" s="24"/>
      <c r="AA1437" s="24"/>
      <c r="AB1437" s="24"/>
      <c r="AC1437" s="24"/>
      <c r="AD1437" s="24"/>
      <c r="AE1437" s="24"/>
    </row>
    <row r="1438" spans="1:31" s="1" customFormat="1" x14ac:dyDescent="0.25">
      <c r="A1438" s="21"/>
      <c r="B1438" s="22"/>
      <c r="C1438" s="22"/>
      <c r="D1438" s="65"/>
      <c r="E1438" s="24"/>
      <c r="F1438" s="24"/>
      <c r="G1438" s="24"/>
      <c r="H1438" s="24"/>
      <c r="I1438" s="24"/>
      <c r="J1438" s="24"/>
      <c r="K1438" s="24"/>
      <c r="L1438" s="24"/>
      <c r="M1438" s="24"/>
      <c r="N1438" s="24"/>
      <c r="O1438" s="41"/>
      <c r="P1438" s="24"/>
      <c r="Q1438" s="24"/>
      <c r="R1438" s="24"/>
      <c r="S1438" s="24"/>
      <c r="T1438" s="24"/>
      <c r="U1438" s="24"/>
      <c r="V1438" s="24"/>
      <c r="W1438" s="24"/>
      <c r="X1438" s="24"/>
      <c r="Y1438" s="24"/>
      <c r="Z1438" s="24"/>
      <c r="AA1438" s="24"/>
      <c r="AB1438" s="24"/>
      <c r="AC1438" s="24"/>
      <c r="AD1438" s="24"/>
      <c r="AE1438" s="24"/>
    </row>
    <row r="1439" spans="1:31" s="1" customFormat="1" ht="25.5" x14ac:dyDescent="0.25">
      <c r="A1439" s="25"/>
      <c r="B1439" s="26" t="s">
        <v>1538</v>
      </c>
      <c r="C1439" s="26"/>
      <c r="D1439" s="64" t="s">
        <v>1539</v>
      </c>
      <c r="E1439" s="28"/>
      <c r="F1439" s="28"/>
      <c r="G1439" s="28"/>
      <c r="H1439" s="28"/>
      <c r="I1439" s="28"/>
      <c r="J1439" s="28"/>
      <c r="K1439" s="28"/>
      <c r="L1439" s="28"/>
      <c r="M1439" s="28">
        <f>SUM(M1440:M1442)</f>
        <v>0</v>
      </c>
      <c r="N1439" s="28"/>
      <c r="O1439" s="40">
        <f t="shared" ref="O1439:AC1439" si="541">SUM(O1440:O1442)</f>
        <v>7061160995.514616</v>
      </c>
      <c r="P1439" s="28">
        <f t="shared" si="541"/>
        <v>0</v>
      </c>
      <c r="Q1439" s="28">
        <f t="shared" si="541"/>
        <v>0</v>
      </c>
      <c r="R1439" s="28">
        <f t="shared" si="541"/>
        <v>0</v>
      </c>
      <c r="S1439" s="28">
        <f t="shared" si="541"/>
        <v>0</v>
      </c>
      <c r="T1439" s="28"/>
      <c r="U1439" s="28">
        <f t="shared" si="541"/>
        <v>0</v>
      </c>
      <c r="V1439" s="28"/>
      <c r="W1439" s="28">
        <f t="shared" si="541"/>
        <v>0</v>
      </c>
      <c r="X1439" s="28"/>
      <c r="Y1439" s="28">
        <f t="shared" si="541"/>
        <v>0</v>
      </c>
      <c r="Z1439" s="28">
        <f t="shared" si="541"/>
        <v>0</v>
      </c>
      <c r="AA1439" s="28"/>
      <c r="AB1439" s="28">
        <f t="shared" si="541"/>
        <v>0</v>
      </c>
      <c r="AC1439" s="28">
        <f t="shared" si="541"/>
        <v>0</v>
      </c>
      <c r="AD1439" s="28"/>
      <c r="AE1439" s="28"/>
    </row>
    <row r="1440" spans="1:31" s="1" customFormat="1" x14ac:dyDescent="0.25">
      <c r="A1440" s="21"/>
      <c r="B1440" s="22"/>
      <c r="C1440" s="22"/>
      <c r="D1440" s="65"/>
      <c r="E1440" s="24"/>
      <c r="F1440" s="24"/>
      <c r="G1440" s="24"/>
      <c r="H1440" s="24"/>
      <c r="I1440" s="24"/>
      <c r="J1440" s="24"/>
      <c r="K1440" s="24"/>
      <c r="L1440" s="24"/>
      <c r="M1440" s="24"/>
      <c r="N1440" s="24"/>
      <c r="O1440" s="41">
        <f>AB101</f>
        <v>7061160995.514616</v>
      </c>
      <c r="P1440" s="24"/>
      <c r="Q1440" s="24"/>
      <c r="R1440" s="24"/>
      <c r="S1440" s="24"/>
      <c r="T1440" s="24"/>
      <c r="U1440" s="24"/>
      <c r="V1440" s="24"/>
      <c r="W1440" s="24"/>
      <c r="X1440" s="24"/>
      <c r="Y1440" s="24"/>
      <c r="Z1440" s="24"/>
      <c r="AA1440" s="24"/>
      <c r="AB1440" s="24"/>
      <c r="AC1440" s="24"/>
      <c r="AD1440" s="24"/>
      <c r="AE1440" s="24"/>
    </row>
    <row r="1441" spans="1:31" s="1" customFormat="1" x14ac:dyDescent="0.25">
      <c r="A1441" s="21"/>
      <c r="B1441" s="22"/>
      <c r="C1441" s="22"/>
      <c r="D1441" s="65"/>
      <c r="E1441" s="24"/>
      <c r="F1441" s="24"/>
      <c r="G1441" s="24"/>
      <c r="H1441" s="24"/>
      <c r="I1441" s="24"/>
      <c r="J1441" s="24"/>
      <c r="K1441" s="24"/>
      <c r="L1441" s="24"/>
      <c r="M1441" s="24"/>
      <c r="N1441" s="24"/>
      <c r="O1441" s="41"/>
      <c r="P1441" s="24"/>
      <c r="Q1441" s="24"/>
      <c r="R1441" s="24"/>
      <c r="S1441" s="24"/>
      <c r="T1441" s="24"/>
      <c r="U1441" s="24"/>
      <c r="V1441" s="24"/>
      <c r="W1441" s="24"/>
      <c r="X1441" s="24"/>
      <c r="Y1441" s="24"/>
      <c r="Z1441" s="24"/>
      <c r="AA1441" s="24"/>
      <c r="AB1441" s="24"/>
      <c r="AC1441" s="24"/>
      <c r="AD1441" s="24"/>
      <c r="AE1441" s="24"/>
    </row>
    <row r="1442" spans="1:31" s="1" customFormat="1" x14ac:dyDescent="0.25">
      <c r="A1442" s="21"/>
      <c r="B1442" s="22"/>
      <c r="C1442" s="22"/>
      <c r="D1442" s="65"/>
      <c r="E1442" s="24"/>
      <c r="F1442" s="24"/>
      <c r="G1442" s="24"/>
      <c r="H1442" s="24"/>
      <c r="I1442" s="24"/>
      <c r="J1442" s="24"/>
      <c r="K1442" s="24"/>
      <c r="L1442" s="24"/>
      <c r="M1442" s="24"/>
      <c r="N1442" s="24"/>
      <c r="O1442" s="41"/>
      <c r="P1442" s="24"/>
      <c r="Q1442" s="24"/>
      <c r="R1442" s="24"/>
      <c r="S1442" s="24"/>
      <c r="T1442" s="24"/>
      <c r="U1442" s="24"/>
      <c r="V1442" s="24"/>
      <c r="W1442" s="24"/>
      <c r="X1442" s="24"/>
      <c r="Y1442" s="24"/>
      <c r="Z1442" s="24"/>
      <c r="AA1442" s="24"/>
      <c r="AB1442" s="24"/>
      <c r="AC1442" s="24"/>
      <c r="AD1442" s="24"/>
      <c r="AE1442" s="24"/>
    </row>
    <row r="1443" spans="1:31" s="1" customFormat="1" ht="38.25" x14ac:dyDescent="0.25">
      <c r="A1443" s="25"/>
      <c r="B1443" s="26" t="s">
        <v>1540</v>
      </c>
      <c r="C1443" s="26"/>
      <c r="D1443" s="64" t="s">
        <v>1541</v>
      </c>
      <c r="E1443" s="28"/>
      <c r="F1443" s="28"/>
      <c r="G1443" s="28"/>
      <c r="H1443" s="28"/>
      <c r="I1443" s="28"/>
      <c r="J1443" s="28"/>
      <c r="K1443" s="28"/>
      <c r="L1443" s="28"/>
      <c r="M1443" s="28">
        <f>SUM(M1444:M1446)</f>
        <v>0</v>
      </c>
      <c r="N1443" s="28"/>
      <c r="O1443" s="40">
        <f t="shared" ref="O1443:AC1443" si="542">SUM(O1444:O1446)</f>
        <v>187450500</v>
      </c>
      <c r="P1443" s="28">
        <f t="shared" si="542"/>
        <v>0</v>
      </c>
      <c r="Q1443" s="28">
        <f t="shared" si="542"/>
        <v>0</v>
      </c>
      <c r="R1443" s="28">
        <f t="shared" si="542"/>
        <v>0</v>
      </c>
      <c r="S1443" s="28">
        <f t="shared" si="542"/>
        <v>0</v>
      </c>
      <c r="T1443" s="28"/>
      <c r="U1443" s="28">
        <f t="shared" si="542"/>
        <v>0</v>
      </c>
      <c r="V1443" s="28"/>
      <c r="W1443" s="28">
        <f t="shared" si="542"/>
        <v>0</v>
      </c>
      <c r="X1443" s="28"/>
      <c r="Y1443" s="28">
        <f t="shared" si="542"/>
        <v>0</v>
      </c>
      <c r="Z1443" s="28">
        <f t="shared" si="542"/>
        <v>0</v>
      </c>
      <c r="AA1443" s="28"/>
      <c r="AB1443" s="28">
        <f t="shared" si="542"/>
        <v>0</v>
      </c>
      <c r="AC1443" s="28">
        <f t="shared" si="542"/>
        <v>0</v>
      </c>
      <c r="AD1443" s="28"/>
      <c r="AE1443" s="28"/>
    </row>
    <row r="1444" spans="1:31" s="1" customFormat="1" x14ac:dyDescent="0.25">
      <c r="A1444" s="21"/>
      <c r="B1444" s="22"/>
      <c r="C1444" s="22"/>
      <c r="D1444" s="65"/>
      <c r="E1444" s="24"/>
      <c r="F1444" s="24"/>
      <c r="G1444" s="24"/>
      <c r="H1444" s="24"/>
      <c r="I1444" s="24"/>
      <c r="J1444" s="24"/>
      <c r="K1444" s="24"/>
      <c r="L1444" s="24"/>
      <c r="M1444" s="24"/>
      <c r="N1444" s="24"/>
      <c r="O1444" s="41">
        <f>AB786</f>
        <v>187450500</v>
      </c>
      <c r="P1444" s="24"/>
      <c r="Q1444" s="24"/>
      <c r="R1444" s="24"/>
      <c r="S1444" s="24"/>
      <c r="T1444" s="24"/>
      <c r="U1444" s="24"/>
      <c r="V1444" s="24"/>
      <c r="W1444" s="24"/>
      <c r="X1444" s="24"/>
      <c r="Y1444" s="24"/>
      <c r="Z1444" s="24"/>
      <c r="AA1444" s="24"/>
      <c r="AB1444" s="24"/>
      <c r="AC1444" s="24"/>
      <c r="AD1444" s="24"/>
      <c r="AE1444" s="24"/>
    </row>
    <row r="1445" spans="1:31" s="1" customFormat="1" x14ac:dyDescent="0.25">
      <c r="A1445" s="21"/>
      <c r="B1445" s="22"/>
      <c r="C1445" s="22"/>
      <c r="D1445" s="65"/>
      <c r="E1445" s="24"/>
      <c r="F1445" s="24"/>
      <c r="G1445" s="24"/>
      <c r="H1445" s="24"/>
      <c r="I1445" s="24"/>
      <c r="J1445" s="24"/>
      <c r="K1445" s="24"/>
      <c r="L1445" s="24"/>
      <c r="M1445" s="24"/>
      <c r="N1445" s="24"/>
      <c r="O1445" s="41"/>
      <c r="P1445" s="24"/>
      <c r="Q1445" s="24"/>
      <c r="R1445" s="24"/>
      <c r="S1445" s="24"/>
      <c r="T1445" s="24"/>
      <c r="U1445" s="24"/>
      <c r="V1445" s="24"/>
      <c r="W1445" s="24"/>
      <c r="X1445" s="24"/>
      <c r="Y1445" s="24"/>
      <c r="Z1445" s="24"/>
      <c r="AA1445" s="24"/>
      <c r="AB1445" s="24"/>
      <c r="AC1445" s="24"/>
      <c r="AD1445" s="24"/>
      <c r="AE1445" s="24"/>
    </row>
    <row r="1446" spans="1:31" s="1" customFormat="1" x14ac:dyDescent="0.25">
      <c r="A1446" s="21"/>
      <c r="B1446" s="22"/>
      <c r="C1446" s="22"/>
      <c r="D1446" s="65"/>
      <c r="E1446" s="24"/>
      <c r="F1446" s="24"/>
      <c r="G1446" s="24"/>
      <c r="H1446" s="24"/>
      <c r="I1446" s="24"/>
      <c r="J1446" s="24"/>
      <c r="K1446" s="24"/>
      <c r="L1446" s="24"/>
      <c r="M1446" s="24"/>
      <c r="N1446" s="24"/>
      <c r="O1446" s="41"/>
      <c r="P1446" s="24"/>
      <c r="Q1446" s="24"/>
      <c r="R1446" s="24"/>
      <c r="S1446" s="24"/>
      <c r="T1446" s="24"/>
      <c r="U1446" s="24"/>
      <c r="V1446" s="24"/>
      <c r="W1446" s="24"/>
      <c r="X1446" s="24"/>
      <c r="Y1446" s="24"/>
      <c r="Z1446" s="24"/>
      <c r="AA1446" s="24"/>
      <c r="AB1446" s="24"/>
      <c r="AC1446" s="24"/>
      <c r="AD1446" s="24"/>
      <c r="AE1446" s="24"/>
    </row>
    <row r="1447" spans="1:31" s="1" customFormat="1" ht="25.5" x14ac:dyDescent="0.25">
      <c r="A1447" s="25"/>
      <c r="B1447" s="26" t="s">
        <v>1542</v>
      </c>
      <c r="C1447" s="26"/>
      <c r="D1447" s="64" t="s">
        <v>1543</v>
      </c>
      <c r="E1447" s="28"/>
      <c r="F1447" s="28"/>
      <c r="G1447" s="28"/>
      <c r="H1447" s="28"/>
      <c r="I1447" s="28"/>
      <c r="J1447" s="28"/>
      <c r="K1447" s="28"/>
      <c r="L1447" s="28"/>
      <c r="M1447" s="28">
        <f>SUM(M1448:M1450)</f>
        <v>0</v>
      </c>
      <c r="N1447" s="28"/>
      <c r="O1447" s="40">
        <f t="shared" ref="O1447:AC1447" si="543">SUM(O1448:O1450)</f>
        <v>1733333.3333333335</v>
      </c>
      <c r="P1447" s="28">
        <f t="shared" si="543"/>
        <v>0</v>
      </c>
      <c r="Q1447" s="28">
        <f t="shared" si="543"/>
        <v>0</v>
      </c>
      <c r="R1447" s="28">
        <f t="shared" si="543"/>
        <v>0</v>
      </c>
      <c r="S1447" s="28">
        <f t="shared" si="543"/>
        <v>0</v>
      </c>
      <c r="T1447" s="28"/>
      <c r="U1447" s="28">
        <f t="shared" si="543"/>
        <v>0</v>
      </c>
      <c r="V1447" s="28"/>
      <c r="W1447" s="28">
        <f t="shared" si="543"/>
        <v>0</v>
      </c>
      <c r="X1447" s="28"/>
      <c r="Y1447" s="28">
        <f t="shared" si="543"/>
        <v>0</v>
      </c>
      <c r="Z1447" s="28">
        <f t="shared" si="543"/>
        <v>0</v>
      </c>
      <c r="AA1447" s="28"/>
      <c r="AB1447" s="28">
        <f t="shared" si="543"/>
        <v>0</v>
      </c>
      <c r="AC1447" s="28">
        <f t="shared" si="543"/>
        <v>0</v>
      </c>
      <c r="AD1447" s="28"/>
      <c r="AE1447" s="28"/>
    </row>
    <row r="1448" spans="1:31" s="1" customFormat="1" x14ac:dyDescent="0.25">
      <c r="A1448" s="21"/>
      <c r="B1448" s="22"/>
      <c r="C1448" s="22"/>
      <c r="D1448" s="65"/>
      <c r="E1448" s="24"/>
      <c r="F1448" s="24"/>
      <c r="G1448" s="24"/>
      <c r="H1448" s="24"/>
      <c r="I1448" s="24"/>
      <c r="J1448" s="24"/>
      <c r="K1448" s="24"/>
      <c r="L1448" s="24"/>
      <c r="M1448" s="24"/>
      <c r="N1448" s="24"/>
      <c r="O1448" s="41">
        <f>AB808</f>
        <v>1733333.3333333335</v>
      </c>
      <c r="P1448" s="24"/>
      <c r="Q1448" s="24"/>
      <c r="R1448" s="24"/>
      <c r="S1448" s="24"/>
      <c r="T1448" s="24"/>
      <c r="U1448" s="24"/>
      <c r="V1448" s="24"/>
      <c r="W1448" s="24"/>
      <c r="X1448" s="24"/>
      <c r="Y1448" s="24"/>
      <c r="Z1448" s="24"/>
      <c r="AA1448" s="24"/>
      <c r="AB1448" s="24"/>
      <c r="AC1448" s="24"/>
      <c r="AD1448" s="24"/>
      <c r="AE1448" s="24"/>
    </row>
    <row r="1449" spans="1:31" s="1" customFormat="1" x14ac:dyDescent="0.25">
      <c r="A1449" s="21"/>
      <c r="B1449" s="22"/>
      <c r="C1449" s="22"/>
      <c r="D1449" s="65"/>
      <c r="E1449" s="24"/>
      <c r="F1449" s="24"/>
      <c r="G1449" s="24"/>
      <c r="H1449" s="24"/>
      <c r="I1449" s="24"/>
      <c r="J1449" s="24"/>
      <c r="K1449" s="24"/>
      <c r="L1449" s="24"/>
      <c r="M1449" s="24"/>
      <c r="N1449" s="24"/>
      <c r="O1449" s="41"/>
      <c r="P1449" s="24"/>
      <c r="Q1449" s="24"/>
      <c r="R1449" s="24"/>
      <c r="S1449" s="24"/>
      <c r="T1449" s="24"/>
      <c r="U1449" s="24"/>
      <c r="V1449" s="24"/>
      <c r="W1449" s="24"/>
      <c r="X1449" s="24"/>
      <c r="Y1449" s="24"/>
      <c r="Z1449" s="24"/>
      <c r="AA1449" s="24"/>
      <c r="AB1449" s="24"/>
      <c r="AC1449" s="24"/>
      <c r="AD1449" s="24"/>
      <c r="AE1449" s="24"/>
    </row>
    <row r="1450" spans="1:31" s="1" customFormat="1" x14ac:dyDescent="0.25">
      <c r="A1450" s="21"/>
      <c r="B1450" s="22"/>
      <c r="C1450" s="22"/>
      <c r="D1450" s="65"/>
      <c r="E1450" s="24"/>
      <c r="F1450" s="24"/>
      <c r="G1450" s="24"/>
      <c r="H1450" s="24"/>
      <c r="I1450" s="24"/>
      <c r="J1450" s="24"/>
      <c r="K1450" s="24"/>
      <c r="L1450" s="24"/>
      <c r="M1450" s="24"/>
      <c r="N1450" s="24"/>
      <c r="O1450" s="41"/>
      <c r="P1450" s="24"/>
      <c r="Q1450" s="24"/>
      <c r="R1450" s="24"/>
      <c r="S1450" s="24"/>
      <c r="T1450" s="24"/>
      <c r="U1450" s="24"/>
      <c r="V1450" s="24"/>
      <c r="W1450" s="24"/>
      <c r="X1450" s="24"/>
      <c r="Y1450" s="24"/>
      <c r="Z1450" s="24"/>
      <c r="AA1450" s="24"/>
      <c r="AB1450" s="24"/>
      <c r="AC1450" s="24"/>
      <c r="AD1450" s="24"/>
      <c r="AE1450" s="24"/>
    </row>
    <row r="1451" spans="1:31" s="1" customFormat="1" ht="25.5" x14ac:dyDescent="0.25">
      <c r="A1451" s="25"/>
      <c r="B1451" s="26" t="s">
        <v>1544</v>
      </c>
      <c r="C1451" s="26"/>
      <c r="D1451" s="64" t="s">
        <v>1545</v>
      </c>
      <c r="E1451" s="28"/>
      <c r="F1451" s="28"/>
      <c r="G1451" s="28"/>
      <c r="H1451" s="28"/>
      <c r="I1451" s="28"/>
      <c r="J1451" s="28"/>
      <c r="K1451" s="28"/>
      <c r="L1451" s="28"/>
      <c r="M1451" s="28">
        <f>SUM(M1452:M1454)</f>
        <v>0</v>
      </c>
      <c r="N1451" s="28"/>
      <c r="O1451" s="40">
        <f t="shared" ref="O1451:AC1451" si="544">SUM(O1452:O1454)</f>
        <v>0</v>
      </c>
      <c r="P1451" s="28">
        <f t="shared" si="544"/>
        <v>0</v>
      </c>
      <c r="Q1451" s="28">
        <f t="shared" si="544"/>
        <v>0</v>
      </c>
      <c r="R1451" s="28">
        <f t="shared" si="544"/>
        <v>0</v>
      </c>
      <c r="S1451" s="28">
        <f t="shared" si="544"/>
        <v>0</v>
      </c>
      <c r="T1451" s="28"/>
      <c r="U1451" s="28">
        <f t="shared" si="544"/>
        <v>0</v>
      </c>
      <c r="V1451" s="28"/>
      <c r="W1451" s="28">
        <f t="shared" si="544"/>
        <v>0</v>
      </c>
      <c r="X1451" s="28"/>
      <c r="Y1451" s="28">
        <f t="shared" si="544"/>
        <v>0</v>
      </c>
      <c r="Z1451" s="28">
        <f t="shared" si="544"/>
        <v>0</v>
      </c>
      <c r="AA1451" s="28"/>
      <c r="AB1451" s="28">
        <f t="shared" si="544"/>
        <v>0</v>
      </c>
      <c r="AC1451" s="28">
        <f t="shared" si="544"/>
        <v>0</v>
      </c>
      <c r="AD1451" s="28"/>
      <c r="AE1451" s="28"/>
    </row>
    <row r="1452" spans="1:31" s="1" customFormat="1" x14ac:dyDescent="0.25">
      <c r="A1452" s="21"/>
      <c r="B1452" s="22"/>
      <c r="C1452" s="22"/>
      <c r="D1452" s="65"/>
      <c r="E1452" s="24"/>
      <c r="F1452" s="24"/>
      <c r="G1452" s="24"/>
      <c r="H1452" s="24"/>
      <c r="I1452" s="24"/>
      <c r="J1452" s="24"/>
      <c r="K1452" s="24"/>
      <c r="L1452" s="24"/>
      <c r="M1452" s="24"/>
      <c r="N1452" s="24"/>
      <c r="O1452" s="41">
        <f>AB816</f>
        <v>0</v>
      </c>
      <c r="P1452" s="24"/>
      <c r="Q1452" s="24"/>
      <c r="R1452" s="24"/>
      <c r="S1452" s="24"/>
      <c r="T1452" s="24"/>
      <c r="U1452" s="24"/>
      <c r="V1452" s="24"/>
      <c r="W1452" s="24"/>
      <c r="X1452" s="24"/>
      <c r="Y1452" s="24"/>
      <c r="Z1452" s="24"/>
      <c r="AA1452" s="24"/>
      <c r="AB1452" s="24"/>
      <c r="AC1452" s="24"/>
      <c r="AD1452" s="24"/>
      <c r="AE1452" s="24"/>
    </row>
    <row r="1453" spans="1:31" s="1" customFormat="1" x14ac:dyDescent="0.25">
      <c r="A1453" s="21"/>
      <c r="B1453" s="22"/>
      <c r="C1453" s="22"/>
      <c r="D1453" s="65"/>
      <c r="E1453" s="24"/>
      <c r="F1453" s="24"/>
      <c r="G1453" s="24"/>
      <c r="H1453" s="24"/>
      <c r="I1453" s="24"/>
      <c r="J1453" s="24"/>
      <c r="K1453" s="24"/>
      <c r="L1453" s="24"/>
      <c r="M1453" s="24"/>
      <c r="N1453" s="24"/>
      <c r="O1453" s="41"/>
      <c r="P1453" s="24"/>
      <c r="Q1453" s="24"/>
      <c r="R1453" s="24"/>
      <c r="S1453" s="24"/>
      <c r="T1453" s="24"/>
      <c r="U1453" s="24"/>
      <c r="V1453" s="24"/>
      <c r="W1453" s="24"/>
      <c r="X1453" s="24"/>
      <c r="Y1453" s="24"/>
      <c r="Z1453" s="24"/>
      <c r="AA1453" s="24"/>
      <c r="AB1453" s="24"/>
      <c r="AC1453" s="24"/>
      <c r="AD1453" s="24"/>
      <c r="AE1453" s="24"/>
    </row>
    <row r="1454" spans="1:31" s="1" customFormat="1" x14ac:dyDescent="0.25">
      <c r="A1454" s="21"/>
      <c r="B1454" s="22"/>
      <c r="C1454" s="22"/>
      <c r="D1454" s="65"/>
      <c r="E1454" s="24"/>
      <c r="F1454" s="24"/>
      <c r="G1454" s="24"/>
      <c r="H1454" s="24"/>
      <c r="I1454" s="24"/>
      <c r="J1454" s="24"/>
      <c r="K1454" s="24"/>
      <c r="L1454" s="24"/>
      <c r="M1454" s="24"/>
      <c r="N1454" s="24"/>
      <c r="O1454" s="41"/>
      <c r="P1454" s="24"/>
      <c r="Q1454" s="24"/>
      <c r="R1454" s="24"/>
      <c r="S1454" s="24"/>
      <c r="T1454" s="24"/>
      <c r="U1454" s="24"/>
      <c r="V1454" s="24"/>
      <c r="W1454" s="24"/>
      <c r="X1454" s="24"/>
      <c r="Y1454" s="24"/>
      <c r="Z1454" s="24"/>
      <c r="AA1454" s="24"/>
      <c r="AB1454" s="24"/>
      <c r="AC1454" s="24"/>
      <c r="AD1454" s="24"/>
      <c r="AE1454" s="24"/>
    </row>
    <row r="1455" spans="1:31" s="1" customFormat="1" ht="25.5" x14ac:dyDescent="0.25">
      <c r="A1455" s="25"/>
      <c r="B1455" s="26" t="s">
        <v>1546</v>
      </c>
      <c r="C1455" s="26"/>
      <c r="D1455" s="64" t="s">
        <v>1547</v>
      </c>
      <c r="E1455" s="28"/>
      <c r="F1455" s="28"/>
      <c r="G1455" s="28"/>
      <c r="H1455" s="28"/>
      <c r="I1455" s="28"/>
      <c r="J1455" s="28"/>
      <c r="K1455" s="28"/>
      <c r="L1455" s="28"/>
      <c r="M1455" s="28">
        <f>SUM(M1456:M1458)</f>
        <v>0</v>
      </c>
      <c r="N1455" s="28"/>
      <c r="O1455" s="40">
        <f t="shared" ref="O1455:AC1455" si="545">SUM(O1456:O1458)</f>
        <v>0</v>
      </c>
      <c r="P1455" s="28">
        <f t="shared" si="545"/>
        <v>0</v>
      </c>
      <c r="Q1455" s="28">
        <f t="shared" si="545"/>
        <v>0</v>
      </c>
      <c r="R1455" s="28">
        <f t="shared" si="545"/>
        <v>0</v>
      </c>
      <c r="S1455" s="28">
        <f t="shared" si="545"/>
        <v>0</v>
      </c>
      <c r="T1455" s="28"/>
      <c r="U1455" s="28">
        <f t="shared" si="545"/>
        <v>0</v>
      </c>
      <c r="V1455" s="28"/>
      <c r="W1455" s="28">
        <f t="shared" si="545"/>
        <v>0</v>
      </c>
      <c r="X1455" s="28"/>
      <c r="Y1455" s="28">
        <f t="shared" si="545"/>
        <v>0</v>
      </c>
      <c r="Z1455" s="28">
        <f t="shared" si="545"/>
        <v>0</v>
      </c>
      <c r="AA1455" s="28"/>
      <c r="AB1455" s="28">
        <f t="shared" si="545"/>
        <v>0</v>
      </c>
      <c r="AC1455" s="28">
        <f t="shared" si="545"/>
        <v>0</v>
      </c>
      <c r="AD1455" s="28"/>
      <c r="AE1455" s="28"/>
    </row>
    <row r="1456" spans="1:31" s="1" customFormat="1" x14ac:dyDescent="0.25">
      <c r="A1456" s="21"/>
      <c r="B1456" s="22"/>
      <c r="C1456" s="22"/>
      <c r="D1456" s="65"/>
      <c r="E1456" s="24"/>
      <c r="F1456" s="24"/>
      <c r="G1456" s="24"/>
      <c r="H1456" s="24"/>
      <c r="I1456" s="24"/>
      <c r="J1456" s="24"/>
      <c r="K1456" s="24"/>
      <c r="L1456" s="24"/>
      <c r="M1456" s="24"/>
      <c r="N1456" s="24"/>
      <c r="O1456" s="41">
        <f>AB837</f>
        <v>0</v>
      </c>
      <c r="P1456" s="24"/>
      <c r="Q1456" s="24"/>
      <c r="R1456" s="24"/>
      <c r="S1456" s="24"/>
      <c r="T1456" s="24"/>
      <c r="U1456" s="24"/>
      <c r="V1456" s="24"/>
      <c r="W1456" s="24"/>
      <c r="X1456" s="24"/>
      <c r="Y1456" s="24"/>
      <c r="Z1456" s="24"/>
      <c r="AA1456" s="24"/>
      <c r="AB1456" s="24"/>
      <c r="AC1456" s="24"/>
      <c r="AD1456" s="24"/>
      <c r="AE1456" s="24"/>
    </row>
    <row r="1457" spans="1:31" s="1" customFormat="1" x14ac:dyDescent="0.25">
      <c r="A1457" s="21"/>
      <c r="B1457" s="22"/>
      <c r="C1457" s="22"/>
      <c r="D1457" s="65"/>
      <c r="E1457" s="24"/>
      <c r="F1457" s="24"/>
      <c r="G1457" s="24"/>
      <c r="H1457" s="24"/>
      <c r="I1457" s="24"/>
      <c r="J1457" s="24"/>
      <c r="K1457" s="24"/>
      <c r="L1457" s="24"/>
      <c r="M1457" s="24"/>
      <c r="N1457" s="24"/>
      <c r="O1457" s="41"/>
      <c r="P1457" s="24"/>
      <c r="Q1457" s="24"/>
      <c r="R1457" s="24"/>
      <c r="S1457" s="24"/>
      <c r="T1457" s="24"/>
      <c r="U1457" s="24"/>
      <c r="V1457" s="24"/>
      <c r="W1457" s="24"/>
      <c r="X1457" s="24"/>
      <c r="Y1457" s="24"/>
      <c r="Z1457" s="24"/>
      <c r="AA1457" s="24"/>
      <c r="AB1457" s="24"/>
      <c r="AC1457" s="24"/>
      <c r="AD1457" s="24"/>
      <c r="AE1457" s="24"/>
    </row>
    <row r="1458" spans="1:31" s="1" customFormat="1" x14ac:dyDescent="0.25">
      <c r="A1458" s="21"/>
      <c r="B1458" s="22"/>
      <c r="C1458" s="22"/>
      <c r="D1458" s="65"/>
      <c r="E1458" s="24"/>
      <c r="F1458" s="24"/>
      <c r="G1458" s="24"/>
      <c r="H1458" s="24"/>
      <c r="I1458" s="24"/>
      <c r="J1458" s="24"/>
      <c r="K1458" s="24"/>
      <c r="L1458" s="24"/>
      <c r="M1458" s="24"/>
      <c r="N1458" s="24"/>
      <c r="O1458" s="41"/>
      <c r="P1458" s="24"/>
      <c r="Q1458" s="24"/>
      <c r="R1458" s="24"/>
      <c r="S1458" s="24"/>
      <c r="T1458" s="24"/>
      <c r="U1458" s="24"/>
      <c r="V1458" s="24"/>
      <c r="W1458" s="24"/>
      <c r="X1458" s="24"/>
      <c r="Y1458" s="24"/>
      <c r="Z1458" s="24"/>
      <c r="AA1458" s="24"/>
      <c r="AB1458" s="24"/>
      <c r="AC1458" s="24"/>
      <c r="AD1458" s="24"/>
      <c r="AE1458" s="24"/>
    </row>
    <row r="1459" spans="1:31" s="1" customFormat="1" ht="25.5" x14ac:dyDescent="0.25">
      <c r="A1459" s="25"/>
      <c r="B1459" s="26" t="s">
        <v>1548</v>
      </c>
      <c r="C1459" s="26"/>
      <c r="D1459" s="64" t="s">
        <v>1549</v>
      </c>
      <c r="E1459" s="28"/>
      <c r="F1459" s="28"/>
      <c r="G1459" s="28"/>
      <c r="H1459" s="28"/>
      <c r="I1459" s="28"/>
      <c r="J1459" s="28"/>
      <c r="K1459" s="28"/>
      <c r="L1459" s="28"/>
      <c r="M1459" s="28">
        <f>SUM(M1460:M1462)</f>
        <v>0</v>
      </c>
      <c r="N1459" s="28"/>
      <c r="O1459" s="40">
        <f t="shared" ref="O1459:AC1459" si="546">SUM(O1460:O1462)</f>
        <v>1683039960.7249994</v>
      </c>
      <c r="P1459" s="28">
        <f t="shared" si="546"/>
        <v>0</v>
      </c>
      <c r="Q1459" s="28">
        <f t="shared" si="546"/>
        <v>0</v>
      </c>
      <c r="R1459" s="28">
        <f t="shared" si="546"/>
        <v>0</v>
      </c>
      <c r="S1459" s="28">
        <f t="shared" si="546"/>
        <v>0</v>
      </c>
      <c r="T1459" s="28"/>
      <c r="U1459" s="28">
        <f t="shared" si="546"/>
        <v>0</v>
      </c>
      <c r="V1459" s="28"/>
      <c r="W1459" s="28">
        <f t="shared" si="546"/>
        <v>0</v>
      </c>
      <c r="X1459" s="28"/>
      <c r="Y1459" s="28">
        <f t="shared" si="546"/>
        <v>0</v>
      </c>
      <c r="Z1459" s="28">
        <f t="shared" si="546"/>
        <v>0</v>
      </c>
      <c r="AA1459" s="28"/>
      <c r="AB1459" s="28">
        <f t="shared" si="546"/>
        <v>0</v>
      </c>
      <c r="AC1459" s="28">
        <f t="shared" si="546"/>
        <v>0</v>
      </c>
      <c r="AD1459" s="28"/>
      <c r="AE1459" s="28"/>
    </row>
    <row r="1460" spans="1:31" s="1" customFormat="1" x14ac:dyDescent="0.25">
      <c r="A1460" s="21"/>
      <c r="B1460" s="22"/>
      <c r="C1460" s="22"/>
      <c r="D1460" s="65"/>
      <c r="E1460" s="24"/>
      <c r="F1460" s="24"/>
      <c r="G1460" s="24"/>
      <c r="H1460" s="24"/>
      <c r="I1460" s="24"/>
      <c r="J1460" s="24"/>
      <c r="K1460" s="24"/>
      <c r="L1460" s="24"/>
      <c r="M1460" s="24"/>
      <c r="N1460" s="24"/>
      <c r="O1460" s="41">
        <f>AB846</f>
        <v>1683039960.7249994</v>
      </c>
      <c r="P1460" s="24"/>
      <c r="Q1460" s="24"/>
      <c r="R1460" s="24"/>
      <c r="S1460" s="24"/>
      <c r="T1460" s="24"/>
      <c r="U1460" s="24"/>
      <c r="V1460" s="24"/>
      <c r="W1460" s="24"/>
      <c r="X1460" s="24"/>
      <c r="Y1460" s="24"/>
      <c r="Z1460" s="24"/>
      <c r="AA1460" s="24"/>
      <c r="AB1460" s="24"/>
      <c r="AC1460" s="24"/>
      <c r="AD1460" s="24"/>
      <c r="AE1460" s="24"/>
    </row>
    <row r="1461" spans="1:31" s="1" customFormat="1" x14ac:dyDescent="0.25">
      <c r="A1461" s="21"/>
      <c r="B1461" s="22"/>
      <c r="C1461" s="22"/>
      <c r="D1461" s="65"/>
      <c r="E1461" s="24"/>
      <c r="F1461" s="24"/>
      <c r="G1461" s="24"/>
      <c r="H1461" s="24"/>
      <c r="I1461" s="24"/>
      <c r="J1461" s="24"/>
      <c r="K1461" s="24"/>
      <c r="L1461" s="24"/>
      <c r="M1461" s="24"/>
      <c r="N1461" s="24"/>
      <c r="O1461" s="41"/>
      <c r="P1461" s="24"/>
      <c r="Q1461" s="24"/>
      <c r="R1461" s="24"/>
      <c r="S1461" s="24"/>
      <c r="T1461" s="24"/>
      <c r="U1461" s="24"/>
      <c r="V1461" s="24"/>
      <c r="W1461" s="24"/>
      <c r="X1461" s="24"/>
      <c r="Y1461" s="24"/>
      <c r="Z1461" s="24"/>
      <c r="AA1461" s="24"/>
      <c r="AB1461" s="24"/>
      <c r="AC1461" s="24"/>
      <c r="AD1461" s="24"/>
      <c r="AE1461" s="24"/>
    </row>
    <row r="1462" spans="1:31" s="1" customFormat="1" x14ac:dyDescent="0.25">
      <c r="A1462" s="21"/>
      <c r="B1462" s="22"/>
      <c r="C1462" s="22"/>
      <c r="D1462" s="65"/>
      <c r="E1462" s="24"/>
      <c r="F1462" s="24"/>
      <c r="G1462" s="24"/>
      <c r="H1462" s="24"/>
      <c r="I1462" s="24"/>
      <c r="J1462" s="24"/>
      <c r="K1462" s="24"/>
      <c r="L1462" s="24"/>
      <c r="M1462" s="24"/>
      <c r="N1462" s="24"/>
      <c r="O1462" s="41"/>
      <c r="P1462" s="24"/>
      <c r="Q1462" s="24"/>
      <c r="R1462" s="24"/>
      <c r="S1462" s="24"/>
      <c r="T1462" s="24"/>
      <c r="U1462" s="24"/>
      <c r="V1462" s="24"/>
      <c r="W1462" s="24"/>
      <c r="X1462" s="24"/>
      <c r="Y1462" s="24"/>
      <c r="Z1462" s="24"/>
      <c r="AA1462" s="24"/>
      <c r="AB1462" s="24"/>
      <c r="AC1462" s="24"/>
      <c r="AD1462" s="24"/>
      <c r="AE1462" s="24"/>
    </row>
    <row r="1463" spans="1:31" s="1" customFormat="1" ht="25.5" x14ac:dyDescent="0.25">
      <c r="A1463" s="25"/>
      <c r="B1463" s="26" t="s">
        <v>1550</v>
      </c>
      <c r="C1463" s="26"/>
      <c r="D1463" s="64" t="s">
        <v>1551</v>
      </c>
      <c r="E1463" s="28"/>
      <c r="F1463" s="28"/>
      <c r="G1463" s="28"/>
      <c r="H1463" s="28"/>
      <c r="I1463" s="28"/>
      <c r="J1463" s="28"/>
      <c r="K1463" s="28"/>
      <c r="L1463" s="28"/>
      <c r="M1463" s="28">
        <f>SUM(M1464:M1466)</f>
        <v>0</v>
      </c>
      <c r="N1463" s="28"/>
      <c r="O1463" s="40">
        <f t="shared" ref="O1463:AC1463" si="547">SUM(O1464:O1466)</f>
        <v>0</v>
      </c>
      <c r="P1463" s="28">
        <f t="shared" si="547"/>
        <v>0</v>
      </c>
      <c r="Q1463" s="28">
        <f t="shared" si="547"/>
        <v>0</v>
      </c>
      <c r="R1463" s="28">
        <f t="shared" si="547"/>
        <v>0</v>
      </c>
      <c r="S1463" s="28">
        <f t="shared" si="547"/>
        <v>0</v>
      </c>
      <c r="T1463" s="28"/>
      <c r="U1463" s="28">
        <f t="shared" si="547"/>
        <v>0</v>
      </c>
      <c r="V1463" s="28"/>
      <c r="W1463" s="28">
        <f t="shared" si="547"/>
        <v>0</v>
      </c>
      <c r="X1463" s="28"/>
      <c r="Y1463" s="28">
        <f t="shared" si="547"/>
        <v>0</v>
      </c>
      <c r="Z1463" s="28">
        <f t="shared" si="547"/>
        <v>0</v>
      </c>
      <c r="AA1463" s="28"/>
      <c r="AB1463" s="28">
        <f t="shared" si="547"/>
        <v>0</v>
      </c>
      <c r="AC1463" s="28">
        <f t="shared" si="547"/>
        <v>0</v>
      </c>
      <c r="AD1463" s="28"/>
      <c r="AE1463" s="28"/>
    </row>
    <row r="1464" spans="1:31" s="1" customFormat="1" x14ac:dyDescent="0.25">
      <c r="A1464" s="21"/>
      <c r="B1464" s="22"/>
      <c r="C1464" s="22"/>
      <c r="D1464" s="65"/>
      <c r="E1464" s="24"/>
      <c r="F1464" s="24"/>
      <c r="G1464" s="24"/>
      <c r="H1464" s="24"/>
      <c r="I1464" s="24"/>
      <c r="J1464" s="24"/>
      <c r="K1464" s="24"/>
      <c r="L1464" s="24"/>
      <c r="M1464" s="24"/>
      <c r="N1464" s="24"/>
      <c r="O1464" s="41">
        <f>AB1010</f>
        <v>0</v>
      </c>
      <c r="P1464" s="24"/>
      <c r="Q1464" s="24"/>
      <c r="R1464" s="24"/>
      <c r="S1464" s="24"/>
      <c r="T1464" s="24"/>
      <c r="U1464" s="24"/>
      <c r="V1464" s="24"/>
      <c r="W1464" s="24"/>
      <c r="X1464" s="24"/>
      <c r="Y1464" s="24"/>
      <c r="Z1464" s="24"/>
      <c r="AA1464" s="24"/>
      <c r="AB1464" s="24"/>
      <c r="AC1464" s="24"/>
      <c r="AD1464" s="24"/>
      <c r="AE1464" s="24"/>
    </row>
    <row r="1465" spans="1:31" s="1" customFormat="1" x14ac:dyDescent="0.25">
      <c r="A1465" s="21"/>
      <c r="B1465" s="22"/>
      <c r="C1465" s="22"/>
      <c r="D1465" s="65"/>
      <c r="E1465" s="24"/>
      <c r="F1465" s="24"/>
      <c r="G1465" s="24"/>
      <c r="H1465" s="24"/>
      <c r="I1465" s="24"/>
      <c r="J1465" s="24"/>
      <c r="K1465" s="24"/>
      <c r="L1465" s="24"/>
      <c r="M1465" s="24"/>
      <c r="N1465" s="24"/>
      <c r="O1465" s="41"/>
      <c r="P1465" s="24"/>
      <c r="Q1465" s="24"/>
      <c r="R1465" s="24"/>
      <c r="S1465" s="24"/>
      <c r="T1465" s="24"/>
      <c r="U1465" s="24"/>
      <c r="V1465" s="24"/>
      <c r="W1465" s="24"/>
      <c r="X1465" s="24"/>
      <c r="Y1465" s="24"/>
      <c r="Z1465" s="24"/>
      <c r="AA1465" s="24"/>
      <c r="AB1465" s="24"/>
      <c r="AC1465" s="24"/>
      <c r="AD1465" s="24"/>
      <c r="AE1465" s="24"/>
    </row>
    <row r="1466" spans="1:31" s="1" customFormat="1" x14ac:dyDescent="0.25">
      <c r="A1466" s="21"/>
      <c r="B1466" s="22"/>
      <c r="C1466" s="22"/>
      <c r="D1466" s="65"/>
      <c r="E1466" s="24"/>
      <c r="F1466" s="24"/>
      <c r="G1466" s="24"/>
      <c r="H1466" s="24"/>
      <c r="I1466" s="24"/>
      <c r="J1466" s="24"/>
      <c r="K1466" s="24"/>
      <c r="L1466" s="24"/>
      <c r="M1466" s="24"/>
      <c r="N1466" s="24"/>
      <c r="O1466" s="41"/>
      <c r="P1466" s="24"/>
      <c r="Q1466" s="24"/>
      <c r="R1466" s="24"/>
      <c r="S1466" s="24"/>
      <c r="T1466" s="24"/>
      <c r="U1466" s="24"/>
      <c r="V1466" s="24"/>
      <c r="W1466" s="24"/>
      <c r="X1466" s="24"/>
      <c r="Y1466" s="24"/>
      <c r="Z1466" s="24"/>
      <c r="AA1466" s="24"/>
      <c r="AB1466" s="24"/>
      <c r="AC1466" s="24"/>
      <c r="AD1466" s="24"/>
      <c r="AE1466" s="24"/>
    </row>
    <row r="1467" spans="1:31" s="1" customFormat="1" ht="25.5" x14ac:dyDescent="0.25">
      <c r="A1467" s="25"/>
      <c r="B1467" s="26" t="s">
        <v>1552</v>
      </c>
      <c r="C1467" s="26"/>
      <c r="D1467" s="64" t="s">
        <v>1553</v>
      </c>
      <c r="E1467" s="28"/>
      <c r="F1467" s="28"/>
      <c r="G1467" s="28"/>
      <c r="H1467" s="28"/>
      <c r="I1467" s="28"/>
      <c r="J1467" s="28"/>
      <c r="K1467" s="28"/>
      <c r="L1467" s="28"/>
      <c r="M1467" s="28">
        <f>SUM(M1468:M1470)</f>
        <v>0</v>
      </c>
      <c r="N1467" s="28"/>
      <c r="O1467" s="40">
        <f t="shared" ref="O1467:AC1467" si="548">SUM(O1468:O1470)</f>
        <v>0</v>
      </c>
      <c r="P1467" s="28">
        <f t="shared" si="548"/>
        <v>0</v>
      </c>
      <c r="Q1467" s="28">
        <f t="shared" si="548"/>
        <v>0</v>
      </c>
      <c r="R1467" s="28">
        <f t="shared" si="548"/>
        <v>0</v>
      </c>
      <c r="S1467" s="28">
        <f t="shared" si="548"/>
        <v>0</v>
      </c>
      <c r="T1467" s="28"/>
      <c r="U1467" s="28">
        <f t="shared" si="548"/>
        <v>0</v>
      </c>
      <c r="V1467" s="28"/>
      <c r="W1467" s="28">
        <f t="shared" si="548"/>
        <v>0</v>
      </c>
      <c r="X1467" s="28"/>
      <c r="Y1467" s="28">
        <f t="shared" si="548"/>
        <v>0</v>
      </c>
      <c r="Z1467" s="28">
        <f t="shared" si="548"/>
        <v>0</v>
      </c>
      <c r="AA1467" s="28"/>
      <c r="AB1467" s="28">
        <f t="shared" si="548"/>
        <v>0</v>
      </c>
      <c r="AC1467" s="28">
        <f t="shared" si="548"/>
        <v>0</v>
      </c>
      <c r="AD1467" s="28"/>
      <c r="AE1467" s="28"/>
    </row>
    <row r="1468" spans="1:31" s="1" customFormat="1" x14ac:dyDescent="0.25">
      <c r="A1468" s="21"/>
      <c r="B1468" s="22"/>
      <c r="C1468" s="22"/>
      <c r="D1468" s="65"/>
      <c r="E1468" s="24"/>
      <c r="F1468" s="24"/>
      <c r="G1468" s="24"/>
      <c r="H1468" s="24"/>
      <c r="I1468" s="24"/>
      <c r="J1468" s="24"/>
      <c r="K1468" s="24"/>
      <c r="L1468" s="24"/>
      <c r="M1468" s="24"/>
      <c r="N1468" s="24"/>
      <c r="O1468" s="41">
        <f>AB1015</f>
        <v>0</v>
      </c>
      <c r="P1468" s="24"/>
      <c r="Q1468" s="24"/>
      <c r="R1468" s="24"/>
      <c r="S1468" s="24"/>
      <c r="T1468" s="24"/>
      <c r="U1468" s="24"/>
      <c r="V1468" s="24"/>
      <c r="W1468" s="24"/>
      <c r="X1468" s="24"/>
      <c r="Y1468" s="24"/>
      <c r="Z1468" s="24"/>
      <c r="AA1468" s="24"/>
      <c r="AB1468" s="24"/>
      <c r="AC1468" s="24"/>
      <c r="AD1468" s="24"/>
      <c r="AE1468" s="24"/>
    </row>
    <row r="1469" spans="1:31" s="1" customFormat="1" x14ac:dyDescent="0.25">
      <c r="A1469" s="21"/>
      <c r="B1469" s="22"/>
      <c r="C1469" s="22"/>
      <c r="D1469" s="65"/>
      <c r="E1469" s="24"/>
      <c r="F1469" s="24"/>
      <c r="G1469" s="24"/>
      <c r="H1469" s="24"/>
      <c r="I1469" s="24"/>
      <c r="J1469" s="24"/>
      <c r="K1469" s="24"/>
      <c r="L1469" s="24"/>
      <c r="M1469" s="24"/>
      <c r="N1469" s="24"/>
      <c r="O1469" s="41"/>
      <c r="P1469" s="24"/>
      <c r="Q1469" s="24"/>
      <c r="R1469" s="24"/>
      <c r="S1469" s="24"/>
      <c r="T1469" s="24"/>
      <c r="U1469" s="24"/>
      <c r="V1469" s="24"/>
      <c r="W1469" s="24"/>
      <c r="X1469" s="24"/>
      <c r="Y1469" s="24"/>
      <c r="Z1469" s="24"/>
      <c r="AA1469" s="24"/>
      <c r="AB1469" s="24"/>
      <c r="AC1469" s="24"/>
      <c r="AD1469" s="24"/>
      <c r="AE1469" s="24"/>
    </row>
    <row r="1470" spans="1:31" s="1" customFormat="1" x14ac:dyDescent="0.25">
      <c r="A1470" s="21"/>
      <c r="B1470" s="22"/>
      <c r="C1470" s="22"/>
      <c r="D1470" s="65"/>
      <c r="E1470" s="24"/>
      <c r="F1470" s="24"/>
      <c r="G1470" s="24"/>
      <c r="H1470" s="24"/>
      <c r="I1470" s="24"/>
      <c r="J1470" s="24"/>
      <c r="K1470" s="24"/>
      <c r="L1470" s="24"/>
      <c r="M1470" s="24"/>
      <c r="N1470" s="24"/>
      <c r="O1470" s="41"/>
      <c r="P1470" s="24"/>
      <c r="Q1470" s="24"/>
      <c r="R1470" s="24"/>
      <c r="S1470" s="24"/>
      <c r="T1470" s="24"/>
      <c r="U1470" s="24"/>
      <c r="V1470" s="24"/>
      <c r="W1470" s="24"/>
      <c r="X1470" s="24"/>
      <c r="Y1470" s="24"/>
      <c r="Z1470" s="24"/>
      <c r="AA1470" s="24"/>
      <c r="AB1470" s="24"/>
      <c r="AC1470" s="24"/>
      <c r="AD1470" s="24"/>
      <c r="AE1470" s="24"/>
    </row>
    <row r="1471" spans="1:31" s="1" customFormat="1" ht="38.25" x14ac:dyDescent="0.25">
      <c r="A1471" s="25"/>
      <c r="B1471" s="26" t="s">
        <v>1554</v>
      </c>
      <c r="C1471" s="26"/>
      <c r="D1471" s="64" t="s">
        <v>1555</v>
      </c>
      <c r="E1471" s="28"/>
      <c r="F1471" s="28"/>
      <c r="G1471" s="28"/>
      <c r="H1471" s="28"/>
      <c r="I1471" s="28"/>
      <c r="J1471" s="28"/>
      <c r="K1471" s="28"/>
      <c r="L1471" s="28"/>
      <c r="M1471" s="28">
        <f>SUM(M1472:M1474)</f>
        <v>0</v>
      </c>
      <c r="N1471" s="28"/>
      <c r="O1471" s="40">
        <f t="shared" ref="O1471:AC1471" si="549">SUM(O1472:O1474)</f>
        <v>0</v>
      </c>
      <c r="P1471" s="28">
        <f t="shared" si="549"/>
        <v>0</v>
      </c>
      <c r="Q1471" s="28">
        <f t="shared" si="549"/>
        <v>0</v>
      </c>
      <c r="R1471" s="28">
        <f t="shared" si="549"/>
        <v>0</v>
      </c>
      <c r="S1471" s="28">
        <f t="shared" si="549"/>
        <v>0</v>
      </c>
      <c r="T1471" s="28"/>
      <c r="U1471" s="28">
        <f t="shared" si="549"/>
        <v>0</v>
      </c>
      <c r="V1471" s="28"/>
      <c r="W1471" s="28">
        <f t="shared" si="549"/>
        <v>0</v>
      </c>
      <c r="X1471" s="28"/>
      <c r="Y1471" s="28">
        <f t="shared" si="549"/>
        <v>0</v>
      </c>
      <c r="Z1471" s="28">
        <f t="shared" si="549"/>
        <v>0</v>
      </c>
      <c r="AA1471" s="28"/>
      <c r="AB1471" s="28">
        <f t="shared" si="549"/>
        <v>0</v>
      </c>
      <c r="AC1471" s="28">
        <f t="shared" si="549"/>
        <v>0</v>
      </c>
      <c r="AD1471" s="28"/>
      <c r="AE1471" s="28"/>
    </row>
    <row r="1472" spans="1:31" s="1" customFormat="1" x14ac:dyDescent="0.25">
      <c r="A1472" s="21"/>
      <c r="B1472" s="22"/>
      <c r="C1472" s="22"/>
      <c r="D1472" s="65"/>
      <c r="E1472" s="24"/>
      <c r="F1472" s="24"/>
      <c r="G1472" s="24"/>
      <c r="H1472" s="24"/>
      <c r="I1472" s="24"/>
      <c r="J1472" s="24"/>
      <c r="K1472" s="24"/>
      <c r="L1472" s="24"/>
      <c r="M1472" s="24"/>
      <c r="N1472" s="24"/>
      <c r="O1472" s="41">
        <f>AB1020</f>
        <v>0</v>
      </c>
      <c r="P1472" s="24"/>
      <c r="Q1472" s="24"/>
      <c r="R1472" s="24"/>
      <c r="S1472" s="24"/>
      <c r="T1472" s="24"/>
      <c r="U1472" s="24"/>
      <c r="V1472" s="24"/>
      <c r="W1472" s="24"/>
      <c r="X1472" s="24"/>
      <c r="Y1472" s="24"/>
      <c r="Z1472" s="24"/>
      <c r="AA1472" s="24"/>
      <c r="AB1472" s="24"/>
      <c r="AC1472" s="24"/>
      <c r="AD1472" s="24"/>
      <c r="AE1472" s="24"/>
    </row>
    <row r="1473" spans="1:31" s="1" customFormat="1" x14ac:dyDescent="0.25">
      <c r="A1473" s="21"/>
      <c r="B1473" s="22"/>
      <c r="C1473" s="22"/>
      <c r="D1473" s="65"/>
      <c r="E1473" s="24"/>
      <c r="F1473" s="24"/>
      <c r="G1473" s="24"/>
      <c r="H1473" s="24"/>
      <c r="I1473" s="24"/>
      <c r="J1473" s="24"/>
      <c r="K1473" s="24"/>
      <c r="L1473" s="24"/>
      <c r="M1473" s="24"/>
      <c r="N1473" s="24"/>
      <c r="O1473" s="41"/>
      <c r="P1473" s="24"/>
      <c r="Q1473" s="24"/>
      <c r="R1473" s="24"/>
      <c r="S1473" s="24"/>
      <c r="T1473" s="24"/>
      <c r="U1473" s="24"/>
      <c r="V1473" s="24"/>
      <c r="W1473" s="24"/>
      <c r="X1473" s="24"/>
      <c r="Y1473" s="24"/>
      <c r="Z1473" s="24"/>
      <c r="AA1473" s="24"/>
      <c r="AB1473" s="24"/>
      <c r="AC1473" s="24"/>
      <c r="AD1473" s="24"/>
      <c r="AE1473" s="24"/>
    </row>
    <row r="1474" spans="1:31" s="1" customFormat="1" x14ac:dyDescent="0.25">
      <c r="A1474" s="21"/>
      <c r="B1474" s="22"/>
      <c r="C1474" s="22"/>
      <c r="D1474" s="65"/>
      <c r="E1474" s="24"/>
      <c r="F1474" s="24"/>
      <c r="G1474" s="24"/>
      <c r="H1474" s="24"/>
      <c r="I1474" s="24"/>
      <c r="J1474" s="24"/>
      <c r="K1474" s="24"/>
      <c r="L1474" s="24"/>
      <c r="M1474" s="24"/>
      <c r="N1474" s="24"/>
      <c r="O1474" s="41"/>
      <c r="P1474" s="24"/>
      <c r="Q1474" s="24"/>
      <c r="R1474" s="24"/>
      <c r="S1474" s="24"/>
      <c r="T1474" s="24"/>
      <c r="U1474" s="24"/>
      <c r="V1474" s="24"/>
      <c r="W1474" s="24"/>
      <c r="X1474" s="24"/>
      <c r="Y1474" s="24"/>
      <c r="Z1474" s="24"/>
      <c r="AA1474" s="24"/>
      <c r="AB1474" s="24"/>
      <c r="AC1474" s="24"/>
      <c r="AD1474" s="24"/>
      <c r="AE1474" s="24"/>
    </row>
    <row r="1475" spans="1:31" s="1" customFormat="1" ht="25.5" x14ac:dyDescent="0.25">
      <c r="A1475" s="25"/>
      <c r="B1475" s="26" t="s">
        <v>1556</v>
      </c>
      <c r="C1475" s="26"/>
      <c r="D1475" s="64" t="s">
        <v>1557</v>
      </c>
      <c r="E1475" s="28"/>
      <c r="F1475" s="28"/>
      <c r="G1475" s="28"/>
      <c r="H1475" s="28"/>
      <c r="I1475" s="28"/>
      <c r="J1475" s="28"/>
      <c r="K1475" s="28"/>
      <c r="L1475" s="28"/>
      <c r="M1475" s="28">
        <f>SUM(M1476:M1478)</f>
        <v>0</v>
      </c>
      <c r="N1475" s="28"/>
      <c r="O1475" s="40">
        <f t="shared" ref="O1475:AC1475" si="550">SUM(O1476:O1478)</f>
        <v>0</v>
      </c>
      <c r="P1475" s="28">
        <f t="shared" si="550"/>
        <v>0</v>
      </c>
      <c r="Q1475" s="28">
        <f t="shared" si="550"/>
        <v>0</v>
      </c>
      <c r="R1475" s="28">
        <f t="shared" si="550"/>
        <v>0</v>
      </c>
      <c r="S1475" s="28">
        <f t="shared" si="550"/>
        <v>0</v>
      </c>
      <c r="T1475" s="28"/>
      <c r="U1475" s="28">
        <f t="shared" si="550"/>
        <v>0</v>
      </c>
      <c r="V1475" s="28"/>
      <c r="W1475" s="28">
        <f t="shared" si="550"/>
        <v>0</v>
      </c>
      <c r="X1475" s="28"/>
      <c r="Y1475" s="28">
        <f t="shared" si="550"/>
        <v>0</v>
      </c>
      <c r="Z1475" s="28">
        <f t="shared" si="550"/>
        <v>0</v>
      </c>
      <c r="AA1475" s="28"/>
      <c r="AB1475" s="28">
        <f t="shared" si="550"/>
        <v>0</v>
      </c>
      <c r="AC1475" s="28">
        <f t="shared" si="550"/>
        <v>0</v>
      </c>
      <c r="AD1475" s="28"/>
      <c r="AE1475" s="28"/>
    </row>
    <row r="1476" spans="1:31" s="1" customFormat="1" x14ac:dyDescent="0.25">
      <c r="A1476" s="21"/>
      <c r="B1476" s="22"/>
      <c r="C1476" s="22"/>
      <c r="D1476" s="65"/>
      <c r="E1476" s="24"/>
      <c r="F1476" s="24"/>
      <c r="G1476" s="24"/>
      <c r="H1476" s="24"/>
      <c r="I1476" s="24"/>
      <c r="J1476" s="24"/>
      <c r="K1476" s="24"/>
      <c r="L1476" s="24"/>
      <c r="M1476" s="24"/>
      <c r="N1476" s="24"/>
      <c r="O1476" s="41">
        <f>AB1029</f>
        <v>0</v>
      </c>
      <c r="P1476" s="24"/>
      <c r="Q1476" s="24"/>
      <c r="R1476" s="24"/>
      <c r="S1476" s="24"/>
      <c r="T1476" s="24"/>
      <c r="U1476" s="24"/>
      <c r="V1476" s="24"/>
      <c r="W1476" s="24"/>
      <c r="X1476" s="24"/>
      <c r="Y1476" s="24"/>
      <c r="Z1476" s="24"/>
      <c r="AA1476" s="24"/>
      <c r="AB1476" s="24"/>
      <c r="AC1476" s="24"/>
      <c r="AD1476" s="24"/>
      <c r="AE1476" s="24"/>
    </row>
    <row r="1477" spans="1:31" s="1" customFormat="1" x14ac:dyDescent="0.25">
      <c r="A1477" s="21"/>
      <c r="B1477" s="22"/>
      <c r="C1477" s="22"/>
      <c r="D1477" s="65"/>
      <c r="E1477" s="24"/>
      <c r="F1477" s="24"/>
      <c r="G1477" s="24"/>
      <c r="H1477" s="24"/>
      <c r="I1477" s="24"/>
      <c r="J1477" s="24"/>
      <c r="K1477" s="24"/>
      <c r="L1477" s="24"/>
      <c r="M1477" s="24"/>
      <c r="N1477" s="24"/>
      <c r="O1477" s="41"/>
      <c r="P1477" s="24"/>
      <c r="Q1477" s="24"/>
      <c r="R1477" s="24"/>
      <c r="S1477" s="24"/>
      <c r="T1477" s="24"/>
      <c r="U1477" s="24"/>
      <c r="V1477" s="24"/>
      <c r="W1477" s="24"/>
      <c r="X1477" s="24"/>
      <c r="Y1477" s="24"/>
      <c r="Z1477" s="24"/>
      <c r="AA1477" s="24"/>
      <c r="AB1477" s="24"/>
      <c r="AC1477" s="24"/>
      <c r="AD1477" s="24"/>
      <c r="AE1477" s="24"/>
    </row>
    <row r="1478" spans="1:31" s="1" customFormat="1" x14ac:dyDescent="0.25">
      <c r="A1478" s="21"/>
      <c r="B1478" s="22"/>
      <c r="C1478" s="22"/>
      <c r="D1478" s="65"/>
      <c r="E1478" s="24"/>
      <c r="F1478" s="24"/>
      <c r="G1478" s="24"/>
      <c r="H1478" s="24"/>
      <c r="I1478" s="24"/>
      <c r="J1478" s="24"/>
      <c r="K1478" s="24"/>
      <c r="L1478" s="24"/>
      <c r="M1478" s="24"/>
      <c r="N1478" s="24"/>
      <c r="O1478" s="41"/>
      <c r="P1478" s="24"/>
      <c r="Q1478" s="24"/>
      <c r="R1478" s="24"/>
      <c r="S1478" s="24"/>
      <c r="T1478" s="24"/>
      <c r="U1478" s="24"/>
      <c r="V1478" s="24"/>
      <c r="W1478" s="24"/>
      <c r="X1478" s="24"/>
      <c r="Y1478" s="24"/>
      <c r="Z1478" s="24"/>
      <c r="AA1478" s="24"/>
      <c r="AB1478" s="24"/>
      <c r="AC1478" s="24"/>
      <c r="AD1478" s="24"/>
      <c r="AE1478" s="24"/>
    </row>
    <row r="1479" spans="1:31" s="1" customFormat="1" ht="25.5" x14ac:dyDescent="0.25">
      <c r="A1479" s="25"/>
      <c r="B1479" s="26" t="s">
        <v>1558</v>
      </c>
      <c r="C1479" s="26"/>
      <c r="D1479" s="64" t="s">
        <v>1559</v>
      </c>
      <c r="E1479" s="28"/>
      <c r="F1479" s="28"/>
      <c r="G1479" s="28"/>
      <c r="H1479" s="28"/>
      <c r="I1479" s="28"/>
      <c r="J1479" s="28"/>
      <c r="K1479" s="28"/>
      <c r="L1479" s="28"/>
      <c r="M1479" s="28">
        <f>SUM(M1480:M1482)</f>
        <v>0</v>
      </c>
      <c r="N1479" s="28"/>
      <c r="O1479" s="40">
        <f t="shared" ref="O1479:AC1479" si="551">SUM(O1480:O1482)</f>
        <v>0</v>
      </c>
      <c r="P1479" s="28">
        <f t="shared" si="551"/>
        <v>0</v>
      </c>
      <c r="Q1479" s="28">
        <f t="shared" si="551"/>
        <v>0</v>
      </c>
      <c r="R1479" s="28">
        <f t="shared" si="551"/>
        <v>0</v>
      </c>
      <c r="S1479" s="28">
        <f t="shared" si="551"/>
        <v>0</v>
      </c>
      <c r="T1479" s="28"/>
      <c r="U1479" s="28">
        <f t="shared" si="551"/>
        <v>0</v>
      </c>
      <c r="V1479" s="28"/>
      <c r="W1479" s="28">
        <f t="shared" si="551"/>
        <v>0</v>
      </c>
      <c r="X1479" s="28"/>
      <c r="Y1479" s="28">
        <f t="shared" si="551"/>
        <v>0</v>
      </c>
      <c r="Z1479" s="28">
        <f t="shared" si="551"/>
        <v>0</v>
      </c>
      <c r="AA1479" s="28"/>
      <c r="AB1479" s="28">
        <f t="shared" si="551"/>
        <v>0</v>
      </c>
      <c r="AC1479" s="28">
        <f t="shared" si="551"/>
        <v>0</v>
      </c>
      <c r="AD1479" s="28"/>
      <c r="AE1479" s="28"/>
    </row>
    <row r="1480" spans="1:31" s="1" customFormat="1" x14ac:dyDescent="0.25">
      <c r="A1480" s="21"/>
      <c r="B1480" s="22"/>
      <c r="C1480" s="22"/>
      <c r="D1480" s="65"/>
      <c r="E1480" s="24"/>
      <c r="F1480" s="24"/>
      <c r="G1480" s="24"/>
      <c r="H1480" s="24"/>
      <c r="I1480" s="24"/>
      <c r="J1480" s="24"/>
      <c r="K1480" s="24"/>
      <c r="L1480" s="24"/>
      <c r="M1480" s="24"/>
      <c r="N1480" s="24"/>
      <c r="O1480" s="41">
        <f>AB1036</f>
        <v>0</v>
      </c>
      <c r="P1480" s="24"/>
      <c r="Q1480" s="24"/>
      <c r="R1480" s="24"/>
      <c r="S1480" s="24"/>
      <c r="T1480" s="24"/>
      <c r="U1480" s="24"/>
      <c r="V1480" s="24"/>
      <c r="W1480" s="24"/>
      <c r="X1480" s="24"/>
      <c r="Y1480" s="24"/>
      <c r="Z1480" s="24"/>
      <c r="AA1480" s="24"/>
      <c r="AB1480" s="24"/>
      <c r="AC1480" s="24"/>
      <c r="AD1480" s="24"/>
      <c r="AE1480" s="24"/>
    </row>
    <row r="1481" spans="1:31" s="1" customFormat="1" x14ac:dyDescent="0.25">
      <c r="A1481" s="21"/>
      <c r="B1481" s="22"/>
      <c r="C1481" s="22"/>
      <c r="D1481" s="65"/>
      <c r="E1481" s="24"/>
      <c r="F1481" s="24"/>
      <c r="G1481" s="24"/>
      <c r="H1481" s="24"/>
      <c r="I1481" s="24"/>
      <c r="J1481" s="24"/>
      <c r="K1481" s="24"/>
      <c r="L1481" s="24"/>
      <c r="M1481" s="24"/>
      <c r="N1481" s="24"/>
      <c r="O1481" s="41"/>
      <c r="P1481" s="24"/>
      <c r="Q1481" s="24"/>
      <c r="R1481" s="24"/>
      <c r="S1481" s="24"/>
      <c r="T1481" s="24"/>
      <c r="U1481" s="24"/>
      <c r="V1481" s="24"/>
      <c r="W1481" s="24"/>
      <c r="X1481" s="24"/>
      <c r="Y1481" s="24"/>
      <c r="Z1481" s="24"/>
      <c r="AA1481" s="24"/>
      <c r="AB1481" s="24"/>
      <c r="AC1481" s="24"/>
      <c r="AD1481" s="24"/>
      <c r="AE1481" s="24"/>
    </row>
    <row r="1482" spans="1:31" s="1" customFormat="1" x14ac:dyDescent="0.25">
      <c r="A1482" s="21"/>
      <c r="B1482" s="22"/>
      <c r="C1482" s="22"/>
      <c r="D1482" s="65"/>
      <c r="E1482" s="24"/>
      <c r="F1482" s="24"/>
      <c r="G1482" s="24"/>
      <c r="H1482" s="24"/>
      <c r="I1482" s="24"/>
      <c r="J1482" s="24"/>
      <c r="K1482" s="24"/>
      <c r="L1482" s="24"/>
      <c r="M1482" s="24"/>
      <c r="N1482" s="24"/>
      <c r="O1482" s="41"/>
      <c r="P1482" s="24"/>
      <c r="Q1482" s="24"/>
      <c r="R1482" s="24"/>
      <c r="S1482" s="24"/>
      <c r="T1482" s="24"/>
      <c r="U1482" s="24"/>
      <c r="V1482" s="24"/>
      <c r="W1482" s="24"/>
      <c r="X1482" s="24"/>
      <c r="Y1482" s="24"/>
      <c r="Z1482" s="24"/>
      <c r="AA1482" s="24"/>
      <c r="AB1482" s="24"/>
      <c r="AC1482" s="24"/>
      <c r="AD1482" s="24"/>
      <c r="AE1482" s="24"/>
    </row>
    <row r="1483" spans="1:31" s="1" customFormat="1" ht="25.5" x14ac:dyDescent="0.25">
      <c r="A1483" s="25"/>
      <c r="B1483" s="26" t="s">
        <v>1560</v>
      </c>
      <c r="C1483" s="26"/>
      <c r="D1483" s="64" t="s">
        <v>1561</v>
      </c>
      <c r="E1483" s="28"/>
      <c r="F1483" s="28"/>
      <c r="G1483" s="28"/>
      <c r="H1483" s="28"/>
      <c r="I1483" s="28"/>
      <c r="J1483" s="28"/>
      <c r="K1483" s="28"/>
      <c r="L1483" s="28"/>
      <c r="M1483" s="28">
        <f>SUM(M1484:M1486)</f>
        <v>0</v>
      </c>
      <c r="N1483" s="28"/>
      <c r="O1483" s="40">
        <f t="shared" ref="O1483:AC1483" si="552">SUM(O1484:O1486)</f>
        <v>0</v>
      </c>
      <c r="P1483" s="28">
        <f t="shared" si="552"/>
        <v>0</v>
      </c>
      <c r="Q1483" s="28">
        <f t="shared" si="552"/>
        <v>0</v>
      </c>
      <c r="R1483" s="28">
        <f t="shared" si="552"/>
        <v>0</v>
      </c>
      <c r="S1483" s="28">
        <f t="shared" si="552"/>
        <v>0</v>
      </c>
      <c r="T1483" s="28"/>
      <c r="U1483" s="28">
        <f t="shared" si="552"/>
        <v>0</v>
      </c>
      <c r="V1483" s="28"/>
      <c r="W1483" s="28">
        <f t="shared" si="552"/>
        <v>0</v>
      </c>
      <c r="X1483" s="28"/>
      <c r="Y1483" s="28">
        <f t="shared" si="552"/>
        <v>0</v>
      </c>
      <c r="Z1483" s="28">
        <f t="shared" si="552"/>
        <v>0</v>
      </c>
      <c r="AA1483" s="28"/>
      <c r="AB1483" s="28">
        <f t="shared" si="552"/>
        <v>0</v>
      </c>
      <c r="AC1483" s="28">
        <f t="shared" si="552"/>
        <v>0</v>
      </c>
      <c r="AD1483" s="28"/>
      <c r="AE1483" s="28"/>
    </row>
    <row r="1484" spans="1:31" s="1" customFormat="1" x14ac:dyDescent="0.25">
      <c r="A1484" s="21"/>
      <c r="B1484" s="22"/>
      <c r="C1484" s="22"/>
      <c r="D1484" s="65"/>
      <c r="E1484" s="24"/>
      <c r="F1484" s="24"/>
      <c r="G1484" s="24"/>
      <c r="H1484" s="24"/>
      <c r="I1484" s="24"/>
      <c r="J1484" s="24"/>
      <c r="K1484" s="24"/>
      <c r="L1484" s="24"/>
      <c r="M1484" s="24"/>
      <c r="N1484" s="24"/>
      <c r="O1484" s="41">
        <f>AB1045</f>
        <v>0</v>
      </c>
      <c r="P1484" s="24"/>
      <c r="Q1484" s="24"/>
      <c r="R1484" s="24"/>
      <c r="S1484" s="24"/>
      <c r="T1484" s="24"/>
      <c r="U1484" s="24"/>
      <c r="V1484" s="24"/>
      <c r="W1484" s="24"/>
      <c r="X1484" s="24"/>
      <c r="Y1484" s="24"/>
      <c r="Z1484" s="24"/>
      <c r="AA1484" s="24"/>
      <c r="AB1484" s="24"/>
      <c r="AC1484" s="24"/>
      <c r="AD1484" s="24"/>
      <c r="AE1484" s="24"/>
    </row>
    <row r="1485" spans="1:31" s="1" customFormat="1" x14ac:dyDescent="0.25">
      <c r="A1485" s="21"/>
      <c r="B1485" s="22"/>
      <c r="C1485" s="22"/>
      <c r="D1485" s="65"/>
      <c r="E1485" s="24"/>
      <c r="F1485" s="24"/>
      <c r="G1485" s="24"/>
      <c r="H1485" s="24"/>
      <c r="I1485" s="24"/>
      <c r="J1485" s="24"/>
      <c r="K1485" s="24"/>
      <c r="L1485" s="24"/>
      <c r="M1485" s="24"/>
      <c r="N1485" s="24"/>
      <c r="O1485" s="41"/>
      <c r="P1485" s="24"/>
      <c r="Q1485" s="24"/>
      <c r="R1485" s="24"/>
      <c r="S1485" s="24"/>
      <c r="T1485" s="24"/>
      <c r="U1485" s="24"/>
      <c r="V1485" s="24"/>
      <c r="W1485" s="24"/>
      <c r="X1485" s="24"/>
      <c r="Y1485" s="24"/>
      <c r="Z1485" s="24"/>
      <c r="AA1485" s="24"/>
      <c r="AB1485" s="24"/>
      <c r="AC1485" s="24"/>
      <c r="AD1485" s="24"/>
      <c r="AE1485" s="24"/>
    </row>
    <row r="1486" spans="1:31" s="1" customFormat="1" x14ac:dyDescent="0.25">
      <c r="A1486" s="21"/>
      <c r="B1486" s="22"/>
      <c r="C1486" s="22"/>
      <c r="D1486" s="65"/>
      <c r="E1486" s="24"/>
      <c r="F1486" s="24"/>
      <c r="G1486" s="24"/>
      <c r="H1486" s="24"/>
      <c r="I1486" s="24"/>
      <c r="J1486" s="24"/>
      <c r="K1486" s="24"/>
      <c r="L1486" s="24"/>
      <c r="M1486" s="24"/>
      <c r="N1486" s="24"/>
      <c r="O1486" s="41"/>
      <c r="P1486" s="24"/>
      <c r="Q1486" s="24"/>
      <c r="R1486" s="24"/>
      <c r="S1486" s="24"/>
      <c r="T1486" s="24"/>
      <c r="U1486" s="24"/>
      <c r="V1486" s="24"/>
      <c r="W1486" s="24"/>
      <c r="X1486" s="24"/>
      <c r="Y1486" s="24"/>
      <c r="Z1486" s="24"/>
      <c r="AA1486" s="24"/>
      <c r="AB1486" s="24"/>
      <c r="AC1486" s="24"/>
      <c r="AD1486" s="24"/>
      <c r="AE1486" s="24"/>
    </row>
    <row r="1487" spans="1:31" s="1" customFormat="1" ht="25.5" x14ac:dyDescent="0.25">
      <c r="A1487" s="25"/>
      <c r="B1487" s="26" t="s">
        <v>1562</v>
      </c>
      <c r="C1487" s="26"/>
      <c r="D1487" s="64" t="s">
        <v>1563</v>
      </c>
      <c r="E1487" s="28"/>
      <c r="F1487" s="28"/>
      <c r="G1487" s="28"/>
      <c r="H1487" s="28"/>
      <c r="I1487" s="28"/>
      <c r="J1487" s="28"/>
      <c r="K1487" s="28"/>
      <c r="L1487" s="28"/>
      <c r="M1487" s="28">
        <f>SUM(M1488:M1490)</f>
        <v>0</v>
      </c>
      <c r="N1487" s="28"/>
      <c r="O1487" s="40">
        <f t="shared" ref="O1487:AC1487" si="553">SUM(O1488:O1490)</f>
        <v>0</v>
      </c>
      <c r="P1487" s="28">
        <f t="shared" si="553"/>
        <v>0</v>
      </c>
      <c r="Q1487" s="28">
        <f t="shared" si="553"/>
        <v>0</v>
      </c>
      <c r="R1487" s="28">
        <f t="shared" si="553"/>
        <v>0</v>
      </c>
      <c r="S1487" s="28">
        <f t="shared" si="553"/>
        <v>0</v>
      </c>
      <c r="T1487" s="28"/>
      <c r="U1487" s="28">
        <f t="shared" si="553"/>
        <v>0</v>
      </c>
      <c r="V1487" s="28"/>
      <c r="W1487" s="28">
        <f t="shared" si="553"/>
        <v>0</v>
      </c>
      <c r="X1487" s="28"/>
      <c r="Y1487" s="28">
        <f t="shared" si="553"/>
        <v>0</v>
      </c>
      <c r="Z1487" s="28">
        <f t="shared" si="553"/>
        <v>0</v>
      </c>
      <c r="AA1487" s="28"/>
      <c r="AB1487" s="28">
        <f t="shared" si="553"/>
        <v>0</v>
      </c>
      <c r="AC1487" s="28">
        <f t="shared" si="553"/>
        <v>0</v>
      </c>
      <c r="AD1487" s="28"/>
      <c r="AE1487" s="28"/>
    </row>
    <row r="1488" spans="1:31" s="1" customFormat="1" x14ac:dyDescent="0.25">
      <c r="A1488" s="21"/>
      <c r="B1488" s="22"/>
      <c r="C1488" s="22"/>
      <c r="D1488" s="65"/>
      <c r="E1488" s="24"/>
      <c r="F1488" s="24"/>
      <c r="G1488" s="24"/>
      <c r="H1488" s="24"/>
      <c r="I1488" s="24"/>
      <c r="J1488" s="24"/>
      <c r="K1488" s="24"/>
      <c r="L1488" s="24"/>
      <c r="M1488" s="24"/>
      <c r="N1488" s="24"/>
      <c r="O1488" s="41">
        <f>AB1048</f>
        <v>0</v>
      </c>
      <c r="P1488" s="24"/>
      <c r="Q1488" s="24"/>
      <c r="R1488" s="24"/>
      <c r="S1488" s="24"/>
      <c r="T1488" s="24"/>
      <c r="U1488" s="24"/>
      <c r="V1488" s="24"/>
      <c r="W1488" s="24"/>
      <c r="X1488" s="24"/>
      <c r="Y1488" s="24"/>
      <c r="Z1488" s="24"/>
      <c r="AA1488" s="24"/>
      <c r="AB1488" s="24"/>
      <c r="AC1488" s="24"/>
      <c r="AD1488" s="24"/>
      <c r="AE1488" s="24"/>
    </row>
    <row r="1489" spans="1:31" s="1" customFormat="1" x14ac:dyDescent="0.25">
      <c r="A1489" s="21"/>
      <c r="B1489" s="22"/>
      <c r="C1489" s="22"/>
      <c r="D1489" s="65"/>
      <c r="E1489" s="24"/>
      <c r="F1489" s="24"/>
      <c r="G1489" s="24"/>
      <c r="H1489" s="24"/>
      <c r="I1489" s="24"/>
      <c r="J1489" s="24"/>
      <c r="K1489" s="24"/>
      <c r="L1489" s="24"/>
      <c r="M1489" s="24"/>
      <c r="N1489" s="24"/>
      <c r="O1489" s="41"/>
      <c r="P1489" s="24"/>
      <c r="Q1489" s="24"/>
      <c r="R1489" s="24"/>
      <c r="S1489" s="24"/>
      <c r="T1489" s="24"/>
      <c r="U1489" s="24"/>
      <c r="V1489" s="24"/>
      <c r="W1489" s="24"/>
      <c r="X1489" s="24"/>
      <c r="Y1489" s="24"/>
      <c r="Z1489" s="24"/>
      <c r="AA1489" s="24"/>
      <c r="AB1489" s="24"/>
      <c r="AC1489" s="24"/>
      <c r="AD1489" s="24"/>
      <c r="AE1489" s="24"/>
    </row>
    <row r="1490" spans="1:31" s="1" customFormat="1" x14ac:dyDescent="0.25">
      <c r="A1490" s="21"/>
      <c r="B1490" s="22"/>
      <c r="C1490" s="22"/>
      <c r="D1490" s="65"/>
      <c r="E1490" s="24"/>
      <c r="F1490" s="24"/>
      <c r="G1490" s="24"/>
      <c r="H1490" s="24"/>
      <c r="I1490" s="24"/>
      <c r="J1490" s="24"/>
      <c r="K1490" s="24"/>
      <c r="L1490" s="24"/>
      <c r="M1490" s="24"/>
      <c r="N1490" s="24"/>
      <c r="O1490" s="41"/>
      <c r="P1490" s="24"/>
      <c r="Q1490" s="24"/>
      <c r="R1490" s="24"/>
      <c r="S1490" s="24"/>
      <c r="T1490" s="24"/>
      <c r="U1490" s="24"/>
      <c r="V1490" s="24"/>
      <c r="W1490" s="24"/>
      <c r="X1490" s="24"/>
      <c r="Y1490" s="24"/>
      <c r="Z1490" s="24"/>
      <c r="AA1490" s="24"/>
      <c r="AB1490" s="24"/>
      <c r="AC1490" s="24"/>
      <c r="AD1490" s="24"/>
      <c r="AE1490" s="24"/>
    </row>
    <row r="1491" spans="1:31" s="1" customFormat="1" ht="25.5" x14ac:dyDescent="0.25">
      <c r="A1491" s="25"/>
      <c r="B1491" s="26" t="s">
        <v>1564</v>
      </c>
      <c r="C1491" s="26"/>
      <c r="D1491" s="64" t="s">
        <v>1565</v>
      </c>
      <c r="E1491" s="28"/>
      <c r="F1491" s="28"/>
      <c r="G1491" s="28"/>
      <c r="H1491" s="28"/>
      <c r="I1491" s="28"/>
      <c r="J1491" s="28"/>
      <c r="K1491" s="28"/>
      <c r="L1491" s="28"/>
      <c r="M1491" s="28">
        <f>SUM(M1492:M1494)</f>
        <v>0</v>
      </c>
      <c r="N1491" s="28"/>
      <c r="O1491" s="40">
        <f t="shared" ref="O1491:AC1491" si="554">SUM(O1492:O1494)</f>
        <v>0</v>
      </c>
      <c r="P1491" s="28">
        <f t="shared" si="554"/>
        <v>0</v>
      </c>
      <c r="Q1491" s="28">
        <f t="shared" si="554"/>
        <v>0</v>
      </c>
      <c r="R1491" s="28">
        <f t="shared" si="554"/>
        <v>0</v>
      </c>
      <c r="S1491" s="28">
        <f t="shared" si="554"/>
        <v>0</v>
      </c>
      <c r="T1491" s="28"/>
      <c r="U1491" s="28">
        <f t="shared" si="554"/>
        <v>0</v>
      </c>
      <c r="V1491" s="28"/>
      <c r="W1491" s="28">
        <f t="shared" si="554"/>
        <v>0</v>
      </c>
      <c r="X1491" s="28"/>
      <c r="Y1491" s="28">
        <f t="shared" si="554"/>
        <v>0</v>
      </c>
      <c r="Z1491" s="28">
        <f t="shared" si="554"/>
        <v>0</v>
      </c>
      <c r="AA1491" s="28"/>
      <c r="AB1491" s="28">
        <f t="shared" si="554"/>
        <v>0</v>
      </c>
      <c r="AC1491" s="28">
        <f t="shared" si="554"/>
        <v>0</v>
      </c>
      <c r="AD1491" s="28"/>
      <c r="AE1491" s="28"/>
    </row>
    <row r="1492" spans="1:31" s="1" customFormat="1" x14ac:dyDescent="0.25">
      <c r="A1492" s="21"/>
      <c r="B1492" s="22"/>
      <c r="C1492" s="22"/>
      <c r="D1492" s="65"/>
      <c r="E1492" s="24"/>
      <c r="F1492" s="24"/>
      <c r="G1492" s="24"/>
      <c r="H1492" s="24"/>
      <c r="I1492" s="24"/>
      <c r="J1492" s="24"/>
      <c r="K1492" s="24"/>
      <c r="L1492" s="24"/>
      <c r="M1492" s="24"/>
      <c r="N1492" s="24"/>
      <c r="O1492" s="41">
        <f>AB1051</f>
        <v>0</v>
      </c>
      <c r="P1492" s="24"/>
      <c r="Q1492" s="24"/>
      <c r="R1492" s="24"/>
      <c r="S1492" s="24"/>
      <c r="T1492" s="24"/>
      <c r="U1492" s="24"/>
      <c r="V1492" s="24"/>
      <c r="W1492" s="24"/>
      <c r="X1492" s="24"/>
      <c r="Y1492" s="24"/>
      <c r="Z1492" s="24"/>
      <c r="AA1492" s="24"/>
      <c r="AB1492" s="24"/>
      <c r="AC1492" s="24"/>
      <c r="AD1492" s="24"/>
      <c r="AE1492" s="24"/>
    </row>
    <row r="1493" spans="1:31" s="1" customFormat="1" x14ac:dyDescent="0.25">
      <c r="A1493" s="21"/>
      <c r="B1493" s="22"/>
      <c r="C1493" s="22"/>
      <c r="D1493" s="65"/>
      <c r="E1493" s="24"/>
      <c r="F1493" s="24"/>
      <c r="G1493" s="24"/>
      <c r="H1493" s="24"/>
      <c r="I1493" s="24"/>
      <c r="J1493" s="24"/>
      <c r="K1493" s="24"/>
      <c r="L1493" s="24"/>
      <c r="M1493" s="24"/>
      <c r="N1493" s="24"/>
      <c r="O1493" s="41"/>
      <c r="P1493" s="24"/>
      <c r="Q1493" s="24"/>
      <c r="R1493" s="24"/>
      <c r="S1493" s="24"/>
      <c r="T1493" s="24"/>
      <c r="U1493" s="24"/>
      <c r="V1493" s="24"/>
      <c r="W1493" s="24"/>
      <c r="X1493" s="24"/>
      <c r="Y1493" s="24"/>
      <c r="Z1493" s="24"/>
      <c r="AA1493" s="24"/>
      <c r="AB1493" s="24"/>
      <c r="AC1493" s="24"/>
      <c r="AD1493" s="24"/>
      <c r="AE1493" s="24"/>
    </row>
    <row r="1494" spans="1:31" s="1" customFormat="1" x14ac:dyDescent="0.25">
      <c r="A1494" s="21"/>
      <c r="B1494" s="22"/>
      <c r="C1494" s="22"/>
      <c r="D1494" s="65"/>
      <c r="E1494" s="24"/>
      <c r="F1494" s="24"/>
      <c r="G1494" s="24"/>
      <c r="H1494" s="24"/>
      <c r="I1494" s="24"/>
      <c r="J1494" s="24"/>
      <c r="K1494" s="24"/>
      <c r="L1494" s="24"/>
      <c r="M1494" s="24"/>
      <c r="N1494" s="24"/>
      <c r="O1494" s="41"/>
      <c r="P1494" s="24"/>
      <c r="Q1494" s="24"/>
      <c r="R1494" s="24"/>
      <c r="S1494" s="24"/>
      <c r="T1494" s="24"/>
      <c r="U1494" s="24"/>
      <c r="V1494" s="24"/>
      <c r="W1494" s="24"/>
      <c r="X1494" s="24"/>
      <c r="Y1494" s="24"/>
      <c r="Z1494" s="24"/>
      <c r="AA1494" s="24"/>
      <c r="AB1494" s="24"/>
      <c r="AC1494" s="24"/>
      <c r="AD1494" s="24"/>
      <c r="AE1494" s="24"/>
    </row>
    <row r="1495" spans="1:31" s="1" customFormat="1" ht="25.5" x14ac:dyDescent="0.25">
      <c r="A1495" s="25"/>
      <c r="B1495" s="26" t="s">
        <v>1566</v>
      </c>
      <c r="C1495" s="26"/>
      <c r="D1495" s="64" t="s">
        <v>1567</v>
      </c>
      <c r="E1495" s="28"/>
      <c r="F1495" s="28"/>
      <c r="G1495" s="28"/>
      <c r="H1495" s="28"/>
      <c r="I1495" s="28"/>
      <c r="J1495" s="28"/>
      <c r="K1495" s="28"/>
      <c r="L1495" s="28"/>
      <c r="M1495" s="28">
        <f>SUM(M1496:M1498)</f>
        <v>0</v>
      </c>
      <c r="N1495" s="28"/>
      <c r="O1495" s="40">
        <f t="shared" ref="O1495:AC1495" si="555">SUM(O1496:O1498)</f>
        <v>39598125</v>
      </c>
      <c r="P1495" s="28">
        <f t="shared" si="555"/>
        <v>0</v>
      </c>
      <c r="Q1495" s="28">
        <f t="shared" si="555"/>
        <v>0</v>
      </c>
      <c r="R1495" s="28">
        <f t="shared" si="555"/>
        <v>0</v>
      </c>
      <c r="S1495" s="28">
        <f t="shared" si="555"/>
        <v>0</v>
      </c>
      <c r="T1495" s="28"/>
      <c r="U1495" s="28">
        <f t="shared" si="555"/>
        <v>0</v>
      </c>
      <c r="V1495" s="28"/>
      <c r="W1495" s="28">
        <f t="shared" si="555"/>
        <v>0</v>
      </c>
      <c r="X1495" s="28"/>
      <c r="Y1495" s="28">
        <f t="shared" si="555"/>
        <v>0</v>
      </c>
      <c r="Z1495" s="28">
        <f t="shared" si="555"/>
        <v>0</v>
      </c>
      <c r="AA1495" s="28"/>
      <c r="AB1495" s="28">
        <f t="shared" si="555"/>
        <v>0</v>
      </c>
      <c r="AC1495" s="28">
        <f t="shared" si="555"/>
        <v>0</v>
      </c>
      <c r="AD1495" s="28"/>
      <c r="AE1495" s="28"/>
    </row>
    <row r="1496" spans="1:31" s="1" customFormat="1" x14ac:dyDescent="0.25">
      <c r="A1496" s="21"/>
      <c r="B1496" s="22"/>
      <c r="C1496" s="22"/>
      <c r="D1496" s="65"/>
      <c r="E1496" s="24"/>
      <c r="F1496" s="24"/>
      <c r="G1496" s="24"/>
      <c r="H1496" s="24"/>
      <c r="I1496" s="24"/>
      <c r="J1496" s="24"/>
      <c r="K1496" s="24"/>
      <c r="L1496" s="24"/>
      <c r="M1496" s="24"/>
      <c r="N1496" s="24"/>
      <c r="O1496" s="41">
        <f>AB1058</f>
        <v>39598125</v>
      </c>
      <c r="P1496" s="24"/>
      <c r="Q1496" s="24"/>
      <c r="R1496" s="24"/>
      <c r="S1496" s="24"/>
      <c r="T1496" s="24"/>
      <c r="U1496" s="24"/>
      <c r="V1496" s="24"/>
      <c r="W1496" s="24"/>
      <c r="X1496" s="24"/>
      <c r="Y1496" s="24"/>
      <c r="Z1496" s="24"/>
      <c r="AA1496" s="24"/>
      <c r="AB1496" s="24"/>
      <c r="AC1496" s="24"/>
      <c r="AD1496" s="24"/>
      <c r="AE1496" s="24"/>
    </row>
    <row r="1497" spans="1:31" s="1" customFormat="1" x14ac:dyDescent="0.25">
      <c r="A1497" s="21"/>
      <c r="B1497" s="22"/>
      <c r="C1497" s="22"/>
      <c r="D1497" s="65"/>
      <c r="E1497" s="24"/>
      <c r="F1497" s="24"/>
      <c r="G1497" s="24"/>
      <c r="H1497" s="24"/>
      <c r="I1497" s="24"/>
      <c r="J1497" s="24"/>
      <c r="K1497" s="24"/>
      <c r="L1497" s="24"/>
      <c r="M1497" s="24"/>
      <c r="N1497" s="24"/>
      <c r="O1497" s="24"/>
      <c r="P1497" s="24"/>
      <c r="Q1497" s="24"/>
      <c r="R1497" s="24"/>
      <c r="S1497" s="24"/>
      <c r="T1497" s="24"/>
      <c r="U1497" s="24"/>
      <c r="V1497" s="24"/>
      <c r="W1497" s="24"/>
      <c r="X1497" s="24"/>
      <c r="Y1497" s="24"/>
      <c r="Z1497" s="24"/>
      <c r="AA1497" s="24"/>
      <c r="AB1497" s="24"/>
      <c r="AC1497" s="24"/>
      <c r="AD1497" s="24"/>
      <c r="AE1497" s="24"/>
    </row>
    <row r="1498" spans="1:31" s="1" customFormat="1" x14ac:dyDescent="0.25">
      <c r="A1498" s="21"/>
      <c r="B1498" s="22"/>
      <c r="C1498" s="22"/>
      <c r="D1498" s="65"/>
      <c r="E1498" s="24"/>
      <c r="F1498" s="24"/>
      <c r="G1498" s="24"/>
      <c r="H1498" s="24"/>
      <c r="I1498" s="24"/>
      <c r="J1498" s="24"/>
      <c r="K1498" s="24"/>
      <c r="L1498" s="24"/>
      <c r="M1498" s="24"/>
      <c r="N1498" s="24"/>
      <c r="O1498" s="24"/>
      <c r="P1498" s="24"/>
      <c r="Q1498" s="24"/>
      <c r="R1498" s="24"/>
      <c r="S1498" s="24"/>
      <c r="T1498" s="24"/>
      <c r="U1498" s="24"/>
      <c r="V1498" s="24"/>
      <c r="W1498" s="24"/>
      <c r="X1498" s="24"/>
      <c r="Y1498" s="24"/>
      <c r="Z1498" s="24"/>
      <c r="AA1498" s="24"/>
      <c r="AB1498" s="24"/>
      <c r="AC1498" s="24"/>
      <c r="AD1498" s="24"/>
      <c r="AE1498" s="24"/>
    </row>
    <row r="1499" spans="1:31" s="1" customFormat="1" ht="25.5" x14ac:dyDescent="0.25">
      <c r="A1499" s="17"/>
      <c r="B1499" s="18" t="s">
        <v>1568</v>
      </c>
      <c r="C1499" s="18"/>
      <c r="D1499" s="84" t="s">
        <v>1569</v>
      </c>
      <c r="E1499" s="20"/>
      <c r="F1499" s="20"/>
      <c r="G1499" s="20"/>
      <c r="H1499" s="20"/>
      <c r="I1499" s="20"/>
      <c r="J1499" s="20"/>
      <c r="K1499" s="20"/>
      <c r="L1499" s="20"/>
      <c r="M1499" s="20">
        <f>M1500+M1504+M1508+M1512</f>
        <v>0</v>
      </c>
      <c r="N1499" s="20"/>
      <c r="O1499" s="37">
        <f t="shared" ref="O1499:AC1499" si="556">O1500+O1504+O1508+O1512</f>
        <v>8959067687.5220146</v>
      </c>
      <c r="P1499" s="20">
        <f t="shared" si="556"/>
        <v>0</v>
      </c>
      <c r="Q1499" s="20">
        <f t="shared" si="556"/>
        <v>0</v>
      </c>
      <c r="R1499" s="20">
        <f t="shared" si="556"/>
        <v>0</v>
      </c>
      <c r="S1499" s="20">
        <f t="shared" si="556"/>
        <v>0</v>
      </c>
      <c r="T1499" s="20"/>
      <c r="U1499" s="20">
        <f t="shared" si="556"/>
        <v>0</v>
      </c>
      <c r="V1499" s="20"/>
      <c r="W1499" s="20">
        <f t="shared" si="556"/>
        <v>0</v>
      </c>
      <c r="X1499" s="20"/>
      <c r="Y1499" s="20">
        <f t="shared" si="556"/>
        <v>0</v>
      </c>
      <c r="Z1499" s="20">
        <f t="shared" si="556"/>
        <v>0</v>
      </c>
      <c r="AA1499" s="20"/>
      <c r="AB1499" s="20">
        <f t="shared" si="556"/>
        <v>0</v>
      </c>
      <c r="AC1499" s="20">
        <f t="shared" si="556"/>
        <v>0</v>
      </c>
      <c r="AD1499" s="20"/>
      <c r="AE1499" s="20"/>
    </row>
    <row r="1500" spans="1:31" s="1" customFormat="1" ht="25.5" x14ac:dyDescent="0.25">
      <c r="A1500" s="25"/>
      <c r="B1500" s="26" t="s">
        <v>1570</v>
      </c>
      <c r="C1500" s="26"/>
      <c r="D1500" s="64" t="s">
        <v>1571</v>
      </c>
      <c r="E1500" s="28"/>
      <c r="F1500" s="28"/>
      <c r="G1500" s="28"/>
      <c r="H1500" s="28"/>
      <c r="I1500" s="28"/>
      <c r="J1500" s="28"/>
      <c r="K1500" s="28"/>
      <c r="L1500" s="28"/>
      <c r="M1500" s="28">
        <f>SUM(M1501:M1503)</f>
        <v>0</v>
      </c>
      <c r="N1500" s="28"/>
      <c r="O1500" s="40">
        <f t="shared" ref="O1500:AC1500" si="557">SUM(O1501:O1503)</f>
        <v>8940713687.5220146</v>
      </c>
      <c r="P1500" s="28">
        <f t="shared" si="557"/>
        <v>0</v>
      </c>
      <c r="Q1500" s="28">
        <f t="shared" si="557"/>
        <v>0</v>
      </c>
      <c r="R1500" s="28">
        <f t="shared" si="557"/>
        <v>0</v>
      </c>
      <c r="S1500" s="28">
        <f t="shared" si="557"/>
        <v>0</v>
      </c>
      <c r="T1500" s="28"/>
      <c r="U1500" s="28">
        <f t="shared" si="557"/>
        <v>0</v>
      </c>
      <c r="V1500" s="28"/>
      <c r="W1500" s="28">
        <f t="shared" si="557"/>
        <v>0</v>
      </c>
      <c r="X1500" s="28"/>
      <c r="Y1500" s="28">
        <f t="shared" si="557"/>
        <v>0</v>
      </c>
      <c r="Z1500" s="28">
        <f t="shared" si="557"/>
        <v>0</v>
      </c>
      <c r="AA1500" s="28"/>
      <c r="AB1500" s="28">
        <f t="shared" si="557"/>
        <v>0</v>
      </c>
      <c r="AC1500" s="28">
        <f t="shared" si="557"/>
        <v>0</v>
      </c>
      <c r="AD1500" s="28"/>
      <c r="AE1500" s="28"/>
    </row>
    <row r="1501" spans="1:31" s="1" customFormat="1" x14ac:dyDescent="0.25">
      <c r="A1501" s="21"/>
      <c r="B1501" s="22"/>
      <c r="C1501" s="22"/>
      <c r="D1501" s="65"/>
      <c r="E1501" s="24"/>
      <c r="F1501" s="24"/>
      <c r="G1501" s="24"/>
      <c r="H1501" s="24"/>
      <c r="I1501" s="24"/>
      <c r="J1501" s="24"/>
      <c r="K1501" s="24"/>
      <c r="L1501" s="24"/>
      <c r="M1501" s="24"/>
      <c r="N1501" s="24"/>
      <c r="O1501" s="41">
        <f>AB1067</f>
        <v>8940713687.5220146</v>
      </c>
      <c r="P1501" s="24"/>
      <c r="Q1501" s="24"/>
      <c r="R1501" s="24"/>
      <c r="S1501" s="24"/>
      <c r="T1501" s="24"/>
      <c r="U1501" s="24"/>
      <c r="V1501" s="24"/>
      <c r="W1501" s="24"/>
      <c r="X1501" s="24"/>
      <c r="Y1501" s="24"/>
      <c r="Z1501" s="24"/>
      <c r="AA1501" s="24"/>
      <c r="AB1501" s="24"/>
      <c r="AC1501" s="24"/>
      <c r="AD1501" s="24"/>
      <c r="AE1501" s="24"/>
    </row>
    <row r="1502" spans="1:31" s="1" customFormat="1" x14ac:dyDescent="0.25">
      <c r="A1502" s="21"/>
      <c r="B1502" s="22"/>
      <c r="C1502" s="22"/>
      <c r="D1502" s="65"/>
      <c r="E1502" s="24"/>
      <c r="F1502" s="24"/>
      <c r="G1502" s="24"/>
      <c r="H1502" s="24"/>
      <c r="I1502" s="24"/>
      <c r="J1502" s="24"/>
      <c r="K1502" s="24"/>
      <c r="L1502" s="24"/>
      <c r="M1502" s="24"/>
      <c r="N1502" s="24"/>
      <c r="O1502" s="41"/>
      <c r="P1502" s="24"/>
      <c r="Q1502" s="24"/>
      <c r="R1502" s="24"/>
      <c r="S1502" s="24"/>
      <c r="T1502" s="24"/>
      <c r="U1502" s="24"/>
      <c r="V1502" s="24"/>
      <c r="W1502" s="24"/>
      <c r="X1502" s="24"/>
      <c r="Y1502" s="24"/>
      <c r="Z1502" s="24"/>
      <c r="AA1502" s="24"/>
      <c r="AB1502" s="24"/>
      <c r="AC1502" s="24"/>
      <c r="AD1502" s="24"/>
      <c r="AE1502" s="24"/>
    </row>
    <row r="1503" spans="1:31" s="1" customFormat="1" x14ac:dyDescent="0.25">
      <c r="A1503" s="21"/>
      <c r="B1503" s="22"/>
      <c r="C1503" s="22"/>
      <c r="D1503" s="65"/>
      <c r="E1503" s="24"/>
      <c r="F1503" s="24"/>
      <c r="G1503" s="24"/>
      <c r="H1503" s="24"/>
      <c r="I1503" s="24"/>
      <c r="J1503" s="24"/>
      <c r="K1503" s="24"/>
      <c r="L1503" s="24"/>
      <c r="M1503" s="24"/>
      <c r="N1503" s="24"/>
      <c r="O1503" s="41"/>
      <c r="P1503" s="24"/>
      <c r="Q1503" s="24"/>
      <c r="R1503" s="24"/>
      <c r="S1503" s="24"/>
      <c r="T1503" s="24"/>
      <c r="U1503" s="24"/>
      <c r="V1503" s="24"/>
      <c r="W1503" s="24"/>
      <c r="X1503" s="24"/>
      <c r="Y1503" s="24"/>
      <c r="Z1503" s="24"/>
      <c r="AA1503" s="24"/>
      <c r="AB1503" s="24"/>
      <c r="AC1503" s="24"/>
      <c r="AD1503" s="24"/>
      <c r="AE1503" s="24"/>
    </row>
    <row r="1504" spans="1:31" s="1" customFormat="1" ht="25.5" x14ac:dyDescent="0.25">
      <c r="A1504" s="25"/>
      <c r="B1504" s="26" t="s">
        <v>1572</v>
      </c>
      <c r="C1504" s="26"/>
      <c r="D1504" s="64" t="s">
        <v>1573</v>
      </c>
      <c r="E1504" s="28"/>
      <c r="F1504" s="28"/>
      <c r="G1504" s="28"/>
      <c r="H1504" s="28"/>
      <c r="I1504" s="28"/>
      <c r="J1504" s="28"/>
      <c r="K1504" s="28"/>
      <c r="L1504" s="28"/>
      <c r="M1504" s="28">
        <f>SUM(M1505:M1507)</f>
        <v>0</v>
      </c>
      <c r="N1504" s="28"/>
      <c r="O1504" s="40">
        <f t="shared" ref="O1504:AC1504" si="558">SUM(O1505:O1507)</f>
        <v>0</v>
      </c>
      <c r="P1504" s="28">
        <f t="shared" si="558"/>
        <v>0</v>
      </c>
      <c r="Q1504" s="28">
        <f t="shared" si="558"/>
        <v>0</v>
      </c>
      <c r="R1504" s="28">
        <f t="shared" si="558"/>
        <v>0</v>
      </c>
      <c r="S1504" s="28">
        <f t="shared" si="558"/>
        <v>0</v>
      </c>
      <c r="T1504" s="28"/>
      <c r="U1504" s="28">
        <f t="shared" si="558"/>
        <v>0</v>
      </c>
      <c r="V1504" s="28"/>
      <c r="W1504" s="28">
        <f t="shared" si="558"/>
        <v>0</v>
      </c>
      <c r="X1504" s="28"/>
      <c r="Y1504" s="28">
        <f t="shared" si="558"/>
        <v>0</v>
      </c>
      <c r="Z1504" s="28">
        <f t="shared" si="558"/>
        <v>0</v>
      </c>
      <c r="AA1504" s="28"/>
      <c r="AB1504" s="28">
        <f t="shared" si="558"/>
        <v>0</v>
      </c>
      <c r="AC1504" s="28">
        <f t="shared" si="558"/>
        <v>0</v>
      </c>
      <c r="AD1504" s="28"/>
      <c r="AE1504" s="28"/>
    </row>
    <row r="1505" spans="1:31" s="1" customFormat="1" x14ac:dyDescent="0.25">
      <c r="A1505" s="21"/>
      <c r="B1505" s="22"/>
      <c r="C1505" s="22"/>
      <c r="D1505" s="85"/>
      <c r="E1505" s="24"/>
      <c r="F1505" s="24"/>
      <c r="G1505" s="24"/>
      <c r="H1505" s="24"/>
      <c r="I1505" s="24"/>
      <c r="J1505" s="24"/>
      <c r="K1505" s="24"/>
      <c r="L1505" s="24"/>
      <c r="M1505" s="24"/>
      <c r="N1505" s="24"/>
      <c r="O1505" s="41">
        <f>AB1177</f>
        <v>0</v>
      </c>
      <c r="P1505" s="24"/>
      <c r="Q1505" s="24"/>
      <c r="R1505" s="24"/>
      <c r="S1505" s="24"/>
      <c r="T1505" s="24"/>
      <c r="U1505" s="24"/>
      <c r="V1505" s="24"/>
      <c r="W1505" s="24"/>
      <c r="X1505" s="24"/>
      <c r="Y1505" s="24"/>
      <c r="Z1505" s="24"/>
      <c r="AA1505" s="24"/>
      <c r="AB1505" s="24"/>
      <c r="AC1505" s="24"/>
      <c r="AD1505" s="24"/>
      <c r="AE1505" s="24"/>
    </row>
    <row r="1506" spans="1:31" s="1" customFormat="1" x14ac:dyDescent="0.25">
      <c r="A1506" s="21"/>
      <c r="B1506" s="22"/>
      <c r="C1506" s="22"/>
      <c r="D1506" s="85"/>
      <c r="E1506" s="24"/>
      <c r="F1506" s="24"/>
      <c r="G1506" s="24"/>
      <c r="H1506" s="24"/>
      <c r="I1506" s="24"/>
      <c r="J1506" s="24"/>
      <c r="K1506" s="24"/>
      <c r="L1506" s="24"/>
      <c r="M1506" s="24"/>
      <c r="N1506" s="24"/>
      <c r="O1506" s="41"/>
      <c r="P1506" s="24"/>
      <c r="Q1506" s="24"/>
      <c r="R1506" s="24"/>
      <c r="S1506" s="24"/>
      <c r="T1506" s="24"/>
      <c r="U1506" s="24"/>
      <c r="V1506" s="24"/>
      <c r="W1506" s="24"/>
      <c r="X1506" s="24"/>
      <c r="Y1506" s="24"/>
      <c r="Z1506" s="24"/>
      <c r="AA1506" s="24"/>
      <c r="AB1506" s="24"/>
      <c r="AC1506" s="24"/>
      <c r="AD1506" s="24"/>
      <c r="AE1506" s="24"/>
    </row>
    <row r="1507" spans="1:31" s="1" customFormat="1" x14ac:dyDescent="0.25">
      <c r="A1507" s="21"/>
      <c r="B1507" s="22"/>
      <c r="C1507" s="22"/>
      <c r="D1507" s="85"/>
      <c r="E1507" s="24"/>
      <c r="F1507" s="24"/>
      <c r="G1507" s="24"/>
      <c r="H1507" s="24"/>
      <c r="I1507" s="24"/>
      <c r="J1507" s="24"/>
      <c r="K1507" s="24"/>
      <c r="L1507" s="24"/>
      <c r="M1507" s="24"/>
      <c r="N1507" s="24"/>
      <c r="O1507" s="41"/>
      <c r="P1507" s="24"/>
      <c r="Q1507" s="24"/>
      <c r="R1507" s="24"/>
      <c r="S1507" s="24"/>
      <c r="T1507" s="24"/>
      <c r="U1507" s="24"/>
      <c r="V1507" s="24"/>
      <c r="W1507" s="24"/>
      <c r="X1507" s="24"/>
      <c r="Y1507" s="24"/>
      <c r="Z1507" s="24"/>
      <c r="AA1507" s="24"/>
      <c r="AB1507" s="24"/>
      <c r="AC1507" s="24"/>
      <c r="AD1507" s="24"/>
      <c r="AE1507" s="24"/>
    </row>
    <row r="1508" spans="1:31" s="1" customFormat="1" ht="25.5" x14ac:dyDescent="0.25">
      <c r="A1508" s="25"/>
      <c r="B1508" s="26" t="s">
        <v>1574</v>
      </c>
      <c r="C1508" s="26"/>
      <c r="D1508" s="64" t="s">
        <v>1575</v>
      </c>
      <c r="E1508" s="28"/>
      <c r="F1508" s="28"/>
      <c r="G1508" s="28"/>
      <c r="H1508" s="28"/>
      <c r="I1508" s="28"/>
      <c r="J1508" s="28"/>
      <c r="K1508" s="28"/>
      <c r="L1508" s="28"/>
      <c r="M1508" s="28">
        <f>SUM(M1509:M1511)</f>
        <v>0</v>
      </c>
      <c r="N1508" s="28"/>
      <c r="O1508" s="40">
        <f t="shared" ref="O1508:AC1508" si="559">SUM(O1509:O1511)</f>
        <v>18354000</v>
      </c>
      <c r="P1508" s="28">
        <f t="shared" si="559"/>
        <v>0</v>
      </c>
      <c r="Q1508" s="28">
        <f t="shared" si="559"/>
        <v>0</v>
      </c>
      <c r="R1508" s="28">
        <f t="shared" si="559"/>
        <v>0</v>
      </c>
      <c r="S1508" s="28">
        <f t="shared" si="559"/>
        <v>0</v>
      </c>
      <c r="T1508" s="28"/>
      <c r="U1508" s="28">
        <f t="shared" si="559"/>
        <v>0</v>
      </c>
      <c r="V1508" s="28"/>
      <c r="W1508" s="28">
        <f t="shared" si="559"/>
        <v>0</v>
      </c>
      <c r="X1508" s="28"/>
      <c r="Y1508" s="28">
        <f t="shared" si="559"/>
        <v>0</v>
      </c>
      <c r="Z1508" s="28">
        <f t="shared" si="559"/>
        <v>0</v>
      </c>
      <c r="AA1508" s="28"/>
      <c r="AB1508" s="28">
        <f t="shared" si="559"/>
        <v>0</v>
      </c>
      <c r="AC1508" s="28">
        <f t="shared" si="559"/>
        <v>0</v>
      </c>
      <c r="AD1508" s="28"/>
      <c r="AE1508" s="28"/>
    </row>
    <row r="1509" spans="1:31" s="1" customFormat="1" x14ac:dyDescent="0.25">
      <c r="A1509" s="21"/>
      <c r="B1509" s="22"/>
      <c r="C1509" s="22"/>
      <c r="D1509" s="65"/>
      <c r="E1509" s="24"/>
      <c r="F1509" s="24"/>
      <c r="G1509" s="24"/>
      <c r="H1509" s="24"/>
      <c r="I1509" s="24"/>
      <c r="J1509" s="24"/>
      <c r="K1509" s="24"/>
      <c r="L1509" s="24"/>
      <c r="M1509" s="24"/>
      <c r="N1509" s="24"/>
      <c r="O1509" s="41">
        <f>AB1180</f>
        <v>18354000</v>
      </c>
      <c r="P1509" s="24"/>
      <c r="Q1509" s="24"/>
      <c r="R1509" s="24"/>
      <c r="S1509" s="24"/>
      <c r="T1509" s="24"/>
      <c r="U1509" s="24"/>
      <c r="V1509" s="24"/>
      <c r="W1509" s="24"/>
      <c r="X1509" s="24"/>
      <c r="Y1509" s="24"/>
      <c r="Z1509" s="24"/>
      <c r="AA1509" s="24"/>
      <c r="AB1509" s="24"/>
      <c r="AC1509" s="24"/>
      <c r="AD1509" s="24"/>
      <c r="AE1509" s="24"/>
    </row>
    <row r="1510" spans="1:31" s="1" customFormat="1" x14ac:dyDescent="0.25">
      <c r="A1510" s="21"/>
      <c r="B1510" s="22"/>
      <c r="C1510" s="22"/>
      <c r="D1510" s="65"/>
      <c r="E1510" s="24"/>
      <c r="F1510" s="24"/>
      <c r="G1510" s="24"/>
      <c r="H1510" s="24"/>
      <c r="I1510" s="24"/>
      <c r="J1510" s="24"/>
      <c r="K1510" s="24"/>
      <c r="L1510" s="24"/>
      <c r="M1510" s="24"/>
      <c r="N1510" s="24"/>
      <c r="O1510" s="41"/>
      <c r="P1510" s="24"/>
      <c r="Q1510" s="24"/>
      <c r="R1510" s="24"/>
      <c r="S1510" s="24"/>
      <c r="T1510" s="24"/>
      <c r="U1510" s="24"/>
      <c r="V1510" s="24"/>
      <c r="W1510" s="24"/>
      <c r="X1510" s="24"/>
      <c r="Y1510" s="24"/>
      <c r="Z1510" s="24"/>
      <c r="AA1510" s="24"/>
      <c r="AB1510" s="24"/>
      <c r="AC1510" s="24"/>
      <c r="AD1510" s="24"/>
      <c r="AE1510" s="24"/>
    </row>
    <row r="1511" spans="1:31" s="1" customFormat="1" x14ac:dyDescent="0.25">
      <c r="A1511" s="21"/>
      <c r="B1511" s="22"/>
      <c r="C1511" s="22"/>
      <c r="D1511" s="65"/>
      <c r="E1511" s="24"/>
      <c r="F1511" s="24"/>
      <c r="G1511" s="24"/>
      <c r="H1511" s="24"/>
      <c r="I1511" s="24"/>
      <c r="J1511" s="24"/>
      <c r="K1511" s="24"/>
      <c r="L1511" s="24"/>
      <c r="M1511" s="24"/>
      <c r="N1511" s="24"/>
      <c r="O1511" s="41"/>
      <c r="P1511" s="24"/>
      <c r="Q1511" s="24"/>
      <c r="R1511" s="24"/>
      <c r="S1511" s="24"/>
      <c r="T1511" s="24"/>
      <c r="U1511" s="24"/>
      <c r="V1511" s="24"/>
      <c r="W1511" s="24"/>
      <c r="X1511" s="24"/>
      <c r="Y1511" s="24"/>
      <c r="Z1511" s="24"/>
      <c r="AA1511" s="24"/>
      <c r="AB1511" s="24"/>
      <c r="AC1511" s="24"/>
      <c r="AD1511" s="24"/>
      <c r="AE1511" s="24"/>
    </row>
    <row r="1512" spans="1:31" s="1" customFormat="1" ht="25.5" x14ac:dyDescent="0.25">
      <c r="A1512" s="25"/>
      <c r="B1512" s="26" t="s">
        <v>1576</v>
      </c>
      <c r="C1512" s="26"/>
      <c r="D1512" s="64" t="s">
        <v>1577</v>
      </c>
      <c r="E1512" s="28"/>
      <c r="F1512" s="28"/>
      <c r="G1512" s="28"/>
      <c r="H1512" s="28"/>
      <c r="I1512" s="28"/>
      <c r="J1512" s="28"/>
      <c r="K1512" s="28"/>
      <c r="L1512" s="28"/>
      <c r="M1512" s="28">
        <f>SUM(M1513:M1515)</f>
        <v>0</v>
      </c>
      <c r="N1512" s="28"/>
      <c r="O1512" s="40">
        <f t="shared" ref="O1512:AC1512" si="560">SUM(O1513:O1515)</f>
        <v>0</v>
      </c>
      <c r="P1512" s="28">
        <f t="shared" si="560"/>
        <v>0</v>
      </c>
      <c r="Q1512" s="28">
        <f t="shared" si="560"/>
        <v>0</v>
      </c>
      <c r="R1512" s="28">
        <f t="shared" si="560"/>
        <v>0</v>
      </c>
      <c r="S1512" s="28">
        <f t="shared" si="560"/>
        <v>0</v>
      </c>
      <c r="T1512" s="28"/>
      <c r="U1512" s="28">
        <f t="shared" si="560"/>
        <v>0</v>
      </c>
      <c r="V1512" s="28"/>
      <c r="W1512" s="28">
        <f t="shared" si="560"/>
        <v>0</v>
      </c>
      <c r="X1512" s="28"/>
      <c r="Y1512" s="28">
        <f t="shared" si="560"/>
        <v>0</v>
      </c>
      <c r="Z1512" s="28">
        <f t="shared" si="560"/>
        <v>0</v>
      </c>
      <c r="AA1512" s="28"/>
      <c r="AB1512" s="28">
        <f t="shared" si="560"/>
        <v>0</v>
      </c>
      <c r="AC1512" s="28">
        <f t="shared" si="560"/>
        <v>0</v>
      </c>
      <c r="AD1512" s="28"/>
      <c r="AE1512" s="28"/>
    </row>
    <row r="1513" spans="1:31" s="1" customFormat="1" x14ac:dyDescent="0.25">
      <c r="A1513" s="21"/>
      <c r="B1513" s="22"/>
      <c r="C1513" s="22"/>
      <c r="D1513" s="65"/>
      <c r="E1513" s="24"/>
      <c r="F1513" s="24"/>
      <c r="G1513" s="24"/>
      <c r="H1513" s="24"/>
      <c r="I1513" s="24"/>
      <c r="J1513" s="24"/>
      <c r="K1513" s="24"/>
      <c r="L1513" s="24"/>
      <c r="M1513" s="24"/>
      <c r="N1513" s="24"/>
      <c r="O1513" s="41">
        <f>AB1184</f>
        <v>0</v>
      </c>
      <c r="P1513" s="24"/>
      <c r="Q1513" s="24"/>
      <c r="R1513" s="24"/>
      <c r="S1513" s="24"/>
      <c r="T1513" s="24"/>
      <c r="U1513" s="24"/>
      <c r="V1513" s="24"/>
      <c r="W1513" s="24"/>
      <c r="X1513" s="24"/>
      <c r="Y1513" s="24"/>
      <c r="Z1513" s="24"/>
      <c r="AA1513" s="24"/>
      <c r="AB1513" s="24"/>
      <c r="AC1513" s="24"/>
      <c r="AD1513" s="24"/>
      <c r="AE1513" s="24"/>
    </row>
    <row r="1514" spans="1:31" s="1" customFormat="1" x14ac:dyDescent="0.25">
      <c r="A1514" s="21"/>
      <c r="B1514" s="22"/>
      <c r="C1514" s="22"/>
      <c r="D1514" s="65"/>
      <c r="E1514" s="24"/>
      <c r="F1514" s="24"/>
      <c r="G1514" s="24"/>
      <c r="H1514" s="24"/>
      <c r="I1514" s="24"/>
      <c r="J1514" s="24"/>
      <c r="K1514" s="24"/>
      <c r="L1514" s="24"/>
      <c r="M1514" s="24"/>
      <c r="N1514" s="24"/>
      <c r="O1514" s="41"/>
      <c r="P1514" s="24"/>
      <c r="Q1514" s="24"/>
      <c r="R1514" s="24"/>
      <c r="S1514" s="24"/>
      <c r="T1514" s="24"/>
      <c r="U1514" s="24"/>
      <c r="V1514" s="24"/>
      <c r="W1514" s="24"/>
      <c r="X1514" s="24"/>
      <c r="Y1514" s="24"/>
      <c r="Z1514" s="24"/>
      <c r="AA1514" s="24"/>
      <c r="AB1514" s="24"/>
      <c r="AC1514" s="24"/>
      <c r="AD1514" s="24"/>
      <c r="AE1514" s="24"/>
    </row>
    <row r="1515" spans="1:31" s="1" customFormat="1" x14ac:dyDescent="0.25">
      <c r="A1515" s="21"/>
      <c r="B1515" s="22"/>
      <c r="C1515" s="22"/>
      <c r="D1515" s="65"/>
      <c r="E1515" s="24"/>
      <c r="F1515" s="24"/>
      <c r="G1515" s="24"/>
      <c r="H1515" s="24"/>
      <c r="I1515" s="24"/>
      <c r="J1515" s="24"/>
      <c r="K1515" s="24"/>
      <c r="L1515" s="24"/>
      <c r="M1515" s="24"/>
      <c r="N1515" s="24"/>
      <c r="O1515" s="41"/>
      <c r="P1515" s="24"/>
      <c r="Q1515" s="24"/>
      <c r="R1515" s="24"/>
      <c r="S1515" s="24"/>
      <c r="T1515" s="24"/>
      <c r="U1515" s="24"/>
      <c r="V1515" s="24"/>
      <c r="W1515" s="24"/>
      <c r="X1515" s="24"/>
      <c r="Y1515" s="24"/>
      <c r="Z1515" s="24"/>
      <c r="AA1515" s="24"/>
      <c r="AB1515" s="24"/>
      <c r="AC1515" s="24"/>
      <c r="AD1515" s="24"/>
      <c r="AE1515" s="24"/>
    </row>
    <row r="1516" spans="1:31" s="1" customFormat="1" ht="25.5" x14ac:dyDescent="0.25">
      <c r="A1516" s="17"/>
      <c r="B1516" s="18" t="s">
        <v>1578</v>
      </c>
      <c r="C1516" s="18"/>
      <c r="D1516" s="84" t="s">
        <v>1579</v>
      </c>
      <c r="E1516" s="20"/>
      <c r="F1516" s="20"/>
      <c r="G1516" s="20"/>
      <c r="H1516" s="20"/>
      <c r="I1516" s="20"/>
      <c r="J1516" s="20"/>
      <c r="K1516" s="20"/>
      <c r="L1516" s="20"/>
      <c r="M1516" s="20">
        <f>M1517+M1521+M1525+M1529</f>
        <v>0</v>
      </c>
      <c r="N1516" s="20"/>
      <c r="O1516" s="37">
        <f t="shared" ref="O1516:AC1516" si="561">O1517+O1521+O1525+O1529</f>
        <v>349291249.89705884</v>
      </c>
      <c r="P1516" s="20">
        <f t="shared" si="561"/>
        <v>0</v>
      </c>
      <c r="Q1516" s="20">
        <f t="shared" si="561"/>
        <v>0</v>
      </c>
      <c r="R1516" s="20">
        <f t="shared" si="561"/>
        <v>0</v>
      </c>
      <c r="S1516" s="20">
        <f t="shared" si="561"/>
        <v>0</v>
      </c>
      <c r="T1516" s="20"/>
      <c r="U1516" s="20">
        <f t="shared" si="561"/>
        <v>0</v>
      </c>
      <c r="V1516" s="20"/>
      <c r="W1516" s="20">
        <f t="shared" si="561"/>
        <v>0</v>
      </c>
      <c r="X1516" s="20"/>
      <c r="Y1516" s="20">
        <f t="shared" si="561"/>
        <v>0</v>
      </c>
      <c r="Z1516" s="20">
        <f t="shared" si="561"/>
        <v>0</v>
      </c>
      <c r="AA1516" s="20"/>
      <c r="AB1516" s="20">
        <f t="shared" si="561"/>
        <v>0</v>
      </c>
      <c r="AC1516" s="20">
        <f t="shared" si="561"/>
        <v>0</v>
      </c>
      <c r="AD1516" s="20"/>
      <c r="AE1516" s="20"/>
    </row>
    <row r="1517" spans="1:31" s="1" customFormat="1" ht="25.5" x14ac:dyDescent="0.25">
      <c r="A1517" s="25"/>
      <c r="B1517" s="26" t="s">
        <v>1580</v>
      </c>
      <c r="C1517" s="26"/>
      <c r="D1517" s="64" t="s">
        <v>1581</v>
      </c>
      <c r="E1517" s="28"/>
      <c r="F1517" s="28"/>
      <c r="G1517" s="28"/>
      <c r="H1517" s="28"/>
      <c r="I1517" s="28"/>
      <c r="J1517" s="28"/>
      <c r="K1517" s="28"/>
      <c r="L1517" s="28"/>
      <c r="M1517" s="28">
        <f>SUM(M1518:M1520)</f>
        <v>0</v>
      </c>
      <c r="N1517" s="28"/>
      <c r="O1517" s="40">
        <f t="shared" ref="O1517:AC1517" si="562">SUM(O1518:O1520)</f>
        <v>0</v>
      </c>
      <c r="P1517" s="28">
        <f t="shared" si="562"/>
        <v>0</v>
      </c>
      <c r="Q1517" s="28">
        <f t="shared" si="562"/>
        <v>0</v>
      </c>
      <c r="R1517" s="28">
        <f t="shared" si="562"/>
        <v>0</v>
      </c>
      <c r="S1517" s="28">
        <f t="shared" si="562"/>
        <v>0</v>
      </c>
      <c r="T1517" s="28"/>
      <c r="U1517" s="28">
        <f t="shared" si="562"/>
        <v>0</v>
      </c>
      <c r="V1517" s="28"/>
      <c r="W1517" s="28">
        <f t="shared" si="562"/>
        <v>0</v>
      </c>
      <c r="X1517" s="28"/>
      <c r="Y1517" s="28">
        <f t="shared" si="562"/>
        <v>0</v>
      </c>
      <c r="Z1517" s="28">
        <f t="shared" si="562"/>
        <v>0</v>
      </c>
      <c r="AA1517" s="28"/>
      <c r="AB1517" s="28">
        <f t="shared" si="562"/>
        <v>0</v>
      </c>
      <c r="AC1517" s="28">
        <f t="shared" si="562"/>
        <v>0</v>
      </c>
      <c r="AD1517" s="28"/>
      <c r="AE1517" s="28"/>
    </row>
    <row r="1518" spans="1:31" s="1" customFormat="1" x14ac:dyDescent="0.25">
      <c r="A1518" s="21"/>
      <c r="B1518" s="22"/>
      <c r="C1518" s="22"/>
      <c r="D1518" s="65"/>
      <c r="E1518" s="24"/>
      <c r="F1518" s="24"/>
      <c r="G1518" s="24"/>
      <c r="H1518" s="24"/>
      <c r="I1518" s="24"/>
      <c r="J1518" s="24"/>
      <c r="K1518" s="24"/>
      <c r="L1518" s="24"/>
      <c r="M1518" s="24"/>
      <c r="N1518" s="24"/>
      <c r="O1518" s="41">
        <f>AB1188</f>
        <v>0</v>
      </c>
      <c r="P1518" s="24"/>
      <c r="Q1518" s="24"/>
      <c r="R1518" s="24"/>
      <c r="S1518" s="24"/>
      <c r="T1518" s="24"/>
      <c r="U1518" s="24"/>
      <c r="V1518" s="24"/>
      <c r="W1518" s="24"/>
      <c r="X1518" s="24"/>
      <c r="Y1518" s="24"/>
      <c r="Z1518" s="24"/>
      <c r="AA1518" s="24"/>
      <c r="AB1518" s="24"/>
      <c r="AC1518" s="24"/>
      <c r="AD1518" s="24"/>
      <c r="AE1518" s="24"/>
    </row>
    <row r="1519" spans="1:31" s="1" customFormat="1" x14ac:dyDescent="0.25">
      <c r="A1519" s="21"/>
      <c r="B1519" s="22"/>
      <c r="C1519" s="22"/>
      <c r="D1519" s="65"/>
      <c r="E1519" s="24"/>
      <c r="F1519" s="24"/>
      <c r="G1519" s="24"/>
      <c r="H1519" s="24"/>
      <c r="I1519" s="24"/>
      <c r="J1519" s="24"/>
      <c r="K1519" s="24"/>
      <c r="L1519" s="24"/>
      <c r="M1519" s="24"/>
      <c r="N1519" s="24"/>
      <c r="O1519" s="41"/>
      <c r="P1519" s="24"/>
      <c r="Q1519" s="24"/>
      <c r="R1519" s="24"/>
      <c r="S1519" s="24"/>
      <c r="T1519" s="24"/>
      <c r="U1519" s="24"/>
      <c r="V1519" s="24"/>
      <c r="W1519" s="24"/>
      <c r="X1519" s="24"/>
      <c r="Y1519" s="24"/>
      <c r="Z1519" s="24"/>
      <c r="AA1519" s="24"/>
      <c r="AB1519" s="24"/>
      <c r="AC1519" s="24"/>
      <c r="AD1519" s="24"/>
      <c r="AE1519" s="24"/>
    </row>
    <row r="1520" spans="1:31" s="1" customFormat="1" x14ac:dyDescent="0.25">
      <c r="A1520" s="21"/>
      <c r="B1520" s="22"/>
      <c r="C1520" s="22"/>
      <c r="D1520" s="65"/>
      <c r="E1520" s="24"/>
      <c r="F1520" s="24"/>
      <c r="G1520" s="24"/>
      <c r="H1520" s="24"/>
      <c r="I1520" s="24"/>
      <c r="J1520" s="24"/>
      <c r="K1520" s="24"/>
      <c r="L1520" s="24"/>
      <c r="M1520" s="24"/>
      <c r="N1520" s="24"/>
      <c r="O1520" s="41"/>
      <c r="P1520" s="24"/>
      <c r="Q1520" s="24"/>
      <c r="R1520" s="24"/>
      <c r="S1520" s="24"/>
      <c r="T1520" s="24"/>
      <c r="U1520" s="24"/>
      <c r="V1520" s="24"/>
      <c r="W1520" s="24"/>
      <c r="X1520" s="24"/>
      <c r="Y1520" s="24"/>
      <c r="Z1520" s="24"/>
      <c r="AA1520" s="24"/>
      <c r="AB1520" s="24"/>
      <c r="AC1520" s="24"/>
      <c r="AD1520" s="24"/>
      <c r="AE1520" s="24"/>
    </row>
    <row r="1521" spans="1:31" s="1" customFormat="1" ht="25.5" x14ac:dyDescent="0.25">
      <c r="A1521" s="25"/>
      <c r="B1521" s="26" t="s">
        <v>1582</v>
      </c>
      <c r="C1521" s="26"/>
      <c r="D1521" s="64" t="s">
        <v>1583</v>
      </c>
      <c r="E1521" s="28"/>
      <c r="F1521" s="28"/>
      <c r="G1521" s="28"/>
      <c r="H1521" s="28"/>
      <c r="I1521" s="28"/>
      <c r="J1521" s="28"/>
      <c r="K1521" s="28"/>
      <c r="L1521" s="28"/>
      <c r="M1521" s="28">
        <f>SUM(M1522:M1524)</f>
        <v>0</v>
      </c>
      <c r="N1521" s="28"/>
      <c r="O1521" s="40">
        <f t="shared" ref="O1521:AC1521" si="563">SUM(O1522:O1524)</f>
        <v>0</v>
      </c>
      <c r="P1521" s="28">
        <f t="shared" si="563"/>
        <v>0</v>
      </c>
      <c r="Q1521" s="28">
        <f t="shared" si="563"/>
        <v>0</v>
      </c>
      <c r="R1521" s="28">
        <f t="shared" si="563"/>
        <v>0</v>
      </c>
      <c r="S1521" s="28">
        <f t="shared" si="563"/>
        <v>0</v>
      </c>
      <c r="T1521" s="28"/>
      <c r="U1521" s="28">
        <f t="shared" si="563"/>
        <v>0</v>
      </c>
      <c r="V1521" s="28"/>
      <c r="W1521" s="28">
        <f t="shared" si="563"/>
        <v>0</v>
      </c>
      <c r="X1521" s="28"/>
      <c r="Y1521" s="28">
        <f t="shared" si="563"/>
        <v>0</v>
      </c>
      <c r="Z1521" s="28">
        <f t="shared" si="563"/>
        <v>0</v>
      </c>
      <c r="AA1521" s="28"/>
      <c r="AB1521" s="28">
        <f t="shared" si="563"/>
        <v>0</v>
      </c>
      <c r="AC1521" s="28">
        <f t="shared" si="563"/>
        <v>0</v>
      </c>
      <c r="AD1521" s="28"/>
      <c r="AE1521" s="28"/>
    </row>
    <row r="1522" spans="1:31" s="1" customFormat="1" x14ac:dyDescent="0.25">
      <c r="A1522" s="21"/>
      <c r="B1522" s="22"/>
      <c r="C1522" s="22"/>
      <c r="D1522" s="65"/>
      <c r="E1522" s="24"/>
      <c r="F1522" s="24"/>
      <c r="G1522" s="24"/>
      <c r="H1522" s="24"/>
      <c r="I1522" s="24"/>
      <c r="J1522" s="24"/>
      <c r="K1522" s="24"/>
      <c r="L1522" s="24"/>
      <c r="M1522" s="24"/>
      <c r="N1522" s="24"/>
      <c r="O1522" s="41">
        <f>AB1195</f>
        <v>0</v>
      </c>
      <c r="P1522" s="24"/>
      <c r="Q1522" s="24"/>
      <c r="R1522" s="24"/>
      <c r="S1522" s="24"/>
      <c r="T1522" s="24"/>
      <c r="U1522" s="24"/>
      <c r="V1522" s="24"/>
      <c r="W1522" s="24"/>
      <c r="X1522" s="24"/>
      <c r="Y1522" s="24"/>
      <c r="Z1522" s="24"/>
      <c r="AA1522" s="24"/>
      <c r="AB1522" s="24"/>
      <c r="AC1522" s="24"/>
      <c r="AD1522" s="24"/>
      <c r="AE1522" s="24"/>
    </row>
    <row r="1523" spans="1:31" s="1" customFormat="1" x14ac:dyDescent="0.25">
      <c r="A1523" s="21"/>
      <c r="B1523" s="22"/>
      <c r="C1523" s="22"/>
      <c r="D1523" s="65"/>
      <c r="E1523" s="24"/>
      <c r="F1523" s="24"/>
      <c r="G1523" s="24"/>
      <c r="H1523" s="24"/>
      <c r="I1523" s="24"/>
      <c r="J1523" s="24"/>
      <c r="K1523" s="24"/>
      <c r="L1523" s="24"/>
      <c r="M1523" s="24"/>
      <c r="N1523" s="24"/>
      <c r="O1523" s="41"/>
      <c r="P1523" s="24"/>
      <c r="Q1523" s="24"/>
      <c r="R1523" s="24"/>
      <c r="S1523" s="24"/>
      <c r="T1523" s="24"/>
      <c r="U1523" s="24"/>
      <c r="V1523" s="24"/>
      <c r="W1523" s="24"/>
      <c r="X1523" s="24"/>
      <c r="Y1523" s="24"/>
      <c r="Z1523" s="24"/>
      <c r="AA1523" s="24"/>
      <c r="AB1523" s="24"/>
      <c r="AC1523" s="24"/>
      <c r="AD1523" s="24"/>
      <c r="AE1523" s="24"/>
    </row>
    <row r="1524" spans="1:31" s="1" customFormat="1" x14ac:dyDescent="0.25">
      <c r="A1524" s="21"/>
      <c r="B1524" s="22"/>
      <c r="C1524" s="22"/>
      <c r="D1524" s="65"/>
      <c r="E1524" s="24"/>
      <c r="F1524" s="24"/>
      <c r="G1524" s="24"/>
      <c r="H1524" s="24"/>
      <c r="I1524" s="24"/>
      <c r="J1524" s="24"/>
      <c r="K1524" s="24"/>
      <c r="L1524" s="24"/>
      <c r="M1524" s="24"/>
      <c r="N1524" s="24"/>
      <c r="O1524" s="41"/>
      <c r="P1524" s="24"/>
      <c r="Q1524" s="24"/>
      <c r="R1524" s="24"/>
      <c r="S1524" s="24"/>
      <c r="T1524" s="24"/>
      <c r="U1524" s="24"/>
      <c r="V1524" s="24"/>
      <c r="W1524" s="24"/>
      <c r="X1524" s="24"/>
      <c r="Y1524" s="24"/>
      <c r="Z1524" s="24"/>
      <c r="AA1524" s="24"/>
      <c r="AB1524" s="24"/>
      <c r="AC1524" s="24"/>
      <c r="AD1524" s="24"/>
      <c r="AE1524" s="24"/>
    </row>
    <row r="1525" spans="1:31" s="1" customFormat="1" ht="38.25" x14ac:dyDescent="0.25">
      <c r="A1525" s="25"/>
      <c r="B1525" s="26" t="s">
        <v>1584</v>
      </c>
      <c r="C1525" s="26"/>
      <c r="D1525" s="64" t="s">
        <v>1585</v>
      </c>
      <c r="E1525" s="28"/>
      <c r="F1525" s="28"/>
      <c r="G1525" s="28"/>
      <c r="H1525" s="28"/>
      <c r="I1525" s="28"/>
      <c r="J1525" s="28"/>
      <c r="K1525" s="28"/>
      <c r="L1525" s="28"/>
      <c r="M1525" s="28">
        <f>SUM(M1526:M1528)</f>
        <v>0</v>
      </c>
      <c r="N1525" s="28"/>
      <c r="O1525" s="40">
        <f t="shared" ref="O1525:AC1525" si="564">SUM(O1526:O1528)</f>
        <v>66717968.647058822</v>
      </c>
      <c r="P1525" s="28">
        <f t="shared" si="564"/>
        <v>0</v>
      </c>
      <c r="Q1525" s="28">
        <f t="shared" si="564"/>
        <v>0</v>
      </c>
      <c r="R1525" s="28">
        <f t="shared" si="564"/>
        <v>0</v>
      </c>
      <c r="S1525" s="28">
        <f t="shared" si="564"/>
        <v>0</v>
      </c>
      <c r="T1525" s="28"/>
      <c r="U1525" s="28">
        <f t="shared" si="564"/>
        <v>0</v>
      </c>
      <c r="V1525" s="28"/>
      <c r="W1525" s="28">
        <f t="shared" si="564"/>
        <v>0</v>
      </c>
      <c r="X1525" s="28"/>
      <c r="Y1525" s="28">
        <f t="shared" si="564"/>
        <v>0</v>
      </c>
      <c r="Z1525" s="28">
        <f t="shared" si="564"/>
        <v>0</v>
      </c>
      <c r="AA1525" s="28"/>
      <c r="AB1525" s="28">
        <f t="shared" si="564"/>
        <v>0</v>
      </c>
      <c r="AC1525" s="28">
        <f t="shared" si="564"/>
        <v>0</v>
      </c>
      <c r="AD1525" s="28"/>
      <c r="AE1525" s="28"/>
    </row>
    <row r="1526" spans="1:31" s="1" customFormat="1" x14ac:dyDescent="0.25">
      <c r="A1526" s="21"/>
      <c r="B1526" s="22"/>
      <c r="C1526" s="22"/>
      <c r="D1526" s="65"/>
      <c r="E1526" s="24"/>
      <c r="F1526" s="24"/>
      <c r="G1526" s="24"/>
      <c r="H1526" s="24"/>
      <c r="I1526" s="24"/>
      <c r="J1526" s="24"/>
      <c r="K1526" s="24"/>
      <c r="L1526" s="24"/>
      <c r="M1526" s="24"/>
      <c r="N1526" s="24"/>
      <c r="O1526" s="41">
        <f>AB1210</f>
        <v>66717968.647058822</v>
      </c>
      <c r="P1526" s="24"/>
      <c r="Q1526" s="24"/>
      <c r="R1526" s="24"/>
      <c r="S1526" s="24"/>
      <c r="T1526" s="24"/>
      <c r="U1526" s="24"/>
      <c r="V1526" s="24"/>
      <c r="W1526" s="24"/>
      <c r="X1526" s="24"/>
      <c r="Y1526" s="24"/>
      <c r="Z1526" s="24"/>
      <c r="AA1526" s="24"/>
      <c r="AB1526" s="24"/>
      <c r="AC1526" s="24"/>
      <c r="AD1526" s="24"/>
      <c r="AE1526" s="24"/>
    </row>
    <row r="1527" spans="1:31" s="1" customFormat="1" x14ac:dyDescent="0.25">
      <c r="A1527" s="21"/>
      <c r="B1527" s="22"/>
      <c r="C1527" s="22"/>
      <c r="D1527" s="65"/>
      <c r="E1527" s="24"/>
      <c r="F1527" s="24"/>
      <c r="G1527" s="24"/>
      <c r="H1527" s="24"/>
      <c r="I1527" s="24"/>
      <c r="J1527" s="24"/>
      <c r="K1527" s="24"/>
      <c r="L1527" s="24"/>
      <c r="M1527" s="24"/>
      <c r="N1527" s="24"/>
      <c r="O1527" s="41"/>
      <c r="P1527" s="24"/>
      <c r="Q1527" s="24"/>
      <c r="R1527" s="24"/>
      <c r="S1527" s="24"/>
      <c r="T1527" s="24"/>
      <c r="U1527" s="24"/>
      <c r="V1527" s="24"/>
      <c r="W1527" s="24"/>
      <c r="X1527" s="24"/>
      <c r="Y1527" s="24"/>
      <c r="Z1527" s="24"/>
      <c r="AA1527" s="24"/>
      <c r="AB1527" s="24"/>
      <c r="AC1527" s="24"/>
      <c r="AD1527" s="24"/>
      <c r="AE1527" s="24"/>
    </row>
    <row r="1528" spans="1:31" s="1" customFormat="1" x14ac:dyDescent="0.25">
      <c r="A1528" s="21"/>
      <c r="B1528" s="22"/>
      <c r="C1528" s="22"/>
      <c r="D1528" s="65"/>
      <c r="E1528" s="24"/>
      <c r="F1528" s="24"/>
      <c r="G1528" s="24"/>
      <c r="H1528" s="24"/>
      <c r="I1528" s="24"/>
      <c r="J1528" s="24"/>
      <c r="K1528" s="24"/>
      <c r="L1528" s="24"/>
      <c r="M1528" s="24"/>
      <c r="N1528" s="24"/>
      <c r="O1528" s="41"/>
      <c r="P1528" s="24"/>
      <c r="Q1528" s="24"/>
      <c r="R1528" s="24"/>
      <c r="S1528" s="24"/>
      <c r="T1528" s="24"/>
      <c r="U1528" s="24"/>
      <c r="V1528" s="24"/>
      <c r="W1528" s="24"/>
      <c r="X1528" s="24"/>
      <c r="Y1528" s="24"/>
      <c r="Z1528" s="24"/>
      <c r="AA1528" s="24"/>
      <c r="AB1528" s="24"/>
      <c r="AC1528" s="24"/>
      <c r="AD1528" s="24"/>
      <c r="AE1528" s="24"/>
    </row>
    <row r="1529" spans="1:31" s="1" customFormat="1" ht="25.5" x14ac:dyDescent="0.25">
      <c r="A1529" s="25"/>
      <c r="B1529" s="26" t="s">
        <v>1586</v>
      </c>
      <c r="C1529" s="26"/>
      <c r="D1529" s="64" t="s">
        <v>1587</v>
      </c>
      <c r="E1529" s="28"/>
      <c r="F1529" s="28"/>
      <c r="G1529" s="28"/>
      <c r="H1529" s="28"/>
      <c r="I1529" s="28"/>
      <c r="J1529" s="28"/>
      <c r="K1529" s="28"/>
      <c r="L1529" s="28"/>
      <c r="M1529" s="28">
        <f>SUM(M1530:M1532)</f>
        <v>0</v>
      </c>
      <c r="N1529" s="28"/>
      <c r="O1529" s="40">
        <f t="shared" ref="O1529:AC1529" si="565">SUM(O1530:O1532)</f>
        <v>282573281.25</v>
      </c>
      <c r="P1529" s="28">
        <f t="shared" si="565"/>
        <v>0</v>
      </c>
      <c r="Q1529" s="28">
        <f t="shared" si="565"/>
        <v>0</v>
      </c>
      <c r="R1529" s="28">
        <f t="shared" si="565"/>
        <v>0</v>
      </c>
      <c r="S1529" s="28">
        <f t="shared" si="565"/>
        <v>0</v>
      </c>
      <c r="T1529" s="28"/>
      <c r="U1529" s="28">
        <f t="shared" si="565"/>
        <v>0</v>
      </c>
      <c r="V1529" s="28"/>
      <c r="W1529" s="28">
        <f t="shared" si="565"/>
        <v>0</v>
      </c>
      <c r="X1529" s="28"/>
      <c r="Y1529" s="28">
        <f t="shared" si="565"/>
        <v>0</v>
      </c>
      <c r="Z1529" s="28">
        <f t="shared" si="565"/>
        <v>0</v>
      </c>
      <c r="AA1529" s="28"/>
      <c r="AB1529" s="28">
        <f t="shared" si="565"/>
        <v>0</v>
      </c>
      <c r="AC1529" s="28">
        <f t="shared" si="565"/>
        <v>0</v>
      </c>
      <c r="AD1529" s="28"/>
      <c r="AE1529" s="28"/>
    </row>
    <row r="1530" spans="1:31" s="1" customFormat="1" x14ac:dyDescent="0.25">
      <c r="A1530" s="21"/>
      <c r="B1530" s="22"/>
      <c r="C1530" s="22"/>
      <c r="D1530" s="65"/>
      <c r="E1530" s="24"/>
      <c r="F1530" s="24"/>
      <c r="G1530" s="24"/>
      <c r="H1530" s="24"/>
      <c r="I1530" s="24"/>
      <c r="J1530" s="24"/>
      <c r="K1530" s="24"/>
      <c r="L1530" s="24"/>
      <c r="M1530" s="24"/>
      <c r="N1530" s="24"/>
      <c r="O1530" s="41">
        <f>AB1259</f>
        <v>282573281.25</v>
      </c>
      <c r="P1530" s="24"/>
      <c r="Q1530" s="24"/>
      <c r="R1530" s="24"/>
      <c r="S1530" s="24"/>
      <c r="T1530" s="24"/>
      <c r="U1530" s="24"/>
      <c r="V1530" s="24"/>
      <c r="W1530" s="24"/>
      <c r="X1530" s="24"/>
      <c r="Y1530" s="24"/>
      <c r="Z1530" s="24"/>
      <c r="AA1530" s="24"/>
      <c r="AB1530" s="24"/>
      <c r="AC1530" s="24"/>
      <c r="AD1530" s="24"/>
      <c r="AE1530" s="24"/>
    </row>
    <row r="1531" spans="1:31" s="1" customFormat="1" x14ac:dyDescent="0.25">
      <c r="A1531" s="21"/>
      <c r="B1531" s="22"/>
      <c r="C1531" s="22"/>
      <c r="D1531" s="65"/>
      <c r="E1531" s="24"/>
      <c r="F1531" s="24"/>
      <c r="G1531" s="24"/>
      <c r="H1531" s="24"/>
      <c r="I1531" s="24"/>
      <c r="J1531" s="24"/>
      <c r="K1531" s="24"/>
      <c r="L1531" s="24"/>
      <c r="M1531" s="24"/>
      <c r="N1531" s="24"/>
      <c r="O1531" s="41"/>
      <c r="P1531" s="24"/>
      <c r="Q1531" s="24"/>
      <c r="R1531" s="24"/>
      <c r="S1531" s="24"/>
      <c r="T1531" s="24"/>
      <c r="U1531" s="24"/>
      <c r="V1531" s="24"/>
      <c r="W1531" s="24"/>
      <c r="X1531" s="24"/>
      <c r="Y1531" s="24"/>
      <c r="Z1531" s="24"/>
      <c r="AA1531" s="24"/>
      <c r="AB1531" s="24"/>
      <c r="AC1531" s="24"/>
      <c r="AD1531" s="24"/>
      <c r="AE1531" s="24"/>
    </row>
    <row r="1532" spans="1:31" s="1" customFormat="1" x14ac:dyDescent="0.25">
      <c r="A1532" s="21"/>
      <c r="B1532" s="22"/>
      <c r="C1532" s="22"/>
      <c r="D1532" s="65"/>
      <c r="E1532" s="24"/>
      <c r="F1532" s="24"/>
      <c r="G1532" s="24"/>
      <c r="H1532" s="24"/>
      <c r="I1532" s="24"/>
      <c r="J1532" s="24"/>
      <c r="K1532" s="24"/>
      <c r="L1532" s="24"/>
      <c r="M1532" s="24"/>
      <c r="N1532" s="24"/>
      <c r="O1532" s="41"/>
      <c r="P1532" s="24"/>
      <c r="Q1532" s="24"/>
      <c r="R1532" s="24"/>
      <c r="S1532" s="24"/>
      <c r="T1532" s="24"/>
      <c r="U1532" s="24"/>
      <c r="V1532" s="24"/>
      <c r="W1532" s="24"/>
      <c r="X1532" s="24"/>
      <c r="Y1532" s="24"/>
      <c r="Z1532" s="24"/>
      <c r="AA1532" s="24"/>
      <c r="AB1532" s="24"/>
      <c r="AC1532" s="24"/>
      <c r="AD1532" s="24"/>
      <c r="AE1532" s="24"/>
    </row>
    <row r="1533" spans="1:31" s="1" customFormat="1" ht="25.5" x14ac:dyDescent="0.25">
      <c r="A1533" s="17"/>
      <c r="B1533" s="18" t="s">
        <v>1588</v>
      </c>
      <c r="C1533" s="18"/>
      <c r="D1533" s="84" t="s">
        <v>1589</v>
      </c>
      <c r="E1533" s="20"/>
      <c r="F1533" s="20"/>
      <c r="G1533" s="20"/>
      <c r="H1533" s="20"/>
      <c r="I1533" s="20"/>
      <c r="J1533" s="20"/>
      <c r="K1533" s="20"/>
      <c r="L1533" s="20"/>
      <c r="M1533" s="20">
        <f>M1534</f>
        <v>0</v>
      </c>
      <c r="N1533" s="20"/>
      <c r="O1533" s="37">
        <f t="shared" ref="O1533:AC1533" si="566">O1534</f>
        <v>0</v>
      </c>
      <c r="P1533" s="20">
        <f t="shared" si="566"/>
        <v>0</v>
      </c>
      <c r="Q1533" s="20">
        <f t="shared" si="566"/>
        <v>0</v>
      </c>
      <c r="R1533" s="20">
        <f t="shared" si="566"/>
        <v>0</v>
      </c>
      <c r="S1533" s="20">
        <f t="shared" si="566"/>
        <v>0</v>
      </c>
      <c r="T1533" s="20"/>
      <c r="U1533" s="20">
        <f t="shared" si="566"/>
        <v>0</v>
      </c>
      <c r="V1533" s="20"/>
      <c r="W1533" s="20">
        <f t="shared" si="566"/>
        <v>0</v>
      </c>
      <c r="X1533" s="20"/>
      <c r="Y1533" s="20">
        <f t="shared" si="566"/>
        <v>0</v>
      </c>
      <c r="Z1533" s="20">
        <f t="shared" si="566"/>
        <v>0</v>
      </c>
      <c r="AA1533" s="20"/>
      <c r="AB1533" s="20">
        <f t="shared" si="566"/>
        <v>0</v>
      </c>
      <c r="AC1533" s="20">
        <f t="shared" si="566"/>
        <v>0</v>
      </c>
      <c r="AD1533" s="20"/>
      <c r="AE1533" s="20"/>
    </row>
    <row r="1534" spans="1:31" s="1" customFormat="1" ht="25.5" x14ac:dyDescent="0.25">
      <c r="A1534" s="25"/>
      <c r="B1534" s="26" t="s">
        <v>1590</v>
      </c>
      <c r="C1534" s="26"/>
      <c r="D1534" s="64" t="s">
        <v>1589</v>
      </c>
      <c r="E1534" s="28"/>
      <c r="F1534" s="28"/>
      <c r="G1534" s="28"/>
      <c r="H1534" s="28"/>
      <c r="I1534" s="28"/>
      <c r="J1534" s="28"/>
      <c r="K1534" s="28"/>
      <c r="L1534" s="28"/>
      <c r="M1534" s="28">
        <f>SUM(M1535:M1537)</f>
        <v>0</v>
      </c>
      <c r="N1534" s="28"/>
      <c r="O1534" s="40">
        <f t="shared" ref="O1534:AC1534" si="567">SUM(O1535:O1537)</f>
        <v>0</v>
      </c>
      <c r="P1534" s="28">
        <f t="shared" si="567"/>
        <v>0</v>
      </c>
      <c r="Q1534" s="28">
        <f t="shared" si="567"/>
        <v>0</v>
      </c>
      <c r="R1534" s="28">
        <f t="shared" si="567"/>
        <v>0</v>
      </c>
      <c r="S1534" s="28">
        <f t="shared" si="567"/>
        <v>0</v>
      </c>
      <c r="T1534" s="28"/>
      <c r="U1534" s="28">
        <f t="shared" si="567"/>
        <v>0</v>
      </c>
      <c r="V1534" s="28"/>
      <c r="W1534" s="28">
        <f t="shared" si="567"/>
        <v>0</v>
      </c>
      <c r="X1534" s="28"/>
      <c r="Y1534" s="28">
        <f t="shared" si="567"/>
        <v>0</v>
      </c>
      <c r="Z1534" s="28">
        <f t="shared" si="567"/>
        <v>0</v>
      </c>
      <c r="AA1534" s="28"/>
      <c r="AB1534" s="28">
        <f t="shared" si="567"/>
        <v>0</v>
      </c>
      <c r="AC1534" s="28">
        <f t="shared" si="567"/>
        <v>0</v>
      </c>
      <c r="AD1534" s="28"/>
      <c r="AE1534" s="28"/>
    </row>
    <row r="1535" spans="1:31" s="1" customFormat="1" x14ac:dyDescent="0.25">
      <c r="A1535" s="21"/>
      <c r="B1535" s="22"/>
      <c r="C1535" s="22"/>
      <c r="D1535" s="65"/>
      <c r="E1535" s="24"/>
      <c r="F1535" s="24"/>
      <c r="G1535" s="24"/>
      <c r="H1535" s="24"/>
      <c r="I1535" s="24"/>
      <c r="J1535" s="24"/>
      <c r="K1535" s="24"/>
      <c r="L1535" s="24"/>
      <c r="M1535" s="24"/>
      <c r="N1535" s="24"/>
      <c r="O1535" s="41">
        <f>AB1284</f>
        <v>0</v>
      </c>
      <c r="P1535" s="24"/>
      <c r="Q1535" s="24"/>
      <c r="R1535" s="24"/>
      <c r="S1535" s="24"/>
      <c r="T1535" s="24"/>
      <c r="U1535" s="24"/>
      <c r="V1535" s="24"/>
      <c r="W1535" s="24"/>
      <c r="X1535" s="24"/>
      <c r="Y1535" s="24"/>
      <c r="Z1535" s="24"/>
      <c r="AA1535" s="24"/>
      <c r="AB1535" s="24"/>
      <c r="AC1535" s="24"/>
      <c r="AD1535" s="24"/>
      <c r="AE1535" s="24"/>
    </row>
    <row r="1536" spans="1:31" s="1" customFormat="1" x14ac:dyDescent="0.25">
      <c r="A1536" s="21"/>
      <c r="B1536" s="22"/>
      <c r="C1536" s="22"/>
      <c r="D1536" s="65"/>
      <c r="E1536" s="24"/>
      <c r="F1536" s="24"/>
      <c r="G1536" s="24"/>
      <c r="H1536" s="24"/>
      <c r="I1536" s="24"/>
      <c r="J1536" s="24"/>
      <c r="K1536" s="24"/>
      <c r="L1536" s="24"/>
      <c r="M1536" s="24"/>
      <c r="N1536" s="24"/>
      <c r="O1536" s="41"/>
      <c r="P1536" s="24"/>
      <c r="Q1536" s="24"/>
      <c r="R1536" s="24"/>
      <c r="S1536" s="24"/>
      <c r="T1536" s="24"/>
      <c r="U1536" s="24"/>
      <c r="V1536" s="24"/>
      <c r="W1536" s="24"/>
      <c r="X1536" s="24"/>
      <c r="Y1536" s="24"/>
      <c r="Z1536" s="24"/>
      <c r="AA1536" s="24"/>
      <c r="AB1536" s="24"/>
      <c r="AC1536" s="24"/>
      <c r="AD1536" s="24"/>
      <c r="AE1536" s="24"/>
    </row>
    <row r="1537" spans="1:34" s="1" customFormat="1" x14ac:dyDescent="0.25">
      <c r="A1537" s="21"/>
      <c r="B1537" s="22"/>
      <c r="C1537" s="22"/>
      <c r="D1537" s="65"/>
      <c r="E1537" s="24"/>
      <c r="F1537" s="24"/>
      <c r="G1537" s="24"/>
      <c r="H1537" s="24"/>
      <c r="I1537" s="24"/>
      <c r="J1537" s="24"/>
      <c r="K1537" s="24"/>
      <c r="L1537" s="24"/>
      <c r="M1537" s="24"/>
      <c r="N1537" s="24"/>
      <c r="O1537" s="41"/>
      <c r="P1537" s="24"/>
      <c r="Q1537" s="24"/>
      <c r="R1537" s="24"/>
      <c r="S1537" s="24"/>
      <c r="T1537" s="24"/>
      <c r="U1537" s="24"/>
      <c r="V1537" s="24"/>
      <c r="W1537" s="24"/>
      <c r="X1537" s="24"/>
      <c r="Y1537" s="24"/>
      <c r="Z1537" s="24"/>
      <c r="AA1537" s="24"/>
      <c r="AB1537" s="24"/>
      <c r="AC1537" s="24"/>
      <c r="AD1537" s="24"/>
      <c r="AE1537" s="24"/>
    </row>
    <row r="1538" spans="1:34" s="110" customFormat="1" ht="33" customHeight="1" x14ac:dyDescent="0.25">
      <c r="A1538" s="105"/>
      <c r="B1538" s="106" t="s">
        <v>1591</v>
      </c>
      <c r="C1538" s="106"/>
      <c r="D1538" s="107" t="s">
        <v>1592</v>
      </c>
      <c r="E1538" s="108"/>
      <c r="F1538" s="108"/>
      <c r="G1538" s="108"/>
      <c r="H1538" s="108"/>
      <c r="I1538" s="108"/>
      <c r="J1538" s="108"/>
      <c r="K1538" s="108"/>
      <c r="L1538" s="108"/>
      <c r="M1538" s="108">
        <f>M1539+M1545+M1551+M1559+M1565</f>
        <v>4</v>
      </c>
      <c r="N1538" s="108"/>
      <c r="O1538" s="109">
        <f>O1539+O1545+O1551+O1559+O1565</f>
        <v>50400000</v>
      </c>
      <c r="P1538" s="108">
        <f>P1539+P1545+P1551+P1559+P1565</f>
        <v>0</v>
      </c>
      <c r="Q1538" s="108">
        <f>Q1539+Q1545+Q1551+Q1559+Q1565</f>
        <v>0</v>
      </c>
      <c r="R1538" s="108">
        <f>R1539+R1545+R1551+R1559+R1565</f>
        <v>0</v>
      </c>
      <c r="S1538" s="108">
        <f>S1539+S1545+S1551+S1559+S1565</f>
        <v>25200000</v>
      </c>
      <c r="T1538" s="108"/>
      <c r="U1538" s="108">
        <f>U1539+U1545+U1551+U1559+U1565</f>
        <v>0</v>
      </c>
      <c r="V1538" s="108"/>
      <c r="W1538" s="108">
        <f>W1539+W1545+W1551+W1559+W1565</f>
        <v>0</v>
      </c>
      <c r="X1538" s="108"/>
      <c r="Y1538" s="108">
        <f>Y1539+Y1545+Y1551+Y1559+Y1565</f>
        <v>0</v>
      </c>
      <c r="Z1538" s="108">
        <f>Z1539+Z1545+Z1551+Z1559+Z1565</f>
        <v>0</v>
      </c>
      <c r="AA1538" s="108"/>
      <c r="AB1538" s="109">
        <f>AB1539+AB1545+AB1551+AB1559+AB1565</f>
        <v>25200000</v>
      </c>
      <c r="AC1538" s="108">
        <f>AC1539+AC1545+AC1551+AC1559+AC1565</f>
        <v>25200000</v>
      </c>
      <c r="AD1538" s="108"/>
      <c r="AE1538" s="108"/>
      <c r="AH1538" s="1"/>
    </row>
    <row r="1539" spans="1:34" s="16" customFormat="1" ht="27.75" customHeight="1" x14ac:dyDescent="0.25">
      <c r="A1539" s="29"/>
      <c r="B1539" s="30" t="s">
        <v>1593</v>
      </c>
      <c r="C1539" s="30"/>
      <c r="D1539" s="89" t="s">
        <v>1594</v>
      </c>
      <c r="E1539" s="32"/>
      <c r="F1539" s="32"/>
      <c r="G1539" s="32"/>
      <c r="H1539" s="32"/>
      <c r="I1539" s="32"/>
      <c r="J1539" s="32"/>
      <c r="K1539" s="32"/>
      <c r="L1539" s="32"/>
      <c r="M1539" s="32">
        <f>M1540</f>
        <v>0</v>
      </c>
      <c r="N1539" s="32"/>
      <c r="O1539" s="34">
        <f t="shared" ref="O1539:AC1540" si="568">O1540</f>
        <v>0</v>
      </c>
      <c r="P1539" s="32">
        <f t="shared" si="568"/>
        <v>0</v>
      </c>
      <c r="Q1539" s="32">
        <f t="shared" si="568"/>
        <v>0</v>
      </c>
      <c r="R1539" s="32">
        <f t="shared" si="568"/>
        <v>0</v>
      </c>
      <c r="S1539" s="32">
        <f t="shared" si="568"/>
        <v>0</v>
      </c>
      <c r="T1539" s="32"/>
      <c r="U1539" s="32">
        <f t="shared" si="568"/>
        <v>0</v>
      </c>
      <c r="V1539" s="32"/>
      <c r="W1539" s="32">
        <f t="shared" si="568"/>
        <v>0</v>
      </c>
      <c r="X1539" s="32"/>
      <c r="Y1539" s="32">
        <f t="shared" si="568"/>
        <v>0</v>
      </c>
      <c r="Z1539" s="32">
        <f t="shared" si="568"/>
        <v>0</v>
      </c>
      <c r="AA1539" s="32"/>
      <c r="AB1539" s="32">
        <f t="shared" si="568"/>
        <v>0</v>
      </c>
      <c r="AC1539" s="32">
        <f t="shared" si="568"/>
        <v>0</v>
      </c>
      <c r="AD1539" s="32"/>
      <c r="AE1539" s="32"/>
      <c r="AH1539" s="1"/>
    </row>
    <row r="1540" spans="1:34" s="1" customFormat="1" x14ac:dyDescent="0.25">
      <c r="A1540" s="17"/>
      <c r="B1540" s="18" t="s">
        <v>1595</v>
      </c>
      <c r="C1540" s="18"/>
      <c r="D1540" s="84" t="s">
        <v>1594</v>
      </c>
      <c r="E1540" s="20"/>
      <c r="F1540" s="20"/>
      <c r="G1540" s="20"/>
      <c r="H1540" s="20"/>
      <c r="I1540" s="20"/>
      <c r="J1540" s="20"/>
      <c r="K1540" s="20"/>
      <c r="L1540" s="20"/>
      <c r="M1540" s="20">
        <f>M1541</f>
        <v>0</v>
      </c>
      <c r="N1540" s="20"/>
      <c r="O1540" s="37">
        <f t="shared" si="568"/>
        <v>0</v>
      </c>
      <c r="P1540" s="20">
        <f t="shared" si="568"/>
        <v>0</v>
      </c>
      <c r="Q1540" s="20">
        <f t="shared" si="568"/>
        <v>0</v>
      </c>
      <c r="R1540" s="20">
        <f t="shared" si="568"/>
        <v>0</v>
      </c>
      <c r="S1540" s="20">
        <f t="shared" si="568"/>
        <v>0</v>
      </c>
      <c r="T1540" s="20"/>
      <c r="U1540" s="20">
        <f t="shared" si="568"/>
        <v>0</v>
      </c>
      <c r="V1540" s="20"/>
      <c r="W1540" s="20">
        <f t="shared" si="568"/>
        <v>0</v>
      </c>
      <c r="X1540" s="20"/>
      <c r="Y1540" s="20">
        <f t="shared" si="568"/>
        <v>0</v>
      </c>
      <c r="Z1540" s="20">
        <f t="shared" si="568"/>
        <v>0</v>
      </c>
      <c r="AA1540" s="20"/>
      <c r="AB1540" s="20">
        <f t="shared" si="568"/>
        <v>0</v>
      </c>
      <c r="AC1540" s="20">
        <f t="shared" si="568"/>
        <v>0</v>
      </c>
      <c r="AD1540" s="20"/>
      <c r="AE1540" s="20"/>
      <c r="AH1540" s="110"/>
    </row>
    <row r="1541" spans="1:34" s="1" customFormat="1" x14ac:dyDescent="0.25">
      <c r="A1541" s="25"/>
      <c r="B1541" s="26" t="s">
        <v>1596</v>
      </c>
      <c r="C1541" s="26"/>
      <c r="D1541" s="64" t="s">
        <v>1594</v>
      </c>
      <c r="E1541" s="28"/>
      <c r="F1541" s="28"/>
      <c r="G1541" s="28"/>
      <c r="H1541" s="28"/>
      <c r="I1541" s="28"/>
      <c r="J1541" s="28"/>
      <c r="K1541" s="28"/>
      <c r="L1541" s="28"/>
      <c r="M1541" s="28">
        <f>SUM(M1542:M1544)</f>
        <v>0</v>
      </c>
      <c r="N1541" s="28"/>
      <c r="O1541" s="40">
        <f t="shared" ref="O1541:AC1541" si="569">SUM(O1542:O1544)</f>
        <v>0</v>
      </c>
      <c r="P1541" s="28">
        <f t="shared" si="569"/>
        <v>0</v>
      </c>
      <c r="Q1541" s="28">
        <f t="shared" si="569"/>
        <v>0</v>
      </c>
      <c r="R1541" s="28">
        <f t="shared" si="569"/>
        <v>0</v>
      </c>
      <c r="S1541" s="28">
        <f t="shared" si="569"/>
        <v>0</v>
      </c>
      <c r="T1541" s="28"/>
      <c r="U1541" s="28">
        <f t="shared" si="569"/>
        <v>0</v>
      </c>
      <c r="V1541" s="28"/>
      <c r="W1541" s="28">
        <f t="shared" si="569"/>
        <v>0</v>
      </c>
      <c r="X1541" s="28"/>
      <c r="Y1541" s="28">
        <f t="shared" si="569"/>
        <v>0</v>
      </c>
      <c r="Z1541" s="28">
        <f t="shared" si="569"/>
        <v>0</v>
      </c>
      <c r="AA1541" s="28"/>
      <c r="AB1541" s="28">
        <f t="shared" si="569"/>
        <v>0</v>
      </c>
      <c r="AC1541" s="28">
        <f t="shared" si="569"/>
        <v>0</v>
      </c>
      <c r="AD1541" s="28"/>
      <c r="AE1541" s="28"/>
      <c r="AH1541" s="16"/>
    </row>
    <row r="1542" spans="1:34" s="1" customFormat="1" x14ac:dyDescent="0.25">
      <c r="A1542" s="21"/>
      <c r="B1542" s="22"/>
      <c r="C1542" s="22"/>
      <c r="D1542" s="65"/>
      <c r="E1542" s="24"/>
      <c r="F1542" s="24"/>
      <c r="G1542" s="24"/>
      <c r="H1542" s="24"/>
      <c r="I1542" s="24"/>
      <c r="J1542" s="24"/>
      <c r="K1542" s="24"/>
      <c r="L1542" s="24"/>
      <c r="M1542" s="24"/>
      <c r="N1542" s="24"/>
      <c r="O1542" s="41"/>
      <c r="P1542" s="24"/>
      <c r="Q1542" s="24"/>
      <c r="R1542" s="24"/>
      <c r="S1542" s="24"/>
      <c r="T1542" s="24"/>
      <c r="U1542" s="24"/>
      <c r="V1542" s="24"/>
      <c r="W1542" s="24"/>
      <c r="X1542" s="24"/>
      <c r="Y1542" s="24"/>
      <c r="Z1542" s="24"/>
      <c r="AA1542" s="24"/>
      <c r="AB1542" s="24"/>
      <c r="AC1542" s="24"/>
      <c r="AD1542" s="24"/>
      <c r="AE1542" s="24"/>
    </row>
    <row r="1543" spans="1:34" s="1" customFormat="1" x14ac:dyDescent="0.25">
      <c r="A1543" s="21"/>
      <c r="B1543" s="22"/>
      <c r="C1543" s="22"/>
      <c r="D1543" s="65"/>
      <c r="E1543" s="24"/>
      <c r="F1543" s="24"/>
      <c r="G1543" s="24"/>
      <c r="H1543" s="24"/>
      <c r="I1543" s="24"/>
      <c r="J1543" s="24"/>
      <c r="K1543" s="24"/>
      <c r="L1543" s="24"/>
      <c r="M1543" s="24"/>
      <c r="N1543" s="24"/>
      <c r="O1543" s="41"/>
      <c r="P1543" s="24"/>
      <c r="Q1543" s="24"/>
      <c r="R1543" s="24"/>
      <c r="S1543" s="24"/>
      <c r="T1543" s="24"/>
      <c r="U1543" s="24"/>
      <c r="V1543" s="24"/>
      <c r="W1543" s="24"/>
      <c r="X1543" s="24"/>
      <c r="Y1543" s="24"/>
      <c r="Z1543" s="24"/>
      <c r="AA1543" s="24"/>
      <c r="AB1543" s="24"/>
      <c r="AC1543" s="24"/>
      <c r="AD1543" s="24"/>
      <c r="AE1543" s="24"/>
    </row>
    <row r="1544" spans="1:34" s="1" customFormat="1" x14ac:dyDescent="0.25">
      <c r="A1544" s="21"/>
      <c r="B1544" s="22"/>
      <c r="C1544" s="22"/>
      <c r="D1544" s="65"/>
      <c r="E1544" s="24"/>
      <c r="F1544" s="24"/>
      <c r="G1544" s="24"/>
      <c r="H1544" s="24"/>
      <c r="I1544" s="24"/>
      <c r="J1544" s="24"/>
      <c r="K1544" s="24"/>
      <c r="L1544" s="24"/>
      <c r="M1544" s="24"/>
      <c r="N1544" s="24"/>
      <c r="O1544" s="41"/>
      <c r="P1544" s="24"/>
      <c r="Q1544" s="24"/>
      <c r="R1544" s="24"/>
      <c r="S1544" s="24"/>
      <c r="T1544" s="24"/>
      <c r="U1544" s="24"/>
      <c r="V1544" s="24"/>
      <c r="W1544" s="24"/>
      <c r="X1544" s="24"/>
      <c r="Y1544" s="24"/>
      <c r="Z1544" s="24"/>
      <c r="AA1544" s="24"/>
      <c r="AB1544" s="24"/>
      <c r="AC1544" s="24"/>
      <c r="AD1544" s="24"/>
      <c r="AE1544" s="24"/>
    </row>
    <row r="1545" spans="1:34" s="115" customFormat="1" ht="27.75" customHeight="1" x14ac:dyDescent="0.25">
      <c r="A1545" s="111"/>
      <c r="B1545" s="30" t="s">
        <v>1597</v>
      </c>
      <c r="C1545" s="112"/>
      <c r="D1545" s="89" t="s">
        <v>1598</v>
      </c>
      <c r="E1545" s="113"/>
      <c r="F1545" s="113"/>
      <c r="G1545" s="113"/>
      <c r="H1545" s="113"/>
      <c r="I1545" s="113"/>
      <c r="J1545" s="113"/>
      <c r="K1545" s="113"/>
      <c r="L1545" s="113"/>
      <c r="M1545" s="113">
        <f>M1546</f>
        <v>0</v>
      </c>
      <c r="N1545" s="113"/>
      <c r="O1545" s="114">
        <f t="shared" ref="O1545:AC1546" si="570">O1546</f>
        <v>0</v>
      </c>
      <c r="P1545" s="113">
        <f t="shared" si="570"/>
        <v>0</v>
      </c>
      <c r="Q1545" s="113">
        <f t="shared" si="570"/>
        <v>0</v>
      </c>
      <c r="R1545" s="113">
        <f t="shared" si="570"/>
        <v>0</v>
      </c>
      <c r="S1545" s="113">
        <f t="shared" si="570"/>
        <v>0</v>
      </c>
      <c r="T1545" s="113"/>
      <c r="U1545" s="113">
        <f t="shared" si="570"/>
        <v>0</v>
      </c>
      <c r="V1545" s="113"/>
      <c r="W1545" s="113">
        <f t="shared" si="570"/>
        <v>0</v>
      </c>
      <c r="X1545" s="113"/>
      <c r="Y1545" s="113">
        <f t="shared" si="570"/>
        <v>0</v>
      </c>
      <c r="Z1545" s="113">
        <f t="shared" si="570"/>
        <v>0</v>
      </c>
      <c r="AA1545" s="113"/>
      <c r="AB1545" s="113">
        <f t="shared" si="570"/>
        <v>0</v>
      </c>
      <c r="AC1545" s="113">
        <f t="shared" si="570"/>
        <v>0</v>
      </c>
      <c r="AD1545" s="113"/>
      <c r="AE1545" s="113"/>
      <c r="AH1545" s="1"/>
    </row>
    <row r="1546" spans="1:34" s="1" customFormat="1" x14ac:dyDescent="0.25">
      <c r="A1546" s="17"/>
      <c r="B1546" s="18" t="s">
        <v>1599</v>
      </c>
      <c r="C1546" s="18"/>
      <c r="D1546" s="84" t="s">
        <v>1598</v>
      </c>
      <c r="E1546" s="20"/>
      <c r="F1546" s="20"/>
      <c r="G1546" s="20"/>
      <c r="H1546" s="20"/>
      <c r="I1546" s="20"/>
      <c r="J1546" s="20"/>
      <c r="K1546" s="20"/>
      <c r="L1546" s="20"/>
      <c r="M1546" s="20">
        <f>M1547</f>
        <v>0</v>
      </c>
      <c r="N1546" s="20"/>
      <c r="O1546" s="37">
        <f t="shared" si="570"/>
        <v>0</v>
      </c>
      <c r="P1546" s="20">
        <f t="shared" si="570"/>
        <v>0</v>
      </c>
      <c r="Q1546" s="20">
        <f t="shared" si="570"/>
        <v>0</v>
      </c>
      <c r="R1546" s="20">
        <f t="shared" si="570"/>
        <v>0</v>
      </c>
      <c r="S1546" s="20">
        <f t="shared" si="570"/>
        <v>0</v>
      </c>
      <c r="T1546" s="20"/>
      <c r="U1546" s="20">
        <f t="shared" si="570"/>
        <v>0</v>
      </c>
      <c r="V1546" s="20"/>
      <c r="W1546" s="20">
        <f t="shared" si="570"/>
        <v>0</v>
      </c>
      <c r="X1546" s="20"/>
      <c r="Y1546" s="20">
        <f t="shared" si="570"/>
        <v>0</v>
      </c>
      <c r="Z1546" s="20">
        <f t="shared" si="570"/>
        <v>0</v>
      </c>
      <c r="AA1546" s="20"/>
      <c r="AB1546" s="20">
        <f t="shared" si="570"/>
        <v>0</v>
      </c>
      <c r="AC1546" s="20">
        <f t="shared" si="570"/>
        <v>0</v>
      </c>
      <c r="AD1546" s="20"/>
      <c r="AE1546" s="20"/>
    </row>
    <row r="1547" spans="1:34" s="1" customFormat="1" x14ac:dyDescent="0.25">
      <c r="A1547" s="25"/>
      <c r="B1547" s="26" t="s">
        <v>1600</v>
      </c>
      <c r="C1547" s="26"/>
      <c r="D1547" s="64" t="s">
        <v>1598</v>
      </c>
      <c r="E1547" s="28"/>
      <c r="F1547" s="28"/>
      <c r="G1547" s="28"/>
      <c r="H1547" s="28"/>
      <c r="I1547" s="28"/>
      <c r="J1547" s="28"/>
      <c r="K1547" s="28"/>
      <c r="L1547" s="28"/>
      <c r="M1547" s="28">
        <f>SUM(M1548:M1549)</f>
        <v>0</v>
      </c>
      <c r="N1547" s="28"/>
      <c r="O1547" s="40">
        <f t="shared" ref="O1547:AC1547" si="571">SUM(O1548:O1549)</f>
        <v>0</v>
      </c>
      <c r="P1547" s="28">
        <f t="shared" si="571"/>
        <v>0</v>
      </c>
      <c r="Q1547" s="28">
        <f t="shared" si="571"/>
        <v>0</v>
      </c>
      <c r="R1547" s="28">
        <f t="shared" si="571"/>
        <v>0</v>
      </c>
      <c r="S1547" s="28">
        <f t="shared" si="571"/>
        <v>0</v>
      </c>
      <c r="T1547" s="28"/>
      <c r="U1547" s="28">
        <f t="shared" si="571"/>
        <v>0</v>
      </c>
      <c r="V1547" s="28"/>
      <c r="W1547" s="28">
        <f t="shared" si="571"/>
        <v>0</v>
      </c>
      <c r="X1547" s="28"/>
      <c r="Y1547" s="28">
        <f t="shared" si="571"/>
        <v>0</v>
      </c>
      <c r="Z1547" s="28">
        <f t="shared" si="571"/>
        <v>0</v>
      </c>
      <c r="AA1547" s="28"/>
      <c r="AB1547" s="28">
        <f t="shared" si="571"/>
        <v>0</v>
      </c>
      <c r="AC1547" s="28">
        <f t="shared" si="571"/>
        <v>0</v>
      </c>
      <c r="AD1547" s="28"/>
      <c r="AE1547" s="28"/>
      <c r="AH1547" s="115"/>
    </row>
    <row r="1548" spans="1:34" s="1" customFormat="1" x14ac:dyDescent="0.25">
      <c r="A1548" s="21"/>
      <c r="B1548" s="22"/>
      <c r="C1548" s="22"/>
      <c r="D1548" s="85"/>
      <c r="E1548" s="24"/>
      <c r="F1548" s="24"/>
      <c r="G1548" s="24"/>
      <c r="H1548" s="24"/>
      <c r="I1548" s="24"/>
      <c r="J1548" s="24"/>
      <c r="K1548" s="24"/>
      <c r="L1548" s="24"/>
      <c r="M1548" s="24"/>
      <c r="N1548" s="24"/>
      <c r="O1548" s="41"/>
      <c r="P1548" s="24"/>
      <c r="Q1548" s="24"/>
      <c r="R1548" s="24"/>
      <c r="S1548" s="24"/>
      <c r="T1548" s="24"/>
      <c r="U1548" s="24"/>
      <c r="V1548" s="24"/>
      <c r="W1548" s="24"/>
      <c r="X1548" s="24"/>
      <c r="Y1548" s="24"/>
      <c r="Z1548" s="24"/>
      <c r="AA1548" s="24"/>
      <c r="AB1548" s="24"/>
      <c r="AC1548" s="24"/>
      <c r="AD1548" s="24"/>
      <c r="AE1548" s="24"/>
    </row>
    <row r="1549" spans="1:34" s="1" customFormat="1" x14ac:dyDescent="0.25">
      <c r="A1549" s="21"/>
      <c r="B1549" s="22"/>
      <c r="C1549" s="22"/>
      <c r="D1549" s="85"/>
      <c r="E1549" s="24"/>
      <c r="F1549" s="24"/>
      <c r="G1549" s="24"/>
      <c r="H1549" s="24"/>
      <c r="I1549" s="24"/>
      <c r="J1549" s="24"/>
      <c r="K1549" s="24"/>
      <c r="L1549" s="24"/>
      <c r="M1549" s="24"/>
      <c r="N1549" s="24"/>
      <c r="O1549" s="41"/>
      <c r="P1549" s="24"/>
      <c r="Q1549" s="24"/>
      <c r="R1549" s="24"/>
      <c r="S1549" s="24"/>
      <c r="T1549" s="24"/>
      <c r="U1549" s="24"/>
      <c r="V1549" s="24"/>
      <c r="W1549" s="24"/>
      <c r="X1549" s="24"/>
      <c r="Y1549" s="24"/>
      <c r="Z1549" s="24"/>
      <c r="AA1549" s="24"/>
      <c r="AB1549" s="24"/>
      <c r="AC1549" s="24"/>
      <c r="AD1549" s="24"/>
      <c r="AE1549" s="24"/>
    </row>
    <row r="1550" spans="1:34" s="1" customFormat="1" x14ac:dyDescent="0.25">
      <c r="A1550" s="21"/>
      <c r="B1550" s="22"/>
      <c r="C1550" s="22"/>
      <c r="D1550" s="85"/>
      <c r="E1550" s="24"/>
      <c r="F1550" s="24"/>
      <c r="G1550" s="24"/>
      <c r="H1550" s="24"/>
      <c r="I1550" s="24"/>
      <c r="J1550" s="24"/>
      <c r="K1550" s="24"/>
      <c r="L1550" s="24"/>
      <c r="M1550" s="24"/>
      <c r="N1550" s="24"/>
      <c r="O1550" s="41"/>
      <c r="P1550" s="24"/>
      <c r="Q1550" s="24"/>
      <c r="R1550" s="24"/>
      <c r="S1550" s="24"/>
      <c r="T1550" s="24"/>
      <c r="U1550" s="24"/>
      <c r="V1550" s="24"/>
      <c r="W1550" s="24"/>
      <c r="X1550" s="24"/>
      <c r="Y1550" s="24"/>
      <c r="Z1550" s="24"/>
      <c r="AA1550" s="24"/>
      <c r="AB1550" s="24"/>
      <c r="AC1550" s="24"/>
      <c r="AD1550" s="24"/>
      <c r="AE1550" s="24"/>
    </row>
    <row r="1551" spans="1:34" s="16" customFormat="1" ht="24.75" customHeight="1" x14ac:dyDescent="0.25">
      <c r="A1551" s="29"/>
      <c r="B1551" s="30" t="s">
        <v>1601</v>
      </c>
      <c r="C1551" s="30"/>
      <c r="D1551" s="89" t="s">
        <v>1602</v>
      </c>
      <c r="E1551" s="32"/>
      <c r="F1551" s="32"/>
      <c r="G1551" s="32"/>
      <c r="H1551" s="32"/>
      <c r="I1551" s="32"/>
      <c r="J1551" s="32"/>
      <c r="K1551" s="32"/>
      <c r="L1551" s="32"/>
      <c r="M1551" s="32">
        <f>M1552</f>
        <v>4</v>
      </c>
      <c r="N1551" s="32"/>
      <c r="O1551" s="34">
        <f t="shared" ref="O1551:AC1552" si="572">O1552</f>
        <v>25200000</v>
      </c>
      <c r="P1551" s="32">
        <f t="shared" si="572"/>
        <v>0</v>
      </c>
      <c r="Q1551" s="32">
        <f t="shared" si="572"/>
        <v>0</v>
      </c>
      <c r="R1551" s="32">
        <f t="shared" si="572"/>
        <v>0</v>
      </c>
      <c r="S1551" s="34">
        <f t="shared" si="572"/>
        <v>25200000</v>
      </c>
      <c r="T1551" s="32"/>
      <c r="U1551" s="34">
        <f t="shared" si="572"/>
        <v>0</v>
      </c>
      <c r="V1551" s="32"/>
      <c r="W1551" s="34">
        <f t="shared" si="572"/>
        <v>0</v>
      </c>
      <c r="X1551" s="32"/>
      <c r="Y1551" s="34">
        <f t="shared" si="572"/>
        <v>0</v>
      </c>
      <c r="Z1551" s="34">
        <f t="shared" si="572"/>
        <v>0</v>
      </c>
      <c r="AA1551" s="32"/>
      <c r="AB1551" s="34">
        <f t="shared" si="572"/>
        <v>25200000</v>
      </c>
      <c r="AC1551" s="34">
        <f t="shared" si="572"/>
        <v>0</v>
      </c>
      <c r="AD1551" s="32"/>
      <c r="AE1551" s="32"/>
      <c r="AH1551" s="1"/>
    </row>
    <row r="1552" spans="1:34" s="1" customFormat="1" x14ac:dyDescent="0.25">
      <c r="A1552" s="17"/>
      <c r="B1552" s="18" t="s">
        <v>1603</v>
      </c>
      <c r="C1552" s="18"/>
      <c r="D1552" s="84" t="s">
        <v>1602</v>
      </c>
      <c r="E1552" s="20"/>
      <c r="F1552" s="20"/>
      <c r="G1552" s="20"/>
      <c r="H1552" s="20"/>
      <c r="I1552" s="20"/>
      <c r="J1552" s="20"/>
      <c r="K1552" s="20"/>
      <c r="L1552" s="20"/>
      <c r="M1552" s="20">
        <f>M1553</f>
        <v>4</v>
      </c>
      <c r="N1552" s="20"/>
      <c r="O1552" s="37">
        <f t="shared" si="572"/>
        <v>25200000</v>
      </c>
      <c r="P1552" s="20">
        <f t="shared" si="572"/>
        <v>0</v>
      </c>
      <c r="Q1552" s="20">
        <f t="shared" si="572"/>
        <v>0</v>
      </c>
      <c r="R1552" s="20">
        <f t="shared" si="572"/>
        <v>0</v>
      </c>
      <c r="S1552" s="37">
        <f t="shared" si="572"/>
        <v>25200000</v>
      </c>
      <c r="T1552" s="20"/>
      <c r="U1552" s="37">
        <f t="shared" si="572"/>
        <v>0</v>
      </c>
      <c r="V1552" s="20"/>
      <c r="W1552" s="37">
        <f t="shared" si="572"/>
        <v>0</v>
      </c>
      <c r="X1552" s="20"/>
      <c r="Y1552" s="37">
        <f t="shared" si="572"/>
        <v>0</v>
      </c>
      <c r="Z1552" s="37">
        <f t="shared" si="572"/>
        <v>0</v>
      </c>
      <c r="AA1552" s="20"/>
      <c r="AB1552" s="37">
        <f t="shared" si="572"/>
        <v>25200000</v>
      </c>
      <c r="AC1552" s="37">
        <f t="shared" si="572"/>
        <v>0</v>
      </c>
      <c r="AD1552" s="20"/>
      <c r="AE1552" s="20"/>
    </row>
    <row r="1553" spans="1:34" s="1" customFormat="1" x14ac:dyDescent="0.25">
      <c r="A1553" s="25"/>
      <c r="B1553" s="26" t="s">
        <v>1604</v>
      </c>
      <c r="C1553" s="26"/>
      <c r="D1553" s="64" t="s">
        <v>1602</v>
      </c>
      <c r="E1553" s="28"/>
      <c r="F1553" s="28"/>
      <c r="G1553" s="28"/>
      <c r="H1553" s="28"/>
      <c r="I1553" s="28"/>
      <c r="J1553" s="28"/>
      <c r="K1553" s="28"/>
      <c r="L1553" s="28"/>
      <c r="M1553" s="28">
        <f>SUM(M1554:M1557)</f>
        <v>4</v>
      </c>
      <c r="N1553" s="28"/>
      <c r="O1553" s="40">
        <f t="shared" ref="O1553:AC1553" si="573">SUM(O1554:O1557)</f>
        <v>25200000</v>
      </c>
      <c r="P1553" s="28">
        <f t="shared" si="573"/>
        <v>0</v>
      </c>
      <c r="Q1553" s="28">
        <f t="shared" si="573"/>
        <v>0</v>
      </c>
      <c r="R1553" s="28">
        <f t="shared" si="573"/>
        <v>0</v>
      </c>
      <c r="S1553" s="40">
        <f t="shared" si="573"/>
        <v>25200000</v>
      </c>
      <c r="T1553" s="28"/>
      <c r="U1553" s="40">
        <f t="shared" si="573"/>
        <v>0</v>
      </c>
      <c r="V1553" s="28"/>
      <c r="W1553" s="40">
        <f t="shared" si="573"/>
        <v>0</v>
      </c>
      <c r="X1553" s="28"/>
      <c r="Y1553" s="40">
        <f t="shared" si="573"/>
        <v>0</v>
      </c>
      <c r="Z1553" s="40">
        <f t="shared" si="573"/>
        <v>0</v>
      </c>
      <c r="AA1553" s="28"/>
      <c r="AB1553" s="40">
        <f t="shared" si="573"/>
        <v>25200000</v>
      </c>
      <c r="AC1553" s="40">
        <f t="shared" si="573"/>
        <v>0</v>
      </c>
      <c r="AD1553" s="28"/>
      <c r="AE1553" s="28"/>
      <c r="AH1553" s="16"/>
    </row>
    <row r="1554" spans="1:34" s="1" customFormat="1" x14ac:dyDescent="0.25">
      <c r="A1554" s="21">
        <v>1</v>
      </c>
      <c r="B1554" s="22" t="s">
        <v>1801</v>
      </c>
      <c r="C1554" s="22" t="s">
        <v>58</v>
      </c>
      <c r="D1554" s="65" t="s">
        <v>1605</v>
      </c>
      <c r="E1554" s="24" t="s">
        <v>1606</v>
      </c>
      <c r="F1554" s="24" t="s">
        <v>1607</v>
      </c>
      <c r="G1554" s="24"/>
      <c r="H1554" s="24" t="s">
        <v>62</v>
      </c>
      <c r="I1554" s="24">
        <v>1995</v>
      </c>
      <c r="J1554" s="24"/>
      <c r="K1554" s="24" t="s">
        <v>63</v>
      </c>
      <c r="L1554" s="24" t="s">
        <v>167</v>
      </c>
      <c r="M1554" s="24">
        <v>1</v>
      </c>
      <c r="N1554" s="41">
        <v>6000000</v>
      </c>
      <c r="O1554" s="41">
        <v>6000000</v>
      </c>
      <c r="P1554" s="24"/>
      <c r="Q1554" s="24"/>
      <c r="R1554" s="24"/>
      <c r="S1554" s="41">
        <v>6000000</v>
      </c>
      <c r="T1554" s="24">
        <v>7</v>
      </c>
      <c r="U1554" s="41"/>
      <c r="V1554" s="24">
        <v>0.5</v>
      </c>
      <c r="W1554" s="41">
        <f t="shared" ref="W1554:W1557" si="574">SUM(U1554*V1554)</f>
        <v>0</v>
      </c>
      <c r="X1554" s="24">
        <v>0.5</v>
      </c>
      <c r="Y1554" s="41">
        <f t="shared" ref="Y1554:Y1557" si="575">SUM(U1554*X1554)</f>
        <v>0</v>
      </c>
      <c r="Z1554" s="41">
        <f t="shared" ref="Z1554:Z1557" si="576">SUM(W1554+Y1554)</f>
        <v>0</v>
      </c>
      <c r="AA1554" s="24">
        <v>7</v>
      </c>
      <c r="AB1554" s="41">
        <v>6000000</v>
      </c>
      <c r="AC1554" s="41"/>
      <c r="AD1554" s="70"/>
      <c r="AE1554" s="24"/>
    </row>
    <row r="1555" spans="1:34" s="1" customFormat="1" x14ac:dyDescent="0.25">
      <c r="A1555" s="21">
        <v>2</v>
      </c>
      <c r="B1555" s="22" t="s">
        <v>1801</v>
      </c>
      <c r="C1555" s="22" t="s">
        <v>75</v>
      </c>
      <c r="D1555" s="65" t="s">
        <v>1605</v>
      </c>
      <c r="E1555" s="24" t="s">
        <v>1608</v>
      </c>
      <c r="F1555" s="24" t="s">
        <v>1609</v>
      </c>
      <c r="G1555" s="24"/>
      <c r="H1555" s="24" t="s">
        <v>62</v>
      </c>
      <c r="I1555" s="24">
        <v>1997</v>
      </c>
      <c r="J1555" s="24"/>
      <c r="K1555" s="24" t="s">
        <v>63</v>
      </c>
      <c r="L1555" s="24" t="s">
        <v>167</v>
      </c>
      <c r="M1555" s="24">
        <v>1</v>
      </c>
      <c r="N1555" s="41">
        <v>6400000</v>
      </c>
      <c r="O1555" s="41">
        <v>6400000</v>
      </c>
      <c r="P1555" s="24"/>
      <c r="Q1555" s="24"/>
      <c r="R1555" s="24"/>
      <c r="S1555" s="41">
        <v>6400000</v>
      </c>
      <c r="T1555" s="24">
        <v>7</v>
      </c>
      <c r="U1555" s="41"/>
      <c r="V1555" s="24">
        <v>0.5</v>
      </c>
      <c r="W1555" s="41">
        <f t="shared" si="574"/>
        <v>0</v>
      </c>
      <c r="X1555" s="24">
        <v>0.5</v>
      </c>
      <c r="Y1555" s="41">
        <f t="shared" si="575"/>
        <v>0</v>
      </c>
      <c r="Z1555" s="41">
        <f t="shared" si="576"/>
        <v>0</v>
      </c>
      <c r="AA1555" s="24">
        <v>7</v>
      </c>
      <c r="AB1555" s="41">
        <v>6400000</v>
      </c>
      <c r="AC1555" s="41"/>
      <c r="AD1555" s="70"/>
      <c r="AE1555" s="24"/>
    </row>
    <row r="1556" spans="1:34" s="1" customFormat="1" x14ac:dyDescent="0.25">
      <c r="A1556" s="21">
        <v>3</v>
      </c>
      <c r="B1556" s="22" t="s">
        <v>1801</v>
      </c>
      <c r="C1556" s="22" t="s">
        <v>79</v>
      </c>
      <c r="D1556" s="65" t="s">
        <v>1605</v>
      </c>
      <c r="E1556" s="24" t="s">
        <v>1608</v>
      </c>
      <c r="F1556" s="24" t="s">
        <v>1610</v>
      </c>
      <c r="G1556" s="24"/>
      <c r="H1556" s="24" t="s">
        <v>62</v>
      </c>
      <c r="I1556" s="24">
        <v>1997</v>
      </c>
      <c r="J1556" s="24"/>
      <c r="K1556" s="24" t="s">
        <v>63</v>
      </c>
      <c r="L1556" s="24" t="s">
        <v>167</v>
      </c>
      <c r="M1556" s="24">
        <v>1</v>
      </c>
      <c r="N1556" s="41">
        <v>6400000</v>
      </c>
      <c r="O1556" s="41">
        <v>6400000</v>
      </c>
      <c r="P1556" s="24"/>
      <c r="Q1556" s="24"/>
      <c r="R1556" s="24"/>
      <c r="S1556" s="41">
        <v>6400000</v>
      </c>
      <c r="T1556" s="24">
        <v>7</v>
      </c>
      <c r="U1556" s="41"/>
      <c r="V1556" s="24">
        <v>0.5</v>
      </c>
      <c r="W1556" s="41">
        <f t="shared" si="574"/>
        <v>0</v>
      </c>
      <c r="X1556" s="24">
        <v>0.5</v>
      </c>
      <c r="Y1556" s="41">
        <f t="shared" si="575"/>
        <v>0</v>
      </c>
      <c r="Z1556" s="41">
        <f t="shared" si="576"/>
        <v>0</v>
      </c>
      <c r="AA1556" s="24">
        <v>7</v>
      </c>
      <c r="AB1556" s="41">
        <v>6400000</v>
      </c>
      <c r="AC1556" s="41"/>
      <c r="AD1556" s="70"/>
      <c r="AE1556" s="24"/>
    </row>
    <row r="1557" spans="1:34" s="1" customFormat="1" x14ac:dyDescent="0.25">
      <c r="A1557" s="21">
        <v>4</v>
      </c>
      <c r="B1557" s="22" t="s">
        <v>1801</v>
      </c>
      <c r="C1557" s="22" t="s">
        <v>84</v>
      </c>
      <c r="D1557" s="65" t="s">
        <v>1605</v>
      </c>
      <c r="E1557" s="24" t="s">
        <v>1608</v>
      </c>
      <c r="F1557" s="24" t="s">
        <v>1611</v>
      </c>
      <c r="G1557" s="24"/>
      <c r="H1557" s="24" t="s">
        <v>62</v>
      </c>
      <c r="I1557" s="24">
        <v>1997</v>
      </c>
      <c r="J1557" s="24"/>
      <c r="K1557" s="24" t="s">
        <v>63</v>
      </c>
      <c r="L1557" s="24" t="s">
        <v>167</v>
      </c>
      <c r="M1557" s="24">
        <v>1</v>
      </c>
      <c r="N1557" s="41">
        <v>6400000</v>
      </c>
      <c r="O1557" s="41">
        <v>6400000</v>
      </c>
      <c r="P1557" s="24"/>
      <c r="Q1557" s="24"/>
      <c r="R1557" s="24"/>
      <c r="S1557" s="41">
        <v>6400000</v>
      </c>
      <c r="T1557" s="24">
        <v>7</v>
      </c>
      <c r="U1557" s="41"/>
      <c r="V1557" s="24">
        <v>0.5</v>
      </c>
      <c r="W1557" s="41">
        <f t="shared" si="574"/>
        <v>0</v>
      </c>
      <c r="X1557" s="24">
        <v>0.5</v>
      </c>
      <c r="Y1557" s="41">
        <f t="shared" si="575"/>
        <v>0</v>
      </c>
      <c r="Z1557" s="41">
        <f t="shared" si="576"/>
        <v>0</v>
      </c>
      <c r="AA1557" s="24">
        <v>7</v>
      </c>
      <c r="AB1557" s="41">
        <v>6400000</v>
      </c>
      <c r="AC1557" s="41"/>
      <c r="AD1557" s="70"/>
      <c r="AE1557" s="24"/>
    </row>
    <row r="1558" spans="1:34" s="1" customFormat="1" x14ac:dyDescent="0.25">
      <c r="A1558" s="21"/>
      <c r="B1558" s="22"/>
      <c r="C1558" s="22"/>
      <c r="D1558" s="65"/>
      <c r="E1558" s="24"/>
      <c r="F1558" s="24"/>
      <c r="G1558" s="24"/>
      <c r="H1558" s="24"/>
      <c r="I1558" s="24"/>
      <c r="J1558" s="24"/>
      <c r="K1558" s="24"/>
      <c r="L1558" s="24"/>
      <c r="M1558" s="24"/>
      <c r="N1558" s="24"/>
      <c r="O1558" s="41"/>
      <c r="P1558" s="24"/>
      <c r="Q1558" s="24"/>
      <c r="R1558" s="24"/>
      <c r="S1558" s="24"/>
      <c r="T1558" s="24"/>
      <c r="U1558" s="24"/>
      <c r="V1558" s="24"/>
      <c r="W1558" s="24"/>
      <c r="X1558" s="24"/>
      <c r="Y1558" s="24"/>
      <c r="Z1558" s="24"/>
      <c r="AA1558" s="24"/>
      <c r="AB1558" s="24"/>
      <c r="AC1558" s="24"/>
      <c r="AD1558" s="24"/>
      <c r="AE1558" s="24"/>
    </row>
    <row r="1559" spans="1:34" s="16" customFormat="1" ht="25.5" customHeight="1" x14ac:dyDescent="0.25">
      <c r="A1559" s="29"/>
      <c r="B1559" s="30" t="s">
        <v>1612</v>
      </c>
      <c r="C1559" s="30"/>
      <c r="D1559" s="89" t="s">
        <v>1613</v>
      </c>
      <c r="E1559" s="32"/>
      <c r="F1559" s="32"/>
      <c r="G1559" s="32"/>
      <c r="H1559" s="32"/>
      <c r="I1559" s="32"/>
      <c r="J1559" s="32"/>
      <c r="K1559" s="32"/>
      <c r="L1559" s="32"/>
      <c r="M1559" s="32">
        <f>M1560</f>
        <v>0</v>
      </c>
      <c r="N1559" s="32"/>
      <c r="O1559" s="34">
        <f t="shared" ref="O1559:AC1560" si="577">O1560</f>
        <v>0</v>
      </c>
      <c r="P1559" s="32">
        <f t="shared" si="577"/>
        <v>0</v>
      </c>
      <c r="Q1559" s="32">
        <f t="shared" si="577"/>
        <v>0</v>
      </c>
      <c r="R1559" s="32">
        <f t="shared" si="577"/>
        <v>0</v>
      </c>
      <c r="S1559" s="32">
        <f t="shared" si="577"/>
        <v>0</v>
      </c>
      <c r="T1559" s="32"/>
      <c r="U1559" s="32">
        <f t="shared" si="577"/>
        <v>0</v>
      </c>
      <c r="V1559" s="32"/>
      <c r="W1559" s="32">
        <f t="shared" si="577"/>
        <v>0</v>
      </c>
      <c r="X1559" s="32"/>
      <c r="Y1559" s="32">
        <f t="shared" si="577"/>
        <v>0</v>
      </c>
      <c r="Z1559" s="32">
        <f t="shared" si="577"/>
        <v>0</v>
      </c>
      <c r="AA1559" s="32"/>
      <c r="AB1559" s="32">
        <f t="shared" si="577"/>
        <v>0</v>
      </c>
      <c r="AC1559" s="32">
        <f t="shared" si="577"/>
        <v>0</v>
      </c>
      <c r="AD1559" s="32"/>
      <c r="AE1559" s="32"/>
      <c r="AH1559" s="1"/>
    </row>
    <row r="1560" spans="1:34" s="1" customFormat="1" ht="25.5" x14ac:dyDescent="0.25">
      <c r="A1560" s="17"/>
      <c r="B1560" s="18" t="s">
        <v>1614</v>
      </c>
      <c r="C1560" s="18"/>
      <c r="D1560" s="84" t="s">
        <v>1613</v>
      </c>
      <c r="E1560" s="20"/>
      <c r="F1560" s="20"/>
      <c r="G1560" s="20"/>
      <c r="H1560" s="20"/>
      <c r="I1560" s="20"/>
      <c r="J1560" s="20"/>
      <c r="K1560" s="20"/>
      <c r="L1560" s="20"/>
      <c r="M1560" s="20">
        <f>M1561</f>
        <v>0</v>
      </c>
      <c r="N1560" s="20"/>
      <c r="O1560" s="37">
        <f t="shared" si="577"/>
        <v>0</v>
      </c>
      <c r="P1560" s="20">
        <f t="shared" si="577"/>
        <v>0</v>
      </c>
      <c r="Q1560" s="20">
        <f t="shared" si="577"/>
        <v>0</v>
      </c>
      <c r="R1560" s="20">
        <f t="shared" si="577"/>
        <v>0</v>
      </c>
      <c r="S1560" s="20">
        <f t="shared" si="577"/>
        <v>0</v>
      </c>
      <c r="T1560" s="20"/>
      <c r="U1560" s="20">
        <f t="shared" si="577"/>
        <v>0</v>
      </c>
      <c r="V1560" s="20"/>
      <c r="W1560" s="20">
        <f t="shared" si="577"/>
        <v>0</v>
      </c>
      <c r="X1560" s="20"/>
      <c r="Y1560" s="20">
        <f t="shared" si="577"/>
        <v>0</v>
      </c>
      <c r="Z1560" s="20">
        <f t="shared" si="577"/>
        <v>0</v>
      </c>
      <c r="AA1560" s="20"/>
      <c r="AB1560" s="20">
        <f t="shared" si="577"/>
        <v>0</v>
      </c>
      <c r="AC1560" s="20">
        <f t="shared" si="577"/>
        <v>0</v>
      </c>
      <c r="AD1560" s="20"/>
      <c r="AE1560" s="20"/>
    </row>
    <row r="1561" spans="1:34" s="1" customFormat="1" ht="25.5" x14ac:dyDescent="0.25">
      <c r="A1561" s="25"/>
      <c r="B1561" s="26" t="s">
        <v>1615</v>
      </c>
      <c r="C1561" s="26"/>
      <c r="D1561" s="64" t="s">
        <v>1613</v>
      </c>
      <c r="E1561" s="28"/>
      <c r="F1561" s="28"/>
      <c r="G1561" s="28"/>
      <c r="H1561" s="28"/>
      <c r="I1561" s="28"/>
      <c r="J1561" s="28"/>
      <c r="K1561" s="28"/>
      <c r="L1561" s="28"/>
      <c r="M1561" s="28">
        <f>SUM(M1562:M1564)</f>
        <v>0</v>
      </c>
      <c r="N1561" s="28"/>
      <c r="O1561" s="40">
        <f t="shared" ref="O1561:AC1561" si="578">SUM(O1562:O1564)</f>
        <v>0</v>
      </c>
      <c r="P1561" s="28">
        <f t="shared" si="578"/>
        <v>0</v>
      </c>
      <c r="Q1561" s="28">
        <f t="shared" si="578"/>
        <v>0</v>
      </c>
      <c r="R1561" s="28">
        <f t="shared" si="578"/>
        <v>0</v>
      </c>
      <c r="S1561" s="28">
        <f t="shared" si="578"/>
        <v>0</v>
      </c>
      <c r="T1561" s="28"/>
      <c r="U1561" s="28">
        <f t="shared" si="578"/>
        <v>0</v>
      </c>
      <c r="V1561" s="28"/>
      <c r="W1561" s="28">
        <f t="shared" si="578"/>
        <v>0</v>
      </c>
      <c r="X1561" s="28"/>
      <c r="Y1561" s="28">
        <f t="shared" si="578"/>
        <v>0</v>
      </c>
      <c r="Z1561" s="28">
        <f t="shared" si="578"/>
        <v>0</v>
      </c>
      <c r="AA1561" s="28"/>
      <c r="AB1561" s="28">
        <f t="shared" si="578"/>
        <v>0</v>
      </c>
      <c r="AC1561" s="28">
        <f t="shared" si="578"/>
        <v>0</v>
      </c>
      <c r="AD1561" s="28"/>
      <c r="AE1561" s="28"/>
      <c r="AH1561" s="16"/>
    </row>
    <row r="1562" spans="1:34" s="1" customFormat="1" x14ac:dyDescent="0.25">
      <c r="A1562" s="21"/>
      <c r="B1562" s="22"/>
      <c r="C1562" s="22"/>
      <c r="D1562" s="65"/>
      <c r="E1562" s="24"/>
      <c r="F1562" s="24"/>
      <c r="G1562" s="24"/>
      <c r="H1562" s="24"/>
      <c r="I1562" s="24"/>
      <c r="J1562" s="24"/>
      <c r="K1562" s="24"/>
      <c r="L1562" s="24"/>
      <c r="M1562" s="24"/>
      <c r="N1562" s="24"/>
      <c r="O1562" s="41"/>
      <c r="P1562" s="24"/>
      <c r="Q1562" s="24"/>
      <c r="R1562" s="24"/>
      <c r="S1562" s="24"/>
      <c r="T1562" s="24"/>
      <c r="U1562" s="24"/>
      <c r="V1562" s="24"/>
      <c r="W1562" s="24"/>
      <c r="X1562" s="24"/>
      <c r="Y1562" s="24"/>
      <c r="Z1562" s="24"/>
      <c r="AA1562" s="24"/>
      <c r="AB1562" s="24"/>
      <c r="AC1562" s="24"/>
      <c r="AD1562" s="24"/>
      <c r="AE1562" s="24"/>
    </row>
    <row r="1563" spans="1:34" s="1" customFormat="1" x14ac:dyDescent="0.25">
      <c r="A1563" s="21"/>
      <c r="B1563" s="22"/>
      <c r="C1563" s="22"/>
      <c r="D1563" s="65"/>
      <c r="E1563" s="24"/>
      <c r="F1563" s="24"/>
      <c r="G1563" s="24"/>
      <c r="H1563" s="24"/>
      <c r="I1563" s="24"/>
      <c r="J1563" s="24"/>
      <c r="K1563" s="24"/>
      <c r="L1563" s="24"/>
      <c r="M1563" s="24"/>
      <c r="N1563" s="24"/>
      <c r="O1563" s="41"/>
      <c r="P1563" s="24"/>
      <c r="Q1563" s="24"/>
      <c r="R1563" s="24"/>
      <c r="S1563" s="24"/>
      <c r="T1563" s="24"/>
      <c r="U1563" s="24"/>
      <c r="V1563" s="24"/>
      <c r="W1563" s="24"/>
      <c r="X1563" s="24"/>
      <c r="Y1563" s="24"/>
      <c r="Z1563" s="24"/>
      <c r="AA1563" s="24"/>
      <c r="AB1563" s="24"/>
      <c r="AC1563" s="24"/>
      <c r="AD1563" s="24"/>
      <c r="AE1563" s="24"/>
    </row>
    <row r="1564" spans="1:34" s="1" customFormat="1" x14ac:dyDescent="0.25">
      <c r="A1564" s="21"/>
      <c r="B1564" s="22"/>
      <c r="C1564" s="22"/>
      <c r="D1564" s="65"/>
      <c r="E1564" s="24"/>
      <c r="F1564" s="24"/>
      <c r="G1564" s="24"/>
      <c r="H1564" s="24"/>
      <c r="I1564" s="24"/>
      <c r="J1564" s="24"/>
      <c r="K1564" s="24"/>
      <c r="L1564" s="24"/>
      <c r="M1564" s="24"/>
      <c r="N1564" s="24"/>
      <c r="O1564" s="41"/>
      <c r="P1564" s="24"/>
      <c r="Q1564" s="24"/>
      <c r="R1564" s="24"/>
      <c r="S1564" s="24"/>
      <c r="T1564" s="24"/>
      <c r="U1564" s="24"/>
      <c r="V1564" s="24"/>
      <c r="W1564" s="24"/>
      <c r="X1564" s="24"/>
      <c r="Y1564" s="24"/>
      <c r="Z1564" s="24"/>
      <c r="AA1564" s="24"/>
      <c r="AB1564" s="24"/>
      <c r="AC1564" s="24"/>
      <c r="AD1564" s="24"/>
      <c r="AE1564" s="24"/>
    </row>
    <row r="1565" spans="1:34" s="16" customFormat="1" ht="24" x14ac:dyDescent="0.25">
      <c r="A1565" s="29"/>
      <c r="B1565" s="30" t="s">
        <v>1616</v>
      </c>
      <c r="C1565" s="30"/>
      <c r="D1565" s="89" t="s">
        <v>1617</v>
      </c>
      <c r="E1565" s="32"/>
      <c r="F1565" s="32"/>
      <c r="G1565" s="32"/>
      <c r="H1565" s="32"/>
      <c r="I1565" s="32"/>
      <c r="J1565" s="32"/>
      <c r="K1565" s="32"/>
      <c r="L1565" s="32"/>
      <c r="M1565" s="32">
        <f>M1566</f>
        <v>0</v>
      </c>
      <c r="N1565" s="32"/>
      <c r="O1565" s="34">
        <f t="shared" ref="O1565:AC1566" si="579">O1566</f>
        <v>25200000</v>
      </c>
      <c r="P1565" s="32">
        <f t="shared" si="579"/>
        <v>0</v>
      </c>
      <c r="Q1565" s="32">
        <f t="shared" si="579"/>
        <v>0</v>
      </c>
      <c r="R1565" s="32">
        <f t="shared" si="579"/>
        <v>0</v>
      </c>
      <c r="S1565" s="32">
        <f t="shared" si="579"/>
        <v>0</v>
      </c>
      <c r="T1565" s="32"/>
      <c r="U1565" s="32">
        <f t="shared" si="579"/>
        <v>0</v>
      </c>
      <c r="V1565" s="32"/>
      <c r="W1565" s="32">
        <f t="shared" si="579"/>
        <v>0</v>
      </c>
      <c r="X1565" s="32"/>
      <c r="Y1565" s="32">
        <f t="shared" si="579"/>
        <v>0</v>
      </c>
      <c r="Z1565" s="32">
        <f t="shared" si="579"/>
        <v>0</v>
      </c>
      <c r="AA1565" s="32"/>
      <c r="AB1565" s="32">
        <f t="shared" si="579"/>
        <v>0</v>
      </c>
      <c r="AC1565" s="34">
        <f t="shared" si="579"/>
        <v>25200000</v>
      </c>
      <c r="AD1565" s="32"/>
      <c r="AE1565" s="32"/>
      <c r="AH1565" s="1"/>
    </row>
    <row r="1566" spans="1:34" s="1" customFormat="1" ht="25.5" x14ac:dyDescent="0.25">
      <c r="A1566" s="17"/>
      <c r="B1566" s="18" t="s">
        <v>1618</v>
      </c>
      <c r="C1566" s="18"/>
      <c r="D1566" s="84" t="s">
        <v>1617</v>
      </c>
      <c r="E1566" s="20"/>
      <c r="F1566" s="20"/>
      <c r="G1566" s="20"/>
      <c r="H1566" s="20"/>
      <c r="I1566" s="20"/>
      <c r="J1566" s="20"/>
      <c r="K1566" s="20"/>
      <c r="L1566" s="20"/>
      <c r="M1566" s="20">
        <f>M1567</f>
        <v>0</v>
      </c>
      <c r="N1566" s="20"/>
      <c r="O1566" s="37">
        <f t="shared" si="579"/>
        <v>25200000</v>
      </c>
      <c r="P1566" s="20">
        <f t="shared" si="579"/>
        <v>0</v>
      </c>
      <c r="Q1566" s="20">
        <f t="shared" si="579"/>
        <v>0</v>
      </c>
      <c r="R1566" s="20">
        <f t="shared" si="579"/>
        <v>0</v>
      </c>
      <c r="S1566" s="20">
        <f t="shared" si="579"/>
        <v>0</v>
      </c>
      <c r="T1566" s="20"/>
      <c r="U1566" s="20">
        <f t="shared" si="579"/>
        <v>0</v>
      </c>
      <c r="V1566" s="20"/>
      <c r="W1566" s="20">
        <f t="shared" si="579"/>
        <v>0</v>
      </c>
      <c r="X1566" s="20"/>
      <c r="Y1566" s="20">
        <f t="shared" si="579"/>
        <v>0</v>
      </c>
      <c r="Z1566" s="20">
        <f t="shared" si="579"/>
        <v>0</v>
      </c>
      <c r="AA1566" s="20"/>
      <c r="AB1566" s="20">
        <f t="shared" si="579"/>
        <v>0</v>
      </c>
      <c r="AC1566" s="37">
        <f t="shared" si="579"/>
        <v>25200000</v>
      </c>
      <c r="AD1566" s="20"/>
      <c r="AE1566" s="20"/>
    </row>
    <row r="1567" spans="1:34" s="1" customFormat="1" ht="25.5" x14ac:dyDescent="0.25">
      <c r="A1567" s="25"/>
      <c r="B1567" s="26" t="s">
        <v>1619</v>
      </c>
      <c r="C1567" s="26"/>
      <c r="D1567" s="64" t="s">
        <v>1617</v>
      </c>
      <c r="E1567" s="28"/>
      <c r="F1567" s="28"/>
      <c r="G1567" s="28"/>
      <c r="H1567" s="28"/>
      <c r="I1567" s="28"/>
      <c r="J1567" s="28"/>
      <c r="K1567" s="28"/>
      <c r="L1567" s="28"/>
      <c r="M1567" s="28">
        <f>SUM(M1568:M1570)</f>
        <v>0</v>
      </c>
      <c r="N1567" s="28"/>
      <c r="O1567" s="40">
        <f t="shared" ref="O1567:AC1567" si="580">SUM(O1568:O1570)</f>
        <v>25200000</v>
      </c>
      <c r="P1567" s="28">
        <f t="shared" si="580"/>
        <v>0</v>
      </c>
      <c r="Q1567" s="28">
        <f t="shared" si="580"/>
        <v>0</v>
      </c>
      <c r="R1567" s="28">
        <f t="shared" si="580"/>
        <v>0</v>
      </c>
      <c r="S1567" s="28">
        <f t="shared" si="580"/>
        <v>0</v>
      </c>
      <c r="T1567" s="28"/>
      <c r="U1567" s="28">
        <f t="shared" si="580"/>
        <v>0</v>
      </c>
      <c r="V1567" s="28"/>
      <c r="W1567" s="28">
        <f t="shared" si="580"/>
        <v>0</v>
      </c>
      <c r="X1567" s="28"/>
      <c r="Y1567" s="28">
        <f t="shared" si="580"/>
        <v>0</v>
      </c>
      <c r="Z1567" s="28">
        <f t="shared" si="580"/>
        <v>0</v>
      </c>
      <c r="AA1567" s="28"/>
      <c r="AB1567" s="28">
        <f t="shared" si="580"/>
        <v>0</v>
      </c>
      <c r="AC1567" s="40">
        <f t="shared" si="580"/>
        <v>25200000</v>
      </c>
      <c r="AD1567" s="28"/>
      <c r="AE1567" s="28"/>
      <c r="AH1567" s="16"/>
    </row>
    <row r="1568" spans="1:34" s="1" customFormat="1" x14ac:dyDescent="0.25">
      <c r="A1568" s="21"/>
      <c r="B1568" s="24"/>
      <c r="C1568" s="24"/>
      <c r="D1568" s="116"/>
      <c r="E1568" s="24"/>
      <c r="F1568" s="24"/>
      <c r="G1568" s="24"/>
      <c r="H1568" s="24"/>
      <c r="I1568" s="24"/>
      <c r="J1568" s="24"/>
      <c r="K1568" s="24"/>
      <c r="L1568" s="24"/>
      <c r="M1568" s="24"/>
      <c r="N1568" s="24"/>
      <c r="O1568" s="41">
        <f>AB1538</f>
        <v>25200000</v>
      </c>
      <c r="P1568" s="24"/>
      <c r="Q1568" s="24"/>
      <c r="R1568" s="24"/>
      <c r="S1568" s="24"/>
      <c r="T1568" s="24"/>
      <c r="U1568" s="24"/>
      <c r="V1568" s="24"/>
      <c r="W1568" s="24"/>
      <c r="X1568" s="24"/>
      <c r="Y1568" s="24"/>
      <c r="Z1568" s="24"/>
      <c r="AA1568" s="24"/>
      <c r="AB1568" s="24"/>
      <c r="AC1568" s="41">
        <v>25200000</v>
      </c>
      <c r="AD1568" s="24"/>
      <c r="AE1568" s="24"/>
    </row>
    <row r="1569" spans="1:34" s="1" customFormat="1" x14ac:dyDescent="0.25">
      <c r="A1569" s="21"/>
      <c r="B1569" s="24"/>
      <c r="C1569" s="24"/>
      <c r="D1569" s="116"/>
      <c r="E1569" s="24"/>
      <c r="F1569" s="24"/>
      <c r="G1569" s="24"/>
      <c r="H1569" s="24"/>
      <c r="I1569" s="24"/>
      <c r="J1569" s="24"/>
      <c r="K1569" s="24"/>
      <c r="L1569" s="24"/>
      <c r="M1569" s="24"/>
      <c r="N1569" s="24"/>
      <c r="O1569" s="41"/>
      <c r="P1569" s="24"/>
      <c r="Q1569" s="24"/>
      <c r="R1569" s="24"/>
      <c r="S1569" s="24"/>
      <c r="T1569" s="24"/>
      <c r="U1569" s="24"/>
      <c r="V1569" s="24"/>
      <c r="W1569" s="24"/>
      <c r="X1569" s="24"/>
      <c r="Y1569" s="24"/>
      <c r="Z1569" s="24"/>
      <c r="AA1569" s="24"/>
      <c r="AB1569" s="24"/>
      <c r="AC1569" s="41"/>
      <c r="AD1569" s="24"/>
      <c r="AE1569" s="24"/>
    </row>
    <row r="1570" spans="1:34" s="1" customFormat="1" x14ac:dyDescent="0.25">
      <c r="A1570" s="117"/>
      <c r="B1570" s="118"/>
      <c r="C1570" s="118"/>
      <c r="D1570" s="119"/>
      <c r="E1570" s="118"/>
      <c r="F1570" s="118"/>
      <c r="G1570" s="118"/>
      <c r="H1570" s="118"/>
      <c r="I1570" s="118"/>
      <c r="J1570" s="118"/>
      <c r="K1570" s="118"/>
      <c r="L1570" s="118"/>
      <c r="M1570" s="118"/>
      <c r="N1570" s="118"/>
      <c r="O1570" s="120"/>
      <c r="P1570" s="118"/>
      <c r="Q1570" s="118"/>
      <c r="R1570" s="118"/>
      <c r="S1570" s="118"/>
      <c r="T1570" s="118"/>
      <c r="U1570" s="118"/>
      <c r="V1570" s="118"/>
      <c r="W1570" s="118"/>
      <c r="X1570" s="118"/>
      <c r="Y1570" s="118"/>
      <c r="Z1570" s="118"/>
      <c r="AA1570" s="118"/>
      <c r="AB1570" s="118"/>
      <c r="AC1570" s="118"/>
      <c r="AD1570" s="118"/>
      <c r="AE1570" s="118"/>
    </row>
    <row r="1571" spans="1:34" s="124" customFormat="1" ht="26.25" customHeight="1" x14ac:dyDescent="0.25">
      <c r="A1571" s="414" t="s">
        <v>1620</v>
      </c>
      <c r="B1571" s="414"/>
      <c r="C1571" s="414"/>
      <c r="D1571" s="414"/>
      <c r="E1571" s="414"/>
      <c r="F1571" s="414"/>
      <c r="G1571" s="414"/>
      <c r="H1571" s="414"/>
      <c r="I1571" s="414"/>
      <c r="J1571" s="414"/>
      <c r="K1571" s="414"/>
      <c r="L1571" s="414"/>
      <c r="M1571" s="121">
        <f>SUM(M30+M1066+M1187+M1284+M1415+M1551)</f>
        <v>6052</v>
      </c>
      <c r="N1571" s="121">
        <f>SUM(N30+N1066+N1187+N1284+N1415+N1551)</f>
        <v>0</v>
      </c>
      <c r="O1571" s="122">
        <f>SUM(O30+O1066+O1187+O1284+O1415+O1551)</f>
        <v>37918781718.004616</v>
      </c>
      <c r="P1571" s="122">
        <f>P1538+P1421+P1415+P1284+P1187+P1066+P30+P8</f>
        <v>14709203696</v>
      </c>
      <c r="Q1571" s="122">
        <f>Q1538+Q1421+Q1415+Q1284+Q1187+Q1066+Q30+Q8</f>
        <v>273942214.5</v>
      </c>
      <c r="R1571" s="123">
        <f>R1538+R1421+R1415+R1284+R1187+R1066+R30+R8</f>
        <v>0</v>
      </c>
      <c r="S1571" s="122">
        <f t="shared" ref="S1571:AA1571" si="581">SUM(S30+S1066+S1187+S1284+S1415+S1551)</f>
        <v>52009236034.1539</v>
      </c>
      <c r="T1571" s="122">
        <f t="shared" si="581"/>
        <v>0</v>
      </c>
      <c r="U1571" s="122">
        <f t="shared" si="581"/>
        <v>2119017743.8317714</v>
      </c>
      <c r="V1571" s="122">
        <f t="shared" si="581"/>
        <v>0</v>
      </c>
      <c r="W1571" s="122">
        <f t="shared" si="581"/>
        <v>574060949.75224078</v>
      </c>
      <c r="X1571" s="122">
        <f t="shared" si="581"/>
        <v>0</v>
      </c>
      <c r="Y1571" s="122">
        <f t="shared" si="581"/>
        <v>0</v>
      </c>
      <c r="Z1571" s="122">
        <f t="shared" si="581"/>
        <v>574060949.75224078</v>
      </c>
      <c r="AA1571" s="122">
        <f t="shared" si="581"/>
        <v>0</v>
      </c>
      <c r="AB1571" s="122">
        <f>SUM(AB30+AB1066+AB1187+AB1284+AB1415)+0.09</f>
        <v>21107060085.415359</v>
      </c>
      <c r="AC1571" s="122">
        <f>SUM(AC30+AC1066+AC1187+AC1284+AC1415+AC1565)</f>
        <v>16878391466.79878</v>
      </c>
      <c r="AD1571" s="122"/>
      <c r="AE1571" s="123"/>
      <c r="AH1571" s="1"/>
    </row>
    <row r="1572" spans="1:34" x14ac:dyDescent="0.25">
      <c r="M1572" s="125"/>
      <c r="N1572" s="125"/>
      <c r="O1572" s="126"/>
      <c r="S1572" s="375"/>
      <c r="W1572" s="127"/>
      <c r="AB1572" s="128"/>
      <c r="AC1572" s="129"/>
      <c r="AF1572" s="129"/>
      <c r="AH1572" s="1"/>
    </row>
    <row r="1573" spans="1:34" ht="23.25" x14ac:dyDescent="0.25">
      <c r="M1573" s="130"/>
      <c r="O1573" s="131"/>
      <c r="Z1573" s="462"/>
      <c r="AA1573" s="415"/>
      <c r="AB1573" s="415"/>
      <c r="AC1573" s="128"/>
      <c r="AH1573" s="124"/>
    </row>
    <row r="1574" spans="1:34" ht="25.5" x14ac:dyDescent="0.35">
      <c r="D1574" s="191"/>
      <c r="E1574"/>
      <c r="M1574" s="130"/>
      <c r="O1574" s="132"/>
      <c r="P1574" s="132"/>
      <c r="Q1574" s="132"/>
      <c r="R1574" s="132"/>
      <c r="S1574" s="132"/>
      <c r="T1574" s="132"/>
      <c r="U1574" s="132"/>
      <c r="V1574" s="132"/>
      <c r="W1574" s="133"/>
      <c r="X1574" s="134"/>
      <c r="Y1574" s="134"/>
      <c r="Z1574" s="415"/>
      <c r="AA1574" s="415"/>
      <c r="AB1574" s="415"/>
      <c r="AC1574" s="129"/>
    </row>
    <row r="1575" spans="1:34" ht="25.5" x14ac:dyDescent="0.35">
      <c r="D1575" s="191"/>
      <c r="E1575"/>
      <c r="M1575" s="130"/>
      <c r="O1575" s="132"/>
      <c r="P1575" s="132"/>
      <c r="Q1575" s="132"/>
      <c r="R1575" s="134"/>
      <c r="S1575" s="132"/>
      <c r="T1575" s="132"/>
      <c r="U1575" s="132"/>
      <c r="V1575" s="132"/>
      <c r="W1575" s="134"/>
      <c r="X1575" s="132"/>
      <c r="Y1575" s="134"/>
      <c r="Z1575" s="415"/>
      <c r="AA1575" s="415"/>
      <c r="AB1575" s="415"/>
    </row>
    <row r="1576" spans="1:34" ht="25.5" x14ac:dyDescent="0.35">
      <c r="A1576" s="3"/>
      <c r="D1576" s="191"/>
      <c r="E1576"/>
      <c r="O1576" s="132"/>
      <c r="P1576" s="132"/>
      <c r="Q1576" s="132"/>
      <c r="R1576" s="132"/>
      <c r="S1576" s="132"/>
      <c r="T1576" s="132"/>
      <c r="U1576" s="132"/>
      <c r="V1576" s="132"/>
      <c r="W1576" s="135"/>
      <c r="X1576" s="135"/>
      <c r="Y1576" s="132"/>
      <c r="Z1576" s="415"/>
      <c r="AA1576" s="415"/>
      <c r="AB1576" s="415"/>
    </row>
    <row r="1577" spans="1:34" ht="26.25" x14ac:dyDescent="0.4">
      <c r="A1577" s="3"/>
      <c r="D1577" s="192"/>
      <c r="E1577"/>
      <c r="O1577" s="132"/>
      <c r="P1577" s="132"/>
      <c r="Q1577" s="132"/>
      <c r="R1577" s="132"/>
      <c r="S1577" s="132"/>
      <c r="T1577" s="132"/>
      <c r="U1577" s="132"/>
      <c r="V1577" s="132"/>
      <c r="W1577" s="132"/>
      <c r="X1577" s="135"/>
      <c r="Y1577" s="134"/>
      <c r="Z1577" s="193"/>
      <c r="AA1577" s="193"/>
      <c r="AB1577" s="193"/>
    </row>
    <row r="1578" spans="1:34" ht="25.5" x14ac:dyDescent="0.35">
      <c r="D1578" s="191"/>
      <c r="E1578"/>
      <c r="O1578" s="132"/>
      <c r="P1578" s="132"/>
      <c r="Q1578" s="132"/>
      <c r="R1578" s="132"/>
      <c r="S1578" s="132"/>
      <c r="T1578" s="132"/>
      <c r="U1578" s="132"/>
      <c r="V1578" s="132"/>
      <c r="W1578" s="132"/>
      <c r="X1578" s="132"/>
      <c r="Y1578" s="388"/>
      <c r="Z1578" s="193"/>
      <c r="AA1578" s="193"/>
      <c r="AB1578" s="193"/>
      <c r="AC1578" s="129"/>
    </row>
    <row r="1579" spans="1:34" ht="23.25" x14ac:dyDescent="0.25">
      <c r="O1579" s="132"/>
      <c r="P1579" s="132"/>
      <c r="Q1579" s="132"/>
      <c r="R1579" s="132"/>
      <c r="S1579" s="132"/>
      <c r="T1579" s="132"/>
      <c r="U1579" s="132"/>
      <c r="V1579" s="132"/>
      <c r="W1579" s="132"/>
      <c r="X1579" s="132"/>
      <c r="Y1579" s="132"/>
      <c r="Z1579" s="193"/>
      <c r="AA1579" s="193"/>
      <c r="AB1579" s="193"/>
    </row>
    <row r="1580" spans="1:34" ht="23.25" x14ac:dyDescent="0.25">
      <c r="A1580" s="3"/>
      <c r="D1580" s="3"/>
      <c r="O1580" s="132"/>
      <c r="P1580" s="132"/>
      <c r="Q1580" s="132"/>
      <c r="R1580" s="132"/>
      <c r="S1580" s="132"/>
      <c r="T1580" s="132"/>
      <c r="U1580" s="132"/>
      <c r="V1580" s="132"/>
      <c r="W1580" s="134"/>
      <c r="X1580" s="135"/>
      <c r="Y1580" s="132"/>
      <c r="Z1580" s="410"/>
      <c r="AA1580" s="410"/>
      <c r="AB1580" s="410"/>
      <c r="AC1580" s="410"/>
    </row>
    <row r="1581" spans="1:34" ht="23.25" x14ac:dyDescent="0.25">
      <c r="A1581" s="3"/>
      <c r="D1581" s="3"/>
      <c r="O1581" s="132"/>
      <c r="P1581" s="132"/>
      <c r="Q1581" s="132"/>
      <c r="R1581" s="132"/>
      <c r="S1581" s="132"/>
      <c r="T1581" s="132"/>
      <c r="U1581" s="132"/>
      <c r="V1581" s="132"/>
      <c r="W1581" s="132"/>
      <c r="X1581" s="135"/>
      <c r="Y1581" s="132"/>
      <c r="Z1581" s="411"/>
      <c r="AA1581" s="411"/>
      <c r="AB1581" s="411"/>
    </row>
    <row r="1582" spans="1:34" ht="23.25" x14ac:dyDescent="0.25">
      <c r="Z1582" s="411"/>
      <c r="AA1582" s="411"/>
      <c r="AB1582" s="411"/>
      <c r="AC1582" s="411"/>
    </row>
  </sheetData>
  <mergeCells count="58">
    <mergeCell ref="A1:AE1"/>
    <mergeCell ref="A2:AE2"/>
    <mergeCell ref="A3:AE3"/>
    <mergeCell ref="A4:C4"/>
    <mergeCell ref="D4:F4"/>
    <mergeCell ref="G4:G6"/>
    <mergeCell ref="H4:H6"/>
    <mergeCell ref="I4:I6"/>
    <mergeCell ref="J4:J6"/>
    <mergeCell ref="K4:K6"/>
    <mergeCell ref="AC4:AC6"/>
    <mergeCell ref="V5:W5"/>
    <mergeCell ref="X5:Y5"/>
    <mergeCell ref="L4:L5"/>
    <mergeCell ref="M4:O4"/>
    <mergeCell ref="P4:P6"/>
    <mergeCell ref="S4:S6"/>
    <mergeCell ref="T4:T6"/>
    <mergeCell ref="O5:O6"/>
    <mergeCell ref="Q5:Q6"/>
    <mergeCell ref="R5:R6"/>
    <mergeCell ref="AD4:AD6"/>
    <mergeCell ref="AE4:AE6"/>
    <mergeCell ref="A5:A6"/>
    <mergeCell ref="B5:B6"/>
    <mergeCell ref="C5:C6"/>
    <mergeCell ref="D5:D6"/>
    <mergeCell ref="E5:E6"/>
    <mergeCell ref="F5:F6"/>
    <mergeCell ref="M5:M6"/>
    <mergeCell ref="N5:N6"/>
    <mergeCell ref="U4:U6"/>
    <mergeCell ref="V4:Y4"/>
    <mergeCell ref="Z4:Z6"/>
    <mergeCell ref="AA4:AA6"/>
    <mergeCell ref="AB4:AB6"/>
    <mergeCell ref="Q4:R4"/>
    <mergeCell ref="AD77:AE77"/>
    <mergeCell ref="AD63:AE63"/>
    <mergeCell ref="AD64:AE64"/>
    <mergeCell ref="AD65:AE65"/>
    <mergeCell ref="AD66:AE66"/>
    <mergeCell ref="AD68:AE68"/>
    <mergeCell ref="AD70:AE70"/>
    <mergeCell ref="AD71:AE71"/>
    <mergeCell ref="AD72:AE72"/>
    <mergeCell ref="AD73:AE73"/>
    <mergeCell ref="AD74:AE74"/>
    <mergeCell ref="AD75:AE75"/>
    <mergeCell ref="Z1580:AC1580"/>
    <mergeCell ref="Z1581:AB1581"/>
    <mergeCell ref="Z1582:AC1582"/>
    <mergeCell ref="E644:F644"/>
    <mergeCell ref="A1571:L1571"/>
    <mergeCell ref="Z1573:AB1573"/>
    <mergeCell ref="Z1575:AB1575"/>
    <mergeCell ref="Z1576:AB1576"/>
    <mergeCell ref="Z1574:AB1574"/>
  </mergeCells>
  <pageMargins left="0.11811023622047245" right="0.70866141732283472" top="0.74803149606299213" bottom="0.74803149606299213" header="0.31496062992125984" footer="0.31496062992125984"/>
  <pageSetup paperSize="5" scale="39" orientation="landscape" horizontalDpi="200" verticalDpi="200" r:id="rId1"/>
  <headerFoot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687E3-E6FF-4FF1-AE5B-5767781467EB}">
  <dimension ref="A1:AL1874"/>
  <sheetViews>
    <sheetView view="pageBreakPreview" zoomScale="85" zoomScaleNormal="100" zoomScaleSheetLayoutView="85" workbookViewId="0">
      <pane xSplit="8" ySplit="10" topLeftCell="I872" activePane="bottomRight" state="frozen"/>
      <selection pane="topRight" activeCell="I1" sqref="I1"/>
      <selection pane="bottomLeft" activeCell="A11" sqref="A11"/>
      <selection pane="bottomRight" activeCell="I1825" sqref="I1825"/>
    </sheetView>
  </sheetViews>
  <sheetFormatPr defaultColWidth="9.140625" defaultRowHeight="15" x14ac:dyDescent="0.25"/>
  <cols>
    <col min="1" max="1" width="3.42578125" style="351" bestFit="1" customWidth="1"/>
    <col min="2" max="2" width="7" style="357" bestFit="1" customWidth="1"/>
    <col min="3" max="3" width="8.140625" style="357" customWidth="1"/>
    <col min="4" max="4" width="7.28515625" style="357" customWidth="1"/>
    <col min="5" max="5" width="8.140625" style="357" customWidth="1"/>
    <col min="6" max="6" width="10" style="357" customWidth="1"/>
    <col min="7" max="7" width="9.85546875" style="357" customWidth="1"/>
    <col min="8" max="8" width="43.5703125" style="357" customWidth="1"/>
    <col min="9" max="9" width="24.42578125" style="354" bestFit="1" customWidth="1"/>
    <col min="10" max="10" width="23.140625" style="357" customWidth="1"/>
    <col min="11" max="11" width="20.28515625" style="357" customWidth="1"/>
    <col min="12" max="12" width="18.42578125" style="357" customWidth="1"/>
    <col min="13" max="13" width="27.85546875" style="357" customWidth="1"/>
    <col min="14" max="14" width="23.42578125" style="356" customWidth="1"/>
    <col min="15" max="15" width="23.140625" style="356" customWidth="1"/>
    <col min="16" max="16" width="25.28515625" style="356" bestFit="1" customWidth="1"/>
    <col min="17" max="17" width="19.42578125" style="356" bestFit="1" customWidth="1"/>
    <col min="18" max="18" width="24.5703125" style="356" bestFit="1" customWidth="1"/>
    <col min="19" max="19" width="9.140625" style="356"/>
    <col min="20" max="20" width="16.5703125" style="356" bestFit="1" customWidth="1"/>
    <col min="21" max="16384" width="9.140625" style="356"/>
  </cols>
  <sheetData>
    <row r="1" spans="1:36" s="320" customFormat="1" ht="17.25" customHeight="1" x14ac:dyDescent="0.25">
      <c r="A1" s="319"/>
      <c r="B1" s="468" t="s">
        <v>1804</v>
      </c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</row>
    <row r="2" spans="1:36" s="320" customFormat="1" ht="18" customHeight="1" x14ac:dyDescent="0.25">
      <c r="A2" s="319"/>
      <c r="B2" s="468" t="s">
        <v>1805</v>
      </c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</row>
    <row r="3" spans="1:36" s="320" customFormat="1" ht="15" customHeight="1" x14ac:dyDescent="0.25">
      <c r="A3" s="319"/>
      <c r="B3" s="469" t="s">
        <v>3716</v>
      </c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</row>
    <row r="4" spans="1:36" s="320" customFormat="1" ht="15" customHeight="1" x14ac:dyDescent="0.25">
      <c r="A4" s="319"/>
      <c r="B4" s="321"/>
      <c r="C4" s="321"/>
      <c r="D4" s="321"/>
      <c r="E4" s="321"/>
      <c r="F4" s="321"/>
      <c r="G4" s="321"/>
      <c r="H4" s="321"/>
      <c r="I4" s="321"/>
      <c r="J4" s="321"/>
      <c r="K4" s="321"/>
      <c r="L4" s="321"/>
      <c r="M4" s="321"/>
      <c r="N4" s="322"/>
      <c r="O4" s="322"/>
      <c r="P4" s="321"/>
    </row>
    <row r="5" spans="1:36" s="325" customFormat="1" ht="15" customHeight="1" x14ac:dyDescent="0.25">
      <c r="A5" s="323"/>
      <c r="B5" s="324" t="s">
        <v>1807</v>
      </c>
      <c r="C5" s="201" t="s">
        <v>1808</v>
      </c>
      <c r="D5" s="201"/>
      <c r="E5" s="201"/>
      <c r="F5" s="201"/>
      <c r="G5" s="201"/>
      <c r="H5" s="201"/>
      <c r="I5" s="201"/>
      <c r="J5" s="201"/>
      <c r="K5" s="201"/>
      <c r="L5" s="385"/>
      <c r="M5" s="201"/>
      <c r="N5" s="394"/>
      <c r="O5" s="385"/>
      <c r="P5" s="280"/>
      <c r="Q5" s="201"/>
      <c r="R5" s="201"/>
      <c r="S5" s="201"/>
      <c r="T5" s="201"/>
      <c r="U5" s="201"/>
      <c r="V5" s="201"/>
      <c r="W5" s="201"/>
      <c r="X5" s="201"/>
      <c r="Y5" s="201"/>
      <c r="Z5" s="201"/>
      <c r="AA5" s="201"/>
      <c r="AB5" s="201"/>
      <c r="AC5" s="201"/>
      <c r="AD5" s="201"/>
      <c r="AE5" s="201"/>
      <c r="AF5" s="201"/>
      <c r="AG5" s="201"/>
      <c r="AH5" s="201"/>
      <c r="AI5" s="201"/>
      <c r="AJ5" s="201"/>
    </row>
    <row r="6" spans="1:36" s="320" customFormat="1" x14ac:dyDescent="0.25">
      <c r="A6" s="319"/>
      <c r="I6" s="326"/>
      <c r="L6" s="387"/>
      <c r="M6" s="386"/>
      <c r="N6" s="386"/>
      <c r="O6" s="396"/>
    </row>
    <row r="7" spans="1:36" s="320" customFormat="1" ht="22.5" customHeight="1" x14ac:dyDescent="0.25">
      <c r="A7" s="319"/>
      <c r="B7" s="470" t="s">
        <v>22</v>
      </c>
      <c r="C7" s="470" t="s">
        <v>1809</v>
      </c>
      <c r="D7" s="470" t="s">
        <v>1810</v>
      </c>
      <c r="E7" s="470" t="s">
        <v>1811</v>
      </c>
      <c r="F7" s="470" t="s">
        <v>1812</v>
      </c>
      <c r="G7" s="470" t="s">
        <v>1813</v>
      </c>
      <c r="H7" s="466" t="s">
        <v>1814</v>
      </c>
      <c r="I7" s="466" t="s">
        <v>1815</v>
      </c>
      <c r="J7" s="466" t="s">
        <v>1816</v>
      </c>
      <c r="K7" s="466" t="s">
        <v>1817</v>
      </c>
      <c r="L7" s="466" t="s">
        <v>1818</v>
      </c>
      <c r="M7" s="466" t="s">
        <v>1819</v>
      </c>
      <c r="N7" s="467" t="s">
        <v>1820</v>
      </c>
      <c r="O7" s="467" t="s">
        <v>1821</v>
      </c>
      <c r="P7" s="466" t="s">
        <v>21</v>
      </c>
    </row>
    <row r="8" spans="1:36" s="320" customFormat="1" ht="24.75" customHeight="1" x14ac:dyDescent="0.25">
      <c r="A8" s="319"/>
      <c r="B8" s="471"/>
      <c r="C8" s="471"/>
      <c r="D8" s="471"/>
      <c r="E8" s="471"/>
      <c r="F8" s="471"/>
      <c r="G8" s="471"/>
      <c r="H8" s="466"/>
      <c r="I8" s="466"/>
      <c r="J8" s="466"/>
      <c r="K8" s="466"/>
      <c r="L8" s="466"/>
      <c r="M8" s="466"/>
      <c r="N8" s="467"/>
      <c r="O8" s="467"/>
      <c r="P8" s="466"/>
    </row>
    <row r="9" spans="1:36" s="320" customFormat="1" ht="15" customHeight="1" x14ac:dyDescent="0.25">
      <c r="A9" s="319"/>
      <c r="B9" s="472"/>
      <c r="C9" s="472"/>
      <c r="D9" s="472"/>
      <c r="E9" s="472"/>
      <c r="F9" s="472"/>
      <c r="G9" s="472"/>
      <c r="H9" s="466"/>
      <c r="I9" s="466"/>
      <c r="J9" s="466"/>
      <c r="K9" s="466"/>
      <c r="L9" s="466"/>
      <c r="M9" s="466"/>
      <c r="N9" s="467"/>
      <c r="O9" s="467"/>
      <c r="P9" s="466"/>
    </row>
    <row r="10" spans="1:36" s="320" customFormat="1" x14ac:dyDescent="0.25">
      <c r="A10" s="319"/>
      <c r="B10" s="327">
        <v>1</v>
      </c>
      <c r="C10" s="327">
        <v>2</v>
      </c>
      <c r="D10" s="327"/>
      <c r="E10" s="327"/>
      <c r="F10" s="327"/>
      <c r="G10" s="327">
        <v>3</v>
      </c>
      <c r="H10" s="327">
        <v>4</v>
      </c>
      <c r="I10" s="328">
        <v>5</v>
      </c>
      <c r="J10" s="327">
        <v>6</v>
      </c>
      <c r="K10" s="328">
        <v>7</v>
      </c>
      <c r="L10" s="327">
        <v>8</v>
      </c>
      <c r="M10" s="328">
        <v>9</v>
      </c>
      <c r="N10" s="329">
        <v>10</v>
      </c>
      <c r="O10" s="330">
        <v>11</v>
      </c>
      <c r="P10" s="327">
        <v>12</v>
      </c>
    </row>
    <row r="11" spans="1:36" s="213" customFormat="1" x14ac:dyDescent="0.25">
      <c r="A11" s="208"/>
      <c r="B11" s="209" t="s">
        <v>1822</v>
      </c>
      <c r="C11" s="209" t="s">
        <v>1823</v>
      </c>
      <c r="D11" s="209"/>
      <c r="E11" s="209"/>
      <c r="F11" s="209"/>
      <c r="G11" s="209"/>
      <c r="H11" s="210" t="s">
        <v>1824</v>
      </c>
      <c r="I11" s="211">
        <f>SUM(I13+I54+I628+I703+I868+I968)</f>
        <v>37893581718.004616</v>
      </c>
      <c r="J11" s="211">
        <f t="shared" ref="J11:P11" si="0">SUM(J13+J54+J628+J703+J868+J968)</f>
        <v>2119017743.8317714</v>
      </c>
      <c r="K11" s="211">
        <f t="shared" si="0"/>
        <v>574060949.75224078</v>
      </c>
      <c r="L11" s="211">
        <f t="shared" si="0"/>
        <v>0</v>
      </c>
      <c r="M11" s="211">
        <f t="shared" si="0"/>
        <v>574060949.75224078</v>
      </c>
      <c r="N11" s="211">
        <f>SUM(N13+N54+N628+N703+N868+N968)+0.09</f>
        <v>21107060085.415359</v>
      </c>
      <c r="O11" s="211">
        <f t="shared" si="0"/>
        <v>16853191466.79878</v>
      </c>
      <c r="P11" s="211">
        <f t="shared" si="0"/>
        <v>0</v>
      </c>
      <c r="Q11" s="212"/>
    </row>
    <row r="12" spans="1:36" s="219" customFormat="1" hidden="1" x14ac:dyDescent="0.25">
      <c r="A12" s="214"/>
      <c r="B12" s="215"/>
      <c r="C12" s="215"/>
      <c r="D12" s="215"/>
      <c r="E12" s="215"/>
      <c r="F12" s="215"/>
      <c r="G12" s="215"/>
      <c r="H12" s="216"/>
      <c r="I12" s="217"/>
      <c r="J12" s="217"/>
      <c r="K12" s="217"/>
      <c r="L12" s="217"/>
      <c r="M12" s="217"/>
      <c r="N12" s="217"/>
      <c r="O12" s="217"/>
      <c r="P12" s="217"/>
      <c r="Q12" s="218"/>
    </row>
    <row r="13" spans="1:36" s="213" customFormat="1" hidden="1" x14ac:dyDescent="0.25">
      <c r="A13" s="208">
        <v>1</v>
      </c>
      <c r="B13" s="209" t="s">
        <v>1822</v>
      </c>
      <c r="C13" s="209" t="s">
        <v>1823</v>
      </c>
      <c r="D13" s="209" t="s">
        <v>1825</v>
      </c>
      <c r="E13" s="209"/>
      <c r="F13" s="209"/>
      <c r="G13" s="209"/>
      <c r="H13" s="210" t="s">
        <v>1826</v>
      </c>
      <c r="I13" s="211">
        <f>I14</f>
        <v>0</v>
      </c>
      <c r="J13" s="211">
        <f t="shared" ref="J13:P13" si="1">J14</f>
        <v>0</v>
      </c>
      <c r="K13" s="211">
        <f t="shared" si="1"/>
        <v>0</v>
      </c>
      <c r="L13" s="211">
        <f t="shared" si="1"/>
        <v>0</v>
      </c>
      <c r="M13" s="211">
        <f t="shared" si="1"/>
        <v>0</v>
      </c>
      <c r="N13" s="211">
        <f t="shared" si="1"/>
        <v>0</v>
      </c>
      <c r="O13" s="211">
        <f t="shared" si="1"/>
        <v>0</v>
      </c>
      <c r="P13" s="211">
        <f t="shared" si="1"/>
        <v>0</v>
      </c>
      <c r="Q13" s="212"/>
    </row>
    <row r="14" spans="1:36" s="213" customFormat="1" hidden="1" x14ac:dyDescent="0.25">
      <c r="A14" s="208" t="s">
        <v>1827</v>
      </c>
      <c r="B14" s="209" t="s">
        <v>1822</v>
      </c>
      <c r="C14" s="209" t="s">
        <v>1823</v>
      </c>
      <c r="D14" s="209" t="s">
        <v>1825</v>
      </c>
      <c r="E14" s="209" t="s">
        <v>1825</v>
      </c>
      <c r="F14" s="209"/>
      <c r="G14" s="209"/>
      <c r="H14" s="210" t="s">
        <v>1826</v>
      </c>
      <c r="I14" s="211">
        <f>SUM(I15+I23+I33)</f>
        <v>0</v>
      </c>
      <c r="J14" s="211">
        <f t="shared" ref="J14:P14" si="2">SUM(J15+J23+J33)</f>
        <v>0</v>
      </c>
      <c r="K14" s="211">
        <f t="shared" si="2"/>
        <v>0</v>
      </c>
      <c r="L14" s="211">
        <f t="shared" si="2"/>
        <v>0</v>
      </c>
      <c r="M14" s="211">
        <f t="shared" si="2"/>
        <v>0</v>
      </c>
      <c r="N14" s="211">
        <f t="shared" si="2"/>
        <v>0</v>
      </c>
      <c r="O14" s="211">
        <f t="shared" si="2"/>
        <v>0</v>
      </c>
      <c r="P14" s="211">
        <f t="shared" si="2"/>
        <v>0</v>
      </c>
      <c r="Q14" s="212"/>
    </row>
    <row r="15" spans="1:36" s="213" customFormat="1" hidden="1" x14ac:dyDescent="0.25">
      <c r="A15" s="208" t="s">
        <v>263</v>
      </c>
      <c r="B15" s="209" t="s">
        <v>1822</v>
      </c>
      <c r="C15" s="209" t="s">
        <v>1823</v>
      </c>
      <c r="D15" s="209" t="s">
        <v>1825</v>
      </c>
      <c r="E15" s="209" t="s">
        <v>1825</v>
      </c>
      <c r="F15" s="209" t="s">
        <v>1825</v>
      </c>
      <c r="G15" s="209"/>
      <c r="H15" s="210" t="s">
        <v>1828</v>
      </c>
      <c r="I15" s="211">
        <f>SUM(I16:I22)</f>
        <v>0</v>
      </c>
      <c r="J15" s="211">
        <f t="shared" ref="J15:P15" si="3">SUM(J16:J22)</f>
        <v>0</v>
      </c>
      <c r="K15" s="211">
        <f t="shared" si="3"/>
        <v>0</v>
      </c>
      <c r="L15" s="211">
        <f t="shared" si="3"/>
        <v>0</v>
      </c>
      <c r="M15" s="211">
        <f t="shared" si="3"/>
        <v>0</v>
      </c>
      <c r="N15" s="211">
        <f t="shared" si="3"/>
        <v>0</v>
      </c>
      <c r="O15" s="211">
        <f t="shared" si="3"/>
        <v>0</v>
      </c>
      <c r="P15" s="211">
        <f t="shared" si="3"/>
        <v>0</v>
      </c>
      <c r="Q15" s="212"/>
    </row>
    <row r="16" spans="1:36" s="219" customFormat="1" ht="30" hidden="1" x14ac:dyDescent="0.25">
      <c r="A16" s="214"/>
      <c r="B16" s="215" t="s">
        <v>1822</v>
      </c>
      <c r="C16" s="215" t="s">
        <v>1823</v>
      </c>
      <c r="D16" s="215" t="s">
        <v>1825</v>
      </c>
      <c r="E16" s="215" t="s">
        <v>1825</v>
      </c>
      <c r="F16" s="215" t="s">
        <v>1825</v>
      </c>
      <c r="G16" s="215" t="s">
        <v>58</v>
      </c>
      <c r="H16" s="216" t="s">
        <v>1829</v>
      </c>
      <c r="I16" s="220"/>
      <c r="J16" s="220"/>
      <c r="K16" s="220"/>
      <c r="L16" s="220"/>
      <c r="M16" s="220"/>
      <c r="N16" s="220"/>
      <c r="O16" s="220"/>
      <c r="P16" s="220"/>
      <c r="Q16" s="218"/>
    </row>
    <row r="17" spans="1:17" s="219" customFormat="1" ht="30" hidden="1" x14ac:dyDescent="0.25">
      <c r="A17" s="214"/>
      <c r="B17" s="215" t="s">
        <v>1822</v>
      </c>
      <c r="C17" s="215" t="s">
        <v>1823</v>
      </c>
      <c r="D17" s="215" t="s">
        <v>1825</v>
      </c>
      <c r="E17" s="215" t="s">
        <v>1825</v>
      </c>
      <c r="F17" s="215" t="s">
        <v>1825</v>
      </c>
      <c r="G17" s="215" t="s">
        <v>75</v>
      </c>
      <c r="H17" s="216" t="s">
        <v>1830</v>
      </c>
      <c r="I17" s="217"/>
      <c r="J17" s="217"/>
      <c r="K17" s="217"/>
      <c r="L17" s="217"/>
      <c r="M17" s="217"/>
      <c r="N17" s="217"/>
      <c r="O17" s="217"/>
      <c r="P17" s="217"/>
      <c r="Q17" s="218"/>
    </row>
    <row r="18" spans="1:17" s="219" customFormat="1" hidden="1" x14ac:dyDescent="0.25">
      <c r="A18" s="214"/>
      <c r="B18" s="215" t="s">
        <v>1822</v>
      </c>
      <c r="C18" s="215" t="s">
        <v>1823</v>
      </c>
      <c r="D18" s="215" t="s">
        <v>1825</v>
      </c>
      <c r="E18" s="215" t="s">
        <v>1825</v>
      </c>
      <c r="F18" s="215" t="s">
        <v>1825</v>
      </c>
      <c r="G18" s="215" t="s">
        <v>79</v>
      </c>
      <c r="H18" s="216" t="s">
        <v>1831</v>
      </c>
      <c r="I18" s="217"/>
      <c r="J18" s="217"/>
      <c r="K18" s="217"/>
      <c r="L18" s="217"/>
      <c r="M18" s="217"/>
      <c r="N18" s="217"/>
      <c r="O18" s="217"/>
      <c r="P18" s="217"/>
      <c r="Q18" s="218"/>
    </row>
    <row r="19" spans="1:17" s="219" customFormat="1" hidden="1" x14ac:dyDescent="0.25">
      <c r="A19" s="214"/>
      <c r="B19" s="215" t="s">
        <v>1822</v>
      </c>
      <c r="C19" s="215" t="s">
        <v>1823</v>
      </c>
      <c r="D19" s="215" t="s">
        <v>1825</v>
      </c>
      <c r="E19" s="215" t="s">
        <v>1825</v>
      </c>
      <c r="F19" s="215" t="s">
        <v>1825</v>
      </c>
      <c r="G19" s="215" t="s">
        <v>84</v>
      </c>
      <c r="H19" s="216" t="s">
        <v>1832</v>
      </c>
      <c r="I19" s="217"/>
      <c r="J19" s="217"/>
      <c r="K19" s="217"/>
      <c r="L19" s="217"/>
      <c r="M19" s="217"/>
      <c r="N19" s="217"/>
      <c r="O19" s="217"/>
      <c r="P19" s="217"/>
      <c r="Q19" s="218"/>
    </row>
    <row r="20" spans="1:17" s="219" customFormat="1" ht="30" hidden="1" x14ac:dyDescent="0.25">
      <c r="A20" s="214"/>
      <c r="B20" s="215" t="s">
        <v>1822</v>
      </c>
      <c r="C20" s="215" t="s">
        <v>1823</v>
      </c>
      <c r="D20" s="215" t="s">
        <v>1825</v>
      </c>
      <c r="E20" s="215" t="s">
        <v>1825</v>
      </c>
      <c r="F20" s="215" t="s">
        <v>1825</v>
      </c>
      <c r="G20" s="215" t="s">
        <v>88</v>
      </c>
      <c r="H20" s="216" t="s">
        <v>1833</v>
      </c>
      <c r="I20" s="217"/>
      <c r="J20" s="217"/>
      <c r="K20" s="217"/>
      <c r="L20" s="217"/>
      <c r="M20" s="217"/>
      <c r="N20" s="217"/>
      <c r="O20" s="217"/>
      <c r="P20" s="217"/>
      <c r="Q20" s="218"/>
    </row>
    <row r="21" spans="1:17" s="219" customFormat="1" ht="30" hidden="1" x14ac:dyDescent="0.25">
      <c r="A21" s="214"/>
      <c r="B21" s="215" t="s">
        <v>1822</v>
      </c>
      <c r="C21" s="215" t="s">
        <v>1823</v>
      </c>
      <c r="D21" s="215" t="s">
        <v>1825</v>
      </c>
      <c r="E21" s="215" t="s">
        <v>1825</v>
      </c>
      <c r="F21" s="215" t="s">
        <v>1825</v>
      </c>
      <c r="G21" s="215" t="s">
        <v>92</v>
      </c>
      <c r="H21" s="216" t="s">
        <v>1834</v>
      </c>
      <c r="I21" s="217"/>
      <c r="J21" s="217"/>
      <c r="K21" s="217"/>
      <c r="L21" s="217"/>
      <c r="M21" s="217"/>
      <c r="N21" s="217"/>
      <c r="O21" s="217"/>
      <c r="P21" s="217"/>
      <c r="Q21" s="218"/>
    </row>
    <row r="22" spans="1:17" s="219" customFormat="1" hidden="1" x14ac:dyDescent="0.25">
      <c r="A22" s="214"/>
      <c r="B22" s="215" t="s">
        <v>1822</v>
      </c>
      <c r="C22" s="215" t="s">
        <v>1823</v>
      </c>
      <c r="D22" s="215" t="s">
        <v>1825</v>
      </c>
      <c r="E22" s="215" t="s">
        <v>1825</v>
      </c>
      <c r="F22" s="215" t="s">
        <v>1825</v>
      </c>
      <c r="G22" s="215" t="s">
        <v>96</v>
      </c>
      <c r="H22" s="216" t="s">
        <v>1835</v>
      </c>
      <c r="I22" s="217"/>
      <c r="J22" s="217"/>
      <c r="K22" s="217"/>
      <c r="L22" s="217"/>
      <c r="M22" s="217"/>
      <c r="N22" s="217"/>
      <c r="O22" s="217"/>
      <c r="P22" s="217"/>
      <c r="Q22" s="218"/>
    </row>
    <row r="23" spans="1:17" s="213" customFormat="1" hidden="1" x14ac:dyDescent="0.25">
      <c r="A23" s="208" t="s">
        <v>263</v>
      </c>
      <c r="B23" s="209" t="s">
        <v>1822</v>
      </c>
      <c r="C23" s="209" t="s">
        <v>1823</v>
      </c>
      <c r="D23" s="209" t="s">
        <v>1825</v>
      </c>
      <c r="E23" s="209" t="s">
        <v>1825</v>
      </c>
      <c r="F23" s="209" t="s">
        <v>1836</v>
      </c>
      <c r="G23" s="209"/>
      <c r="H23" s="210" t="s">
        <v>1837</v>
      </c>
      <c r="I23" s="211">
        <f>SUM(I24:I32)</f>
        <v>0</v>
      </c>
      <c r="J23" s="211">
        <f t="shared" ref="J23:P23" si="4">SUM(J24:J32)</f>
        <v>0</v>
      </c>
      <c r="K23" s="211">
        <f t="shared" si="4"/>
        <v>0</v>
      </c>
      <c r="L23" s="211">
        <f t="shared" si="4"/>
        <v>0</v>
      </c>
      <c r="M23" s="211">
        <f t="shared" si="4"/>
        <v>0</v>
      </c>
      <c r="N23" s="211">
        <f t="shared" si="4"/>
        <v>0</v>
      </c>
      <c r="O23" s="211">
        <f t="shared" si="4"/>
        <v>0</v>
      </c>
      <c r="P23" s="211">
        <f t="shared" si="4"/>
        <v>0</v>
      </c>
      <c r="Q23" s="212"/>
    </row>
    <row r="24" spans="1:17" s="219" customFormat="1" hidden="1" x14ac:dyDescent="0.25">
      <c r="A24" s="214"/>
      <c r="B24" s="215" t="s">
        <v>1822</v>
      </c>
      <c r="C24" s="215" t="s">
        <v>1823</v>
      </c>
      <c r="D24" s="215" t="s">
        <v>1825</v>
      </c>
      <c r="E24" s="215" t="s">
        <v>1825</v>
      </c>
      <c r="F24" s="215" t="s">
        <v>1836</v>
      </c>
      <c r="G24" s="215" t="s">
        <v>58</v>
      </c>
      <c r="H24" s="216" t="s">
        <v>1838</v>
      </c>
      <c r="I24" s="217"/>
      <c r="J24" s="217"/>
      <c r="K24" s="217"/>
      <c r="L24" s="217"/>
      <c r="M24" s="217"/>
      <c r="N24" s="217"/>
      <c r="O24" s="217"/>
      <c r="P24" s="217"/>
      <c r="Q24" s="218"/>
    </row>
    <row r="25" spans="1:17" s="219" customFormat="1" hidden="1" x14ac:dyDescent="0.25">
      <c r="A25" s="214"/>
      <c r="B25" s="215" t="s">
        <v>1822</v>
      </c>
      <c r="C25" s="215" t="s">
        <v>1823</v>
      </c>
      <c r="D25" s="215" t="s">
        <v>1825</v>
      </c>
      <c r="E25" s="215" t="s">
        <v>1825</v>
      </c>
      <c r="F25" s="215" t="s">
        <v>1836</v>
      </c>
      <c r="G25" s="215" t="s">
        <v>75</v>
      </c>
      <c r="H25" s="216" t="s">
        <v>1839</v>
      </c>
      <c r="I25" s="217"/>
      <c r="J25" s="217"/>
      <c r="K25" s="217"/>
      <c r="L25" s="217"/>
      <c r="M25" s="217"/>
      <c r="N25" s="217"/>
      <c r="O25" s="217"/>
      <c r="P25" s="217"/>
      <c r="Q25" s="218"/>
    </row>
    <row r="26" spans="1:17" s="219" customFormat="1" hidden="1" x14ac:dyDescent="0.25">
      <c r="A26" s="214"/>
      <c r="B26" s="215" t="s">
        <v>1822</v>
      </c>
      <c r="C26" s="215" t="s">
        <v>1823</v>
      </c>
      <c r="D26" s="215" t="s">
        <v>1825</v>
      </c>
      <c r="E26" s="215" t="s">
        <v>1825</v>
      </c>
      <c r="F26" s="215" t="s">
        <v>1836</v>
      </c>
      <c r="G26" s="215" t="s">
        <v>79</v>
      </c>
      <c r="H26" s="216" t="s">
        <v>1840</v>
      </c>
      <c r="I26" s="217"/>
      <c r="J26" s="217"/>
      <c r="K26" s="217"/>
      <c r="L26" s="217"/>
      <c r="M26" s="217"/>
      <c r="N26" s="217"/>
      <c r="O26" s="217"/>
      <c r="P26" s="217"/>
      <c r="Q26" s="218"/>
    </row>
    <row r="27" spans="1:17" s="219" customFormat="1" hidden="1" x14ac:dyDescent="0.25">
      <c r="A27" s="214"/>
      <c r="B27" s="215" t="s">
        <v>1822</v>
      </c>
      <c r="C27" s="215" t="s">
        <v>1823</v>
      </c>
      <c r="D27" s="215" t="s">
        <v>1825</v>
      </c>
      <c r="E27" s="215" t="s">
        <v>1825</v>
      </c>
      <c r="F27" s="215" t="s">
        <v>1836</v>
      </c>
      <c r="G27" s="215" t="s">
        <v>84</v>
      </c>
      <c r="H27" s="216" t="s">
        <v>1841</v>
      </c>
      <c r="I27" s="217"/>
      <c r="J27" s="217"/>
      <c r="K27" s="217"/>
      <c r="L27" s="217"/>
      <c r="M27" s="217"/>
      <c r="N27" s="217"/>
      <c r="O27" s="217"/>
      <c r="P27" s="217"/>
      <c r="Q27" s="218"/>
    </row>
    <row r="28" spans="1:17" s="219" customFormat="1" hidden="1" x14ac:dyDescent="0.25">
      <c r="A28" s="214"/>
      <c r="B28" s="215" t="s">
        <v>1822</v>
      </c>
      <c r="C28" s="215" t="s">
        <v>1823</v>
      </c>
      <c r="D28" s="215" t="s">
        <v>1825</v>
      </c>
      <c r="E28" s="215" t="s">
        <v>1825</v>
      </c>
      <c r="F28" s="215" t="s">
        <v>1836</v>
      </c>
      <c r="G28" s="215" t="s">
        <v>88</v>
      </c>
      <c r="H28" s="216" t="s">
        <v>1842</v>
      </c>
      <c r="I28" s="217"/>
      <c r="J28" s="217"/>
      <c r="K28" s="217"/>
      <c r="L28" s="217"/>
      <c r="M28" s="217"/>
      <c r="N28" s="217"/>
      <c r="O28" s="217"/>
      <c r="P28" s="217"/>
      <c r="Q28" s="218"/>
    </row>
    <row r="29" spans="1:17" s="219" customFormat="1" hidden="1" x14ac:dyDescent="0.25">
      <c r="A29" s="214"/>
      <c r="B29" s="215" t="s">
        <v>1822</v>
      </c>
      <c r="C29" s="215" t="s">
        <v>1823</v>
      </c>
      <c r="D29" s="215" t="s">
        <v>1825</v>
      </c>
      <c r="E29" s="215" t="s">
        <v>1825</v>
      </c>
      <c r="F29" s="215" t="s">
        <v>1836</v>
      </c>
      <c r="G29" s="215" t="s">
        <v>92</v>
      </c>
      <c r="H29" s="216" t="s">
        <v>1843</v>
      </c>
      <c r="I29" s="217"/>
      <c r="J29" s="217"/>
      <c r="K29" s="217"/>
      <c r="L29" s="217"/>
      <c r="M29" s="217"/>
      <c r="N29" s="217"/>
      <c r="O29" s="217"/>
      <c r="P29" s="217"/>
      <c r="Q29" s="218"/>
    </row>
    <row r="30" spans="1:17" s="219" customFormat="1" hidden="1" x14ac:dyDescent="0.25">
      <c r="A30" s="214"/>
      <c r="B30" s="215" t="s">
        <v>1822</v>
      </c>
      <c r="C30" s="215" t="s">
        <v>1823</v>
      </c>
      <c r="D30" s="215" t="s">
        <v>1825</v>
      </c>
      <c r="E30" s="215" t="s">
        <v>1825</v>
      </c>
      <c r="F30" s="215" t="s">
        <v>1836</v>
      </c>
      <c r="G30" s="215" t="s">
        <v>96</v>
      </c>
      <c r="H30" s="216" t="s">
        <v>1844</v>
      </c>
      <c r="I30" s="217"/>
      <c r="J30" s="217"/>
      <c r="K30" s="217"/>
      <c r="L30" s="217"/>
      <c r="M30" s="217"/>
      <c r="N30" s="217"/>
      <c r="O30" s="217"/>
      <c r="P30" s="217"/>
      <c r="Q30" s="218"/>
    </row>
    <row r="31" spans="1:17" s="219" customFormat="1" hidden="1" x14ac:dyDescent="0.25">
      <c r="A31" s="214"/>
      <c r="B31" s="215" t="s">
        <v>1822</v>
      </c>
      <c r="C31" s="215" t="s">
        <v>1823</v>
      </c>
      <c r="D31" s="215" t="s">
        <v>1825</v>
      </c>
      <c r="E31" s="215" t="s">
        <v>1825</v>
      </c>
      <c r="F31" s="215" t="s">
        <v>1836</v>
      </c>
      <c r="G31" s="215" t="s">
        <v>100</v>
      </c>
      <c r="H31" s="216" t="s">
        <v>1845</v>
      </c>
      <c r="I31" s="217"/>
      <c r="J31" s="217"/>
      <c r="K31" s="217"/>
      <c r="L31" s="217"/>
      <c r="M31" s="217"/>
      <c r="N31" s="217"/>
      <c r="O31" s="217"/>
      <c r="P31" s="217"/>
      <c r="Q31" s="218"/>
    </row>
    <row r="32" spans="1:17" s="219" customFormat="1" hidden="1" x14ac:dyDescent="0.25">
      <c r="A32" s="214"/>
      <c r="B32" s="215" t="s">
        <v>1822</v>
      </c>
      <c r="C32" s="215" t="s">
        <v>1823</v>
      </c>
      <c r="D32" s="215" t="s">
        <v>1825</v>
      </c>
      <c r="E32" s="215" t="s">
        <v>1825</v>
      </c>
      <c r="F32" s="215" t="s">
        <v>1836</v>
      </c>
      <c r="G32" s="215" t="s">
        <v>105</v>
      </c>
      <c r="H32" s="216" t="s">
        <v>1846</v>
      </c>
      <c r="I32" s="217"/>
      <c r="J32" s="217"/>
      <c r="K32" s="217"/>
      <c r="L32" s="217"/>
      <c r="M32" s="217"/>
      <c r="N32" s="217"/>
      <c r="O32" s="217"/>
      <c r="P32" s="217"/>
      <c r="Q32" s="218"/>
    </row>
    <row r="33" spans="1:17" s="213" customFormat="1" hidden="1" x14ac:dyDescent="0.25">
      <c r="A33" s="208" t="s">
        <v>263</v>
      </c>
      <c r="B33" s="209" t="s">
        <v>1822</v>
      </c>
      <c r="C33" s="209" t="s">
        <v>1823</v>
      </c>
      <c r="D33" s="209" t="s">
        <v>1825</v>
      </c>
      <c r="E33" s="209" t="s">
        <v>1825</v>
      </c>
      <c r="F33" s="209" t="s">
        <v>1847</v>
      </c>
      <c r="G33" s="209"/>
      <c r="H33" s="210" t="s">
        <v>1848</v>
      </c>
      <c r="I33" s="211">
        <f>SUM(I34:I52)</f>
        <v>0</v>
      </c>
      <c r="J33" s="211">
        <f t="shared" ref="J33:P33" si="5">SUM(J34:J52)</f>
        <v>0</v>
      </c>
      <c r="K33" s="211">
        <f t="shared" si="5"/>
        <v>0</v>
      </c>
      <c r="L33" s="211">
        <f t="shared" si="5"/>
        <v>0</v>
      </c>
      <c r="M33" s="211">
        <f t="shared" si="5"/>
        <v>0</v>
      </c>
      <c r="N33" s="211">
        <f t="shared" si="5"/>
        <v>0</v>
      </c>
      <c r="O33" s="211">
        <f t="shared" si="5"/>
        <v>0</v>
      </c>
      <c r="P33" s="211">
        <f t="shared" si="5"/>
        <v>0</v>
      </c>
      <c r="Q33" s="212"/>
    </row>
    <row r="34" spans="1:17" s="219" customFormat="1" hidden="1" x14ac:dyDescent="0.25">
      <c r="A34" s="214"/>
      <c r="B34" s="215" t="s">
        <v>1822</v>
      </c>
      <c r="C34" s="215" t="s">
        <v>1823</v>
      </c>
      <c r="D34" s="215" t="s">
        <v>1825</v>
      </c>
      <c r="E34" s="215" t="s">
        <v>1825</v>
      </c>
      <c r="F34" s="215" t="s">
        <v>1847</v>
      </c>
      <c r="G34" s="215" t="s">
        <v>58</v>
      </c>
      <c r="H34" s="216" t="s">
        <v>1849</v>
      </c>
      <c r="I34" s="217"/>
      <c r="J34" s="217"/>
      <c r="K34" s="217"/>
      <c r="L34" s="217"/>
      <c r="M34" s="217"/>
      <c r="N34" s="217"/>
      <c r="O34" s="217"/>
      <c r="P34" s="217"/>
      <c r="Q34" s="218"/>
    </row>
    <row r="35" spans="1:17" s="219" customFormat="1" hidden="1" x14ac:dyDescent="0.25">
      <c r="A35" s="214"/>
      <c r="B35" s="215" t="s">
        <v>1822</v>
      </c>
      <c r="C35" s="215" t="s">
        <v>1823</v>
      </c>
      <c r="D35" s="215" t="s">
        <v>1825</v>
      </c>
      <c r="E35" s="215" t="s">
        <v>1825</v>
      </c>
      <c r="F35" s="215" t="s">
        <v>1847</v>
      </c>
      <c r="G35" s="215" t="s">
        <v>75</v>
      </c>
      <c r="H35" s="216" t="s">
        <v>1850</v>
      </c>
      <c r="I35" s="217"/>
      <c r="J35" s="217"/>
      <c r="K35" s="217"/>
      <c r="L35" s="217"/>
      <c r="M35" s="217"/>
      <c r="N35" s="217"/>
      <c r="O35" s="217"/>
      <c r="P35" s="217"/>
      <c r="Q35" s="218"/>
    </row>
    <row r="36" spans="1:17" s="219" customFormat="1" hidden="1" x14ac:dyDescent="0.25">
      <c r="A36" s="214"/>
      <c r="B36" s="215" t="s">
        <v>1822</v>
      </c>
      <c r="C36" s="215" t="s">
        <v>1823</v>
      </c>
      <c r="D36" s="215" t="s">
        <v>1825</v>
      </c>
      <c r="E36" s="215" t="s">
        <v>1825</v>
      </c>
      <c r="F36" s="215" t="s">
        <v>1847</v>
      </c>
      <c r="G36" s="215" t="s">
        <v>79</v>
      </c>
      <c r="H36" s="216" t="s">
        <v>1851</v>
      </c>
      <c r="I36" s="217"/>
      <c r="J36" s="217"/>
      <c r="K36" s="217"/>
      <c r="L36" s="217"/>
      <c r="M36" s="217"/>
      <c r="N36" s="217"/>
      <c r="O36" s="217"/>
      <c r="P36" s="217"/>
      <c r="Q36" s="218"/>
    </row>
    <row r="37" spans="1:17" s="219" customFormat="1" ht="30" hidden="1" x14ac:dyDescent="0.25">
      <c r="A37" s="214"/>
      <c r="B37" s="215" t="s">
        <v>1822</v>
      </c>
      <c r="C37" s="215" t="s">
        <v>1823</v>
      </c>
      <c r="D37" s="215" t="s">
        <v>1825</v>
      </c>
      <c r="E37" s="215" t="s">
        <v>1825</v>
      </c>
      <c r="F37" s="215" t="s">
        <v>1847</v>
      </c>
      <c r="G37" s="215" t="s">
        <v>84</v>
      </c>
      <c r="H37" s="216" t="s">
        <v>1852</v>
      </c>
      <c r="I37" s="217"/>
      <c r="J37" s="217"/>
      <c r="K37" s="217"/>
      <c r="L37" s="217"/>
      <c r="M37" s="217"/>
      <c r="N37" s="217"/>
      <c r="O37" s="217"/>
      <c r="P37" s="217"/>
      <c r="Q37" s="218"/>
    </row>
    <row r="38" spans="1:17" s="219" customFormat="1" ht="30" hidden="1" x14ac:dyDescent="0.25">
      <c r="A38" s="214"/>
      <c r="B38" s="215" t="s">
        <v>1822</v>
      </c>
      <c r="C38" s="215" t="s">
        <v>1823</v>
      </c>
      <c r="D38" s="215" t="s">
        <v>1825</v>
      </c>
      <c r="E38" s="215" t="s">
        <v>1825</v>
      </c>
      <c r="F38" s="215" t="s">
        <v>1847</v>
      </c>
      <c r="G38" s="215" t="s">
        <v>88</v>
      </c>
      <c r="H38" s="216" t="s">
        <v>1853</v>
      </c>
      <c r="I38" s="217"/>
      <c r="J38" s="217"/>
      <c r="K38" s="217"/>
      <c r="L38" s="217"/>
      <c r="M38" s="217"/>
      <c r="N38" s="217"/>
      <c r="O38" s="217"/>
      <c r="P38" s="217"/>
      <c r="Q38" s="218"/>
    </row>
    <row r="39" spans="1:17" s="219" customFormat="1" hidden="1" x14ac:dyDescent="0.25">
      <c r="A39" s="214"/>
      <c r="B39" s="215" t="s">
        <v>1822</v>
      </c>
      <c r="C39" s="215" t="s">
        <v>1823</v>
      </c>
      <c r="D39" s="215" t="s">
        <v>1825</v>
      </c>
      <c r="E39" s="215" t="s">
        <v>1825</v>
      </c>
      <c r="F39" s="215" t="s">
        <v>1847</v>
      </c>
      <c r="G39" s="215" t="s">
        <v>92</v>
      </c>
      <c r="H39" s="216" t="s">
        <v>1854</v>
      </c>
      <c r="I39" s="217"/>
      <c r="J39" s="217"/>
      <c r="K39" s="217"/>
      <c r="L39" s="217"/>
      <c r="M39" s="217"/>
      <c r="N39" s="217"/>
      <c r="O39" s="217"/>
      <c r="P39" s="217"/>
      <c r="Q39" s="218"/>
    </row>
    <row r="40" spans="1:17" s="219" customFormat="1" hidden="1" x14ac:dyDescent="0.25">
      <c r="A40" s="214"/>
      <c r="B40" s="215" t="s">
        <v>1822</v>
      </c>
      <c r="C40" s="215" t="s">
        <v>1823</v>
      </c>
      <c r="D40" s="215" t="s">
        <v>1825</v>
      </c>
      <c r="E40" s="215" t="s">
        <v>1825</v>
      </c>
      <c r="F40" s="215" t="s">
        <v>1847</v>
      </c>
      <c r="G40" s="215" t="s">
        <v>96</v>
      </c>
      <c r="H40" s="216" t="s">
        <v>1855</v>
      </c>
      <c r="I40" s="217"/>
      <c r="J40" s="217"/>
      <c r="K40" s="217"/>
      <c r="L40" s="217"/>
      <c r="M40" s="217"/>
      <c r="N40" s="217"/>
      <c r="O40" s="217"/>
      <c r="P40" s="217"/>
      <c r="Q40" s="218"/>
    </row>
    <row r="41" spans="1:17" s="219" customFormat="1" hidden="1" x14ac:dyDescent="0.25">
      <c r="A41" s="214"/>
      <c r="B41" s="215" t="s">
        <v>1822</v>
      </c>
      <c r="C41" s="215" t="s">
        <v>1823</v>
      </c>
      <c r="D41" s="215" t="s">
        <v>1825</v>
      </c>
      <c r="E41" s="215" t="s">
        <v>1825</v>
      </c>
      <c r="F41" s="215" t="s">
        <v>1847</v>
      </c>
      <c r="G41" s="215" t="s">
        <v>100</v>
      </c>
      <c r="H41" s="216" t="s">
        <v>1856</v>
      </c>
      <c r="I41" s="217"/>
      <c r="J41" s="217"/>
      <c r="K41" s="217"/>
      <c r="L41" s="217"/>
      <c r="M41" s="217"/>
      <c r="N41" s="217"/>
      <c r="O41" s="217"/>
      <c r="P41" s="217"/>
      <c r="Q41" s="218"/>
    </row>
    <row r="42" spans="1:17" s="219" customFormat="1" hidden="1" x14ac:dyDescent="0.25">
      <c r="A42" s="214"/>
      <c r="B42" s="215" t="s">
        <v>1822</v>
      </c>
      <c r="C42" s="215" t="s">
        <v>1823</v>
      </c>
      <c r="D42" s="215" t="s">
        <v>1825</v>
      </c>
      <c r="E42" s="215" t="s">
        <v>1825</v>
      </c>
      <c r="F42" s="215" t="s">
        <v>1847</v>
      </c>
      <c r="G42" s="215" t="s">
        <v>105</v>
      </c>
      <c r="H42" s="216" t="s">
        <v>1857</v>
      </c>
      <c r="I42" s="217"/>
      <c r="J42" s="217"/>
      <c r="K42" s="217"/>
      <c r="L42" s="217"/>
      <c r="M42" s="217"/>
      <c r="N42" s="217"/>
      <c r="O42" s="217"/>
      <c r="P42" s="217"/>
      <c r="Q42" s="218"/>
    </row>
    <row r="43" spans="1:17" s="219" customFormat="1" hidden="1" x14ac:dyDescent="0.25">
      <c r="A43" s="214"/>
      <c r="B43" s="215" t="s">
        <v>1822</v>
      </c>
      <c r="C43" s="215" t="s">
        <v>1823</v>
      </c>
      <c r="D43" s="215" t="s">
        <v>1825</v>
      </c>
      <c r="E43" s="215" t="s">
        <v>1825</v>
      </c>
      <c r="F43" s="215" t="s">
        <v>1847</v>
      </c>
      <c r="G43" s="215" t="s">
        <v>108</v>
      </c>
      <c r="H43" s="216" t="s">
        <v>1858</v>
      </c>
      <c r="I43" s="217"/>
      <c r="J43" s="217"/>
      <c r="K43" s="217"/>
      <c r="L43" s="217"/>
      <c r="M43" s="217"/>
      <c r="N43" s="217"/>
      <c r="O43" s="217"/>
      <c r="P43" s="217"/>
      <c r="Q43" s="218"/>
    </row>
    <row r="44" spans="1:17" s="219" customFormat="1" hidden="1" x14ac:dyDescent="0.25">
      <c r="A44" s="214"/>
      <c r="B44" s="215" t="s">
        <v>1822</v>
      </c>
      <c r="C44" s="215" t="s">
        <v>1823</v>
      </c>
      <c r="D44" s="215" t="s">
        <v>1825</v>
      </c>
      <c r="E44" s="215" t="s">
        <v>1825</v>
      </c>
      <c r="F44" s="215" t="s">
        <v>1847</v>
      </c>
      <c r="G44" s="215" t="s">
        <v>135</v>
      </c>
      <c r="H44" s="216" t="s">
        <v>1859</v>
      </c>
      <c r="I44" s="217"/>
      <c r="J44" s="217"/>
      <c r="K44" s="217"/>
      <c r="L44" s="217"/>
      <c r="M44" s="217"/>
      <c r="N44" s="217"/>
      <c r="O44" s="217"/>
      <c r="P44" s="217"/>
      <c r="Q44" s="218"/>
    </row>
    <row r="45" spans="1:17" s="219" customFormat="1" hidden="1" x14ac:dyDescent="0.25">
      <c r="A45" s="214"/>
      <c r="B45" s="215" t="s">
        <v>1822</v>
      </c>
      <c r="C45" s="215" t="s">
        <v>1823</v>
      </c>
      <c r="D45" s="215" t="s">
        <v>1825</v>
      </c>
      <c r="E45" s="215" t="s">
        <v>1825</v>
      </c>
      <c r="F45" s="215" t="s">
        <v>1847</v>
      </c>
      <c r="G45" s="215" t="s">
        <v>138</v>
      </c>
      <c r="H45" s="216" t="s">
        <v>1860</v>
      </c>
      <c r="I45" s="217"/>
      <c r="J45" s="217"/>
      <c r="K45" s="217"/>
      <c r="L45" s="217"/>
      <c r="M45" s="217"/>
      <c r="N45" s="217"/>
      <c r="O45" s="217"/>
      <c r="P45" s="217"/>
      <c r="Q45" s="218"/>
    </row>
    <row r="46" spans="1:17" s="219" customFormat="1" hidden="1" x14ac:dyDescent="0.25">
      <c r="A46" s="214"/>
      <c r="B46" s="215" t="s">
        <v>1822</v>
      </c>
      <c r="C46" s="215" t="s">
        <v>1823</v>
      </c>
      <c r="D46" s="215" t="s">
        <v>1825</v>
      </c>
      <c r="E46" s="215" t="s">
        <v>1825</v>
      </c>
      <c r="F46" s="215" t="s">
        <v>1847</v>
      </c>
      <c r="G46" s="215" t="s">
        <v>140</v>
      </c>
      <c r="H46" s="216" t="s">
        <v>1861</v>
      </c>
      <c r="I46" s="217"/>
      <c r="J46" s="217"/>
      <c r="K46" s="217"/>
      <c r="L46" s="217"/>
      <c r="M46" s="217"/>
      <c r="N46" s="217"/>
      <c r="O46" s="217"/>
      <c r="P46" s="217"/>
      <c r="Q46" s="218"/>
    </row>
    <row r="47" spans="1:17" s="219" customFormat="1" hidden="1" x14ac:dyDescent="0.25">
      <c r="A47" s="214"/>
      <c r="B47" s="215" t="s">
        <v>1822</v>
      </c>
      <c r="C47" s="215" t="s">
        <v>1823</v>
      </c>
      <c r="D47" s="215" t="s">
        <v>1825</v>
      </c>
      <c r="E47" s="215" t="s">
        <v>1825</v>
      </c>
      <c r="F47" s="215" t="s">
        <v>1847</v>
      </c>
      <c r="G47" s="215" t="s">
        <v>143</v>
      </c>
      <c r="H47" s="216" t="s">
        <v>1862</v>
      </c>
      <c r="I47" s="217"/>
      <c r="J47" s="217"/>
      <c r="K47" s="217"/>
      <c r="L47" s="217"/>
      <c r="M47" s="217"/>
      <c r="N47" s="217"/>
      <c r="O47" s="217"/>
      <c r="P47" s="217"/>
      <c r="Q47" s="218"/>
    </row>
    <row r="48" spans="1:17" s="219" customFormat="1" hidden="1" x14ac:dyDescent="0.25">
      <c r="A48" s="214"/>
      <c r="B48" s="215" t="s">
        <v>1822</v>
      </c>
      <c r="C48" s="215" t="s">
        <v>1823</v>
      </c>
      <c r="D48" s="215" t="s">
        <v>1825</v>
      </c>
      <c r="E48" s="215" t="s">
        <v>1825</v>
      </c>
      <c r="F48" s="215" t="s">
        <v>1847</v>
      </c>
      <c r="G48" s="215" t="s">
        <v>146</v>
      </c>
      <c r="H48" s="216" t="s">
        <v>1863</v>
      </c>
      <c r="I48" s="217"/>
      <c r="J48" s="217"/>
      <c r="K48" s="217"/>
      <c r="L48" s="217"/>
      <c r="M48" s="217"/>
      <c r="N48" s="217"/>
      <c r="O48" s="217"/>
      <c r="P48" s="217"/>
      <c r="Q48" s="218"/>
    </row>
    <row r="49" spans="1:18" s="219" customFormat="1" hidden="1" x14ac:dyDescent="0.25">
      <c r="A49" s="214"/>
      <c r="B49" s="215" t="s">
        <v>1822</v>
      </c>
      <c r="C49" s="215" t="s">
        <v>1823</v>
      </c>
      <c r="D49" s="215" t="s">
        <v>1825</v>
      </c>
      <c r="E49" s="215" t="s">
        <v>1825</v>
      </c>
      <c r="F49" s="215" t="s">
        <v>1847</v>
      </c>
      <c r="G49" s="215" t="s">
        <v>150</v>
      </c>
      <c r="H49" s="216" t="s">
        <v>1864</v>
      </c>
      <c r="I49" s="217"/>
      <c r="J49" s="217"/>
      <c r="K49" s="217"/>
      <c r="L49" s="217"/>
      <c r="M49" s="217"/>
      <c r="N49" s="217"/>
      <c r="O49" s="217"/>
      <c r="P49" s="217"/>
      <c r="Q49" s="218"/>
    </row>
    <row r="50" spans="1:18" s="219" customFormat="1" hidden="1" x14ac:dyDescent="0.25">
      <c r="A50" s="214"/>
      <c r="B50" s="215" t="s">
        <v>1822</v>
      </c>
      <c r="C50" s="215" t="s">
        <v>1823</v>
      </c>
      <c r="D50" s="215" t="s">
        <v>1825</v>
      </c>
      <c r="E50" s="215" t="s">
        <v>1825</v>
      </c>
      <c r="F50" s="215" t="s">
        <v>1847</v>
      </c>
      <c r="G50" s="215" t="s">
        <v>153</v>
      </c>
      <c r="H50" s="216" t="s">
        <v>1865</v>
      </c>
      <c r="I50" s="217"/>
      <c r="J50" s="217"/>
      <c r="K50" s="217"/>
      <c r="L50" s="217"/>
      <c r="M50" s="217"/>
      <c r="N50" s="217"/>
      <c r="O50" s="217"/>
      <c r="P50" s="217"/>
      <c r="Q50" s="218"/>
    </row>
    <row r="51" spans="1:18" s="219" customFormat="1" hidden="1" x14ac:dyDescent="0.25">
      <c r="A51" s="214"/>
      <c r="B51" s="215" t="s">
        <v>1822</v>
      </c>
      <c r="C51" s="215" t="s">
        <v>1823</v>
      </c>
      <c r="D51" s="215" t="s">
        <v>1825</v>
      </c>
      <c r="E51" s="215" t="s">
        <v>1825</v>
      </c>
      <c r="F51" s="215" t="s">
        <v>1847</v>
      </c>
      <c r="G51" s="215" t="s">
        <v>156</v>
      </c>
      <c r="H51" s="216" t="s">
        <v>1866</v>
      </c>
      <c r="I51" s="217"/>
      <c r="J51" s="217"/>
      <c r="K51" s="217"/>
      <c r="L51" s="217"/>
      <c r="M51" s="217"/>
      <c r="N51" s="217"/>
      <c r="O51" s="217"/>
      <c r="P51" s="217"/>
      <c r="Q51" s="218"/>
    </row>
    <row r="52" spans="1:18" s="219" customFormat="1" hidden="1" x14ac:dyDescent="0.25">
      <c r="A52" s="214"/>
      <c r="B52" s="215" t="s">
        <v>1822</v>
      </c>
      <c r="C52" s="215" t="s">
        <v>1823</v>
      </c>
      <c r="D52" s="215" t="s">
        <v>1825</v>
      </c>
      <c r="E52" s="215" t="s">
        <v>1825</v>
      </c>
      <c r="F52" s="215" t="s">
        <v>1847</v>
      </c>
      <c r="G52" s="215" t="s">
        <v>159</v>
      </c>
      <c r="H52" s="216" t="s">
        <v>1867</v>
      </c>
      <c r="I52" s="217"/>
      <c r="J52" s="217"/>
      <c r="K52" s="217"/>
      <c r="L52" s="217"/>
      <c r="M52" s="217"/>
      <c r="N52" s="217"/>
      <c r="O52" s="217"/>
      <c r="P52" s="217"/>
      <c r="Q52" s="218"/>
    </row>
    <row r="53" spans="1:18" s="336" customFormat="1" x14ac:dyDescent="0.25">
      <c r="A53" s="331"/>
      <c r="B53" s="332"/>
      <c r="C53" s="333"/>
      <c r="D53" s="333"/>
      <c r="E53" s="333"/>
      <c r="F53" s="333"/>
      <c r="G53" s="334"/>
      <c r="H53" s="335"/>
      <c r="I53" s="226"/>
      <c r="J53" s="226"/>
      <c r="K53" s="226"/>
      <c r="L53" s="226"/>
      <c r="M53" s="226"/>
      <c r="N53" s="226"/>
      <c r="O53" s="226"/>
      <c r="P53" s="226"/>
    </row>
    <row r="54" spans="1:18" s="339" customFormat="1" x14ac:dyDescent="0.25">
      <c r="A54" s="337">
        <v>2</v>
      </c>
      <c r="B54" s="338">
        <v>2</v>
      </c>
      <c r="C54" s="333" t="s">
        <v>1836</v>
      </c>
      <c r="D54" s="333"/>
      <c r="E54" s="333"/>
      <c r="F54" s="333"/>
      <c r="G54" s="333"/>
      <c r="H54" s="335" t="s">
        <v>48</v>
      </c>
      <c r="I54" s="230">
        <f>SUM(I55+I93+I123+I171+I183+I206+I283+I320+I469+I490+I501+I511+I522+I536+I545+I570+I575+I603+I619)</f>
        <v>12923541158.004616</v>
      </c>
      <c r="J54" s="230">
        <f t="shared" ref="J54:P54" si="6">SUM(J55+J93+J123+J171+J183+J206+J283+J320+J469+J490+J501+J511+J522+J536+J545+J570+J575+J603+J619)</f>
        <v>948001779.52857149</v>
      </c>
      <c r="K54" s="230">
        <f t="shared" si="6"/>
        <v>221481647.52571425</v>
      </c>
      <c r="L54" s="230">
        <f t="shared" si="6"/>
        <v>0</v>
      </c>
      <c r="M54" s="230">
        <f t="shared" si="6"/>
        <v>221481647.52571425</v>
      </c>
      <c r="N54" s="230">
        <f t="shared" si="6"/>
        <v>11798701147.906284</v>
      </c>
      <c r="O54" s="230">
        <f t="shared" si="6"/>
        <v>1124840010.3583333</v>
      </c>
      <c r="P54" s="230">
        <f t="shared" si="6"/>
        <v>0</v>
      </c>
      <c r="Q54" s="400">
        <v>11798701148.506283</v>
      </c>
      <c r="R54" s="399">
        <f>SUM(Q54-N54)</f>
        <v>0.59999847412109375</v>
      </c>
    </row>
    <row r="55" spans="1:18" s="213" customFormat="1" x14ac:dyDescent="0.25">
      <c r="A55" s="208" t="s">
        <v>1827</v>
      </c>
      <c r="B55" s="209" t="s">
        <v>1822</v>
      </c>
      <c r="C55" s="209" t="s">
        <v>1823</v>
      </c>
      <c r="D55" s="209" t="s">
        <v>1836</v>
      </c>
      <c r="E55" s="209" t="s">
        <v>1825</v>
      </c>
      <c r="F55" s="209"/>
      <c r="G55" s="209"/>
      <c r="H55" s="210" t="s">
        <v>1868</v>
      </c>
      <c r="I55" s="211">
        <f>SUM(I56+I69+I76)</f>
        <v>509600000</v>
      </c>
      <c r="J55" s="211">
        <f t="shared" ref="J55:P55" si="7">SUM(J56+J69+J76)</f>
        <v>50960000</v>
      </c>
      <c r="K55" s="211">
        <f t="shared" si="7"/>
        <v>0</v>
      </c>
      <c r="L55" s="211">
        <f t="shared" si="7"/>
        <v>0</v>
      </c>
      <c r="M55" s="211">
        <f t="shared" si="7"/>
        <v>0</v>
      </c>
      <c r="N55" s="211">
        <f t="shared" si="7"/>
        <v>509600000</v>
      </c>
      <c r="O55" s="211">
        <f t="shared" si="7"/>
        <v>0</v>
      </c>
      <c r="P55" s="211">
        <f t="shared" si="7"/>
        <v>0</v>
      </c>
      <c r="Q55" s="212"/>
    </row>
    <row r="56" spans="1:18" s="213" customFormat="1" x14ac:dyDescent="0.25">
      <c r="A56" s="208" t="s">
        <v>263</v>
      </c>
      <c r="B56" s="209" t="s">
        <v>1822</v>
      </c>
      <c r="C56" s="209" t="s">
        <v>1823</v>
      </c>
      <c r="D56" s="209" t="s">
        <v>1836</v>
      </c>
      <c r="E56" s="209" t="s">
        <v>1825</v>
      </c>
      <c r="F56" s="209" t="s">
        <v>1825</v>
      </c>
      <c r="G56" s="209"/>
      <c r="H56" s="210" t="s">
        <v>1869</v>
      </c>
      <c r="I56" s="211">
        <f>SUM(I57:I68)</f>
        <v>0</v>
      </c>
      <c r="J56" s="211">
        <f t="shared" ref="J56:P56" si="8">SUM(J57:J68)</f>
        <v>0</v>
      </c>
      <c r="K56" s="211">
        <f t="shared" si="8"/>
        <v>0</v>
      </c>
      <c r="L56" s="211">
        <f t="shared" si="8"/>
        <v>0</v>
      </c>
      <c r="M56" s="211">
        <f t="shared" si="8"/>
        <v>0</v>
      </c>
      <c r="N56" s="211">
        <f t="shared" si="8"/>
        <v>0</v>
      </c>
      <c r="O56" s="211">
        <f t="shared" si="8"/>
        <v>0</v>
      </c>
      <c r="P56" s="211">
        <f t="shared" si="8"/>
        <v>0</v>
      </c>
      <c r="Q56" s="212"/>
    </row>
    <row r="57" spans="1:18" s="219" customFormat="1" hidden="1" x14ac:dyDescent="0.25">
      <c r="A57" s="214"/>
      <c r="B57" s="215" t="s">
        <v>1822</v>
      </c>
      <c r="C57" s="215" t="s">
        <v>1823</v>
      </c>
      <c r="D57" s="215" t="s">
        <v>1836</v>
      </c>
      <c r="E57" s="215" t="s">
        <v>1825</v>
      </c>
      <c r="F57" s="215" t="s">
        <v>1825</v>
      </c>
      <c r="G57" s="215" t="s">
        <v>58</v>
      </c>
      <c r="H57" s="216" t="s">
        <v>1870</v>
      </c>
      <c r="I57" s="217"/>
      <c r="J57" s="217"/>
      <c r="K57" s="217"/>
      <c r="L57" s="217"/>
      <c r="M57" s="217"/>
      <c r="N57" s="217"/>
      <c r="O57" s="217"/>
      <c r="P57" s="217"/>
      <c r="Q57" s="218"/>
    </row>
    <row r="58" spans="1:18" s="219" customFormat="1" hidden="1" x14ac:dyDescent="0.25">
      <c r="A58" s="214"/>
      <c r="B58" s="215" t="s">
        <v>1822</v>
      </c>
      <c r="C58" s="215" t="s">
        <v>1823</v>
      </c>
      <c r="D58" s="215" t="s">
        <v>1836</v>
      </c>
      <c r="E58" s="215" t="s">
        <v>1825</v>
      </c>
      <c r="F58" s="215" t="s">
        <v>1825</v>
      </c>
      <c r="G58" s="215" t="s">
        <v>75</v>
      </c>
      <c r="H58" s="216" t="s">
        <v>1871</v>
      </c>
      <c r="I58" s="217"/>
      <c r="J58" s="217"/>
      <c r="K58" s="217"/>
      <c r="L58" s="217"/>
      <c r="M58" s="217"/>
      <c r="N58" s="217"/>
      <c r="O58" s="217"/>
      <c r="P58" s="217"/>
      <c r="Q58" s="218"/>
    </row>
    <row r="59" spans="1:18" s="219" customFormat="1" hidden="1" x14ac:dyDescent="0.25">
      <c r="A59" s="214"/>
      <c r="B59" s="215" t="s">
        <v>1822</v>
      </c>
      <c r="C59" s="215" t="s">
        <v>1823</v>
      </c>
      <c r="D59" s="215" t="s">
        <v>1836</v>
      </c>
      <c r="E59" s="215" t="s">
        <v>1825</v>
      </c>
      <c r="F59" s="215" t="s">
        <v>1825</v>
      </c>
      <c r="G59" s="215" t="s">
        <v>79</v>
      </c>
      <c r="H59" s="216" t="s">
        <v>1872</v>
      </c>
      <c r="I59" s="217"/>
      <c r="J59" s="217"/>
      <c r="K59" s="217"/>
      <c r="L59" s="217"/>
      <c r="M59" s="217"/>
      <c r="N59" s="217"/>
      <c r="O59" s="217"/>
      <c r="P59" s="217"/>
      <c r="Q59" s="218"/>
    </row>
    <row r="60" spans="1:18" s="219" customFormat="1" hidden="1" x14ac:dyDescent="0.25">
      <c r="A60" s="214"/>
      <c r="B60" s="215" t="s">
        <v>1822</v>
      </c>
      <c r="C60" s="215" t="s">
        <v>1823</v>
      </c>
      <c r="D60" s="215" t="s">
        <v>1836</v>
      </c>
      <c r="E60" s="215" t="s">
        <v>1825</v>
      </c>
      <c r="F60" s="215" t="s">
        <v>1825</v>
      </c>
      <c r="G60" s="215" t="s">
        <v>84</v>
      </c>
      <c r="H60" s="216" t="s">
        <v>1873</v>
      </c>
      <c r="I60" s="217"/>
      <c r="J60" s="217"/>
      <c r="K60" s="217"/>
      <c r="L60" s="217"/>
      <c r="M60" s="217"/>
      <c r="N60" s="217"/>
      <c r="O60" s="217"/>
      <c r="P60" s="217"/>
      <c r="Q60" s="218"/>
    </row>
    <row r="61" spans="1:18" s="219" customFormat="1" hidden="1" x14ac:dyDescent="0.25">
      <c r="A61" s="214"/>
      <c r="B61" s="215" t="s">
        <v>1822</v>
      </c>
      <c r="C61" s="215" t="s">
        <v>1823</v>
      </c>
      <c r="D61" s="215" t="s">
        <v>1836</v>
      </c>
      <c r="E61" s="215" t="s">
        <v>1825</v>
      </c>
      <c r="F61" s="215" t="s">
        <v>1825</v>
      </c>
      <c r="G61" s="215" t="s">
        <v>88</v>
      </c>
      <c r="H61" s="216" t="s">
        <v>1874</v>
      </c>
      <c r="I61" s="217"/>
      <c r="J61" s="217"/>
      <c r="K61" s="217"/>
      <c r="L61" s="217"/>
      <c r="M61" s="217"/>
      <c r="N61" s="217"/>
      <c r="O61" s="217"/>
      <c r="P61" s="217"/>
      <c r="Q61" s="218"/>
    </row>
    <row r="62" spans="1:18" s="219" customFormat="1" hidden="1" x14ac:dyDescent="0.25">
      <c r="A62" s="214"/>
      <c r="B62" s="215" t="s">
        <v>1822</v>
      </c>
      <c r="C62" s="215" t="s">
        <v>1823</v>
      </c>
      <c r="D62" s="215" t="s">
        <v>1836</v>
      </c>
      <c r="E62" s="215" t="s">
        <v>1825</v>
      </c>
      <c r="F62" s="215" t="s">
        <v>1825</v>
      </c>
      <c r="G62" s="215" t="s">
        <v>92</v>
      </c>
      <c r="H62" s="216" t="s">
        <v>1875</v>
      </c>
      <c r="I62" s="217"/>
      <c r="J62" s="217"/>
      <c r="K62" s="217"/>
      <c r="L62" s="217"/>
      <c r="M62" s="217"/>
      <c r="N62" s="217"/>
      <c r="O62" s="217"/>
      <c r="P62" s="217"/>
      <c r="Q62" s="218"/>
    </row>
    <row r="63" spans="1:18" s="219" customFormat="1" hidden="1" x14ac:dyDescent="0.25">
      <c r="A63" s="214"/>
      <c r="B63" s="215" t="s">
        <v>1822</v>
      </c>
      <c r="C63" s="215" t="s">
        <v>1823</v>
      </c>
      <c r="D63" s="215" t="s">
        <v>1836</v>
      </c>
      <c r="E63" s="215" t="s">
        <v>1825</v>
      </c>
      <c r="F63" s="215" t="s">
        <v>1825</v>
      </c>
      <c r="G63" s="215" t="s">
        <v>96</v>
      </c>
      <c r="H63" s="216" t="s">
        <v>1876</v>
      </c>
      <c r="I63" s="217"/>
      <c r="J63" s="217"/>
      <c r="K63" s="217"/>
      <c r="L63" s="217"/>
      <c r="M63" s="217"/>
      <c r="N63" s="217"/>
      <c r="O63" s="217"/>
      <c r="P63" s="217"/>
      <c r="Q63" s="218"/>
    </row>
    <row r="64" spans="1:18" s="219" customFormat="1" hidden="1" x14ac:dyDescent="0.25">
      <c r="A64" s="214"/>
      <c r="B64" s="215" t="s">
        <v>1822</v>
      </c>
      <c r="C64" s="215" t="s">
        <v>1823</v>
      </c>
      <c r="D64" s="215" t="s">
        <v>1836</v>
      </c>
      <c r="E64" s="215" t="s">
        <v>1825</v>
      </c>
      <c r="F64" s="215" t="s">
        <v>1825</v>
      </c>
      <c r="G64" s="215" t="s">
        <v>100</v>
      </c>
      <c r="H64" s="216" t="s">
        <v>1877</v>
      </c>
      <c r="I64" s="217"/>
      <c r="J64" s="217"/>
      <c r="K64" s="217"/>
      <c r="L64" s="217"/>
      <c r="M64" s="217"/>
      <c r="N64" s="217"/>
      <c r="O64" s="217"/>
      <c r="P64" s="217"/>
      <c r="Q64" s="218"/>
    </row>
    <row r="65" spans="1:17" s="219" customFormat="1" hidden="1" x14ac:dyDescent="0.25">
      <c r="A65" s="214"/>
      <c r="B65" s="215" t="s">
        <v>1822</v>
      </c>
      <c r="C65" s="215" t="s">
        <v>1823</v>
      </c>
      <c r="D65" s="215" t="s">
        <v>1836</v>
      </c>
      <c r="E65" s="215" t="s">
        <v>1825</v>
      </c>
      <c r="F65" s="215" t="s">
        <v>1825</v>
      </c>
      <c r="G65" s="215" t="s">
        <v>105</v>
      </c>
      <c r="H65" s="216" t="s">
        <v>1878</v>
      </c>
      <c r="I65" s="217"/>
      <c r="J65" s="217"/>
      <c r="K65" s="217"/>
      <c r="L65" s="217"/>
      <c r="M65" s="217"/>
      <c r="N65" s="217"/>
      <c r="O65" s="217"/>
      <c r="P65" s="217"/>
      <c r="Q65" s="218"/>
    </row>
    <row r="66" spans="1:17" s="219" customFormat="1" hidden="1" x14ac:dyDescent="0.25">
      <c r="A66" s="214"/>
      <c r="B66" s="215" t="s">
        <v>1822</v>
      </c>
      <c r="C66" s="215" t="s">
        <v>1823</v>
      </c>
      <c r="D66" s="215" t="s">
        <v>1836</v>
      </c>
      <c r="E66" s="215" t="s">
        <v>1825</v>
      </c>
      <c r="F66" s="215" t="s">
        <v>1825</v>
      </c>
      <c r="G66" s="215" t="s">
        <v>108</v>
      </c>
      <c r="H66" s="216" t="s">
        <v>1879</v>
      </c>
      <c r="I66" s="217"/>
      <c r="J66" s="217"/>
      <c r="K66" s="217"/>
      <c r="L66" s="217"/>
      <c r="M66" s="217"/>
      <c r="N66" s="217"/>
      <c r="O66" s="217"/>
      <c r="P66" s="217"/>
      <c r="Q66" s="218"/>
    </row>
    <row r="67" spans="1:17" s="219" customFormat="1" hidden="1" x14ac:dyDescent="0.25">
      <c r="A67" s="214"/>
      <c r="B67" s="215" t="s">
        <v>1822</v>
      </c>
      <c r="C67" s="215" t="s">
        <v>1823</v>
      </c>
      <c r="D67" s="215" t="s">
        <v>1836</v>
      </c>
      <c r="E67" s="215" t="s">
        <v>1825</v>
      </c>
      <c r="F67" s="215" t="s">
        <v>1825</v>
      </c>
      <c r="G67" s="215" t="s">
        <v>135</v>
      </c>
      <c r="H67" s="216" t="s">
        <v>1880</v>
      </c>
      <c r="I67" s="217"/>
      <c r="J67" s="217"/>
      <c r="K67" s="217"/>
      <c r="L67" s="217"/>
      <c r="M67" s="217"/>
      <c r="N67" s="217"/>
      <c r="O67" s="217"/>
      <c r="P67" s="217"/>
      <c r="Q67" s="218"/>
    </row>
    <row r="68" spans="1:17" s="219" customFormat="1" hidden="1" x14ac:dyDescent="0.25">
      <c r="A68" s="214"/>
      <c r="B68" s="215" t="s">
        <v>1822</v>
      </c>
      <c r="C68" s="215" t="s">
        <v>1823</v>
      </c>
      <c r="D68" s="215" t="s">
        <v>1836</v>
      </c>
      <c r="E68" s="215" t="s">
        <v>1825</v>
      </c>
      <c r="F68" s="215" t="s">
        <v>1825</v>
      </c>
      <c r="G68" s="215" t="s">
        <v>138</v>
      </c>
      <c r="H68" s="216" t="s">
        <v>1881</v>
      </c>
      <c r="I68" s="217"/>
      <c r="J68" s="217"/>
      <c r="K68" s="217"/>
      <c r="L68" s="217"/>
      <c r="M68" s="217"/>
      <c r="N68" s="217"/>
      <c r="O68" s="217"/>
      <c r="P68" s="217"/>
      <c r="Q68" s="218"/>
    </row>
    <row r="69" spans="1:17" s="213" customFormat="1" hidden="1" x14ac:dyDescent="0.25">
      <c r="A69" s="208" t="s">
        <v>263</v>
      </c>
      <c r="B69" s="209" t="s">
        <v>1822</v>
      </c>
      <c r="C69" s="209" t="s">
        <v>1823</v>
      </c>
      <c r="D69" s="209" t="s">
        <v>1836</v>
      </c>
      <c r="E69" s="209" t="s">
        <v>1825</v>
      </c>
      <c r="F69" s="209" t="s">
        <v>1836</v>
      </c>
      <c r="G69" s="209"/>
      <c r="H69" s="210" t="s">
        <v>1882</v>
      </c>
      <c r="I69" s="211">
        <f>SUM(I70:I75)</f>
        <v>0</v>
      </c>
      <c r="J69" s="211">
        <f t="shared" ref="J69:P69" si="9">SUM(J70:J75)</f>
        <v>0</v>
      </c>
      <c r="K69" s="211">
        <f t="shared" si="9"/>
        <v>0</v>
      </c>
      <c r="L69" s="211">
        <f t="shared" si="9"/>
        <v>0</v>
      </c>
      <c r="M69" s="211">
        <f t="shared" si="9"/>
        <v>0</v>
      </c>
      <c r="N69" s="211">
        <f t="shared" si="9"/>
        <v>0</v>
      </c>
      <c r="O69" s="211">
        <f t="shared" si="9"/>
        <v>0</v>
      </c>
      <c r="P69" s="211">
        <f t="shared" si="9"/>
        <v>0</v>
      </c>
      <c r="Q69" s="212"/>
    </row>
    <row r="70" spans="1:17" s="219" customFormat="1" hidden="1" x14ac:dyDescent="0.25">
      <c r="A70" s="214"/>
      <c r="B70" s="215" t="s">
        <v>1822</v>
      </c>
      <c r="C70" s="215" t="s">
        <v>1823</v>
      </c>
      <c r="D70" s="215" t="s">
        <v>1836</v>
      </c>
      <c r="E70" s="215" t="s">
        <v>1825</v>
      </c>
      <c r="F70" s="215" t="s">
        <v>1836</v>
      </c>
      <c r="G70" s="215" t="s">
        <v>58</v>
      </c>
      <c r="H70" s="216" t="s">
        <v>1883</v>
      </c>
      <c r="I70" s="217"/>
      <c r="J70" s="217"/>
      <c r="K70" s="217"/>
      <c r="L70" s="217"/>
      <c r="M70" s="217"/>
      <c r="N70" s="217"/>
      <c r="O70" s="217"/>
      <c r="P70" s="217"/>
      <c r="Q70" s="218"/>
    </row>
    <row r="71" spans="1:17" s="219" customFormat="1" hidden="1" x14ac:dyDescent="0.25">
      <c r="A71" s="214"/>
      <c r="B71" s="215" t="s">
        <v>1822</v>
      </c>
      <c r="C71" s="215" t="s">
        <v>1823</v>
      </c>
      <c r="D71" s="215" t="s">
        <v>1836</v>
      </c>
      <c r="E71" s="215" t="s">
        <v>1825</v>
      </c>
      <c r="F71" s="215" t="s">
        <v>1836</v>
      </c>
      <c r="G71" s="215" t="s">
        <v>75</v>
      </c>
      <c r="H71" s="216" t="s">
        <v>1884</v>
      </c>
      <c r="I71" s="217"/>
      <c r="J71" s="217"/>
      <c r="K71" s="217"/>
      <c r="L71" s="217"/>
      <c r="M71" s="217"/>
      <c r="N71" s="217"/>
      <c r="O71" s="217"/>
      <c r="P71" s="217"/>
      <c r="Q71" s="218"/>
    </row>
    <row r="72" spans="1:17" s="219" customFormat="1" hidden="1" x14ac:dyDescent="0.25">
      <c r="A72" s="214"/>
      <c r="B72" s="215" t="s">
        <v>1822</v>
      </c>
      <c r="C72" s="215" t="s">
        <v>1823</v>
      </c>
      <c r="D72" s="215" t="s">
        <v>1836</v>
      </c>
      <c r="E72" s="215" t="s">
        <v>1825</v>
      </c>
      <c r="F72" s="215" t="s">
        <v>1836</v>
      </c>
      <c r="G72" s="215" t="s">
        <v>79</v>
      </c>
      <c r="H72" s="216" t="s">
        <v>1885</v>
      </c>
      <c r="I72" s="217"/>
      <c r="J72" s="217"/>
      <c r="K72" s="217"/>
      <c r="L72" s="217"/>
      <c r="M72" s="217"/>
      <c r="N72" s="217"/>
      <c r="O72" s="217"/>
      <c r="P72" s="217"/>
      <c r="Q72" s="218"/>
    </row>
    <row r="73" spans="1:17" s="219" customFormat="1" hidden="1" x14ac:dyDescent="0.25">
      <c r="A73" s="214"/>
      <c r="B73" s="215" t="s">
        <v>1822</v>
      </c>
      <c r="C73" s="215" t="s">
        <v>1823</v>
      </c>
      <c r="D73" s="215" t="s">
        <v>1836</v>
      </c>
      <c r="E73" s="215" t="s">
        <v>1825</v>
      </c>
      <c r="F73" s="215" t="s">
        <v>1836</v>
      </c>
      <c r="G73" s="215" t="s">
        <v>84</v>
      </c>
      <c r="H73" s="216" t="s">
        <v>1886</v>
      </c>
      <c r="I73" s="217"/>
      <c r="J73" s="217"/>
      <c r="K73" s="217"/>
      <c r="L73" s="217"/>
      <c r="M73" s="217"/>
      <c r="N73" s="217"/>
      <c r="O73" s="217"/>
      <c r="P73" s="217"/>
      <c r="Q73" s="218"/>
    </row>
    <row r="74" spans="1:17" s="219" customFormat="1" x14ac:dyDescent="0.25">
      <c r="A74" s="214"/>
      <c r="B74" s="215" t="s">
        <v>1822</v>
      </c>
      <c r="C74" s="215" t="s">
        <v>1823</v>
      </c>
      <c r="D74" s="215" t="s">
        <v>1836</v>
      </c>
      <c r="E74" s="215" t="s">
        <v>1825</v>
      </c>
      <c r="F74" s="215" t="s">
        <v>1836</v>
      </c>
      <c r="G74" s="215" t="s">
        <v>88</v>
      </c>
      <c r="H74" s="216" t="s">
        <v>1887</v>
      </c>
      <c r="I74" s="217"/>
      <c r="J74" s="217"/>
      <c r="K74" s="217"/>
      <c r="L74" s="217"/>
      <c r="M74" s="217"/>
      <c r="N74" s="217"/>
      <c r="O74" s="217"/>
      <c r="P74" s="217"/>
      <c r="Q74" s="218"/>
    </row>
    <row r="75" spans="1:17" s="219" customFormat="1" x14ac:dyDescent="0.25">
      <c r="A75" s="214"/>
      <c r="B75" s="215" t="s">
        <v>1822</v>
      </c>
      <c r="C75" s="215" t="s">
        <v>1823</v>
      </c>
      <c r="D75" s="215" t="s">
        <v>1836</v>
      </c>
      <c r="E75" s="215" t="s">
        <v>1825</v>
      </c>
      <c r="F75" s="215" t="s">
        <v>1836</v>
      </c>
      <c r="G75" s="215" t="s">
        <v>92</v>
      </c>
      <c r="H75" s="216" t="s">
        <v>1888</v>
      </c>
      <c r="I75" s="217"/>
      <c r="J75" s="217"/>
      <c r="K75" s="217"/>
      <c r="L75" s="217"/>
      <c r="M75" s="217"/>
      <c r="N75" s="217"/>
      <c r="O75" s="217"/>
      <c r="P75" s="217"/>
      <c r="Q75" s="218"/>
    </row>
    <row r="76" spans="1:17" s="213" customFormat="1" x14ac:dyDescent="0.25">
      <c r="A76" s="208" t="s">
        <v>263</v>
      </c>
      <c r="B76" s="209" t="s">
        <v>1822</v>
      </c>
      <c r="C76" s="209" t="s">
        <v>1823</v>
      </c>
      <c r="D76" s="209" t="s">
        <v>1836</v>
      </c>
      <c r="E76" s="209" t="s">
        <v>1825</v>
      </c>
      <c r="F76" s="209" t="s">
        <v>1847</v>
      </c>
      <c r="G76" s="209"/>
      <c r="H76" s="210" t="s">
        <v>1889</v>
      </c>
      <c r="I76" s="211">
        <f>SUM(I77:I92)</f>
        <v>509600000</v>
      </c>
      <c r="J76" s="211">
        <f t="shared" ref="J76:P76" si="10">SUM(J77:J92)</f>
        <v>50960000</v>
      </c>
      <c r="K76" s="211">
        <f t="shared" si="10"/>
        <v>0</v>
      </c>
      <c r="L76" s="211">
        <f t="shared" si="10"/>
        <v>0</v>
      </c>
      <c r="M76" s="211">
        <f t="shared" si="10"/>
        <v>0</v>
      </c>
      <c r="N76" s="211">
        <f t="shared" si="10"/>
        <v>509600000</v>
      </c>
      <c r="O76" s="211">
        <f t="shared" si="10"/>
        <v>0</v>
      </c>
      <c r="P76" s="211">
        <f t="shared" si="10"/>
        <v>0</v>
      </c>
      <c r="Q76" s="212"/>
    </row>
    <row r="77" spans="1:17" s="219" customFormat="1" x14ac:dyDescent="0.25">
      <c r="A77" s="214"/>
      <c r="B77" s="215" t="s">
        <v>1822</v>
      </c>
      <c r="C77" s="215" t="s">
        <v>1823</v>
      </c>
      <c r="D77" s="215" t="s">
        <v>1836</v>
      </c>
      <c r="E77" s="215" t="s">
        <v>1825</v>
      </c>
      <c r="F77" s="215" t="s">
        <v>1847</v>
      </c>
      <c r="G77" s="215" t="s">
        <v>58</v>
      </c>
      <c r="H77" s="216" t="s">
        <v>1890</v>
      </c>
      <c r="I77" s="217"/>
      <c r="J77" s="217"/>
      <c r="K77" s="217"/>
      <c r="L77" s="217"/>
      <c r="M77" s="217"/>
      <c r="N77" s="217"/>
      <c r="O77" s="217"/>
      <c r="P77" s="217"/>
      <c r="Q77" s="218"/>
    </row>
    <row r="78" spans="1:17" s="219" customFormat="1" x14ac:dyDescent="0.25">
      <c r="A78" s="214"/>
      <c r="B78" s="215" t="s">
        <v>1822</v>
      </c>
      <c r="C78" s="215" t="s">
        <v>1823</v>
      </c>
      <c r="D78" s="215" t="s">
        <v>1836</v>
      </c>
      <c r="E78" s="215" t="s">
        <v>1825</v>
      </c>
      <c r="F78" s="215" t="s">
        <v>1847</v>
      </c>
      <c r="G78" s="215" t="s">
        <v>75</v>
      </c>
      <c r="H78" s="216" t="s">
        <v>1891</v>
      </c>
      <c r="I78" s="217"/>
      <c r="J78" s="217"/>
      <c r="K78" s="217"/>
      <c r="L78" s="217"/>
      <c r="M78" s="217"/>
      <c r="N78" s="217"/>
      <c r="O78" s="217"/>
      <c r="P78" s="217"/>
      <c r="Q78" s="218"/>
    </row>
    <row r="79" spans="1:17" s="219" customFormat="1" x14ac:dyDescent="0.25">
      <c r="A79" s="214"/>
      <c r="B79" s="215" t="s">
        <v>1822</v>
      </c>
      <c r="C79" s="215" t="s">
        <v>1823</v>
      </c>
      <c r="D79" s="215" t="s">
        <v>1836</v>
      </c>
      <c r="E79" s="215" t="s">
        <v>1825</v>
      </c>
      <c r="F79" s="215" t="s">
        <v>1847</v>
      </c>
      <c r="G79" s="215" t="s">
        <v>79</v>
      </c>
      <c r="H79" s="216" t="s">
        <v>1892</v>
      </c>
      <c r="I79" s="217"/>
      <c r="J79" s="217"/>
      <c r="K79" s="217"/>
      <c r="L79" s="217"/>
      <c r="M79" s="217"/>
      <c r="N79" s="217"/>
      <c r="O79" s="217"/>
      <c r="P79" s="217"/>
      <c r="Q79" s="218"/>
    </row>
    <row r="80" spans="1:17" s="219" customFormat="1" ht="15.75" customHeight="1" x14ac:dyDescent="0.25">
      <c r="A80" s="214"/>
      <c r="B80" s="215" t="s">
        <v>1822</v>
      </c>
      <c r="C80" s="215" t="s">
        <v>1823</v>
      </c>
      <c r="D80" s="215" t="s">
        <v>1836</v>
      </c>
      <c r="E80" s="215" t="s">
        <v>1825</v>
      </c>
      <c r="F80" s="215" t="s">
        <v>1847</v>
      </c>
      <c r="G80" s="215" t="s">
        <v>84</v>
      </c>
      <c r="H80" s="216" t="s">
        <v>1624</v>
      </c>
      <c r="I80" s="217">
        <v>509600000</v>
      </c>
      <c r="J80" s="217">
        <v>50960000</v>
      </c>
      <c r="L80" s="217"/>
      <c r="M80" s="217"/>
      <c r="N80" s="217">
        <v>509600000</v>
      </c>
      <c r="O80" s="217">
        <v>0</v>
      </c>
      <c r="P80" s="217"/>
      <c r="Q80" s="218"/>
    </row>
    <row r="81" spans="1:17" s="219" customFormat="1" x14ac:dyDescent="0.25">
      <c r="A81" s="214"/>
      <c r="B81" s="215" t="s">
        <v>1822</v>
      </c>
      <c r="C81" s="215" t="s">
        <v>1823</v>
      </c>
      <c r="D81" s="215" t="s">
        <v>1836</v>
      </c>
      <c r="E81" s="215" t="s">
        <v>1825</v>
      </c>
      <c r="F81" s="215" t="s">
        <v>1847</v>
      </c>
      <c r="G81" s="215" t="s">
        <v>88</v>
      </c>
      <c r="H81" s="216" t="s">
        <v>1893</v>
      </c>
      <c r="I81" s="217"/>
      <c r="J81" s="217"/>
      <c r="K81" s="217"/>
      <c r="L81" s="217"/>
      <c r="M81" s="217"/>
      <c r="N81" s="217"/>
      <c r="O81" s="217"/>
      <c r="P81" s="217"/>
      <c r="Q81" s="218"/>
    </row>
    <row r="82" spans="1:17" s="219" customFormat="1" hidden="1" x14ac:dyDescent="0.25">
      <c r="A82" s="214"/>
      <c r="B82" s="215" t="s">
        <v>1822</v>
      </c>
      <c r="C82" s="215" t="s">
        <v>1823</v>
      </c>
      <c r="D82" s="215" t="s">
        <v>1836</v>
      </c>
      <c r="E82" s="215" t="s">
        <v>1825</v>
      </c>
      <c r="F82" s="215" t="s">
        <v>1847</v>
      </c>
      <c r="G82" s="215" t="s">
        <v>92</v>
      </c>
      <c r="H82" s="216" t="s">
        <v>1894</v>
      </c>
      <c r="I82" s="217"/>
      <c r="J82" s="217"/>
      <c r="K82" s="217"/>
      <c r="L82" s="217"/>
      <c r="M82" s="217"/>
      <c r="N82" s="217"/>
      <c r="O82" s="217"/>
      <c r="P82" s="217"/>
      <c r="Q82" s="218"/>
    </row>
    <row r="83" spans="1:17" s="219" customFormat="1" hidden="1" x14ac:dyDescent="0.25">
      <c r="A83" s="214"/>
      <c r="B83" s="215" t="s">
        <v>1822</v>
      </c>
      <c r="C83" s="215" t="s">
        <v>1823</v>
      </c>
      <c r="D83" s="215" t="s">
        <v>1836</v>
      </c>
      <c r="E83" s="215" t="s">
        <v>1825</v>
      </c>
      <c r="F83" s="215" t="s">
        <v>1847</v>
      </c>
      <c r="G83" s="215" t="s">
        <v>96</v>
      </c>
      <c r="H83" s="216" t="s">
        <v>1895</v>
      </c>
      <c r="I83" s="217"/>
      <c r="J83" s="217"/>
      <c r="K83" s="217"/>
      <c r="L83" s="217"/>
      <c r="M83" s="217"/>
      <c r="N83" s="217"/>
      <c r="O83" s="217"/>
      <c r="P83" s="217"/>
      <c r="Q83" s="218"/>
    </row>
    <row r="84" spans="1:17" s="219" customFormat="1" hidden="1" x14ac:dyDescent="0.25">
      <c r="A84" s="214"/>
      <c r="B84" s="215" t="s">
        <v>1822</v>
      </c>
      <c r="C84" s="215" t="s">
        <v>1823</v>
      </c>
      <c r="D84" s="215" t="s">
        <v>1836</v>
      </c>
      <c r="E84" s="215" t="s">
        <v>1825</v>
      </c>
      <c r="F84" s="215" t="s">
        <v>1847</v>
      </c>
      <c r="G84" s="215" t="s">
        <v>100</v>
      </c>
      <c r="H84" s="216" t="s">
        <v>1896</v>
      </c>
      <c r="I84" s="217"/>
      <c r="J84" s="217"/>
      <c r="K84" s="217"/>
      <c r="L84" s="217"/>
      <c r="M84" s="217"/>
      <c r="N84" s="217"/>
      <c r="O84" s="217"/>
      <c r="P84" s="217"/>
      <c r="Q84" s="218"/>
    </row>
    <row r="85" spans="1:17" s="219" customFormat="1" ht="30" hidden="1" x14ac:dyDescent="0.25">
      <c r="A85" s="214"/>
      <c r="B85" s="215" t="s">
        <v>1822</v>
      </c>
      <c r="C85" s="215" t="s">
        <v>1823</v>
      </c>
      <c r="D85" s="215" t="s">
        <v>1836</v>
      </c>
      <c r="E85" s="215" t="s">
        <v>1825</v>
      </c>
      <c r="F85" s="215" t="s">
        <v>1847</v>
      </c>
      <c r="G85" s="215" t="s">
        <v>105</v>
      </c>
      <c r="H85" s="216" t="s">
        <v>1897</v>
      </c>
      <c r="I85" s="217"/>
      <c r="J85" s="217"/>
      <c r="K85" s="217"/>
      <c r="L85" s="217"/>
      <c r="M85" s="217"/>
      <c r="N85" s="217"/>
      <c r="O85" s="217"/>
      <c r="P85" s="217"/>
      <c r="Q85" s="218"/>
    </row>
    <row r="86" spans="1:17" s="219" customFormat="1" ht="30" hidden="1" x14ac:dyDescent="0.25">
      <c r="A86" s="214"/>
      <c r="B86" s="215" t="s">
        <v>1822</v>
      </c>
      <c r="C86" s="215" t="s">
        <v>1823</v>
      </c>
      <c r="D86" s="215" t="s">
        <v>1836</v>
      </c>
      <c r="E86" s="215" t="s">
        <v>1825</v>
      </c>
      <c r="F86" s="215" t="s">
        <v>1847</v>
      </c>
      <c r="G86" s="215" t="s">
        <v>108</v>
      </c>
      <c r="H86" s="216" t="s">
        <v>1898</v>
      </c>
      <c r="I86" s="217"/>
      <c r="J86" s="217"/>
      <c r="K86" s="217"/>
      <c r="L86" s="217"/>
      <c r="M86" s="217"/>
      <c r="N86" s="217"/>
      <c r="O86" s="217"/>
      <c r="P86" s="217"/>
      <c r="Q86" s="218"/>
    </row>
    <row r="87" spans="1:17" s="219" customFormat="1" hidden="1" x14ac:dyDescent="0.25">
      <c r="A87" s="214"/>
      <c r="B87" s="215" t="s">
        <v>1822</v>
      </c>
      <c r="C87" s="215" t="s">
        <v>1823</v>
      </c>
      <c r="D87" s="215" t="s">
        <v>1836</v>
      </c>
      <c r="E87" s="215" t="s">
        <v>1825</v>
      </c>
      <c r="F87" s="215" t="s">
        <v>1847</v>
      </c>
      <c r="G87" s="215" t="s">
        <v>135</v>
      </c>
      <c r="H87" s="216" t="s">
        <v>1899</v>
      </c>
      <c r="I87" s="217"/>
      <c r="J87" s="217"/>
      <c r="K87" s="217"/>
      <c r="L87" s="217"/>
      <c r="M87" s="217"/>
      <c r="N87" s="217"/>
      <c r="O87" s="217"/>
      <c r="P87" s="217"/>
      <c r="Q87" s="218"/>
    </row>
    <row r="88" spans="1:17" s="219" customFormat="1" hidden="1" x14ac:dyDescent="0.25">
      <c r="A88" s="214"/>
      <c r="B88" s="215" t="s">
        <v>1822</v>
      </c>
      <c r="C88" s="215" t="s">
        <v>1823</v>
      </c>
      <c r="D88" s="215" t="s">
        <v>1836</v>
      </c>
      <c r="E88" s="215" t="s">
        <v>1825</v>
      </c>
      <c r="F88" s="215" t="s">
        <v>1847</v>
      </c>
      <c r="G88" s="215" t="s">
        <v>138</v>
      </c>
      <c r="H88" s="216" t="s">
        <v>1900</v>
      </c>
      <c r="I88" s="217"/>
      <c r="J88" s="217"/>
      <c r="K88" s="217"/>
      <c r="L88" s="217"/>
      <c r="M88" s="217"/>
      <c r="N88" s="217"/>
      <c r="O88" s="217"/>
      <c r="P88" s="217"/>
      <c r="Q88" s="218"/>
    </row>
    <row r="89" spans="1:17" s="219" customFormat="1" hidden="1" x14ac:dyDescent="0.25">
      <c r="A89" s="214"/>
      <c r="B89" s="215" t="s">
        <v>1822</v>
      </c>
      <c r="C89" s="215" t="s">
        <v>1823</v>
      </c>
      <c r="D89" s="215" t="s">
        <v>1836</v>
      </c>
      <c r="E89" s="215" t="s">
        <v>1825</v>
      </c>
      <c r="F89" s="215" t="s">
        <v>1847</v>
      </c>
      <c r="G89" s="215" t="s">
        <v>140</v>
      </c>
      <c r="H89" s="216" t="s">
        <v>1901</v>
      </c>
      <c r="I89" s="217"/>
      <c r="J89" s="217"/>
      <c r="K89" s="217"/>
      <c r="L89" s="217"/>
      <c r="M89" s="217"/>
      <c r="N89" s="217"/>
      <c r="O89" s="217"/>
      <c r="P89" s="217"/>
      <c r="Q89" s="218"/>
    </row>
    <row r="90" spans="1:17" s="219" customFormat="1" hidden="1" x14ac:dyDescent="0.25">
      <c r="A90" s="214"/>
      <c r="B90" s="215" t="s">
        <v>1822</v>
      </c>
      <c r="C90" s="215" t="s">
        <v>1823</v>
      </c>
      <c r="D90" s="215" t="s">
        <v>1836</v>
      </c>
      <c r="E90" s="215" t="s">
        <v>1825</v>
      </c>
      <c r="F90" s="215" t="s">
        <v>1847</v>
      </c>
      <c r="G90" s="215" t="s">
        <v>143</v>
      </c>
      <c r="H90" s="216" t="s">
        <v>1902</v>
      </c>
      <c r="I90" s="217"/>
      <c r="J90" s="217"/>
      <c r="K90" s="217"/>
      <c r="L90" s="217"/>
      <c r="M90" s="217"/>
      <c r="N90" s="217"/>
      <c r="O90" s="217"/>
      <c r="P90" s="217"/>
      <c r="Q90" s="218"/>
    </row>
    <row r="91" spans="1:17" s="219" customFormat="1" hidden="1" x14ac:dyDescent="0.25">
      <c r="A91" s="214"/>
      <c r="B91" s="215" t="s">
        <v>1822</v>
      </c>
      <c r="C91" s="215" t="s">
        <v>1823</v>
      </c>
      <c r="D91" s="215" t="s">
        <v>1836</v>
      </c>
      <c r="E91" s="215" t="s">
        <v>1825</v>
      </c>
      <c r="F91" s="215" t="s">
        <v>1847</v>
      </c>
      <c r="G91" s="215" t="s">
        <v>146</v>
      </c>
      <c r="H91" s="216" t="s">
        <v>1903</v>
      </c>
      <c r="I91" s="217"/>
      <c r="J91" s="217"/>
      <c r="K91" s="217"/>
      <c r="L91" s="217"/>
      <c r="M91" s="217"/>
      <c r="N91" s="217"/>
      <c r="O91" s="217"/>
      <c r="P91" s="217"/>
      <c r="Q91" s="218"/>
    </row>
    <row r="92" spans="1:17" s="219" customFormat="1" x14ac:dyDescent="0.25">
      <c r="A92" s="214"/>
      <c r="B92" s="215" t="s">
        <v>1822</v>
      </c>
      <c r="C92" s="215" t="s">
        <v>1823</v>
      </c>
      <c r="D92" s="215" t="s">
        <v>1836</v>
      </c>
      <c r="E92" s="215" t="s">
        <v>1825</v>
      </c>
      <c r="F92" s="215" t="s">
        <v>1847</v>
      </c>
      <c r="G92" s="215" t="s">
        <v>150</v>
      </c>
      <c r="H92" s="216" t="s">
        <v>1904</v>
      </c>
      <c r="I92" s="217"/>
      <c r="J92" s="217"/>
      <c r="K92" s="217"/>
      <c r="L92" s="217"/>
      <c r="M92" s="217"/>
      <c r="N92" s="217"/>
      <c r="O92" s="217"/>
      <c r="P92" s="217"/>
      <c r="Q92" s="218"/>
    </row>
    <row r="93" spans="1:17" s="213" customFormat="1" x14ac:dyDescent="0.25">
      <c r="A93" s="208" t="s">
        <v>1905</v>
      </c>
      <c r="B93" s="209" t="s">
        <v>1822</v>
      </c>
      <c r="C93" s="209" t="s">
        <v>1823</v>
      </c>
      <c r="D93" s="209" t="s">
        <v>1836</v>
      </c>
      <c r="E93" s="209" t="s">
        <v>1836</v>
      </c>
      <c r="F93" s="209"/>
      <c r="G93" s="209"/>
      <c r="H93" s="210" t="s">
        <v>1906</v>
      </c>
      <c r="I93" s="211">
        <f>SUM(I94+I104+I109+I115+I120)</f>
        <v>2493984900</v>
      </c>
      <c r="J93" s="211">
        <f t="shared" ref="J93:P93" si="11">SUM(J94+J104+J109+J115+J120)</f>
        <v>227918571.42857143</v>
      </c>
      <c r="K93" s="211">
        <f t="shared" si="11"/>
        <v>29385714.285714284</v>
      </c>
      <c r="L93" s="211">
        <f t="shared" si="11"/>
        <v>0</v>
      </c>
      <c r="M93" s="211">
        <f t="shared" si="11"/>
        <v>29385714.285714284</v>
      </c>
      <c r="N93" s="211">
        <f t="shared" si="11"/>
        <v>2316118233.3333335</v>
      </c>
      <c r="O93" s="211">
        <f t="shared" si="11"/>
        <v>177866666.66666669</v>
      </c>
      <c r="P93" s="211">
        <f t="shared" si="11"/>
        <v>0</v>
      </c>
      <c r="Q93" s="212"/>
    </row>
    <row r="94" spans="1:17" s="213" customFormat="1" x14ac:dyDescent="0.25">
      <c r="A94" s="208" t="s">
        <v>263</v>
      </c>
      <c r="B94" s="209" t="s">
        <v>1822</v>
      </c>
      <c r="C94" s="209" t="s">
        <v>1823</v>
      </c>
      <c r="D94" s="209" t="s">
        <v>1836</v>
      </c>
      <c r="E94" s="209" t="s">
        <v>1836</v>
      </c>
      <c r="F94" s="209" t="s">
        <v>1825</v>
      </c>
      <c r="G94" s="209"/>
      <c r="H94" s="210" t="s">
        <v>1907</v>
      </c>
      <c r="I94" s="211">
        <f>SUM(I95:I103)</f>
        <v>2481994900</v>
      </c>
      <c r="J94" s="211">
        <f t="shared" ref="J94:P94" si="12">SUM(J95:J103)</f>
        <v>227918571.42857143</v>
      </c>
      <c r="K94" s="211">
        <f>SUM(K95:K103)</f>
        <v>29385714.285714284</v>
      </c>
      <c r="L94" s="211">
        <f t="shared" si="12"/>
        <v>0</v>
      </c>
      <c r="M94" s="211">
        <f t="shared" si="12"/>
        <v>29385714.285714284</v>
      </c>
      <c r="N94" s="211">
        <f t="shared" si="12"/>
        <v>2304128233.3333335</v>
      </c>
      <c r="O94" s="211">
        <f t="shared" si="12"/>
        <v>177866666.66666669</v>
      </c>
      <c r="P94" s="211">
        <f t="shared" si="12"/>
        <v>0</v>
      </c>
      <c r="Q94" s="212"/>
    </row>
    <row r="95" spans="1:17" s="219" customFormat="1" ht="30" x14ac:dyDescent="0.25">
      <c r="A95" s="214"/>
      <c r="B95" s="215" t="s">
        <v>1822</v>
      </c>
      <c r="C95" s="215" t="s">
        <v>1823</v>
      </c>
      <c r="D95" s="215" t="s">
        <v>1836</v>
      </c>
      <c r="E95" s="215" t="s">
        <v>1836</v>
      </c>
      <c r="F95" s="215" t="s">
        <v>1825</v>
      </c>
      <c r="G95" s="215" t="s">
        <v>58</v>
      </c>
      <c r="H95" s="216" t="s">
        <v>1908</v>
      </c>
      <c r="I95" s="217">
        <v>1963604900</v>
      </c>
      <c r="J95" s="217">
        <v>162104285.71428573</v>
      </c>
      <c r="K95" s="217">
        <v>22142857.142857142</v>
      </c>
      <c r="L95" s="217"/>
      <c r="M95" s="217">
        <v>22142857.142857142</v>
      </c>
      <c r="N95" s="217">
        <v>1812295376.1904762</v>
      </c>
      <c r="O95" s="217">
        <v>151309523.80952382</v>
      </c>
      <c r="P95" s="217"/>
      <c r="Q95" s="218"/>
    </row>
    <row r="96" spans="1:17" s="219" customFormat="1" x14ac:dyDescent="0.25">
      <c r="A96" s="214"/>
      <c r="B96" s="215" t="s">
        <v>1822</v>
      </c>
      <c r="C96" s="215" t="s">
        <v>1823</v>
      </c>
      <c r="D96" s="215" t="s">
        <v>1836</v>
      </c>
      <c r="E96" s="215" t="s">
        <v>1836</v>
      </c>
      <c r="F96" s="215" t="s">
        <v>1825</v>
      </c>
      <c r="G96" s="215" t="s">
        <v>75</v>
      </c>
      <c r="H96" s="216" t="s">
        <v>1909</v>
      </c>
      <c r="I96" s="217"/>
      <c r="J96" s="217"/>
      <c r="K96" s="217"/>
      <c r="L96" s="217"/>
      <c r="M96" s="217"/>
      <c r="N96" s="217"/>
      <c r="O96" s="217"/>
      <c r="P96" s="217"/>
      <c r="Q96" s="218"/>
    </row>
    <row r="97" spans="1:17" s="219" customFormat="1" ht="30" x14ac:dyDescent="0.25">
      <c r="A97" s="214"/>
      <c r="B97" s="215" t="s">
        <v>1822</v>
      </c>
      <c r="C97" s="215" t="s">
        <v>1823</v>
      </c>
      <c r="D97" s="215" t="s">
        <v>1836</v>
      </c>
      <c r="E97" s="215" t="s">
        <v>1836</v>
      </c>
      <c r="F97" s="215" t="s">
        <v>1825</v>
      </c>
      <c r="G97" s="215" t="s">
        <v>79</v>
      </c>
      <c r="H97" s="216" t="s">
        <v>1910</v>
      </c>
      <c r="I97" s="217">
        <v>195300000</v>
      </c>
      <c r="J97" s="217">
        <v>27900000</v>
      </c>
      <c r="K97" s="217">
        <v>0</v>
      </c>
      <c r="L97" s="217"/>
      <c r="M97" s="217">
        <v>0</v>
      </c>
      <c r="N97" s="217">
        <v>195300000</v>
      </c>
      <c r="O97" s="217"/>
      <c r="P97" s="217"/>
      <c r="Q97" s="218"/>
    </row>
    <row r="98" spans="1:17" s="219" customFormat="1" x14ac:dyDescent="0.25">
      <c r="A98" s="214"/>
      <c r="B98" s="215" t="s">
        <v>1822</v>
      </c>
      <c r="C98" s="215" t="s">
        <v>1823</v>
      </c>
      <c r="D98" s="215" t="s">
        <v>1836</v>
      </c>
      <c r="E98" s="215" t="s">
        <v>1836</v>
      </c>
      <c r="F98" s="215" t="s">
        <v>1825</v>
      </c>
      <c r="G98" s="215" t="s">
        <v>84</v>
      </c>
      <c r="H98" s="216" t="s">
        <v>1911</v>
      </c>
      <c r="I98" s="217">
        <v>323090000</v>
      </c>
      <c r="J98" s="217">
        <v>37914285.714285702</v>
      </c>
      <c r="K98" s="217">
        <v>7242857.1428571427</v>
      </c>
      <c r="L98" s="217"/>
      <c r="M98" s="217">
        <v>7242857.1428571427</v>
      </c>
      <c r="N98" s="217">
        <v>296532857.14285719</v>
      </c>
      <c r="O98" s="217">
        <v>26557142.857142858</v>
      </c>
      <c r="P98" s="217"/>
      <c r="Q98" s="218"/>
    </row>
    <row r="99" spans="1:17" s="219" customFormat="1" x14ac:dyDescent="0.25">
      <c r="A99" s="214"/>
      <c r="B99" s="215" t="s">
        <v>1822</v>
      </c>
      <c r="C99" s="215" t="s">
        <v>1823</v>
      </c>
      <c r="D99" s="215" t="s">
        <v>1836</v>
      </c>
      <c r="E99" s="215" t="s">
        <v>1836</v>
      </c>
      <c r="F99" s="215" t="s">
        <v>1825</v>
      </c>
      <c r="G99" s="215" t="s">
        <v>88</v>
      </c>
      <c r="H99" s="216" t="s">
        <v>1912</v>
      </c>
      <c r="I99" s="217"/>
      <c r="J99" s="217"/>
      <c r="K99" s="217"/>
      <c r="L99" s="217"/>
      <c r="M99" s="217"/>
      <c r="N99" s="217"/>
      <c r="O99" s="217"/>
      <c r="P99" s="217"/>
      <c r="Q99" s="218"/>
    </row>
    <row r="100" spans="1:17" s="219" customFormat="1" x14ac:dyDescent="0.25">
      <c r="A100" s="214"/>
      <c r="B100" s="215" t="s">
        <v>1822</v>
      </c>
      <c r="C100" s="215" t="s">
        <v>1823</v>
      </c>
      <c r="D100" s="215" t="s">
        <v>1836</v>
      </c>
      <c r="E100" s="215" t="s">
        <v>1836</v>
      </c>
      <c r="F100" s="215" t="s">
        <v>1825</v>
      </c>
      <c r="G100" s="215" t="s">
        <v>92</v>
      </c>
      <c r="H100" s="216" t="s">
        <v>1913</v>
      </c>
      <c r="I100" s="217"/>
      <c r="J100" s="217"/>
      <c r="K100" s="217"/>
      <c r="L100" s="217"/>
      <c r="M100" s="217"/>
      <c r="N100" s="217"/>
      <c r="O100" s="217"/>
      <c r="P100" s="217"/>
      <c r="Q100" s="218"/>
    </row>
    <row r="101" spans="1:17" s="219" customFormat="1" x14ac:dyDescent="0.25">
      <c r="A101" s="214"/>
      <c r="B101" s="215" t="s">
        <v>1822</v>
      </c>
      <c r="C101" s="215" t="s">
        <v>1823</v>
      </c>
      <c r="D101" s="215" t="s">
        <v>1836</v>
      </c>
      <c r="E101" s="215" t="s">
        <v>1836</v>
      </c>
      <c r="F101" s="215" t="s">
        <v>1825</v>
      </c>
      <c r="G101" s="215" t="s">
        <v>96</v>
      </c>
      <c r="H101" s="216" t="s">
        <v>1914</v>
      </c>
      <c r="I101" s="217"/>
      <c r="J101" s="217"/>
      <c r="K101" s="217"/>
      <c r="L101" s="217"/>
      <c r="M101" s="217"/>
      <c r="N101" s="217"/>
      <c r="O101" s="217"/>
      <c r="P101" s="217"/>
      <c r="Q101" s="218"/>
    </row>
    <row r="102" spans="1:17" s="219" customFormat="1" x14ac:dyDescent="0.25">
      <c r="A102" s="214"/>
      <c r="B102" s="215" t="s">
        <v>1822</v>
      </c>
      <c r="C102" s="215" t="s">
        <v>1823</v>
      </c>
      <c r="D102" s="215" t="s">
        <v>1836</v>
      </c>
      <c r="E102" s="215" t="s">
        <v>1836</v>
      </c>
      <c r="F102" s="215" t="s">
        <v>1825</v>
      </c>
      <c r="G102" s="215" t="s">
        <v>100</v>
      </c>
      <c r="H102" s="216" t="s">
        <v>1915</v>
      </c>
      <c r="I102" s="217"/>
      <c r="J102" s="217"/>
      <c r="K102" s="217"/>
      <c r="L102" s="217"/>
      <c r="M102" s="217"/>
      <c r="N102" s="217"/>
      <c r="O102" s="217"/>
      <c r="P102" s="217"/>
      <c r="Q102" s="218"/>
    </row>
    <row r="103" spans="1:17" s="219" customFormat="1" ht="30" x14ac:dyDescent="0.25">
      <c r="A103" s="214"/>
      <c r="B103" s="215" t="s">
        <v>1822</v>
      </c>
      <c r="C103" s="215" t="s">
        <v>1823</v>
      </c>
      <c r="D103" s="215" t="s">
        <v>1836</v>
      </c>
      <c r="E103" s="215" t="s">
        <v>1836</v>
      </c>
      <c r="F103" s="215" t="s">
        <v>1825</v>
      </c>
      <c r="G103" s="215" t="s">
        <v>105</v>
      </c>
      <c r="H103" s="216" t="s">
        <v>1916</v>
      </c>
      <c r="I103" s="217"/>
      <c r="J103" s="217"/>
      <c r="K103" s="217"/>
      <c r="L103" s="217"/>
      <c r="M103" s="217"/>
      <c r="N103" s="217"/>
      <c r="O103" s="217"/>
      <c r="P103" s="217"/>
      <c r="Q103" s="218"/>
    </row>
    <row r="104" spans="1:17" s="213" customFormat="1" x14ac:dyDescent="0.25">
      <c r="A104" s="208" t="s">
        <v>263</v>
      </c>
      <c r="B104" s="209" t="s">
        <v>1822</v>
      </c>
      <c r="C104" s="209" t="s">
        <v>1823</v>
      </c>
      <c r="D104" s="209" t="s">
        <v>1836</v>
      </c>
      <c r="E104" s="209" t="s">
        <v>1836</v>
      </c>
      <c r="F104" s="209" t="s">
        <v>1836</v>
      </c>
      <c r="G104" s="209"/>
      <c r="H104" s="210" t="s">
        <v>1917</v>
      </c>
      <c r="I104" s="211">
        <f>SUM(I105:I108)</f>
        <v>11990000</v>
      </c>
      <c r="J104" s="211">
        <f t="shared" ref="J104:P104" si="13">SUM(J105:J108)</f>
        <v>0</v>
      </c>
      <c r="K104" s="211">
        <f t="shared" si="13"/>
        <v>0</v>
      </c>
      <c r="L104" s="211">
        <f t="shared" si="13"/>
        <v>0</v>
      </c>
      <c r="M104" s="211">
        <f t="shared" si="13"/>
        <v>0</v>
      </c>
      <c r="N104" s="211">
        <f t="shared" si="13"/>
        <v>11990000</v>
      </c>
      <c r="O104" s="211">
        <f t="shared" si="13"/>
        <v>0</v>
      </c>
      <c r="P104" s="211">
        <f t="shared" si="13"/>
        <v>0</v>
      </c>
      <c r="Q104" s="212"/>
    </row>
    <row r="105" spans="1:17" s="219" customFormat="1" ht="30" x14ac:dyDescent="0.25">
      <c r="A105" s="214"/>
      <c r="B105" s="215" t="s">
        <v>1822</v>
      </c>
      <c r="C105" s="215" t="s">
        <v>1823</v>
      </c>
      <c r="D105" s="215" t="s">
        <v>1836</v>
      </c>
      <c r="E105" s="215" t="s">
        <v>1836</v>
      </c>
      <c r="F105" s="215" t="s">
        <v>1836</v>
      </c>
      <c r="G105" s="215" t="s">
        <v>58</v>
      </c>
      <c r="H105" s="216" t="s">
        <v>1918</v>
      </c>
      <c r="I105" s="217">
        <v>11990000</v>
      </c>
      <c r="J105" s="217"/>
      <c r="K105" s="217"/>
      <c r="L105" s="217"/>
      <c r="M105" s="217"/>
      <c r="N105" s="217">
        <v>11990000</v>
      </c>
      <c r="O105" s="217"/>
      <c r="P105" s="217"/>
      <c r="Q105" s="218"/>
    </row>
    <row r="106" spans="1:17" s="219" customFormat="1" hidden="1" x14ac:dyDescent="0.25">
      <c r="A106" s="214"/>
      <c r="B106" s="215" t="s">
        <v>1822</v>
      </c>
      <c r="C106" s="215" t="s">
        <v>1823</v>
      </c>
      <c r="D106" s="215" t="s">
        <v>1836</v>
      </c>
      <c r="E106" s="215" t="s">
        <v>1836</v>
      </c>
      <c r="F106" s="215" t="s">
        <v>1836</v>
      </c>
      <c r="G106" s="215" t="s">
        <v>75</v>
      </c>
      <c r="H106" s="216" t="s">
        <v>1919</v>
      </c>
      <c r="I106" s="217"/>
      <c r="J106" s="217"/>
      <c r="K106" s="217"/>
      <c r="L106" s="217"/>
      <c r="M106" s="217"/>
      <c r="N106" s="217"/>
      <c r="O106" s="217"/>
      <c r="P106" s="217"/>
      <c r="Q106" s="218"/>
    </row>
    <row r="107" spans="1:17" s="219" customFormat="1" ht="30" hidden="1" x14ac:dyDescent="0.25">
      <c r="A107" s="214"/>
      <c r="B107" s="215" t="s">
        <v>1822</v>
      </c>
      <c r="C107" s="215" t="s">
        <v>1823</v>
      </c>
      <c r="D107" s="215" t="s">
        <v>1836</v>
      </c>
      <c r="E107" s="215" t="s">
        <v>1836</v>
      </c>
      <c r="F107" s="215" t="s">
        <v>1836</v>
      </c>
      <c r="G107" s="215" t="s">
        <v>79</v>
      </c>
      <c r="H107" s="216" t="s">
        <v>1920</v>
      </c>
      <c r="I107" s="217"/>
      <c r="J107" s="217"/>
      <c r="K107" s="217"/>
      <c r="L107" s="217"/>
      <c r="M107" s="217"/>
      <c r="N107" s="217"/>
      <c r="O107" s="217"/>
      <c r="P107" s="217"/>
      <c r="Q107" s="218"/>
    </row>
    <row r="108" spans="1:17" s="219" customFormat="1" ht="30" hidden="1" x14ac:dyDescent="0.25">
      <c r="A108" s="214"/>
      <c r="B108" s="215" t="s">
        <v>1822</v>
      </c>
      <c r="C108" s="215" t="s">
        <v>1823</v>
      </c>
      <c r="D108" s="215" t="s">
        <v>1836</v>
      </c>
      <c r="E108" s="215" t="s">
        <v>1836</v>
      </c>
      <c r="F108" s="215" t="s">
        <v>1836</v>
      </c>
      <c r="G108" s="215" t="s">
        <v>84</v>
      </c>
      <c r="H108" s="216" t="s">
        <v>1921</v>
      </c>
      <c r="I108" s="217"/>
      <c r="J108" s="217"/>
      <c r="K108" s="217"/>
      <c r="L108" s="217"/>
      <c r="M108" s="217"/>
      <c r="N108" s="217"/>
      <c r="O108" s="217"/>
      <c r="P108" s="217"/>
      <c r="Q108" s="218"/>
    </row>
    <row r="109" spans="1:17" s="213" customFormat="1" hidden="1" x14ac:dyDescent="0.25">
      <c r="A109" s="208" t="s">
        <v>263</v>
      </c>
      <c r="B109" s="209" t="s">
        <v>1822</v>
      </c>
      <c r="C109" s="209" t="s">
        <v>1823</v>
      </c>
      <c r="D109" s="209" t="s">
        <v>1836</v>
      </c>
      <c r="E109" s="209" t="s">
        <v>1836</v>
      </c>
      <c r="F109" s="209" t="s">
        <v>1847</v>
      </c>
      <c r="G109" s="209"/>
      <c r="H109" s="210" t="s">
        <v>1922</v>
      </c>
      <c r="I109" s="211">
        <f>SUM(I110:I114)</f>
        <v>0</v>
      </c>
      <c r="J109" s="211">
        <f t="shared" ref="J109:P109" si="14">SUM(J110:J114)</f>
        <v>0</v>
      </c>
      <c r="K109" s="211">
        <f t="shared" si="14"/>
        <v>0</v>
      </c>
      <c r="L109" s="211">
        <f t="shared" si="14"/>
        <v>0</v>
      </c>
      <c r="M109" s="211">
        <f t="shared" si="14"/>
        <v>0</v>
      </c>
      <c r="N109" s="211">
        <f t="shared" si="14"/>
        <v>0</v>
      </c>
      <c r="O109" s="211">
        <f t="shared" si="14"/>
        <v>0</v>
      </c>
      <c r="P109" s="211">
        <f t="shared" si="14"/>
        <v>0</v>
      </c>
      <c r="Q109" s="212"/>
    </row>
    <row r="110" spans="1:17" s="219" customFormat="1" ht="30" hidden="1" x14ac:dyDescent="0.25">
      <c r="A110" s="214"/>
      <c r="B110" s="215" t="s">
        <v>1822</v>
      </c>
      <c r="C110" s="215" t="s">
        <v>1823</v>
      </c>
      <c r="D110" s="215" t="s">
        <v>1836</v>
      </c>
      <c r="E110" s="215" t="s">
        <v>1836</v>
      </c>
      <c r="F110" s="215" t="s">
        <v>1847</v>
      </c>
      <c r="G110" s="215" t="s">
        <v>58</v>
      </c>
      <c r="H110" s="216" t="s">
        <v>1923</v>
      </c>
      <c r="I110" s="217"/>
      <c r="J110" s="217"/>
      <c r="K110" s="217"/>
      <c r="L110" s="217"/>
      <c r="M110" s="217"/>
      <c r="N110" s="217"/>
      <c r="O110" s="217"/>
      <c r="P110" s="217"/>
      <c r="Q110" s="218"/>
    </row>
    <row r="111" spans="1:17" s="219" customFormat="1" ht="30" hidden="1" x14ac:dyDescent="0.25">
      <c r="A111" s="214"/>
      <c r="B111" s="215" t="s">
        <v>1822</v>
      </c>
      <c r="C111" s="215" t="s">
        <v>1823</v>
      </c>
      <c r="D111" s="215" t="s">
        <v>1836</v>
      </c>
      <c r="E111" s="215" t="s">
        <v>1836</v>
      </c>
      <c r="F111" s="215" t="s">
        <v>1847</v>
      </c>
      <c r="G111" s="215" t="s">
        <v>75</v>
      </c>
      <c r="H111" s="216" t="s">
        <v>1924</v>
      </c>
      <c r="I111" s="217"/>
      <c r="J111" s="217"/>
      <c r="K111" s="217"/>
      <c r="L111" s="217"/>
      <c r="M111" s="217"/>
      <c r="N111" s="217"/>
      <c r="O111" s="217"/>
      <c r="P111" s="217"/>
      <c r="Q111" s="218"/>
    </row>
    <row r="112" spans="1:17" s="219" customFormat="1" ht="30" hidden="1" x14ac:dyDescent="0.25">
      <c r="A112" s="214"/>
      <c r="B112" s="215" t="s">
        <v>1822</v>
      </c>
      <c r="C112" s="215" t="s">
        <v>1823</v>
      </c>
      <c r="D112" s="215" t="s">
        <v>1836</v>
      </c>
      <c r="E112" s="215" t="s">
        <v>1836</v>
      </c>
      <c r="F112" s="215" t="s">
        <v>1847</v>
      </c>
      <c r="G112" s="215" t="s">
        <v>79</v>
      </c>
      <c r="H112" s="216" t="s">
        <v>1925</v>
      </c>
      <c r="I112" s="217"/>
      <c r="J112" s="217"/>
      <c r="K112" s="217"/>
      <c r="L112" s="217"/>
      <c r="M112" s="217"/>
      <c r="N112" s="217"/>
      <c r="O112" s="217"/>
      <c r="P112" s="217"/>
      <c r="Q112" s="218"/>
    </row>
    <row r="113" spans="1:17" s="219" customFormat="1" hidden="1" x14ac:dyDescent="0.25">
      <c r="A113" s="214"/>
      <c r="B113" s="215" t="s">
        <v>1822</v>
      </c>
      <c r="C113" s="215" t="s">
        <v>1823</v>
      </c>
      <c r="D113" s="215" t="s">
        <v>1836</v>
      </c>
      <c r="E113" s="215" t="s">
        <v>1836</v>
      </c>
      <c r="F113" s="215" t="s">
        <v>1847</v>
      </c>
      <c r="G113" s="215" t="s">
        <v>84</v>
      </c>
      <c r="H113" s="216" t="s">
        <v>1926</v>
      </c>
      <c r="I113" s="217"/>
      <c r="J113" s="217"/>
      <c r="K113" s="217"/>
      <c r="L113" s="217"/>
      <c r="M113" s="217"/>
      <c r="N113" s="217"/>
      <c r="O113" s="217"/>
      <c r="P113" s="217"/>
      <c r="Q113" s="218"/>
    </row>
    <row r="114" spans="1:17" s="219" customFormat="1" ht="30" hidden="1" x14ac:dyDescent="0.25">
      <c r="A114" s="214"/>
      <c r="B114" s="215" t="s">
        <v>1822</v>
      </c>
      <c r="C114" s="215" t="s">
        <v>1823</v>
      </c>
      <c r="D114" s="215" t="s">
        <v>1836</v>
      </c>
      <c r="E114" s="215" t="s">
        <v>1836</v>
      </c>
      <c r="F114" s="215" t="s">
        <v>1847</v>
      </c>
      <c r="G114" s="215" t="s">
        <v>88</v>
      </c>
      <c r="H114" s="216" t="s">
        <v>1927</v>
      </c>
      <c r="I114" s="217"/>
      <c r="J114" s="217"/>
      <c r="K114" s="217"/>
      <c r="L114" s="217"/>
      <c r="M114" s="217"/>
      <c r="N114" s="217"/>
      <c r="O114" s="217"/>
      <c r="P114" s="217"/>
      <c r="Q114" s="218"/>
    </row>
    <row r="115" spans="1:17" s="213" customFormat="1" hidden="1" x14ac:dyDescent="0.25">
      <c r="A115" s="208" t="s">
        <v>263</v>
      </c>
      <c r="B115" s="209" t="s">
        <v>1822</v>
      </c>
      <c r="C115" s="209" t="s">
        <v>1823</v>
      </c>
      <c r="D115" s="209" t="s">
        <v>1836</v>
      </c>
      <c r="E115" s="209" t="s">
        <v>1836</v>
      </c>
      <c r="F115" s="209" t="s">
        <v>1928</v>
      </c>
      <c r="G115" s="209"/>
      <c r="H115" s="210" t="s">
        <v>1929</v>
      </c>
      <c r="I115" s="211">
        <f>SUM(I116:I119)</f>
        <v>0</v>
      </c>
      <c r="J115" s="211">
        <f t="shared" ref="J115:P115" si="15">SUM(J116:J119)</f>
        <v>0</v>
      </c>
      <c r="K115" s="211">
        <f t="shared" si="15"/>
        <v>0</v>
      </c>
      <c r="L115" s="211">
        <f t="shared" si="15"/>
        <v>0</v>
      </c>
      <c r="M115" s="211">
        <f t="shared" si="15"/>
        <v>0</v>
      </c>
      <c r="N115" s="211">
        <f t="shared" si="15"/>
        <v>0</v>
      </c>
      <c r="O115" s="211">
        <f t="shared" si="15"/>
        <v>0</v>
      </c>
      <c r="P115" s="211">
        <f t="shared" si="15"/>
        <v>0</v>
      </c>
      <c r="Q115" s="212"/>
    </row>
    <row r="116" spans="1:17" s="219" customFormat="1" ht="30" hidden="1" x14ac:dyDescent="0.25">
      <c r="A116" s="214"/>
      <c r="B116" s="215" t="s">
        <v>1822</v>
      </c>
      <c r="C116" s="215" t="s">
        <v>1823</v>
      </c>
      <c r="D116" s="215" t="s">
        <v>1836</v>
      </c>
      <c r="E116" s="215" t="s">
        <v>1836</v>
      </c>
      <c r="F116" s="215" t="s">
        <v>1928</v>
      </c>
      <c r="G116" s="215" t="s">
        <v>58</v>
      </c>
      <c r="H116" s="216" t="s">
        <v>1930</v>
      </c>
      <c r="I116" s="217"/>
      <c r="J116" s="217"/>
      <c r="K116" s="217"/>
      <c r="L116" s="217"/>
      <c r="M116" s="217"/>
      <c r="N116" s="217"/>
      <c r="O116" s="217"/>
      <c r="P116" s="217"/>
      <c r="Q116" s="218"/>
    </row>
    <row r="117" spans="1:17" s="219" customFormat="1" ht="30" hidden="1" x14ac:dyDescent="0.25">
      <c r="A117" s="214"/>
      <c r="B117" s="215" t="s">
        <v>1822</v>
      </c>
      <c r="C117" s="215" t="s">
        <v>1823</v>
      </c>
      <c r="D117" s="215" t="s">
        <v>1836</v>
      </c>
      <c r="E117" s="215" t="s">
        <v>1836</v>
      </c>
      <c r="F117" s="215" t="s">
        <v>1928</v>
      </c>
      <c r="G117" s="215" t="s">
        <v>75</v>
      </c>
      <c r="H117" s="216" t="s">
        <v>1931</v>
      </c>
      <c r="I117" s="217"/>
      <c r="J117" s="217"/>
      <c r="K117" s="217"/>
      <c r="L117" s="217"/>
      <c r="M117" s="217"/>
      <c r="N117" s="217"/>
      <c r="O117" s="217"/>
      <c r="P117" s="217"/>
      <c r="Q117" s="218"/>
    </row>
    <row r="118" spans="1:17" s="219" customFormat="1" ht="30" hidden="1" x14ac:dyDescent="0.25">
      <c r="A118" s="214"/>
      <c r="B118" s="215" t="s">
        <v>1822</v>
      </c>
      <c r="C118" s="215" t="s">
        <v>1823</v>
      </c>
      <c r="D118" s="215" t="s">
        <v>1836</v>
      </c>
      <c r="E118" s="215" t="s">
        <v>1836</v>
      </c>
      <c r="F118" s="215" t="s">
        <v>1928</v>
      </c>
      <c r="G118" s="215" t="s">
        <v>79</v>
      </c>
      <c r="H118" s="216" t="s">
        <v>1932</v>
      </c>
      <c r="I118" s="217"/>
      <c r="J118" s="217"/>
      <c r="K118" s="217"/>
      <c r="L118" s="217"/>
      <c r="M118" s="217"/>
      <c r="N118" s="217"/>
      <c r="O118" s="217"/>
      <c r="P118" s="217"/>
      <c r="Q118" s="218"/>
    </row>
    <row r="119" spans="1:17" s="219" customFormat="1" ht="30" hidden="1" x14ac:dyDescent="0.25">
      <c r="A119" s="214"/>
      <c r="B119" s="215" t="s">
        <v>1822</v>
      </c>
      <c r="C119" s="215" t="s">
        <v>1823</v>
      </c>
      <c r="D119" s="215" t="s">
        <v>1836</v>
      </c>
      <c r="E119" s="215" t="s">
        <v>1836</v>
      </c>
      <c r="F119" s="215" t="s">
        <v>1928</v>
      </c>
      <c r="G119" s="215" t="s">
        <v>84</v>
      </c>
      <c r="H119" s="216" t="s">
        <v>1933</v>
      </c>
      <c r="I119" s="217"/>
      <c r="J119" s="217"/>
      <c r="K119" s="217"/>
      <c r="L119" s="217"/>
      <c r="M119" s="217"/>
      <c r="N119" s="217"/>
      <c r="O119" s="217"/>
      <c r="P119" s="217"/>
      <c r="Q119" s="218"/>
    </row>
    <row r="120" spans="1:17" s="213" customFormat="1" hidden="1" x14ac:dyDescent="0.25">
      <c r="A120" s="208" t="s">
        <v>263</v>
      </c>
      <c r="B120" s="209" t="s">
        <v>1822</v>
      </c>
      <c r="C120" s="209" t="s">
        <v>1823</v>
      </c>
      <c r="D120" s="209" t="s">
        <v>1836</v>
      </c>
      <c r="E120" s="209" t="s">
        <v>1836</v>
      </c>
      <c r="F120" s="209" t="s">
        <v>1934</v>
      </c>
      <c r="G120" s="209"/>
      <c r="H120" s="210" t="s">
        <v>1935</v>
      </c>
      <c r="I120" s="211">
        <f>SUM(I121:I122)</f>
        <v>0</v>
      </c>
      <c r="J120" s="211">
        <f t="shared" ref="J120:P120" si="16">SUM(J121:J122)</f>
        <v>0</v>
      </c>
      <c r="K120" s="211">
        <f t="shared" si="16"/>
        <v>0</v>
      </c>
      <c r="L120" s="211">
        <f t="shared" si="16"/>
        <v>0</v>
      </c>
      <c r="M120" s="211">
        <f t="shared" si="16"/>
        <v>0</v>
      </c>
      <c r="N120" s="211">
        <f t="shared" si="16"/>
        <v>0</v>
      </c>
      <c r="O120" s="211">
        <f t="shared" si="16"/>
        <v>0</v>
      </c>
      <c r="P120" s="211">
        <f t="shared" si="16"/>
        <v>0</v>
      </c>
      <c r="Q120" s="212"/>
    </row>
    <row r="121" spans="1:17" s="219" customFormat="1" hidden="1" x14ac:dyDescent="0.25">
      <c r="A121" s="214"/>
      <c r="B121" s="215" t="s">
        <v>1822</v>
      </c>
      <c r="C121" s="215" t="s">
        <v>1823</v>
      </c>
      <c r="D121" s="215" t="s">
        <v>1836</v>
      </c>
      <c r="E121" s="215" t="s">
        <v>1836</v>
      </c>
      <c r="F121" s="215" t="s">
        <v>1934</v>
      </c>
      <c r="G121" s="215" t="s">
        <v>58</v>
      </c>
      <c r="H121" s="216" t="s">
        <v>1936</v>
      </c>
      <c r="I121" s="217"/>
      <c r="J121" s="217"/>
      <c r="K121" s="217"/>
      <c r="L121" s="217"/>
      <c r="M121" s="217"/>
      <c r="N121" s="217"/>
      <c r="O121" s="217"/>
      <c r="P121" s="217"/>
      <c r="Q121" s="218"/>
    </row>
    <row r="122" spans="1:17" s="219" customFormat="1" ht="30" hidden="1" x14ac:dyDescent="0.25">
      <c r="A122" s="214"/>
      <c r="B122" s="215" t="s">
        <v>1822</v>
      </c>
      <c r="C122" s="215" t="s">
        <v>1823</v>
      </c>
      <c r="D122" s="215" t="s">
        <v>1836</v>
      </c>
      <c r="E122" s="215" t="s">
        <v>1836</v>
      </c>
      <c r="F122" s="215" t="s">
        <v>1934</v>
      </c>
      <c r="G122" s="215" t="s">
        <v>75</v>
      </c>
      <c r="H122" s="216" t="s">
        <v>1937</v>
      </c>
      <c r="I122" s="217"/>
      <c r="J122" s="217"/>
      <c r="K122" s="217"/>
      <c r="L122" s="217"/>
      <c r="M122" s="217"/>
      <c r="N122" s="217"/>
      <c r="O122" s="217"/>
      <c r="P122" s="217"/>
      <c r="Q122" s="218"/>
    </row>
    <row r="123" spans="1:17" s="213" customFormat="1" hidden="1" x14ac:dyDescent="0.25">
      <c r="A123" s="208" t="s">
        <v>1938</v>
      </c>
      <c r="B123" s="209" t="s">
        <v>1822</v>
      </c>
      <c r="C123" s="209" t="s">
        <v>1823</v>
      </c>
      <c r="D123" s="209" t="s">
        <v>1836</v>
      </c>
      <c r="E123" s="209" t="s">
        <v>1847</v>
      </c>
      <c r="F123" s="209"/>
      <c r="G123" s="209"/>
      <c r="H123" s="210" t="s">
        <v>1939</v>
      </c>
      <c r="I123" s="211">
        <f>SUM(I124+I135+I149)</f>
        <v>0</v>
      </c>
      <c r="J123" s="211">
        <f t="shared" ref="J123:P123" si="17">SUM(J124+J135+J149)</f>
        <v>0</v>
      </c>
      <c r="K123" s="211">
        <f t="shared" si="17"/>
        <v>0</v>
      </c>
      <c r="L123" s="211">
        <f t="shared" si="17"/>
        <v>0</v>
      </c>
      <c r="M123" s="211">
        <f t="shared" si="17"/>
        <v>0</v>
      </c>
      <c r="N123" s="211">
        <f t="shared" si="17"/>
        <v>0</v>
      </c>
      <c r="O123" s="211">
        <f t="shared" si="17"/>
        <v>0</v>
      </c>
      <c r="P123" s="211">
        <f t="shared" si="17"/>
        <v>0</v>
      </c>
      <c r="Q123" s="212"/>
    </row>
    <row r="124" spans="1:17" s="213" customFormat="1" hidden="1" x14ac:dyDescent="0.25">
      <c r="A124" s="208" t="s">
        <v>263</v>
      </c>
      <c r="B124" s="209" t="s">
        <v>1822</v>
      </c>
      <c r="C124" s="209" t="s">
        <v>1823</v>
      </c>
      <c r="D124" s="209" t="s">
        <v>1836</v>
      </c>
      <c r="E124" s="209" t="s">
        <v>1847</v>
      </c>
      <c r="F124" s="209" t="s">
        <v>1825</v>
      </c>
      <c r="G124" s="209"/>
      <c r="H124" s="210" t="s">
        <v>1940</v>
      </c>
      <c r="I124" s="211">
        <f>SUM(I125:I134)</f>
        <v>0</v>
      </c>
      <c r="J124" s="211">
        <f t="shared" ref="J124:P124" si="18">SUM(J125:J134)</f>
        <v>0</v>
      </c>
      <c r="K124" s="211">
        <f t="shared" si="18"/>
        <v>0</v>
      </c>
      <c r="L124" s="211">
        <f t="shared" si="18"/>
        <v>0</v>
      </c>
      <c r="M124" s="211">
        <f t="shared" si="18"/>
        <v>0</v>
      </c>
      <c r="N124" s="211">
        <f t="shared" si="18"/>
        <v>0</v>
      </c>
      <c r="O124" s="211">
        <f t="shared" si="18"/>
        <v>0</v>
      </c>
      <c r="P124" s="211">
        <f t="shared" si="18"/>
        <v>0</v>
      </c>
      <c r="Q124" s="212"/>
    </row>
    <row r="125" spans="1:17" s="219" customFormat="1" ht="30" hidden="1" x14ac:dyDescent="0.25">
      <c r="A125" s="214"/>
      <c r="B125" s="215" t="s">
        <v>1822</v>
      </c>
      <c r="C125" s="215" t="s">
        <v>1823</v>
      </c>
      <c r="D125" s="215" t="s">
        <v>1836</v>
      </c>
      <c r="E125" s="215" t="s">
        <v>1847</v>
      </c>
      <c r="F125" s="215" t="s">
        <v>1825</v>
      </c>
      <c r="G125" s="215" t="s">
        <v>58</v>
      </c>
      <c r="H125" s="216" t="s">
        <v>1941</v>
      </c>
      <c r="I125" s="217"/>
      <c r="J125" s="217"/>
      <c r="K125" s="217"/>
      <c r="L125" s="217"/>
      <c r="M125" s="217"/>
      <c r="N125" s="217"/>
      <c r="O125" s="217"/>
      <c r="P125" s="217"/>
      <c r="Q125" s="218"/>
    </row>
    <row r="126" spans="1:17" s="219" customFormat="1" ht="30" hidden="1" x14ac:dyDescent="0.25">
      <c r="A126" s="214"/>
      <c r="B126" s="215" t="s">
        <v>1822</v>
      </c>
      <c r="C126" s="215" t="s">
        <v>1823</v>
      </c>
      <c r="D126" s="215" t="s">
        <v>1836</v>
      </c>
      <c r="E126" s="215" t="s">
        <v>1847</v>
      </c>
      <c r="F126" s="215" t="s">
        <v>1825</v>
      </c>
      <c r="G126" s="215" t="s">
        <v>75</v>
      </c>
      <c r="H126" s="216" t="s">
        <v>1942</v>
      </c>
      <c r="I126" s="217"/>
      <c r="J126" s="217"/>
      <c r="K126" s="217"/>
      <c r="L126" s="217"/>
      <c r="M126" s="217"/>
      <c r="N126" s="217"/>
      <c r="O126" s="217"/>
      <c r="P126" s="217"/>
      <c r="Q126" s="218"/>
    </row>
    <row r="127" spans="1:17" s="219" customFormat="1" hidden="1" x14ac:dyDescent="0.25">
      <c r="A127" s="214"/>
      <c r="B127" s="215" t="s">
        <v>1822</v>
      </c>
      <c r="C127" s="215" t="s">
        <v>1823</v>
      </c>
      <c r="D127" s="215" t="s">
        <v>1836</v>
      </c>
      <c r="E127" s="215" t="s">
        <v>1847</v>
      </c>
      <c r="F127" s="215" t="s">
        <v>1825</v>
      </c>
      <c r="G127" s="215" t="s">
        <v>79</v>
      </c>
      <c r="H127" s="216" t="s">
        <v>1943</v>
      </c>
      <c r="I127" s="217"/>
      <c r="J127" s="217"/>
      <c r="K127" s="217"/>
      <c r="L127" s="217"/>
      <c r="M127" s="217"/>
      <c r="N127" s="217"/>
      <c r="O127" s="217"/>
      <c r="P127" s="217"/>
      <c r="Q127" s="218"/>
    </row>
    <row r="128" spans="1:17" s="219" customFormat="1" hidden="1" x14ac:dyDescent="0.25">
      <c r="A128" s="214"/>
      <c r="B128" s="215" t="s">
        <v>1822</v>
      </c>
      <c r="C128" s="215" t="s">
        <v>1823</v>
      </c>
      <c r="D128" s="215" t="s">
        <v>1836</v>
      </c>
      <c r="E128" s="215" t="s">
        <v>1847</v>
      </c>
      <c r="F128" s="215" t="s">
        <v>1825</v>
      </c>
      <c r="G128" s="215" t="s">
        <v>84</v>
      </c>
      <c r="H128" s="216" t="s">
        <v>1944</v>
      </c>
      <c r="I128" s="217"/>
      <c r="J128" s="217"/>
      <c r="K128" s="217"/>
      <c r="L128" s="217"/>
      <c r="M128" s="217"/>
      <c r="N128" s="217"/>
      <c r="O128" s="217"/>
      <c r="P128" s="217"/>
      <c r="Q128" s="218"/>
    </row>
    <row r="129" spans="1:17" s="219" customFormat="1" hidden="1" x14ac:dyDescent="0.25">
      <c r="A129" s="214"/>
      <c r="B129" s="215" t="s">
        <v>1822</v>
      </c>
      <c r="C129" s="215" t="s">
        <v>1823</v>
      </c>
      <c r="D129" s="215" t="s">
        <v>1836</v>
      </c>
      <c r="E129" s="215" t="s">
        <v>1847</v>
      </c>
      <c r="F129" s="215" t="s">
        <v>1825</v>
      </c>
      <c r="G129" s="215" t="s">
        <v>88</v>
      </c>
      <c r="H129" s="216" t="s">
        <v>1945</v>
      </c>
      <c r="I129" s="217"/>
      <c r="J129" s="217"/>
      <c r="K129" s="217"/>
      <c r="L129" s="217"/>
      <c r="M129" s="217"/>
      <c r="N129" s="217"/>
      <c r="O129" s="217"/>
      <c r="P129" s="217"/>
      <c r="Q129" s="218"/>
    </row>
    <row r="130" spans="1:17" s="219" customFormat="1" hidden="1" x14ac:dyDescent="0.25">
      <c r="A130" s="214"/>
      <c r="B130" s="215" t="s">
        <v>1822</v>
      </c>
      <c r="C130" s="215" t="s">
        <v>1823</v>
      </c>
      <c r="D130" s="215" t="s">
        <v>1836</v>
      </c>
      <c r="E130" s="215" t="s">
        <v>1847</v>
      </c>
      <c r="F130" s="215" t="s">
        <v>1825</v>
      </c>
      <c r="G130" s="215" t="s">
        <v>92</v>
      </c>
      <c r="H130" s="216" t="s">
        <v>1946</v>
      </c>
      <c r="I130" s="217"/>
      <c r="J130" s="217"/>
      <c r="K130" s="217"/>
      <c r="L130" s="217"/>
      <c r="M130" s="217"/>
      <c r="N130" s="217"/>
      <c r="O130" s="217"/>
      <c r="P130" s="217"/>
      <c r="Q130" s="218"/>
    </row>
    <row r="131" spans="1:17" s="219" customFormat="1" hidden="1" x14ac:dyDescent="0.25">
      <c r="A131" s="214"/>
      <c r="B131" s="215" t="s">
        <v>1822</v>
      </c>
      <c r="C131" s="215" t="s">
        <v>1823</v>
      </c>
      <c r="D131" s="215" t="s">
        <v>1836</v>
      </c>
      <c r="E131" s="215" t="s">
        <v>1847</v>
      </c>
      <c r="F131" s="215" t="s">
        <v>1825</v>
      </c>
      <c r="G131" s="215" t="s">
        <v>96</v>
      </c>
      <c r="H131" s="216" t="s">
        <v>1947</v>
      </c>
      <c r="I131" s="217"/>
      <c r="J131" s="217"/>
      <c r="K131" s="217"/>
      <c r="L131" s="217"/>
      <c r="M131" s="217"/>
      <c r="N131" s="217"/>
      <c r="O131" s="217"/>
      <c r="P131" s="217"/>
      <c r="Q131" s="218"/>
    </row>
    <row r="132" spans="1:17" s="219" customFormat="1" hidden="1" x14ac:dyDescent="0.25">
      <c r="A132" s="214"/>
      <c r="B132" s="215" t="s">
        <v>1822</v>
      </c>
      <c r="C132" s="215" t="s">
        <v>1823</v>
      </c>
      <c r="D132" s="215" t="s">
        <v>1836</v>
      </c>
      <c r="E132" s="215" t="s">
        <v>1847</v>
      </c>
      <c r="F132" s="215" t="s">
        <v>1825</v>
      </c>
      <c r="G132" s="215" t="s">
        <v>100</v>
      </c>
      <c r="H132" s="216" t="s">
        <v>1948</v>
      </c>
      <c r="I132" s="217"/>
      <c r="J132" s="217"/>
      <c r="K132" s="217"/>
      <c r="L132" s="217"/>
      <c r="M132" s="217"/>
      <c r="N132" s="217"/>
      <c r="O132" s="217"/>
      <c r="P132" s="217"/>
      <c r="Q132" s="218"/>
    </row>
    <row r="133" spans="1:17" s="219" customFormat="1" hidden="1" x14ac:dyDescent="0.25">
      <c r="A133" s="214"/>
      <c r="B133" s="215" t="s">
        <v>1822</v>
      </c>
      <c r="C133" s="215" t="s">
        <v>1823</v>
      </c>
      <c r="D133" s="215" t="s">
        <v>1836</v>
      </c>
      <c r="E133" s="215" t="s">
        <v>1847</v>
      </c>
      <c r="F133" s="215" t="s">
        <v>1825</v>
      </c>
      <c r="G133" s="215" t="s">
        <v>105</v>
      </c>
      <c r="H133" s="216" t="s">
        <v>1949</v>
      </c>
      <c r="I133" s="217"/>
      <c r="J133" s="217"/>
      <c r="K133" s="217"/>
      <c r="L133" s="217"/>
      <c r="M133" s="217"/>
      <c r="N133" s="217"/>
      <c r="O133" s="217"/>
      <c r="P133" s="217"/>
      <c r="Q133" s="218"/>
    </row>
    <row r="134" spans="1:17" s="219" customFormat="1" hidden="1" x14ac:dyDescent="0.25">
      <c r="A134" s="214"/>
      <c r="B134" s="215" t="s">
        <v>1822</v>
      </c>
      <c r="C134" s="215" t="s">
        <v>1823</v>
      </c>
      <c r="D134" s="215" t="s">
        <v>1836</v>
      </c>
      <c r="E134" s="215" t="s">
        <v>1847</v>
      </c>
      <c r="F134" s="215" t="s">
        <v>1825</v>
      </c>
      <c r="G134" s="215" t="s">
        <v>108</v>
      </c>
      <c r="H134" s="216" t="s">
        <v>1950</v>
      </c>
      <c r="I134" s="217"/>
      <c r="J134" s="217"/>
      <c r="K134" s="217"/>
      <c r="L134" s="217"/>
      <c r="M134" s="217"/>
      <c r="N134" s="217"/>
      <c r="O134" s="217"/>
      <c r="P134" s="217"/>
      <c r="Q134" s="218"/>
    </row>
    <row r="135" spans="1:17" s="213" customFormat="1" hidden="1" x14ac:dyDescent="0.25">
      <c r="A135" s="208" t="s">
        <v>263</v>
      </c>
      <c r="B135" s="209" t="s">
        <v>1822</v>
      </c>
      <c r="C135" s="209" t="s">
        <v>1823</v>
      </c>
      <c r="D135" s="209" t="s">
        <v>1836</v>
      </c>
      <c r="E135" s="209" t="s">
        <v>1847</v>
      </c>
      <c r="F135" s="209" t="s">
        <v>1836</v>
      </c>
      <c r="G135" s="209"/>
      <c r="H135" s="210" t="s">
        <v>1951</v>
      </c>
      <c r="I135" s="211">
        <f>SUM(I136:I148)</f>
        <v>0</v>
      </c>
      <c r="J135" s="211">
        <f t="shared" ref="J135:P135" si="19">SUM(J136:J148)</f>
        <v>0</v>
      </c>
      <c r="K135" s="211">
        <f t="shared" si="19"/>
        <v>0</v>
      </c>
      <c r="L135" s="211">
        <f t="shared" si="19"/>
        <v>0</v>
      </c>
      <c r="M135" s="211">
        <f t="shared" si="19"/>
        <v>0</v>
      </c>
      <c r="N135" s="211">
        <f t="shared" si="19"/>
        <v>0</v>
      </c>
      <c r="O135" s="211">
        <f t="shared" si="19"/>
        <v>0</v>
      </c>
      <c r="P135" s="211">
        <f t="shared" si="19"/>
        <v>0</v>
      </c>
      <c r="Q135" s="212"/>
    </row>
    <row r="136" spans="1:17" s="219" customFormat="1" hidden="1" x14ac:dyDescent="0.25">
      <c r="A136" s="214"/>
      <c r="B136" s="215" t="s">
        <v>1822</v>
      </c>
      <c r="C136" s="215" t="s">
        <v>1823</v>
      </c>
      <c r="D136" s="215" t="s">
        <v>1836</v>
      </c>
      <c r="E136" s="215" t="s">
        <v>1847</v>
      </c>
      <c r="F136" s="215" t="s">
        <v>1836</v>
      </c>
      <c r="G136" s="215" t="s">
        <v>58</v>
      </c>
      <c r="H136" s="216" t="s">
        <v>1952</v>
      </c>
      <c r="I136" s="217"/>
      <c r="J136" s="217"/>
      <c r="K136" s="217"/>
      <c r="L136" s="217"/>
      <c r="M136" s="217"/>
      <c r="N136" s="217"/>
      <c r="O136" s="217"/>
      <c r="P136" s="217"/>
      <c r="Q136" s="218"/>
    </row>
    <row r="137" spans="1:17" s="219" customFormat="1" hidden="1" x14ac:dyDescent="0.25">
      <c r="A137" s="214"/>
      <c r="B137" s="215" t="s">
        <v>1822</v>
      </c>
      <c r="C137" s="215" t="s">
        <v>1823</v>
      </c>
      <c r="D137" s="215" t="s">
        <v>1836</v>
      </c>
      <c r="E137" s="215" t="s">
        <v>1847</v>
      </c>
      <c r="F137" s="215" t="s">
        <v>1836</v>
      </c>
      <c r="G137" s="215" t="s">
        <v>75</v>
      </c>
      <c r="H137" s="216" t="s">
        <v>1943</v>
      </c>
      <c r="I137" s="217"/>
      <c r="J137" s="217"/>
      <c r="K137" s="217"/>
      <c r="L137" s="217"/>
      <c r="M137" s="217"/>
      <c r="N137" s="217"/>
      <c r="O137" s="217"/>
      <c r="P137" s="217"/>
      <c r="Q137" s="218"/>
    </row>
    <row r="138" spans="1:17" s="219" customFormat="1" hidden="1" x14ac:dyDescent="0.25">
      <c r="A138" s="214"/>
      <c r="B138" s="215" t="s">
        <v>1822</v>
      </c>
      <c r="C138" s="215" t="s">
        <v>1823</v>
      </c>
      <c r="D138" s="215" t="s">
        <v>1836</v>
      </c>
      <c r="E138" s="215" t="s">
        <v>1847</v>
      </c>
      <c r="F138" s="215" t="s">
        <v>1836</v>
      </c>
      <c r="G138" s="215" t="s">
        <v>79</v>
      </c>
      <c r="H138" s="216" t="s">
        <v>1944</v>
      </c>
      <c r="I138" s="217"/>
      <c r="J138" s="217"/>
      <c r="K138" s="217"/>
      <c r="L138" s="217"/>
      <c r="M138" s="217"/>
      <c r="N138" s="217"/>
      <c r="O138" s="217"/>
      <c r="P138" s="217"/>
      <c r="Q138" s="218"/>
    </row>
    <row r="139" spans="1:17" s="219" customFormat="1" hidden="1" x14ac:dyDescent="0.25">
      <c r="A139" s="214"/>
      <c r="B139" s="215" t="s">
        <v>1822</v>
      </c>
      <c r="C139" s="215" t="s">
        <v>1823</v>
      </c>
      <c r="D139" s="215" t="s">
        <v>1836</v>
      </c>
      <c r="E139" s="215" t="s">
        <v>1847</v>
      </c>
      <c r="F139" s="215" t="s">
        <v>1836</v>
      </c>
      <c r="G139" s="215" t="s">
        <v>84</v>
      </c>
      <c r="H139" s="216" t="s">
        <v>1953</v>
      </c>
      <c r="I139" s="217"/>
      <c r="J139" s="217"/>
      <c r="K139" s="217"/>
      <c r="L139" s="217"/>
      <c r="M139" s="217"/>
      <c r="N139" s="217"/>
      <c r="O139" s="217"/>
      <c r="P139" s="217"/>
      <c r="Q139" s="218"/>
    </row>
    <row r="140" spans="1:17" s="219" customFormat="1" hidden="1" x14ac:dyDescent="0.25">
      <c r="A140" s="214"/>
      <c r="B140" s="215" t="s">
        <v>1822</v>
      </c>
      <c r="C140" s="215" t="s">
        <v>1823</v>
      </c>
      <c r="D140" s="215" t="s">
        <v>1836</v>
      </c>
      <c r="E140" s="215" t="s">
        <v>1847</v>
      </c>
      <c r="F140" s="215" t="s">
        <v>1836</v>
      </c>
      <c r="G140" s="215" t="s">
        <v>88</v>
      </c>
      <c r="H140" s="216" t="s">
        <v>1954</v>
      </c>
      <c r="I140" s="217"/>
      <c r="J140" s="217"/>
      <c r="K140" s="217"/>
      <c r="L140" s="217"/>
      <c r="M140" s="217"/>
      <c r="N140" s="217"/>
      <c r="O140" s="217"/>
      <c r="P140" s="217"/>
      <c r="Q140" s="218"/>
    </row>
    <row r="141" spans="1:17" s="219" customFormat="1" hidden="1" x14ac:dyDescent="0.25">
      <c r="A141" s="214"/>
      <c r="B141" s="215" t="s">
        <v>1822</v>
      </c>
      <c r="C141" s="215" t="s">
        <v>1823</v>
      </c>
      <c r="D141" s="215" t="s">
        <v>1836</v>
      </c>
      <c r="E141" s="215" t="s">
        <v>1847</v>
      </c>
      <c r="F141" s="215" t="s">
        <v>1836</v>
      </c>
      <c r="G141" s="215" t="s">
        <v>92</v>
      </c>
      <c r="H141" s="216" t="s">
        <v>1955</v>
      </c>
      <c r="I141" s="217"/>
      <c r="J141" s="217"/>
      <c r="K141" s="217"/>
      <c r="L141" s="217"/>
      <c r="M141" s="217"/>
      <c r="N141" s="217"/>
      <c r="O141" s="217"/>
      <c r="P141" s="217"/>
      <c r="Q141" s="218"/>
    </row>
    <row r="142" spans="1:17" s="219" customFormat="1" hidden="1" x14ac:dyDescent="0.25">
      <c r="A142" s="214"/>
      <c r="B142" s="215" t="s">
        <v>1822</v>
      </c>
      <c r="C142" s="215" t="s">
        <v>1823</v>
      </c>
      <c r="D142" s="215" t="s">
        <v>1836</v>
      </c>
      <c r="E142" s="215" t="s">
        <v>1847</v>
      </c>
      <c r="F142" s="215" t="s">
        <v>1836</v>
      </c>
      <c r="G142" s="215" t="s">
        <v>96</v>
      </c>
      <c r="H142" s="216" t="s">
        <v>1956</v>
      </c>
      <c r="I142" s="217"/>
      <c r="J142" s="217"/>
      <c r="K142" s="217"/>
      <c r="L142" s="217"/>
      <c r="M142" s="217"/>
      <c r="N142" s="217"/>
      <c r="O142" s="217"/>
      <c r="P142" s="217"/>
      <c r="Q142" s="218"/>
    </row>
    <row r="143" spans="1:17" s="219" customFormat="1" hidden="1" x14ac:dyDescent="0.25">
      <c r="A143" s="214"/>
      <c r="B143" s="215" t="s">
        <v>1822</v>
      </c>
      <c r="C143" s="215" t="s">
        <v>1823</v>
      </c>
      <c r="D143" s="215" t="s">
        <v>1836</v>
      </c>
      <c r="E143" s="215" t="s">
        <v>1847</v>
      </c>
      <c r="F143" s="215" t="s">
        <v>1836</v>
      </c>
      <c r="G143" s="215" t="s">
        <v>100</v>
      </c>
      <c r="H143" s="216" t="s">
        <v>1957</v>
      </c>
      <c r="I143" s="217"/>
      <c r="J143" s="217"/>
      <c r="K143" s="217"/>
      <c r="L143" s="217"/>
      <c r="M143" s="217"/>
      <c r="N143" s="217"/>
      <c r="O143" s="217"/>
      <c r="P143" s="217"/>
      <c r="Q143" s="218"/>
    </row>
    <row r="144" spans="1:17" s="219" customFormat="1" hidden="1" x14ac:dyDescent="0.25">
      <c r="A144" s="214"/>
      <c r="B144" s="215" t="s">
        <v>1822</v>
      </c>
      <c r="C144" s="215" t="s">
        <v>1823</v>
      </c>
      <c r="D144" s="215" t="s">
        <v>1836</v>
      </c>
      <c r="E144" s="215" t="s">
        <v>1847</v>
      </c>
      <c r="F144" s="215" t="s">
        <v>1836</v>
      </c>
      <c r="G144" s="215" t="s">
        <v>105</v>
      </c>
      <c r="H144" s="216" t="s">
        <v>1958</v>
      </c>
      <c r="I144" s="217"/>
      <c r="J144" s="217"/>
      <c r="K144" s="217"/>
      <c r="L144" s="217"/>
      <c r="M144" s="217"/>
      <c r="N144" s="217"/>
      <c r="O144" s="217"/>
      <c r="P144" s="217"/>
      <c r="Q144" s="218"/>
    </row>
    <row r="145" spans="1:17" s="219" customFormat="1" hidden="1" x14ac:dyDescent="0.25">
      <c r="A145" s="214"/>
      <c r="B145" s="215" t="s">
        <v>1822</v>
      </c>
      <c r="C145" s="215" t="s">
        <v>1823</v>
      </c>
      <c r="D145" s="215" t="s">
        <v>1836</v>
      </c>
      <c r="E145" s="215" t="s">
        <v>1847</v>
      </c>
      <c r="F145" s="215" t="s">
        <v>1836</v>
      </c>
      <c r="G145" s="215" t="s">
        <v>108</v>
      </c>
      <c r="H145" s="216" t="s">
        <v>1958</v>
      </c>
      <c r="I145" s="217"/>
      <c r="J145" s="217"/>
      <c r="K145" s="217"/>
      <c r="L145" s="217"/>
      <c r="M145" s="217"/>
      <c r="N145" s="217"/>
      <c r="O145" s="217"/>
      <c r="P145" s="217"/>
      <c r="Q145" s="218"/>
    </row>
    <row r="146" spans="1:17" s="219" customFormat="1" hidden="1" x14ac:dyDescent="0.25">
      <c r="A146" s="214"/>
      <c r="B146" s="215" t="s">
        <v>1822</v>
      </c>
      <c r="C146" s="215" t="s">
        <v>1823</v>
      </c>
      <c r="D146" s="215" t="s">
        <v>1836</v>
      </c>
      <c r="E146" s="215" t="s">
        <v>1847</v>
      </c>
      <c r="F146" s="215" t="s">
        <v>1836</v>
      </c>
      <c r="G146" s="215" t="s">
        <v>135</v>
      </c>
      <c r="H146" s="216" t="s">
        <v>1959</v>
      </c>
      <c r="I146" s="217"/>
      <c r="J146" s="217"/>
      <c r="K146" s="217"/>
      <c r="L146" s="217"/>
      <c r="M146" s="217"/>
      <c r="N146" s="217"/>
      <c r="O146" s="217"/>
      <c r="P146" s="217"/>
      <c r="Q146" s="218"/>
    </row>
    <row r="147" spans="1:17" s="219" customFormat="1" hidden="1" x14ac:dyDescent="0.25">
      <c r="A147" s="214"/>
      <c r="B147" s="215" t="s">
        <v>1822</v>
      </c>
      <c r="C147" s="215" t="s">
        <v>1823</v>
      </c>
      <c r="D147" s="215" t="s">
        <v>1836</v>
      </c>
      <c r="E147" s="215" t="s">
        <v>1847</v>
      </c>
      <c r="F147" s="215" t="s">
        <v>1836</v>
      </c>
      <c r="G147" s="215" t="s">
        <v>138</v>
      </c>
      <c r="H147" s="216" t="s">
        <v>1960</v>
      </c>
      <c r="I147" s="217"/>
      <c r="J147" s="217"/>
      <c r="K147" s="217"/>
      <c r="L147" s="217"/>
      <c r="M147" s="217"/>
      <c r="N147" s="217"/>
      <c r="O147" s="217"/>
      <c r="P147" s="217"/>
      <c r="Q147" s="218"/>
    </row>
    <row r="148" spans="1:17" s="219" customFormat="1" hidden="1" x14ac:dyDescent="0.25">
      <c r="A148" s="214"/>
      <c r="B148" s="215" t="s">
        <v>1822</v>
      </c>
      <c r="C148" s="215" t="s">
        <v>1823</v>
      </c>
      <c r="D148" s="215" t="s">
        <v>1836</v>
      </c>
      <c r="E148" s="215" t="s">
        <v>1847</v>
      </c>
      <c r="F148" s="215" t="s">
        <v>1836</v>
      </c>
      <c r="G148" s="215" t="s">
        <v>140</v>
      </c>
      <c r="H148" s="216" t="s">
        <v>1961</v>
      </c>
      <c r="I148" s="217"/>
      <c r="J148" s="217"/>
      <c r="K148" s="217"/>
      <c r="L148" s="217"/>
      <c r="M148" s="217"/>
      <c r="N148" s="217"/>
      <c r="O148" s="217"/>
      <c r="P148" s="217"/>
      <c r="Q148" s="218"/>
    </row>
    <row r="149" spans="1:17" s="213" customFormat="1" hidden="1" x14ac:dyDescent="0.25">
      <c r="A149" s="208" t="s">
        <v>263</v>
      </c>
      <c r="B149" s="209" t="s">
        <v>1822</v>
      </c>
      <c r="C149" s="209" t="s">
        <v>1823</v>
      </c>
      <c r="D149" s="209" t="s">
        <v>1836</v>
      </c>
      <c r="E149" s="209" t="s">
        <v>1847</v>
      </c>
      <c r="F149" s="209" t="s">
        <v>1847</v>
      </c>
      <c r="G149" s="209"/>
      <c r="H149" s="210" t="s">
        <v>1962</v>
      </c>
      <c r="I149" s="211">
        <f>SUM(I150:I170)</f>
        <v>0</v>
      </c>
      <c r="J149" s="211">
        <f t="shared" ref="J149:P149" si="20">SUM(J150:J170)</f>
        <v>0</v>
      </c>
      <c r="K149" s="211">
        <f t="shared" si="20"/>
        <v>0</v>
      </c>
      <c r="L149" s="211">
        <f t="shared" si="20"/>
        <v>0</v>
      </c>
      <c r="M149" s="211">
        <f t="shared" si="20"/>
        <v>0</v>
      </c>
      <c r="N149" s="211">
        <f t="shared" si="20"/>
        <v>0</v>
      </c>
      <c r="O149" s="211">
        <f t="shared" si="20"/>
        <v>0</v>
      </c>
      <c r="P149" s="211">
        <f t="shared" si="20"/>
        <v>0</v>
      </c>
      <c r="Q149" s="212"/>
    </row>
    <row r="150" spans="1:17" s="219" customFormat="1" hidden="1" x14ac:dyDescent="0.25">
      <c r="A150" s="214"/>
      <c r="B150" s="215" t="s">
        <v>1822</v>
      </c>
      <c r="C150" s="215" t="s">
        <v>1823</v>
      </c>
      <c r="D150" s="215" t="s">
        <v>1836</v>
      </c>
      <c r="E150" s="215" t="s">
        <v>1847</v>
      </c>
      <c r="F150" s="215" t="s">
        <v>1847</v>
      </c>
      <c r="G150" s="215" t="s">
        <v>58</v>
      </c>
      <c r="H150" s="216" t="s">
        <v>1963</v>
      </c>
      <c r="I150" s="217"/>
      <c r="J150" s="217"/>
      <c r="K150" s="217"/>
      <c r="L150" s="217"/>
      <c r="M150" s="217"/>
      <c r="N150" s="217"/>
      <c r="O150" s="217"/>
      <c r="P150" s="217"/>
      <c r="Q150" s="218"/>
    </row>
    <row r="151" spans="1:17" s="219" customFormat="1" hidden="1" x14ac:dyDescent="0.25">
      <c r="A151" s="214"/>
      <c r="B151" s="215" t="s">
        <v>1822</v>
      </c>
      <c r="C151" s="215" t="s">
        <v>1823</v>
      </c>
      <c r="D151" s="215" t="s">
        <v>1836</v>
      </c>
      <c r="E151" s="215" t="s">
        <v>1847</v>
      </c>
      <c r="F151" s="215" t="s">
        <v>1847</v>
      </c>
      <c r="G151" s="215" t="s">
        <v>75</v>
      </c>
      <c r="H151" s="216" t="s">
        <v>1964</v>
      </c>
      <c r="I151" s="217"/>
      <c r="J151" s="217"/>
      <c r="K151" s="217"/>
      <c r="L151" s="217"/>
      <c r="M151" s="217"/>
      <c r="N151" s="217"/>
      <c r="O151" s="217"/>
      <c r="P151" s="217"/>
      <c r="Q151" s="218"/>
    </row>
    <row r="152" spans="1:17" s="219" customFormat="1" hidden="1" x14ac:dyDescent="0.25">
      <c r="A152" s="214"/>
      <c r="B152" s="215" t="s">
        <v>1822</v>
      </c>
      <c r="C152" s="215" t="s">
        <v>1823</v>
      </c>
      <c r="D152" s="215" t="s">
        <v>1836</v>
      </c>
      <c r="E152" s="215" t="s">
        <v>1847</v>
      </c>
      <c r="F152" s="215" t="s">
        <v>1847</v>
      </c>
      <c r="G152" s="215" t="s">
        <v>79</v>
      </c>
      <c r="H152" s="216" t="s">
        <v>1965</v>
      </c>
      <c r="I152" s="217"/>
      <c r="J152" s="217"/>
      <c r="K152" s="217"/>
      <c r="L152" s="217"/>
      <c r="M152" s="217"/>
      <c r="N152" s="217"/>
      <c r="O152" s="217"/>
      <c r="P152" s="217"/>
      <c r="Q152" s="218"/>
    </row>
    <row r="153" spans="1:17" s="219" customFormat="1" hidden="1" x14ac:dyDescent="0.25">
      <c r="A153" s="214"/>
      <c r="B153" s="215" t="s">
        <v>1822</v>
      </c>
      <c r="C153" s="215" t="s">
        <v>1823</v>
      </c>
      <c r="D153" s="215" t="s">
        <v>1836</v>
      </c>
      <c r="E153" s="215" t="s">
        <v>1847</v>
      </c>
      <c r="F153" s="215" t="s">
        <v>1847</v>
      </c>
      <c r="G153" s="215" t="s">
        <v>84</v>
      </c>
      <c r="H153" s="216" t="s">
        <v>1966</v>
      </c>
      <c r="I153" s="217"/>
      <c r="J153" s="217"/>
      <c r="K153" s="217"/>
      <c r="L153" s="217"/>
      <c r="M153" s="217"/>
      <c r="N153" s="217"/>
      <c r="O153" s="217"/>
      <c r="P153" s="217"/>
      <c r="Q153" s="218"/>
    </row>
    <row r="154" spans="1:17" s="219" customFormat="1" hidden="1" x14ac:dyDescent="0.25">
      <c r="A154" s="214"/>
      <c r="B154" s="215" t="s">
        <v>1822</v>
      </c>
      <c r="C154" s="215" t="s">
        <v>1823</v>
      </c>
      <c r="D154" s="215" t="s">
        <v>1836</v>
      </c>
      <c r="E154" s="215" t="s">
        <v>1847</v>
      </c>
      <c r="F154" s="215" t="s">
        <v>1847</v>
      </c>
      <c r="G154" s="215" t="s">
        <v>88</v>
      </c>
      <c r="H154" s="216" t="s">
        <v>1967</v>
      </c>
      <c r="I154" s="217"/>
      <c r="J154" s="217"/>
      <c r="K154" s="217"/>
      <c r="L154" s="217"/>
      <c r="M154" s="217"/>
      <c r="N154" s="217"/>
      <c r="O154" s="217"/>
      <c r="P154" s="217"/>
      <c r="Q154" s="218"/>
    </row>
    <row r="155" spans="1:17" s="219" customFormat="1" hidden="1" x14ac:dyDescent="0.25">
      <c r="A155" s="214"/>
      <c r="B155" s="215" t="s">
        <v>1822</v>
      </c>
      <c r="C155" s="215" t="s">
        <v>1823</v>
      </c>
      <c r="D155" s="215" t="s">
        <v>1836</v>
      </c>
      <c r="E155" s="215" t="s">
        <v>1847</v>
      </c>
      <c r="F155" s="215" t="s">
        <v>1847</v>
      </c>
      <c r="G155" s="215" t="s">
        <v>92</v>
      </c>
      <c r="H155" s="216" t="s">
        <v>1968</v>
      </c>
      <c r="I155" s="217"/>
      <c r="J155" s="217"/>
      <c r="K155" s="217"/>
      <c r="L155" s="217"/>
      <c r="M155" s="217"/>
      <c r="N155" s="217"/>
      <c r="O155" s="217"/>
      <c r="P155" s="217"/>
      <c r="Q155" s="218"/>
    </row>
    <row r="156" spans="1:17" s="219" customFormat="1" hidden="1" x14ac:dyDescent="0.25">
      <c r="A156" s="214"/>
      <c r="B156" s="215" t="s">
        <v>1822</v>
      </c>
      <c r="C156" s="215" t="s">
        <v>1823</v>
      </c>
      <c r="D156" s="215" t="s">
        <v>1836</v>
      </c>
      <c r="E156" s="215" t="s">
        <v>1847</v>
      </c>
      <c r="F156" s="215" t="s">
        <v>1847</v>
      </c>
      <c r="G156" s="215" t="s">
        <v>96</v>
      </c>
      <c r="H156" s="216" t="s">
        <v>1969</v>
      </c>
      <c r="I156" s="217"/>
      <c r="J156" s="217"/>
      <c r="K156" s="217"/>
      <c r="L156" s="217"/>
      <c r="M156" s="217"/>
      <c r="N156" s="217"/>
      <c r="O156" s="217"/>
      <c r="P156" s="217"/>
      <c r="Q156" s="218"/>
    </row>
    <row r="157" spans="1:17" s="219" customFormat="1" hidden="1" x14ac:dyDescent="0.25">
      <c r="A157" s="214"/>
      <c r="B157" s="215" t="s">
        <v>1822</v>
      </c>
      <c r="C157" s="215" t="s">
        <v>1823</v>
      </c>
      <c r="D157" s="215" t="s">
        <v>1836</v>
      </c>
      <c r="E157" s="215" t="s">
        <v>1847</v>
      </c>
      <c r="F157" s="215" t="s">
        <v>1847</v>
      </c>
      <c r="G157" s="215" t="s">
        <v>100</v>
      </c>
      <c r="H157" s="216" t="s">
        <v>1970</v>
      </c>
      <c r="I157" s="217"/>
      <c r="J157" s="217"/>
      <c r="K157" s="217"/>
      <c r="L157" s="217"/>
      <c r="M157" s="217"/>
      <c r="N157" s="217"/>
      <c r="O157" s="217"/>
      <c r="P157" s="217"/>
      <c r="Q157" s="218"/>
    </row>
    <row r="158" spans="1:17" s="219" customFormat="1" hidden="1" x14ac:dyDescent="0.25">
      <c r="A158" s="214"/>
      <c r="B158" s="215" t="s">
        <v>1822</v>
      </c>
      <c r="C158" s="215" t="s">
        <v>1823</v>
      </c>
      <c r="D158" s="215" t="s">
        <v>1836</v>
      </c>
      <c r="E158" s="215" t="s">
        <v>1847</v>
      </c>
      <c r="F158" s="215" t="s">
        <v>1847</v>
      </c>
      <c r="G158" s="215" t="s">
        <v>105</v>
      </c>
      <c r="H158" s="216" t="s">
        <v>1971</v>
      </c>
      <c r="I158" s="217"/>
      <c r="J158" s="217"/>
      <c r="K158" s="217"/>
      <c r="L158" s="217"/>
      <c r="M158" s="217"/>
      <c r="N158" s="217"/>
      <c r="O158" s="217"/>
      <c r="P158" s="217"/>
      <c r="Q158" s="218"/>
    </row>
    <row r="159" spans="1:17" s="219" customFormat="1" hidden="1" x14ac:dyDescent="0.25">
      <c r="A159" s="214"/>
      <c r="B159" s="215" t="s">
        <v>1822</v>
      </c>
      <c r="C159" s="215" t="s">
        <v>1823</v>
      </c>
      <c r="D159" s="215" t="s">
        <v>1836</v>
      </c>
      <c r="E159" s="215" t="s">
        <v>1847</v>
      </c>
      <c r="F159" s="215" t="s">
        <v>1847</v>
      </c>
      <c r="G159" s="215" t="s">
        <v>108</v>
      </c>
      <c r="H159" s="216" t="s">
        <v>1972</v>
      </c>
      <c r="I159" s="217"/>
      <c r="J159" s="217"/>
      <c r="K159" s="217"/>
      <c r="L159" s="217"/>
      <c r="M159" s="217"/>
      <c r="N159" s="217"/>
      <c r="O159" s="217"/>
      <c r="P159" s="217"/>
      <c r="Q159" s="218"/>
    </row>
    <row r="160" spans="1:17" s="219" customFormat="1" hidden="1" x14ac:dyDescent="0.25">
      <c r="A160" s="214"/>
      <c r="B160" s="215" t="s">
        <v>1822</v>
      </c>
      <c r="C160" s="215" t="s">
        <v>1823</v>
      </c>
      <c r="D160" s="215" t="s">
        <v>1836</v>
      </c>
      <c r="E160" s="215" t="s">
        <v>1847</v>
      </c>
      <c r="F160" s="215" t="s">
        <v>1847</v>
      </c>
      <c r="G160" s="215" t="s">
        <v>135</v>
      </c>
      <c r="H160" s="216" t="s">
        <v>1973</v>
      </c>
      <c r="I160" s="217"/>
      <c r="J160" s="217"/>
      <c r="K160" s="217"/>
      <c r="L160" s="217"/>
      <c r="M160" s="217"/>
      <c r="N160" s="217"/>
      <c r="O160" s="217"/>
      <c r="P160" s="217"/>
      <c r="Q160" s="218"/>
    </row>
    <row r="161" spans="1:17" s="219" customFormat="1" hidden="1" x14ac:dyDescent="0.25">
      <c r="A161" s="214"/>
      <c r="B161" s="215" t="s">
        <v>1822</v>
      </c>
      <c r="C161" s="215" t="s">
        <v>1823</v>
      </c>
      <c r="D161" s="215" t="s">
        <v>1836</v>
      </c>
      <c r="E161" s="215" t="s">
        <v>1847</v>
      </c>
      <c r="F161" s="215" t="s">
        <v>1847</v>
      </c>
      <c r="G161" s="215" t="s">
        <v>138</v>
      </c>
      <c r="H161" s="216" t="s">
        <v>1974</v>
      </c>
      <c r="I161" s="217"/>
      <c r="J161" s="217"/>
      <c r="K161" s="217"/>
      <c r="L161" s="217"/>
      <c r="M161" s="217"/>
      <c r="N161" s="217"/>
      <c r="O161" s="217"/>
      <c r="P161" s="217"/>
      <c r="Q161" s="218"/>
    </row>
    <row r="162" spans="1:17" s="219" customFormat="1" hidden="1" x14ac:dyDescent="0.25">
      <c r="A162" s="214"/>
      <c r="B162" s="215" t="s">
        <v>1822</v>
      </c>
      <c r="C162" s="215" t="s">
        <v>1823</v>
      </c>
      <c r="D162" s="215" t="s">
        <v>1836</v>
      </c>
      <c r="E162" s="215" t="s">
        <v>1847</v>
      </c>
      <c r="F162" s="215" t="s">
        <v>1847</v>
      </c>
      <c r="G162" s="215" t="s">
        <v>140</v>
      </c>
      <c r="H162" s="216" t="s">
        <v>1975</v>
      </c>
      <c r="I162" s="217"/>
      <c r="J162" s="217"/>
      <c r="K162" s="217"/>
      <c r="L162" s="217"/>
      <c r="M162" s="217"/>
      <c r="N162" s="217"/>
      <c r="O162" s="217"/>
      <c r="P162" s="217"/>
      <c r="Q162" s="218"/>
    </row>
    <row r="163" spans="1:17" s="219" customFormat="1" hidden="1" x14ac:dyDescent="0.25">
      <c r="A163" s="214"/>
      <c r="B163" s="215" t="s">
        <v>1822</v>
      </c>
      <c r="C163" s="215" t="s">
        <v>1823</v>
      </c>
      <c r="D163" s="215" t="s">
        <v>1836</v>
      </c>
      <c r="E163" s="215" t="s">
        <v>1847</v>
      </c>
      <c r="F163" s="215" t="s">
        <v>1847</v>
      </c>
      <c r="G163" s="215" t="s">
        <v>143</v>
      </c>
      <c r="H163" s="216" t="s">
        <v>1976</v>
      </c>
      <c r="I163" s="217"/>
      <c r="J163" s="217"/>
      <c r="K163" s="217"/>
      <c r="L163" s="217"/>
      <c r="M163" s="217"/>
      <c r="N163" s="217"/>
      <c r="O163" s="217"/>
      <c r="P163" s="217"/>
      <c r="Q163" s="218"/>
    </row>
    <row r="164" spans="1:17" s="219" customFormat="1" hidden="1" x14ac:dyDescent="0.25">
      <c r="A164" s="214"/>
      <c r="B164" s="215" t="s">
        <v>1822</v>
      </c>
      <c r="C164" s="215" t="s">
        <v>1823</v>
      </c>
      <c r="D164" s="215" t="s">
        <v>1836</v>
      </c>
      <c r="E164" s="215" t="s">
        <v>1847</v>
      </c>
      <c r="F164" s="215" t="s">
        <v>1847</v>
      </c>
      <c r="G164" s="215" t="s">
        <v>146</v>
      </c>
      <c r="H164" s="216" t="s">
        <v>1977</v>
      </c>
      <c r="I164" s="217"/>
      <c r="J164" s="217"/>
      <c r="K164" s="217"/>
      <c r="L164" s="217"/>
      <c r="M164" s="217"/>
      <c r="N164" s="217"/>
      <c r="O164" s="217"/>
      <c r="P164" s="217"/>
      <c r="Q164" s="218"/>
    </row>
    <row r="165" spans="1:17" s="219" customFormat="1" hidden="1" x14ac:dyDescent="0.25">
      <c r="A165" s="214"/>
      <c r="B165" s="215" t="s">
        <v>1822</v>
      </c>
      <c r="C165" s="215" t="s">
        <v>1823</v>
      </c>
      <c r="D165" s="215" t="s">
        <v>1836</v>
      </c>
      <c r="E165" s="215" t="s">
        <v>1847</v>
      </c>
      <c r="F165" s="215" t="s">
        <v>1847</v>
      </c>
      <c r="G165" s="215" t="s">
        <v>150</v>
      </c>
      <c r="H165" s="216" t="s">
        <v>1978</v>
      </c>
      <c r="I165" s="217"/>
      <c r="J165" s="217"/>
      <c r="K165" s="217"/>
      <c r="L165" s="217"/>
      <c r="M165" s="217"/>
      <c r="N165" s="217"/>
      <c r="O165" s="217"/>
      <c r="P165" s="217"/>
      <c r="Q165" s="218"/>
    </row>
    <row r="166" spans="1:17" s="219" customFormat="1" hidden="1" x14ac:dyDescent="0.25">
      <c r="A166" s="214"/>
      <c r="B166" s="215" t="s">
        <v>1822</v>
      </c>
      <c r="C166" s="215" t="s">
        <v>1823</v>
      </c>
      <c r="D166" s="215" t="s">
        <v>1836</v>
      </c>
      <c r="E166" s="215" t="s">
        <v>1847</v>
      </c>
      <c r="F166" s="215" t="s">
        <v>1847</v>
      </c>
      <c r="G166" s="215" t="s">
        <v>153</v>
      </c>
      <c r="H166" s="216" t="s">
        <v>1979</v>
      </c>
      <c r="I166" s="217"/>
      <c r="J166" s="217"/>
      <c r="K166" s="217"/>
      <c r="L166" s="217"/>
      <c r="M166" s="217"/>
      <c r="N166" s="217"/>
      <c r="O166" s="217"/>
      <c r="P166" s="217"/>
      <c r="Q166" s="218"/>
    </row>
    <row r="167" spans="1:17" s="219" customFormat="1" hidden="1" x14ac:dyDescent="0.25">
      <c r="A167" s="214"/>
      <c r="B167" s="215" t="s">
        <v>1822</v>
      </c>
      <c r="C167" s="215" t="s">
        <v>1823</v>
      </c>
      <c r="D167" s="215" t="s">
        <v>1836</v>
      </c>
      <c r="E167" s="215" t="s">
        <v>1847</v>
      </c>
      <c r="F167" s="215" t="s">
        <v>1847</v>
      </c>
      <c r="G167" s="215" t="s">
        <v>156</v>
      </c>
      <c r="H167" s="216" t="s">
        <v>1980</v>
      </c>
      <c r="I167" s="217"/>
      <c r="J167" s="217"/>
      <c r="K167" s="217"/>
      <c r="L167" s="217"/>
      <c r="M167" s="217"/>
      <c r="N167" s="217"/>
      <c r="O167" s="217"/>
      <c r="P167" s="217"/>
      <c r="Q167" s="218"/>
    </row>
    <row r="168" spans="1:17" s="219" customFormat="1" ht="30" hidden="1" x14ac:dyDescent="0.25">
      <c r="A168" s="214"/>
      <c r="B168" s="215" t="s">
        <v>1822</v>
      </c>
      <c r="C168" s="215" t="s">
        <v>1823</v>
      </c>
      <c r="D168" s="215" t="s">
        <v>1836</v>
      </c>
      <c r="E168" s="215" t="s">
        <v>1847</v>
      </c>
      <c r="F168" s="215" t="s">
        <v>1847</v>
      </c>
      <c r="G168" s="215" t="s">
        <v>159</v>
      </c>
      <c r="H168" s="216" t="s">
        <v>1981</v>
      </c>
      <c r="I168" s="217"/>
      <c r="J168" s="217"/>
      <c r="K168" s="217"/>
      <c r="L168" s="217"/>
      <c r="M168" s="217"/>
      <c r="N168" s="217"/>
      <c r="O168" s="217"/>
      <c r="P168" s="217"/>
      <c r="Q168" s="218"/>
    </row>
    <row r="169" spans="1:17" s="219" customFormat="1" hidden="1" x14ac:dyDescent="0.25">
      <c r="A169" s="214"/>
      <c r="B169" s="215" t="s">
        <v>1822</v>
      </c>
      <c r="C169" s="215" t="s">
        <v>1823</v>
      </c>
      <c r="D169" s="215" t="s">
        <v>1836</v>
      </c>
      <c r="E169" s="215" t="s">
        <v>1847</v>
      </c>
      <c r="F169" s="215" t="s">
        <v>1847</v>
      </c>
      <c r="G169" s="215" t="s">
        <v>162</v>
      </c>
      <c r="H169" s="216" t="s">
        <v>1982</v>
      </c>
      <c r="I169" s="217"/>
      <c r="J169" s="217"/>
      <c r="K169" s="217"/>
      <c r="L169" s="217"/>
      <c r="M169" s="217"/>
      <c r="N169" s="217"/>
      <c r="O169" s="217"/>
      <c r="P169" s="217"/>
      <c r="Q169" s="218"/>
    </row>
    <row r="170" spans="1:17" s="219" customFormat="1" hidden="1" x14ac:dyDescent="0.25">
      <c r="A170" s="214"/>
      <c r="B170" s="215" t="s">
        <v>1822</v>
      </c>
      <c r="C170" s="215" t="s">
        <v>1823</v>
      </c>
      <c r="D170" s="215" t="s">
        <v>1836</v>
      </c>
      <c r="E170" s="215" t="s">
        <v>1847</v>
      </c>
      <c r="F170" s="215" t="s">
        <v>1847</v>
      </c>
      <c r="G170" s="215" t="s">
        <v>312</v>
      </c>
      <c r="H170" s="216" t="s">
        <v>1983</v>
      </c>
      <c r="I170" s="217"/>
      <c r="J170" s="217"/>
      <c r="K170" s="217"/>
      <c r="L170" s="217"/>
      <c r="M170" s="217"/>
      <c r="N170" s="217"/>
      <c r="O170" s="217"/>
      <c r="P170" s="217"/>
      <c r="Q170" s="218"/>
    </row>
    <row r="171" spans="1:17" s="213" customFormat="1" hidden="1" x14ac:dyDescent="0.25">
      <c r="A171" s="208" t="s">
        <v>1984</v>
      </c>
      <c r="B171" s="209" t="s">
        <v>1822</v>
      </c>
      <c r="C171" s="209" t="s">
        <v>1823</v>
      </c>
      <c r="D171" s="209" t="s">
        <v>1836</v>
      </c>
      <c r="E171" s="209" t="s">
        <v>1928</v>
      </c>
      <c r="F171" s="209"/>
      <c r="G171" s="209"/>
      <c r="H171" s="210" t="s">
        <v>1985</v>
      </c>
      <c r="I171" s="211">
        <f>I172</f>
        <v>0</v>
      </c>
      <c r="J171" s="211">
        <f t="shared" ref="J171:P171" si="21">J172</f>
        <v>0</v>
      </c>
      <c r="K171" s="211">
        <f t="shared" si="21"/>
        <v>0</v>
      </c>
      <c r="L171" s="211">
        <f t="shared" si="21"/>
        <v>0</v>
      </c>
      <c r="M171" s="211">
        <f t="shared" si="21"/>
        <v>0</v>
      </c>
      <c r="N171" s="211">
        <f t="shared" si="21"/>
        <v>0</v>
      </c>
      <c r="O171" s="211">
        <f t="shared" si="21"/>
        <v>0</v>
      </c>
      <c r="P171" s="211">
        <f t="shared" si="21"/>
        <v>0</v>
      </c>
      <c r="Q171" s="212"/>
    </row>
    <row r="172" spans="1:17" s="213" customFormat="1" hidden="1" x14ac:dyDescent="0.25">
      <c r="A172" s="208" t="s">
        <v>263</v>
      </c>
      <c r="B172" s="209" t="s">
        <v>1822</v>
      </c>
      <c r="C172" s="209" t="s">
        <v>1823</v>
      </c>
      <c r="D172" s="209" t="s">
        <v>1836</v>
      </c>
      <c r="E172" s="209" t="s">
        <v>1928</v>
      </c>
      <c r="F172" s="209" t="s">
        <v>1825</v>
      </c>
      <c r="G172" s="209"/>
      <c r="H172" s="210" t="s">
        <v>1986</v>
      </c>
      <c r="I172" s="211">
        <f>SUM(I173:I182)</f>
        <v>0</v>
      </c>
      <c r="J172" s="211">
        <f t="shared" ref="J172:P172" si="22">SUM(J173:J182)</f>
        <v>0</v>
      </c>
      <c r="K172" s="211">
        <f t="shared" si="22"/>
        <v>0</v>
      </c>
      <c r="L172" s="211">
        <f t="shared" si="22"/>
        <v>0</v>
      </c>
      <c r="M172" s="211">
        <f t="shared" si="22"/>
        <v>0</v>
      </c>
      <c r="N172" s="211">
        <f t="shared" si="22"/>
        <v>0</v>
      </c>
      <c r="O172" s="211">
        <f t="shared" si="22"/>
        <v>0</v>
      </c>
      <c r="P172" s="211">
        <f t="shared" si="22"/>
        <v>0</v>
      </c>
      <c r="Q172" s="212"/>
    </row>
    <row r="173" spans="1:17" s="219" customFormat="1" hidden="1" x14ac:dyDescent="0.25">
      <c r="A173" s="214"/>
      <c r="B173" s="215" t="s">
        <v>1822</v>
      </c>
      <c r="C173" s="215" t="s">
        <v>1823</v>
      </c>
      <c r="D173" s="215" t="s">
        <v>1836</v>
      </c>
      <c r="E173" s="215" t="s">
        <v>1928</v>
      </c>
      <c r="F173" s="215" t="s">
        <v>1825</v>
      </c>
      <c r="G173" s="215" t="s">
        <v>58</v>
      </c>
      <c r="H173" s="216" t="s">
        <v>1987</v>
      </c>
      <c r="I173" s="217"/>
      <c r="J173" s="217"/>
      <c r="K173" s="217"/>
      <c r="L173" s="217"/>
      <c r="M173" s="217"/>
      <c r="N173" s="217"/>
      <c r="O173" s="217"/>
      <c r="P173" s="217"/>
      <c r="Q173" s="218"/>
    </row>
    <row r="174" spans="1:17" s="219" customFormat="1" ht="30" hidden="1" x14ac:dyDescent="0.25">
      <c r="A174" s="214"/>
      <c r="B174" s="215" t="s">
        <v>1822</v>
      </c>
      <c r="C174" s="215" t="s">
        <v>1823</v>
      </c>
      <c r="D174" s="215" t="s">
        <v>1836</v>
      </c>
      <c r="E174" s="215" t="s">
        <v>1928</v>
      </c>
      <c r="F174" s="215" t="s">
        <v>1825</v>
      </c>
      <c r="G174" s="215" t="s">
        <v>75</v>
      </c>
      <c r="H174" s="216" t="s">
        <v>1988</v>
      </c>
      <c r="I174" s="217"/>
      <c r="J174" s="217"/>
      <c r="K174" s="217"/>
      <c r="L174" s="217"/>
      <c r="M174" s="217"/>
      <c r="N174" s="217"/>
      <c r="O174" s="217"/>
      <c r="P174" s="217"/>
      <c r="Q174" s="218"/>
    </row>
    <row r="175" spans="1:17" s="219" customFormat="1" hidden="1" x14ac:dyDescent="0.25">
      <c r="A175" s="214"/>
      <c r="B175" s="215" t="s">
        <v>1822</v>
      </c>
      <c r="C175" s="215" t="s">
        <v>1823</v>
      </c>
      <c r="D175" s="215" t="s">
        <v>1836</v>
      </c>
      <c r="E175" s="215" t="s">
        <v>1928</v>
      </c>
      <c r="F175" s="215" t="s">
        <v>1825</v>
      </c>
      <c r="G175" s="215" t="s">
        <v>79</v>
      </c>
      <c r="H175" s="216" t="s">
        <v>1989</v>
      </c>
      <c r="I175" s="217"/>
      <c r="J175" s="217"/>
      <c r="K175" s="217"/>
      <c r="L175" s="217"/>
      <c r="M175" s="217"/>
      <c r="N175" s="217"/>
      <c r="O175" s="217"/>
      <c r="P175" s="217"/>
      <c r="Q175" s="218"/>
    </row>
    <row r="176" spans="1:17" s="219" customFormat="1" ht="30" hidden="1" x14ac:dyDescent="0.25">
      <c r="A176" s="214"/>
      <c r="B176" s="215" t="s">
        <v>1822</v>
      </c>
      <c r="C176" s="215" t="s">
        <v>1823</v>
      </c>
      <c r="D176" s="215" t="s">
        <v>1836</v>
      </c>
      <c r="E176" s="215" t="s">
        <v>1928</v>
      </c>
      <c r="F176" s="215" t="s">
        <v>1825</v>
      </c>
      <c r="G176" s="215" t="s">
        <v>84</v>
      </c>
      <c r="H176" s="216" t="s">
        <v>1990</v>
      </c>
      <c r="I176" s="217"/>
      <c r="J176" s="217"/>
      <c r="K176" s="217"/>
      <c r="L176" s="217"/>
      <c r="M176" s="217"/>
      <c r="N176" s="217"/>
      <c r="O176" s="217"/>
      <c r="P176" s="217"/>
      <c r="Q176" s="218"/>
    </row>
    <row r="177" spans="1:17" s="219" customFormat="1" hidden="1" x14ac:dyDescent="0.25">
      <c r="A177" s="214"/>
      <c r="B177" s="215" t="s">
        <v>1822</v>
      </c>
      <c r="C177" s="215" t="s">
        <v>1823</v>
      </c>
      <c r="D177" s="215" t="s">
        <v>1836</v>
      </c>
      <c r="E177" s="215" t="s">
        <v>1928</v>
      </c>
      <c r="F177" s="215" t="s">
        <v>1825</v>
      </c>
      <c r="G177" s="215" t="s">
        <v>88</v>
      </c>
      <c r="H177" s="216" t="s">
        <v>1991</v>
      </c>
      <c r="I177" s="217"/>
      <c r="J177" s="217"/>
      <c r="K177" s="217"/>
      <c r="L177" s="217"/>
      <c r="M177" s="217"/>
      <c r="N177" s="217"/>
      <c r="O177" s="217"/>
      <c r="P177" s="217"/>
      <c r="Q177" s="218"/>
    </row>
    <row r="178" spans="1:17" s="219" customFormat="1" hidden="1" x14ac:dyDescent="0.25">
      <c r="A178" s="214"/>
      <c r="B178" s="215" t="s">
        <v>1822</v>
      </c>
      <c r="C178" s="215" t="s">
        <v>1823</v>
      </c>
      <c r="D178" s="215" t="s">
        <v>1836</v>
      </c>
      <c r="E178" s="215" t="s">
        <v>1928</v>
      </c>
      <c r="F178" s="215" t="s">
        <v>1825</v>
      </c>
      <c r="G178" s="215" t="s">
        <v>92</v>
      </c>
      <c r="H178" s="216" t="s">
        <v>1992</v>
      </c>
      <c r="I178" s="217"/>
      <c r="J178" s="217"/>
      <c r="K178" s="217"/>
      <c r="L178" s="217"/>
      <c r="M178" s="217"/>
      <c r="N178" s="217"/>
      <c r="O178" s="217"/>
      <c r="P178" s="217"/>
      <c r="Q178" s="218"/>
    </row>
    <row r="179" spans="1:17" s="219" customFormat="1" hidden="1" x14ac:dyDescent="0.25">
      <c r="A179" s="214"/>
      <c r="B179" s="215" t="s">
        <v>1822</v>
      </c>
      <c r="C179" s="215" t="s">
        <v>1823</v>
      </c>
      <c r="D179" s="215" t="s">
        <v>1836</v>
      </c>
      <c r="E179" s="215" t="s">
        <v>1928</v>
      </c>
      <c r="F179" s="215" t="s">
        <v>1825</v>
      </c>
      <c r="G179" s="215" t="s">
        <v>96</v>
      </c>
      <c r="H179" s="216" t="s">
        <v>1993</v>
      </c>
      <c r="I179" s="217"/>
      <c r="J179" s="217"/>
      <c r="K179" s="217"/>
      <c r="L179" s="217"/>
      <c r="M179" s="217"/>
      <c r="N179" s="217"/>
      <c r="O179" s="217"/>
      <c r="P179" s="217"/>
      <c r="Q179" s="218"/>
    </row>
    <row r="180" spans="1:17" s="219" customFormat="1" hidden="1" x14ac:dyDescent="0.25">
      <c r="A180" s="214"/>
      <c r="B180" s="215" t="s">
        <v>1822</v>
      </c>
      <c r="C180" s="215" t="s">
        <v>1823</v>
      </c>
      <c r="D180" s="215" t="s">
        <v>1836</v>
      </c>
      <c r="E180" s="215" t="s">
        <v>1928</v>
      </c>
      <c r="F180" s="215" t="s">
        <v>1825</v>
      </c>
      <c r="G180" s="215" t="s">
        <v>100</v>
      </c>
      <c r="H180" s="216" t="s">
        <v>1994</v>
      </c>
      <c r="I180" s="217"/>
      <c r="J180" s="217"/>
      <c r="K180" s="217"/>
      <c r="L180" s="217"/>
      <c r="M180" s="217"/>
      <c r="N180" s="217"/>
      <c r="O180" s="217"/>
      <c r="P180" s="217"/>
      <c r="Q180" s="218"/>
    </row>
    <row r="181" spans="1:17" s="219" customFormat="1" hidden="1" x14ac:dyDescent="0.25">
      <c r="A181" s="214"/>
      <c r="B181" s="215" t="s">
        <v>1822</v>
      </c>
      <c r="C181" s="215" t="s">
        <v>1823</v>
      </c>
      <c r="D181" s="215" t="s">
        <v>1836</v>
      </c>
      <c r="E181" s="215" t="s">
        <v>1928</v>
      </c>
      <c r="F181" s="215" t="s">
        <v>1825</v>
      </c>
      <c r="G181" s="215" t="s">
        <v>105</v>
      </c>
      <c r="H181" s="216" t="s">
        <v>1995</v>
      </c>
      <c r="I181" s="217"/>
      <c r="J181" s="217"/>
      <c r="K181" s="217"/>
      <c r="L181" s="217"/>
      <c r="M181" s="217"/>
      <c r="N181" s="217"/>
      <c r="O181" s="217"/>
      <c r="P181" s="217"/>
      <c r="Q181" s="218"/>
    </row>
    <row r="182" spans="1:17" s="219" customFormat="1" x14ac:dyDescent="0.25">
      <c r="A182" s="214"/>
      <c r="B182" s="215" t="s">
        <v>1822</v>
      </c>
      <c r="C182" s="215" t="s">
        <v>1823</v>
      </c>
      <c r="D182" s="215" t="s">
        <v>1836</v>
      </c>
      <c r="E182" s="215" t="s">
        <v>1928</v>
      </c>
      <c r="F182" s="215" t="s">
        <v>1825</v>
      </c>
      <c r="G182" s="215" t="s">
        <v>108</v>
      </c>
      <c r="H182" s="216" t="s">
        <v>1996</v>
      </c>
      <c r="I182" s="217"/>
      <c r="J182" s="217"/>
      <c r="K182" s="217"/>
      <c r="L182" s="217"/>
      <c r="M182" s="217"/>
      <c r="N182" s="217"/>
      <c r="O182" s="364"/>
      <c r="P182" s="217"/>
      <c r="Q182" s="218"/>
    </row>
    <row r="183" spans="1:17" s="213" customFormat="1" x14ac:dyDescent="0.25">
      <c r="A183" s="208" t="s">
        <v>1997</v>
      </c>
      <c r="B183" s="209" t="s">
        <v>1822</v>
      </c>
      <c r="C183" s="209" t="s">
        <v>1823</v>
      </c>
      <c r="D183" s="209" t="s">
        <v>1836</v>
      </c>
      <c r="E183" s="209" t="s">
        <v>1934</v>
      </c>
      <c r="F183" s="209"/>
      <c r="G183" s="209"/>
      <c r="H183" s="210" t="s">
        <v>1998</v>
      </c>
      <c r="I183" s="211">
        <f>SUM(I184+I190+I198)</f>
        <v>7534339671.0046158</v>
      </c>
      <c r="J183" s="211">
        <f t="shared" ref="J183:P183" si="23">SUM(J184+J190+J198)</f>
        <v>504048308.20000005</v>
      </c>
      <c r="K183" s="211">
        <f t="shared" si="23"/>
        <v>121002783.29666664</v>
      </c>
      <c r="L183" s="211">
        <f t="shared" si="23"/>
        <v>0</v>
      </c>
      <c r="M183" s="211">
        <f t="shared" si="23"/>
        <v>121002783.29666664</v>
      </c>
      <c r="N183" s="211">
        <f t="shared" si="23"/>
        <v>7061160995.514616</v>
      </c>
      <c r="O183" s="211">
        <f t="shared" si="23"/>
        <v>473178675.75000006</v>
      </c>
      <c r="P183" s="211">
        <f t="shared" si="23"/>
        <v>0</v>
      </c>
      <c r="Q183" s="212"/>
    </row>
    <row r="184" spans="1:17" s="213" customFormat="1" x14ac:dyDescent="0.25">
      <c r="A184" s="208" t="s">
        <v>263</v>
      </c>
      <c r="B184" s="209" t="s">
        <v>1822</v>
      </c>
      <c r="C184" s="209" t="s">
        <v>1823</v>
      </c>
      <c r="D184" s="209" t="s">
        <v>1836</v>
      </c>
      <c r="E184" s="209" t="s">
        <v>1934</v>
      </c>
      <c r="F184" s="209" t="s">
        <v>1825</v>
      </c>
      <c r="G184" s="209"/>
      <c r="H184" s="210" t="s">
        <v>1999</v>
      </c>
      <c r="I184" s="211">
        <f>SUM(I185:I189)</f>
        <v>1201247400</v>
      </c>
      <c r="J184" s="211">
        <f t="shared" ref="J184:P184" si="24">SUM(J185:J189)</f>
        <v>91436320</v>
      </c>
      <c r="K184" s="211">
        <f t="shared" si="24"/>
        <v>13622793.333333334</v>
      </c>
      <c r="L184" s="211">
        <f t="shared" si="24"/>
        <v>0</v>
      </c>
      <c r="M184" s="211">
        <f t="shared" si="24"/>
        <v>13622793.333333334</v>
      </c>
      <c r="N184" s="211">
        <f t="shared" si="24"/>
        <v>1184742590</v>
      </c>
      <c r="O184" s="211">
        <f t="shared" si="24"/>
        <v>16504810</v>
      </c>
      <c r="P184" s="211">
        <f t="shared" si="24"/>
        <v>0</v>
      </c>
      <c r="Q184" s="212"/>
    </row>
    <row r="185" spans="1:17" s="219" customFormat="1" x14ac:dyDescent="0.25">
      <c r="A185" s="214"/>
      <c r="B185" s="215" t="s">
        <v>1822</v>
      </c>
      <c r="C185" s="215" t="s">
        <v>1823</v>
      </c>
      <c r="D185" s="215" t="s">
        <v>1836</v>
      </c>
      <c r="E185" s="215" t="s">
        <v>1934</v>
      </c>
      <c r="F185" s="215" t="s">
        <v>1825</v>
      </c>
      <c r="G185" s="215" t="s">
        <v>58</v>
      </c>
      <c r="H185" s="216" t="s">
        <v>2000</v>
      </c>
      <c r="I185" s="217">
        <v>9950000</v>
      </c>
      <c r="J185" s="217"/>
      <c r="K185" s="217"/>
      <c r="L185" s="217"/>
      <c r="M185" s="217"/>
      <c r="N185" s="217">
        <v>9950000</v>
      </c>
      <c r="O185" s="217"/>
      <c r="P185" s="217"/>
      <c r="Q185" s="218"/>
    </row>
    <row r="186" spans="1:17" s="219" customFormat="1" x14ac:dyDescent="0.25">
      <c r="A186" s="214"/>
      <c r="B186" s="215" t="s">
        <v>1822</v>
      </c>
      <c r="C186" s="215" t="s">
        <v>1823</v>
      </c>
      <c r="D186" s="215" t="s">
        <v>1836</v>
      </c>
      <c r="E186" s="215" t="s">
        <v>1934</v>
      </c>
      <c r="F186" s="215" t="s">
        <v>1825</v>
      </c>
      <c r="G186" s="215" t="s">
        <v>75</v>
      </c>
      <c r="H186" s="216" t="s">
        <v>2001</v>
      </c>
      <c r="I186" s="217">
        <v>4625600</v>
      </c>
      <c r="J186" s="217">
        <v>791120</v>
      </c>
      <c r="K186" s="217">
        <v>395560</v>
      </c>
      <c r="L186" s="217"/>
      <c r="M186" s="217">
        <v>395560</v>
      </c>
      <c r="N186" s="217">
        <v>4493746.666666666</v>
      </c>
      <c r="O186" s="217">
        <v>131853.33333333349</v>
      </c>
      <c r="P186" s="217"/>
      <c r="Q186" s="218"/>
    </row>
    <row r="187" spans="1:17" s="219" customFormat="1" x14ac:dyDescent="0.25">
      <c r="A187" s="214"/>
      <c r="B187" s="215" t="s">
        <v>1822</v>
      </c>
      <c r="C187" s="215" t="s">
        <v>1823</v>
      </c>
      <c r="D187" s="215" t="s">
        <v>1836</v>
      </c>
      <c r="E187" s="215" t="s">
        <v>1934</v>
      </c>
      <c r="F187" s="215" t="s">
        <v>1825</v>
      </c>
      <c r="G187" s="215" t="s">
        <v>79</v>
      </c>
      <c r="H187" s="216" t="s">
        <v>2002</v>
      </c>
      <c r="I187" s="217">
        <v>39240300</v>
      </c>
      <c r="J187" s="217"/>
      <c r="K187" s="217"/>
      <c r="L187" s="217"/>
      <c r="M187" s="217"/>
      <c r="N187" s="217">
        <v>39240300</v>
      </c>
      <c r="O187" s="217"/>
      <c r="P187" s="217"/>
      <c r="Q187" s="218"/>
    </row>
    <row r="188" spans="1:17" s="219" customFormat="1" x14ac:dyDescent="0.25">
      <c r="A188" s="214"/>
      <c r="B188" s="215" t="s">
        <v>1822</v>
      </c>
      <c r="C188" s="215" t="s">
        <v>1823</v>
      </c>
      <c r="D188" s="215" t="s">
        <v>1836</v>
      </c>
      <c r="E188" s="215" t="s">
        <v>1934</v>
      </c>
      <c r="F188" s="215" t="s">
        <v>1825</v>
      </c>
      <c r="G188" s="215" t="s">
        <v>84</v>
      </c>
      <c r="H188" s="216" t="s">
        <v>2003</v>
      </c>
      <c r="I188" s="217">
        <v>464964000</v>
      </c>
      <c r="J188" s="217">
        <v>17057100</v>
      </c>
      <c r="K188" s="217">
        <v>3478333.3333333335</v>
      </c>
      <c r="L188" s="217"/>
      <c r="M188" s="217">
        <v>3478333.3333333335</v>
      </c>
      <c r="N188" s="217">
        <v>454442333.33333331</v>
      </c>
      <c r="O188" s="217">
        <v>10521666.666666666</v>
      </c>
      <c r="P188" s="217"/>
      <c r="Q188" s="218"/>
    </row>
    <row r="189" spans="1:17" s="219" customFormat="1" x14ac:dyDescent="0.25">
      <c r="A189" s="214"/>
      <c r="B189" s="215" t="s">
        <v>1822</v>
      </c>
      <c r="C189" s="215" t="s">
        <v>1823</v>
      </c>
      <c r="D189" s="215" t="s">
        <v>1836</v>
      </c>
      <c r="E189" s="215" t="s">
        <v>1934</v>
      </c>
      <c r="F189" s="215" t="s">
        <v>1825</v>
      </c>
      <c r="G189" s="215" t="s">
        <v>88</v>
      </c>
      <c r="H189" s="216" t="s">
        <v>2004</v>
      </c>
      <c r="I189" s="217">
        <v>682467500</v>
      </c>
      <c r="J189" s="217">
        <v>73588100</v>
      </c>
      <c r="K189" s="217">
        <v>9748900</v>
      </c>
      <c r="L189" s="217"/>
      <c r="M189" s="217">
        <v>9748900</v>
      </c>
      <c r="N189" s="217">
        <v>676616210</v>
      </c>
      <c r="O189" s="217">
        <v>5851290</v>
      </c>
      <c r="P189" s="217"/>
      <c r="Q189" s="218"/>
    </row>
    <row r="190" spans="1:17" s="213" customFormat="1" x14ac:dyDescent="0.25">
      <c r="A190" s="208" t="s">
        <v>263</v>
      </c>
      <c r="B190" s="209" t="s">
        <v>1822</v>
      </c>
      <c r="C190" s="209" t="s">
        <v>1823</v>
      </c>
      <c r="D190" s="209" t="s">
        <v>1836</v>
      </c>
      <c r="E190" s="209" t="s">
        <v>1934</v>
      </c>
      <c r="F190" s="209" t="s">
        <v>1836</v>
      </c>
      <c r="G190" s="209"/>
      <c r="H190" s="210" t="s">
        <v>2005</v>
      </c>
      <c r="I190" s="211">
        <f>SUM(I191:I197)</f>
        <v>5646292433.014616</v>
      </c>
      <c r="J190" s="211">
        <f t="shared" ref="J190:P190" si="25">SUM(J191:J197)</f>
        <v>404465396.60000002</v>
      </c>
      <c r="K190" s="211">
        <f t="shared" si="25"/>
        <v>105392027.49666664</v>
      </c>
      <c r="L190" s="211">
        <f t="shared" si="25"/>
        <v>0</v>
      </c>
      <c r="M190" s="211">
        <f t="shared" si="25"/>
        <v>105392027.49666664</v>
      </c>
      <c r="N190" s="211">
        <f t="shared" si="25"/>
        <v>5226007219.097949</v>
      </c>
      <c r="O190" s="211">
        <f t="shared" si="25"/>
        <v>420285213.91666675</v>
      </c>
      <c r="P190" s="211">
        <f t="shared" si="25"/>
        <v>0</v>
      </c>
      <c r="Q190" s="212"/>
    </row>
    <row r="191" spans="1:17" s="219" customFormat="1" x14ac:dyDescent="0.25">
      <c r="A191" s="214"/>
      <c r="B191" s="215" t="s">
        <v>1822</v>
      </c>
      <c r="C191" s="215" t="s">
        <v>1823</v>
      </c>
      <c r="D191" s="215" t="s">
        <v>1836</v>
      </c>
      <c r="E191" s="215" t="s">
        <v>1934</v>
      </c>
      <c r="F191" s="215" t="s">
        <v>1836</v>
      </c>
      <c r="G191" s="215" t="s">
        <v>58</v>
      </c>
      <c r="H191" s="216" t="s">
        <v>2006</v>
      </c>
      <c r="I191" s="217">
        <v>2096881400</v>
      </c>
      <c r="J191" s="217">
        <v>147569700</v>
      </c>
      <c r="K191" s="217">
        <v>30494783.333333328</v>
      </c>
      <c r="L191" s="217"/>
      <c r="M191" s="217">
        <v>30494783.333333328</v>
      </c>
      <c r="N191" s="217">
        <v>1978912441.6666665</v>
      </c>
      <c r="O191" s="217">
        <v>117968958.33333331</v>
      </c>
      <c r="P191" s="217"/>
      <c r="Q191" s="218"/>
    </row>
    <row r="192" spans="1:17" s="219" customFormat="1" x14ac:dyDescent="0.25">
      <c r="A192" s="214"/>
      <c r="B192" s="215" t="s">
        <v>1822</v>
      </c>
      <c r="C192" s="215" t="s">
        <v>1823</v>
      </c>
      <c r="D192" s="215" t="s">
        <v>1836</v>
      </c>
      <c r="E192" s="215" t="s">
        <v>1934</v>
      </c>
      <c r="F192" s="215" t="s">
        <v>1836</v>
      </c>
      <c r="G192" s="215" t="s">
        <v>75</v>
      </c>
      <c r="H192" s="216" t="s">
        <v>2007</v>
      </c>
      <c r="I192" s="217"/>
      <c r="J192" s="217"/>
      <c r="K192" s="217"/>
      <c r="L192" s="217"/>
      <c r="M192" s="217"/>
      <c r="N192" s="217"/>
      <c r="O192" s="217"/>
      <c r="P192" s="217"/>
      <c r="Q192" s="218"/>
    </row>
    <row r="193" spans="1:17" s="219" customFormat="1" x14ac:dyDescent="0.25">
      <c r="A193" s="214"/>
      <c r="B193" s="215" t="s">
        <v>1822</v>
      </c>
      <c r="C193" s="215" t="s">
        <v>1823</v>
      </c>
      <c r="D193" s="215" t="s">
        <v>1836</v>
      </c>
      <c r="E193" s="215" t="s">
        <v>1934</v>
      </c>
      <c r="F193" s="215" t="s">
        <v>1836</v>
      </c>
      <c r="G193" s="215" t="s">
        <v>79</v>
      </c>
      <c r="H193" s="216" t="s">
        <v>2008</v>
      </c>
      <c r="I193" s="217"/>
      <c r="J193" s="217"/>
      <c r="K193" s="217"/>
      <c r="L193" s="217"/>
      <c r="M193" s="217"/>
      <c r="N193" s="217"/>
      <c r="O193" s="217"/>
      <c r="P193" s="217"/>
      <c r="Q193" s="218"/>
    </row>
    <row r="194" spans="1:17" s="219" customFormat="1" x14ac:dyDescent="0.25">
      <c r="A194" s="214"/>
      <c r="B194" s="215" t="s">
        <v>1822</v>
      </c>
      <c r="C194" s="215" t="s">
        <v>1823</v>
      </c>
      <c r="D194" s="215" t="s">
        <v>1836</v>
      </c>
      <c r="E194" s="215" t="s">
        <v>1934</v>
      </c>
      <c r="F194" s="215" t="s">
        <v>1836</v>
      </c>
      <c r="G194" s="215" t="s">
        <v>84</v>
      </c>
      <c r="H194" s="216" t="s">
        <v>2009</v>
      </c>
      <c r="I194" s="217">
        <v>1446717870.0146158</v>
      </c>
      <c r="J194" s="217">
        <v>126513773.99999999</v>
      </c>
      <c r="K194" s="217">
        <v>47337613.663333312</v>
      </c>
      <c r="L194" s="217"/>
      <c r="M194" s="217">
        <v>47337613.663333312</v>
      </c>
      <c r="N194" s="217">
        <v>1234439008.681282</v>
      </c>
      <c r="O194" s="217">
        <v>212278861.33333343</v>
      </c>
      <c r="P194" s="217"/>
      <c r="Q194" s="218"/>
    </row>
    <row r="195" spans="1:17" s="219" customFormat="1" x14ac:dyDescent="0.25">
      <c r="A195" s="214"/>
      <c r="B195" s="215" t="s">
        <v>1822</v>
      </c>
      <c r="C195" s="215" t="s">
        <v>1823</v>
      </c>
      <c r="D195" s="215" t="s">
        <v>1836</v>
      </c>
      <c r="E195" s="215" t="s">
        <v>1934</v>
      </c>
      <c r="F195" s="215" t="s">
        <v>1836</v>
      </c>
      <c r="G195" s="215" t="s">
        <v>88</v>
      </c>
      <c r="H195" s="216" t="s">
        <v>2010</v>
      </c>
      <c r="I195" s="217">
        <v>88055900</v>
      </c>
      <c r="J195" s="217">
        <v>15509680</v>
      </c>
      <c r="K195" s="217">
        <v>5361840</v>
      </c>
      <c r="L195" s="217"/>
      <c r="M195" s="217">
        <v>5361840</v>
      </c>
      <c r="N195" s="217">
        <v>74273120.000000015</v>
      </c>
      <c r="O195" s="217">
        <v>13782780</v>
      </c>
      <c r="P195" s="217"/>
      <c r="Q195" s="218"/>
    </row>
    <row r="196" spans="1:17" s="219" customFormat="1" ht="30" x14ac:dyDescent="0.25">
      <c r="A196" s="214"/>
      <c r="B196" s="215" t="s">
        <v>1822</v>
      </c>
      <c r="C196" s="215" t="s">
        <v>1823</v>
      </c>
      <c r="D196" s="215" t="s">
        <v>1836</v>
      </c>
      <c r="E196" s="215" t="s">
        <v>1934</v>
      </c>
      <c r="F196" s="215" t="s">
        <v>1836</v>
      </c>
      <c r="G196" s="215" t="s">
        <v>92</v>
      </c>
      <c r="H196" s="216" t="s">
        <v>2011</v>
      </c>
      <c r="I196" s="217">
        <v>1999571263</v>
      </c>
      <c r="J196" s="217">
        <v>111859042.59999999</v>
      </c>
      <c r="K196" s="217">
        <v>22197790.5</v>
      </c>
      <c r="L196" s="217"/>
      <c r="M196" s="217">
        <v>22197790.5</v>
      </c>
      <c r="N196" s="217">
        <v>1923316648.7500007</v>
      </c>
      <c r="O196" s="217">
        <v>76254614.24999997</v>
      </c>
      <c r="P196" s="217"/>
      <c r="Q196" s="218"/>
    </row>
    <row r="197" spans="1:17" s="219" customFormat="1" x14ac:dyDescent="0.25">
      <c r="A197" s="214"/>
      <c r="B197" s="215" t="s">
        <v>1822</v>
      </c>
      <c r="C197" s="215" t="s">
        <v>1823</v>
      </c>
      <c r="D197" s="215" t="s">
        <v>1836</v>
      </c>
      <c r="E197" s="215" t="s">
        <v>1934</v>
      </c>
      <c r="F197" s="215" t="s">
        <v>1836</v>
      </c>
      <c r="G197" s="215" t="s">
        <v>96</v>
      </c>
      <c r="H197" s="216" t="s">
        <v>2012</v>
      </c>
      <c r="I197" s="217">
        <v>15066000</v>
      </c>
      <c r="J197" s="217">
        <v>3013200</v>
      </c>
      <c r="K197" s="217"/>
      <c r="L197" s="217"/>
      <c r="M197" s="217"/>
      <c r="N197" s="217">
        <v>15066000</v>
      </c>
      <c r="O197" s="217"/>
      <c r="P197" s="217"/>
      <c r="Q197" s="218"/>
    </row>
    <row r="198" spans="1:17" s="213" customFormat="1" x14ac:dyDescent="0.25">
      <c r="A198" s="208" t="s">
        <v>263</v>
      </c>
      <c r="B198" s="209" t="s">
        <v>1822</v>
      </c>
      <c r="C198" s="209" t="s">
        <v>1823</v>
      </c>
      <c r="D198" s="209" t="s">
        <v>1836</v>
      </c>
      <c r="E198" s="209" t="s">
        <v>1934</v>
      </c>
      <c r="F198" s="209" t="s">
        <v>1847</v>
      </c>
      <c r="G198" s="209"/>
      <c r="H198" s="210" t="s">
        <v>2013</v>
      </c>
      <c r="I198" s="211">
        <f>SUM(I199:I205)</f>
        <v>686799837.99000001</v>
      </c>
      <c r="J198" s="211">
        <f t="shared" ref="J198:P198" si="26">SUM(J199:J205)</f>
        <v>8146591.5999999996</v>
      </c>
      <c r="K198" s="211">
        <f t="shared" si="26"/>
        <v>1987962.4666666668</v>
      </c>
      <c r="L198" s="211">
        <f t="shared" si="26"/>
        <v>0</v>
      </c>
      <c r="M198" s="211">
        <f t="shared" si="26"/>
        <v>1987962.4666666668</v>
      </c>
      <c r="N198" s="211">
        <f t="shared" si="26"/>
        <v>650411186.41666698</v>
      </c>
      <c r="O198" s="211">
        <f t="shared" si="26"/>
        <v>36388651.833333328</v>
      </c>
      <c r="P198" s="211">
        <f t="shared" si="26"/>
        <v>0</v>
      </c>
      <c r="Q198" s="212"/>
    </row>
    <row r="199" spans="1:17" s="219" customFormat="1" x14ac:dyDescent="0.25">
      <c r="A199" s="214"/>
      <c r="B199" s="215" t="s">
        <v>1822</v>
      </c>
      <c r="C199" s="215" t="s">
        <v>1823</v>
      </c>
      <c r="D199" s="215" t="s">
        <v>1836</v>
      </c>
      <c r="E199" s="215" t="s">
        <v>1934</v>
      </c>
      <c r="F199" s="215" t="s">
        <v>1847</v>
      </c>
      <c r="G199" s="215" t="s">
        <v>58</v>
      </c>
      <c r="H199" s="216" t="s">
        <v>2014</v>
      </c>
      <c r="I199" s="217">
        <v>686799837.99000001</v>
      </c>
      <c r="J199" s="217">
        <v>8146591.5999999996</v>
      </c>
      <c r="K199" s="217">
        <v>1987962.4666666668</v>
      </c>
      <c r="L199" s="217"/>
      <c r="M199" s="217">
        <v>1987962.4666666668</v>
      </c>
      <c r="N199" s="217">
        <v>650411186.41666698</v>
      </c>
      <c r="O199" s="217">
        <v>36388651.833333328</v>
      </c>
      <c r="P199" s="217"/>
      <c r="Q199" s="218"/>
    </row>
    <row r="200" spans="1:17" s="219" customFormat="1" x14ac:dyDescent="0.25">
      <c r="A200" s="214"/>
      <c r="B200" s="215" t="s">
        <v>1822</v>
      </c>
      <c r="C200" s="215" t="s">
        <v>1823</v>
      </c>
      <c r="D200" s="215" t="s">
        <v>1836</v>
      </c>
      <c r="E200" s="215" t="s">
        <v>1934</v>
      </c>
      <c r="F200" s="215" t="s">
        <v>1847</v>
      </c>
      <c r="G200" s="215" t="s">
        <v>75</v>
      </c>
      <c r="H200" s="216" t="s">
        <v>2015</v>
      </c>
      <c r="I200" s="217"/>
      <c r="J200" s="217"/>
      <c r="K200" s="217"/>
      <c r="L200" s="217"/>
      <c r="M200" s="217"/>
      <c r="N200" s="217"/>
      <c r="O200" s="217"/>
      <c r="P200" s="217"/>
      <c r="Q200" s="218"/>
    </row>
    <row r="201" spans="1:17" s="219" customFormat="1" hidden="1" x14ac:dyDescent="0.25">
      <c r="A201" s="214"/>
      <c r="B201" s="215" t="s">
        <v>1822</v>
      </c>
      <c r="C201" s="215" t="s">
        <v>1823</v>
      </c>
      <c r="D201" s="215" t="s">
        <v>1836</v>
      </c>
      <c r="E201" s="215" t="s">
        <v>1934</v>
      </c>
      <c r="F201" s="215" t="s">
        <v>1847</v>
      </c>
      <c r="G201" s="215" t="s">
        <v>79</v>
      </c>
      <c r="H201" s="216" t="s">
        <v>2016</v>
      </c>
      <c r="I201" s="217"/>
      <c r="J201" s="217"/>
      <c r="K201" s="217"/>
      <c r="L201" s="217"/>
      <c r="M201" s="217"/>
      <c r="N201" s="217"/>
      <c r="O201" s="217"/>
      <c r="P201" s="217"/>
      <c r="Q201" s="218"/>
    </row>
    <row r="202" spans="1:17" s="219" customFormat="1" hidden="1" x14ac:dyDescent="0.25">
      <c r="A202" s="214"/>
      <c r="B202" s="215" t="s">
        <v>1822</v>
      </c>
      <c r="C202" s="215" t="s">
        <v>1823</v>
      </c>
      <c r="D202" s="215" t="s">
        <v>1836</v>
      </c>
      <c r="E202" s="215" t="s">
        <v>1934</v>
      </c>
      <c r="F202" s="215" t="s">
        <v>1847</v>
      </c>
      <c r="G202" s="215" t="s">
        <v>84</v>
      </c>
      <c r="H202" s="216" t="s">
        <v>2017</v>
      </c>
      <c r="I202" s="217"/>
      <c r="J202" s="217"/>
      <c r="K202" s="217"/>
      <c r="L202" s="217"/>
      <c r="M202" s="217"/>
      <c r="N202" s="217"/>
      <c r="O202" s="217"/>
      <c r="P202" s="217"/>
      <c r="Q202" s="218"/>
    </row>
    <row r="203" spans="1:17" s="219" customFormat="1" ht="30" hidden="1" x14ac:dyDescent="0.25">
      <c r="A203" s="214"/>
      <c r="B203" s="215" t="s">
        <v>1822</v>
      </c>
      <c r="C203" s="215" t="s">
        <v>1823</v>
      </c>
      <c r="D203" s="215" t="s">
        <v>1836</v>
      </c>
      <c r="E203" s="215" t="s">
        <v>1934</v>
      </c>
      <c r="F203" s="215" t="s">
        <v>1847</v>
      </c>
      <c r="G203" s="215" t="s">
        <v>88</v>
      </c>
      <c r="H203" s="216" t="s">
        <v>2018</v>
      </c>
      <c r="I203" s="217"/>
      <c r="J203" s="217"/>
      <c r="K203" s="217"/>
      <c r="L203" s="217"/>
      <c r="M203" s="217"/>
      <c r="N203" s="217"/>
      <c r="O203" s="217"/>
      <c r="P203" s="217"/>
      <c r="Q203" s="218"/>
    </row>
    <row r="204" spans="1:17" s="219" customFormat="1" hidden="1" x14ac:dyDescent="0.25">
      <c r="A204" s="214"/>
      <c r="B204" s="215" t="s">
        <v>1822</v>
      </c>
      <c r="C204" s="215" t="s">
        <v>1823</v>
      </c>
      <c r="D204" s="215" t="s">
        <v>1836</v>
      </c>
      <c r="E204" s="215" t="s">
        <v>1934</v>
      </c>
      <c r="F204" s="215" t="s">
        <v>1847</v>
      </c>
      <c r="G204" s="215" t="s">
        <v>92</v>
      </c>
      <c r="H204" s="216" t="s">
        <v>2019</v>
      </c>
      <c r="I204" s="217"/>
      <c r="J204" s="217"/>
      <c r="K204" s="217"/>
      <c r="L204" s="217"/>
      <c r="M204" s="217"/>
      <c r="N204" s="217"/>
      <c r="O204" s="217"/>
      <c r="P204" s="217"/>
      <c r="Q204" s="218"/>
    </row>
    <row r="205" spans="1:17" s="219" customFormat="1" hidden="1" x14ac:dyDescent="0.25">
      <c r="A205" s="214"/>
      <c r="B205" s="215" t="s">
        <v>1822</v>
      </c>
      <c r="C205" s="215" t="s">
        <v>1823</v>
      </c>
      <c r="D205" s="215" t="s">
        <v>1836</v>
      </c>
      <c r="E205" s="215" t="s">
        <v>1934</v>
      </c>
      <c r="F205" s="215" t="s">
        <v>1847</v>
      </c>
      <c r="G205" s="215" t="s">
        <v>96</v>
      </c>
      <c r="H205" s="216" t="s">
        <v>2020</v>
      </c>
      <c r="I205" s="217"/>
      <c r="J205" s="217"/>
      <c r="K205" s="217"/>
      <c r="L205" s="217"/>
      <c r="M205" s="217"/>
      <c r="N205" s="217"/>
      <c r="O205" s="217"/>
      <c r="P205" s="217"/>
      <c r="Q205" s="218"/>
    </row>
    <row r="206" spans="1:17" s="213" customFormat="1" ht="30" x14ac:dyDescent="0.25">
      <c r="A206" s="208" t="s">
        <v>2021</v>
      </c>
      <c r="B206" s="209" t="s">
        <v>1822</v>
      </c>
      <c r="C206" s="209" t="s">
        <v>1823</v>
      </c>
      <c r="D206" s="209" t="s">
        <v>1836</v>
      </c>
      <c r="E206" s="209" t="s">
        <v>2022</v>
      </c>
      <c r="F206" s="209"/>
      <c r="G206" s="209"/>
      <c r="H206" s="210" t="s">
        <v>2023</v>
      </c>
      <c r="I206" s="211">
        <f>SUM(I207+I214+I226+I275)</f>
        <v>188450500</v>
      </c>
      <c r="J206" s="211">
        <f t="shared" ref="J206:P206" si="27">SUM(J207+J214+J226+J275)</f>
        <v>1300000</v>
      </c>
      <c r="K206" s="211">
        <f t="shared" si="27"/>
        <v>400000</v>
      </c>
      <c r="L206" s="211">
        <f t="shared" si="27"/>
        <v>0</v>
      </c>
      <c r="M206" s="211">
        <f t="shared" si="27"/>
        <v>400000</v>
      </c>
      <c r="N206" s="211">
        <f t="shared" si="27"/>
        <v>187450500</v>
      </c>
      <c r="O206" s="211">
        <f t="shared" si="27"/>
        <v>1000000</v>
      </c>
      <c r="P206" s="211">
        <f t="shared" si="27"/>
        <v>0</v>
      </c>
      <c r="Q206" s="212"/>
    </row>
    <row r="207" spans="1:17" s="213" customFormat="1" x14ac:dyDescent="0.25">
      <c r="A207" s="208" t="s">
        <v>263</v>
      </c>
      <c r="B207" s="209" t="s">
        <v>1822</v>
      </c>
      <c r="C207" s="209" t="s">
        <v>1823</v>
      </c>
      <c r="D207" s="209" t="s">
        <v>1836</v>
      </c>
      <c r="E207" s="209" t="s">
        <v>2022</v>
      </c>
      <c r="F207" s="209" t="s">
        <v>1825</v>
      </c>
      <c r="G207" s="209"/>
      <c r="H207" s="210" t="s">
        <v>2024</v>
      </c>
      <c r="I207" s="211">
        <f>SUM(I208:I213)</f>
        <v>10503000</v>
      </c>
      <c r="J207" s="211">
        <f t="shared" ref="J207:P207" si="28">SUM(J208:J213)</f>
        <v>1300000</v>
      </c>
      <c r="K207" s="211">
        <f t="shared" si="28"/>
        <v>400000</v>
      </c>
      <c r="L207" s="211">
        <f t="shared" si="28"/>
        <v>0</v>
      </c>
      <c r="M207" s="211">
        <f t="shared" si="28"/>
        <v>400000</v>
      </c>
      <c r="N207" s="211">
        <f t="shared" si="28"/>
        <v>9503000</v>
      </c>
      <c r="O207" s="211">
        <f t="shared" si="28"/>
        <v>1000000</v>
      </c>
      <c r="P207" s="211">
        <f t="shared" si="28"/>
        <v>0</v>
      </c>
      <c r="Q207" s="212"/>
    </row>
    <row r="208" spans="1:17" s="219" customFormat="1" x14ac:dyDescent="0.25">
      <c r="A208" s="214"/>
      <c r="B208" s="215" t="s">
        <v>1822</v>
      </c>
      <c r="C208" s="215" t="s">
        <v>1823</v>
      </c>
      <c r="D208" s="215" t="s">
        <v>1836</v>
      </c>
      <c r="E208" s="215" t="s">
        <v>2022</v>
      </c>
      <c r="F208" s="215" t="s">
        <v>1825</v>
      </c>
      <c r="G208" s="215" t="s">
        <v>58</v>
      </c>
      <c r="H208" s="216" t="s">
        <v>2025</v>
      </c>
      <c r="I208" s="217">
        <v>10503000</v>
      </c>
      <c r="J208" s="217">
        <v>1300000</v>
      </c>
      <c r="K208" s="217">
        <v>400000</v>
      </c>
      <c r="L208" s="217"/>
      <c r="M208" s="217">
        <v>400000</v>
      </c>
      <c r="N208" s="217">
        <v>9503000</v>
      </c>
      <c r="O208" s="217">
        <v>1000000</v>
      </c>
      <c r="P208" s="217"/>
      <c r="Q208" s="218"/>
    </row>
    <row r="209" spans="1:17" s="219" customFormat="1" x14ac:dyDescent="0.25">
      <c r="A209" s="214"/>
      <c r="B209" s="215" t="s">
        <v>1822</v>
      </c>
      <c r="C209" s="215" t="s">
        <v>1823</v>
      </c>
      <c r="D209" s="215" t="s">
        <v>1836</v>
      </c>
      <c r="E209" s="215" t="s">
        <v>2022</v>
      </c>
      <c r="F209" s="215" t="s">
        <v>1825</v>
      </c>
      <c r="G209" s="215" t="s">
        <v>75</v>
      </c>
      <c r="H209" s="216" t="s">
        <v>2026</v>
      </c>
      <c r="I209" s="217"/>
      <c r="J209" s="217"/>
      <c r="K209" s="217"/>
      <c r="L209" s="217"/>
      <c r="M209" s="217"/>
      <c r="N209" s="217"/>
      <c r="O209" s="217"/>
      <c r="P209" s="217"/>
      <c r="Q209" s="218"/>
    </row>
    <row r="210" spans="1:17" s="219" customFormat="1" hidden="1" x14ac:dyDescent="0.25">
      <c r="A210" s="214"/>
      <c r="B210" s="215" t="s">
        <v>1822</v>
      </c>
      <c r="C210" s="215" t="s">
        <v>1823</v>
      </c>
      <c r="D210" s="215" t="s">
        <v>1836</v>
      </c>
      <c r="E210" s="215" t="s">
        <v>2022</v>
      </c>
      <c r="F210" s="215" t="s">
        <v>1825</v>
      </c>
      <c r="G210" s="215" t="s">
        <v>79</v>
      </c>
      <c r="H210" s="216" t="s">
        <v>2027</v>
      </c>
      <c r="I210" s="217"/>
      <c r="J210" s="217"/>
      <c r="K210" s="217"/>
      <c r="L210" s="217"/>
      <c r="M210" s="217"/>
      <c r="N210" s="217"/>
      <c r="O210" s="217"/>
      <c r="P210" s="217"/>
      <c r="Q210" s="218"/>
    </row>
    <row r="211" spans="1:17" s="219" customFormat="1" hidden="1" x14ac:dyDescent="0.25">
      <c r="A211" s="214"/>
      <c r="B211" s="215" t="s">
        <v>1822</v>
      </c>
      <c r="C211" s="215" t="s">
        <v>1823</v>
      </c>
      <c r="D211" s="215" t="s">
        <v>1836</v>
      </c>
      <c r="E211" s="215" t="s">
        <v>2022</v>
      </c>
      <c r="F211" s="215" t="s">
        <v>1825</v>
      </c>
      <c r="G211" s="215" t="s">
        <v>84</v>
      </c>
      <c r="H211" s="216" t="s">
        <v>2028</v>
      </c>
      <c r="I211" s="217"/>
      <c r="J211" s="217"/>
      <c r="K211" s="217"/>
      <c r="L211" s="217"/>
      <c r="M211" s="217"/>
      <c r="N211" s="217"/>
      <c r="O211" s="217"/>
      <c r="P211" s="217"/>
      <c r="Q211" s="218"/>
    </row>
    <row r="212" spans="1:17" s="219" customFormat="1" ht="30" hidden="1" x14ac:dyDescent="0.25">
      <c r="A212" s="214"/>
      <c r="B212" s="215" t="s">
        <v>1822</v>
      </c>
      <c r="C212" s="215" t="s">
        <v>1823</v>
      </c>
      <c r="D212" s="215" t="s">
        <v>1836</v>
      </c>
      <c r="E212" s="215" t="s">
        <v>2022</v>
      </c>
      <c r="F212" s="215" t="s">
        <v>1825</v>
      </c>
      <c r="G212" s="215" t="s">
        <v>88</v>
      </c>
      <c r="H212" s="216" t="s">
        <v>2029</v>
      </c>
      <c r="I212" s="217"/>
      <c r="J212" s="217"/>
      <c r="K212" s="217"/>
      <c r="L212" s="217"/>
      <c r="M212" s="217"/>
      <c r="N212" s="217"/>
      <c r="O212" s="217"/>
      <c r="P212" s="217"/>
      <c r="Q212" s="218"/>
    </row>
    <row r="213" spans="1:17" s="219" customFormat="1" x14ac:dyDescent="0.25">
      <c r="A213" s="214"/>
      <c r="B213" s="215" t="s">
        <v>1822</v>
      </c>
      <c r="C213" s="215" t="s">
        <v>1823</v>
      </c>
      <c r="D213" s="215" t="s">
        <v>1836</v>
      </c>
      <c r="E213" s="215" t="s">
        <v>2022</v>
      </c>
      <c r="F213" s="215" t="s">
        <v>1825</v>
      </c>
      <c r="G213" s="215" t="s">
        <v>92</v>
      </c>
      <c r="H213" s="216" t="s">
        <v>2030</v>
      </c>
      <c r="I213" s="217"/>
      <c r="J213" s="217"/>
      <c r="K213" s="217"/>
      <c r="L213" s="217"/>
      <c r="M213" s="217"/>
      <c r="N213" s="217"/>
      <c r="O213" s="217"/>
      <c r="P213" s="217"/>
      <c r="Q213" s="218"/>
    </row>
    <row r="214" spans="1:17" s="213" customFormat="1" x14ac:dyDescent="0.25">
      <c r="A214" s="208" t="s">
        <v>263</v>
      </c>
      <c r="B214" s="209" t="s">
        <v>1822</v>
      </c>
      <c r="C214" s="209" t="s">
        <v>1823</v>
      </c>
      <c r="D214" s="209" t="s">
        <v>1836</v>
      </c>
      <c r="E214" s="209" t="s">
        <v>2022</v>
      </c>
      <c r="F214" s="209" t="s">
        <v>1836</v>
      </c>
      <c r="G214" s="209"/>
      <c r="H214" s="210" t="s">
        <v>2031</v>
      </c>
      <c r="I214" s="211">
        <f>SUM(I215:I225)</f>
        <v>111347500</v>
      </c>
      <c r="J214" s="211">
        <f t="shared" ref="J214:P214" si="29">SUM(J215:J225)</f>
        <v>0</v>
      </c>
      <c r="K214" s="211">
        <f t="shared" si="29"/>
        <v>0</v>
      </c>
      <c r="L214" s="211">
        <f t="shared" si="29"/>
        <v>0</v>
      </c>
      <c r="M214" s="211">
        <f t="shared" si="29"/>
        <v>0</v>
      </c>
      <c r="N214" s="211">
        <f t="shared" si="29"/>
        <v>111347500</v>
      </c>
      <c r="O214" s="211">
        <f t="shared" si="29"/>
        <v>0</v>
      </c>
      <c r="P214" s="211">
        <f t="shared" si="29"/>
        <v>0</v>
      </c>
      <c r="Q214" s="212"/>
    </row>
    <row r="215" spans="1:17" s="219" customFormat="1" x14ac:dyDescent="0.25">
      <c r="A215" s="214"/>
      <c r="B215" s="215" t="s">
        <v>1822</v>
      </c>
      <c r="C215" s="215" t="s">
        <v>1823</v>
      </c>
      <c r="D215" s="215" t="s">
        <v>1836</v>
      </c>
      <c r="E215" s="215" t="s">
        <v>2022</v>
      </c>
      <c r="F215" s="215" t="s">
        <v>1836</v>
      </c>
      <c r="G215" s="215" t="s">
        <v>58</v>
      </c>
      <c r="H215" s="216" t="s">
        <v>2032</v>
      </c>
      <c r="I215" s="217">
        <v>111347500</v>
      </c>
      <c r="J215" s="217"/>
      <c r="K215" s="217"/>
      <c r="L215" s="217"/>
      <c r="M215" s="217"/>
      <c r="N215" s="217">
        <v>111347500</v>
      </c>
      <c r="O215" s="217"/>
      <c r="P215" s="217"/>
      <c r="Q215" s="218"/>
    </row>
    <row r="216" spans="1:17" s="219" customFormat="1" x14ac:dyDescent="0.25">
      <c r="A216" s="214"/>
      <c r="B216" s="215" t="s">
        <v>1822</v>
      </c>
      <c r="C216" s="215" t="s">
        <v>1823</v>
      </c>
      <c r="D216" s="215" t="s">
        <v>1836</v>
      </c>
      <c r="E216" s="215" t="s">
        <v>2022</v>
      </c>
      <c r="F216" s="215" t="s">
        <v>1836</v>
      </c>
      <c r="G216" s="215" t="s">
        <v>75</v>
      </c>
      <c r="H216" s="216" t="s">
        <v>2033</v>
      </c>
      <c r="I216" s="217"/>
      <c r="J216" s="217"/>
      <c r="K216" s="217"/>
      <c r="L216" s="217"/>
      <c r="M216" s="217"/>
      <c r="N216" s="217"/>
      <c r="O216" s="217"/>
      <c r="P216" s="217"/>
      <c r="Q216" s="218"/>
    </row>
    <row r="217" spans="1:17" s="219" customFormat="1" hidden="1" x14ac:dyDescent="0.25">
      <c r="A217" s="214"/>
      <c r="B217" s="215" t="s">
        <v>1822</v>
      </c>
      <c r="C217" s="215" t="s">
        <v>1823</v>
      </c>
      <c r="D217" s="215" t="s">
        <v>1836</v>
      </c>
      <c r="E217" s="215" t="s">
        <v>2022</v>
      </c>
      <c r="F217" s="215" t="s">
        <v>1836</v>
      </c>
      <c r="G217" s="215" t="s">
        <v>79</v>
      </c>
      <c r="H217" s="216" t="s">
        <v>2034</v>
      </c>
      <c r="I217" s="217"/>
      <c r="J217" s="217"/>
      <c r="K217" s="217"/>
      <c r="L217" s="217"/>
      <c r="M217" s="217"/>
      <c r="N217" s="217"/>
      <c r="O217" s="217"/>
      <c r="P217" s="217"/>
      <c r="Q217" s="218"/>
    </row>
    <row r="218" spans="1:17" s="219" customFormat="1" hidden="1" x14ac:dyDescent="0.25">
      <c r="A218" s="214"/>
      <c r="B218" s="215" t="s">
        <v>1822</v>
      </c>
      <c r="C218" s="215" t="s">
        <v>1823</v>
      </c>
      <c r="D218" s="215" t="s">
        <v>1836</v>
      </c>
      <c r="E218" s="215" t="s">
        <v>2022</v>
      </c>
      <c r="F218" s="215" t="s">
        <v>1836</v>
      </c>
      <c r="G218" s="215" t="s">
        <v>84</v>
      </c>
      <c r="H218" s="216" t="s">
        <v>2035</v>
      </c>
      <c r="I218" s="217"/>
      <c r="J218" s="217"/>
      <c r="K218" s="217"/>
      <c r="L218" s="217"/>
      <c r="M218" s="217"/>
      <c r="N218" s="217"/>
      <c r="O218" s="217"/>
      <c r="P218" s="217"/>
      <c r="Q218" s="218"/>
    </row>
    <row r="219" spans="1:17" s="219" customFormat="1" hidden="1" x14ac:dyDescent="0.25">
      <c r="A219" s="214"/>
      <c r="B219" s="215" t="s">
        <v>1822</v>
      </c>
      <c r="C219" s="215" t="s">
        <v>1823</v>
      </c>
      <c r="D219" s="215" t="s">
        <v>1836</v>
      </c>
      <c r="E219" s="215" t="s">
        <v>2022</v>
      </c>
      <c r="F219" s="215" t="s">
        <v>1836</v>
      </c>
      <c r="G219" s="215" t="s">
        <v>88</v>
      </c>
      <c r="H219" s="216" t="s">
        <v>2036</v>
      </c>
      <c r="I219" s="217"/>
      <c r="J219" s="217"/>
      <c r="K219" s="217"/>
      <c r="L219" s="217"/>
      <c r="M219" s="217"/>
      <c r="N219" s="217"/>
      <c r="O219" s="217"/>
      <c r="P219" s="217"/>
      <c r="Q219" s="218"/>
    </row>
    <row r="220" spans="1:17" s="219" customFormat="1" hidden="1" x14ac:dyDescent="0.25">
      <c r="A220" s="214"/>
      <c r="B220" s="215" t="s">
        <v>1822</v>
      </c>
      <c r="C220" s="215" t="s">
        <v>1823</v>
      </c>
      <c r="D220" s="215" t="s">
        <v>1836</v>
      </c>
      <c r="E220" s="215" t="s">
        <v>2022</v>
      </c>
      <c r="F220" s="215" t="s">
        <v>1836</v>
      </c>
      <c r="G220" s="215" t="s">
        <v>92</v>
      </c>
      <c r="H220" s="216" t="s">
        <v>2037</v>
      </c>
      <c r="I220" s="217"/>
      <c r="J220" s="217"/>
      <c r="K220" s="217"/>
      <c r="L220" s="217"/>
      <c r="M220" s="217"/>
      <c r="N220" s="217"/>
      <c r="O220" s="217"/>
      <c r="P220" s="217"/>
      <c r="Q220" s="218"/>
    </row>
    <row r="221" spans="1:17" s="219" customFormat="1" hidden="1" x14ac:dyDescent="0.25">
      <c r="A221" s="214"/>
      <c r="B221" s="215" t="s">
        <v>1822</v>
      </c>
      <c r="C221" s="215" t="s">
        <v>1823</v>
      </c>
      <c r="D221" s="215" t="s">
        <v>1836</v>
      </c>
      <c r="E221" s="215" t="s">
        <v>2022</v>
      </c>
      <c r="F221" s="215" t="s">
        <v>1836</v>
      </c>
      <c r="G221" s="215" t="s">
        <v>96</v>
      </c>
      <c r="H221" s="216" t="s">
        <v>2038</v>
      </c>
      <c r="I221" s="217"/>
      <c r="J221" s="217"/>
      <c r="K221" s="217"/>
      <c r="L221" s="217"/>
      <c r="M221" s="217"/>
      <c r="N221" s="217"/>
      <c r="O221" s="217"/>
      <c r="P221" s="217"/>
      <c r="Q221" s="218"/>
    </row>
    <row r="222" spans="1:17" s="219" customFormat="1" hidden="1" x14ac:dyDescent="0.25">
      <c r="A222" s="214"/>
      <c r="B222" s="215" t="s">
        <v>1822</v>
      </c>
      <c r="C222" s="215" t="s">
        <v>1823</v>
      </c>
      <c r="D222" s="215" t="s">
        <v>1836</v>
      </c>
      <c r="E222" s="215" t="s">
        <v>2022</v>
      </c>
      <c r="F222" s="215" t="s">
        <v>1836</v>
      </c>
      <c r="G222" s="215" t="s">
        <v>100</v>
      </c>
      <c r="H222" s="216" t="s">
        <v>2039</v>
      </c>
      <c r="I222" s="217"/>
      <c r="J222" s="217"/>
      <c r="K222" s="217"/>
      <c r="L222" s="217"/>
      <c r="M222" s="217"/>
      <c r="N222" s="217"/>
      <c r="O222" s="217"/>
      <c r="P222" s="217"/>
      <c r="Q222" s="218"/>
    </row>
    <row r="223" spans="1:17" s="219" customFormat="1" ht="30" hidden="1" x14ac:dyDescent="0.25">
      <c r="A223" s="214"/>
      <c r="B223" s="215" t="s">
        <v>1822</v>
      </c>
      <c r="C223" s="215" t="s">
        <v>1823</v>
      </c>
      <c r="D223" s="215" t="s">
        <v>1836</v>
      </c>
      <c r="E223" s="215" t="s">
        <v>2022</v>
      </c>
      <c r="F223" s="215" t="s">
        <v>1836</v>
      </c>
      <c r="G223" s="215" t="s">
        <v>105</v>
      </c>
      <c r="H223" s="216" t="s">
        <v>2040</v>
      </c>
      <c r="I223" s="217"/>
      <c r="J223" s="217"/>
      <c r="K223" s="217"/>
      <c r="L223" s="217"/>
      <c r="M223" s="217"/>
      <c r="N223" s="217"/>
      <c r="O223" s="217"/>
      <c r="P223" s="217"/>
      <c r="Q223" s="218"/>
    </row>
    <row r="224" spans="1:17" s="219" customFormat="1" hidden="1" x14ac:dyDescent="0.25">
      <c r="A224" s="214"/>
      <c r="B224" s="215" t="s">
        <v>1822</v>
      </c>
      <c r="C224" s="215" t="s">
        <v>1823</v>
      </c>
      <c r="D224" s="215" t="s">
        <v>1836</v>
      </c>
      <c r="E224" s="215" t="s">
        <v>2022</v>
      </c>
      <c r="F224" s="215" t="s">
        <v>1836</v>
      </c>
      <c r="G224" s="215" t="s">
        <v>108</v>
      </c>
      <c r="H224" s="216" t="s">
        <v>2041</v>
      </c>
      <c r="I224" s="217"/>
      <c r="J224" s="217"/>
      <c r="K224" s="217"/>
      <c r="L224" s="217"/>
      <c r="M224" s="217"/>
      <c r="N224" s="217"/>
      <c r="O224" s="217"/>
      <c r="P224" s="217"/>
      <c r="Q224" s="218"/>
    </row>
    <row r="225" spans="1:17" s="219" customFormat="1" x14ac:dyDescent="0.25">
      <c r="A225" s="214"/>
      <c r="B225" s="215" t="s">
        <v>1822</v>
      </c>
      <c r="C225" s="215" t="s">
        <v>1823</v>
      </c>
      <c r="D225" s="215" t="s">
        <v>1836</v>
      </c>
      <c r="E225" s="215" t="s">
        <v>2022</v>
      </c>
      <c r="F225" s="215" t="s">
        <v>1836</v>
      </c>
      <c r="G225" s="215" t="s">
        <v>135</v>
      </c>
      <c r="H225" s="216" t="s">
        <v>2042</v>
      </c>
      <c r="I225" s="217"/>
      <c r="J225" s="217"/>
      <c r="K225" s="217"/>
      <c r="L225" s="217"/>
      <c r="M225" s="217"/>
      <c r="N225" s="217"/>
      <c r="O225" s="217"/>
      <c r="P225" s="217"/>
      <c r="Q225" s="218"/>
    </row>
    <row r="226" spans="1:17" s="213" customFormat="1" x14ac:dyDescent="0.25">
      <c r="A226" s="208" t="s">
        <v>263</v>
      </c>
      <c r="B226" s="209" t="s">
        <v>1822</v>
      </c>
      <c r="C226" s="209" t="s">
        <v>1823</v>
      </c>
      <c r="D226" s="209" t="s">
        <v>1836</v>
      </c>
      <c r="E226" s="209" t="s">
        <v>2022</v>
      </c>
      <c r="F226" s="209" t="s">
        <v>1847</v>
      </c>
      <c r="G226" s="209"/>
      <c r="H226" s="210" t="s">
        <v>2043</v>
      </c>
      <c r="I226" s="211">
        <f>SUM(I227:I274)</f>
        <v>66600000</v>
      </c>
      <c r="J226" s="211">
        <f t="shared" ref="J226:P226" si="30">SUM(J227:J274)</f>
        <v>0</v>
      </c>
      <c r="K226" s="211">
        <f t="shared" si="30"/>
        <v>0</v>
      </c>
      <c r="L226" s="211">
        <f t="shared" si="30"/>
        <v>0</v>
      </c>
      <c r="M226" s="211">
        <f t="shared" si="30"/>
        <v>0</v>
      </c>
      <c r="N226" s="211">
        <f t="shared" si="30"/>
        <v>66600000</v>
      </c>
      <c r="O226" s="211">
        <f t="shared" si="30"/>
        <v>0</v>
      </c>
      <c r="P226" s="211">
        <f t="shared" si="30"/>
        <v>0</v>
      </c>
      <c r="Q226" s="212"/>
    </row>
    <row r="227" spans="1:17" s="219" customFormat="1" x14ac:dyDescent="0.25">
      <c r="A227" s="214"/>
      <c r="B227" s="215" t="s">
        <v>1822</v>
      </c>
      <c r="C227" s="215" t="s">
        <v>1823</v>
      </c>
      <c r="D227" s="215" t="s">
        <v>1836</v>
      </c>
      <c r="E227" s="215" t="s">
        <v>2022</v>
      </c>
      <c r="F227" s="215" t="s">
        <v>1847</v>
      </c>
      <c r="G227" s="215" t="s">
        <v>58</v>
      </c>
      <c r="H227" s="216" t="s">
        <v>2044</v>
      </c>
      <c r="I227" s="217"/>
      <c r="J227" s="217"/>
      <c r="K227" s="217"/>
      <c r="L227" s="217"/>
      <c r="M227" s="217"/>
      <c r="N227" s="217"/>
      <c r="O227" s="217"/>
      <c r="P227" s="217"/>
      <c r="Q227" s="218"/>
    </row>
    <row r="228" spans="1:17" s="219" customFormat="1" hidden="1" x14ac:dyDescent="0.25">
      <c r="A228" s="214"/>
      <c r="B228" s="215" t="s">
        <v>1822</v>
      </c>
      <c r="C228" s="215" t="s">
        <v>1823</v>
      </c>
      <c r="D228" s="215" t="s">
        <v>1836</v>
      </c>
      <c r="E228" s="215" t="s">
        <v>2022</v>
      </c>
      <c r="F228" s="215" t="s">
        <v>1847</v>
      </c>
      <c r="G228" s="215" t="s">
        <v>75</v>
      </c>
      <c r="H228" s="216" t="s">
        <v>2045</v>
      </c>
      <c r="I228" s="217"/>
      <c r="J228" s="217"/>
      <c r="K228" s="217"/>
      <c r="L228" s="217"/>
      <c r="M228" s="217"/>
      <c r="N228" s="217"/>
      <c r="O228" s="217"/>
      <c r="P228" s="217"/>
      <c r="Q228" s="218"/>
    </row>
    <row r="229" spans="1:17" s="219" customFormat="1" hidden="1" x14ac:dyDescent="0.25">
      <c r="A229" s="214"/>
      <c r="B229" s="215" t="s">
        <v>1822</v>
      </c>
      <c r="C229" s="215" t="s">
        <v>1823</v>
      </c>
      <c r="D229" s="215" t="s">
        <v>1836</v>
      </c>
      <c r="E229" s="215" t="s">
        <v>2022</v>
      </c>
      <c r="F229" s="215" t="s">
        <v>1847</v>
      </c>
      <c r="G229" s="215" t="s">
        <v>79</v>
      </c>
      <c r="H229" s="216" t="s">
        <v>2046</v>
      </c>
      <c r="I229" s="217"/>
      <c r="J229" s="217"/>
      <c r="K229" s="217"/>
      <c r="L229" s="217"/>
      <c r="M229" s="217"/>
      <c r="N229" s="217"/>
      <c r="O229" s="217"/>
      <c r="P229" s="217"/>
      <c r="Q229" s="218"/>
    </row>
    <row r="230" spans="1:17" s="219" customFormat="1" hidden="1" x14ac:dyDescent="0.25">
      <c r="A230" s="214"/>
      <c r="B230" s="215" t="s">
        <v>1822</v>
      </c>
      <c r="C230" s="215" t="s">
        <v>1823</v>
      </c>
      <c r="D230" s="215" t="s">
        <v>1836</v>
      </c>
      <c r="E230" s="215" t="s">
        <v>2022</v>
      </c>
      <c r="F230" s="215" t="s">
        <v>1847</v>
      </c>
      <c r="G230" s="215" t="s">
        <v>84</v>
      </c>
      <c r="H230" s="216" t="s">
        <v>2047</v>
      </c>
      <c r="I230" s="217"/>
      <c r="J230" s="217"/>
      <c r="K230" s="217"/>
      <c r="L230" s="217"/>
      <c r="M230" s="217"/>
      <c r="N230" s="217"/>
      <c r="O230" s="217"/>
      <c r="P230" s="217"/>
      <c r="Q230" s="218"/>
    </row>
    <row r="231" spans="1:17" s="219" customFormat="1" hidden="1" x14ac:dyDescent="0.25">
      <c r="A231" s="214"/>
      <c r="B231" s="215" t="s">
        <v>1822</v>
      </c>
      <c r="C231" s="215" t="s">
        <v>1823</v>
      </c>
      <c r="D231" s="215" t="s">
        <v>1836</v>
      </c>
      <c r="E231" s="215" t="s">
        <v>2022</v>
      </c>
      <c r="F231" s="215" t="s">
        <v>1847</v>
      </c>
      <c r="G231" s="215" t="s">
        <v>88</v>
      </c>
      <c r="H231" s="216" t="s">
        <v>2048</v>
      </c>
      <c r="I231" s="217"/>
      <c r="J231" s="217"/>
      <c r="K231" s="217"/>
      <c r="L231" s="217"/>
      <c r="M231" s="217"/>
      <c r="N231" s="217"/>
      <c r="O231" s="217"/>
      <c r="P231" s="217"/>
      <c r="Q231" s="218"/>
    </row>
    <row r="232" spans="1:17" s="219" customFormat="1" hidden="1" x14ac:dyDescent="0.25">
      <c r="A232" s="214"/>
      <c r="B232" s="215" t="s">
        <v>1822</v>
      </c>
      <c r="C232" s="215" t="s">
        <v>1823</v>
      </c>
      <c r="D232" s="215" t="s">
        <v>1836</v>
      </c>
      <c r="E232" s="215" t="s">
        <v>2022</v>
      </c>
      <c r="F232" s="215" t="s">
        <v>1847</v>
      </c>
      <c r="G232" s="215" t="s">
        <v>92</v>
      </c>
      <c r="H232" s="216" t="s">
        <v>2049</v>
      </c>
      <c r="I232" s="217"/>
      <c r="J232" s="217"/>
      <c r="K232" s="217"/>
      <c r="L232" s="217"/>
      <c r="M232" s="217"/>
      <c r="N232" s="217"/>
      <c r="O232" s="217"/>
      <c r="P232" s="217"/>
      <c r="Q232" s="218"/>
    </row>
    <row r="233" spans="1:17" s="219" customFormat="1" hidden="1" x14ac:dyDescent="0.25">
      <c r="A233" s="214"/>
      <c r="B233" s="215" t="s">
        <v>1822</v>
      </c>
      <c r="C233" s="215" t="s">
        <v>1823</v>
      </c>
      <c r="D233" s="215" t="s">
        <v>1836</v>
      </c>
      <c r="E233" s="215" t="s">
        <v>2022</v>
      </c>
      <c r="F233" s="215" t="s">
        <v>1847</v>
      </c>
      <c r="G233" s="215" t="s">
        <v>96</v>
      </c>
      <c r="H233" s="216" t="s">
        <v>2050</v>
      </c>
      <c r="I233" s="217"/>
      <c r="J233" s="217"/>
      <c r="K233" s="217"/>
      <c r="L233" s="217"/>
      <c r="M233" s="217"/>
      <c r="N233" s="217"/>
      <c r="O233" s="217"/>
      <c r="P233" s="217"/>
      <c r="Q233" s="218"/>
    </row>
    <row r="234" spans="1:17" s="219" customFormat="1" hidden="1" x14ac:dyDescent="0.25">
      <c r="A234" s="214"/>
      <c r="B234" s="215" t="s">
        <v>1822</v>
      </c>
      <c r="C234" s="215" t="s">
        <v>1823</v>
      </c>
      <c r="D234" s="215" t="s">
        <v>1836</v>
      </c>
      <c r="E234" s="215" t="s">
        <v>2022</v>
      </c>
      <c r="F234" s="215" t="s">
        <v>1847</v>
      </c>
      <c r="G234" s="215" t="s">
        <v>100</v>
      </c>
      <c r="H234" s="216" t="s">
        <v>2051</v>
      </c>
      <c r="I234" s="217"/>
      <c r="J234" s="217"/>
      <c r="K234" s="217"/>
      <c r="L234" s="217"/>
      <c r="M234" s="217"/>
      <c r="N234" s="217"/>
      <c r="O234" s="217"/>
      <c r="P234" s="217"/>
      <c r="Q234" s="218"/>
    </row>
    <row r="235" spans="1:17" s="219" customFormat="1" hidden="1" x14ac:dyDescent="0.25">
      <c r="A235" s="214"/>
      <c r="B235" s="215" t="s">
        <v>1822</v>
      </c>
      <c r="C235" s="215" t="s">
        <v>1823</v>
      </c>
      <c r="D235" s="215" t="s">
        <v>1836</v>
      </c>
      <c r="E235" s="215" t="s">
        <v>2022</v>
      </c>
      <c r="F235" s="215" t="s">
        <v>1847</v>
      </c>
      <c r="G235" s="215" t="s">
        <v>105</v>
      </c>
      <c r="H235" s="216" t="s">
        <v>2052</v>
      </c>
      <c r="I235" s="217"/>
      <c r="J235" s="217"/>
      <c r="K235" s="217"/>
      <c r="L235" s="217"/>
      <c r="M235" s="217"/>
      <c r="N235" s="217"/>
      <c r="O235" s="217"/>
      <c r="P235" s="217"/>
      <c r="Q235" s="218"/>
    </row>
    <row r="236" spans="1:17" s="219" customFormat="1" hidden="1" x14ac:dyDescent="0.25">
      <c r="A236" s="214"/>
      <c r="B236" s="215" t="s">
        <v>1822</v>
      </c>
      <c r="C236" s="215" t="s">
        <v>1823</v>
      </c>
      <c r="D236" s="215" t="s">
        <v>1836</v>
      </c>
      <c r="E236" s="215" t="s">
        <v>2022</v>
      </c>
      <c r="F236" s="215" t="s">
        <v>1847</v>
      </c>
      <c r="G236" s="215" t="s">
        <v>108</v>
      </c>
      <c r="H236" s="216" t="s">
        <v>2053</v>
      </c>
      <c r="I236" s="217"/>
      <c r="J236" s="217"/>
      <c r="K236" s="217"/>
      <c r="L236" s="217"/>
      <c r="M236" s="217"/>
      <c r="N236" s="217"/>
      <c r="O236" s="217"/>
      <c r="P236" s="217"/>
      <c r="Q236" s="218"/>
    </row>
    <row r="237" spans="1:17" s="219" customFormat="1" hidden="1" x14ac:dyDescent="0.25">
      <c r="A237" s="214"/>
      <c r="B237" s="215" t="s">
        <v>1822</v>
      </c>
      <c r="C237" s="215" t="s">
        <v>1823</v>
      </c>
      <c r="D237" s="215" t="s">
        <v>1836</v>
      </c>
      <c r="E237" s="215" t="s">
        <v>2022</v>
      </c>
      <c r="F237" s="215" t="s">
        <v>1847</v>
      </c>
      <c r="G237" s="215" t="s">
        <v>135</v>
      </c>
      <c r="H237" s="216" t="s">
        <v>2054</v>
      </c>
      <c r="I237" s="217"/>
      <c r="J237" s="217"/>
      <c r="K237" s="217"/>
      <c r="L237" s="217"/>
      <c r="M237" s="217"/>
      <c r="N237" s="217"/>
      <c r="O237" s="217"/>
      <c r="P237" s="217"/>
      <c r="Q237" s="218"/>
    </row>
    <row r="238" spans="1:17" s="219" customFormat="1" hidden="1" x14ac:dyDescent="0.25">
      <c r="A238" s="214"/>
      <c r="B238" s="215" t="s">
        <v>1822</v>
      </c>
      <c r="C238" s="215" t="s">
        <v>1823</v>
      </c>
      <c r="D238" s="215" t="s">
        <v>1836</v>
      </c>
      <c r="E238" s="215" t="s">
        <v>2022</v>
      </c>
      <c r="F238" s="215" t="s">
        <v>1847</v>
      </c>
      <c r="G238" s="215" t="s">
        <v>138</v>
      </c>
      <c r="H238" s="216" t="s">
        <v>2055</v>
      </c>
      <c r="I238" s="217"/>
      <c r="J238" s="217"/>
      <c r="K238" s="217"/>
      <c r="L238" s="217"/>
      <c r="M238" s="217"/>
      <c r="N238" s="217"/>
      <c r="O238" s="217"/>
      <c r="P238" s="217"/>
      <c r="Q238" s="218"/>
    </row>
    <row r="239" spans="1:17" s="219" customFormat="1" hidden="1" x14ac:dyDescent="0.25">
      <c r="A239" s="214"/>
      <c r="B239" s="215" t="s">
        <v>1822</v>
      </c>
      <c r="C239" s="215" t="s">
        <v>1823</v>
      </c>
      <c r="D239" s="215" t="s">
        <v>1836</v>
      </c>
      <c r="E239" s="215" t="s">
        <v>2022</v>
      </c>
      <c r="F239" s="215" t="s">
        <v>1847</v>
      </c>
      <c r="G239" s="215" t="s">
        <v>140</v>
      </c>
      <c r="H239" s="216" t="s">
        <v>2056</v>
      </c>
      <c r="I239" s="217"/>
      <c r="J239" s="217"/>
      <c r="K239" s="217"/>
      <c r="L239" s="217"/>
      <c r="M239" s="217"/>
      <c r="N239" s="217"/>
      <c r="O239" s="217"/>
      <c r="P239" s="217"/>
      <c r="Q239" s="218"/>
    </row>
    <row r="240" spans="1:17" s="219" customFormat="1" hidden="1" x14ac:dyDescent="0.25">
      <c r="A240" s="214"/>
      <c r="B240" s="215" t="s">
        <v>1822</v>
      </c>
      <c r="C240" s="215" t="s">
        <v>1823</v>
      </c>
      <c r="D240" s="215" t="s">
        <v>1836</v>
      </c>
      <c r="E240" s="215" t="s">
        <v>2022</v>
      </c>
      <c r="F240" s="215" t="s">
        <v>1847</v>
      </c>
      <c r="G240" s="215" t="s">
        <v>143</v>
      </c>
      <c r="H240" s="216" t="s">
        <v>2057</v>
      </c>
      <c r="I240" s="217"/>
      <c r="J240" s="217"/>
      <c r="K240" s="217"/>
      <c r="L240" s="217"/>
      <c r="M240" s="217"/>
      <c r="N240" s="217"/>
      <c r="O240" s="217"/>
      <c r="P240" s="217"/>
      <c r="Q240" s="218"/>
    </row>
    <row r="241" spans="1:17" s="219" customFormat="1" hidden="1" x14ac:dyDescent="0.25">
      <c r="A241" s="214"/>
      <c r="B241" s="215" t="s">
        <v>1822</v>
      </c>
      <c r="C241" s="215" t="s">
        <v>1823</v>
      </c>
      <c r="D241" s="215" t="s">
        <v>1836</v>
      </c>
      <c r="E241" s="215" t="s">
        <v>2022</v>
      </c>
      <c r="F241" s="215" t="s">
        <v>1847</v>
      </c>
      <c r="G241" s="215" t="s">
        <v>146</v>
      </c>
      <c r="H241" s="216" t="s">
        <v>2058</v>
      </c>
      <c r="I241" s="217"/>
      <c r="J241" s="217"/>
      <c r="K241" s="217"/>
      <c r="L241" s="217"/>
      <c r="M241" s="217"/>
      <c r="N241" s="217"/>
      <c r="O241" s="217"/>
      <c r="P241" s="217"/>
      <c r="Q241" s="218"/>
    </row>
    <row r="242" spans="1:17" s="219" customFormat="1" hidden="1" x14ac:dyDescent="0.25">
      <c r="A242" s="214"/>
      <c r="B242" s="215" t="s">
        <v>1822</v>
      </c>
      <c r="C242" s="215" t="s">
        <v>1823</v>
      </c>
      <c r="D242" s="215" t="s">
        <v>1836</v>
      </c>
      <c r="E242" s="215" t="s">
        <v>2022</v>
      </c>
      <c r="F242" s="215" t="s">
        <v>1847</v>
      </c>
      <c r="G242" s="215" t="s">
        <v>150</v>
      </c>
      <c r="H242" s="216" t="s">
        <v>2059</v>
      </c>
      <c r="I242" s="217"/>
      <c r="J242" s="217"/>
      <c r="K242" s="217"/>
      <c r="L242" s="217"/>
      <c r="M242" s="217"/>
      <c r="N242" s="217"/>
      <c r="O242" s="217"/>
      <c r="P242" s="217"/>
      <c r="Q242" s="218"/>
    </row>
    <row r="243" spans="1:17" s="219" customFormat="1" hidden="1" x14ac:dyDescent="0.25">
      <c r="A243" s="214"/>
      <c r="B243" s="215" t="s">
        <v>1822</v>
      </c>
      <c r="C243" s="215" t="s">
        <v>1823</v>
      </c>
      <c r="D243" s="215" t="s">
        <v>1836</v>
      </c>
      <c r="E243" s="215" t="s">
        <v>2022</v>
      </c>
      <c r="F243" s="215" t="s">
        <v>1847</v>
      </c>
      <c r="G243" s="215" t="s">
        <v>153</v>
      </c>
      <c r="H243" s="216" t="s">
        <v>2060</v>
      </c>
      <c r="I243" s="217"/>
      <c r="J243" s="217"/>
      <c r="K243" s="217"/>
      <c r="L243" s="217"/>
      <c r="M243" s="217"/>
      <c r="N243" s="217"/>
      <c r="O243" s="217"/>
      <c r="P243" s="217"/>
      <c r="Q243" s="218"/>
    </row>
    <row r="244" spans="1:17" s="219" customFormat="1" hidden="1" x14ac:dyDescent="0.25">
      <c r="A244" s="214"/>
      <c r="B244" s="215" t="s">
        <v>1822</v>
      </c>
      <c r="C244" s="215" t="s">
        <v>1823</v>
      </c>
      <c r="D244" s="215" t="s">
        <v>1836</v>
      </c>
      <c r="E244" s="215" t="s">
        <v>2022</v>
      </c>
      <c r="F244" s="215" t="s">
        <v>1847</v>
      </c>
      <c r="G244" s="215" t="s">
        <v>156</v>
      </c>
      <c r="H244" s="216" t="s">
        <v>2061</v>
      </c>
      <c r="I244" s="217"/>
      <c r="J244" s="217"/>
      <c r="K244" s="217"/>
      <c r="L244" s="217"/>
      <c r="M244" s="217"/>
      <c r="N244" s="217"/>
      <c r="O244" s="217"/>
      <c r="P244" s="217"/>
      <c r="Q244" s="218"/>
    </row>
    <row r="245" spans="1:17" s="219" customFormat="1" x14ac:dyDescent="0.25">
      <c r="A245" s="214"/>
      <c r="B245" s="215" t="s">
        <v>1822</v>
      </c>
      <c r="C245" s="215" t="s">
        <v>1823</v>
      </c>
      <c r="D245" s="215" t="s">
        <v>1836</v>
      </c>
      <c r="E245" s="215" t="s">
        <v>2022</v>
      </c>
      <c r="F245" s="215" t="s">
        <v>1847</v>
      </c>
      <c r="G245" s="215" t="s">
        <v>159</v>
      </c>
      <c r="H245" s="216" t="s">
        <v>2062</v>
      </c>
      <c r="I245" s="217"/>
      <c r="J245" s="217"/>
      <c r="K245" s="217"/>
      <c r="L245" s="217"/>
      <c r="M245" s="217"/>
      <c r="N245" s="217"/>
      <c r="O245" s="217"/>
      <c r="P245" s="217"/>
      <c r="Q245" s="218"/>
    </row>
    <row r="246" spans="1:17" s="219" customFormat="1" x14ac:dyDescent="0.25">
      <c r="A246" s="214"/>
      <c r="B246" s="215" t="s">
        <v>1822</v>
      </c>
      <c r="C246" s="215" t="s">
        <v>1823</v>
      </c>
      <c r="D246" s="215" t="s">
        <v>1836</v>
      </c>
      <c r="E246" s="215" t="s">
        <v>2022</v>
      </c>
      <c r="F246" s="215" t="s">
        <v>1847</v>
      </c>
      <c r="G246" s="215" t="s">
        <v>162</v>
      </c>
      <c r="H246" s="216" t="s">
        <v>2063</v>
      </c>
      <c r="I246" s="217">
        <v>66600000</v>
      </c>
      <c r="J246" s="217"/>
      <c r="K246" s="217"/>
      <c r="L246" s="217"/>
      <c r="M246" s="217"/>
      <c r="N246" s="217">
        <v>66600000</v>
      </c>
      <c r="O246" s="217"/>
      <c r="P246" s="217"/>
      <c r="Q246" s="218"/>
    </row>
    <row r="247" spans="1:17" s="219" customFormat="1" hidden="1" x14ac:dyDescent="0.25">
      <c r="A247" s="214"/>
      <c r="B247" s="215" t="s">
        <v>1822</v>
      </c>
      <c r="C247" s="215" t="s">
        <v>1823</v>
      </c>
      <c r="D247" s="215" t="s">
        <v>1836</v>
      </c>
      <c r="E247" s="215" t="s">
        <v>2022</v>
      </c>
      <c r="F247" s="215" t="s">
        <v>1847</v>
      </c>
      <c r="G247" s="215" t="s">
        <v>312</v>
      </c>
      <c r="H247" s="216" t="s">
        <v>1891</v>
      </c>
      <c r="I247" s="217"/>
      <c r="J247" s="217"/>
      <c r="K247" s="217"/>
      <c r="L247" s="217"/>
      <c r="M247" s="217"/>
      <c r="N247" s="217"/>
      <c r="O247" s="217"/>
      <c r="P247" s="217"/>
      <c r="Q247" s="218"/>
    </row>
    <row r="248" spans="1:17" s="219" customFormat="1" hidden="1" x14ac:dyDescent="0.25">
      <c r="A248" s="214"/>
      <c r="B248" s="215" t="s">
        <v>1822</v>
      </c>
      <c r="C248" s="215" t="s">
        <v>1823</v>
      </c>
      <c r="D248" s="215" t="s">
        <v>1836</v>
      </c>
      <c r="E248" s="215" t="s">
        <v>2022</v>
      </c>
      <c r="F248" s="215" t="s">
        <v>1847</v>
      </c>
      <c r="G248" s="215" t="s">
        <v>313</v>
      </c>
      <c r="H248" s="216" t="s">
        <v>2064</v>
      </c>
      <c r="I248" s="217"/>
      <c r="J248" s="217"/>
      <c r="K248" s="217"/>
      <c r="L248" s="217"/>
      <c r="M248" s="217"/>
      <c r="N248" s="217"/>
      <c r="O248" s="217"/>
      <c r="P248" s="217"/>
      <c r="Q248" s="218"/>
    </row>
    <row r="249" spans="1:17" s="219" customFormat="1" hidden="1" x14ac:dyDescent="0.25">
      <c r="A249" s="214"/>
      <c r="B249" s="215" t="s">
        <v>1822</v>
      </c>
      <c r="C249" s="215" t="s">
        <v>1823</v>
      </c>
      <c r="D249" s="215" t="s">
        <v>1836</v>
      </c>
      <c r="E249" s="215" t="s">
        <v>2022</v>
      </c>
      <c r="F249" s="215" t="s">
        <v>1847</v>
      </c>
      <c r="G249" s="215" t="s">
        <v>559</v>
      </c>
      <c r="H249" s="216" t="s">
        <v>2065</v>
      </c>
      <c r="I249" s="217"/>
      <c r="J249" s="217"/>
      <c r="K249" s="217"/>
      <c r="L249" s="217"/>
      <c r="M249" s="217"/>
      <c r="N249" s="217"/>
      <c r="O249" s="217"/>
      <c r="P249" s="217"/>
      <c r="Q249" s="218"/>
    </row>
    <row r="250" spans="1:17" s="219" customFormat="1" hidden="1" x14ac:dyDescent="0.25">
      <c r="A250" s="214"/>
      <c r="B250" s="215" t="s">
        <v>1822</v>
      </c>
      <c r="C250" s="215" t="s">
        <v>1823</v>
      </c>
      <c r="D250" s="215" t="s">
        <v>1836</v>
      </c>
      <c r="E250" s="215" t="s">
        <v>2022</v>
      </c>
      <c r="F250" s="215" t="s">
        <v>1847</v>
      </c>
      <c r="G250" s="215" t="s">
        <v>561</v>
      </c>
      <c r="H250" s="216" t="s">
        <v>2066</v>
      </c>
      <c r="I250" s="217"/>
      <c r="J250" s="217"/>
      <c r="K250" s="217"/>
      <c r="L250" s="217"/>
      <c r="M250" s="217"/>
      <c r="N250" s="217"/>
      <c r="O250" s="217"/>
      <c r="P250" s="217"/>
      <c r="Q250" s="218"/>
    </row>
    <row r="251" spans="1:17" s="219" customFormat="1" hidden="1" x14ac:dyDescent="0.25">
      <c r="A251" s="214"/>
      <c r="B251" s="215" t="s">
        <v>1822</v>
      </c>
      <c r="C251" s="215" t="s">
        <v>1823</v>
      </c>
      <c r="D251" s="215" t="s">
        <v>1836</v>
      </c>
      <c r="E251" s="215" t="s">
        <v>2022</v>
      </c>
      <c r="F251" s="215" t="s">
        <v>1847</v>
      </c>
      <c r="G251" s="215" t="s">
        <v>563</v>
      </c>
      <c r="H251" s="216" t="s">
        <v>2067</v>
      </c>
      <c r="I251" s="217"/>
      <c r="J251" s="217"/>
      <c r="K251" s="217"/>
      <c r="L251" s="217"/>
      <c r="M251" s="217"/>
      <c r="N251" s="217"/>
      <c r="O251" s="217"/>
      <c r="P251" s="217"/>
      <c r="Q251" s="218"/>
    </row>
    <row r="252" spans="1:17" s="219" customFormat="1" hidden="1" x14ac:dyDescent="0.25">
      <c r="A252" s="214"/>
      <c r="B252" s="215" t="s">
        <v>1822</v>
      </c>
      <c r="C252" s="215" t="s">
        <v>1823</v>
      </c>
      <c r="D252" s="215" t="s">
        <v>1836</v>
      </c>
      <c r="E252" s="215" t="s">
        <v>2022</v>
      </c>
      <c r="F252" s="215" t="s">
        <v>1847</v>
      </c>
      <c r="G252" s="215" t="s">
        <v>227</v>
      </c>
      <c r="H252" s="216" t="s">
        <v>2068</v>
      </c>
      <c r="I252" s="217"/>
      <c r="J252" s="217"/>
      <c r="K252" s="217"/>
      <c r="L252" s="217"/>
      <c r="M252" s="217"/>
      <c r="N252" s="217"/>
      <c r="O252" s="217"/>
      <c r="P252" s="217"/>
      <c r="Q252" s="218"/>
    </row>
    <row r="253" spans="1:17" s="219" customFormat="1" hidden="1" x14ac:dyDescent="0.25">
      <c r="A253" s="214"/>
      <c r="B253" s="215" t="s">
        <v>1822</v>
      </c>
      <c r="C253" s="215" t="s">
        <v>1823</v>
      </c>
      <c r="D253" s="215" t="s">
        <v>1836</v>
      </c>
      <c r="E253" s="215" t="s">
        <v>2022</v>
      </c>
      <c r="F253" s="215" t="s">
        <v>1847</v>
      </c>
      <c r="G253" s="215" t="s">
        <v>230</v>
      </c>
      <c r="H253" s="216" t="s">
        <v>2069</v>
      </c>
      <c r="I253" s="217"/>
      <c r="J253" s="217"/>
      <c r="K253" s="217"/>
      <c r="L253" s="217"/>
      <c r="M253" s="217"/>
      <c r="N253" s="217"/>
      <c r="O253" s="217"/>
      <c r="P253" s="217"/>
      <c r="Q253" s="218"/>
    </row>
    <row r="254" spans="1:17" s="219" customFormat="1" hidden="1" x14ac:dyDescent="0.25">
      <c r="A254" s="214"/>
      <c r="B254" s="215" t="s">
        <v>1822</v>
      </c>
      <c r="C254" s="215" t="s">
        <v>1823</v>
      </c>
      <c r="D254" s="215" t="s">
        <v>1836</v>
      </c>
      <c r="E254" s="215" t="s">
        <v>2022</v>
      </c>
      <c r="F254" s="215" t="s">
        <v>1847</v>
      </c>
      <c r="G254" s="215" t="s">
        <v>232</v>
      </c>
      <c r="H254" s="216" t="s">
        <v>2070</v>
      </c>
      <c r="I254" s="217"/>
      <c r="J254" s="217"/>
      <c r="K254" s="217"/>
      <c r="L254" s="217"/>
      <c r="M254" s="217"/>
      <c r="N254" s="217"/>
      <c r="O254" s="217"/>
      <c r="P254" s="217"/>
      <c r="Q254" s="218"/>
    </row>
    <row r="255" spans="1:17" s="219" customFormat="1" hidden="1" x14ac:dyDescent="0.25">
      <c r="A255" s="214"/>
      <c r="B255" s="215" t="s">
        <v>1822</v>
      </c>
      <c r="C255" s="215" t="s">
        <v>1823</v>
      </c>
      <c r="D255" s="215" t="s">
        <v>1836</v>
      </c>
      <c r="E255" s="215" t="s">
        <v>2022</v>
      </c>
      <c r="F255" s="215" t="s">
        <v>1847</v>
      </c>
      <c r="G255" s="215" t="s">
        <v>234</v>
      </c>
      <c r="H255" s="216" t="s">
        <v>2071</v>
      </c>
      <c r="I255" s="217"/>
      <c r="J255" s="217"/>
      <c r="K255" s="217"/>
      <c r="L255" s="217"/>
      <c r="M255" s="217"/>
      <c r="N255" s="217"/>
      <c r="O255" s="217"/>
      <c r="P255" s="217"/>
      <c r="Q255" s="218"/>
    </row>
    <row r="256" spans="1:17" s="219" customFormat="1" ht="30" hidden="1" x14ac:dyDescent="0.25">
      <c r="A256" s="214"/>
      <c r="B256" s="215" t="s">
        <v>1822</v>
      </c>
      <c r="C256" s="215" t="s">
        <v>1823</v>
      </c>
      <c r="D256" s="215" t="s">
        <v>1836</v>
      </c>
      <c r="E256" s="215" t="s">
        <v>2022</v>
      </c>
      <c r="F256" s="215" t="s">
        <v>1847</v>
      </c>
      <c r="G256" s="215" t="s">
        <v>236</v>
      </c>
      <c r="H256" s="216" t="s">
        <v>2072</v>
      </c>
      <c r="I256" s="217"/>
      <c r="J256" s="217"/>
      <c r="K256" s="217"/>
      <c r="L256" s="217"/>
      <c r="M256" s="217"/>
      <c r="N256" s="217"/>
      <c r="O256" s="217"/>
      <c r="P256" s="217"/>
      <c r="Q256" s="218"/>
    </row>
    <row r="257" spans="1:17" s="219" customFormat="1" ht="30" hidden="1" x14ac:dyDescent="0.25">
      <c r="A257" s="214"/>
      <c r="B257" s="215" t="s">
        <v>1822</v>
      </c>
      <c r="C257" s="215" t="s">
        <v>1823</v>
      </c>
      <c r="D257" s="215" t="s">
        <v>1836</v>
      </c>
      <c r="E257" s="215" t="s">
        <v>2022</v>
      </c>
      <c r="F257" s="215" t="s">
        <v>1847</v>
      </c>
      <c r="G257" s="215" t="s">
        <v>238</v>
      </c>
      <c r="H257" s="216" t="s">
        <v>2073</v>
      </c>
      <c r="I257" s="217"/>
      <c r="J257" s="217"/>
      <c r="K257" s="217"/>
      <c r="L257" s="217"/>
      <c r="M257" s="217"/>
      <c r="N257" s="217"/>
      <c r="O257" s="217"/>
      <c r="P257" s="217"/>
      <c r="Q257" s="218"/>
    </row>
    <row r="258" spans="1:17" s="219" customFormat="1" ht="30" hidden="1" x14ac:dyDescent="0.25">
      <c r="A258" s="214"/>
      <c r="B258" s="215" t="s">
        <v>1822</v>
      </c>
      <c r="C258" s="215" t="s">
        <v>1823</v>
      </c>
      <c r="D258" s="215" t="s">
        <v>1836</v>
      </c>
      <c r="E258" s="215" t="s">
        <v>2022</v>
      </c>
      <c r="F258" s="215" t="s">
        <v>1847</v>
      </c>
      <c r="G258" s="215" t="s">
        <v>240</v>
      </c>
      <c r="H258" s="216" t="s">
        <v>2074</v>
      </c>
      <c r="I258" s="217"/>
      <c r="J258" s="217"/>
      <c r="K258" s="217"/>
      <c r="L258" s="217"/>
      <c r="M258" s="217"/>
      <c r="N258" s="217"/>
      <c r="O258" s="217"/>
      <c r="P258" s="217"/>
      <c r="Q258" s="218"/>
    </row>
    <row r="259" spans="1:17" s="219" customFormat="1" ht="30" hidden="1" x14ac:dyDescent="0.25">
      <c r="A259" s="214"/>
      <c r="B259" s="215" t="s">
        <v>1822</v>
      </c>
      <c r="C259" s="215" t="s">
        <v>1823</v>
      </c>
      <c r="D259" s="215" t="s">
        <v>1836</v>
      </c>
      <c r="E259" s="215" t="s">
        <v>2022</v>
      </c>
      <c r="F259" s="215" t="s">
        <v>1847</v>
      </c>
      <c r="G259" s="215" t="s">
        <v>242</v>
      </c>
      <c r="H259" s="216" t="s">
        <v>2075</v>
      </c>
      <c r="I259" s="217"/>
      <c r="J259" s="217"/>
      <c r="K259" s="217"/>
      <c r="L259" s="217"/>
      <c r="M259" s="217"/>
      <c r="N259" s="217"/>
      <c r="O259" s="217"/>
      <c r="P259" s="217"/>
      <c r="Q259" s="218"/>
    </row>
    <row r="260" spans="1:17" s="219" customFormat="1" ht="30" hidden="1" x14ac:dyDescent="0.25">
      <c r="A260" s="214"/>
      <c r="B260" s="215" t="s">
        <v>1822</v>
      </c>
      <c r="C260" s="215" t="s">
        <v>1823</v>
      </c>
      <c r="D260" s="215" t="s">
        <v>1836</v>
      </c>
      <c r="E260" s="215" t="s">
        <v>2022</v>
      </c>
      <c r="F260" s="215" t="s">
        <v>1847</v>
      </c>
      <c r="G260" s="215" t="s">
        <v>244</v>
      </c>
      <c r="H260" s="216" t="s">
        <v>2076</v>
      </c>
      <c r="I260" s="217"/>
      <c r="J260" s="217"/>
      <c r="K260" s="217"/>
      <c r="L260" s="217"/>
      <c r="M260" s="217"/>
      <c r="N260" s="217"/>
      <c r="O260" s="217"/>
      <c r="P260" s="217"/>
      <c r="Q260" s="218"/>
    </row>
    <row r="261" spans="1:17" s="219" customFormat="1" ht="30" hidden="1" x14ac:dyDescent="0.25">
      <c r="A261" s="214"/>
      <c r="B261" s="215" t="s">
        <v>1822</v>
      </c>
      <c r="C261" s="215" t="s">
        <v>1823</v>
      </c>
      <c r="D261" s="215" t="s">
        <v>1836</v>
      </c>
      <c r="E261" s="215" t="s">
        <v>2022</v>
      </c>
      <c r="F261" s="215" t="s">
        <v>1847</v>
      </c>
      <c r="G261" s="215" t="s">
        <v>246</v>
      </c>
      <c r="H261" s="216" t="s">
        <v>2077</v>
      </c>
      <c r="I261" s="217"/>
      <c r="J261" s="217"/>
      <c r="K261" s="217"/>
      <c r="L261" s="217"/>
      <c r="M261" s="217"/>
      <c r="N261" s="217"/>
      <c r="O261" s="217"/>
      <c r="P261" s="217"/>
      <c r="Q261" s="218"/>
    </row>
    <row r="262" spans="1:17" s="219" customFormat="1" ht="30" hidden="1" x14ac:dyDescent="0.25">
      <c r="A262" s="214"/>
      <c r="B262" s="215" t="s">
        <v>1822</v>
      </c>
      <c r="C262" s="215" t="s">
        <v>1823</v>
      </c>
      <c r="D262" s="215" t="s">
        <v>1836</v>
      </c>
      <c r="E262" s="215" t="s">
        <v>2022</v>
      </c>
      <c r="F262" s="215" t="s">
        <v>1847</v>
      </c>
      <c r="G262" s="215" t="s">
        <v>407</v>
      </c>
      <c r="H262" s="216" t="s">
        <v>2078</v>
      </c>
      <c r="I262" s="217"/>
      <c r="J262" s="217"/>
      <c r="K262" s="217"/>
      <c r="L262" s="217"/>
      <c r="M262" s="217"/>
      <c r="N262" s="217"/>
      <c r="O262" s="217"/>
      <c r="P262" s="217"/>
      <c r="Q262" s="218"/>
    </row>
    <row r="263" spans="1:17" s="219" customFormat="1" ht="30" hidden="1" x14ac:dyDescent="0.25">
      <c r="A263" s="214"/>
      <c r="B263" s="215" t="s">
        <v>1822</v>
      </c>
      <c r="C263" s="215" t="s">
        <v>1823</v>
      </c>
      <c r="D263" s="215" t="s">
        <v>1836</v>
      </c>
      <c r="E263" s="215" t="s">
        <v>2022</v>
      </c>
      <c r="F263" s="215" t="s">
        <v>1847</v>
      </c>
      <c r="G263" s="215" t="s">
        <v>408</v>
      </c>
      <c r="H263" s="216" t="s">
        <v>2079</v>
      </c>
      <c r="I263" s="217"/>
      <c r="J263" s="217"/>
      <c r="K263" s="217"/>
      <c r="L263" s="217"/>
      <c r="M263" s="217"/>
      <c r="N263" s="217"/>
      <c r="O263" s="217"/>
      <c r="P263" s="217"/>
      <c r="Q263" s="218"/>
    </row>
    <row r="264" spans="1:17" s="219" customFormat="1" ht="30" hidden="1" x14ac:dyDescent="0.25">
      <c r="A264" s="214"/>
      <c r="B264" s="215" t="s">
        <v>1822</v>
      </c>
      <c r="C264" s="215" t="s">
        <v>1823</v>
      </c>
      <c r="D264" s="215" t="s">
        <v>1836</v>
      </c>
      <c r="E264" s="215" t="s">
        <v>2022</v>
      </c>
      <c r="F264" s="215" t="s">
        <v>1847</v>
      </c>
      <c r="G264" s="215" t="s">
        <v>409</v>
      </c>
      <c r="H264" s="216" t="s">
        <v>2080</v>
      </c>
      <c r="I264" s="217"/>
      <c r="J264" s="217"/>
      <c r="K264" s="217"/>
      <c r="L264" s="217"/>
      <c r="M264" s="217"/>
      <c r="N264" s="217"/>
      <c r="O264" s="217"/>
      <c r="P264" s="217"/>
      <c r="Q264" s="218"/>
    </row>
    <row r="265" spans="1:17" s="219" customFormat="1" ht="30" hidden="1" x14ac:dyDescent="0.25">
      <c r="A265" s="214"/>
      <c r="B265" s="215" t="s">
        <v>1822</v>
      </c>
      <c r="C265" s="215" t="s">
        <v>1823</v>
      </c>
      <c r="D265" s="215" t="s">
        <v>1836</v>
      </c>
      <c r="E265" s="215" t="s">
        <v>2022</v>
      </c>
      <c r="F265" s="215" t="s">
        <v>1847</v>
      </c>
      <c r="G265" s="215" t="s">
        <v>788</v>
      </c>
      <c r="H265" s="216" t="s">
        <v>2081</v>
      </c>
      <c r="I265" s="217"/>
      <c r="J265" s="217"/>
      <c r="K265" s="217"/>
      <c r="L265" s="217"/>
      <c r="M265" s="217"/>
      <c r="N265" s="217"/>
      <c r="O265" s="217"/>
      <c r="P265" s="217"/>
      <c r="Q265" s="218"/>
    </row>
    <row r="266" spans="1:17" s="219" customFormat="1" ht="30" hidden="1" x14ac:dyDescent="0.25">
      <c r="A266" s="214"/>
      <c r="B266" s="215" t="s">
        <v>1822</v>
      </c>
      <c r="C266" s="215" t="s">
        <v>1823</v>
      </c>
      <c r="D266" s="215" t="s">
        <v>1836</v>
      </c>
      <c r="E266" s="215" t="s">
        <v>2022</v>
      </c>
      <c r="F266" s="215" t="s">
        <v>1847</v>
      </c>
      <c r="G266" s="215" t="s">
        <v>1017</v>
      </c>
      <c r="H266" s="216" t="s">
        <v>2082</v>
      </c>
      <c r="I266" s="217"/>
      <c r="J266" s="217"/>
      <c r="K266" s="217"/>
      <c r="L266" s="217"/>
      <c r="M266" s="217"/>
      <c r="N266" s="217"/>
      <c r="O266" s="217"/>
      <c r="P266" s="217"/>
      <c r="Q266" s="218"/>
    </row>
    <row r="267" spans="1:17" s="219" customFormat="1" ht="30" hidden="1" x14ac:dyDescent="0.25">
      <c r="A267" s="214"/>
      <c r="B267" s="215" t="s">
        <v>1822</v>
      </c>
      <c r="C267" s="215" t="s">
        <v>1823</v>
      </c>
      <c r="D267" s="215" t="s">
        <v>1836</v>
      </c>
      <c r="E267" s="215" t="s">
        <v>2022</v>
      </c>
      <c r="F267" s="215" t="s">
        <v>1847</v>
      </c>
      <c r="G267" s="215" t="s">
        <v>411</v>
      </c>
      <c r="H267" s="216" t="s">
        <v>2083</v>
      </c>
      <c r="I267" s="217"/>
      <c r="J267" s="217"/>
      <c r="K267" s="217"/>
      <c r="L267" s="217"/>
      <c r="M267" s="217"/>
      <c r="N267" s="217"/>
      <c r="O267" s="217"/>
      <c r="P267" s="217"/>
      <c r="Q267" s="218"/>
    </row>
    <row r="268" spans="1:17" s="219" customFormat="1" ht="30" hidden="1" x14ac:dyDescent="0.25">
      <c r="A268" s="214"/>
      <c r="B268" s="215" t="s">
        <v>1822</v>
      </c>
      <c r="C268" s="215" t="s">
        <v>1823</v>
      </c>
      <c r="D268" s="215" t="s">
        <v>1836</v>
      </c>
      <c r="E268" s="215" t="s">
        <v>2022</v>
      </c>
      <c r="F268" s="215" t="s">
        <v>1847</v>
      </c>
      <c r="G268" s="215" t="s">
        <v>247</v>
      </c>
      <c r="H268" s="216" t="s">
        <v>2084</v>
      </c>
      <c r="I268" s="217"/>
      <c r="J268" s="217"/>
      <c r="K268" s="217"/>
      <c r="L268" s="217"/>
      <c r="M268" s="217"/>
      <c r="N268" s="217"/>
      <c r="O268" s="217"/>
      <c r="P268" s="217"/>
      <c r="Q268" s="218"/>
    </row>
    <row r="269" spans="1:17" s="219" customFormat="1" ht="30" hidden="1" x14ac:dyDescent="0.25">
      <c r="A269" s="214"/>
      <c r="B269" s="215" t="s">
        <v>1822</v>
      </c>
      <c r="C269" s="215" t="s">
        <v>1823</v>
      </c>
      <c r="D269" s="215" t="s">
        <v>1836</v>
      </c>
      <c r="E269" s="215" t="s">
        <v>2022</v>
      </c>
      <c r="F269" s="215" t="s">
        <v>1847</v>
      </c>
      <c r="G269" s="215" t="s">
        <v>1019</v>
      </c>
      <c r="H269" s="216" t="s">
        <v>2085</v>
      </c>
      <c r="I269" s="217"/>
      <c r="J269" s="217"/>
      <c r="K269" s="217"/>
      <c r="L269" s="217"/>
      <c r="M269" s="217"/>
      <c r="N269" s="217"/>
      <c r="O269" s="217"/>
      <c r="P269" s="217"/>
      <c r="Q269" s="218"/>
    </row>
    <row r="270" spans="1:17" s="219" customFormat="1" ht="30" hidden="1" x14ac:dyDescent="0.25">
      <c r="A270" s="214"/>
      <c r="B270" s="215" t="s">
        <v>1822</v>
      </c>
      <c r="C270" s="215" t="s">
        <v>1823</v>
      </c>
      <c r="D270" s="215" t="s">
        <v>1836</v>
      </c>
      <c r="E270" s="215" t="s">
        <v>2022</v>
      </c>
      <c r="F270" s="215" t="s">
        <v>1847</v>
      </c>
      <c r="G270" s="215" t="s">
        <v>1022</v>
      </c>
      <c r="H270" s="216" t="s">
        <v>2086</v>
      </c>
      <c r="I270" s="217"/>
      <c r="J270" s="217"/>
      <c r="K270" s="217"/>
      <c r="L270" s="217"/>
      <c r="M270" s="217"/>
      <c r="N270" s="217"/>
      <c r="O270" s="217"/>
      <c r="P270" s="217"/>
      <c r="Q270" s="218"/>
    </row>
    <row r="271" spans="1:17" s="219" customFormat="1" ht="30" hidden="1" x14ac:dyDescent="0.25">
      <c r="A271" s="214"/>
      <c r="B271" s="215" t="s">
        <v>1822</v>
      </c>
      <c r="C271" s="215" t="s">
        <v>1823</v>
      </c>
      <c r="D271" s="215" t="s">
        <v>1836</v>
      </c>
      <c r="E271" s="215" t="s">
        <v>2022</v>
      </c>
      <c r="F271" s="215" t="s">
        <v>1847</v>
      </c>
      <c r="G271" s="215" t="s">
        <v>1024</v>
      </c>
      <c r="H271" s="216" t="s">
        <v>2087</v>
      </c>
      <c r="I271" s="217"/>
      <c r="J271" s="217"/>
      <c r="K271" s="217"/>
      <c r="L271" s="217"/>
      <c r="M271" s="217"/>
      <c r="N271" s="217"/>
      <c r="O271" s="217"/>
      <c r="P271" s="217"/>
      <c r="Q271" s="218"/>
    </row>
    <row r="272" spans="1:17" s="219" customFormat="1" hidden="1" x14ac:dyDescent="0.25">
      <c r="A272" s="214"/>
      <c r="B272" s="215" t="s">
        <v>1822</v>
      </c>
      <c r="C272" s="215" t="s">
        <v>1823</v>
      </c>
      <c r="D272" s="215" t="s">
        <v>1836</v>
      </c>
      <c r="E272" s="215" t="s">
        <v>2022</v>
      </c>
      <c r="F272" s="215" t="s">
        <v>1847</v>
      </c>
      <c r="G272" s="215" t="s">
        <v>1026</v>
      </c>
      <c r="H272" s="216" t="s">
        <v>2088</v>
      </c>
      <c r="I272" s="217"/>
      <c r="J272" s="217"/>
      <c r="K272" s="217"/>
      <c r="L272" s="217"/>
      <c r="M272" s="217"/>
      <c r="N272" s="217"/>
      <c r="O272" s="217"/>
      <c r="P272" s="217"/>
      <c r="Q272" s="218"/>
    </row>
    <row r="273" spans="1:17" s="219" customFormat="1" hidden="1" x14ac:dyDescent="0.25">
      <c r="A273" s="214"/>
      <c r="B273" s="215" t="s">
        <v>1822</v>
      </c>
      <c r="C273" s="215" t="s">
        <v>1823</v>
      </c>
      <c r="D273" s="215" t="s">
        <v>1836</v>
      </c>
      <c r="E273" s="215" t="s">
        <v>2022</v>
      </c>
      <c r="F273" s="215" t="s">
        <v>1847</v>
      </c>
      <c r="G273" s="215" t="s">
        <v>416</v>
      </c>
      <c r="H273" s="216" t="s">
        <v>2089</v>
      </c>
      <c r="I273" s="217"/>
      <c r="J273" s="217"/>
      <c r="K273" s="217"/>
      <c r="L273" s="217"/>
      <c r="M273" s="217"/>
      <c r="N273" s="217"/>
      <c r="O273" s="217"/>
      <c r="P273" s="217"/>
      <c r="Q273" s="218"/>
    </row>
    <row r="274" spans="1:17" s="219" customFormat="1" hidden="1" x14ac:dyDescent="0.25">
      <c r="A274" s="214"/>
      <c r="B274" s="215" t="s">
        <v>1822</v>
      </c>
      <c r="C274" s="215" t="s">
        <v>1823</v>
      </c>
      <c r="D274" s="215" t="s">
        <v>1836</v>
      </c>
      <c r="E274" s="215" t="s">
        <v>2022</v>
      </c>
      <c r="F274" s="215" t="s">
        <v>1847</v>
      </c>
      <c r="G274" s="215" t="s">
        <v>417</v>
      </c>
      <c r="H274" s="216" t="s">
        <v>2090</v>
      </c>
      <c r="I274" s="217"/>
      <c r="J274" s="217"/>
      <c r="K274" s="217"/>
      <c r="L274" s="217"/>
      <c r="M274" s="217"/>
      <c r="N274" s="217"/>
      <c r="O274" s="217"/>
      <c r="P274" s="217"/>
      <c r="Q274" s="218"/>
    </row>
    <row r="275" spans="1:17" s="213" customFormat="1" hidden="1" x14ac:dyDescent="0.25">
      <c r="A275" s="208" t="s">
        <v>263</v>
      </c>
      <c r="B275" s="209" t="s">
        <v>1822</v>
      </c>
      <c r="C275" s="209" t="s">
        <v>1823</v>
      </c>
      <c r="D275" s="209" t="s">
        <v>1836</v>
      </c>
      <c r="E275" s="209" t="s">
        <v>2022</v>
      </c>
      <c r="F275" s="209" t="s">
        <v>1928</v>
      </c>
      <c r="G275" s="209"/>
      <c r="H275" s="210" t="s">
        <v>2091</v>
      </c>
      <c r="I275" s="211">
        <f>SUM(I276:I282)</f>
        <v>0</v>
      </c>
      <c r="J275" s="211">
        <f t="shared" ref="J275:P275" si="31">SUM(J276:J282)</f>
        <v>0</v>
      </c>
      <c r="K275" s="211">
        <f t="shared" si="31"/>
        <v>0</v>
      </c>
      <c r="L275" s="211">
        <f t="shared" si="31"/>
        <v>0</v>
      </c>
      <c r="M275" s="211">
        <f t="shared" si="31"/>
        <v>0</v>
      </c>
      <c r="N275" s="211">
        <f t="shared" si="31"/>
        <v>0</v>
      </c>
      <c r="O275" s="211">
        <f t="shared" si="31"/>
        <v>0</v>
      </c>
      <c r="P275" s="211">
        <f t="shared" si="31"/>
        <v>0</v>
      </c>
      <c r="Q275" s="212"/>
    </row>
    <row r="276" spans="1:17" s="219" customFormat="1" ht="30" hidden="1" x14ac:dyDescent="0.25">
      <c r="A276" s="214"/>
      <c r="B276" s="215" t="s">
        <v>1822</v>
      </c>
      <c r="C276" s="215" t="s">
        <v>1823</v>
      </c>
      <c r="D276" s="215" t="s">
        <v>1836</v>
      </c>
      <c r="E276" s="215" t="s">
        <v>2022</v>
      </c>
      <c r="F276" s="215" t="s">
        <v>1928</v>
      </c>
      <c r="G276" s="215" t="s">
        <v>58</v>
      </c>
      <c r="H276" s="216" t="s">
        <v>2092</v>
      </c>
      <c r="I276" s="217"/>
      <c r="J276" s="217"/>
      <c r="K276" s="217"/>
      <c r="L276" s="217"/>
      <c r="M276" s="217"/>
      <c r="N276" s="217"/>
      <c r="O276" s="217"/>
      <c r="P276" s="217"/>
      <c r="Q276" s="218"/>
    </row>
    <row r="277" spans="1:17" s="219" customFormat="1" ht="30" hidden="1" x14ac:dyDescent="0.25">
      <c r="A277" s="214"/>
      <c r="B277" s="215" t="s">
        <v>1822</v>
      </c>
      <c r="C277" s="215" t="s">
        <v>1823</v>
      </c>
      <c r="D277" s="215" t="s">
        <v>1836</v>
      </c>
      <c r="E277" s="215" t="s">
        <v>2022</v>
      </c>
      <c r="F277" s="215" t="s">
        <v>1928</v>
      </c>
      <c r="G277" s="215" t="s">
        <v>75</v>
      </c>
      <c r="H277" s="216" t="s">
        <v>2093</v>
      </c>
      <c r="I277" s="217"/>
      <c r="J277" s="217"/>
      <c r="K277" s="217"/>
      <c r="L277" s="217"/>
      <c r="M277" s="217"/>
      <c r="N277" s="217"/>
      <c r="O277" s="217"/>
      <c r="P277" s="217"/>
      <c r="Q277" s="218"/>
    </row>
    <row r="278" spans="1:17" s="219" customFormat="1" hidden="1" x14ac:dyDescent="0.25">
      <c r="A278" s="214"/>
      <c r="B278" s="215" t="s">
        <v>1822</v>
      </c>
      <c r="C278" s="215" t="s">
        <v>1823</v>
      </c>
      <c r="D278" s="215" t="s">
        <v>1836</v>
      </c>
      <c r="E278" s="215" t="s">
        <v>2022</v>
      </c>
      <c r="F278" s="215" t="s">
        <v>1928</v>
      </c>
      <c r="G278" s="215" t="s">
        <v>79</v>
      </c>
      <c r="H278" s="216" t="s">
        <v>2094</v>
      </c>
      <c r="I278" s="217"/>
      <c r="J278" s="217"/>
      <c r="K278" s="217"/>
      <c r="L278" s="217"/>
      <c r="M278" s="217"/>
      <c r="N278" s="217"/>
      <c r="O278" s="217"/>
      <c r="P278" s="217"/>
      <c r="Q278" s="218"/>
    </row>
    <row r="279" spans="1:17" s="219" customFormat="1" hidden="1" x14ac:dyDescent="0.25">
      <c r="A279" s="214"/>
      <c r="B279" s="215" t="s">
        <v>1822</v>
      </c>
      <c r="C279" s="215" t="s">
        <v>1823</v>
      </c>
      <c r="D279" s="215" t="s">
        <v>1836</v>
      </c>
      <c r="E279" s="215" t="s">
        <v>2022</v>
      </c>
      <c r="F279" s="215" t="s">
        <v>1928</v>
      </c>
      <c r="G279" s="215" t="s">
        <v>84</v>
      </c>
      <c r="H279" s="216" t="s">
        <v>2095</v>
      </c>
      <c r="I279" s="217"/>
      <c r="J279" s="217"/>
      <c r="K279" s="217"/>
      <c r="L279" s="217"/>
      <c r="M279" s="217"/>
      <c r="N279" s="217"/>
      <c r="O279" s="217"/>
      <c r="P279" s="217"/>
      <c r="Q279" s="218"/>
    </row>
    <row r="280" spans="1:17" s="219" customFormat="1" hidden="1" x14ac:dyDescent="0.25">
      <c r="A280" s="214"/>
      <c r="B280" s="215" t="s">
        <v>1822</v>
      </c>
      <c r="C280" s="215" t="s">
        <v>1823</v>
      </c>
      <c r="D280" s="215" t="s">
        <v>1836</v>
      </c>
      <c r="E280" s="215" t="s">
        <v>2022</v>
      </c>
      <c r="F280" s="215" t="s">
        <v>1928</v>
      </c>
      <c r="G280" s="215" t="s">
        <v>88</v>
      </c>
      <c r="H280" s="216" t="s">
        <v>2096</v>
      </c>
      <c r="I280" s="217"/>
      <c r="J280" s="217"/>
      <c r="K280" s="217"/>
      <c r="L280" s="217"/>
      <c r="M280" s="217"/>
      <c r="N280" s="217"/>
      <c r="O280" s="217"/>
      <c r="P280" s="217"/>
      <c r="Q280" s="218"/>
    </row>
    <row r="281" spans="1:17" s="219" customFormat="1" ht="30" hidden="1" x14ac:dyDescent="0.25">
      <c r="A281" s="214"/>
      <c r="B281" s="215" t="s">
        <v>1822</v>
      </c>
      <c r="C281" s="215" t="s">
        <v>1823</v>
      </c>
      <c r="D281" s="215" t="s">
        <v>1836</v>
      </c>
      <c r="E281" s="215" t="s">
        <v>2022</v>
      </c>
      <c r="F281" s="215" t="s">
        <v>1928</v>
      </c>
      <c r="G281" s="215" t="s">
        <v>92</v>
      </c>
      <c r="H281" s="216" t="s">
        <v>2097</v>
      </c>
      <c r="I281" s="217"/>
      <c r="J281" s="217"/>
      <c r="K281" s="217"/>
      <c r="L281" s="217"/>
      <c r="M281" s="217"/>
      <c r="N281" s="217"/>
      <c r="O281" s="217"/>
      <c r="P281" s="217"/>
      <c r="Q281" s="218"/>
    </row>
    <row r="282" spans="1:17" s="219" customFormat="1" ht="30" x14ac:dyDescent="0.25">
      <c r="A282" s="214"/>
      <c r="B282" s="215" t="s">
        <v>1822</v>
      </c>
      <c r="C282" s="215" t="s">
        <v>1823</v>
      </c>
      <c r="D282" s="215" t="s">
        <v>1836</v>
      </c>
      <c r="E282" s="215" t="s">
        <v>2022</v>
      </c>
      <c r="F282" s="215" t="s">
        <v>1928</v>
      </c>
      <c r="G282" s="215" t="s">
        <v>96</v>
      </c>
      <c r="H282" s="216" t="s">
        <v>2098</v>
      </c>
      <c r="I282" s="217"/>
      <c r="J282" s="217"/>
      <c r="K282" s="217"/>
      <c r="L282" s="217"/>
      <c r="M282" s="217"/>
      <c r="N282" s="217"/>
      <c r="O282" s="217"/>
      <c r="P282" s="217"/>
      <c r="Q282" s="218"/>
    </row>
    <row r="283" spans="1:17" s="213" customFormat="1" x14ac:dyDescent="0.25">
      <c r="A283" s="208" t="s">
        <v>2099</v>
      </c>
      <c r="B283" s="209" t="s">
        <v>1822</v>
      </c>
      <c r="C283" s="209" t="s">
        <v>1823</v>
      </c>
      <c r="D283" s="209" t="s">
        <v>1836</v>
      </c>
      <c r="E283" s="209" t="s">
        <v>2100</v>
      </c>
      <c r="F283" s="209"/>
      <c r="G283" s="209"/>
      <c r="H283" s="210" t="s">
        <v>2101</v>
      </c>
      <c r="I283" s="211">
        <f>SUM(I284+I314)</f>
        <v>2600000</v>
      </c>
      <c r="J283" s="211">
        <f t="shared" ref="J283:P283" si="32">SUM(J284+J314)</f>
        <v>520000</v>
      </c>
      <c r="K283" s="211">
        <f t="shared" si="32"/>
        <v>260000</v>
      </c>
      <c r="L283" s="211">
        <f t="shared" si="32"/>
        <v>0</v>
      </c>
      <c r="M283" s="211">
        <f t="shared" si="32"/>
        <v>260000</v>
      </c>
      <c r="N283" s="211">
        <f t="shared" si="32"/>
        <v>1733333.3333333335</v>
      </c>
      <c r="O283" s="211">
        <f t="shared" si="32"/>
        <v>866666.66666666651</v>
      </c>
      <c r="P283" s="211">
        <f t="shared" si="32"/>
        <v>0</v>
      </c>
      <c r="Q283" s="212"/>
    </row>
    <row r="284" spans="1:17" s="213" customFormat="1" x14ac:dyDescent="0.25">
      <c r="A284" s="208" t="s">
        <v>263</v>
      </c>
      <c r="B284" s="209" t="s">
        <v>1822</v>
      </c>
      <c r="C284" s="209" t="s">
        <v>1823</v>
      </c>
      <c r="D284" s="209" t="s">
        <v>1836</v>
      </c>
      <c r="E284" s="209" t="s">
        <v>2100</v>
      </c>
      <c r="F284" s="209" t="s">
        <v>1825</v>
      </c>
      <c r="G284" s="209"/>
      <c r="H284" s="210" t="s">
        <v>2102</v>
      </c>
      <c r="I284" s="211">
        <f>SUM(I285:I313)</f>
        <v>2600000</v>
      </c>
      <c r="J284" s="211">
        <f t="shared" ref="J284:P284" si="33">SUM(J285:J313)</f>
        <v>520000</v>
      </c>
      <c r="K284" s="211">
        <f t="shared" si="33"/>
        <v>260000</v>
      </c>
      <c r="L284" s="211">
        <f t="shared" si="33"/>
        <v>0</v>
      </c>
      <c r="M284" s="211">
        <f t="shared" si="33"/>
        <v>260000</v>
      </c>
      <c r="N284" s="211">
        <f t="shared" si="33"/>
        <v>1733333.3333333335</v>
      </c>
      <c r="O284" s="211">
        <f t="shared" si="33"/>
        <v>866666.66666666651</v>
      </c>
      <c r="P284" s="211">
        <f t="shared" si="33"/>
        <v>0</v>
      </c>
      <c r="Q284" s="212"/>
    </row>
    <row r="285" spans="1:17" s="219" customFormat="1" x14ac:dyDescent="0.25">
      <c r="A285" s="214"/>
      <c r="B285" s="215" t="s">
        <v>1822</v>
      </c>
      <c r="C285" s="215" t="s">
        <v>1823</v>
      </c>
      <c r="D285" s="215" t="s">
        <v>1836</v>
      </c>
      <c r="E285" s="215" t="s">
        <v>2100</v>
      </c>
      <c r="F285" s="215" t="s">
        <v>1825</v>
      </c>
      <c r="G285" s="215" t="s">
        <v>58</v>
      </c>
      <c r="H285" s="216" t="s">
        <v>2103</v>
      </c>
      <c r="I285" s="217">
        <v>2600000</v>
      </c>
      <c r="J285" s="217">
        <v>520000</v>
      </c>
      <c r="K285" s="217">
        <v>260000</v>
      </c>
      <c r="L285" s="217"/>
      <c r="M285" s="217">
        <v>260000</v>
      </c>
      <c r="N285" s="217">
        <v>1733333.3333333335</v>
      </c>
      <c r="O285" s="217">
        <v>866666.66666666651</v>
      </c>
      <c r="P285" s="217"/>
      <c r="Q285" s="218"/>
    </row>
    <row r="286" spans="1:17" s="219" customFormat="1" x14ac:dyDescent="0.25">
      <c r="A286" s="214"/>
      <c r="B286" s="215" t="s">
        <v>1822</v>
      </c>
      <c r="C286" s="215" t="s">
        <v>1823</v>
      </c>
      <c r="D286" s="215" t="s">
        <v>1836</v>
      </c>
      <c r="E286" s="215" t="s">
        <v>2100</v>
      </c>
      <c r="F286" s="215" t="s">
        <v>1825</v>
      </c>
      <c r="G286" s="215" t="s">
        <v>75</v>
      </c>
      <c r="H286" s="216" t="s">
        <v>2104</v>
      </c>
      <c r="I286" s="217"/>
      <c r="J286" s="217"/>
      <c r="K286" s="217"/>
      <c r="L286" s="217"/>
      <c r="M286" s="217"/>
      <c r="N286" s="217"/>
      <c r="O286" s="217"/>
      <c r="P286" s="217"/>
      <c r="Q286" s="218"/>
    </row>
    <row r="287" spans="1:17" s="219" customFormat="1" hidden="1" x14ac:dyDescent="0.25">
      <c r="A287" s="214"/>
      <c r="B287" s="215" t="s">
        <v>1822</v>
      </c>
      <c r="C287" s="215" t="s">
        <v>1823</v>
      </c>
      <c r="D287" s="215" t="s">
        <v>1836</v>
      </c>
      <c r="E287" s="215" t="s">
        <v>2100</v>
      </c>
      <c r="F287" s="215" t="s">
        <v>1825</v>
      </c>
      <c r="G287" s="215" t="s">
        <v>79</v>
      </c>
      <c r="H287" s="216" t="s">
        <v>2105</v>
      </c>
      <c r="I287" s="217"/>
      <c r="J287" s="217"/>
      <c r="K287" s="217"/>
      <c r="L287" s="217"/>
      <c r="M287" s="217"/>
      <c r="N287" s="217"/>
      <c r="O287" s="217"/>
      <c r="P287" s="217"/>
      <c r="Q287" s="218"/>
    </row>
    <row r="288" spans="1:17" s="219" customFormat="1" hidden="1" x14ac:dyDescent="0.25">
      <c r="A288" s="214"/>
      <c r="B288" s="215" t="s">
        <v>1822</v>
      </c>
      <c r="C288" s="215" t="s">
        <v>1823</v>
      </c>
      <c r="D288" s="215" t="s">
        <v>1836</v>
      </c>
      <c r="E288" s="215" t="s">
        <v>2100</v>
      </c>
      <c r="F288" s="215" t="s">
        <v>1825</v>
      </c>
      <c r="G288" s="215" t="s">
        <v>84</v>
      </c>
      <c r="H288" s="216" t="s">
        <v>2106</v>
      </c>
      <c r="I288" s="217"/>
      <c r="J288" s="217"/>
      <c r="K288" s="217"/>
      <c r="L288" s="217"/>
      <c r="M288" s="217"/>
      <c r="N288" s="217"/>
      <c r="O288" s="217"/>
      <c r="P288" s="217"/>
      <c r="Q288" s="218"/>
    </row>
    <row r="289" spans="1:17" s="219" customFormat="1" ht="30" hidden="1" x14ac:dyDescent="0.25">
      <c r="A289" s="214"/>
      <c r="B289" s="215" t="s">
        <v>1822</v>
      </c>
      <c r="C289" s="215" t="s">
        <v>1823</v>
      </c>
      <c r="D289" s="215" t="s">
        <v>1836</v>
      </c>
      <c r="E289" s="215" t="s">
        <v>2100</v>
      </c>
      <c r="F289" s="215" t="s">
        <v>1825</v>
      </c>
      <c r="G289" s="215" t="s">
        <v>88</v>
      </c>
      <c r="H289" s="216" t="s">
        <v>2107</v>
      </c>
      <c r="I289" s="217"/>
      <c r="J289" s="217"/>
      <c r="K289" s="217"/>
      <c r="L289" s="217"/>
      <c r="M289" s="217"/>
      <c r="N289" s="217"/>
      <c r="O289" s="217"/>
      <c r="P289" s="217"/>
      <c r="Q289" s="218"/>
    </row>
    <row r="290" spans="1:17" s="219" customFormat="1" hidden="1" x14ac:dyDescent="0.25">
      <c r="A290" s="214"/>
      <c r="B290" s="215" t="s">
        <v>1822</v>
      </c>
      <c r="C290" s="215" t="s">
        <v>1823</v>
      </c>
      <c r="D290" s="215" t="s">
        <v>1836</v>
      </c>
      <c r="E290" s="215" t="s">
        <v>2100</v>
      </c>
      <c r="F290" s="215" t="s">
        <v>1825</v>
      </c>
      <c r="G290" s="215" t="s">
        <v>92</v>
      </c>
      <c r="H290" s="216" t="s">
        <v>2108</v>
      </c>
      <c r="I290" s="217"/>
      <c r="J290" s="217"/>
      <c r="K290" s="217"/>
      <c r="L290" s="217"/>
      <c r="M290" s="217"/>
      <c r="N290" s="217"/>
      <c r="O290" s="217"/>
      <c r="P290" s="217"/>
      <c r="Q290" s="218"/>
    </row>
    <row r="291" spans="1:17" s="219" customFormat="1" hidden="1" x14ac:dyDescent="0.25">
      <c r="A291" s="214"/>
      <c r="B291" s="215" t="s">
        <v>1822</v>
      </c>
      <c r="C291" s="215" t="s">
        <v>1823</v>
      </c>
      <c r="D291" s="215" t="s">
        <v>1836</v>
      </c>
      <c r="E291" s="215" t="s">
        <v>2100</v>
      </c>
      <c r="F291" s="215" t="s">
        <v>1825</v>
      </c>
      <c r="G291" s="215" t="s">
        <v>96</v>
      </c>
      <c r="H291" s="216" t="s">
        <v>2109</v>
      </c>
      <c r="I291" s="217"/>
      <c r="J291" s="217"/>
      <c r="K291" s="217"/>
      <c r="L291" s="217"/>
      <c r="M291" s="217"/>
      <c r="N291" s="217"/>
      <c r="O291" s="217"/>
      <c r="P291" s="217"/>
      <c r="Q291" s="218"/>
    </row>
    <row r="292" spans="1:17" s="219" customFormat="1" ht="30" hidden="1" x14ac:dyDescent="0.25">
      <c r="A292" s="214"/>
      <c r="B292" s="215" t="s">
        <v>1822</v>
      </c>
      <c r="C292" s="215" t="s">
        <v>1823</v>
      </c>
      <c r="D292" s="215" t="s">
        <v>1836</v>
      </c>
      <c r="E292" s="215" t="s">
        <v>2100</v>
      </c>
      <c r="F292" s="215" t="s">
        <v>1825</v>
      </c>
      <c r="G292" s="215" t="s">
        <v>100</v>
      </c>
      <c r="H292" s="216" t="s">
        <v>2110</v>
      </c>
      <c r="I292" s="217"/>
      <c r="J292" s="217"/>
      <c r="K292" s="217"/>
      <c r="L292" s="217"/>
      <c r="M292" s="217"/>
      <c r="N292" s="217"/>
      <c r="O292" s="217"/>
      <c r="P292" s="217"/>
      <c r="Q292" s="218"/>
    </row>
    <row r="293" spans="1:17" s="219" customFormat="1" ht="30" hidden="1" x14ac:dyDescent="0.25">
      <c r="A293" s="214"/>
      <c r="B293" s="215" t="s">
        <v>1822</v>
      </c>
      <c r="C293" s="215" t="s">
        <v>1823</v>
      </c>
      <c r="D293" s="215" t="s">
        <v>1836</v>
      </c>
      <c r="E293" s="215" t="s">
        <v>2100</v>
      </c>
      <c r="F293" s="215" t="s">
        <v>1825</v>
      </c>
      <c r="G293" s="215" t="s">
        <v>105</v>
      </c>
      <c r="H293" s="216" t="s">
        <v>2111</v>
      </c>
      <c r="I293" s="217"/>
      <c r="J293" s="217"/>
      <c r="K293" s="217"/>
      <c r="L293" s="217"/>
      <c r="M293" s="217"/>
      <c r="N293" s="217"/>
      <c r="O293" s="217"/>
      <c r="P293" s="217"/>
      <c r="Q293" s="218"/>
    </row>
    <row r="294" spans="1:17" s="219" customFormat="1" hidden="1" x14ac:dyDescent="0.25">
      <c r="A294" s="214"/>
      <c r="B294" s="215" t="s">
        <v>1822</v>
      </c>
      <c r="C294" s="215" t="s">
        <v>1823</v>
      </c>
      <c r="D294" s="215" t="s">
        <v>1836</v>
      </c>
      <c r="E294" s="215" t="s">
        <v>2100</v>
      </c>
      <c r="F294" s="215" t="s">
        <v>1825</v>
      </c>
      <c r="G294" s="215" t="s">
        <v>108</v>
      </c>
      <c r="H294" s="216" t="s">
        <v>2112</v>
      </c>
      <c r="I294" s="217"/>
      <c r="J294" s="217"/>
      <c r="K294" s="217"/>
      <c r="L294" s="217"/>
      <c r="M294" s="217"/>
      <c r="N294" s="217"/>
      <c r="O294" s="217"/>
      <c r="P294" s="217"/>
      <c r="Q294" s="218"/>
    </row>
    <row r="295" spans="1:17" s="219" customFormat="1" hidden="1" x14ac:dyDescent="0.25">
      <c r="A295" s="214"/>
      <c r="B295" s="215" t="s">
        <v>1822</v>
      </c>
      <c r="C295" s="215" t="s">
        <v>1823</v>
      </c>
      <c r="D295" s="215" t="s">
        <v>1836</v>
      </c>
      <c r="E295" s="215" t="s">
        <v>2100</v>
      </c>
      <c r="F295" s="215" t="s">
        <v>1825</v>
      </c>
      <c r="G295" s="215" t="s">
        <v>135</v>
      </c>
      <c r="H295" s="216" t="s">
        <v>2113</v>
      </c>
      <c r="I295" s="217"/>
      <c r="J295" s="217"/>
      <c r="K295" s="217"/>
      <c r="L295" s="217"/>
      <c r="M295" s="217"/>
      <c r="N295" s="217"/>
      <c r="O295" s="217"/>
      <c r="P295" s="217"/>
      <c r="Q295" s="218"/>
    </row>
    <row r="296" spans="1:17" s="219" customFormat="1" hidden="1" x14ac:dyDescent="0.25">
      <c r="A296" s="214"/>
      <c r="B296" s="215" t="s">
        <v>1822</v>
      </c>
      <c r="C296" s="215" t="s">
        <v>1823</v>
      </c>
      <c r="D296" s="215" t="s">
        <v>1836</v>
      </c>
      <c r="E296" s="215" t="s">
        <v>2100</v>
      </c>
      <c r="F296" s="215" t="s">
        <v>1825</v>
      </c>
      <c r="G296" s="215" t="s">
        <v>138</v>
      </c>
      <c r="H296" s="216" t="s">
        <v>2114</v>
      </c>
      <c r="I296" s="217"/>
      <c r="J296" s="217"/>
      <c r="K296" s="217"/>
      <c r="L296" s="217"/>
      <c r="M296" s="217"/>
      <c r="N296" s="217"/>
      <c r="O296" s="217"/>
      <c r="P296" s="217"/>
      <c r="Q296" s="218"/>
    </row>
    <row r="297" spans="1:17" s="219" customFormat="1" hidden="1" x14ac:dyDescent="0.25">
      <c r="A297" s="214"/>
      <c r="B297" s="215" t="s">
        <v>1822</v>
      </c>
      <c r="C297" s="215" t="s">
        <v>1823</v>
      </c>
      <c r="D297" s="215" t="s">
        <v>1836</v>
      </c>
      <c r="E297" s="215" t="s">
        <v>2100</v>
      </c>
      <c r="F297" s="215" t="s">
        <v>1825</v>
      </c>
      <c r="G297" s="215" t="s">
        <v>140</v>
      </c>
      <c r="H297" s="216" t="s">
        <v>2115</v>
      </c>
      <c r="I297" s="217"/>
      <c r="J297" s="217"/>
      <c r="K297" s="217"/>
      <c r="L297" s="217"/>
      <c r="M297" s="217"/>
      <c r="N297" s="217"/>
      <c r="O297" s="217"/>
      <c r="P297" s="217"/>
      <c r="Q297" s="218"/>
    </row>
    <row r="298" spans="1:17" s="219" customFormat="1" hidden="1" x14ac:dyDescent="0.25">
      <c r="A298" s="214"/>
      <c r="B298" s="215" t="s">
        <v>1822</v>
      </c>
      <c r="C298" s="215" t="s">
        <v>1823</v>
      </c>
      <c r="D298" s="215" t="s">
        <v>1836</v>
      </c>
      <c r="E298" s="215" t="s">
        <v>2100</v>
      </c>
      <c r="F298" s="215" t="s">
        <v>1825</v>
      </c>
      <c r="G298" s="215" t="s">
        <v>143</v>
      </c>
      <c r="H298" s="216" t="s">
        <v>2116</v>
      </c>
      <c r="I298" s="217"/>
      <c r="J298" s="217"/>
      <c r="K298" s="217"/>
      <c r="L298" s="217"/>
      <c r="M298" s="217"/>
      <c r="N298" s="217"/>
      <c r="O298" s="217"/>
      <c r="P298" s="217"/>
      <c r="Q298" s="218"/>
    </row>
    <row r="299" spans="1:17" s="219" customFormat="1" hidden="1" x14ac:dyDescent="0.25">
      <c r="A299" s="214"/>
      <c r="B299" s="215" t="s">
        <v>1822</v>
      </c>
      <c r="C299" s="215" t="s">
        <v>1823</v>
      </c>
      <c r="D299" s="215" t="s">
        <v>1836</v>
      </c>
      <c r="E299" s="215" t="s">
        <v>2100</v>
      </c>
      <c r="F299" s="215" t="s">
        <v>1825</v>
      </c>
      <c r="G299" s="215" t="s">
        <v>146</v>
      </c>
      <c r="H299" s="216" t="s">
        <v>2117</v>
      </c>
      <c r="I299" s="217"/>
      <c r="J299" s="217"/>
      <c r="K299" s="217"/>
      <c r="L299" s="217"/>
      <c r="M299" s="217"/>
      <c r="N299" s="217"/>
      <c r="O299" s="217"/>
      <c r="P299" s="217"/>
      <c r="Q299" s="218"/>
    </row>
    <row r="300" spans="1:17" s="219" customFormat="1" hidden="1" x14ac:dyDescent="0.25">
      <c r="A300" s="214"/>
      <c r="B300" s="215" t="s">
        <v>1822</v>
      </c>
      <c r="C300" s="215" t="s">
        <v>1823</v>
      </c>
      <c r="D300" s="215" t="s">
        <v>1836</v>
      </c>
      <c r="E300" s="215" t="s">
        <v>2100</v>
      </c>
      <c r="F300" s="215" t="s">
        <v>1825</v>
      </c>
      <c r="G300" s="215" t="s">
        <v>150</v>
      </c>
      <c r="H300" s="216" t="s">
        <v>2118</v>
      </c>
      <c r="I300" s="217"/>
      <c r="J300" s="217"/>
      <c r="K300" s="217"/>
      <c r="L300" s="217"/>
      <c r="M300" s="217"/>
      <c r="N300" s="217"/>
      <c r="O300" s="217"/>
      <c r="P300" s="217"/>
      <c r="Q300" s="218"/>
    </row>
    <row r="301" spans="1:17" s="219" customFormat="1" hidden="1" x14ac:dyDescent="0.25">
      <c r="A301" s="214"/>
      <c r="B301" s="215" t="s">
        <v>1822</v>
      </c>
      <c r="C301" s="215" t="s">
        <v>1823</v>
      </c>
      <c r="D301" s="215" t="s">
        <v>1836</v>
      </c>
      <c r="E301" s="215" t="s">
        <v>2100</v>
      </c>
      <c r="F301" s="215" t="s">
        <v>1825</v>
      </c>
      <c r="G301" s="215" t="s">
        <v>153</v>
      </c>
      <c r="H301" s="216" t="s">
        <v>2119</v>
      </c>
      <c r="I301" s="217"/>
      <c r="J301" s="217"/>
      <c r="K301" s="217"/>
      <c r="L301" s="217"/>
      <c r="M301" s="217"/>
      <c r="N301" s="217"/>
      <c r="O301" s="217"/>
      <c r="P301" s="217"/>
      <c r="Q301" s="218"/>
    </row>
    <row r="302" spans="1:17" s="219" customFormat="1" hidden="1" x14ac:dyDescent="0.25">
      <c r="A302" s="214"/>
      <c r="B302" s="215" t="s">
        <v>1822</v>
      </c>
      <c r="C302" s="215" t="s">
        <v>1823</v>
      </c>
      <c r="D302" s="215" t="s">
        <v>1836</v>
      </c>
      <c r="E302" s="215" t="s">
        <v>2100</v>
      </c>
      <c r="F302" s="215" t="s">
        <v>1825</v>
      </c>
      <c r="G302" s="215" t="s">
        <v>156</v>
      </c>
      <c r="H302" s="216" t="s">
        <v>2120</v>
      </c>
      <c r="I302" s="217"/>
      <c r="J302" s="217"/>
      <c r="K302" s="217"/>
      <c r="L302" s="217"/>
      <c r="M302" s="217"/>
      <c r="N302" s="217"/>
      <c r="O302" s="217"/>
      <c r="P302" s="217"/>
      <c r="Q302" s="218"/>
    </row>
    <row r="303" spans="1:17" s="219" customFormat="1" hidden="1" x14ac:dyDescent="0.25">
      <c r="A303" s="214"/>
      <c r="B303" s="215" t="s">
        <v>1822</v>
      </c>
      <c r="C303" s="215" t="s">
        <v>1823</v>
      </c>
      <c r="D303" s="215" t="s">
        <v>1836</v>
      </c>
      <c r="E303" s="215" t="s">
        <v>2100</v>
      </c>
      <c r="F303" s="215" t="s">
        <v>1825</v>
      </c>
      <c r="G303" s="215" t="s">
        <v>159</v>
      </c>
      <c r="H303" s="216" t="s">
        <v>2121</v>
      </c>
      <c r="I303" s="217"/>
      <c r="J303" s="217"/>
      <c r="K303" s="217"/>
      <c r="L303" s="217"/>
      <c r="M303" s="217"/>
      <c r="N303" s="217"/>
      <c r="O303" s="217"/>
      <c r="P303" s="217"/>
      <c r="Q303" s="218"/>
    </row>
    <row r="304" spans="1:17" s="219" customFormat="1" hidden="1" x14ac:dyDescent="0.25">
      <c r="A304" s="214"/>
      <c r="B304" s="215" t="s">
        <v>1822</v>
      </c>
      <c r="C304" s="215" t="s">
        <v>1823</v>
      </c>
      <c r="D304" s="215" t="s">
        <v>1836</v>
      </c>
      <c r="E304" s="215" t="s">
        <v>2100</v>
      </c>
      <c r="F304" s="215" t="s">
        <v>1825</v>
      </c>
      <c r="G304" s="215" t="s">
        <v>162</v>
      </c>
      <c r="H304" s="216" t="s">
        <v>2122</v>
      </c>
      <c r="I304" s="217"/>
      <c r="J304" s="217"/>
      <c r="K304" s="217"/>
      <c r="L304" s="217"/>
      <c r="M304" s="217"/>
      <c r="N304" s="217"/>
      <c r="O304" s="217"/>
      <c r="P304" s="217"/>
      <c r="Q304" s="218"/>
    </row>
    <row r="305" spans="1:17" s="219" customFormat="1" hidden="1" x14ac:dyDescent="0.25">
      <c r="A305" s="214"/>
      <c r="B305" s="215" t="s">
        <v>1822</v>
      </c>
      <c r="C305" s="215" t="s">
        <v>1823</v>
      </c>
      <c r="D305" s="215" t="s">
        <v>1836</v>
      </c>
      <c r="E305" s="215" t="s">
        <v>2100</v>
      </c>
      <c r="F305" s="215" t="s">
        <v>1825</v>
      </c>
      <c r="G305" s="215" t="s">
        <v>312</v>
      </c>
      <c r="H305" s="216" t="s">
        <v>2123</v>
      </c>
      <c r="I305" s="217"/>
      <c r="J305" s="217"/>
      <c r="K305" s="217"/>
      <c r="L305" s="217"/>
      <c r="M305" s="217"/>
      <c r="N305" s="217"/>
      <c r="O305" s="217"/>
      <c r="P305" s="217"/>
      <c r="Q305" s="218"/>
    </row>
    <row r="306" spans="1:17" s="219" customFormat="1" hidden="1" x14ac:dyDescent="0.25">
      <c r="A306" s="214"/>
      <c r="B306" s="215" t="s">
        <v>1822</v>
      </c>
      <c r="C306" s="215" t="s">
        <v>1823</v>
      </c>
      <c r="D306" s="215" t="s">
        <v>1836</v>
      </c>
      <c r="E306" s="215" t="s">
        <v>2100</v>
      </c>
      <c r="F306" s="215" t="s">
        <v>1825</v>
      </c>
      <c r="G306" s="215" t="s">
        <v>313</v>
      </c>
      <c r="H306" s="216" t="s">
        <v>2124</v>
      </c>
      <c r="I306" s="217"/>
      <c r="J306" s="217"/>
      <c r="K306" s="217"/>
      <c r="L306" s="217"/>
      <c r="M306" s="217"/>
      <c r="N306" s="217"/>
      <c r="O306" s="217"/>
      <c r="P306" s="217"/>
      <c r="Q306" s="218"/>
    </row>
    <row r="307" spans="1:17" s="219" customFormat="1" hidden="1" x14ac:dyDescent="0.25">
      <c r="A307" s="214"/>
      <c r="B307" s="215" t="s">
        <v>1822</v>
      </c>
      <c r="C307" s="215" t="s">
        <v>1823</v>
      </c>
      <c r="D307" s="215" t="s">
        <v>1836</v>
      </c>
      <c r="E307" s="215" t="s">
        <v>2100</v>
      </c>
      <c r="F307" s="215" t="s">
        <v>1825</v>
      </c>
      <c r="G307" s="215" t="s">
        <v>559</v>
      </c>
      <c r="H307" s="216" t="s">
        <v>2125</v>
      </c>
      <c r="I307" s="217"/>
      <c r="J307" s="217"/>
      <c r="K307" s="217"/>
      <c r="L307" s="217"/>
      <c r="M307" s="217"/>
      <c r="N307" s="217"/>
      <c r="O307" s="217"/>
      <c r="P307" s="217"/>
      <c r="Q307" s="218"/>
    </row>
    <row r="308" spans="1:17" s="219" customFormat="1" hidden="1" x14ac:dyDescent="0.25">
      <c r="A308" s="214"/>
      <c r="B308" s="215" t="s">
        <v>1822</v>
      </c>
      <c r="C308" s="215" t="s">
        <v>1823</v>
      </c>
      <c r="D308" s="215" t="s">
        <v>1836</v>
      </c>
      <c r="E308" s="215" t="s">
        <v>2100</v>
      </c>
      <c r="F308" s="215" t="s">
        <v>1825</v>
      </c>
      <c r="G308" s="215" t="s">
        <v>561</v>
      </c>
      <c r="H308" s="216" t="s">
        <v>2126</v>
      </c>
      <c r="I308" s="217"/>
      <c r="J308" s="217"/>
      <c r="K308" s="217"/>
      <c r="L308" s="217"/>
      <c r="M308" s="217"/>
      <c r="N308" s="217"/>
      <c r="O308" s="217"/>
      <c r="P308" s="217"/>
      <c r="Q308" s="218"/>
    </row>
    <row r="309" spans="1:17" s="219" customFormat="1" hidden="1" x14ac:dyDescent="0.25">
      <c r="A309" s="214"/>
      <c r="B309" s="215" t="s">
        <v>1822</v>
      </c>
      <c r="C309" s="215" t="s">
        <v>1823</v>
      </c>
      <c r="D309" s="215" t="s">
        <v>1836</v>
      </c>
      <c r="E309" s="215" t="s">
        <v>2100</v>
      </c>
      <c r="F309" s="215" t="s">
        <v>1825</v>
      </c>
      <c r="G309" s="215" t="s">
        <v>563</v>
      </c>
      <c r="H309" s="216" t="s">
        <v>2127</v>
      </c>
      <c r="I309" s="217"/>
      <c r="J309" s="217"/>
      <c r="K309" s="217"/>
      <c r="L309" s="217"/>
      <c r="M309" s="217"/>
      <c r="N309" s="217"/>
      <c r="O309" s="217"/>
      <c r="P309" s="217"/>
      <c r="Q309" s="218"/>
    </row>
    <row r="310" spans="1:17" s="219" customFormat="1" hidden="1" x14ac:dyDescent="0.25">
      <c r="A310" s="214"/>
      <c r="B310" s="215" t="s">
        <v>1822</v>
      </c>
      <c r="C310" s="215" t="s">
        <v>1823</v>
      </c>
      <c r="D310" s="215" t="s">
        <v>1836</v>
      </c>
      <c r="E310" s="215" t="s">
        <v>2100</v>
      </c>
      <c r="F310" s="215" t="s">
        <v>1825</v>
      </c>
      <c r="G310" s="215" t="s">
        <v>227</v>
      </c>
      <c r="H310" s="216" t="s">
        <v>2128</v>
      </c>
      <c r="I310" s="217"/>
      <c r="J310" s="217"/>
      <c r="K310" s="217"/>
      <c r="L310" s="217"/>
      <c r="M310" s="217"/>
      <c r="N310" s="217"/>
      <c r="O310" s="217"/>
      <c r="P310" s="217"/>
      <c r="Q310" s="218"/>
    </row>
    <row r="311" spans="1:17" s="219" customFormat="1" hidden="1" x14ac:dyDescent="0.25">
      <c r="A311" s="214"/>
      <c r="B311" s="215" t="s">
        <v>1822</v>
      </c>
      <c r="C311" s="215" t="s">
        <v>1823</v>
      </c>
      <c r="D311" s="215" t="s">
        <v>1836</v>
      </c>
      <c r="E311" s="215" t="s">
        <v>2100</v>
      </c>
      <c r="F311" s="215" t="s">
        <v>1825</v>
      </c>
      <c r="G311" s="215" t="s">
        <v>230</v>
      </c>
      <c r="H311" s="216" t="s">
        <v>2129</v>
      </c>
      <c r="I311" s="217"/>
      <c r="J311" s="217"/>
      <c r="K311" s="217"/>
      <c r="L311" s="217"/>
      <c r="M311" s="217"/>
      <c r="N311" s="217"/>
      <c r="O311" s="217"/>
      <c r="P311" s="217"/>
      <c r="Q311" s="218"/>
    </row>
    <row r="312" spans="1:17" s="219" customFormat="1" hidden="1" x14ac:dyDescent="0.25">
      <c r="A312" s="214"/>
      <c r="B312" s="215" t="s">
        <v>1822</v>
      </c>
      <c r="C312" s="215" t="s">
        <v>1823</v>
      </c>
      <c r="D312" s="215" t="s">
        <v>1836</v>
      </c>
      <c r="E312" s="215" t="s">
        <v>2100</v>
      </c>
      <c r="F312" s="215" t="s">
        <v>1825</v>
      </c>
      <c r="G312" s="215" t="s">
        <v>232</v>
      </c>
      <c r="H312" s="216" t="s">
        <v>2130</v>
      </c>
      <c r="I312" s="217"/>
      <c r="J312" s="217"/>
      <c r="K312" s="217"/>
      <c r="L312" s="217"/>
      <c r="M312" s="217"/>
      <c r="N312" s="217"/>
      <c r="O312" s="217"/>
      <c r="P312" s="217"/>
      <c r="Q312" s="218"/>
    </row>
    <row r="313" spans="1:17" s="219" customFormat="1" hidden="1" x14ac:dyDescent="0.25">
      <c r="A313" s="214"/>
      <c r="B313" s="215" t="s">
        <v>1822</v>
      </c>
      <c r="C313" s="215" t="s">
        <v>1823</v>
      </c>
      <c r="D313" s="215" t="s">
        <v>1836</v>
      </c>
      <c r="E313" s="215" t="s">
        <v>2100</v>
      </c>
      <c r="F313" s="215" t="s">
        <v>1825</v>
      </c>
      <c r="G313" s="215" t="s">
        <v>234</v>
      </c>
      <c r="H313" s="216" t="s">
        <v>2131</v>
      </c>
      <c r="I313" s="217"/>
      <c r="J313" s="217"/>
      <c r="K313" s="217"/>
      <c r="L313" s="217"/>
      <c r="M313" s="217"/>
      <c r="N313" s="217"/>
      <c r="O313" s="217"/>
      <c r="P313" s="217"/>
      <c r="Q313" s="218"/>
    </row>
    <row r="314" spans="1:17" s="213" customFormat="1" hidden="1" x14ac:dyDescent="0.25">
      <c r="A314" s="208" t="s">
        <v>263</v>
      </c>
      <c r="B314" s="209" t="s">
        <v>1822</v>
      </c>
      <c r="C314" s="209" t="s">
        <v>1823</v>
      </c>
      <c r="D314" s="209" t="s">
        <v>1836</v>
      </c>
      <c r="E314" s="209" t="s">
        <v>2100</v>
      </c>
      <c r="F314" s="209" t="s">
        <v>1836</v>
      </c>
      <c r="G314" s="209"/>
      <c r="H314" s="210" t="s">
        <v>2132</v>
      </c>
      <c r="I314" s="211">
        <f>SUM(I315:I319)</f>
        <v>0</v>
      </c>
      <c r="J314" s="211">
        <f t="shared" ref="J314:P314" si="34">SUM(J315:J319)</f>
        <v>0</v>
      </c>
      <c r="K314" s="211">
        <f t="shared" si="34"/>
        <v>0</v>
      </c>
      <c r="L314" s="211">
        <f t="shared" si="34"/>
        <v>0</v>
      </c>
      <c r="M314" s="211">
        <f t="shared" si="34"/>
        <v>0</v>
      </c>
      <c r="N314" s="211">
        <f t="shared" si="34"/>
        <v>0</v>
      </c>
      <c r="O314" s="211">
        <f t="shared" si="34"/>
        <v>0</v>
      </c>
      <c r="P314" s="211">
        <f t="shared" si="34"/>
        <v>0</v>
      </c>
      <c r="Q314" s="212"/>
    </row>
    <row r="315" spans="1:17" s="219" customFormat="1" hidden="1" x14ac:dyDescent="0.25">
      <c r="A315" s="214"/>
      <c r="B315" s="215" t="s">
        <v>1822</v>
      </c>
      <c r="C315" s="215" t="s">
        <v>1823</v>
      </c>
      <c r="D315" s="215" t="s">
        <v>1836</v>
      </c>
      <c r="E315" s="215" t="s">
        <v>2100</v>
      </c>
      <c r="F315" s="215" t="s">
        <v>1836</v>
      </c>
      <c r="G315" s="215" t="s">
        <v>58</v>
      </c>
      <c r="H315" s="216" t="s">
        <v>2133</v>
      </c>
      <c r="I315" s="217"/>
      <c r="J315" s="217"/>
      <c r="K315" s="217"/>
      <c r="L315" s="217"/>
      <c r="M315" s="217"/>
      <c r="N315" s="217"/>
      <c r="O315" s="217"/>
      <c r="P315" s="217"/>
      <c r="Q315" s="218"/>
    </row>
    <row r="316" spans="1:17" s="219" customFormat="1" hidden="1" x14ac:dyDescent="0.25">
      <c r="A316" s="214"/>
      <c r="B316" s="215" t="s">
        <v>1822</v>
      </c>
      <c r="C316" s="215" t="s">
        <v>1823</v>
      </c>
      <c r="D316" s="215" t="s">
        <v>1836</v>
      </c>
      <c r="E316" s="215" t="s">
        <v>2100</v>
      </c>
      <c r="F316" s="215" t="s">
        <v>1836</v>
      </c>
      <c r="G316" s="215" t="s">
        <v>75</v>
      </c>
      <c r="H316" s="216" t="s">
        <v>2134</v>
      </c>
      <c r="I316" s="217"/>
      <c r="J316" s="217"/>
      <c r="K316" s="217"/>
      <c r="L316" s="217"/>
      <c r="M316" s="217"/>
      <c r="N316" s="217"/>
      <c r="O316" s="217"/>
      <c r="P316" s="217"/>
      <c r="Q316" s="218"/>
    </row>
    <row r="317" spans="1:17" s="219" customFormat="1" hidden="1" x14ac:dyDescent="0.25">
      <c r="A317" s="214"/>
      <c r="B317" s="215" t="s">
        <v>1822</v>
      </c>
      <c r="C317" s="215" t="s">
        <v>1823</v>
      </c>
      <c r="D317" s="215" t="s">
        <v>1836</v>
      </c>
      <c r="E317" s="215" t="s">
        <v>2100</v>
      </c>
      <c r="F317" s="215" t="s">
        <v>1836</v>
      </c>
      <c r="G317" s="215" t="s">
        <v>79</v>
      </c>
      <c r="H317" s="216" t="s">
        <v>2135</v>
      </c>
      <c r="I317" s="217"/>
      <c r="J317" s="217"/>
      <c r="K317" s="217"/>
      <c r="L317" s="217"/>
      <c r="M317" s="217"/>
      <c r="N317" s="217"/>
      <c r="O317" s="217"/>
      <c r="P317" s="217"/>
      <c r="Q317" s="218"/>
    </row>
    <row r="318" spans="1:17" s="219" customFormat="1" hidden="1" x14ac:dyDescent="0.25">
      <c r="A318" s="214"/>
      <c r="B318" s="215" t="s">
        <v>1822</v>
      </c>
      <c r="C318" s="215" t="s">
        <v>1823</v>
      </c>
      <c r="D318" s="215" t="s">
        <v>1836</v>
      </c>
      <c r="E318" s="215" t="s">
        <v>2100</v>
      </c>
      <c r="F318" s="215" t="s">
        <v>1836</v>
      </c>
      <c r="G318" s="215" t="s">
        <v>84</v>
      </c>
      <c r="H318" s="216" t="s">
        <v>2136</v>
      </c>
      <c r="I318" s="217"/>
      <c r="J318" s="217"/>
      <c r="K318" s="217"/>
      <c r="L318" s="217"/>
      <c r="M318" s="217"/>
      <c r="N318" s="217"/>
      <c r="O318" s="217"/>
      <c r="P318" s="217"/>
      <c r="Q318" s="218"/>
    </row>
    <row r="319" spans="1:17" s="219" customFormat="1" hidden="1" x14ac:dyDescent="0.25">
      <c r="A319" s="214"/>
      <c r="B319" s="215" t="s">
        <v>1822</v>
      </c>
      <c r="C319" s="215" t="s">
        <v>1823</v>
      </c>
      <c r="D319" s="215" t="s">
        <v>1836</v>
      </c>
      <c r="E319" s="215" t="s">
        <v>2100</v>
      </c>
      <c r="F319" s="215" t="s">
        <v>1836</v>
      </c>
      <c r="G319" s="215" t="s">
        <v>88</v>
      </c>
      <c r="H319" s="216" t="s">
        <v>2137</v>
      </c>
      <c r="I319" s="217"/>
      <c r="J319" s="217"/>
      <c r="K319" s="217"/>
      <c r="L319" s="217"/>
      <c r="M319" s="217"/>
      <c r="N319" s="217"/>
      <c r="O319" s="217"/>
      <c r="P319" s="217"/>
      <c r="Q319" s="218"/>
    </row>
    <row r="320" spans="1:17" s="213" customFormat="1" hidden="1" x14ac:dyDescent="0.25">
      <c r="A320" s="208" t="s">
        <v>2138</v>
      </c>
      <c r="B320" s="209" t="s">
        <v>1822</v>
      </c>
      <c r="C320" s="209" t="s">
        <v>1823</v>
      </c>
      <c r="D320" s="209" t="s">
        <v>1836</v>
      </c>
      <c r="E320" s="209" t="s">
        <v>2139</v>
      </c>
      <c r="F320" s="209"/>
      <c r="G320" s="209"/>
      <c r="H320" s="210" t="s">
        <v>2140</v>
      </c>
      <c r="I320" s="211">
        <f>SUM(I321+I386+I393+I410+I421+I428+I433+I440+I457)</f>
        <v>0</v>
      </c>
      <c r="J320" s="211">
        <f t="shared" ref="J320:P320" si="35">SUM(J321+J386+J393+J410+J421+J428+J433+J440+J457)</f>
        <v>0</v>
      </c>
      <c r="K320" s="211">
        <f t="shared" si="35"/>
        <v>0</v>
      </c>
      <c r="L320" s="211">
        <f t="shared" si="35"/>
        <v>0</v>
      </c>
      <c r="M320" s="211">
        <f t="shared" si="35"/>
        <v>0</v>
      </c>
      <c r="N320" s="211">
        <f t="shared" si="35"/>
        <v>0</v>
      </c>
      <c r="O320" s="211">
        <f t="shared" si="35"/>
        <v>0</v>
      </c>
      <c r="P320" s="211">
        <f t="shared" si="35"/>
        <v>0</v>
      </c>
      <c r="Q320" s="212"/>
    </row>
    <row r="321" spans="1:17" s="213" customFormat="1" hidden="1" x14ac:dyDescent="0.25">
      <c r="A321" s="208" t="s">
        <v>263</v>
      </c>
      <c r="B321" s="209" t="s">
        <v>1822</v>
      </c>
      <c r="C321" s="209" t="s">
        <v>1823</v>
      </c>
      <c r="D321" s="209" t="s">
        <v>1836</v>
      </c>
      <c r="E321" s="209" t="s">
        <v>2139</v>
      </c>
      <c r="F321" s="209" t="s">
        <v>1825</v>
      </c>
      <c r="G321" s="209"/>
      <c r="H321" s="210" t="s">
        <v>2141</v>
      </c>
      <c r="I321" s="211">
        <f>SUM(I322:I385)</f>
        <v>0</v>
      </c>
      <c r="J321" s="211">
        <f t="shared" ref="J321:P321" si="36">SUM(J322:J385)</f>
        <v>0</v>
      </c>
      <c r="K321" s="211">
        <f t="shared" si="36"/>
        <v>0</v>
      </c>
      <c r="L321" s="211">
        <f t="shared" si="36"/>
        <v>0</v>
      </c>
      <c r="M321" s="211">
        <f t="shared" si="36"/>
        <v>0</v>
      </c>
      <c r="N321" s="211">
        <f t="shared" si="36"/>
        <v>0</v>
      </c>
      <c r="O321" s="211">
        <f t="shared" si="36"/>
        <v>0</v>
      </c>
      <c r="P321" s="211">
        <f t="shared" si="36"/>
        <v>0</v>
      </c>
      <c r="Q321" s="212"/>
    </row>
    <row r="322" spans="1:17" s="219" customFormat="1" ht="30" hidden="1" x14ac:dyDescent="0.25">
      <c r="A322" s="214"/>
      <c r="B322" s="215" t="s">
        <v>1822</v>
      </c>
      <c r="C322" s="215" t="s">
        <v>1823</v>
      </c>
      <c r="D322" s="215" t="s">
        <v>1836</v>
      </c>
      <c r="E322" s="215" t="s">
        <v>2139</v>
      </c>
      <c r="F322" s="215" t="s">
        <v>1825</v>
      </c>
      <c r="G322" s="215" t="s">
        <v>58</v>
      </c>
      <c r="H322" s="216" t="s">
        <v>2142</v>
      </c>
      <c r="I322" s="217"/>
      <c r="J322" s="217"/>
      <c r="K322" s="217"/>
      <c r="L322" s="217"/>
      <c r="M322" s="217"/>
      <c r="N322" s="217"/>
      <c r="O322" s="217"/>
      <c r="P322" s="217"/>
      <c r="Q322" s="218"/>
    </row>
    <row r="323" spans="1:17" s="219" customFormat="1" ht="30" hidden="1" x14ac:dyDescent="0.25">
      <c r="A323" s="214"/>
      <c r="B323" s="215" t="s">
        <v>1822</v>
      </c>
      <c r="C323" s="215" t="s">
        <v>1823</v>
      </c>
      <c r="D323" s="215" t="s">
        <v>1836</v>
      </c>
      <c r="E323" s="215" t="s">
        <v>2139</v>
      </c>
      <c r="F323" s="215" t="s">
        <v>1825</v>
      </c>
      <c r="G323" s="215" t="s">
        <v>75</v>
      </c>
      <c r="H323" s="216" t="s">
        <v>2143</v>
      </c>
      <c r="I323" s="217"/>
      <c r="J323" s="217"/>
      <c r="K323" s="217"/>
      <c r="L323" s="217"/>
      <c r="M323" s="217"/>
      <c r="N323" s="217"/>
      <c r="O323" s="217"/>
      <c r="P323" s="217"/>
      <c r="Q323" s="218"/>
    </row>
    <row r="324" spans="1:17" s="219" customFormat="1" hidden="1" x14ac:dyDescent="0.25">
      <c r="A324" s="214"/>
      <c r="B324" s="215" t="s">
        <v>1822</v>
      </c>
      <c r="C324" s="215" t="s">
        <v>1823</v>
      </c>
      <c r="D324" s="215" t="s">
        <v>1836</v>
      </c>
      <c r="E324" s="215" t="s">
        <v>2139</v>
      </c>
      <c r="F324" s="215" t="s">
        <v>1825</v>
      </c>
      <c r="G324" s="215" t="s">
        <v>79</v>
      </c>
      <c r="H324" s="216" t="s">
        <v>2144</v>
      </c>
      <c r="I324" s="217"/>
      <c r="J324" s="217"/>
      <c r="K324" s="217"/>
      <c r="L324" s="217"/>
      <c r="M324" s="217"/>
      <c r="N324" s="217"/>
      <c r="O324" s="217"/>
      <c r="P324" s="217"/>
      <c r="Q324" s="218"/>
    </row>
    <row r="325" spans="1:17" s="219" customFormat="1" hidden="1" x14ac:dyDescent="0.25">
      <c r="A325" s="214"/>
      <c r="B325" s="215" t="s">
        <v>1822</v>
      </c>
      <c r="C325" s="215" t="s">
        <v>1823</v>
      </c>
      <c r="D325" s="215" t="s">
        <v>1836</v>
      </c>
      <c r="E325" s="215" t="s">
        <v>2139</v>
      </c>
      <c r="F325" s="215" t="s">
        <v>1825</v>
      </c>
      <c r="G325" s="215" t="s">
        <v>84</v>
      </c>
      <c r="H325" s="216" t="s">
        <v>2145</v>
      </c>
      <c r="I325" s="217"/>
      <c r="J325" s="217"/>
      <c r="K325" s="217"/>
      <c r="L325" s="217"/>
      <c r="M325" s="217"/>
      <c r="N325" s="217"/>
      <c r="O325" s="217"/>
      <c r="P325" s="217"/>
      <c r="Q325" s="218"/>
    </row>
    <row r="326" spans="1:17" s="219" customFormat="1" hidden="1" x14ac:dyDescent="0.25">
      <c r="A326" s="214"/>
      <c r="B326" s="215" t="s">
        <v>1822</v>
      </c>
      <c r="C326" s="215" t="s">
        <v>1823</v>
      </c>
      <c r="D326" s="215" t="s">
        <v>1836</v>
      </c>
      <c r="E326" s="215" t="s">
        <v>2139</v>
      </c>
      <c r="F326" s="215" t="s">
        <v>1825</v>
      </c>
      <c r="G326" s="215" t="s">
        <v>88</v>
      </c>
      <c r="H326" s="216" t="s">
        <v>2146</v>
      </c>
      <c r="I326" s="217"/>
      <c r="J326" s="217"/>
      <c r="K326" s="217"/>
      <c r="L326" s="217"/>
      <c r="M326" s="217"/>
      <c r="N326" s="217"/>
      <c r="O326" s="217"/>
      <c r="P326" s="217"/>
      <c r="Q326" s="218"/>
    </row>
    <row r="327" spans="1:17" s="219" customFormat="1" ht="30" hidden="1" x14ac:dyDescent="0.25">
      <c r="A327" s="214"/>
      <c r="B327" s="215" t="s">
        <v>1822</v>
      </c>
      <c r="C327" s="215" t="s">
        <v>1823</v>
      </c>
      <c r="D327" s="215" t="s">
        <v>1836</v>
      </c>
      <c r="E327" s="215" t="s">
        <v>2139</v>
      </c>
      <c r="F327" s="215" t="s">
        <v>1825</v>
      </c>
      <c r="G327" s="215" t="s">
        <v>92</v>
      </c>
      <c r="H327" s="216" t="s">
        <v>2147</v>
      </c>
      <c r="I327" s="217"/>
      <c r="J327" s="217"/>
      <c r="K327" s="217"/>
      <c r="L327" s="217"/>
      <c r="M327" s="217"/>
      <c r="N327" s="217"/>
      <c r="O327" s="217"/>
      <c r="P327" s="217"/>
      <c r="Q327" s="218"/>
    </row>
    <row r="328" spans="1:17" s="219" customFormat="1" ht="30" hidden="1" x14ac:dyDescent="0.25">
      <c r="A328" s="214"/>
      <c r="B328" s="215" t="s">
        <v>1822</v>
      </c>
      <c r="C328" s="215" t="s">
        <v>1823</v>
      </c>
      <c r="D328" s="215" t="s">
        <v>1836</v>
      </c>
      <c r="E328" s="215" t="s">
        <v>2139</v>
      </c>
      <c r="F328" s="215" t="s">
        <v>1825</v>
      </c>
      <c r="G328" s="215" t="s">
        <v>96</v>
      </c>
      <c r="H328" s="216" t="s">
        <v>2148</v>
      </c>
      <c r="I328" s="217"/>
      <c r="J328" s="217"/>
      <c r="K328" s="217"/>
      <c r="L328" s="217"/>
      <c r="M328" s="217"/>
      <c r="N328" s="217"/>
      <c r="O328" s="217"/>
      <c r="P328" s="217"/>
      <c r="Q328" s="218"/>
    </row>
    <row r="329" spans="1:17" s="219" customFormat="1" ht="30" hidden="1" x14ac:dyDescent="0.25">
      <c r="A329" s="214"/>
      <c r="B329" s="215" t="s">
        <v>1822</v>
      </c>
      <c r="C329" s="215" t="s">
        <v>1823</v>
      </c>
      <c r="D329" s="215" t="s">
        <v>1836</v>
      </c>
      <c r="E329" s="215" t="s">
        <v>2139</v>
      </c>
      <c r="F329" s="215" t="s">
        <v>1825</v>
      </c>
      <c r="G329" s="215" t="s">
        <v>100</v>
      </c>
      <c r="H329" s="216" t="s">
        <v>2149</v>
      </c>
      <c r="I329" s="217"/>
      <c r="J329" s="217"/>
      <c r="K329" s="217"/>
      <c r="L329" s="217"/>
      <c r="M329" s="217"/>
      <c r="N329" s="217"/>
      <c r="O329" s="217"/>
      <c r="P329" s="217"/>
      <c r="Q329" s="218"/>
    </row>
    <row r="330" spans="1:17" s="219" customFormat="1" hidden="1" x14ac:dyDescent="0.25">
      <c r="A330" s="214"/>
      <c r="B330" s="215" t="s">
        <v>1822</v>
      </c>
      <c r="C330" s="215" t="s">
        <v>1823</v>
      </c>
      <c r="D330" s="215" t="s">
        <v>1836</v>
      </c>
      <c r="E330" s="215" t="s">
        <v>2139</v>
      </c>
      <c r="F330" s="215" t="s">
        <v>1825</v>
      </c>
      <c r="G330" s="215" t="s">
        <v>105</v>
      </c>
      <c r="H330" s="216" t="s">
        <v>2150</v>
      </c>
      <c r="I330" s="217"/>
      <c r="J330" s="217"/>
      <c r="K330" s="217"/>
      <c r="L330" s="217"/>
      <c r="M330" s="217"/>
      <c r="N330" s="217"/>
      <c r="O330" s="217"/>
      <c r="P330" s="217"/>
      <c r="Q330" s="218"/>
    </row>
    <row r="331" spans="1:17" s="219" customFormat="1" ht="30" hidden="1" x14ac:dyDescent="0.25">
      <c r="A331" s="214"/>
      <c r="B331" s="215" t="s">
        <v>1822</v>
      </c>
      <c r="C331" s="215" t="s">
        <v>1823</v>
      </c>
      <c r="D331" s="215" t="s">
        <v>1836</v>
      </c>
      <c r="E331" s="215" t="s">
        <v>2139</v>
      </c>
      <c r="F331" s="215" t="s">
        <v>1825</v>
      </c>
      <c r="G331" s="215" t="s">
        <v>108</v>
      </c>
      <c r="H331" s="216" t="s">
        <v>2151</v>
      </c>
      <c r="I331" s="217"/>
      <c r="J331" s="217"/>
      <c r="K331" s="217"/>
      <c r="L331" s="217"/>
      <c r="M331" s="217"/>
      <c r="N331" s="217"/>
      <c r="O331" s="217"/>
      <c r="P331" s="217"/>
      <c r="Q331" s="218"/>
    </row>
    <row r="332" spans="1:17" s="219" customFormat="1" hidden="1" x14ac:dyDescent="0.25">
      <c r="A332" s="214"/>
      <c r="B332" s="215" t="s">
        <v>1822</v>
      </c>
      <c r="C332" s="215" t="s">
        <v>1823</v>
      </c>
      <c r="D332" s="215" t="s">
        <v>1836</v>
      </c>
      <c r="E332" s="215" t="s">
        <v>2139</v>
      </c>
      <c r="F332" s="215" t="s">
        <v>1825</v>
      </c>
      <c r="G332" s="215" t="s">
        <v>135</v>
      </c>
      <c r="H332" s="216" t="s">
        <v>2152</v>
      </c>
      <c r="I332" s="217"/>
      <c r="J332" s="217"/>
      <c r="K332" s="217"/>
      <c r="L332" s="217"/>
      <c r="M332" s="217"/>
      <c r="N332" s="217"/>
      <c r="O332" s="217"/>
      <c r="P332" s="217"/>
      <c r="Q332" s="218"/>
    </row>
    <row r="333" spans="1:17" s="219" customFormat="1" hidden="1" x14ac:dyDescent="0.25">
      <c r="A333" s="214"/>
      <c r="B333" s="215" t="s">
        <v>1822</v>
      </c>
      <c r="C333" s="215" t="s">
        <v>1823</v>
      </c>
      <c r="D333" s="215" t="s">
        <v>1836</v>
      </c>
      <c r="E333" s="215" t="s">
        <v>2139</v>
      </c>
      <c r="F333" s="215" t="s">
        <v>1825</v>
      </c>
      <c r="G333" s="215" t="s">
        <v>138</v>
      </c>
      <c r="H333" s="216" t="s">
        <v>2153</v>
      </c>
      <c r="I333" s="217"/>
      <c r="J333" s="217"/>
      <c r="K333" s="217"/>
      <c r="L333" s="217"/>
      <c r="M333" s="217"/>
      <c r="N333" s="217"/>
      <c r="O333" s="217"/>
      <c r="P333" s="217"/>
      <c r="Q333" s="218"/>
    </row>
    <row r="334" spans="1:17" s="219" customFormat="1" hidden="1" x14ac:dyDescent="0.25">
      <c r="A334" s="214"/>
      <c r="B334" s="215" t="s">
        <v>1822</v>
      </c>
      <c r="C334" s="215" t="s">
        <v>1823</v>
      </c>
      <c r="D334" s="215" t="s">
        <v>1836</v>
      </c>
      <c r="E334" s="215" t="s">
        <v>2139</v>
      </c>
      <c r="F334" s="215" t="s">
        <v>1825</v>
      </c>
      <c r="G334" s="215" t="s">
        <v>140</v>
      </c>
      <c r="H334" s="216" t="s">
        <v>2154</v>
      </c>
      <c r="I334" s="217"/>
      <c r="J334" s="217"/>
      <c r="K334" s="217"/>
      <c r="L334" s="217"/>
      <c r="M334" s="217"/>
      <c r="N334" s="217"/>
      <c r="O334" s="217"/>
      <c r="P334" s="217"/>
      <c r="Q334" s="218"/>
    </row>
    <row r="335" spans="1:17" s="219" customFormat="1" hidden="1" x14ac:dyDescent="0.25">
      <c r="A335" s="214"/>
      <c r="B335" s="215" t="s">
        <v>1822</v>
      </c>
      <c r="C335" s="215" t="s">
        <v>1823</v>
      </c>
      <c r="D335" s="215" t="s">
        <v>1836</v>
      </c>
      <c r="E335" s="215" t="s">
        <v>2139</v>
      </c>
      <c r="F335" s="215" t="s">
        <v>1825</v>
      </c>
      <c r="G335" s="215" t="s">
        <v>143</v>
      </c>
      <c r="H335" s="216" t="s">
        <v>2155</v>
      </c>
      <c r="I335" s="217"/>
      <c r="J335" s="217"/>
      <c r="K335" s="217"/>
      <c r="L335" s="217"/>
      <c r="M335" s="217"/>
      <c r="N335" s="217"/>
      <c r="O335" s="217"/>
      <c r="P335" s="217"/>
      <c r="Q335" s="218"/>
    </row>
    <row r="336" spans="1:17" s="219" customFormat="1" hidden="1" x14ac:dyDescent="0.25">
      <c r="A336" s="214"/>
      <c r="B336" s="215" t="s">
        <v>1822</v>
      </c>
      <c r="C336" s="215" t="s">
        <v>1823</v>
      </c>
      <c r="D336" s="215" t="s">
        <v>1836</v>
      </c>
      <c r="E336" s="215" t="s">
        <v>2139</v>
      </c>
      <c r="F336" s="215" t="s">
        <v>1825</v>
      </c>
      <c r="G336" s="215" t="s">
        <v>146</v>
      </c>
      <c r="H336" s="216" t="s">
        <v>2156</v>
      </c>
      <c r="I336" s="217"/>
      <c r="J336" s="217"/>
      <c r="K336" s="217"/>
      <c r="L336" s="217"/>
      <c r="M336" s="217"/>
      <c r="N336" s="217"/>
      <c r="O336" s="217"/>
      <c r="P336" s="217"/>
      <c r="Q336" s="218"/>
    </row>
    <row r="337" spans="1:17" s="219" customFormat="1" hidden="1" x14ac:dyDescent="0.25">
      <c r="A337" s="214"/>
      <c r="B337" s="215" t="s">
        <v>1822</v>
      </c>
      <c r="C337" s="215" t="s">
        <v>1823</v>
      </c>
      <c r="D337" s="215" t="s">
        <v>1836</v>
      </c>
      <c r="E337" s="215" t="s">
        <v>2139</v>
      </c>
      <c r="F337" s="215" t="s">
        <v>1825</v>
      </c>
      <c r="G337" s="215" t="s">
        <v>150</v>
      </c>
      <c r="H337" s="216" t="s">
        <v>2157</v>
      </c>
      <c r="I337" s="217"/>
      <c r="J337" s="217"/>
      <c r="K337" s="217"/>
      <c r="L337" s="217"/>
      <c r="M337" s="217"/>
      <c r="N337" s="217"/>
      <c r="O337" s="217"/>
      <c r="P337" s="217"/>
      <c r="Q337" s="218"/>
    </row>
    <row r="338" spans="1:17" s="219" customFormat="1" hidden="1" x14ac:dyDescent="0.25">
      <c r="A338" s="214"/>
      <c r="B338" s="215" t="s">
        <v>1822</v>
      </c>
      <c r="C338" s="215" t="s">
        <v>1823</v>
      </c>
      <c r="D338" s="215" t="s">
        <v>1836</v>
      </c>
      <c r="E338" s="215" t="s">
        <v>2139</v>
      </c>
      <c r="F338" s="215" t="s">
        <v>1825</v>
      </c>
      <c r="G338" s="215" t="s">
        <v>153</v>
      </c>
      <c r="H338" s="216" t="s">
        <v>2158</v>
      </c>
      <c r="I338" s="217"/>
      <c r="J338" s="217"/>
      <c r="K338" s="217"/>
      <c r="L338" s="217"/>
      <c r="M338" s="217"/>
      <c r="N338" s="217"/>
      <c r="O338" s="217"/>
      <c r="P338" s="217"/>
      <c r="Q338" s="218"/>
    </row>
    <row r="339" spans="1:17" s="219" customFormat="1" hidden="1" x14ac:dyDescent="0.25">
      <c r="A339" s="214"/>
      <c r="B339" s="215" t="s">
        <v>1822</v>
      </c>
      <c r="C339" s="215" t="s">
        <v>1823</v>
      </c>
      <c r="D339" s="215" t="s">
        <v>1836</v>
      </c>
      <c r="E339" s="215" t="s">
        <v>2139</v>
      </c>
      <c r="F339" s="215" t="s">
        <v>1825</v>
      </c>
      <c r="G339" s="215" t="s">
        <v>156</v>
      </c>
      <c r="H339" s="216" t="s">
        <v>2159</v>
      </c>
      <c r="I339" s="217"/>
      <c r="J339" s="217"/>
      <c r="K339" s="217"/>
      <c r="L339" s="217"/>
      <c r="M339" s="217"/>
      <c r="N339" s="217"/>
      <c r="O339" s="217"/>
      <c r="P339" s="217"/>
      <c r="Q339" s="218"/>
    </row>
    <row r="340" spans="1:17" s="219" customFormat="1" hidden="1" x14ac:dyDescent="0.25">
      <c r="A340" s="214"/>
      <c r="B340" s="215" t="s">
        <v>1822</v>
      </c>
      <c r="C340" s="215" t="s">
        <v>1823</v>
      </c>
      <c r="D340" s="215" t="s">
        <v>1836</v>
      </c>
      <c r="E340" s="215" t="s">
        <v>2139</v>
      </c>
      <c r="F340" s="215" t="s">
        <v>1825</v>
      </c>
      <c r="G340" s="215" t="s">
        <v>159</v>
      </c>
      <c r="H340" s="216" t="s">
        <v>2160</v>
      </c>
      <c r="I340" s="217"/>
      <c r="J340" s="217"/>
      <c r="K340" s="217"/>
      <c r="L340" s="217"/>
      <c r="M340" s="217"/>
      <c r="N340" s="217"/>
      <c r="O340" s="217"/>
      <c r="P340" s="217"/>
      <c r="Q340" s="218"/>
    </row>
    <row r="341" spans="1:17" s="219" customFormat="1" hidden="1" x14ac:dyDescent="0.25">
      <c r="A341" s="214"/>
      <c r="B341" s="215" t="s">
        <v>1822</v>
      </c>
      <c r="C341" s="215" t="s">
        <v>1823</v>
      </c>
      <c r="D341" s="215" t="s">
        <v>1836</v>
      </c>
      <c r="E341" s="215" t="s">
        <v>2139</v>
      </c>
      <c r="F341" s="215" t="s">
        <v>1825</v>
      </c>
      <c r="G341" s="215" t="s">
        <v>162</v>
      </c>
      <c r="H341" s="216" t="s">
        <v>2161</v>
      </c>
      <c r="I341" s="217"/>
      <c r="J341" s="217"/>
      <c r="K341" s="217"/>
      <c r="L341" s="217"/>
      <c r="M341" s="217"/>
      <c r="N341" s="217"/>
      <c r="O341" s="217"/>
      <c r="P341" s="217"/>
      <c r="Q341" s="218"/>
    </row>
    <row r="342" spans="1:17" s="219" customFormat="1" hidden="1" x14ac:dyDescent="0.25">
      <c r="A342" s="214"/>
      <c r="B342" s="215" t="s">
        <v>1822</v>
      </c>
      <c r="C342" s="215" t="s">
        <v>1823</v>
      </c>
      <c r="D342" s="215" t="s">
        <v>1836</v>
      </c>
      <c r="E342" s="215" t="s">
        <v>2139</v>
      </c>
      <c r="F342" s="215" t="s">
        <v>1825</v>
      </c>
      <c r="G342" s="215" t="s">
        <v>312</v>
      </c>
      <c r="H342" s="216" t="s">
        <v>2162</v>
      </c>
      <c r="I342" s="217"/>
      <c r="J342" s="217"/>
      <c r="K342" s="217"/>
      <c r="L342" s="217"/>
      <c r="M342" s="217"/>
      <c r="N342" s="217"/>
      <c r="O342" s="217"/>
      <c r="P342" s="217"/>
      <c r="Q342" s="218"/>
    </row>
    <row r="343" spans="1:17" s="219" customFormat="1" hidden="1" x14ac:dyDescent="0.25">
      <c r="A343" s="214"/>
      <c r="B343" s="215" t="s">
        <v>1822</v>
      </c>
      <c r="C343" s="215" t="s">
        <v>1823</v>
      </c>
      <c r="D343" s="215" t="s">
        <v>1836</v>
      </c>
      <c r="E343" s="215" t="s">
        <v>2139</v>
      </c>
      <c r="F343" s="215" t="s">
        <v>1825</v>
      </c>
      <c r="G343" s="215" t="s">
        <v>313</v>
      </c>
      <c r="H343" s="216" t="s">
        <v>2163</v>
      </c>
      <c r="I343" s="217"/>
      <c r="J343" s="217"/>
      <c r="K343" s="217"/>
      <c r="L343" s="217"/>
      <c r="M343" s="217"/>
      <c r="N343" s="217"/>
      <c r="O343" s="217"/>
      <c r="P343" s="217"/>
      <c r="Q343" s="218"/>
    </row>
    <row r="344" spans="1:17" s="219" customFormat="1" hidden="1" x14ac:dyDescent="0.25">
      <c r="A344" s="214"/>
      <c r="B344" s="215" t="s">
        <v>1822</v>
      </c>
      <c r="C344" s="215" t="s">
        <v>1823</v>
      </c>
      <c r="D344" s="215" t="s">
        <v>1836</v>
      </c>
      <c r="E344" s="215" t="s">
        <v>2139</v>
      </c>
      <c r="F344" s="215" t="s">
        <v>1825</v>
      </c>
      <c r="G344" s="215" t="s">
        <v>559</v>
      </c>
      <c r="H344" s="216" t="s">
        <v>2164</v>
      </c>
      <c r="I344" s="217"/>
      <c r="J344" s="217"/>
      <c r="K344" s="217"/>
      <c r="L344" s="217"/>
      <c r="M344" s="217"/>
      <c r="N344" s="217"/>
      <c r="O344" s="217"/>
      <c r="P344" s="217"/>
      <c r="Q344" s="218"/>
    </row>
    <row r="345" spans="1:17" s="219" customFormat="1" hidden="1" x14ac:dyDescent="0.25">
      <c r="A345" s="214"/>
      <c r="B345" s="215" t="s">
        <v>1822</v>
      </c>
      <c r="C345" s="215" t="s">
        <v>1823</v>
      </c>
      <c r="D345" s="215" t="s">
        <v>1836</v>
      </c>
      <c r="E345" s="215" t="s">
        <v>2139</v>
      </c>
      <c r="F345" s="215" t="s">
        <v>1825</v>
      </c>
      <c r="G345" s="215" t="s">
        <v>561</v>
      </c>
      <c r="H345" s="216" t="s">
        <v>2165</v>
      </c>
      <c r="I345" s="217"/>
      <c r="J345" s="217"/>
      <c r="K345" s="217"/>
      <c r="L345" s="217"/>
      <c r="M345" s="217"/>
      <c r="N345" s="217"/>
      <c r="O345" s="217"/>
      <c r="P345" s="217"/>
      <c r="Q345" s="218"/>
    </row>
    <row r="346" spans="1:17" s="219" customFormat="1" ht="30" hidden="1" x14ac:dyDescent="0.25">
      <c r="A346" s="214"/>
      <c r="B346" s="215" t="s">
        <v>1822</v>
      </c>
      <c r="C346" s="215" t="s">
        <v>1823</v>
      </c>
      <c r="D346" s="215" t="s">
        <v>1836</v>
      </c>
      <c r="E346" s="215" t="s">
        <v>2139</v>
      </c>
      <c r="F346" s="215" t="s">
        <v>1825</v>
      </c>
      <c r="G346" s="215" t="s">
        <v>563</v>
      </c>
      <c r="H346" s="216" t="s">
        <v>2166</v>
      </c>
      <c r="I346" s="217"/>
      <c r="J346" s="217"/>
      <c r="K346" s="217"/>
      <c r="L346" s="217"/>
      <c r="M346" s="217"/>
      <c r="N346" s="217"/>
      <c r="O346" s="217"/>
      <c r="P346" s="217"/>
      <c r="Q346" s="218"/>
    </row>
    <row r="347" spans="1:17" s="219" customFormat="1" hidden="1" x14ac:dyDescent="0.25">
      <c r="A347" s="214"/>
      <c r="B347" s="215" t="s">
        <v>1822</v>
      </c>
      <c r="C347" s="215" t="s">
        <v>1823</v>
      </c>
      <c r="D347" s="215" t="s">
        <v>1836</v>
      </c>
      <c r="E347" s="215" t="s">
        <v>2139</v>
      </c>
      <c r="F347" s="215" t="s">
        <v>1825</v>
      </c>
      <c r="G347" s="215" t="s">
        <v>227</v>
      </c>
      <c r="H347" s="216" t="s">
        <v>2167</v>
      </c>
      <c r="I347" s="217"/>
      <c r="J347" s="217"/>
      <c r="K347" s="217"/>
      <c r="L347" s="217"/>
      <c r="M347" s="217"/>
      <c r="N347" s="217"/>
      <c r="O347" s="217"/>
      <c r="P347" s="217"/>
      <c r="Q347" s="218"/>
    </row>
    <row r="348" spans="1:17" s="219" customFormat="1" hidden="1" x14ac:dyDescent="0.25">
      <c r="A348" s="214"/>
      <c r="B348" s="215" t="s">
        <v>1822</v>
      </c>
      <c r="C348" s="215" t="s">
        <v>1823</v>
      </c>
      <c r="D348" s="215" t="s">
        <v>1836</v>
      </c>
      <c r="E348" s="215" t="s">
        <v>2139</v>
      </c>
      <c r="F348" s="215" t="s">
        <v>1825</v>
      </c>
      <c r="G348" s="215" t="s">
        <v>230</v>
      </c>
      <c r="H348" s="216" t="s">
        <v>2168</v>
      </c>
      <c r="I348" s="217"/>
      <c r="J348" s="217"/>
      <c r="K348" s="217"/>
      <c r="L348" s="217"/>
      <c r="M348" s="217"/>
      <c r="N348" s="217"/>
      <c r="O348" s="217"/>
      <c r="P348" s="217"/>
      <c r="Q348" s="218"/>
    </row>
    <row r="349" spans="1:17" s="219" customFormat="1" hidden="1" x14ac:dyDescent="0.25">
      <c r="A349" s="214"/>
      <c r="B349" s="215" t="s">
        <v>1822</v>
      </c>
      <c r="C349" s="215" t="s">
        <v>1823</v>
      </c>
      <c r="D349" s="215" t="s">
        <v>1836</v>
      </c>
      <c r="E349" s="215" t="s">
        <v>2139</v>
      </c>
      <c r="F349" s="215" t="s">
        <v>1825</v>
      </c>
      <c r="G349" s="215" t="s">
        <v>232</v>
      </c>
      <c r="H349" s="216" t="s">
        <v>2169</v>
      </c>
      <c r="I349" s="217"/>
      <c r="J349" s="217"/>
      <c r="K349" s="217"/>
      <c r="L349" s="217"/>
      <c r="M349" s="217"/>
      <c r="N349" s="217"/>
      <c r="O349" s="217"/>
      <c r="P349" s="217"/>
      <c r="Q349" s="218"/>
    </row>
    <row r="350" spans="1:17" s="219" customFormat="1" ht="30" hidden="1" x14ac:dyDescent="0.25">
      <c r="A350" s="214"/>
      <c r="B350" s="215" t="s">
        <v>1822</v>
      </c>
      <c r="C350" s="215" t="s">
        <v>1823</v>
      </c>
      <c r="D350" s="215" t="s">
        <v>1836</v>
      </c>
      <c r="E350" s="215" t="s">
        <v>2139</v>
      </c>
      <c r="F350" s="215" t="s">
        <v>1825</v>
      </c>
      <c r="G350" s="215" t="s">
        <v>234</v>
      </c>
      <c r="H350" s="216" t="s">
        <v>2170</v>
      </c>
      <c r="I350" s="217"/>
      <c r="J350" s="217"/>
      <c r="K350" s="217"/>
      <c r="L350" s="217"/>
      <c r="M350" s="217"/>
      <c r="N350" s="217"/>
      <c r="O350" s="217"/>
      <c r="P350" s="217"/>
      <c r="Q350" s="218"/>
    </row>
    <row r="351" spans="1:17" s="219" customFormat="1" ht="30" hidden="1" x14ac:dyDescent="0.25">
      <c r="A351" s="214"/>
      <c r="B351" s="215" t="s">
        <v>1822</v>
      </c>
      <c r="C351" s="215" t="s">
        <v>1823</v>
      </c>
      <c r="D351" s="215" t="s">
        <v>1836</v>
      </c>
      <c r="E351" s="215" t="s">
        <v>2139</v>
      </c>
      <c r="F351" s="215" t="s">
        <v>1825</v>
      </c>
      <c r="G351" s="215" t="s">
        <v>236</v>
      </c>
      <c r="H351" s="216" t="s">
        <v>2171</v>
      </c>
      <c r="I351" s="217"/>
      <c r="J351" s="217"/>
      <c r="K351" s="217"/>
      <c r="L351" s="217"/>
      <c r="M351" s="217"/>
      <c r="N351" s="217"/>
      <c r="O351" s="217"/>
      <c r="P351" s="217"/>
      <c r="Q351" s="218"/>
    </row>
    <row r="352" spans="1:17" s="219" customFormat="1" hidden="1" x14ac:dyDescent="0.25">
      <c r="A352" s="214"/>
      <c r="B352" s="215" t="s">
        <v>1822</v>
      </c>
      <c r="C352" s="215" t="s">
        <v>1823</v>
      </c>
      <c r="D352" s="215" t="s">
        <v>1836</v>
      </c>
      <c r="E352" s="215" t="s">
        <v>2139</v>
      </c>
      <c r="F352" s="215" t="s">
        <v>1825</v>
      </c>
      <c r="G352" s="215" t="s">
        <v>238</v>
      </c>
      <c r="H352" s="216" t="s">
        <v>2172</v>
      </c>
      <c r="I352" s="217"/>
      <c r="J352" s="217"/>
      <c r="K352" s="217"/>
      <c r="L352" s="217"/>
      <c r="M352" s="217"/>
      <c r="N352" s="217"/>
      <c r="O352" s="217"/>
      <c r="P352" s="217"/>
      <c r="Q352" s="218"/>
    </row>
    <row r="353" spans="1:17" s="219" customFormat="1" hidden="1" x14ac:dyDescent="0.25">
      <c r="A353" s="214"/>
      <c r="B353" s="215" t="s">
        <v>1822</v>
      </c>
      <c r="C353" s="215" t="s">
        <v>1823</v>
      </c>
      <c r="D353" s="215" t="s">
        <v>1836</v>
      </c>
      <c r="E353" s="215" t="s">
        <v>2139</v>
      </c>
      <c r="F353" s="215" t="s">
        <v>1825</v>
      </c>
      <c r="G353" s="215" t="s">
        <v>240</v>
      </c>
      <c r="H353" s="216" t="s">
        <v>2173</v>
      </c>
      <c r="I353" s="217"/>
      <c r="J353" s="217"/>
      <c r="K353" s="217"/>
      <c r="L353" s="217"/>
      <c r="M353" s="217"/>
      <c r="N353" s="217"/>
      <c r="O353" s="217"/>
      <c r="P353" s="217"/>
      <c r="Q353" s="218"/>
    </row>
    <row r="354" spans="1:17" s="219" customFormat="1" ht="30" hidden="1" x14ac:dyDescent="0.25">
      <c r="A354" s="214"/>
      <c r="B354" s="215" t="s">
        <v>1822</v>
      </c>
      <c r="C354" s="215" t="s">
        <v>1823</v>
      </c>
      <c r="D354" s="215" t="s">
        <v>1836</v>
      </c>
      <c r="E354" s="215" t="s">
        <v>2139</v>
      </c>
      <c r="F354" s="215" t="s">
        <v>1825</v>
      </c>
      <c r="G354" s="215" t="s">
        <v>242</v>
      </c>
      <c r="H354" s="216" t="s">
        <v>2174</v>
      </c>
      <c r="I354" s="217"/>
      <c r="J354" s="217"/>
      <c r="K354" s="217"/>
      <c r="L354" s="217"/>
      <c r="M354" s="217"/>
      <c r="N354" s="217"/>
      <c r="O354" s="217"/>
      <c r="P354" s="217"/>
      <c r="Q354" s="218"/>
    </row>
    <row r="355" spans="1:17" s="219" customFormat="1" ht="30" hidden="1" x14ac:dyDescent="0.25">
      <c r="A355" s="214"/>
      <c r="B355" s="215" t="s">
        <v>1822</v>
      </c>
      <c r="C355" s="215" t="s">
        <v>1823</v>
      </c>
      <c r="D355" s="215" t="s">
        <v>1836</v>
      </c>
      <c r="E355" s="215" t="s">
        <v>2139</v>
      </c>
      <c r="F355" s="215" t="s">
        <v>1825</v>
      </c>
      <c r="G355" s="215" t="s">
        <v>244</v>
      </c>
      <c r="H355" s="216" t="s">
        <v>2175</v>
      </c>
      <c r="I355" s="217"/>
      <c r="J355" s="217"/>
      <c r="K355" s="217"/>
      <c r="L355" s="217"/>
      <c r="M355" s="217"/>
      <c r="N355" s="217"/>
      <c r="O355" s="217"/>
      <c r="P355" s="217"/>
      <c r="Q355" s="218"/>
    </row>
    <row r="356" spans="1:17" s="219" customFormat="1" hidden="1" x14ac:dyDescent="0.25">
      <c r="A356" s="214"/>
      <c r="B356" s="215" t="s">
        <v>1822</v>
      </c>
      <c r="C356" s="215" t="s">
        <v>1823</v>
      </c>
      <c r="D356" s="215" t="s">
        <v>1836</v>
      </c>
      <c r="E356" s="215" t="s">
        <v>2139</v>
      </c>
      <c r="F356" s="215" t="s">
        <v>1825</v>
      </c>
      <c r="G356" s="215" t="s">
        <v>246</v>
      </c>
      <c r="H356" s="216" t="s">
        <v>2176</v>
      </c>
      <c r="I356" s="217"/>
      <c r="J356" s="217"/>
      <c r="K356" s="217"/>
      <c r="L356" s="217"/>
      <c r="M356" s="217"/>
      <c r="N356" s="217"/>
      <c r="O356" s="217"/>
      <c r="P356" s="217"/>
      <c r="Q356" s="218"/>
    </row>
    <row r="357" spans="1:17" s="219" customFormat="1" ht="30" hidden="1" x14ac:dyDescent="0.25">
      <c r="A357" s="214"/>
      <c r="B357" s="215" t="s">
        <v>1822</v>
      </c>
      <c r="C357" s="215" t="s">
        <v>1823</v>
      </c>
      <c r="D357" s="215" t="s">
        <v>1836</v>
      </c>
      <c r="E357" s="215" t="s">
        <v>2139</v>
      </c>
      <c r="F357" s="215" t="s">
        <v>1825</v>
      </c>
      <c r="G357" s="215" t="s">
        <v>407</v>
      </c>
      <c r="H357" s="216" t="s">
        <v>2177</v>
      </c>
      <c r="I357" s="217"/>
      <c r="J357" s="217"/>
      <c r="K357" s="217"/>
      <c r="L357" s="217"/>
      <c r="M357" s="217"/>
      <c r="N357" s="217"/>
      <c r="O357" s="217"/>
      <c r="P357" s="217"/>
      <c r="Q357" s="218"/>
    </row>
    <row r="358" spans="1:17" s="219" customFormat="1" ht="30" hidden="1" x14ac:dyDescent="0.25">
      <c r="A358" s="214"/>
      <c r="B358" s="215" t="s">
        <v>1822</v>
      </c>
      <c r="C358" s="215" t="s">
        <v>1823</v>
      </c>
      <c r="D358" s="215" t="s">
        <v>1836</v>
      </c>
      <c r="E358" s="215" t="s">
        <v>2139</v>
      </c>
      <c r="F358" s="215" t="s">
        <v>1825</v>
      </c>
      <c r="G358" s="215" t="s">
        <v>408</v>
      </c>
      <c r="H358" s="216" t="s">
        <v>2178</v>
      </c>
      <c r="I358" s="217"/>
      <c r="J358" s="217"/>
      <c r="K358" s="217"/>
      <c r="L358" s="217"/>
      <c r="M358" s="217"/>
      <c r="N358" s="217"/>
      <c r="O358" s="217"/>
      <c r="P358" s="217"/>
      <c r="Q358" s="218"/>
    </row>
    <row r="359" spans="1:17" s="219" customFormat="1" ht="30" hidden="1" x14ac:dyDescent="0.25">
      <c r="A359" s="214"/>
      <c r="B359" s="215" t="s">
        <v>1822</v>
      </c>
      <c r="C359" s="215" t="s">
        <v>1823</v>
      </c>
      <c r="D359" s="215" t="s">
        <v>1836</v>
      </c>
      <c r="E359" s="215" t="s">
        <v>2139</v>
      </c>
      <c r="F359" s="215" t="s">
        <v>1825</v>
      </c>
      <c r="G359" s="215" t="s">
        <v>409</v>
      </c>
      <c r="H359" s="216" t="s">
        <v>2179</v>
      </c>
      <c r="I359" s="217"/>
      <c r="J359" s="217"/>
      <c r="K359" s="217"/>
      <c r="L359" s="217"/>
      <c r="M359" s="217"/>
      <c r="N359" s="217"/>
      <c r="O359" s="217"/>
      <c r="P359" s="217"/>
      <c r="Q359" s="218"/>
    </row>
    <row r="360" spans="1:17" s="219" customFormat="1" hidden="1" x14ac:dyDescent="0.25">
      <c r="A360" s="214"/>
      <c r="B360" s="215" t="s">
        <v>1822</v>
      </c>
      <c r="C360" s="215" t="s">
        <v>1823</v>
      </c>
      <c r="D360" s="215" t="s">
        <v>1836</v>
      </c>
      <c r="E360" s="215" t="s">
        <v>2139</v>
      </c>
      <c r="F360" s="215" t="s">
        <v>1825</v>
      </c>
      <c r="G360" s="215" t="s">
        <v>788</v>
      </c>
      <c r="H360" s="216" t="s">
        <v>2180</v>
      </c>
      <c r="I360" s="217"/>
      <c r="J360" s="217"/>
      <c r="K360" s="217"/>
      <c r="L360" s="217"/>
      <c r="M360" s="217"/>
      <c r="N360" s="217"/>
      <c r="O360" s="217"/>
      <c r="P360" s="217"/>
      <c r="Q360" s="218"/>
    </row>
    <row r="361" spans="1:17" s="219" customFormat="1" ht="30" hidden="1" x14ac:dyDescent="0.25">
      <c r="A361" s="214"/>
      <c r="B361" s="215" t="s">
        <v>1822</v>
      </c>
      <c r="C361" s="215" t="s">
        <v>1823</v>
      </c>
      <c r="D361" s="215" t="s">
        <v>1836</v>
      </c>
      <c r="E361" s="215" t="s">
        <v>2139</v>
      </c>
      <c r="F361" s="215" t="s">
        <v>1825</v>
      </c>
      <c r="G361" s="215" t="s">
        <v>1017</v>
      </c>
      <c r="H361" s="216" t="s">
        <v>2181</v>
      </c>
      <c r="I361" s="217"/>
      <c r="J361" s="217"/>
      <c r="K361" s="217"/>
      <c r="L361" s="217"/>
      <c r="M361" s="217"/>
      <c r="N361" s="217"/>
      <c r="O361" s="217"/>
      <c r="P361" s="217"/>
      <c r="Q361" s="218"/>
    </row>
    <row r="362" spans="1:17" s="219" customFormat="1" hidden="1" x14ac:dyDescent="0.25">
      <c r="A362" s="214"/>
      <c r="B362" s="215" t="s">
        <v>1822</v>
      </c>
      <c r="C362" s="215" t="s">
        <v>1823</v>
      </c>
      <c r="D362" s="215" t="s">
        <v>1836</v>
      </c>
      <c r="E362" s="215" t="s">
        <v>2139</v>
      </c>
      <c r="F362" s="215" t="s">
        <v>1825</v>
      </c>
      <c r="G362" s="215" t="s">
        <v>411</v>
      </c>
      <c r="H362" s="216" t="s">
        <v>1991</v>
      </c>
      <c r="I362" s="217"/>
      <c r="J362" s="217"/>
      <c r="K362" s="217"/>
      <c r="L362" s="217"/>
      <c r="M362" s="217"/>
      <c r="N362" s="217"/>
      <c r="O362" s="217"/>
      <c r="P362" s="217"/>
      <c r="Q362" s="218"/>
    </row>
    <row r="363" spans="1:17" s="219" customFormat="1" ht="30" hidden="1" x14ac:dyDescent="0.25">
      <c r="A363" s="214"/>
      <c r="B363" s="215" t="s">
        <v>1822</v>
      </c>
      <c r="C363" s="215" t="s">
        <v>1823</v>
      </c>
      <c r="D363" s="215" t="s">
        <v>1836</v>
      </c>
      <c r="E363" s="215" t="s">
        <v>2139</v>
      </c>
      <c r="F363" s="215" t="s">
        <v>1825</v>
      </c>
      <c r="G363" s="215" t="s">
        <v>247</v>
      </c>
      <c r="H363" s="216" t="s">
        <v>2182</v>
      </c>
      <c r="I363" s="217"/>
      <c r="J363" s="217"/>
      <c r="K363" s="217"/>
      <c r="L363" s="217"/>
      <c r="M363" s="217"/>
      <c r="N363" s="217"/>
      <c r="O363" s="217"/>
      <c r="P363" s="217"/>
      <c r="Q363" s="218"/>
    </row>
    <row r="364" spans="1:17" s="219" customFormat="1" hidden="1" x14ac:dyDescent="0.25">
      <c r="A364" s="214"/>
      <c r="B364" s="215" t="s">
        <v>1822</v>
      </c>
      <c r="C364" s="215" t="s">
        <v>1823</v>
      </c>
      <c r="D364" s="215" t="s">
        <v>1836</v>
      </c>
      <c r="E364" s="215" t="s">
        <v>2139</v>
      </c>
      <c r="F364" s="215" t="s">
        <v>1825</v>
      </c>
      <c r="G364" s="215" t="s">
        <v>1019</v>
      </c>
      <c r="H364" s="216" t="s">
        <v>2183</v>
      </c>
      <c r="I364" s="217"/>
      <c r="J364" s="217"/>
      <c r="K364" s="217"/>
      <c r="L364" s="217"/>
      <c r="M364" s="217"/>
      <c r="N364" s="217"/>
      <c r="O364" s="217"/>
      <c r="P364" s="217"/>
      <c r="Q364" s="218"/>
    </row>
    <row r="365" spans="1:17" s="219" customFormat="1" ht="30" hidden="1" x14ac:dyDescent="0.25">
      <c r="A365" s="214"/>
      <c r="B365" s="215" t="s">
        <v>1822</v>
      </c>
      <c r="C365" s="215" t="s">
        <v>1823</v>
      </c>
      <c r="D365" s="215" t="s">
        <v>1836</v>
      </c>
      <c r="E365" s="215" t="s">
        <v>2139</v>
      </c>
      <c r="F365" s="215" t="s">
        <v>1825</v>
      </c>
      <c r="G365" s="215" t="s">
        <v>1022</v>
      </c>
      <c r="H365" s="216" t="s">
        <v>2184</v>
      </c>
      <c r="I365" s="217"/>
      <c r="J365" s="217"/>
      <c r="K365" s="217"/>
      <c r="L365" s="217"/>
      <c r="M365" s="217"/>
      <c r="N365" s="217"/>
      <c r="O365" s="217"/>
      <c r="P365" s="217"/>
      <c r="Q365" s="218"/>
    </row>
    <row r="366" spans="1:17" s="219" customFormat="1" hidden="1" x14ac:dyDescent="0.25">
      <c r="A366" s="214"/>
      <c r="B366" s="215" t="s">
        <v>1822</v>
      </c>
      <c r="C366" s="215" t="s">
        <v>1823</v>
      </c>
      <c r="D366" s="215" t="s">
        <v>1836</v>
      </c>
      <c r="E366" s="215" t="s">
        <v>2139</v>
      </c>
      <c r="F366" s="215" t="s">
        <v>1825</v>
      </c>
      <c r="G366" s="215" t="s">
        <v>1024</v>
      </c>
      <c r="H366" s="216" t="s">
        <v>2185</v>
      </c>
      <c r="I366" s="217"/>
      <c r="J366" s="217"/>
      <c r="K366" s="217"/>
      <c r="L366" s="217"/>
      <c r="M366" s="217"/>
      <c r="N366" s="217"/>
      <c r="O366" s="217"/>
      <c r="P366" s="217"/>
      <c r="Q366" s="218"/>
    </row>
    <row r="367" spans="1:17" s="219" customFormat="1" ht="30" hidden="1" x14ac:dyDescent="0.25">
      <c r="A367" s="214"/>
      <c r="B367" s="215" t="s">
        <v>1822</v>
      </c>
      <c r="C367" s="215" t="s">
        <v>1823</v>
      </c>
      <c r="D367" s="215" t="s">
        <v>1836</v>
      </c>
      <c r="E367" s="215" t="s">
        <v>2139</v>
      </c>
      <c r="F367" s="215" t="s">
        <v>1825</v>
      </c>
      <c r="G367" s="215" t="s">
        <v>1026</v>
      </c>
      <c r="H367" s="216" t="s">
        <v>2186</v>
      </c>
      <c r="I367" s="217"/>
      <c r="J367" s="217"/>
      <c r="K367" s="217"/>
      <c r="L367" s="217"/>
      <c r="M367" s="217"/>
      <c r="N367" s="217"/>
      <c r="O367" s="217"/>
      <c r="P367" s="217"/>
      <c r="Q367" s="218"/>
    </row>
    <row r="368" spans="1:17" s="219" customFormat="1" hidden="1" x14ac:dyDescent="0.25">
      <c r="A368" s="214"/>
      <c r="B368" s="215" t="s">
        <v>1822</v>
      </c>
      <c r="C368" s="215" t="s">
        <v>1823</v>
      </c>
      <c r="D368" s="215" t="s">
        <v>1836</v>
      </c>
      <c r="E368" s="215" t="s">
        <v>2139</v>
      </c>
      <c r="F368" s="215" t="s">
        <v>1825</v>
      </c>
      <c r="G368" s="215" t="s">
        <v>416</v>
      </c>
      <c r="H368" s="216" t="s">
        <v>2187</v>
      </c>
      <c r="I368" s="217"/>
      <c r="J368" s="217"/>
      <c r="K368" s="217"/>
      <c r="L368" s="217"/>
      <c r="M368" s="217"/>
      <c r="N368" s="217"/>
      <c r="O368" s="217"/>
      <c r="P368" s="217"/>
      <c r="Q368" s="218"/>
    </row>
    <row r="369" spans="1:17" s="219" customFormat="1" hidden="1" x14ac:dyDescent="0.25">
      <c r="A369" s="214"/>
      <c r="B369" s="215" t="s">
        <v>1822</v>
      </c>
      <c r="C369" s="215" t="s">
        <v>1823</v>
      </c>
      <c r="D369" s="215" t="s">
        <v>1836</v>
      </c>
      <c r="E369" s="215" t="s">
        <v>2139</v>
      </c>
      <c r="F369" s="215" t="s">
        <v>1825</v>
      </c>
      <c r="G369" s="215" t="s">
        <v>417</v>
      </c>
      <c r="H369" s="216" t="s">
        <v>2188</v>
      </c>
      <c r="I369" s="217"/>
      <c r="J369" s="217"/>
      <c r="K369" s="217"/>
      <c r="L369" s="217"/>
      <c r="M369" s="217"/>
      <c r="N369" s="217"/>
      <c r="O369" s="217"/>
      <c r="P369" s="217"/>
      <c r="Q369" s="218"/>
    </row>
    <row r="370" spans="1:17" s="219" customFormat="1" hidden="1" x14ac:dyDescent="0.25">
      <c r="A370" s="214"/>
      <c r="B370" s="215" t="s">
        <v>1822</v>
      </c>
      <c r="C370" s="215" t="s">
        <v>1823</v>
      </c>
      <c r="D370" s="215" t="s">
        <v>1836</v>
      </c>
      <c r="E370" s="215" t="s">
        <v>2139</v>
      </c>
      <c r="F370" s="215" t="s">
        <v>1825</v>
      </c>
      <c r="G370" s="215" t="s">
        <v>1028</v>
      </c>
      <c r="H370" s="216" t="s">
        <v>2189</v>
      </c>
      <c r="I370" s="217"/>
      <c r="J370" s="217"/>
      <c r="K370" s="217"/>
      <c r="L370" s="217"/>
      <c r="M370" s="217"/>
      <c r="N370" s="217"/>
      <c r="O370" s="217"/>
      <c r="P370" s="217"/>
      <c r="Q370" s="218"/>
    </row>
    <row r="371" spans="1:17" s="219" customFormat="1" hidden="1" x14ac:dyDescent="0.25">
      <c r="A371" s="214"/>
      <c r="B371" s="215" t="s">
        <v>1822</v>
      </c>
      <c r="C371" s="215" t="s">
        <v>1823</v>
      </c>
      <c r="D371" s="215" t="s">
        <v>1836</v>
      </c>
      <c r="E371" s="215" t="s">
        <v>2139</v>
      </c>
      <c r="F371" s="215" t="s">
        <v>1825</v>
      </c>
      <c r="G371" s="215" t="s">
        <v>1029</v>
      </c>
      <c r="H371" s="216" t="s">
        <v>2190</v>
      </c>
      <c r="I371" s="217"/>
      <c r="J371" s="217"/>
      <c r="K371" s="217"/>
      <c r="L371" s="217"/>
      <c r="M371" s="217"/>
      <c r="N371" s="217"/>
      <c r="O371" s="217"/>
      <c r="P371" s="217"/>
      <c r="Q371" s="218"/>
    </row>
    <row r="372" spans="1:17" s="219" customFormat="1" ht="30" hidden="1" x14ac:dyDescent="0.25">
      <c r="A372" s="214"/>
      <c r="B372" s="215" t="s">
        <v>1822</v>
      </c>
      <c r="C372" s="215" t="s">
        <v>1823</v>
      </c>
      <c r="D372" s="215" t="s">
        <v>1836</v>
      </c>
      <c r="E372" s="215" t="s">
        <v>2139</v>
      </c>
      <c r="F372" s="215" t="s">
        <v>1825</v>
      </c>
      <c r="G372" s="215" t="s">
        <v>1030</v>
      </c>
      <c r="H372" s="216" t="s">
        <v>2191</v>
      </c>
      <c r="I372" s="217"/>
      <c r="J372" s="217"/>
      <c r="K372" s="217"/>
      <c r="L372" s="217"/>
      <c r="M372" s="217"/>
      <c r="N372" s="217"/>
      <c r="O372" s="217"/>
      <c r="P372" s="217"/>
      <c r="Q372" s="218"/>
    </row>
    <row r="373" spans="1:17" s="219" customFormat="1" hidden="1" x14ac:dyDescent="0.25">
      <c r="A373" s="214"/>
      <c r="B373" s="215" t="s">
        <v>1822</v>
      </c>
      <c r="C373" s="215" t="s">
        <v>1823</v>
      </c>
      <c r="D373" s="215" t="s">
        <v>1836</v>
      </c>
      <c r="E373" s="215" t="s">
        <v>2139</v>
      </c>
      <c r="F373" s="215" t="s">
        <v>1825</v>
      </c>
      <c r="G373" s="215" t="s">
        <v>1032</v>
      </c>
      <c r="H373" s="216" t="s">
        <v>2192</v>
      </c>
      <c r="I373" s="217"/>
      <c r="J373" s="217"/>
      <c r="K373" s="217"/>
      <c r="L373" s="217"/>
      <c r="M373" s="217"/>
      <c r="N373" s="217"/>
      <c r="O373" s="217"/>
      <c r="P373" s="217"/>
      <c r="Q373" s="218"/>
    </row>
    <row r="374" spans="1:17" s="219" customFormat="1" hidden="1" x14ac:dyDescent="0.25">
      <c r="A374" s="214"/>
      <c r="B374" s="215" t="s">
        <v>1822</v>
      </c>
      <c r="C374" s="215" t="s">
        <v>1823</v>
      </c>
      <c r="D374" s="215" t="s">
        <v>1836</v>
      </c>
      <c r="E374" s="215" t="s">
        <v>2139</v>
      </c>
      <c r="F374" s="215" t="s">
        <v>1825</v>
      </c>
      <c r="G374" s="215" t="s">
        <v>1212</v>
      </c>
      <c r="H374" s="216" t="s">
        <v>2193</v>
      </c>
      <c r="I374" s="217"/>
      <c r="J374" s="217"/>
      <c r="K374" s="217"/>
      <c r="L374" s="217"/>
      <c r="M374" s="217"/>
      <c r="N374" s="217"/>
      <c r="O374" s="217"/>
      <c r="P374" s="217"/>
      <c r="Q374" s="218"/>
    </row>
    <row r="375" spans="1:17" s="219" customFormat="1" hidden="1" x14ac:dyDescent="0.25">
      <c r="A375" s="214"/>
      <c r="B375" s="215" t="s">
        <v>1822</v>
      </c>
      <c r="C375" s="215" t="s">
        <v>1823</v>
      </c>
      <c r="D375" s="215" t="s">
        <v>1836</v>
      </c>
      <c r="E375" s="215" t="s">
        <v>2139</v>
      </c>
      <c r="F375" s="215" t="s">
        <v>1825</v>
      </c>
      <c r="G375" s="215" t="s">
        <v>791</v>
      </c>
      <c r="H375" s="216" t="s">
        <v>2194</v>
      </c>
      <c r="I375" s="217"/>
      <c r="J375" s="217"/>
      <c r="K375" s="217"/>
      <c r="L375" s="217"/>
      <c r="M375" s="217"/>
      <c r="N375" s="217"/>
      <c r="O375" s="217"/>
      <c r="P375" s="217"/>
      <c r="Q375" s="218"/>
    </row>
    <row r="376" spans="1:17" s="219" customFormat="1" ht="30" hidden="1" x14ac:dyDescent="0.25">
      <c r="A376" s="214"/>
      <c r="B376" s="215" t="s">
        <v>1822</v>
      </c>
      <c r="C376" s="215" t="s">
        <v>1823</v>
      </c>
      <c r="D376" s="215" t="s">
        <v>1836</v>
      </c>
      <c r="E376" s="215" t="s">
        <v>2139</v>
      </c>
      <c r="F376" s="215" t="s">
        <v>1825</v>
      </c>
      <c r="G376" s="215" t="s">
        <v>420</v>
      </c>
      <c r="H376" s="216" t="s">
        <v>2195</v>
      </c>
      <c r="I376" s="217"/>
      <c r="J376" s="217"/>
      <c r="K376" s="217"/>
      <c r="L376" s="217"/>
      <c r="M376" s="217"/>
      <c r="N376" s="217"/>
      <c r="O376" s="217"/>
      <c r="P376" s="217"/>
      <c r="Q376" s="218"/>
    </row>
    <row r="377" spans="1:17" s="219" customFormat="1" hidden="1" x14ac:dyDescent="0.25">
      <c r="A377" s="214"/>
      <c r="B377" s="215" t="s">
        <v>1822</v>
      </c>
      <c r="C377" s="215" t="s">
        <v>1823</v>
      </c>
      <c r="D377" s="215" t="s">
        <v>1836</v>
      </c>
      <c r="E377" s="215" t="s">
        <v>2139</v>
      </c>
      <c r="F377" s="215" t="s">
        <v>1825</v>
      </c>
      <c r="G377" s="215" t="s">
        <v>1224</v>
      </c>
      <c r="H377" s="216" t="s">
        <v>2196</v>
      </c>
      <c r="I377" s="217"/>
      <c r="J377" s="217"/>
      <c r="K377" s="217"/>
      <c r="L377" s="217"/>
      <c r="M377" s="217"/>
      <c r="N377" s="217"/>
      <c r="O377" s="217"/>
      <c r="P377" s="217"/>
      <c r="Q377" s="218"/>
    </row>
    <row r="378" spans="1:17" s="219" customFormat="1" ht="30" hidden="1" x14ac:dyDescent="0.25">
      <c r="A378" s="214"/>
      <c r="B378" s="215" t="s">
        <v>1822</v>
      </c>
      <c r="C378" s="215" t="s">
        <v>1823</v>
      </c>
      <c r="D378" s="215" t="s">
        <v>1836</v>
      </c>
      <c r="E378" s="215" t="s">
        <v>2139</v>
      </c>
      <c r="F378" s="215" t="s">
        <v>1825</v>
      </c>
      <c r="G378" s="215" t="s">
        <v>1226</v>
      </c>
      <c r="H378" s="216" t="s">
        <v>2197</v>
      </c>
      <c r="I378" s="217"/>
      <c r="J378" s="217"/>
      <c r="K378" s="217"/>
      <c r="L378" s="217"/>
      <c r="M378" s="217"/>
      <c r="N378" s="217"/>
      <c r="O378" s="217"/>
      <c r="P378" s="217"/>
      <c r="Q378" s="218"/>
    </row>
    <row r="379" spans="1:17" s="219" customFormat="1" hidden="1" x14ac:dyDescent="0.25">
      <c r="A379" s="214"/>
      <c r="B379" s="215" t="s">
        <v>1822</v>
      </c>
      <c r="C379" s="215" t="s">
        <v>1823</v>
      </c>
      <c r="D379" s="215" t="s">
        <v>1836</v>
      </c>
      <c r="E379" s="215" t="s">
        <v>2139</v>
      </c>
      <c r="F379" s="215" t="s">
        <v>1825</v>
      </c>
      <c r="G379" s="215" t="s">
        <v>2198</v>
      </c>
      <c r="H379" s="216" t="s">
        <v>2199</v>
      </c>
      <c r="I379" s="217"/>
      <c r="J379" s="217"/>
      <c r="K379" s="217"/>
      <c r="L379" s="217"/>
      <c r="M379" s="217"/>
      <c r="N379" s="217"/>
      <c r="O379" s="217"/>
      <c r="P379" s="217"/>
      <c r="Q379" s="218"/>
    </row>
    <row r="380" spans="1:17" s="219" customFormat="1" ht="30" hidden="1" x14ac:dyDescent="0.25">
      <c r="A380" s="214"/>
      <c r="B380" s="215" t="s">
        <v>1822</v>
      </c>
      <c r="C380" s="215" t="s">
        <v>1823</v>
      </c>
      <c r="D380" s="215" t="s">
        <v>1836</v>
      </c>
      <c r="E380" s="215" t="s">
        <v>2139</v>
      </c>
      <c r="F380" s="215" t="s">
        <v>1825</v>
      </c>
      <c r="G380" s="215" t="s">
        <v>422</v>
      </c>
      <c r="H380" s="216" t="s">
        <v>2200</v>
      </c>
      <c r="I380" s="217"/>
      <c r="J380" s="217"/>
      <c r="K380" s="217"/>
      <c r="L380" s="217"/>
      <c r="M380" s="217"/>
      <c r="N380" s="217"/>
      <c r="O380" s="217"/>
      <c r="P380" s="217"/>
      <c r="Q380" s="218"/>
    </row>
    <row r="381" spans="1:17" s="219" customFormat="1" hidden="1" x14ac:dyDescent="0.25">
      <c r="A381" s="214"/>
      <c r="B381" s="215" t="s">
        <v>1822</v>
      </c>
      <c r="C381" s="215" t="s">
        <v>1823</v>
      </c>
      <c r="D381" s="215" t="s">
        <v>1836</v>
      </c>
      <c r="E381" s="215" t="s">
        <v>2139</v>
      </c>
      <c r="F381" s="215" t="s">
        <v>1825</v>
      </c>
      <c r="G381" s="215" t="s">
        <v>423</v>
      </c>
      <c r="H381" s="216" t="s">
        <v>2201</v>
      </c>
      <c r="I381" s="217"/>
      <c r="J381" s="217"/>
      <c r="K381" s="217"/>
      <c r="L381" s="217"/>
      <c r="M381" s="217"/>
      <c r="N381" s="217"/>
      <c r="O381" s="217"/>
      <c r="P381" s="217"/>
      <c r="Q381" s="218"/>
    </row>
    <row r="382" spans="1:17" s="219" customFormat="1" ht="30" hidden="1" x14ac:dyDescent="0.25">
      <c r="A382" s="214"/>
      <c r="B382" s="215" t="s">
        <v>1822</v>
      </c>
      <c r="C382" s="215" t="s">
        <v>1823</v>
      </c>
      <c r="D382" s="215" t="s">
        <v>1836</v>
      </c>
      <c r="E382" s="215" t="s">
        <v>2139</v>
      </c>
      <c r="F382" s="215" t="s">
        <v>1825</v>
      </c>
      <c r="G382" s="215" t="s">
        <v>575</v>
      </c>
      <c r="H382" s="216" t="s">
        <v>2202</v>
      </c>
      <c r="I382" s="217"/>
      <c r="J382" s="217"/>
      <c r="K382" s="217"/>
      <c r="L382" s="217"/>
      <c r="M382" s="217"/>
      <c r="N382" s="217"/>
      <c r="O382" s="217"/>
      <c r="P382" s="217"/>
      <c r="Q382" s="218"/>
    </row>
    <row r="383" spans="1:17" s="219" customFormat="1" hidden="1" x14ac:dyDescent="0.25">
      <c r="A383" s="214"/>
      <c r="B383" s="215" t="s">
        <v>1822</v>
      </c>
      <c r="C383" s="215" t="s">
        <v>1823</v>
      </c>
      <c r="D383" s="215" t="s">
        <v>1836</v>
      </c>
      <c r="E383" s="215" t="s">
        <v>2139</v>
      </c>
      <c r="F383" s="215" t="s">
        <v>1825</v>
      </c>
      <c r="G383" s="215" t="s">
        <v>576</v>
      </c>
      <c r="H383" s="216" t="s">
        <v>2203</v>
      </c>
      <c r="I383" s="217"/>
      <c r="J383" s="217"/>
      <c r="K383" s="217"/>
      <c r="L383" s="217"/>
      <c r="M383" s="217"/>
      <c r="N383" s="217"/>
      <c r="O383" s="217"/>
      <c r="P383" s="217"/>
      <c r="Q383" s="218"/>
    </row>
    <row r="384" spans="1:17" s="219" customFormat="1" hidden="1" x14ac:dyDescent="0.25">
      <c r="A384" s="214"/>
      <c r="B384" s="215" t="s">
        <v>1822</v>
      </c>
      <c r="C384" s="215" t="s">
        <v>1823</v>
      </c>
      <c r="D384" s="215" t="s">
        <v>1836</v>
      </c>
      <c r="E384" s="215" t="s">
        <v>2139</v>
      </c>
      <c r="F384" s="215" t="s">
        <v>1825</v>
      </c>
      <c r="G384" s="215" t="s">
        <v>577</v>
      </c>
      <c r="H384" s="216" t="s">
        <v>2204</v>
      </c>
      <c r="I384" s="217"/>
      <c r="J384" s="217"/>
      <c r="K384" s="217"/>
      <c r="L384" s="217"/>
      <c r="M384" s="217"/>
      <c r="N384" s="217"/>
      <c r="O384" s="217"/>
      <c r="P384" s="217"/>
      <c r="Q384" s="218"/>
    </row>
    <row r="385" spans="1:17" s="219" customFormat="1" hidden="1" x14ac:dyDescent="0.25">
      <c r="A385" s="214"/>
      <c r="B385" s="215" t="s">
        <v>1822</v>
      </c>
      <c r="C385" s="215" t="s">
        <v>1823</v>
      </c>
      <c r="D385" s="215" t="s">
        <v>1836</v>
      </c>
      <c r="E385" s="215" t="s">
        <v>2139</v>
      </c>
      <c r="F385" s="215" t="s">
        <v>1825</v>
      </c>
      <c r="G385" s="215" t="s">
        <v>2205</v>
      </c>
      <c r="H385" s="216" t="s">
        <v>2206</v>
      </c>
      <c r="I385" s="217"/>
      <c r="J385" s="217"/>
      <c r="K385" s="217"/>
      <c r="L385" s="217"/>
      <c r="M385" s="217"/>
      <c r="N385" s="217"/>
      <c r="O385" s="217"/>
      <c r="P385" s="217"/>
      <c r="Q385" s="218"/>
    </row>
    <row r="386" spans="1:17" s="213" customFormat="1" hidden="1" x14ac:dyDescent="0.25">
      <c r="A386" s="208" t="s">
        <v>263</v>
      </c>
      <c r="B386" s="209" t="s">
        <v>1822</v>
      </c>
      <c r="C386" s="209" t="s">
        <v>1823</v>
      </c>
      <c r="D386" s="209" t="s">
        <v>1836</v>
      </c>
      <c r="E386" s="209" t="s">
        <v>2139</v>
      </c>
      <c r="F386" s="209" t="s">
        <v>1836</v>
      </c>
      <c r="G386" s="209"/>
      <c r="H386" s="210" t="s">
        <v>2207</v>
      </c>
      <c r="I386" s="211">
        <f>SUM(I387:I392)</f>
        <v>0</v>
      </c>
      <c r="J386" s="211">
        <f t="shared" ref="J386:P386" si="37">SUM(J387:J392)</f>
        <v>0</v>
      </c>
      <c r="K386" s="211">
        <f t="shared" si="37"/>
        <v>0</v>
      </c>
      <c r="L386" s="211">
        <f t="shared" si="37"/>
        <v>0</v>
      </c>
      <c r="M386" s="211">
        <f t="shared" si="37"/>
        <v>0</v>
      </c>
      <c r="N386" s="211">
        <f t="shared" si="37"/>
        <v>0</v>
      </c>
      <c r="O386" s="211">
        <f t="shared" si="37"/>
        <v>0</v>
      </c>
      <c r="P386" s="211">
        <f t="shared" si="37"/>
        <v>0</v>
      </c>
      <c r="Q386" s="212"/>
    </row>
    <row r="387" spans="1:17" s="219" customFormat="1" hidden="1" x14ac:dyDescent="0.25">
      <c r="A387" s="214"/>
      <c r="B387" s="215" t="s">
        <v>1822</v>
      </c>
      <c r="C387" s="215" t="s">
        <v>1823</v>
      </c>
      <c r="D387" s="215" t="s">
        <v>1836</v>
      </c>
      <c r="E387" s="215" t="s">
        <v>2139</v>
      </c>
      <c r="F387" s="215" t="s">
        <v>1836</v>
      </c>
      <c r="G387" s="215" t="s">
        <v>58</v>
      </c>
      <c r="H387" s="216" t="s">
        <v>2208</v>
      </c>
      <c r="I387" s="217"/>
      <c r="J387" s="217"/>
      <c r="K387" s="217"/>
      <c r="L387" s="217"/>
      <c r="M387" s="217"/>
      <c r="N387" s="217"/>
      <c r="O387" s="217"/>
      <c r="P387" s="217"/>
      <c r="Q387" s="218"/>
    </row>
    <row r="388" spans="1:17" s="219" customFormat="1" hidden="1" x14ac:dyDescent="0.25">
      <c r="A388" s="214"/>
      <c r="B388" s="215" t="s">
        <v>1822</v>
      </c>
      <c r="C388" s="215" t="s">
        <v>1823</v>
      </c>
      <c r="D388" s="215" t="s">
        <v>1836</v>
      </c>
      <c r="E388" s="215" t="s">
        <v>2139</v>
      </c>
      <c r="F388" s="215" t="s">
        <v>1836</v>
      </c>
      <c r="G388" s="215" t="s">
        <v>75</v>
      </c>
      <c r="H388" s="216" t="s">
        <v>2209</v>
      </c>
      <c r="I388" s="217"/>
      <c r="J388" s="217"/>
      <c r="K388" s="217"/>
      <c r="L388" s="217"/>
      <c r="M388" s="217"/>
      <c r="N388" s="217"/>
      <c r="O388" s="217"/>
      <c r="P388" s="217"/>
      <c r="Q388" s="218"/>
    </row>
    <row r="389" spans="1:17" s="219" customFormat="1" hidden="1" x14ac:dyDescent="0.25">
      <c r="A389" s="214"/>
      <c r="B389" s="215" t="s">
        <v>1822</v>
      </c>
      <c r="C389" s="215" t="s">
        <v>1823</v>
      </c>
      <c r="D389" s="215" t="s">
        <v>1836</v>
      </c>
      <c r="E389" s="215" t="s">
        <v>2139</v>
      </c>
      <c r="F389" s="215" t="s">
        <v>1836</v>
      </c>
      <c r="G389" s="215" t="s">
        <v>79</v>
      </c>
      <c r="H389" s="216" t="s">
        <v>2210</v>
      </c>
      <c r="I389" s="217"/>
      <c r="J389" s="217"/>
      <c r="K389" s="217"/>
      <c r="L389" s="217"/>
      <c r="M389" s="217"/>
      <c r="N389" s="217"/>
      <c r="O389" s="217"/>
      <c r="P389" s="217"/>
      <c r="Q389" s="218"/>
    </row>
    <row r="390" spans="1:17" s="219" customFormat="1" hidden="1" x14ac:dyDescent="0.25">
      <c r="A390" s="214"/>
      <c r="B390" s="215" t="s">
        <v>1822</v>
      </c>
      <c r="C390" s="215" t="s">
        <v>1823</v>
      </c>
      <c r="D390" s="215" t="s">
        <v>1836</v>
      </c>
      <c r="E390" s="215" t="s">
        <v>2139</v>
      </c>
      <c r="F390" s="215" t="s">
        <v>1836</v>
      </c>
      <c r="G390" s="215" t="s">
        <v>84</v>
      </c>
      <c r="H390" s="216" t="s">
        <v>2211</v>
      </c>
      <c r="I390" s="217"/>
      <c r="J390" s="217"/>
      <c r="K390" s="217"/>
      <c r="L390" s="217"/>
      <c r="M390" s="217"/>
      <c r="N390" s="217"/>
      <c r="O390" s="217"/>
      <c r="P390" s="217"/>
      <c r="Q390" s="218"/>
    </row>
    <row r="391" spans="1:17" s="219" customFormat="1" hidden="1" x14ac:dyDescent="0.25">
      <c r="A391" s="214"/>
      <c r="B391" s="215" t="s">
        <v>1822</v>
      </c>
      <c r="C391" s="215" t="s">
        <v>1823</v>
      </c>
      <c r="D391" s="215" t="s">
        <v>1836</v>
      </c>
      <c r="E391" s="215" t="s">
        <v>2139</v>
      </c>
      <c r="F391" s="215" t="s">
        <v>1836</v>
      </c>
      <c r="G391" s="215" t="s">
        <v>88</v>
      </c>
      <c r="H391" s="216" t="s">
        <v>2212</v>
      </c>
      <c r="I391" s="217"/>
      <c r="J391" s="217"/>
      <c r="K391" s="217"/>
      <c r="L391" s="217"/>
      <c r="M391" s="217"/>
      <c r="N391" s="217"/>
      <c r="O391" s="217"/>
      <c r="P391" s="217"/>
      <c r="Q391" s="218"/>
    </row>
    <row r="392" spans="1:17" s="219" customFormat="1" ht="30" hidden="1" x14ac:dyDescent="0.25">
      <c r="A392" s="214"/>
      <c r="B392" s="215" t="s">
        <v>1822</v>
      </c>
      <c r="C392" s="215" t="s">
        <v>1823</v>
      </c>
      <c r="D392" s="215" t="s">
        <v>1836</v>
      </c>
      <c r="E392" s="215" t="s">
        <v>2139</v>
      </c>
      <c r="F392" s="215" t="s">
        <v>1836</v>
      </c>
      <c r="G392" s="215" t="s">
        <v>92</v>
      </c>
      <c r="H392" s="216" t="s">
        <v>2213</v>
      </c>
      <c r="I392" s="217"/>
      <c r="J392" s="217"/>
      <c r="K392" s="217"/>
      <c r="L392" s="217"/>
      <c r="M392" s="217"/>
      <c r="N392" s="217"/>
      <c r="O392" s="217"/>
      <c r="P392" s="217"/>
      <c r="Q392" s="218"/>
    </row>
    <row r="393" spans="1:17" s="213" customFormat="1" hidden="1" x14ac:dyDescent="0.25">
      <c r="A393" s="208" t="s">
        <v>263</v>
      </c>
      <c r="B393" s="209" t="s">
        <v>1822</v>
      </c>
      <c r="C393" s="209" t="s">
        <v>1823</v>
      </c>
      <c r="D393" s="209" t="s">
        <v>1836</v>
      </c>
      <c r="E393" s="209" t="s">
        <v>2139</v>
      </c>
      <c r="F393" s="209" t="s">
        <v>1847</v>
      </c>
      <c r="G393" s="209"/>
      <c r="H393" s="210" t="s">
        <v>2214</v>
      </c>
      <c r="I393" s="211">
        <f>SUM(I394:I409)</f>
        <v>0</v>
      </c>
      <c r="J393" s="211">
        <f t="shared" ref="J393:P393" si="38">SUM(J394:J409)</f>
        <v>0</v>
      </c>
      <c r="K393" s="211">
        <f t="shared" si="38"/>
        <v>0</v>
      </c>
      <c r="L393" s="211">
        <f t="shared" si="38"/>
        <v>0</v>
      </c>
      <c r="M393" s="211">
        <f t="shared" si="38"/>
        <v>0</v>
      </c>
      <c r="N393" s="211">
        <f t="shared" si="38"/>
        <v>0</v>
      </c>
      <c r="O393" s="211">
        <f t="shared" si="38"/>
        <v>0</v>
      </c>
      <c r="P393" s="211">
        <f t="shared" si="38"/>
        <v>0</v>
      </c>
      <c r="Q393" s="212"/>
    </row>
    <row r="394" spans="1:17" s="219" customFormat="1" ht="30" hidden="1" x14ac:dyDescent="0.25">
      <c r="A394" s="214"/>
      <c r="B394" s="215" t="s">
        <v>1822</v>
      </c>
      <c r="C394" s="215" t="s">
        <v>1823</v>
      </c>
      <c r="D394" s="215" t="s">
        <v>1836</v>
      </c>
      <c r="E394" s="215" t="s">
        <v>2139</v>
      </c>
      <c r="F394" s="215" t="s">
        <v>1847</v>
      </c>
      <c r="G394" s="215" t="s">
        <v>58</v>
      </c>
      <c r="H394" s="216" t="s">
        <v>2215</v>
      </c>
      <c r="I394" s="217"/>
      <c r="J394" s="217"/>
      <c r="K394" s="217"/>
      <c r="L394" s="217"/>
      <c r="M394" s="217"/>
      <c r="N394" s="217"/>
      <c r="O394" s="217"/>
      <c r="P394" s="217"/>
      <c r="Q394" s="218"/>
    </row>
    <row r="395" spans="1:17" s="219" customFormat="1" ht="30" hidden="1" x14ac:dyDescent="0.25">
      <c r="A395" s="214"/>
      <c r="B395" s="215" t="s">
        <v>1822</v>
      </c>
      <c r="C395" s="215" t="s">
        <v>1823</v>
      </c>
      <c r="D395" s="215" t="s">
        <v>1836</v>
      </c>
      <c r="E395" s="215" t="s">
        <v>2139</v>
      </c>
      <c r="F395" s="215" t="s">
        <v>1847</v>
      </c>
      <c r="G395" s="215" t="s">
        <v>75</v>
      </c>
      <c r="H395" s="216" t="s">
        <v>2216</v>
      </c>
      <c r="I395" s="217"/>
      <c r="J395" s="217"/>
      <c r="K395" s="217"/>
      <c r="L395" s="217"/>
      <c r="M395" s="217"/>
      <c r="N395" s="217"/>
      <c r="O395" s="217"/>
      <c r="P395" s="217"/>
      <c r="Q395" s="218"/>
    </row>
    <row r="396" spans="1:17" s="219" customFormat="1" ht="30" hidden="1" x14ac:dyDescent="0.25">
      <c r="A396" s="214"/>
      <c r="B396" s="215" t="s">
        <v>1822</v>
      </c>
      <c r="C396" s="215" t="s">
        <v>1823</v>
      </c>
      <c r="D396" s="215" t="s">
        <v>1836</v>
      </c>
      <c r="E396" s="215" t="s">
        <v>2139</v>
      </c>
      <c r="F396" s="215" t="s">
        <v>1847</v>
      </c>
      <c r="G396" s="215" t="s">
        <v>79</v>
      </c>
      <c r="H396" s="216" t="s">
        <v>2217</v>
      </c>
      <c r="I396" s="217"/>
      <c r="J396" s="217"/>
      <c r="K396" s="217"/>
      <c r="L396" s="217"/>
      <c r="M396" s="217"/>
      <c r="N396" s="217"/>
      <c r="O396" s="217"/>
      <c r="P396" s="217"/>
      <c r="Q396" s="218"/>
    </row>
    <row r="397" spans="1:17" s="219" customFormat="1" ht="30" hidden="1" x14ac:dyDescent="0.25">
      <c r="A397" s="214"/>
      <c r="B397" s="215" t="s">
        <v>1822</v>
      </c>
      <c r="C397" s="215" t="s">
        <v>1823</v>
      </c>
      <c r="D397" s="215" t="s">
        <v>1836</v>
      </c>
      <c r="E397" s="215" t="s">
        <v>2139</v>
      </c>
      <c r="F397" s="215" t="s">
        <v>1847</v>
      </c>
      <c r="G397" s="215" t="s">
        <v>84</v>
      </c>
      <c r="H397" s="216" t="s">
        <v>2218</v>
      </c>
      <c r="I397" s="217"/>
      <c r="J397" s="217"/>
      <c r="K397" s="217"/>
      <c r="L397" s="217"/>
      <c r="M397" s="217"/>
      <c r="N397" s="217"/>
      <c r="O397" s="217"/>
      <c r="P397" s="217"/>
      <c r="Q397" s="218"/>
    </row>
    <row r="398" spans="1:17" s="219" customFormat="1" ht="30" hidden="1" x14ac:dyDescent="0.25">
      <c r="A398" s="214"/>
      <c r="B398" s="215" t="s">
        <v>1822</v>
      </c>
      <c r="C398" s="215" t="s">
        <v>1823</v>
      </c>
      <c r="D398" s="215" t="s">
        <v>1836</v>
      </c>
      <c r="E398" s="215" t="s">
        <v>2139</v>
      </c>
      <c r="F398" s="215" t="s">
        <v>1847</v>
      </c>
      <c r="G398" s="215" t="s">
        <v>88</v>
      </c>
      <c r="H398" s="216" t="s">
        <v>2219</v>
      </c>
      <c r="I398" s="217"/>
      <c r="J398" s="217"/>
      <c r="K398" s="217"/>
      <c r="L398" s="217"/>
      <c r="M398" s="217"/>
      <c r="N398" s="217"/>
      <c r="O398" s="217"/>
      <c r="P398" s="217"/>
      <c r="Q398" s="218"/>
    </row>
    <row r="399" spans="1:17" s="219" customFormat="1" ht="30" hidden="1" x14ac:dyDescent="0.25">
      <c r="A399" s="214"/>
      <c r="B399" s="215" t="s">
        <v>1822</v>
      </c>
      <c r="C399" s="215" t="s">
        <v>1823</v>
      </c>
      <c r="D399" s="215" t="s">
        <v>1836</v>
      </c>
      <c r="E399" s="215" t="s">
        <v>2139</v>
      </c>
      <c r="F399" s="215" t="s">
        <v>1847</v>
      </c>
      <c r="G399" s="215" t="s">
        <v>92</v>
      </c>
      <c r="H399" s="216" t="s">
        <v>2220</v>
      </c>
      <c r="I399" s="217"/>
      <c r="J399" s="217"/>
      <c r="K399" s="217"/>
      <c r="L399" s="217"/>
      <c r="M399" s="217"/>
      <c r="N399" s="217"/>
      <c r="O399" s="217"/>
      <c r="P399" s="217"/>
      <c r="Q399" s="218"/>
    </row>
    <row r="400" spans="1:17" s="219" customFormat="1" ht="30" hidden="1" x14ac:dyDescent="0.25">
      <c r="A400" s="214"/>
      <c r="B400" s="215" t="s">
        <v>1822</v>
      </c>
      <c r="C400" s="215" t="s">
        <v>1823</v>
      </c>
      <c r="D400" s="215" t="s">
        <v>1836</v>
      </c>
      <c r="E400" s="215" t="s">
        <v>2139</v>
      </c>
      <c r="F400" s="215" t="s">
        <v>1847</v>
      </c>
      <c r="G400" s="215" t="s">
        <v>96</v>
      </c>
      <c r="H400" s="216" t="s">
        <v>2221</v>
      </c>
      <c r="I400" s="217"/>
      <c r="J400" s="217"/>
      <c r="K400" s="217"/>
      <c r="L400" s="217"/>
      <c r="M400" s="217"/>
      <c r="N400" s="217"/>
      <c r="O400" s="217"/>
      <c r="P400" s="217"/>
      <c r="Q400" s="218"/>
    </row>
    <row r="401" spans="1:17" s="219" customFormat="1" ht="30" hidden="1" x14ac:dyDescent="0.25">
      <c r="A401" s="214"/>
      <c r="B401" s="215" t="s">
        <v>1822</v>
      </c>
      <c r="C401" s="215" t="s">
        <v>1823</v>
      </c>
      <c r="D401" s="215" t="s">
        <v>1836</v>
      </c>
      <c r="E401" s="215" t="s">
        <v>2139</v>
      </c>
      <c r="F401" s="215" t="s">
        <v>1847</v>
      </c>
      <c r="G401" s="215" t="s">
        <v>100</v>
      </c>
      <c r="H401" s="216" t="s">
        <v>2222</v>
      </c>
      <c r="I401" s="217"/>
      <c r="J401" s="217"/>
      <c r="K401" s="217"/>
      <c r="L401" s="217"/>
      <c r="M401" s="217"/>
      <c r="N401" s="217"/>
      <c r="O401" s="217"/>
      <c r="P401" s="217"/>
      <c r="Q401" s="218"/>
    </row>
    <row r="402" spans="1:17" s="219" customFormat="1" ht="30" hidden="1" x14ac:dyDescent="0.25">
      <c r="A402" s="214"/>
      <c r="B402" s="215" t="s">
        <v>1822</v>
      </c>
      <c r="C402" s="215" t="s">
        <v>1823</v>
      </c>
      <c r="D402" s="215" t="s">
        <v>1836</v>
      </c>
      <c r="E402" s="215" t="s">
        <v>2139</v>
      </c>
      <c r="F402" s="215" t="s">
        <v>1847</v>
      </c>
      <c r="G402" s="215" t="s">
        <v>105</v>
      </c>
      <c r="H402" s="216" t="s">
        <v>2223</v>
      </c>
      <c r="I402" s="217"/>
      <c r="J402" s="217"/>
      <c r="K402" s="217"/>
      <c r="L402" s="217"/>
      <c r="M402" s="217"/>
      <c r="N402" s="217"/>
      <c r="O402" s="217"/>
      <c r="P402" s="217"/>
      <c r="Q402" s="218"/>
    </row>
    <row r="403" spans="1:17" s="219" customFormat="1" ht="30" hidden="1" x14ac:dyDescent="0.25">
      <c r="A403" s="214"/>
      <c r="B403" s="215" t="s">
        <v>1822</v>
      </c>
      <c r="C403" s="215" t="s">
        <v>1823</v>
      </c>
      <c r="D403" s="215" t="s">
        <v>1836</v>
      </c>
      <c r="E403" s="215" t="s">
        <v>2139</v>
      </c>
      <c r="F403" s="215" t="s">
        <v>1847</v>
      </c>
      <c r="G403" s="215" t="s">
        <v>108</v>
      </c>
      <c r="H403" s="216" t="s">
        <v>2224</v>
      </c>
      <c r="I403" s="217"/>
      <c r="J403" s="217"/>
      <c r="K403" s="217"/>
      <c r="L403" s="217"/>
      <c r="M403" s="217"/>
      <c r="N403" s="217"/>
      <c r="O403" s="217"/>
      <c r="P403" s="217"/>
      <c r="Q403" s="218"/>
    </row>
    <row r="404" spans="1:17" s="219" customFormat="1" ht="30" hidden="1" x14ac:dyDescent="0.25">
      <c r="A404" s="214"/>
      <c r="B404" s="215" t="s">
        <v>1822</v>
      </c>
      <c r="C404" s="215" t="s">
        <v>1823</v>
      </c>
      <c r="D404" s="215" t="s">
        <v>1836</v>
      </c>
      <c r="E404" s="215" t="s">
        <v>2139</v>
      </c>
      <c r="F404" s="215" t="s">
        <v>1847</v>
      </c>
      <c r="G404" s="215" t="s">
        <v>135</v>
      </c>
      <c r="H404" s="216" t="s">
        <v>2225</v>
      </c>
      <c r="I404" s="217"/>
      <c r="J404" s="217"/>
      <c r="K404" s="217"/>
      <c r="L404" s="217"/>
      <c r="M404" s="217"/>
      <c r="N404" s="217"/>
      <c r="O404" s="217"/>
      <c r="P404" s="217"/>
      <c r="Q404" s="218"/>
    </row>
    <row r="405" spans="1:17" s="219" customFormat="1" ht="30" hidden="1" x14ac:dyDescent="0.25">
      <c r="A405" s="214"/>
      <c r="B405" s="215" t="s">
        <v>1822</v>
      </c>
      <c r="C405" s="215" t="s">
        <v>1823</v>
      </c>
      <c r="D405" s="215" t="s">
        <v>1836</v>
      </c>
      <c r="E405" s="215" t="s">
        <v>2139</v>
      </c>
      <c r="F405" s="215" t="s">
        <v>1847</v>
      </c>
      <c r="G405" s="215" t="s">
        <v>138</v>
      </c>
      <c r="H405" s="216" t="s">
        <v>2226</v>
      </c>
      <c r="I405" s="217"/>
      <c r="J405" s="217"/>
      <c r="K405" s="217"/>
      <c r="L405" s="217"/>
      <c r="M405" s="217"/>
      <c r="N405" s="217"/>
      <c r="O405" s="217"/>
      <c r="P405" s="217"/>
      <c r="Q405" s="218"/>
    </row>
    <row r="406" spans="1:17" s="219" customFormat="1" ht="45" hidden="1" x14ac:dyDescent="0.25">
      <c r="A406" s="214"/>
      <c r="B406" s="215" t="s">
        <v>1822</v>
      </c>
      <c r="C406" s="215" t="s">
        <v>1823</v>
      </c>
      <c r="D406" s="215" t="s">
        <v>1836</v>
      </c>
      <c r="E406" s="215" t="s">
        <v>2139</v>
      </c>
      <c r="F406" s="215" t="s">
        <v>1847</v>
      </c>
      <c r="G406" s="215" t="s">
        <v>140</v>
      </c>
      <c r="H406" s="216" t="s">
        <v>2227</v>
      </c>
      <c r="I406" s="217"/>
      <c r="J406" s="217"/>
      <c r="K406" s="217"/>
      <c r="L406" s="217"/>
      <c r="M406" s="217"/>
      <c r="N406" s="217"/>
      <c r="O406" s="217"/>
      <c r="P406" s="217"/>
      <c r="Q406" s="218"/>
    </row>
    <row r="407" spans="1:17" s="219" customFormat="1" hidden="1" x14ac:dyDescent="0.25">
      <c r="A407" s="214"/>
      <c r="B407" s="215" t="s">
        <v>1822</v>
      </c>
      <c r="C407" s="215" t="s">
        <v>1823</v>
      </c>
      <c r="D407" s="215" t="s">
        <v>1836</v>
      </c>
      <c r="E407" s="215" t="s">
        <v>2139</v>
      </c>
      <c r="F407" s="215" t="s">
        <v>1847</v>
      </c>
      <c r="G407" s="215" t="s">
        <v>143</v>
      </c>
      <c r="H407" s="216" t="s">
        <v>2228</v>
      </c>
      <c r="I407" s="217"/>
      <c r="J407" s="217"/>
      <c r="K407" s="217"/>
      <c r="L407" s="217"/>
      <c r="M407" s="217"/>
      <c r="N407" s="217"/>
      <c r="O407" s="217"/>
      <c r="P407" s="217"/>
      <c r="Q407" s="218"/>
    </row>
    <row r="408" spans="1:17" s="219" customFormat="1" hidden="1" x14ac:dyDescent="0.25">
      <c r="A408" s="214"/>
      <c r="B408" s="215" t="s">
        <v>1822</v>
      </c>
      <c r="C408" s="215" t="s">
        <v>1823</v>
      </c>
      <c r="D408" s="215" t="s">
        <v>1836</v>
      </c>
      <c r="E408" s="215" t="s">
        <v>2139</v>
      </c>
      <c r="F408" s="215" t="s">
        <v>1847</v>
      </c>
      <c r="G408" s="215" t="s">
        <v>146</v>
      </c>
      <c r="H408" s="216" t="s">
        <v>2229</v>
      </c>
      <c r="I408" s="217"/>
      <c r="J408" s="217"/>
      <c r="K408" s="217"/>
      <c r="L408" s="217"/>
      <c r="M408" s="217"/>
      <c r="N408" s="217"/>
      <c r="O408" s="217"/>
      <c r="P408" s="217"/>
      <c r="Q408" s="218"/>
    </row>
    <row r="409" spans="1:17" s="219" customFormat="1" hidden="1" x14ac:dyDescent="0.25">
      <c r="A409" s="214"/>
      <c r="B409" s="215" t="s">
        <v>1822</v>
      </c>
      <c r="C409" s="215" t="s">
        <v>1823</v>
      </c>
      <c r="D409" s="215" t="s">
        <v>1836</v>
      </c>
      <c r="E409" s="215" t="s">
        <v>2139</v>
      </c>
      <c r="F409" s="215" t="s">
        <v>1847</v>
      </c>
      <c r="G409" s="215" t="s">
        <v>150</v>
      </c>
      <c r="H409" s="216" t="s">
        <v>2230</v>
      </c>
      <c r="I409" s="217"/>
      <c r="J409" s="217"/>
      <c r="K409" s="217"/>
      <c r="L409" s="217"/>
      <c r="M409" s="217"/>
      <c r="N409" s="217"/>
      <c r="O409" s="217"/>
      <c r="P409" s="217"/>
      <c r="Q409" s="218"/>
    </row>
    <row r="410" spans="1:17" s="213" customFormat="1" ht="30" hidden="1" x14ac:dyDescent="0.25">
      <c r="A410" s="208" t="s">
        <v>263</v>
      </c>
      <c r="B410" s="209" t="s">
        <v>1822</v>
      </c>
      <c r="C410" s="209" t="s">
        <v>1823</v>
      </c>
      <c r="D410" s="209" t="s">
        <v>1836</v>
      </c>
      <c r="E410" s="209" t="s">
        <v>2139</v>
      </c>
      <c r="F410" s="209" t="s">
        <v>1928</v>
      </c>
      <c r="G410" s="209"/>
      <c r="H410" s="210" t="s">
        <v>2231</v>
      </c>
      <c r="I410" s="211">
        <f>SUM(I411:I420)</f>
        <v>0</v>
      </c>
      <c r="J410" s="211">
        <f t="shared" ref="J410:P410" si="39">SUM(J411:J420)</f>
        <v>0</v>
      </c>
      <c r="K410" s="211">
        <f t="shared" si="39"/>
        <v>0</v>
      </c>
      <c r="L410" s="211">
        <f t="shared" si="39"/>
        <v>0</v>
      </c>
      <c r="M410" s="211">
        <f t="shared" si="39"/>
        <v>0</v>
      </c>
      <c r="N410" s="211">
        <f t="shared" si="39"/>
        <v>0</v>
      </c>
      <c r="O410" s="211">
        <f t="shared" si="39"/>
        <v>0</v>
      </c>
      <c r="P410" s="211">
        <f t="shared" si="39"/>
        <v>0</v>
      </c>
      <c r="Q410" s="212"/>
    </row>
    <row r="411" spans="1:17" s="219" customFormat="1" hidden="1" x14ac:dyDescent="0.25">
      <c r="A411" s="214"/>
      <c r="B411" s="215" t="s">
        <v>1822</v>
      </c>
      <c r="C411" s="215" t="s">
        <v>1823</v>
      </c>
      <c r="D411" s="215" t="s">
        <v>1836</v>
      </c>
      <c r="E411" s="215" t="s">
        <v>2139</v>
      </c>
      <c r="F411" s="215" t="s">
        <v>1928</v>
      </c>
      <c r="G411" s="215" t="s">
        <v>58</v>
      </c>
      <c r="H411" s="216" t="s">
        <v>2232</v>
      </c>
      <c r="I411" s="217"/>
      <c r="J411" s="217"/>
      <c r="K411" s="217"/>
      <c r="L411" s="217"/>
      <c r="M411" s="217"/>
      <c r="N411" s="217"/>
      <c r="O411" s="217"/>
      <c r="P411" s="217"/>
      <c r="Q411" s="218"/>
    </row>
    <row r="412" spans="1:17" s="219" customFormat="1" ht="30" hidden="1" x14ac:dyDescent="0.25">
      <c r="A412" s="214"/>
      <c r="B412" s="215" t="s">
        <v>1822</v>
      </c>
      <c r="C412" s="215" t="s">
        <v>1823</v>
      </c>
      <c r="D412" s="215" t="s">
        <v>1836</v>
      </c>
      <c r="E412" s="215" t="s">
        <v>2139</v>
      </c>
      <c r="F412" s="215" t="s">
        <v>1928</v>
      </c>
      <c r="G412" s="215" t="s">
        <v>75</v>
      </c>
      <c r="H412" s="216" t="s">
        <v>2233</v>
      </c>
      <c r="I412" s="217"/>
      <c r="J412" s="217"/>
      <c r="K412" s="217"/>
      <c r="L412" s="217"/>
      <c r="M412" s="217"/>
      <c r="N412" s="217"/>
      <c r="O412" s="217"/>
      <c r="P412" s="217"/>
      <c r="Q412" s="218"/>
    </row>
    <row r="413" spans="1:17" s="219" customFormat="1" hidden="1" x14ac:dyDescent="0.25">
      <c r="A413" s="214"/>
      <c r="B413" s="215" t="s">
        <v>1822</v>
      </c>
      <c r="C413" s="215" t="s">
        <v>1823</v>
      </c>
      <c r="D413" s="215" t="s">
        <v>1836</v>
      </c>
      <c r="E413" s="215" t="s">
        <v>2139</v>
      </c>
      <c r="F413" s="215" t="s">
        <v>1928</v>
      </c>
      <c r="G413" s="215" t="s">
        <v>79</v>
      </c>
      <c r="H413" s="216" t="s">
        <v>2234</v>
      </c>
      <c r="I413" s="217"/>
      <c r="J413" s="217"/>
      <c r="K413" s="217"/>
      <c r="L413" s="217"/>
      <c r="M413" s="217"/>
      <c r="N413" s="217"/>
      <c r="O413" s="217"/>
      <c r="P413" s="217"/>
      <c r="Q413" s="218"/>
    </row>
    <row r="414" spans="1:17" s="219" customFormat="1" hidden="1" x14ac:dyDescent="0.25">
      <c r="A414" s="214"/>
      <c r="B414" s="215" t="s">
        <v>1822</v>
      </c>
      <c r="C414" s="215" t="s">
        <v>1823</v>
      </c>
      <c r="D414" s="215" t="s">
        <v>1836</v>
      </c>
      <c r="E414" s="215" t="s">
        <v>2139</v>
      </c>
      <c r="F414" s="215" t="s">
        <v>1928</v>
      </c>
      <c r="G414" s="215" t="s">
        <v>84</v>
      </c>
      <c r="H414" s="216" t="s">
        <v>2235</v>
      </c>
      <c r="I414" s="217"/>
      <c r="J414" s="217"/>
      <c r="K414" s="217"/>
      <c r="L414" s="217"/>
      <c r="M414" s="217"/>
      <c r="N414" s="217"/>
      <c r="O414" s="217"/>
      <c r="P414" s="217"/>
      <c r="Q414" s="218"/>
    </row>
    <row r="415" spans="1:17" s="219" customFormat="1" hidden="1" x14ac:dyDescent="0.25">
      <c r="A415" s="214"/>
      <c r="B415" s="215" t="s">
        <v>1822</v>
      </c>
      <c r="C415" s="215" t="s">
        <v>1823</v>
      </c>
      <c r="D415" s="215" t="s">
        <v>1836</v>
      </c>
      <c r="E415" s="215" t="s">
        <v>2139</v>
      </c>
      <c r="F415" s="215" t="s">
        <v>1928</v>
      </c>
      <c r="G415" s="215" t="s">
        <v>88</v>
      </c>
      <c r="H415" s="216" t="s">
        <v>2236</v>
      </c>
      <c r="I415" s="217"/>
      <c r="J415" s="217"/>
      <c r="K415" s="217"/>
      <c r="L415" s="217"/>
      <c r="M415" s="217"/>
      <c r="N415" s="217"/>
      <c r="O415" s="217"/>
      <c r="P415" s="217"/>
      <c r="Q415" s="218"/>
    </row>
    <row r="416" spans="1:17" s="219" customFormat="1" hidden="1" x14ac:dyDescent="0.25">
      <c r="A416" s="214"/>
      <c r="B416" s="215" t="s">
        <v>1822</v>
      </c>
      <c r="C416" s="215" t="s">
        <v>1823</v>
      </c>
      <c r="D416" s="215" t="s">
        <v>1836</v>
      </c>
      <c r="E416" s="215" t="s">
        <v>2139</v>
      </c>
      <c r="F416" s="215" t="s">
        <v>1928</v>
      </c>
      <c r="G416" s="215" t="s">
        <v>92</v>
      </c>
      <c r="H416" s="216" t="s">
        <v>2237</v>
      </c>
      <c r="I416" s="217"/>
      <c r="J416" s="217"/>
      <c r="K416" s="217"/>
      <c r="L416" s="217"/>
      <c r="M416" s="217"/>
      <c r="N416" s="217"/>
      <c r="O416" s="217"/>
      <c r="P416" s="217"/>
      <c r="Q416" s="218"/>
    </row>
    <row r="417" spans="1:17" s="219" customFormat="1" hidden="1" x14ac:dyDescent="0.25">
      <c r="A417" s="214"/>
      <c r="B417" s="215" t="s">
        <v>1822</v>
      </c>
      <c r="C417" s="215" t="s">
        <v>1823</v>
      </c>
      <c r="D417" s="215" t="s">
        <v>1836</v>
      </c>
      <c r="E417" s="215" t="s">
        <v>2139</v>
      </c>
      <c r="F417" s="215" t="s">
        <v>1928</v>
      </c>
      <c r="G417" s="215" t="s">
        <v>96</v>
      </c>
      <c r="H417" s="216" t="s">
        <v>2238</v>
      </c>
      <c r="I417" s="217"/>
      <c r="J417" s="217"/>
      <c r="K417" s="217"/>
      <c r="L417" s="217"/>
      <c r="M417" s="217"/>
      <c r="N417" s="217"/>
      <c r="O417" s="217"/>
      <c r="P417" s="217"/>
      <c r="Q417" s="218"/>
    </row>
    <row r="418" spans="1:17" s="219" customFormat="1" hidden="1" x14ac:dyDescent="0.25">
      <c r="A418" s="214"/>
      <c r="B418" s="215" t="s">
        <v>1822</v>
      </c>
      <c r="C418" s="215" t="s">
        <v>1823</v>
      </c>
      <c r="D418" s="215" t="s">
        <v>1836</v>
      </c>
      <c r="E418" s="215" t="s">
        <v>2139</v>
      </c>
      <c r="F418" s="215" t="s">
        <v>1928</v>
      </c>
      <c r="G418" s="215" t="s">
        <v>100</v>
      </c>
      <c r="H418" s="216" t="s">
        <v>2239</v>
      </c>
      <c r="I418" s="217"/>
      <c r="J418" s="217"/>
      <c r="K418" s="217"/>
      <c r="L418" s="217"/>
      <c r="M418" s="217"/>
      <c r="N418" s="217"/>
      <c r="O418" s="217"/>
      <c r="P418" s="217"/>
      <c r="Q418" s="218"/>
    </row>
    <row r="419" spans="1:17" s="219" customFormat="1" hidden="1" x14ac:dyDescent="0.25">
      <c r="A419" s="214"/>
      <c r="B419" s="215" t="s">
        <v>1822</v>
      </c>
      <c r="C419" s="215" t="s">
        <v>1823</v>
      </c>
      <c r="D419" s="215" t="s">
        <v>1836</v>
      </c>
      <c r="E419" s="215" t="s">
        <v>2139</v>
      </c>
      <c r="F419" s="215" t="s">
        <v>1928</v>
      </c>
      <c r="G419" s="215" t="s">
        <v>105</v>
      </c>
      <c r="H419" s="216" t="s">
        <v>2240</v>
      </c>
      <c r="I419" s="217"/>
      <c r="J419" s="217"/>
      <c r="K419" s="217"/>
      <c r="L419" s="217"/>
      <c r="M419" s="217"/>
      <c r="N419" s="217"/>
      <c r="O419" s="217"/>
      <c r="P419" s="217"/>
      <c r="Q419" s="218"/>
    </row>
    <row r="420" spans="1:17" s="219" customFormat="1" ht="30" hidden="1" x14ac:dyDescent="0.25">
      <c r="A420" s="214"/>
      <c r="B420" s="215" t="s">
        <v>1822</v>
      </c>
      <c r="C420" s="215" t="s">
        <v>1823</v>
      </c>
      <c r="D420" s="215" t="s">
        <v>1836</v>
      </c>
      <c r="E420" s="215" t="s">
        <v>2139</v>
      </c>
      <c r="F420" s="215" t="s">
        <v>1928</v>
      </c>
      <c r="G420" s="215" t="s">
        <v>108</v>
      </c>
      <c r="H420" s="216" t="s">
        <v>2241</v>
      </c>
      <c r="I420" s="217"/>
      <c r="J420" s="217"/>
      <c r="K420" s="217"/>
      <c r="L420" s="217"/>
      <c r="M420" s="217"/>
      <c r="N420" s="217"/>
      <c r="O420" s="217"/>
      <c r="P420" s="217"/>
      <c r="Q420" s="218"/>
    </row>
    <row r="421" spans="1:17" s="213" customFormat="1" ht="30" hidden="1" x14ac:dyDescent="0.25">
      <c r="A421" s="208" t="s">
        <v>263</v>
      </c>
      <c r="B421" s="209" t="s">
        <v>1822</v>
      </c>
      <c r="C421" s="209" t="s">
        <v>1823</v>
      </c>
      <c r="D421" s="209" t="s">
        <v>1836</v>
      </c>
      <c r="E421" s="209" t="s">
        <v>2139</v>
      </c>
      <c r="F421" s="209" t="s">
        <v>1934</v>
      </c>
      <c r="G421" s="209"/>
      <c r="H421" s="210" t="s">
        <v>2242</v>
      </c>
      <c r="I421" s="211">
        <f>SUM(I422:I427)</f>
        <v>0</v>
      </c>
      <c r="J421" s="211">
        <f t="shared" ref="J421:P421" si="40">SUM(J422:J427)</f>
        <v>0</v>
      </c>
      <c r="K421" s="211">
        <f t="shared" si="40"/>
        <v>0</v>
      </c>
      <c r="L421" s="211">
        <f t="shared" si="40"/>
        <v>0</v>
      </c>
      <c r="M421" s="211">
        <f t="shared" si="40"/>
        <v>0</v>
      </c>
      <c r="N421" s="211">
        <f t="shared" si="40"/>
        <v>0</v>
      </c>
      <c r="O421" s="211">
        <f t="shared" si="40"/>
        <v>0</v>
      </c>
      <c r="P421" s="211">
        <f t="shared" si="40"/>
        <v>0</v>
      </c>
      <c r="Q421" s="212"/>
    </row>
    <row r="422" spans="1:17" s="219" customFormat="1" hidden="1" x14ac:dyDescent="0.25">
      <c r="A422" s="214"/>
      <c r="B422" s="215" t="s">
        <v>1822</v>
      </c>
      <c r="C422" s="215" t="s">
        <v>1823</v>
      </c>
      <c r="D422" s="215" t="s">
        <v>1836</v>
      </c>
      <c r="E422" s="215" t="s">
        <v>2139</v>
      </c>
      <c r="F422" s="215" t="s">
        <v>1934</v>
      </c>
      <c r="G422" s="215" t="s">
        <v>58</v>
      </c>
      <c r="H422" s="216" t="s">
        <v>2243</v>
      </c>
      <c r="I422" s="217"/>
      <c r="J422" s="217"/>
      <c r="K422" s="217"/>
      <c r="L422" s="217"/>
      <c r="M422" s="217"/>
      <c r="N422" s="217"/>
      <c r="O422" s="217"/>
      <c r="P422" s="217"/>
      <c r="Q422" s="218"/>
    </row>
    <row r="423" spans="1:17" s="219" customFormat="1" hidden="1" x14ac:dyDescent="0.25">
      <c r="A423" s="214"/>
      <c r="B423" s="215" t="s">
        <v>1822</v>
      </c>
      <c r="C423" s="215" t="s">
        <v>1823</v>
      </c>
      <c r="D423" s="215" t="s">
        <v>1836</v>
      </c>
      <c r="E423" s="215" t="s">
        <v>2139</v>
      </c>
      <c r="F423" s="215" t="s">
        <v>1934</v>
      </c>
      <c r="G423" s="215" t="s">
        <v>75</v>
      </c>
      <c r="H423" s="216" t="s">
        <v>2244</v>
      </c>
      <c r="I423" s="217"/>
      <c r="J423" s="217"/>
      <c r="K423" s="217"/>
      <c r="L423" s="217"/>
      <c r="M423" s="217"/>
      <c r="N423" s="217"/>
      <c r="O423" s="217"/>
      <c r="P423" s="217"/>
      <c r="Q423" s="218"/>
    </row>
    <row r="424" spans="1:17" s="219" customFormat="1" hidden="1" x14ac:dyDescent="0.25">
      <c r="A424" s="214"/>
      <c r="B424" s="215" t="s">
        <v>1822</v>
      </c>
      <c r="C424" s="215" t="s">
        <v>1823</v>
      </c>
      <c r="D424" s="215" t="s">
        <v>1836</v>
      </c>
      <c r="E424" s="215" t="s">
        <v>2139</v>
      </c>
      <c r="F424" s="215" t="s">
        <v>1934</v>
      </c>
      <c r="G424" s="215" t="s">
        <v>79</v>
      </c>
      <c r="H424" s="216" t="s">
        <v>2245</v>
      </c>
      <c r="I424" s="217"/>
      <c r="J424" s="217"/>
      <c r="K424" s="217"/>
      <c r="L424" s="217"/>
      <c r="M424" s="217"/>
      <c r="N424" s="217"/>
      <c r="O424" s="217"/>
      <c r="P424" s="217"/>
      <c r="Q424" s="218"/>
    </row>
    <row r="425" spans="1:17" s="219" customFormat="1" hidden="1" x14ac:dyDescent="0.25">
      <c r="A425" s="214"/>
      <c r="B425" s="215" t="s">
        <v>1822</v>
      </c>
      <c r="C425" s="215" t="s">
        <v>1823</v>
      </c>
      <c r="D425" s="215" t="s">
        <v>1836</v>
      </c>
      <c r="E425" s="215" t="s">
        <v>2139</v>
      </c>
      <c r="F425" s="215" t="s">
        <v>1934</v>
      </c>
      <c r="G425" s="215" t="s">
        <v>84</v>
      </c>
      <c r="H425" s="216" t="s">
        <v>2246</v>
      </c>
      <c r="I425" s="217"/>
      <c r="J425" s="217"/>
      <c r="K425" s="217"/>
      <c r="L425" s="217"/>
      <c r="M425" s="217"/>
      <c r="N425" s="217"/>
      <c r="O425" s="217"/>
      <c r="P425" s="217"/>
      <c r="Q425" s="218"/>
    </row>
    <row r="426" spans="1:17" s="219" customFormat="1" hidden="1" x14ac:dyDescent="0.25">
      <c r="A426" s="214"/>
      <c r="B426" s="215" t="s">
        <v>1822</v>
      </c>
      <c r="C426" s="215" t="s">
        <v>1823</v>
      </c>
      <c r="D426" s="215" t="s">
        <v>1836</v>
      </c>
      <c r="E426" s="215" t="s">
        <v>2139</v>
      </c>
      <c r="F426" s="215" t="s">
        <v>1934</v>
      </c>
      <c r="G426" s="215" t="s">
        <v>88</v>
      </c>
      <c r="H426" s="216" t="s">
        <v>2247</v>
      </c>
      <c r="I426" s="217"/>
      <c r="J426" s="217"/>
      <c r="K426" s="217"/>
      <c r="L426" s="217"/>
      <c r="M426" s="217"/>
      <c r="N426" s="217"/>
      <c r="O426" s="217"/>
      <c r="P426" s="217"/>
      <c r="Q426" s="218"/>
    </row>
    <row r="427" spans="1:17" s="219" customFormat="1" ht="30" hidden="1" x14ac:dyDescent="0.25">
      <c r="A427" s="214"/>
      <c r="B427" s="215" t="s">
        <v>1822</v>
      </c>
      <c r="C427" s="215" t="s">
        <v>1823</v>
      </c>
      <c r="D427" s="215" t="s">
        <v>1836</v>
      </c>
      <c r="E427" s="215" t="s">
        <v>2139</v>
      </c>
      <c r="F427" s="215" t="s">
        <v>1934</v>
      </c>
      <c r="G427" s="215" t="s">
        <v>92</v>
      </c>
      <c r="H427" s="216" t="s">
        <v>2248</v>
      </c>
      <c r="I427" s="217"/>
      <c r="J427" s="217"/>
      <c r="K427" s="217"/>
      <c r="L427" s="217"/>
      <c r="M427" s="217"/>
      <c r="N427" s="217"/>
      <c r="O427" s="217"/>
      <c r="P427" s="217"/>
      <c r="Q427" s="218"/>
    </row>
    <row r="428" spans="1:17" s="213" customFormat="1" ht="45" hidden="1" x14ac:dyDescent="0.25">
      <c r="A428" s="208" t="s">
        <v>263</v>
      </c>
      <c r="B428" s="209" t="s">
        <v>1822</v>
      </c>
      <c r="C428" s="209" t="s">
        <v>1823</v>
      </c>
      <c r="D428" s="209" t="s">
        <v>1836</v>
      </c>
      <c r="E428" s="209" t="s">
        <v>2139</v>
      </c>
      <c r="F428" s="209" t="s">
        <v>2022</v>
      </c>
      <c r="G428" s="209"/>
      <c r="H428" s="210" t="s">
        <v>2249</v>
      </c>
      <c r="I428" s="211">
        <f>SUM(I429:I432)</f>
        <v>0</v>
      </c>
      <c r="J428" s="211">
        <f t="shared" ref="J428:P428" si="41">SUM(J429:J432)</f>
        <v>0</v>
      </c>
      <c r="K428" s="211">
        <f t="shared" si="41"/>
        <v>0</v>
      </c>
      <c r="L428" s="211">
        <f t="shared" si="41"/>
        <v>0</v>
      </c>
      <c r="M428" s="211">
        <f t="shared" si="41"/>
        <v>0</v>
      </c>
      <c r="N428" s="211">
        <f t="shared" si="41"/>
        <v>0</v>
      </c>
      <c r="O428" s="211">
        <f t="shared" si="41"/>
        <v>0</v>
      </c>
      <c r="P428" s="211">
        <f t="shared" si="41"/>
        <v>0</v>
      </c>
      <c r="Q428" s="212"/>
    </row>
    <row r="429" spans="1:17" s="219" customFormat="1" hidden="1" x14ac:dyDescent="0.25">
      <c r="A429" s="214"/>
      <c r="B429" s="215" t="s">
        <v>1822</v>
      </c>
      <c r="C429" s="215" t="s">
        <v>1823</v>
      </c>
      <c r="D429" s="215" t="s">
        <v>1836</v>
      </c>
      <c r="E429" s="215" t="s">
        <v>2139</v>
      </c>
      <c r="F429" s="215" t="s">
        <v>2022</v>
      </c>
      <c r="G429" s="215" t="s">
        <v>58</v>
      </c>
      <c r="H429" s="216" t="s">
        <v>2250</v>
      </c>
      <c r="I429" s="217"/>
      <c r="J429" s="217"/>
      <c r="K429" s="217"/>
      <c r="L429" s="217"/>
      <c r="M429" s="217"/>
      <c r="N429" s="217"/>
      <c r="O429" s="217"/>
      <c r="P429" s="217"/>
      <c r="Q429" s="218"/>
    </row>
    <row r="430" spans="1:17" s="219" customFormat="1" hidden="1" x14ac:dyDescent="0.25">
      <c r="A430" s="214"/>
      <c r="B430" s="215" t="s">
        <v>1822</v>
      </c>
      <c r="C430" s="215" t="s">
        <v>1823</v>
      </c>
      <c r="D430" s="215" t="s">
        <v>1836</v>
      </c>
      <c r="E430" s="215" t="s">
        <v>2139</v>
      </c>
      <c r="F430" s="215" t="s">
        <v>2022</v>
      </c>
      <c r="G430" s="215" t="s">
        <v>75</v>
      </c>
      <c r="H430" s="216" t="s">
        <v>2251</v>
      </c>
      <c r="I430" s="217"/>
      <c r="J430" s="217"/>
      <c r="K430" s="217"/>
      <c r="L430" s="217"/>
      <c r="M430" s="217"/>
      <c r="N430" s="217"/>
      <c r="O430" s="217"/>
      <c r="P430" s="217"/>
      <c r="Q430" s="218"/>
    </row>
    <row r="431" spans="1:17" s="219" customFormat="1" hidden="1" x14ac:dyDescent="0.25">
      <c r="A431" s="214"/>
      <c r="B431" s="215" t="s">
        <v>1822</v>
      </c>
      <c r="C431" s="215" t="s">
        <v>1823</v>
      </c>
      <c r="D431" s="215" t="s">
        <v>1836</v>
      </c>
      <c r="E431" s="215" t="s">
        <v>2139</v>
      </c>
      <c r="F431" s="215" t="s">
        <v>2022</v>
      </c>
      <c r="G431" s="215" t="s">
        <v>79</v>
      </c>
      <c r="H431" s="216" t="s">
        <v>2252</v>
      </c>
      <c r="I431" s="217"/>
      <c r="J431" s="217"/>
      <c r="K431" s="217"/>
      <c r="L431" s="217"/>
      <c r="M431" s="217"/>
      <c r="N431" s="217"/>
      <c r="O431" s="217"/>
      <c r="P431" s="217"/>
      <c r="Q431" s="218"/>
    </row>
    <row r="432" spans="1:17" s="219" customFormat="1" ht="45" hidden="1" x14ac:dyDescent="0.25">
      <c r="A432" s="214"/>
      <c r="B432" s="215" t="s">
        <v>1822</v>
      </c>
      <c r="C432" s="215" t="s">
        <v>1823</v>
      </c>
      <c r="D432" s="215" t="s">
        <v>1836</v>
      </c>
      <c r="E432" s="215" t="s">
        <v>2139</v>
      </c>
      <c r="F432" s="215" t="s">
        <v>2022</v>
      </c>
      <c r="G432" s="215" t="s">
        <v>84</v>
      </c>
      <c r="H432" s="216" t="s">
        <v>2249</v>
      </c>
      <c r="I432" s="217"/>
      <c r="J432" s="217"/>
      <c r="K432" s="217"/>
      <c r="L432" s="217"/>
      <c r="M432" s="217"/>
      <c r="N432" s="217"/>
      <c r="O432" s="217"/>
      <c r="P432" s="217"/>
      <c r="Q432" s="218"/>
    </row>
    <row r="433" spans="1:17" s="213" customFormat="1" ht="30" hidden="1" x14ac:dyDescent="0.25">
      <c r="A433" s="208" t="s">
        <v>263</v>
      </c>
      <c r="B433" s="209" t="s">
        <v>1822</v>
      </c>
      <c r="C433" s="209" t="s">
        <v>1823</v>
      </c>
      <c r="D433" s="209" t="s">
        <v>1836</v>
      </c>
      <c r="E433" s="209" t="s">
        <v>2139</v>
      </c>
      <c r="F433" s="209" t="s">
        <v>2100</v>
      </c>
      <c r="G433" s="209"/>
      <c r="H433" s="210" t="s">
        <v>2253</v>
      </c>
      <c r="I433" s="211">
        <f>SUM(I434:I439)</f>
        <v>0</v>
      </c>
      <c r="J433" s="211">
        <f t="shared" ref="J433:P433" si="42">SUM(J434:J439)</f>
        <v>0</v>
      </c>
      <c r="K433" s="211">
        <f t="shared" si="42"/>
        <v>0</v>
      </c>
      <c r="L433" s="211">
        <f t="shared" si="42"/>
        <v>0</v>
      </c>
      <c r="M433" s="211">
        <f t="shared" si="42"/>
        <v>0</v>
      </c>
      <c r="N433" s="211">
        <f t="shared" si="42"/>
        <v>0</v>
      </c>
      <c r="O433" s="211">
        <f t="shared" si="42"/>
        <v>0</v>
      </c>
      <c r="P433" s="211">
        <f t="shared" si="42"/>
        <v>0</v>
      </c>
      <c r="Q433" s="212"/>
    </row>
    <row r="434" spans="1:17" s="219" customFormat="1" ht="30" hidden="1" x14ac:dyDescent="0.25">
      <c r="A434" s="214"/>
      <c r="B434" s="215" t="s">
        <v>1822</v>
      </c>
      <c r="C434" s="215" t="s">
        <v>1823</v>
      </c>
      <c r="D434" s="215" t="s">
        <v>1836</v>
      </c>
      <c r="E434" s="215" t="s">
        <v>2139</v>
      </c>
      <c r="F434" s="215" t="s">
        <v>2100</v>
      </c>
      <c r="G434" s="215" t="s">
        <v>58</v>
      </c>
      <c r="H434" s="216" t="s">
        <v>2254</v>
      </c>
      <c r="I434" s="217"/>
      <c r="J434" s="217"/>
      <c r="K434" s="217"/>
      <c r="L434" s="217"/>
      <c r="M434" s="217"/>
      <c r="N434" s="217"/>
      <c r="O434" s="217"/>
      <c r="P434" s="217"/>
      <c r="Q434" s="218"/>
    </row>
    <row r="435" spans="1:17" s="219" customFormat="1" hidden="1" x14ac:dyDescent="0.25">
      <c r="A435" s="214"/>
      <c r="B435" s="215" t="s">
        <v>1822</v>
      </c>
      <c r="C435" s="215" t="s">
        <v>1823</v>
      </c>
      <c r="D435" s="215" t="s">
        <v>1836</v>
      </c>
      <c r="E435" s="215" t="s">
        <v>2139</v>
      </c>
      <c r="F435" s="215" t="s">
        <v>2100</v>
      </c>
      <c r="G435" s="215" t="s">
        <v>75</v>
      </c>
      <c r="H435" s="216" t="s">
        <v>2255</v>
      </c>
      <c r="I435" s="217"/>
      <c r="J435" s="217"/>
      <c r="K435" s="217"/>
      <c r="L435" s="217"/>
      <c r="M435" s="217"/>
      <c r="N435" s="217"/>
      <c r="O435" s="217"/>
      <c r="P435" s="217"/>
      <c r="Q435" s="218"/>
    </row>
    <row r="436" spans="1:17" s="219" customFormat="1" ht="30" hidden="1" x14ac:dyDescent="0.25">
      <c r="A436" s="214"/>
      <c r="B436" s="215" t="s">
        <v>1822</v>
      </c>
      <c r="C436" s="215" t="s">
        <v>1823</v>
      </c>
      <c r="D436" s="215" t="s">
        <v>1836</v>
      </c>
      <c r="E436" s="215" t="s">
        <v>2139</v>
      </c>
      <c r="F436" s="215" t="s">
        <v>2100</v>
      </c>
      <c r="G436" s="215" t="s">
        <v>79</v>
      </c>
      <c r="H436" s="216" t="s">
        <v>2256</v>
      </c>
      <c r="I436" s="217"/>
      <c r="J436" s="217"/>
      <c r="K436" s="217"/>
      <c r="L436" s="217"/>
      <c r="M436" s="217"/>
      <c r="N436" s="217"/>
      <c r="O436" s="217"/>
      <c r="P436" s="217"/>
      <c r="Q436" s="218"/>
    </row>
    <row r="437" spans="1:17" s="219" customFormat="1" hidden="1" x14ac:dyDescent="0.25">
      <c r="A437" s="214"/>
      <c r="B437" s="215" t="s">
        <v>1822</v>
      </c>
      <c r="C437" s="215" t="s">
        <v>1823</v>
      </c>
      <c r="D437" s="215" t="s">
        <v>1836</v>
      </c>
      <c r="E437" s="215" t="s">
        <v>2139</v>
      </c>
      <c r="F437" s="215" t="s">
        <v>2100</v>
      </c>
      <c r="G437" s="215" t="s">
        <v>84</v>
      </c>
      <c r="H437" s="216" t="s">
        <v>2257</v>
      </c>
      <c r="I437" s="217"/>
      <c r="J437" s="217"/>
      <c r="K437" s="217"/>
      <c r="L437" s="217"/>
      <c r="M437" s="217"/>
      <c r="N437" s="217"/>
      <c r="O437" s="217"/>
      <c r="P437" s="217"/>
      <c r="Q437" s="218"/>
    </row>
    <row r="438" spans="1:17" s="219" customFormat="1" hidden="1" x14ac:dyDescent="0.25">
      <c r="A438" s="214"/>
      <c r="B438" s="215" t="s">
        <v>1822</v>
      </c>
      <c r="C438" s="215" t="s">
        <v>1823</v>
      </c>
      <c r="D438" s="215" t="s">
        <v>1836</v>
      </c>
      <c r="E438" s="215" t="s">
        <v>2139</v>
      </c>
      <c r="F438" s="215" t="s">
        <v>2100</v>
      </c>
      <c r="G438" s="215" t="s">
        <v>88</v>
      </c>
      <c r="H438" s="216" t="s">
        <v>2258</v>
      </c>
      <c r="I438" s="217"/>
      <c r="J438" s="217"/>
      <c r="K438" s="217"/>
      <c r="L438" s="217"/>
      <c r="M438" s="217"/>
      <c r="N438" s="217"/>
      <c r="O438" s="217"/>
      <c r="P438" s="217"/>
      <c r="Q438" s="218"/>
    </row>
    <row r="439" spans="1:17" s="219" customFormat="1" ht="30" hidden="1" x14ac:dyDescent="0.25">
      <c r="A439" s="214"/>
      <c r="B439" s="215" t="s">
        <v>1822</v>
      </c>
      <c r="C439" s="215" t="s">
        <v>1823</v>
      </c>
      <c r="D439" s="215" t="s">
        <v>1836</v>
      </c>
      <c r="E439" s="215" t="s">
        <v>2139</v>
      </c>
      <c r="F439" s="215" t="s">
        <v>2100</v>
      </c>
      <c r="G439" s="215" t="s">
        <v>92</v>
      </c>
      <c r="H439" s="216" t="s">
        <v>2259</v>
      </c>
      <c r="I439" s="217"/>
      <c r="J439" s="217"/>
      <c r="K439" s="217"/>
      <c r="L439" s="217"/>
      <c r="M439" s="217"/>
      <c r="N439" s="217"/>
      <c r="O439" s="217"/>
      <c r="P439" s="217"/>
      <c r="Q439" s="218"/>
    </row>
    <row r="440" spans="1:17" s="213" customFormat="1" ht="30" hidden="1" x14ac:dyDescent="0.25">
      <c r="A440" s="208" t="s">
        <v>263</v>
      </c>
      <c r="B440" s="209" t="s">
        <v>1822</v>
      </c>
      <c r="C440" s="209" t="s">
        <v>1823</v>
      </c>
      <c r="D440" s="209" t="s">
        <v>1836</v>
      </c>
      <c r="E440" s="209" t="s">
        <v>2139</v>
      </c>
      <c r="F440" s="209" t="s">
        <v>2139</v>
      </c>
      <c r="G440" s="209"/>
      <c r="H440" s="210" t="s">
        <v>2260</v>
      </c>
      <c r="I440" s="211">
        <f>SUM(I441:I456)</f>
        <v>0</v>
      </c>
      <c r="J440" s="211">
        <f t="shared" ref="J440:P440" si="43">SUM(J441:J456)</f>
        <v>0</v>
      </c>
      <c r="K440" s="211">
        <f t="shared" si="43"/>
        <v>0</v>
      </c>
      <c r="L440" s="211">
        <f t="shared" si="43"/>
        <v>0</v>
      </c>
      <c r="M440" s="211">
        <f t="shared" si="43"/>
        <v>0</v>
      </c>
      <c r="N440" s="211">
        <f t="shared" si="43"/>
        <v>0</v>
      </c>
      <c r="O440" s="211">
        <f t="shared" si="43"/>
        <v>0</v>
      </c>
      <c r="P440" s="211">
        <f t="shared" si="43"/>
        <v>0</v>
      </c>
      <c r="Q440" s="212"/>
    </row>
    <row r="441" spans="1:17" s="219" customFormat="1" hidden="1" x14ac:dyDescent="0.25">
      <c r="A441" s="214"/>
      <c r="B441" s="215" t="s">
        <v>1822</v>
      </c>
      <c r="C441" s="215" t="s">
        <v>1823</v>
      </c>
      <c r="D441" s="215" t="s">
        <v>1836</v>
      </c>
      <c r="E441" s="215" t="s">
        <v>2139</v>
      </c>
      <c r="F441" s="215" t="s">
        <v>2139</v>
      </c>
      <c r="G441" s="215" t="s">
        <v>58</v>
      </c>
      <c r="H441" s="216" t="s">
        <v>2261</v>
      </c>
      <c r="I441" s="217"/>
      <c r="J441" s="217"/>
      <c r="K441" s="217"/>
      <c r="L441" s="217"/>
      <c r="M441" s="217"/>
      <c r="N441" s="217"/>
      <c r="O441" s="217"/>
      <c r="P441" s="217"/>
      <c r="Q441" s="218"/>
    </row>
    <row r="442" spans="1:17" s="219" customFormat="1" hidden="1" x14ac:dyDescent="0.25">
      <c r="A442" s="214"/>
      <c r="B442" s="215" t="s">
        <v>1822</v>
      </c>
      <c r="C442" s="215" t="s">
        <v>1823</v>
      </c>
      <c r="D442" s="215" t="s">
        <v>1836</v>
      </c>
      <c r="E442" s="215" t="s">
        <v>2139</v>
      </c>
      <c r="F442" s="215" t="s">
        <v>2139</v>
      </c>
      <c r="G442" s="215" t="s">
        <v>75</v>
      </c>
      <c r="H442" s="216" t="s">
        <v>2262</v>
      </c>
      <c r="I442" s="217"/>
      <c r="J442" s="217"/>
      <c r="K442" s="217"/>
      <c r="L442" s="217"/>
      <c r="M442" s="217"/>
      <c r="N442" s="217"/>
      <c r="O442" s="217"/>
      <c r="P442" s="217"/>
      <c r="Q442" s="218"/>
    </row>
    <row r="443" spans="1:17" s="219" customFormat="1" ht="30" hidden="1" x14ac:dyDescent="0.25">
      <c r="A443" s="214"/>
      <c r="B443" s="215" t="s">
        <v>1822</v>
      </c>
      <c r="C443" s="215" t="s">
        <v>1823</v>
      </c>
      <c r="D443" s="215" t="s">
        <v>1836</v>
      </c>
      <c r="E443" s="215" t="s">
        <v>2139</v>
      </c>
      <c r="F443" s="215" t="s">
        <v>2139</v>
      </c>
      <c r="G443" s="215" t="s">
        <v>79</v>
      </c>
      <c r="H443" s="216" t="s">
        <v>2263</v>
      </c>
      <c r="I443" s="217"/>
      <c r="J443" s="217"/>
      <c r="K443" s="217"/>
      <c r="L443" s="217"/>
      <c r="M443" s="217"/>
      <c r="N443" s="217"/>
      <c r="O443" s="217"/>
      <c r="P443" s="217"/>
      <c r="Q443" s="218"/>
    </row>
    <row r="444" spans="1:17" s="219" customFormat="1" hidden="1" x14ac:dyDescent="0.25">
      <c r="A444" s="214"/>
      <c r="B444" s="215" t="s">
        <v>1822</v>
      </c>
      <c r="C444" s="215" t="s">
        <v>1823</v>
      </c>
      <c r="D444" s="215" t="s">
        <v>1836</v>
      </c>
      <c r="E444" s="215" t="s">
        <v>2139</v>
      </c>
      <c r="F444" s="215" t="s">
        <v>2139</v>
      </c>
      <c r="G444" s="215" t="s">
        <v>84</v>
      </c>
      <c r="H444" s="216" t="s">
        <v>2264</v>
      </c>
      <c r="I444" s="217"/>
      <c r="J444" s="217"/>
      <c r="K444" s="217"/>
      <c r="L444" s="217"/>
      <c r="M444" s="217"/>
      <c r="N444" s="217"/>
      <c r="O444" s="217"/>
      <c r="P444" s="217"/>
      <c r="Q444" s="218"/>
    </row>
    <row r="445" spans="1:17" s="219" customFormat="1" hidden="1" x14ac:dyDescent="0.25">
      <c r="A445" s="214"/>
      <c r="B445" s="215" t="s">
        <v>1822</v>
      </c>
      <c r="C445" s="215" t="s">
        <v>1823</v>
      </c>
      <c r="D445" s="215" t="s">
        <v>1836</v>
      </c>
      <c r="E445" s="215" t="s">
        <v>2139</v>
      </c>
      <c r="F445" s="215" t="s">
        <v>2139</v>
      </c>
      <c r="G445" s="215" t="s">
        <v>88</v>
      </c>
      <c r="H445" s="216" t="s">
        <v>2265</v>
      </c>
      <c r="I445" s="217"/>
      <c r="J445" s="217"/>
      <c r="K445" s="217"/>
      <c r="L445" s="217"/>
      <c r="M445" s="217"/>
      <c r="N445" s="217"/>
      <c r="O445" s="217"/>
      <c r="P445" s="217"/>
      <c r="Q445" s="218"/>
    </row>
    <row r="446" spans="1:17" s="219" customFormat="1" hidden="1" x14ac:dyDescent="0.25">
      <c r="A446" s="214"/>
      <c r="B446" s="215" t="s">
        <v>1822</v>
      </c>
      <c r="C446" s="215" t="s">
        <v>1823</v>
      </c>
      <c r="D446" s="215" t="s">
        <v>1836</v>
      </c>
      <c r="E446" s="215" t="s">
        <v>2139</v>
      </c>
      <c r="F446" s="215" t="s">
        <v>2139</v>
      </c>
      <c r="G446" s="215" t="s">
        <v>92</v>
      </c>
      <c r="H446" s="216" t="s">
        <v>2266</v>
      </c>
      <c r="I446" s="217"/>
      <c r="J446" s="217"/>
      <c r="K446" s="217"/>
      <c r="L446" s="217"/>
      <c r="M446" s="217"/>
      <c r="N446" s="217"/>
      <c r="O446" s="217"/>
      <c r="P446" s="217"/>
      <c r="Q446" s="218"/>
    </row>
    <row r="447" spans="1:17" s="219" customFormat="1" hidden="1" x14ac:dyDescent="0.25">
      <c r="A447" s="214"/>
      <c r="B447" s="215" t="s">
        <v>1822</v>
      </c>
      <c r="C447" s="215" t="s">
        <v>1823</v>
      </c>
      <c r="D447" s="215" t="s">
        <v>1836</v>
      </c>
      <c r="E447" s="215" t="s">
        <v>2139</v>
      </c>
      <c r="F447" s="215" t="s">
        <v>2139</v>
      </c>
      <c r="G447" s="215" t="s">
        <v>96</v>
      </c>
      <c r="H447" s="216" t="s">
        <v>2267</v>
      </c>
      <c r="I447" s="217"/>
      <c r="J447" s="217"/>
      <c r="K447" s="217"/>
      <c r="L447" s="217"/>
      <c r="M447" s="217"/>
      <c r="N447" s="217"/>
      <c r="O447" s="217"/>
      <c r="P447" s="217"/>
      <c r="Q447" s="218"/>
    </row>
    <row r="448" spans="1:17" s="219" customFormat="1" hidden="1" x14ac:dyDescent="0.25">
      <c r="A448" s="214"/>
      <c r="B448" s="215" t="s">
        <v>1822</v>
      </c>
      <c r="C448" s="215" t="s">
        <v>1823</v>
      </c>
      <c r="D448" s="215" t="s">
        <v>1836</v>
      </c>
      <c r="E448" s="215" t="s">
        <v>2139</v>
      </c>
      <c r="F448" s="215" t="s">
        <v>2139</v>
      </c>
      <c r="G448" s="215" t="s">
        <v>100</v>
      </c>
      <c r="H448" s="216" t="s">
        <v>2268</v>
      </c>
      <c r="I448" s="217"/>
      <c r="J448" s="217"/>
      <c r="K448" s="217"/>
      <c r="L448" s="217"/>
      <c r="M448" s="217"/>
      <c r="N448" s="217"/>
      <c r="O448" s="217"/>
      <c r="P448" s="217"/>
      <c r="Q448" s="218"/>
    </row>
    <row r="449" spans="1:17" s="219" customFormat="1" hidden="1" x14ac:dyDescent="0.25">
      <c r="A449" s="214"/>
      <c r="B449" s="215" t="s">
        <v>1822</v>
      </c>
      <c r="C449" s="215" t="s">
        <v>1823</v>
      </c>
      <c r="D449" s="215" t="s">
        <v>1836</v>
      </c>
      <c r="E449" s="215" t="s">
        <v>2139</v>
      </c>
      <c r="F449" s="215" t="s">
        <v>2139</v>
      </c>
      <c r="G449" s="215" t="s">
        <v>105</v>
      </c>
      <c r="H449" s="216" t="s">
        <v>2269</v>
      </c>
      <c r="I449" s="217"/>
      <c r="J449" s="217"/>
      <c r="K449" s="217"/>
      <c r="L449" s="217"/>
      <c r="M449" s="217"/>
      <c r="N449" s="217"/>
      <c r="O449" s="217"/>
      <c r="P449" s="217"/>
      <c r="Q449" s="218"/>
    </row>
    <row r="450" spans="1:17" s="219" customFormat="1" ht="30" hidden="1" x14ac:dyDescent="0.25">
      <c r="A450" s="214"/>
      <c r="B450" s="215" t="s">
        <v>1822</v>
      </c>
      <c r="C450" s="215" t="s">
        <v>1823</v>
      </c>
      <c r="D450" s="215" t="s">
        <v>1836</v>
      </c>
      <c r="E450" s="215" t="s">
        <v>2139</v>
      </c>
      <c r="F450" s="215" t="s">
        <v>2139</v>
      </c>
      <c r="G450" s="215" t="s">
        <v>108</v>
      </c>
      <c r="H450" s="216" t="s">
        <v>2270</v>
      </c>
      <c r="I450" s="217"/>
      <c r="J450" s="217"/>
      <c r="K450" s="217"/>
      <c r="L450" s="217"/>
      <c r="M450" s="217"/>
      <c r="N450" s="217"/>
      <c r="O450" s="217"/>
      <c r="P450" s="217"/>
      <c r="Q450" s="218"/>
    </row>
    <row r="451" spans="1:17" s="219" customFormat="1" hidden="1" x14ac:dyDescent="0.25">
      <c r="A451" s="214"/>
      <c r="B451" s="215" t="s">
        <v>1822</v>
      </c>
      <c r="C451" s="215" t="s">
        <v>1823</v>
      </c>
      <c r="D451" s="215" t="s">
        <v>1836</v>
      </c>
      <c r="E451" s="215" t="s">
        <v>2139</v>
      </c>
      <c r="F451" s="215" t="s">
        <v>2139</v>
      </c>
      <c r="G451" s="215" t="s">
        <v>135</v>
      </c>
      <c r="H451" s="216" t="s">
        <v>2271</v>
      </c>
      <c r="I451" s="217"/>
      <c r="J451" s="217"/>
      <c r="K451" s="217"/>
      <c r="L451" s="217"/>
      <c r="M451" s="217"/>
      <c r="N451" s="217"/>
      <c r="O451" s="217"/>
      <c r="P451" s="217"/>
      <c r="Q451" s="218"/>
    </row>
    <row r="452" spans="1:17" s="219" customFormat="1" ht="30" hidden="1" x14ac:dyDescent="0.25">
      <c r="A452" s="214"/>
      <c r="B452" s="215" t="s">
        <v>1822</v>
      </c>
      <c r="C452" s="215" t="s">
        <v>1823</v>
      </c>
      <c r="D452" s="215" t="s">
        <v>1836</v>
      </c>
      <c r="E452" s="215" t="s">
        <v>2139</v>
      </c>
      <c r="F452" s="215" t="s">
        <v>2139</v>
      </c>
      <c r="G452" s="215" t="s">
        <v>138</v>
      </c>
      <c r="H452" s="216" t="s">
        <v>2272</v>
      </c>
      <c r="I452" s="217"/>
      <c r="J452" s="217"/>
      <c r="K452" s="217"/>
      <c r="L452" s="217"/>
      <c r="M452" s="217"/>
      <c r="N452" s="217"/>
      <c r="O452" s="217"/>
      <c r="P452" s="217"/>
      <c r="Q452" s="218"/>
    </row>
    <row r="453" spans="1:17" s="219" customFormat="1" hidden="1" x14ac:dyDescent="0.25">
      <c r="A453" s="214"/>
      <c r="B453" s="215" t="s">
        <v>1822</v>
      </c>
      <c r="C453" s="215" t="s">
        <v>1823</v>
      </c>
      <c r="D453" s="215" t="s">
        <v>1836</v>
      </c>
      <c r="E453" s="215" t="s">
        <v>2139</v>
      </c>
      <c r="F453" s="215" t="s">
        <v>2139</v>
      </c>
      <c r="G453" s="215" t="s">
        <v>140</v>
      </c>
      <c r="H453" s="216" t="s">
        <v>2273</v>
      </c>
      <c r="I453" s="217"/>
      <c r="J453" s="217"/>
      <c r="K453" s="217"/>
      <c r="L453" s="217"/>
      <c r="M453" s="217"/>
      <c r="N453" s="217"/>
      <c r="O453" s="217"/>
      <c r="P453" s="217"/>
      <c r="Q453" s="218"/>
    </row>
    <row r="454" spans="1:17" s="219" customFormat="1" hidden="1" x14ac:dyDescent="0.25">
      <c r="A454" s="214"/>
      <c r="B454" s="215" t="s">
        <v>1822</v>
      </c>
      <c r="C454" s="215" t="s">
        <v>1823</v>
      </c>
      <c r="D454" s="215" t="s">
        <v>1836</v>
      </c>
      <c r="E454" s="215" t="s">
        <v>2139</v>
      </c>
      <c r="F454" s="215" t="s">
        <v>2139</v>
      </c>
      <c r="G454" s="215" t="s">
        <v>143</v>
      </c>
      <c r="H454" s="216" t="s">
        <v>2274</v>
      </c>
      <c r="I454" s="217"/>
      <c r="J454" s="217"/>
      <c r="K454" s="217"/>
      <c r="L454" s="217"/>
      <c r="M454" s="217"/>
      <c r="N454" s="217"/>
      <c r="O454" s="217"/>
      <c r="P454" s="217"/>
      <c r="Q454" s="218"/>
    </row>
    <row r="455" spans="1:17" s="219" customFormat="1" hidden="1" x14ac:dyDescent="0.25">
      <c r="A455" s="214"/>
      <c r="B455" s="215" t="s">
        <v>1822</v>
      </c>
      <c r="C455" s="215" t="s">
        <v>1823</v>
      </c>
      <c r="D455" s="215" t="s">
        <v>1836</v>
      </c>
      <c r="E455" s="215" t="s">
        <v>2139</v>
      </c>
      <c r="F455" s="215" t="s">
        <v>2139</v>
      </c>
      <c r="G455" s="215" t="s">
        <v>146</v>
      </c>
      <c r="H455" s="216" t="s">
        <v>2275</v>
      </c>
      <c r="I455" s="217"/>
      <c r="J455" s="217"/>
      <c r="K455" s="217"/>
      <c r="L455" s="217"/>
      <c r="M455" s="217"/>
      <c r="N455" s="217"/>
      <c r="O455" s="217"/>
      <c r="P455" s="217"/>
      <c r="Q455" s="218"/>
    </row>
    <row r="456" spans="1:17" s="219" customFormat="1" ht="30" hidden="1" x14ac:dyDescent="0.25">
      <c r="A456" s="214"/>
      <c r="B456" s="215" t="s">
        <v>1822</v>
      </c>
      <c r="C456" s="215" t="s">
        <v>1823</v>
      </c>
      <c r="D456" s="215" t="s">
        <v>1836</v>
      </c>
      <c r="E456" s="215" t="s">
        <v>2139</v>
      </c>
      <c r="F456" s="215" t="s">
        <v>2139</v>
      </c>
      <c r="G456" s="215" t="s">
        <v>150</v>
      </c>
      <c r="H456" s="216" t="s">
        <v>2276</v>
      </c>
      <c r="I456" s="217"/>
      <c r="J456" s="217"/>
      <c r="K456" s="217"/>
      <c r="L456" s="217"/>
      <c r="M456" s="217"/>
      <c r="N456" s="217"/>
      <c r="O456" s="217"/>
      <c r="P456" s="217"/>
      <c r="Q456" s="218"/>
    </row>
    <row r="457" spans="1:17" s="213" customFormat="1" ht="30" hidden="1" x14ac:dyDescent="0.25">
      <c r="A457" s="208" t="s">
        <v>263</v>
      </c>
      <c r="B457" s="209" t="s">
        <v>1822</v>
      </c>
      <c r="C457" s="209" t="s">
        <v>1823</v>
      </c>
      <c r="D457" s="209" t="s">
        <v>1836</v>
      </c>
      <c r="E457" s="209" t="s">
        <v>2139</v>
      </c>
      <c r="F457" s="209" t="s">
        <v>2277</v>
      </c>
      <c r="G457" s="209"/>
      <c r="H457" s="210" t="s">
        <v>2278</v>
      </c>
      <c r="I457" s="211">
        <f>SUM(I458:I468)</f>
        <v>0</v>
      </c>
      <c r="J457" s="211">
        <f t="shared" ref="J457:P457" si="44">SUM(J458:J468)</f>
        <v>0</v>
      </c>
      <c r="K457" s="211">
        <f t="shared" si="44"/>
        <v>0</v>
      </c>
      <c r="L457" s="211">
        <f t="shared" si="44"/>
        <v>0</v>
      </c>
      <c r="M457" s="211">
        <f t="shared" si="44"/>
        <v>0</v>
      </c>
      <c r="N457" s="211">
        <f t="shared" si="44"/>
        <v>0</v>
      </c>
      <c r="O457" s="211">
        <f t="shared" si="44"/>
        <v>0</v>
      </c>
      <c r="P457" s="211">
        <f t="shared" si="44"/>
        <v>0</v>
      </c>
      <c r="Q457" s="212"/>
    </row>
    <row r="458" spans="1:17" s="219" customFormat="1" ht="30" hidden="1" x14ac:dyDescent="0.25">
      <c r="A458" s="214"/>
      <c r="B458" s="215" t="s">
        <v>1822</v>
      </c>
      <c r="C458" s="215" t="s">
        <v>1823</v>
      </c>
      <c r="D458" s="215" t="s">
        <v>1836</v>
      </c>
      <c r="E458" s="215" t="s">
        <v>2139</v>
      </c>
      <c r="F458" s="215" t="s">
        <v>2277</v>
      </c>
      <c r="G458" s="215" t="s">
        <v>58</v>
      </c>
      <c r="H458" s="216" t="s">
        <v>2279</v>
      </c>
      <c r="I458" s="217"/>
      <c r="J458" s="217"/>
      <c r="K458" s="217"/>
      <c r="L458" s="217"/>
      <c r="M458" s="217"/>
      <c r="N458" s="217"/>
      <c r="O458" s="217"/>
      <c r="P458" s="217"/>
      <c r="Q458" s="218"/>
    </row>
    <row r="459" spans="1:17" s="219" customFormat="1" ht="30" hidden="1" x14ac:dyDescent="0.25">
      <c r="A459" s="214"/>
      <c r="B459" s="215" t="s">
        <v>1822</v>
      </c>
      <c r="C459" s="215" t="s">
        <v>1823</v>
      </c>
      <c r="D459" s="215" t="s">
        <v>1836</v>
      </c>
      <c r="E459" s="215" t="s">
        <v>2139</v>
      </c>
      <c r="F459" s="215" t="s">
        <v>2277</v>
      </c>
      <c r="G459" s="215" t="s">
        <v>75</v>
      </c>
      <c r="H459" s="216" t="s">
        <v>2280</v>
      </c>
      <c r="I459" s="217"/>
      <c r="J459" s="217"/>
      <c r="K459" s="217"/>
      <c r="L459" s="217"/>
      <c r="M459" s="217"/>
      <c r="N459" s="217"/>
      <c r="O459" s="217"/>
      <c r="P459" s="217"/>
      <c r="Q459" s="218"/>
    </row>
    <row r="460" spans="1:17" s="219" customFormat="1" ht="30" hidden="1" x14ac:dyDescent="0.25">
      <c r="A460" s="214"/>
      <c r="B460" s="215" t="s">
        <v>1822</v>
      </c>
      <c r="C460" s="215" t="s">
        <v>1823</v>
      </c>
      <c r="D460" s="215" t="s">
        <v>1836</v>
      </c>
      <c r="E460" s="215" t="s">
        <v>2139</v>
      </c>
      <c r="F460" s="215" t="s">
        <v>2277</v>
      </c>
      <c r="G460" s="215" t="s">
        <v>79</v>
      </c>
      <c r="H460" s="216" t="s">
        <v>2281</v>
      </c>
      <c r="I460" s="217"/>
      <c r="J460" s="217"/>
      <c r="K460" s="217"/>
      <c r="L460" s="217"/>
      <c r="M460" s="217"/>
      <c r="N460" s="217"/>
      <c r="O460" s="217"/>
      <c r="P460" s="217"/>
      <c r="Q460" s="218"/>
    </row>
    <row r="461" spans="1:17" s="219" customFormat="1" ht="30" hidden="1" x14ac:dyDescent="0.25">
      <c r="A461" s="214"/>
      <c r="B461" s="215" t="s">
        <v>1822</v>
      </c>
      <c r="C461" s="215" t="s">
        <v>1823</v>
      </c>
      <c r="D461" s="215" t="s">
        <v>1836</v>
      </c>
      <c r="E461" s="215" t="s">
        <v>2139</v>
      </c>
      <c r="F461" s="215" t="s">
        <v>2277</v>
      </c>
      <c r="G461" s="215" t="s">
        <v>84</v>
      </c>
      <c r="H461" s="216" t="s">
        <v>2282</v>
      </c>
      <c r="I461" s="217"/>
      <c r="J461" s="217"/>
      <c r="K461" s="217"/>
      <c r="L461" s="217"/>
      <c r="M461" s="217"/>
      <c r="N461" s="217"/>
      <c r="O461" s="217"/>
      <c r="P461" s="217"/>
      <c r="Q461" s="218"/>
    </row>
    <row r="462" spans="1:17" s="219" customFormat="1" hidden="1" x14ac:dyDescent="0.25">
      <c r="A462" s="214"/>
      <c r="B462" s="215" t="s">
        <v>1822</v>
      </c>
      <c r="C462" s="215" t="s">
        <v>1823</v>
      </c>
      <c r="D462" s="215" t="s">
        <v>1836</v>
      </c>
      <c r="E462" s="215" t="s">
        <v>2139</v>
      </c>
      <c r="F462" s="215" t="s">
        <v>2277</v>
      </c>
      <c r="G462" s="215" t="s">
        <v>88</v>
      </c>
      <c r="H462" s="216" t="s">
        <v>2283</v>
      </c>
      <c r="I462" s="217"/>
      <c r="J462" s="217"/>
      <c r="K462" s="217"/>
      <c r="L462" s="217"/>
      <c r="M462" s="217"/>
      <c r="N462" s="217"/>
      <c r="O462" s="217"/>
      <c r="P462" s="217"/>
      <c r="Q462" s="218"/>
    </row>
    <row r="463" spans="1:17" s="219" customFormat="1" ht="30" hidden="1" x14ac:dyDescent="0.25">
      <c r="A463" s="214"/>
      <c r="B463" s="215" t="s">
        <v>1822</v>
      </c>
      <c r="C463" s="215" t="s">
        <v>1823</v>
      </c>
      <c r="D463" s="215" t="s">
        <v>1836</v>
      </c>
      <c r="E463" s="215" t="s">
        <v>2139</v>
      </c>
      <c r="F463" s="215" t="s">
        <v>2277</v>
      </c>
      <c r="G463" s="215" t="s">
        <v>92</v>
      </c>
      <c r="H463" s="216" t="s">
        <v>2284</v>
      </c>
      <c r="I463" s="217"/>
      <c r="J463" s="217"/>
      <c r="K463" s="217"/>
      <c r="L463" s="217"/>
      <c r="M463" s="217"/>
      <c r="N463" s="217"/>
      <c r="O463" s="217"/>
      <c r="P463" s="217"/>
      <c r="Q463" s="218"/>
    </row>
    <row r="464" spans="1:17" s="219" customFormat="1" hidden="1" x14ac:dyDescent="0.25">
      <c r="A464" s="214"/>
      <c r="B464" s="215" t="s">
        <v>1822</v>
      </c>
      <c r="C464" s="215" t="s">
        <v>1823</v>
      </c>
      <c r="D464" s="215" t="s">
        <v>1836</v>
      </c>
      <c r="E464" s="215" t="s">
        <v>2139</v>
      </c>
      <c r="F464" s="215" t="s">
        <v>2277</v>
      </c>
      <c r="G464" s="215" t="s">
        <v>96</v>
      </c>
      <c r="H464" s="216" t="s">
        <v>2285</v>
      </c>
      <c r="I464" s="217"/>
      <c r="J464" s="217"/>
      <c r="K464" s="217"/>
      <c r="L464" s="217"/>
      <c r="M464" s="217"/>
      <c r="N464" s="217"/>
      <c r="O464" s="217"/>
      <c r="P464" s="217"/>
      <c r="Q464" s="218"/>
    </row>
    <row r="465" spans="1:17" s="219" customFormat="1" ht="30" hidden="1" x14ac:dyDescent="0.25">
      <c r="A465" s="214"/>
      <c r="B465" s="215" t="s">
        <v>1822</v>
      </c>
      <c r="C465" s="215" t="s">
        <v>1823</v>
      </c>
      <c r="D465" s="215" t="s">
        <v>1836</v>
      </c>
      <c r="E465" s="215" t="s">
        <v>2139</v>
      </c>
      <c r="F465" s="215" t="s">
        <v>2277</v>
      </c>
      <c r="G465" s="215" t="s">
        <v>100</v>
      </c>
      <c r="H465" s="216" t="s">
        <v>2286</v>
      </c>
      <c r="I465" s="217"/>
      <c r="J465" s="217"/>
      <c r="K465" s="217"/>
      <c r="L465" s="217"/>
      <c r="M465" s="217"/>
      <c r="N465" s="217"/>
      <c r="O465" s="217"/>
      <c r="P465" s="217"/>
      <c r="Q465" s="218"/>
    </row>
    <row r="466" spans="1:17" s="219" customFormat="1" ht="30" hidden="1" x14ac:dyDescent="0.25">
      <c r="A466" s="214"/>
      <c r="B466" s="215" t="s">
        <v>1822</v>
      </c>
      <c r="C466" s="215" t="s">
        <v>1823</v>
      </c>
      <c r="D466" s="215" t="s">
        <v>1836</v>
      </c>
      <c r="E466" s="215" t="s">
        <v>2139</v>
      </c>
      <c r="F466" s="215" t="s">
        <v>2277</v>
      </c>
      <c r="G466" s="215" t="s">
        <v>105</v>
      </c>
      <c r="H466" s="216" t="s">
        <v>2287</v>
      </c>
      <c r="I466" s="217"/>
      <c r="J466" s="217"/>
      <c r="K466" s="217"/>
      <c r="L466" s="217"/>
      <c r="M466" s="217"/>
      <c r="N466" s="217"/>
      <c r="O466" s="217"/>
      <c r="P466" s="217"/>
      <c r="Q466" s="218"/>
    </row>
    <row r="467" spans="1:17" s="219" customFormat="1" hidden="1" x14ac:dyDescent="0.25">
      <c r="A467" s="214"/>
      <c r="B467" s="215" t="s">
        <v>1822</v>
      </c>
      <c r="C467" s="215" t="s">
        <v>1823</v>
      </c>
      <c r="D467" s="215" t="s">
        <v>1836</v>
      </c>
      <c r="E467" s="215" t="s">
        <v>2139</v>
      </c>
      <c r="F467" s="215" t="s">
        <v>2277</v>
      </c>
      <c r="G467" s="215" t="s">
        <v>108</v>
      </c>
      <c r="H467" s="216" t="s">
        <v>2288</v>
      </c>
      <c r="I467" s="217"/>
      <c r="J467" s="217"/>
      <c r="K467" s="217"/>
      <c r="L467" s="217"/>
      <c r="M467" s="217"/>
      <c r="N467" s="217"/>
      <c r="O467" s="217"/>
      <c r="P467" s="217"/>
      <c r="Q467" s="218"/>
    </row>
    <row r="468" spans="1:17" s="219" customFormat="1" ht="30" hidden="1" x14ac:dyDescent="0.25">
      <c r="A468" s="214"/>
      <c r="B468" s="215" t="s">
        <v>1822</v>
      </c>
      <c r="C468" s="215" t="s">
        <v>1823</v>
      </c>
      <c r="D468" s="215" t="s">
        <v>1836</v>
      </c>
      <c r="E468" s="215" t="s">
        <v>2139</v>
      </c>
      <c r="F468" s="215" t="s">
        <v>2277</v>
      </c>
      <c r="G468" s="215" t="s">
        <v>135</v>
      </c>
      <c r="H468" s="216" t="s">
        <v>2289</v>
      </c>
      <c r="I468" s="217"/>
      <c r="J468" s="217"/>
      <c r="K468" s="217"/>
      <c r="L468" s="217"/>
      <c r="M468" s="217"/>
      <c r="N468" s="217"/>
      <c r="O468" s="217"/>
      <c r="P468" s="217"/>
      <c r="Q468" s="218"/>
    </row>
    <row r="469" spans="1:17" s="213" customFormat="1" hidden="1" x14ac:dyDescent="0.25">
      <c r="A469" s="208" t="s">
        <v>2290</v>
      </c>
      <c r="B469" s="209" t="s">
        <v>1822</v>
      </c>
      <c r="C469" s="209" t="s">
        <v>1823</v>
      </c>
      <c r="D469" s="209" t="s">
        <v>1836</v>
      </c>
      <c r="E469" s="209" t="s">
        <v>2277</v>
      </c>
      <c r="F469" s="209"/>
      <c r="G469" s="209"/>
      <c r="H469" s="210" t="s">
        <v>2291</v>
      </c>
      <c r="I469" s="211">
        <f>SUM(I470+I481+I487)</f>
        <v>0</v>
      </c>
      <c r="J469" s="211">
        <f t="shared" ref="J469:P469" si="45">SUM(J470+J481+J487)</f>
        <v>0</v>
      </c>
      <c r="K469" s="211">
        <f t="shared" si="45"/>
        <v>0</v>
      </c>
      <c r="L469" s="211">
        <f t="shared" si="45"/>
        <v>0</v>
      </c>
      <c r="M469" s="211">
        <f t="shared" si="45"/>
        <v>0</v>
      </c>
      <c r="N469" s="211">
        <f t="shared" si="45"/>
        <v>0</v>
      </c>
      <c r="O469" s="211">
        <f t="shared" si="45"/>
        <v>0</v>
      </c>
      <c r="P469" s="211">
        <f t="shared" si="45"/>
        <v>0</v>
      </c>
      <c r="Q469" s="212"/>
    </row>
    <row r="470" spans="1:17" s="213" customFormat="1" hidden="1" x14ac:dyDescent="0.25">
      <c r="A470" s="208" t="s">
        <v>263</v>
      </c>
      <c r="B470" s="209" t="s">
        <v>1822</v>
      </c>
      <c r="C470" s="209" t="s">
        <v>1823</v>
      </c>
      <c r="D470" s="209" t="s">
        <v>1836</v>
      </c>
      <c r="E470" s="209" t="s">
        <v>2277</v>
      </c>
      <c r="F470" s="209" t="s">
        <v>1825</v>
      </c>
      <c r="G470" s="209"/>
      <c r="H470" s="210" t="s">
        <v>2292</v>
      </c>
      <c r="I470" s="211">
        <f>SUM(I471:I480)</f>
        <v>0</v>
      </c>
      <c r="J470" s="211">
        <f t="shared" ref="J470:P470" si="46">SUM(J471:J480)</f>
        <v>0</v>
      </c>
      <c r="K470" s="211">
        <f t="shared" si="46"/>
        <v>0</v>
      </c>
      <c r="L470" s="211">
        <f t="shared" si="46"/>
        <v>0</v>
      </c>
      <c r="M470" s="211">
        <f t="shared" si="46"/>
        <v>0</v>
      </c>
      <c r="N470" s="211">
        <f t="shared" si="46"/>
        <v>0</v>
      </c>
      <c r="O470" s="211">
        <f t="shared" si="46"/>
        <v>0</v>
      </c>
      <c r="P470" s="211">
        <f t="shared" si="46"/>
        <v>0</v>
      </c>
      <c r="Q470" s="212"/>
    </row>
    <row r="471" spans="1:17" s="219" customFormat="1" hidden="1" x14ac:dyDescent="0.25">
      <c r="A471" s="214"/>
      <c r="B471" s="215" t="s">
        <v>1822</v>
      </c>
      <c r="C471" s="215" t="s">
        <v>1823</v>
      </c>
      <c r="D471" s="215" t="s">
        <v>1836</v>
      </c>
      <c r="E471" s="215" t="s">
        <v>2277</v>
      </c>
      <c r="F471" s="215" t="s">
        <v>1825</v>
      </c>
      <c r="G471" s="215" t="s">
        <v>58</v>
      </c>
      <c r="H471" s="216" t="s">
        <v>2293</v>
      </c>
      <c r="I471" s="217"/>
      <c r="J471" s="217"/>
      <c r="K471" s="217"/>
      <c r="L471" s="217"/>
      <c r="M471" s="217"/>
      <c r="N471" s="217"/>
      <c r="O471" s="217"/>
      <c r="P471" s="217"/>
      <c r="Q471" s="218"/>
    </row>
    <row r="472" spans="1:17" s="219" customFormat="1" hidden="1" x14ac:dyDescent="0.25">
      <c r="A472" s="214"/>
      <c r="B472" s="215" t="s">
        <v>1822</v>
      </c>
      <c r="C472" s="215" t="s">
        <v>1823</v>
      </c>
      <c r="D472" s="215" t="s">
        <v>1836</v>
      </c>
      <c r="E472" s="215" t="s">
        <v>2277</v>
      </c>
      <c r="F472" s="215" t="s">
        <v>1825</v>
      </c>
      <c r="G472" s="215" t="s">
        <v>75</v>
      </c>
      <c r="H472" s="216" t="s">
        <v>2294</v>
      </c>
      <c r="I472" s="217"/>
      <c r="J472" s="217"/>
      <c r="K472" s="217"/>
      <c r="L472" s="217"/>
      <c r="M472" s="217"/>
      <c r="N472" s="217"/>
      <c r="O472" s="217"/>
      <c r="P472" s="217"/>
      <c r="Q472" s="218"/>
    </row>
    <row r="473" spans="1:17" s="219" customFormat="1" hidden="1" x14ac:dyDescent="0.25">
      <c r="A473" s="214"/>
      <c r="B473" s="215" t="s">
        <v>1822</v>
      </c>
      <c r="C473" s="215" t="s">
        <v>1823</v>
      </c>
      <c r="D473" s="215" t="s">
        <v>1836</v>
      </c>
      <c r="E473" s="215" t="s">
        <v>2277</v>
      </c>
      <c r="F473" s="215" t="s">
        <v>1825</v>
      </c>
      <c r="G473" s="215" t="s">
        <v>79</v>
      </c>
      <c r="H473" s="216" t="s">
        <v>2295</v>
      </c>
      <c r="I473" s="217"/>
      <c r="J473" s="217"/>
      <c r="K473" s="217"/>
      <c r="L473" s="217"/>
      <c r="M473" s="217"/>
      <c r="N473" s="217"/>
      <c r="O473" s="217"/>
      <c r="P473" s="217"/>
      <c r="Q473" s="218"/>
    </row>
    <row r="474" spans="1:17" s="219" customFormat="1" hidden="1" x14ac:dyDescent="0.25">
      <c r="A474" s="214"/>
      <c r="B474" s="215" t="s">
        <v>1822</v>
      </c>
      <c r="C474" s="215" t="s">
        <v>1823</v>
      </c>
      <c r="D474" s="215" t="s">
        <v>1836</v>
      </c>
      <c r="E474" s="215" t="s">
        <v>2277</v>
      </c>
      <c r="F474" s="215" t="s">
        <v>1825</v>
      </c>
      <c r="G474" s="215" t="s">
        <v>84</v>
      </c>
      <c r="H474" s="216" t="s">
        <v>2296</v>
      </c>
      <c r="I474" s="217"/>
      <c r="J474" s="217"/>
      <c r="K474" s="217"/>
      <c r="L474" s="217"/>
      <c r="M474" s="217"/>
      <c r="N474" s="217"/>
      <c r="O474" s="217"/>
      <c r="P474" s="217"/>
      <c r="Q474" s="218"/>
    </row>
    <row r="475" spans="1:17" s="219" customFormat="1" hidden="1" x14ac:dyDescent="0.25">
      <c r="A475" s="214"/>
      <c r="B475" s="215" t="s">
        <v>1822</v>
      </c>
      <c r="C475" s="215" t="s">
        <v>1823</v>
      </c>
      <c r="D475" s="215" t="s">
        <v>1836</v>
      </c>
      <c r="E475" s="215" t="s">
        <v>2277</v>
      </c>
      <c r="F475" s="215" t="s">
        <v>1825</v>
      </c>
      <c r="G475" s="215" t="s">
        <v>88</v>
      </c>
      <c r="H475" s="216" t="s">
        <v>2297</v>
      </c>
      <c r="I475" s="217"/>
      <c r="J475" s="217"/>
      <c r="K475" s="217"/>
      <c r="L475" s="217"/>
      <c r="M475" s="217"/>
      <c r="N475" s="217"/>
      <c r="O475" s="217"/>
      <c r="P475" s="217"/>
      <c r="Q475" s="218"/>
    </row>
    <row r="476" spans="1:17" s="219" customFormat="1" hidden="1" x14ac:dyDescent="0.25">
      <c r="A476" s="214"/>
      <c r="B476" s="215" t="s">
        <v>1822</v>
      </c>
      <c r="C476" s="215" t="s">
        <v>1823</v>
      </c>
      <c r="D476" s="215" t="s">
        <v>1836</v>
      </c>
      <c r="E476" s="215" t="s">
        <v>2277</v>
      </c>
      <c r="F476" s="215" t="s">
        <v>1825</v>
      </c>
      <c r="G476" s="215" t="s">
        <v>92</v>
      </c>
      <c r="H476" s="216" t="s">
        <v>2298</v>
      </c>
      <c r="I476" s="217"/>
      <c r="J476" s="217"/>
      <c r="K476" s="217"/>
      <c r="L476" s="217"/>
      <c r="M476" s="217"/>
      <c r="N476" s="217"/>
      <c r="O476" s="217"/>
      <c r="P476" s="217"/>
      <c r="Q476" s="218"/>
    </row>
    <row r="477" spans="1:17" s="219" customFormat="1" hidden="1" x14ac:dyDescent="0.25">
      <c r="A477" s="214"/>
      <c r="B477" s="215" t="s">
        <v>1822</v>
      </c>
      <c r="C477" s="215" t="s">
        <v>1823</v>
      </c>
      <c r="D477" s="215" t="s">
        <v>1836</v>
      </c>
      <c r="E477" s="215" t="s">
        <v>2277</v>
      </c>
      <c r="F477" s="215" t="s">
        <v>1825</v>
      </c>
      <c r="G477" s="215" t="s">
        <v>96</v>
      </c>
      <c r="H477" s="216" t="s">
        <v>2299</v>
      </c>
      <c r="I477" s="217"/>
      <c r="J477" s="217"/>
      <c r="K477" s="217"/>
      <c r="L477" s="217"/>
      <c r="M477" s="217"/>
      <c r="N477" s="217"/>
      <c r="O477" s="217"/>
      <c r="P477" s="217"/>
      <c r="Q477" s="218"/>
    </row>
    <row r="478" spans="1:17" s="219" customFormat="1" hidden="1" x14ac:dyDescent="0.25">
      <c r="A478" s="214"/>
      <c r="B478" s="215" t="s">
        <v>1822</v>
      </c>
      <c r="C478" s="215" t="s">
        <v>1823</v>
      </c>
      <c r="D478" s="215" t="s">
        <v>1836</v>
      </c>
      <c r="E478" s="215" t="s">
        <v>2277</v>
      </c>
      <c r="F478" s="215" t="s">
        <v>1825</v>
      </c>
      <c r="G478" s="215" t="s">
        <v>100</v>
      </c>
      <c r="H478" s="216" t="s">
        <v>2300</v>
      </c>
      <c r="I478" s="217"/>
      <c r="J478" s="217"/>
      <c r="K478" s="217"/>
      <c r="L478" s="217"/>
      <c r="M478" s="217"/>
      <c r="N478" s="217"/>
      <c r="O478" s="217"/>
      <c r="P478" s="217"/>
      <c r="Q478" s="218"/>
    </row>
    <row r="479" spans="1:17" s="219" customFormat="1" hidden="1" x14ac:dyDescent="0.25">
      <c r="A479" s="214"/>
      <c r="B479" s="215" t="s">
        <v>1822</v>
      </c>
      <c r="C479" s="215" t="s">
        <v>1823</v>
      </c>
      <c r="D479" s="215" t="s">
        <v>1836</v>
      </c>
      <c r="E479" s="215" t="s">
        <v>2277</v>
      </c>
      <c r="F479" s="215" t="s">
        <v>1825</v>
      </c>
      <c r="G479" s="215" t="s">
        <v>105</v>
      </c>
      <c r="H479" s="216" t="s">
        <v>2301</v>
      </c>
      <c r="I479" s="217"/>
      <c r="J479" s="217"/>
      <c r="K479" s="217"/>
      <c r="L479" s="217"/>
      <c r="M479" s="217"/>
      <c r="N479" s="217"/>
      <c r="O479" s="217"/>
      <c r="P479" s="217"/>
      <c r="Q479" s="218"/>
    </row>
    <row r="480" spans="1:17" s="219" customFormat="1" hidden="1" x14ac:dyDescent="0.25">
      <c r="A480" s="214"/>
      <c r="B480" s="215" t="s">
        <v>1822</v>
      </c>
      <c r="C480" s="215" t="s">
        <v>1823</v>
      </c>
      <c r="D480" s="215" t="s">
        <v>1836</v>
      </c>
      <c r="E480" s="215" t="s">
        <v>2277</v>
      </c>
      <c r="F480" s="215" t="s">
        <v>1825</v>
      </c>
      <c r="G480" s="215" t="s">
        <v>108</v>
      </c>
      <c r="H480" s="216" t="s">
        <v>2302</v>
      </c>
      <c r="I480" s="217"/>
      <c r="J480" s="217"/>
      <c r="K480" s="217"/>
      <c r="L480" s="217"/>
      <c r="M480" s="217"/>
      <c r="N480" s="217"/>
      <c r="O480" s="217"/>
      <c r="P480" s="217"/>
      <c r="Q480" s="218"/>
    </row>
    <row r="481" spans="1:17" s="213" customFormat="1" hidden="1" x14ac:dyDescent="0.25">
      <c r="A481" s="208" t="s">
        <v>263</v>
      </c>
      <c r="B481" s="209" t="s">
        <v>1822</v>
      </c>
      <c r="C481" s="209" t="s">
        <v>1823</v>
      </c>
      <c r="D481" s="209" t="s">
        <v>1836</v>
      </c>
      <c r="E481" s="209" t="s">
        <v>2277</v>
      </c>
      <c r="F481" s="209" t="s">
        <v>1836</v>
      </c>
      <c r="G481" s="209"/>
      <c r="H481" s="210" t="s">
        <v>2303</v>
      </c>
      <c r="I481" s="211">
        <f>SUM(I482:I486)</f>
        <v>0</v>
      </c>
      <c r="J481" s="211">
        <f t="shared" ref="J481:P481" si="47">SUM(J482:J486)</f>
        <v>0</v>
      </c>
      <c r="K481" s="211">
        <f t="shared" si="47"/>
        <v>0</v>
      </c>
      <c r="L481" s="211">
        <f t="shared" si="47"/>
        <v>0</v>
      </c>
      <c r="M481" s="211">
        <f t="shared" si="47"/>
        <v>0</v>
      </c>
      <c r="N481" s="211">
        <f t="shared" si="47"/>
        <v>0</v>
      </c>
      <c r="O481" s="211">
        <f t="shared" si="47"/>
        <v>0</v>
      </c>
      <c r="P481" s="211">
        <f t="shared" si="47"/>
        <v>0</v>
      </c>
      <c r="Q481" s="212"/>
    </row>
    <row r="482" spans="1:17" s="219" customFormat="1" hidden="1" x14ac:dyDescent="0.25">
      <c r="A482" s="214"/>
      <c r="B482" s="215" t="s">
        <v>1822</v>
      </c>
      <c r="C482" s="215" t="s">
        <v>1823</v>
      </c>
      <c r="D482" s="215" t="s">
        <v>1836</v>
      </c>
      <c r="E482" s="215" t="s">
        <v>2277</v>
      </c>
      <c r="F482" s="215" t="s">
        <v>1836</v>
      </c>
      <c r="G482" s="215" t="s">
        <v>58</v>
      </c>
      <c r="H482" s="216" t="s">
        <v>2304</v>
      </c>
      <c r="I482" s="217"/>
      <c r="J482" s="217"/>
      <c r="K482" s="217"/>
      <c r="L482" s="217"/>
      <c r="M482" s="217"/>
      <c r="N482" s="217"/>
      <c r="O482" s="217"/>
      <c r="P482" s="217"/>
      <c r="Q482" s="218"/>
    </row>
    <row r="483" spans="1:17" s="219" customFormat="1" hidden="1" x14ac:dyDescent="0.25">
      <c r="A483" s="214"/>
      <c r="B483" s="215" t="s">
        <v>1822</v>
      </c>
      <c r="C483" s="215" t="s">
        <v>1823</v>
      </c>
      <c r="D483" s="215" t="s">
        <v>1836</v>
      </c>
      <c r="E483" s="215" t="s">
        <v>2277</v>
      </c>
      <c r="F483" s="215" t="s">
        <v>1836</v>
      </c>
      <c r="G483" s="215" t="s">
        <v>75</v>
      </c>
      <c r="H483" s="216" t="s">
        <v>2305</v>
      </c>
      <c r="I483" s="217"/>
      <c r="J483" s="217"/>
      <c r="K483" s="217"/>
      <c r="L483" s="217"/>
      <c r="M483" s="217"/>
      <c r="N483" s="217"/>
      <c r="O483" s="217"/>
      <c r="P483" s="217"/>
      <c r="Q483" s="218"/>
    </row>
    <row r="484" spans="1:17" s="219" customFormat="1" ht="30" hidden="1" x14ac:dyDescent="0.25">
      <c r="A484" s="214"/>
      <c r="B484" s="215" t="s">
        <v>1822</v>
      </c>
      <c r="C484" s="215" t="s">
        <v>1823</v>
      </c>
      <c r="D484" s="215" t="s">
        <v>1836</v>
      </c>
      <c r="E484" s="215" t="s">
        <v>2277</v>
      </c>
      <c r="F484" s="215" t="s">
        <v>1836</v>
      </c>
      <c r="G484" s="215" t="s">
        <v>79</v>
      </c>
      <c r="H484" s="216" t="s">
        <v>2306</v>
      </c>
      <c r="I484" s="217"/>
      <c r="J484" s="217"/>
      <c r="K484" s="217"/>
      <c r="L484" s="217"/>
      <c r="M484" s="217"/>
      <c r="N484" s="217"/>
      <c r="O484" s="217"/>
      <c r="P484" s="217"/>
      <c r="Q484" s="218"/>
    </row>
    <row r="485" spans="1:17" s="219" customFormat="1" hidden="1" x14ac:dyDescent="0.25">
      <c r="A485" s="214"/>
      <c r="B485" s="215" t="s">
        <v>1822</v>
      </c>
      <c r="C485" s="215" t="s">
        <v>1823</v>
      </c>
      <c r="D485" s="215" t="s">
        <v>1836</v>
      </c>
      <c r="E485" s="215" t="s">
        <v>2277</v>
      </c>
      <c r="F485" s="215" t="s">
        <v>1836</v>
      </c>
      <c r="G485" s="215" t="s">
        <v>84</v>
      </c>
      <c r="H485" s="216" t="s">
        <v>2307</v>
      </c>
      <c r="I485" s="217"/>
      <c r="J485" s="217"/>
      <c r="K485" s="217"/>
      <c r="L485" s="217"/>
      <c r="M485" s="217"/>
      <c r="N485" s="217"/>
      <c r="O485" s="217"/>
      <c r="P485" s="217"/>
      <c r="Q485" s="218"/>
    </row>
    <row r="486" spans="1:17" s="219" customFormat="1" ht="30" hidden="1" x14ac:dyDescent="0.25">
      <c r="A486" s="214"/>
      <c r="B486" s="215" t="s">
        <v>1822</v>
      </c>
      <c r="C486" s="215" t="s">
        <v>1823</v>
      </c>
      <c r="D486" s="215" t="s">
        <v>1836</v>
      </c>
      <c r="E486" s="215" t="s">
        <v>2277</v>
      </c>
      <c r="F486" s="215" t="s">
        <v>1836</v>
      </c>
      <c r="G486" s="215" t="s">
        <v>88</v>
      </c>
      <c r="H486" s="216" t="s">
        <v>2308</v>
      </c>
      <c r="I486" s="217"/>
      <c r="J486" s="217"/>
      <c r="K486" s="217"/>
      <c r="L486" s="217"/>
      <c r="M486" s="217"/>
      <c r="N486" s="217"/>
      <c r="O486" s="217"/>
      <c r="P486" s="217"/>
      <c r="Q486" s="218"/>
    </row>
    <row r="487" spans="1:17" s="213" customFormat="1" hidden="1" x14ac:dyDescent="0.25">
      <c r="A487" s="208" t="s">
        <v>263</v>
      </c>
      <c r="B487" s="209" t="s">
        <v>1822</v>
      </c>
      <c r="C487" s="209" t="s">
        <v>1823</v>
      </c>
      <c r="D487" s="209" t="s">
        <v>1836</v>
      </c>
      <c r="E487" s="209" t="s">
        <v>2277</v>
      </c>
      <c r="F487" s="209" t="s">
        <v>1847</v>
      </c>
      <c r="G487" s="209"/>
      <c r="H487" s="210" t="s">
        <v>2309</v>
      </c>
      <c r="I487" s="211">
        <f>SUM(I488:I489)</f>
        <v>0</v>
      </c>
      <c r="J487" s="211">
        <f t="shared" ref="J487:P487" si="48">SUM(J488:J489)</f>
        <v>0</v>
      </c>
      <c r="K487" s="211">
        <f t="shared" si="48"/>
        <v>0</v>
      </c>
      <c r="L487" s="211">
        <f t="shared" si="48"/>
        <v>0</v>
      </c>
      <c r="M487" s="211">
        <f t="shared" si="48"/>
        <v>0</v>
      </c>
      <c r="N487" s="211">
        <f t="shared" si="48"/>
        <v>0</v>
      </c>
      <c r="O487" s="211">
        <f t="shared" si="48"/>
        <v>0</v>
      </c>
      <c r="P487" s="211">
        <f t="shared" si="48"/>
        <v>0</v>
      </c>
      <c r="Q487" s="212"/>
    </row>
    <row r="488" spans="1:17" s="219" customFormat="1" hidden="1" x14ac:dyDescent="0.25">
      <c r="A488" s="214"/>
      <c r="B488" s="215" t="s">
        <v>1822</v>
      </c>
      <c r="C488" s="215" t="s">
        <v>1823</v>
      </c>
      <c r="D488" s="215" t="s">
        <v>1836</v>
      </c>
      <c r="E488" s="215" t="s">
        <v>2277</v>
      </c>
      <c r="F488" s="215" t="s">
        <v>1847</v>
      </c>
      <c r="G488" s="215" t="s">
        <v>58</v>
      </c>
      <c r="H488" s="216" t="s">
        <v>2310</v>
      </c>
      <c r="I488" s="217"/>
      <c r="J488" s="217"/>
      <c r="K488" s="217"/>
      <c r="L488" s="217"/>
      <c r="M488" s="217"/>
      <c r="N488" s="217"/>
      <c r="O488" s="217"/>
      <c r="P488" s="217"/>
      <c r="Q488" s="218"/>
    </row>
    <row r="489" spans="1:17" s="219" customFormat="1" x14ac:dyDescent="0.25">
      <c r="A489" s="214"/>
      <c r="B489" s="215" t="s">
        <v>1822</v>
      </c>
      <c r="C489" s="215" t="s">
        <v>1823</v>
      </c>
      <c r="D489" s="215" t="s">
        <v>1836</v>
      </c>
      <c r="E489" s="215" t="s">
        <v>2277</v>
      </c>
      <c r="F489" s="215" t="s">
        <v>1847</v>
      </c>
      <c r="G489" s="215" t="s">
        <v>75</v>
      </c>
      <c r="H489" s="216" t="s">
        <v>2311</v>
      </c>
      <c r="I489" s="217"/>
      <c r="J489" s="217"/>
      <c r="K489" s="217"/>
      <c r="L489" s="217"/>
      <c r="M489" s="217"/>
      <c r="N489" s="217"/>
      <c r="O489" s="217"/>
      <c r="P489" s="217"/>
      <c r="Q489" s="218"/>
    </row>
    <row r="490" spans="1:17" s="213" customFormat="1" x14ac:dyDescent="0.25">
      <c r="A490" s="208" t="s">
        <v>2312</v>
      </c>
      <c r="B490" s="209" t="s">
        <v>1822</v>
      </c>
      <c r="C490" s="209" t="s">
        <v>1823</v>
      </c>
      <c r="D490" s="209" t="s">
        <v>1836</v>
      </c>
      <c r="E490" s="209" t="s">
        <v>2313</v>
      </c>
      <c r="F490" s="209"/>
      <c r="G490" s="209"/>
      <c r="H490" s="210" t="s">
        <v>2314</v>
      </c>
      <c r="I490" s="211">
        <f>SUM(I491+I495)</f>
        <v>2143768587</v>
      </c>
      <c r="J490" s="211">
        <f t="shared" ref="J490:O490" si="49">SUM(J491+J495)</f>
        <v>153095399.90000001</v>
      </c>
      <c r="K490" s="211">
        <f t="shared" si="49"/>
        <v>65953399.943333335</v>
      </c>
      <c r="L490" s="211">
        <f t="shared" si="49"/>
        <v>0</v>
      </c>
      <c r="M490" s="211">
        <f t="shared" si="49"/>
        <v>65953399.943333335</v>
      </c>
      <c r="N490" s="211">
        <f t="shared" si="49"/>
        <v>1683039960.7249994</v>
      </c>
      <c r="O490" s="211">
        <f t="shared" si="49"/>
        <v>460728626.27499992</v>
      </c>
      <c r="P490" s="211"/>
      <c r="Q490" s="212"/>
    </row>
    <row r="491" spans="1:17" s="213" customFormat="1" x14ac:dyDescent="0.25">
      <c r="A491" s="208" t="s">
        <v>263</v>
      </c>
      <c r="B491" s="209" t="s">
        <v>1822</v>
      </c>
      <c r="C491" s="209" t="s">
        <v>1823</v>
      </c>
      <c r="D491" s="209" t="s">
        <v>1836</v>
      </c>
      <c r="E491" s="209" t="s">
        <v>2313</v>
      </c>
      <c r="F491" s="209" t="s">
        <v>1825</v>
      </c>
      <c r="G491" s="209"/>
      <c r="H491" s="210" t="s">
        <v>2315</v>
      </c>
      <c r="I491" s="211">
        <f>SUM(I492:I494)</f>
        <v>1643528607</v>
      </c>
      <c r="J491" s="211">
        <f t="shared" ref="J491:O491" si="50">SUM(J492:J494)</f>
        <v>128738103.90000001</v>
      </c>
      <c r="K491" s="211">
        <f t="shared" si="50"/>
        <v>56528251.943333335</v>
      </c>
      <c r="L491" s="211">
        <f t="shared" si="50"/>
        <v>0</v>
      </c>
      <c r="M491" s="211">
        <f t="shared" si="50"/>
        <v>56528251.943333335</v>
      </c>
      <c r="N491" s="211">
        <f t="shared" si="50"/>
        <v>1241507919.0583329</v>
      </c>
      <c r="O491" s="211">
        <f t="shared" si="50"/>
        <v>402020687.9416666</v>
      </c>
      <c r="P491" s="211"/>
      <c r="Q491" s="212"/>
    </row>
    <row r="492" spans="1:17" s="219" customFormat="1" x14ac:dyDescent="0.25">
      <c r="A492" s="214"/>
      <c r="B492" s="215" t="s">
        <v>1822</v>
      </c>
      <c r="C492" s="215" t="s">
        <v>1823</v>
      </c>
      <c r="D492" s="215" t="s">
        <v>1836</v>
      </c>
      <c r="E492" s="215" t="s">
        <v>2313</v>
      </c>
      <c r="F492" s="215" t="s">
        <v>1825</v>
      </c>
      <c r="G492" s="215" t="s">
        <v>58</v>
      </c>
      <c r="H492" s="216" t="s">
        <v>2316</v>
      </c>
      <c r="I492" s="217">
        <v>1560972607</v>
      </c>
      <c r="J492" s="217">
        <f>SUM('BI Sem. I tahun 2023 108'!U848)</f>
        <v>112226903.90000001</v>
      </c>
      <c r="K492" s="217">
        <f>SUM('BI Sem. I tahun 2023 108'!W848)</f>
        <v>55152318.609999999</v>
      </c>
      <c r="L492" s="217"/>
      <c r="M492" s="217">
        <f>SUM('BI Sem. I tahun 2023 108'!Z848)</f>
        <v>55152318.609999999</v>
      </c>
      <c r="N492" s="217">
        <f>SUM('BI Sem. I tahun 2023 108'!AB848)</f>
        <v>1240131985.7249997</v>
      </c>
      <c r="O492" s="217">
        <f>SUM('BI Sem. I tahun 2023 108'!AC848)</f>
        <v>320840621.27499998</v>
      </c>
      <c r="P492" s="217"/>
      <c r="Q492" s="218"/>
    </row>
    <row r="493" spans="1:17" s="219" customFormat="1" x14ac:dyDescent="0.25">
      <c r="A493" s="214"/>
      <c r="B493" s="215" t="s">
        <v>1822</v>
      </c>
      <c r="C493" s="215" t="s">
        <v>1823</v>
      </c>
      <c r="D493" s="215" t="s">
        <v>1836</v>
      </c>
      <c r="E493" s="215" t="s">
        <v>2313</v>
      </c>
      <c r="F493" s="215" t="s">
        <v>1825</v>
      </c>
      <c r="G493" s="215" t="s">
        <v>75</v>
      </c>
      <c r="H493" s="216" t="s">
        <v>2317</v>
      </c>
      <c r="I493" s="398">
        <v>82556000</v>
      </c>
      <c r="J493" s="217">
        <f>SUM('BI Sem. I tahun 2023 108'!U926)</f>
        <v>16511200</v>
      </c>
      <c r="K493" s="217">
        <f>SUM('BI Sem. I tahun 2023 108'!W926)</f>
        <v>1375933.333333333</v>
      </c>
      <c r="L493" s="217"/>
      <c r="M493" s="217">
        <f>SUM('BI Sem. I tahun 2023 108'!Z926)</f>
        <v>1375933.333333333</v>
      </c>
      <c r="N493" s="217">
        <f>SUM('BI Sem. I tahun 2023 108'!AB926)</f>
        <v>1375933.333333333</v>
      </c>
      <c r="O493" s="217">
        <f>SUM('BI Sem. I tahun 2023 108'!AC926)</f>
        <v>81180066.666666657</v>
      </c>
      <c r="P493" s="217"/>
      <c r="Q493" s="218"/>
    </row>
    <row r="494" spans="1:17" s="219" customFormat="1" x14ac:dyDescent="0.25">
      <c r="A494" s="214"/>
      <c r="B494" s="215" t="s">
        <v>1822</v>
      </c>
      <c r="C494" s="215" t="s">
        <v>1823</v>
      </c>
      <c r="D494" s="215" t="s">
        <v>1836</v>
      </c>
      <c r="E494" s="215" t="s">
        <v>2313</v>
      </c>
      <c r="F494" s="215" t="s">
        <v>1825</v>
      </c>
      <c r="G494" s="215" t="s">
        <v>79</v>
      </c>
      <c r="H494" s="216" t="s">
        <v>2318</v>
      </c>
      <c r="I494" s="217"/>
      <c r="J494" s="217"/>
      <c r="K494" s="217"/>
      <c r="L494" s="217"/>
      <c r="M494" s="217"/>
      <c r="N494" s="217"/>
      <c r="O494" s="217"/>
      <c r="P494" s="217"/>
      <c r="Q494" s="218"/>
    </row>
    <row r="495" spans="1:17" s="213" customFormat="1" x14ac:dyDescent="0.25">
      <c r="A495" s="208" t="s">
        <v>263</v>
      </c>
      <c r="B495" s="209" t="s">
        <v>1822</v>
      </c>
      <c r="C495" s="209" t="s">
        <v>1823</v>
      </c>
      <c r="D495" s="209" t="s">
        <v>1836</v>
      </c>
      <c r="E495" s="209" t="s">
        <v>2313</v>
      </c>
      <c r="F495" s="209" t="s">
        <v>1836</v>
      </c>
      <c r="G495" s="209"/>
      <c r="H495" s="210" t="s">
        <v>2319</v>
      </c>
      <c r="I495" s="211">
        <f>SUM(I496:I500)</f>
        <v>500239980</v>
      </c>
      <c r="J495" s="211">
        <f t="shared" ref="J495:P495" si="51">SUM(J496:J500)</f>
        <v>24357296</v>
      </c>
      <c r="K495" s="211">
        <f t="shared" si="51"/>
        <v>9425148</v>
      </c>
      <c r="L495" s="211">
        <f t="shared" si="51"/>
        <v>0</v>
      </c>
      <c r="M495" s="211">
        <f t="shared" si="51"/>
        <v>9425148</v>
      </c>
      <c r="N495" s="211">
        <f t="shared" si="51"/>
        <v>441532041.66666663</v>
      </c>
      <c r="O495" s="211">
        <f t="shared" si="51"/>
        <v>58707938.333333328</v>
      </c>
      <c r="P495" s="211">
        <f t="shared" si="51"/>
        <v>0</v>
      </c>
      <c r="Q495" s="212"/>
    </row>
    <row r="496" spans="1:17" s="219" customFormat="1" x14ac:dyDescent="0.25">
      <c r="A496" s="214"/>
      <c r="B496" s="215" t="s">
        <v>1822</v>
      </c>
      <c r="C496" s="215" t="s">
        <v>1823</v>
      </c>
      <c r="D496" s="215" t="s">
        <v>1836</v>
      </c>
      <c r="E496" s="215" t="s">
        <v>2313</v>
      </c>
      <c r="F496" s="215" t="s">
        <v>1836</v>
      </c>
      <c r="G496" s="215" t="s">
        <v>58</v>
      </c>
      <c r="H496" s="216" t="s">
        <v>2320</v>
      </c>
      <c r="I496" s="217">
        <v>475933980</v>
      </c>
      <c r="J496" s="217">
        <f>SUM('BI Sem. I tahun 2023 108'!U935)</f>
        <v>19496096</v>
      </c>
      <c r="K496" s="217">
        <f>SUM('BI Sem. I tahun 2023 108'!W935)</f>
        <v>9020048</v>
      </c>
      <c r="L496" s="217"/>
      <c r="M496" s="217">
        <f>SUM('BI Sem. I tahun 2023 108'!Z935)</f>
        <v>9020048</v>
      </c>
      <c r="N496" s="217">
        <f>SUM('BI Sem. I tahun 2023 108'!AB935)</f>
        <v>441126941.66666663</v>
      </c>
      <c r="O496" s="217">
        <f>SUM('BI Sem. I tahun 2023 108'!AC935)</f>
        <v>34807038.333333328</v>
      </c>
      <c r="P496" s="217"/>
      <c r="Q496" s="218"/>
    </row>
    <row r="497" spans="1:17" s="219" customFormat="1" x14ac:dyDescent="0.25">
      <c r="A497" s="214"/>
      <c r="B497" s="215" t="s">
        <v>1822</v>
      </c>
      <c r="C497" s="215" t="s">
        <v>1823</v>
      </c>
      <c r="D497" s="215" t="s">
        <v>1836</v>
      </c>
      <c r="E497" s="215" t="s">
        <v>2313</v>
      </c>
      <c r="F497" s="215" t="s">
        <v>1836</v>
      </c>
      <c r="G497" s="215" t="s">
        <v>75</v>
      </c>
      <c r="H497" s="216" t="s">
        <v>2321</v>
      </c>
      <c r="I497" s="217"/>
      <c r="J497" s="217"/>
      <c r="K497" s="217"/>
      <c r="L497" s="217"/>
      <c r="M497" s="217"/>
      <c r="N497" s="217"/>
      <c r="O497" s="217"/>
      <c r="P497" s="217"/>
      <c r="Q497" s="218"/>
    </row>
    <row r="498" spans="1:17" s="219" customFormat="1" x14ac:dyDescent="0.25">
      <c r="A498" s="214"/>
      <c r="B498" s="215" t="s">
        <v>1822</v>
      </c>
      <c r="C498" s="215" t="s">
        <v>1823</v>
      </c>
      <c r="D498" s="215" t="s">
        <v>1836</v>
      </c>
      <c r="E498" s="215" t="s">
        <v>2313</v>
      </c>
      <c r="F498" s="215" t="s">
        <v>1836</v>
      </c>
      <c r="G498" s="215" t="s">
        <v>79</v>
      </c>
      <c r="H498" s="216" t="s">
        <v>2322</v>
      </c>
      <c r="I498" s="217">
        <v>24306000</v>
      </c>
      <c r="J498" s="217">
        <f>SUM('BI Sem. I tahun 2023 108'!U1003)</f>
        <v>4861200</v>
      </c>
      <c r="K498" s="217">
        <f>SUM('BI Sem. I tahun 2023 108'!W1003)</f>
        <v>405099.99999999988</v>
      </c>
      <c r="L498" s="217"/>
      <c r="M498" s="217">
        <f>SUM('BI Sem. I tahun 2023 108'!Z1003)</f>
        <v>405099.99999999988</v>
      </c>
      <c r="N498" s="217">
        <f>SUM('BI Sem. I tahun 2023 108'!AB1003)</f>
        <v>405099.99999999988</v>
      </c>
      <c r="O498" s="217">
        <f>SUM('BI Sem. I tahun 2023 108'!AC1003)</f>
        <v>23900900</v>
      </c>
      <c r="P498" s="217"/>
      <c r="Q498" s="218"/>
    </row>
    <row r="499" spans="1:17" s="219" customFormat="1" x14ac:dyDescent="0.25">
      <c r="A499" s="214"/>
      <c r="B499" s="215" t="s">
        <v>1822</v>
      </c>
      <c r="C499" s="215" t="s">
        <v>1823</v>
      </c>
      <c r="D499" s="215" t="s">
        <v>1836</v>
      </c>
      <c r="E499" s="215" t="s">
        <v>2313</v>
      </c>
      <c r="F499" s="215" t="s">
        <v>1836</v>
      </c>
      <c r="G499" s="215" t="s">
        <v>84</v>
      </c>
      <c r="H499" s="216" t="s">
        <v>2323</v>
      </c>
      <c r="I499" s="217"/>
      <c r="J499" s="217"/>
      <c r="K499" s="217"/>
      <c r="L499" s="217"/>
      <c r="M499" s="217"/>
      <c r="N499" s="217"/>
      <c r="O499" s="217"/>
      <c r="P499" s="217"/>
      <c r="Q499" s="218"/>
    </row>
    <row r="500" spans="1:17" s="219" customFormat="1" x14ac:dyDescent="0.25">
      <c r="A500" s="214"/>
      <c r="B500" s="215" t="s">
        <v>1822</v>
      </c>
      <c r="C500" s="215" t="s">
        <v>1823</v>
      </c>
      <c r="D500" s="215" t="s">
        <v>1836</v>
      </c>
      <c r="E500" s="215" t="s">
        <v>2313</v>
      </c>
      <c r="F500" s="215" t="s">
        <v>1836</v>
      </c>
      <c r="G500" s="215" t="s">
        <v>88</v>
      </c>
      <c r="H500" s="216" t="s">
        <v>2324</v>
      </c>
      <c r="I500" s="217"/>
      <c r="J500" s="217"/>
      <c r="K500" s="217"/>
      <c r="L500" s="217"/>
      <c r="M500" s="217"/>
      <c r="N500" s="217"/>
      <c r="O500" s="217"/>
      <c r="P500" s="217"/>
      <c r="Q500" s="218"/>
    </row>
    <row r="501" spans="1:17" s="213" customFormat="1" hidden="1" x14ac:dyDescent="0.25">
      <c r="A501" s="208" t="s">
        <v>2325</v>
      </c>
      <c r="B501" s="209" t="s">
        <v>1822</v>
      </c>
      <c r="C501" s="209" t="s">
        <v>1823</v>
      </c>
      <c r="D501" s="209" t="s">
        <v>1836</v>
      </c>
      <c r="E501" s="209" t="s">
        <v>2326</v>
      </c>
      <c r="F501" s="209"/>
      <c r="G501" s="209"/>
      <c r="H501" s="210" t="s">
        <v>2327</v>
      </c>
      <c r="I501" s="211">
        <f>SUM(I502+I506)</f>
        <v>0</v>
      </c>
      <c r="J501" s="211">
        <f t="shared" ref="J501:P501" si="52">SUM(J502+J506)</f>
        <v>0</v>
      </c>
      <c r="K501" s="211">
        <f t="shared" si="52"/>
        <v>0</v>
      </c>
      <c r="L501" s="211">
        <f t="shared" si="52"/>
        <v>0</v>
      </c>
      <c r="M501" s="211">
        <f t="shared" si="52"/>
        <v>0</v>
      </c>
      <c r="N501" s="211">
        <f t="shared" si="52"/>
        <v>0</v>
      </c>
      <c r="O501" s="211">
        <f t="shared" si="52"/>
        <v>0</v>
      </c>
      <c r="P501" s="211">
        <f t="shared" si="52"/>
        <v>0</v>
      </c>
      <c r="Q501" s="212"/>
    </row>
    <row r="502" spans="1:17" s="213" customFormat="1" hidden="1" x14ac:dyDescent="0.25">
      <c r="A502" s="208" t="s">
        <v>263</v>
      </c>
      <c r="B502" s="209" t="s">
        <v>1822</v>
      </c>
      <c r="C502" s="209" t="s">
        <v>1823</v>
      </c>
      <c r="D502" s="209" t="s">
        <v>1836</v>
      </c>
      <c r="E502" s="209" t="s">
        <v>2326</v>
      </c>
      <c r="F502" s="209" t="s">
        <v>1825</v>
      </c>
      <c r="G502" s="209"/>
      <c r="H502" s="210" t="s">
        <v>2328</v>
      </c>
      <c r="I502" s="211">
        <f>SUM(I503:I505)</f>
        <v>0</v>
      </c>
      <c r="J502" s="211">
        <f t="shared" ref="J502:P502" si="53">SUM(J503:J505)</f>
        <v>0</v>
      </c>
      <c r="K502" s="211">
        <f t="shared" si="53"/>
        <v>0</v>
      </c>
      <c r="L502" s="211">
        <f t="shared" si="53"/>
        <v>0</v>
      </c>
      <c r="M502" s="211">
        <f t="shared" si="53"/>
        <v>0</v>
      </c>
      <c r="N502" s="211">
        <f t="shared" si="53"/>
        <v>0</v>
      </c>
      <c r="O502" s="211">
        <f t="shared" si="53"/>
        <v>0</v>
      </c>
      <c r="P502" s="211">
        <f t="shared" si="53"/>
        <v>0</v>
      </c>
      <c r="Q502" s="212"/>
    </row>
    <row r="503" spans="1:17" s="219" customFormat="1" hidden="1" x14ac:dyDescent="0.25">
      <c r="A503" s="214"/>
      <c r="B503" s="215" t="s">
        <v>1822</v>
      </c>
      <c r="C503" s="215" t="s">
        <v>1823</v>
      </c>
      <c r="D503" s="215" t="s">
        <v>1836</v>
      </c>
      <c r="E503" s="215" t="s">
        <v>2326</v>
      </c>
      <c r="F503" s="215" t="s">
        <v>1825</v>
      </c>
      <c r="G503" s="215" t="s">
        <v>58</v>
      </c>
      <c r="H503" s="216" t="s">
        <v>2329</v>
      </c>
      <c r="I503" s="217"/>
      <c r="J503" s="217"/>
      <c r="K503" s="217"/>
      <c r="L503" s="217"/>
      <c r="M503" s="217"/>
      <c r="N503" s="217"/>
      <c r="O503" s="217"/>
      <c r="P503" s="217"/>
      <c r="Q503" s="218"/>
    </row>
    <row r="504" spans="1:17" s="219" customFormat="1" hidden="1" x14ac:dyDescent="0.25">
      <c r="A504" s="214"/>
      <c r="B504" s="215" t="s">
        <v>1822</v>
      </c>
      <c r="C504" s="215" t="s">
        <v>1823</v>
      </c>
      <c r="D504" s="215" t="s">
        <v>1836</v>
      </c>
      <c r="E504" s="215" t="s">
        <v>2326</v>
      </c>
      <c r="F504" s="215" t="s">
        <v>1825</v>
      </c>
      <c r="G504" s="215" t="s">
        <v>75</v>
      </c>
      <c r="H504" s="216" t="s">
        <v>2330</v>
      </c>
      <c r="I504" s="217"/>
      <c r="J504" s="217"/>
      <c r="K504" s="217"/>
      <c r="L504" s="217"/>
      <c r="M504" s="217"/>
      <c r="N504" s="217"/>
      <c r="O504" s="217"/>
      <c r="P504" s="217"/>
      <c r="Q504" s="218"/>
    </row>
    <row r="505" spans="1:17" s="219" customFormat="1" hidden="1" x14ac:dyDescent="0.25">
      <c r="A505" s="214"/>
      <c r="B505" s="215" t="s">
        <v>1822</v>
      </c>
      <c r="C505" s="215" t="s">
        <v>1823</v>
      </c>
      <c r="D505" s="215" t="s">
        <v>1836</v>
      </c>
      <c r="E505" s="215" t="s">
        <v>2326</v>
      </c>
      <c r="F505" s="215" t="s">
        <v>1825</v>
      </c>
      <c r="G505" s="215" t="s">
        <v>79</v>
      </c>
      <c r="H505" s="216" t="s">
        <v>2331</v>
      </c>
      <c r="I505" s="217"/>
      <c r="J505" s="217"/>
      <c r="K505" s="217"/>
      <c r="L505" s="217"/>
      <c r="M505" s="217"/>
      <c r="N505" s="217"/>
      <c r="O505" s="217"/>
      <c r="P505" s="217"/>
      <c r="Q505" s="218"/>
    </row>
    <row r="506" spans="1:17" s="213" customFormat="1" hidden="1" x14ac:dyDescent="0.25">
      <c r="A506" s="208" t="s">
        <v>263</v>
      </c>
      <c r="B506" s="209" t="s">
        <v>1822</v>
      </c>
      <c r="C506" s="209" t="s">
        <v>1823</v>
      </c>
      <c r="D506" s="209" t="s">
        <v>1836</v>
      </c>
      <c r="E506" s="209" t="s">
        <v>2326</v>
      </c>
      <c r="F506" s="209" t="s">
        <v>1836</v>
      </c>
      <c r="G506" s="209"/>
      <c r="H506" s="210" t="s">
        <v>2332</v>
      </c>
      <c r="I506" s="211">
        <f>SUM(I507:I510)</f>
        <v>0</v>
      </c>
      <c r="J506" s="211">
        <f t="shared" ref="J506:P506" si="54">SUM(J507:J510)</f>
        <v>0</v>
      </c>
      <c r="K506" s="211">
        <f t="shared" si="54"/>
        <v>0</v>
      </c>
      <c r="L506" s="211">
        <f t="shared" si="54"/>
        <v>0</v>
      </c>
      <c r="M506" s="211">
        <f t="shared" si="54"/>
        <v>0</v>
      </c>
      <c r="N506" s="211">
        <f t="shared" si="54"/>
        <v>0</v>
      </c>
      <c r="O506" s="211">
        <f t="shared" si="54"/>
        <v>0</v>
      </c>
      <c r="P506" s="211">
        <f t="shared" si="54"/>
        <v>0</v>
      </c>
      <c r="Q506" s="212"/>
    </row>
    <row r="507" spans="1:17" s="219" customFormat="1" hidden="1" x14ac:dyDescent="0.25">
      <c r="A507" s="214"/>
      <c r="B507" s="215" t="s">
        <v>1822</v>
      </c>
      <c r="C507" s="215" t="s">
        <v>1823</v>
      </c>
      <c r="D507" s="215" t="s">
        <v>1836</v>
      </c>
      <c r="E507" s="215" t="s">
        <v>2326</v>
      </c>
      <c r="F507" s="215" t="s">
        <v>1836</v>
      </c>
      <c r="G507" s="215" t="s">
        <v>58</v>
      </c>
      <c r="H507" s="216" t="s">
        <v>2333</v>
      </c>
      <c r="I507" s="217"/>
      <c r="J507" s="217"/>
      <c r="K507" s="217"/>
      <c r="L507" s="217"/>
      <c r="M507" s="217"/>
      <c r="N507" s="217"/>
      <c r="O507" s="217"/>
      <c r="P507" s="217"/>
      <c r="Q507" s="218"/>
    </row>
    <row r="508" spans="1:17" s="219" customFormat="1" hidden="1" x14ac:dyDescent="0.25">
      <c r="A508" s="214"/>
      <c r="B508" s="215" t="s">
        <v>1822</v>
      </c>
      <c r="C508" s="215" t="s">
        <v>1823</v>
      </c>
      <c r="D508" s="215" t="s">
        <v>1836</v>
      </c>
      <c r="E508" s="215" t="s">
        <v>2326</v>
      </c>
      <c r="F508" s="215" t="s">
        <v>1836</v>
      </c>
      <c r="G508" s="215" t="s">
        <v>75</v>
      </c>
      <c r="H508" s="216" t="s">
        <v>2334</v>
      </c>
      <c r="I508" s="217"/>
      <c r="J508" s="217"/>
      <c r="K508" s="217"/>
      <c r="L508" s="217"/>
      <c r="M508" s="217"/>
      <c r="N508" s="217"/>
      <c r="O508" s="217"/>
      <c r="P508" s="217"/>
      <c r="Q508" s="218"/>
    </row>
    <row r="509" spans="1:17" s="219" customFormat="1" hidden="1" x14ac:dyDescent="0.25">
      <c r="A509" s="214"/>
      <c r="B509" s="215" t="s">
        <v>1822</v>
      </c>
      <c r="C509" s="215" t="s">
        <v>1823</v>
      </c>
      <c r="D509" s="215" t="s">
        <v>1836</v>
      </c>
      <c r="E509" s="215" t="s">
        <v>2326</v>
      </c>
      <c r="F509" s="215" t="s">
        <v>1836</v>
      </c>
      <c r="G509" s="215" t="s">
        <v>79</v>
      </c>
      <c r="H509" s="216" t="s">
        <v>2335</v>
      </c>
      <c r="I509" s="217"/>
      <c r="J509" s="217"/>
      <c r="K509" s="217"/>
      <c r="L509" s="217"/>
      <c r="M509" s="217"/>
      <c r="N509" s="217"/>
      <c r="O509" s="217"/>
      <c r="P509" s="217"/>
      <c r="Q509" s="218"/>
    </row>
    <row r="510" spans="1:17" s="219" customFormat="1" hidden="1" x14ac:dyDescent="0.25">
      <c r="A510" s="214"/>
      <c r="B510" s="215" t="s">
        <v>1822</v>
      </c>
      <c r="C510" s="215" t="s">
        <v>1823</v>
      </c>
      <c r="D510" s="215" t="s">
        <v>1836</v>
      </c>
      <c r="E510" s="215" t="s">
        <v>2326</v>
      </c>
      <c r="F510" s="215" t="s">
        <v>1836</v>
      </c>
      <c r="G510" s="215" t="s">
        <v>84</v>
      </c>
      <c r="H510" s="216" t="s">
        <v>2336</v>
      </c>
      <c r="I510" s="217"/>
      <c r="J510" s="217"/>
      <c r="K510" s="217"/>
      <c r="L510" s="217"/>
      <c r="M510" s="217"/>
      <c r="N510" s="217"/>
      <c r="O510" s="217"/>
      <c r="P510" s="217"/>
      <c r="Q510" s="218"/>
    </row>
    <row r="511" spans="1:17" s="213" customFormat="1" hidden="1" x14ac:dyDescent="0.25">
      <c r="A511" s="208" t="s">
        <v>2337</v>
      </c>
      <c r="B511" s="209" t="s">
        <v>1822</v>
      </c>
      <c r="C511" s="209" t="s">
        <v>1823</v>
      </c>
      <c r="D511" s="209" t="s">
        <v>1836</v>
      </c>
      <c r="E511" s="209" t="s">
        <v>2338</v>
      </c>
      <c r="F511" s="209"/>
      <c r="G511" s="209"/>
      <c r="H511" s="210" t="s">
        <v>2339</v>
      </c>
      <c r="I511" s="211">
        <f>SUM(I512+I516)</f>
        <v>0</v>
      </c>
      <c r="J511" s="211">
        <f t="shared" ref="J511:P511" si="55">SUM(J512+J516)</f>
        <v>0</v>
      </c>
      <c r="K511" s="211">
        <f t="shared" si="55"/>
        <v>0</v>
      </c>
      <c r="L511" s="211">
        <f t="shared" si="55"/>
        <v>0</v>
      </c>
      <c r="M511" s="211">
        <f t="shared" si="55"/>
        <v>0</v>
      </c>
      <c r="N511" s="211">
        <f t="shared" si="55"/>
        <v>0</v>
      </c>
      <c r="O511" s="211">
        <f t="shared" si="55"/>
        <v>0</v>
      </c>
      <c r="P511" s="211">
        <f t="shared" si="55"/>
        <v>0</v>
      </c>
      <c r="Q511" s="212"/>
    </row>
    <row r="512" spans="1:17" s="213" customFormat="1" hidden="1" x14ac:dyDescent="0.25">
      <c r="A512" s="208" t="s">
        <v>263</v>
      </c>
      <c r="B512" s="209" t="s">
        <v>1822</v>
      </c>
      <c r="C512" s="209" t="s">
        <v>1823</v>
      </c>
      <c r="D512" s="209" t="s">
        <v>1836</v>
      </c>
      <c r="E512" s="209" t="s">
        <v>2338</v>
      </c>
      <c r="F512" s="209" t="s">
        <v>1825</v>
      </c>
      <c r="G512" s="209"/>
      <c r="H512" s="210" t="s">
        <v>2340</v>
      </c>
      <c r="I512" s="211">
        <f>SUM(I513:I515)</f>
        <v>0</v>
      </c>
      <c r="J512" s="211">
        <f t="shared" ref="J512:P512" si="56">SUM(J513:J515)</f>
        <v>0</v>
      </c>
      <c r="K512" s="211">
        <f t="shared" si="56"/>
        <v>0</v>
      </c>
      <c r="L512" s="211">
        <f t="shared" si="56"/>
        <v>0</v>
      </c>
      <c r="M512" s="211">
        <f t="shared" si="56"/>
        <v>0</v>
      </c>
      <c r="N512" s="211">
        <f t="shared" si="56"/>
        <v>0</v>
      </c>
      <c r="O512" s="211">
        <f t="shared" si="56"/>
        <v>0</v>
      </c>
      <c r="P512" s="211">
        <f t="shared" si="56"/>
        <v>0</v>
      </c>
      <c r="Q512" s="212"/>
    </row>
    <row r="513" spans="1:17" s="219" customFormat="1" hidden="1" x14ac:dyDescent="0.25">
      <c r="A513" s="214"/>
      <c r="B513" s="215" t="s">
        <v>1822</v>
      </c>
      <c r="C513" s="215" t="s">
        <v>1823</v>
      </c>
      <c r="D513" s="215" t="s">
        <v>1836</v>
      </c>
      <c r="E513" s="215" t="s">
        <v>2338</v>
      </c>
      <c r="F513" s="215" t="s">
        <v>1825</v>
      </c>
      <c r="G513" s="215" t="s">
        <v>58</v>
      </c>
      <c r="H513" s="216" t="s">
        <v>2341</v>
      </c>
      <c r="I513" s="217"/>
      <c r="J513" s="217"/>
      <c r="K513" s="217"/>
      <c r="L513" s="217"/>
      <c r="M513" s="217"/>
      <c r="N513" s="217"/>
      <c r="O513" s="217"/>
      <c r="P513" s="217"/>
      <c r="Q513" s="218"/>
    </row>
    <row r="514" spans="1:17" s="219" customFormat="1" hidden="1" x14ac:dyDescent="0.25">
      <c r="A514" s="214"/>
      <c r="B514" s="215" t="s">
        <v>1822</v>
      </c>
      <c r="C514" s="215" t="s">
        <v>1823</v>
      </c>
      <c r="D514" s="215" t="s">
        <v>1836</v>
      </c>
      <c r="E514" s="215" t="s">
        <v>2338</v>
      </c>
      <c r="F514" s="215" t="s">
        <v>1825</v>
      </c>
      <c r="G514" s="215" t="s">
        <v>75</v>
      </c>
      <c r="H514" s="216" t="s">
        <v>2342</v>
      </c>
      <c r="I514" s="217"/>
      <c r="J514" s="217"/>
      <c r="K514" s="217"/>
      <c r="L514" s="217"/>
      <c r="M514" s="217"/>
      <c r="N514" s="217"/>
      <c r="O514" s="217"/>
      <c r="P514" s="217"/>
      <c r="Q514" s="218"/>
    </row>
    <row r="515" spans="1:17" s="219" customFormat="1" hidden="1" x14ac:dyDescent="0.25">
      <c r="A515" s="214"/>
      <c r="B515" s="215" t="s">
        <v>1822</v>
      </c>
      <c r="C515" s="215" t="s">
        <v>1823</v>
      </c>
      <c r="D515" s="215" t="s">
        <v>1836</v>
      </c>
      <c r="E515" s="215" t="s">
        <v>2338</v>
      </c>
      <c r="F515" s="215" t="s">
        <v>1825</v>
      </c>
      <c r="G515" s="215" t="s">
        <v>79</v>
      </c>
      <c r="H515" s="216" t="s">
        <v>2343</v>
      </c>
      <c r="I515" s="217"/>
      <c r="J515" s="217"/>
      <c r="K515" s="217"/>
      <c r="L515" s="217"/>
      <c r="M515" s="217"/>
      <c r="N515" s="217"/>
      <c r="O515" s="217"/>
      <c r="P515" s="217"/>
      <c r="Q515" s="218"/>
    </row>
    <row r="516" spans="1:17" s="213" customFormat="1" hidden="1" x14ac:dyDescent="0.25">
      <c r="A516" s="208" t="s">
        <v>263</v>
      </c>
      <c r="B516" s="209" t="s">
        <v>1822</v>
      </c>
      <c r="C516" s="209" t="s">
        <v>1823</v>
      </c>
      <c r="D516" s="209" t="s">
        <v>1836</v>
      </c>
      <c r="E516" s="209" t="s">
        <v>2338</v>
      </c>
      <c r="F516" s="209" t="s">
        <v>1836</v>
      </c>
      <c r="G516" s="209"/>
      <c r="H516" s="210" t="s">
        <v>2344</v>
      </c>
      <c r="I516" s="211">
        <f>SUM(I517:I521)</f>
        <v>0</v>
      </c>
      <c r="J516" s="211">
        <f t="shared" ref="J516:P516" si="57">SUM(J517:J521)</f>
        <v>0</v>
      </c>
      <c r="K516" s="211">
        <f t="shared" si="57"/>
        <v>0</v>
      </c>
      <c r="L516" s="211">
        <f t="shared" si="57"/>
        <v>0</v>
      </c>
      <c r="M516" s="211">
        <f t="shared" si="57"/>
        <v>0</v>
      </c>
      <c r="N516" s="211">
        <f t="shared" si="57"/>
        <v>0</v>
      </c>
      <c r="O516" s="211">
        <f t="shared" si="57"/>
        <v>0</v>
      </c>
      <c r="P516" s="211">
        <f t="shared" si="57"/>
        <v>0</v>
      </c>
      <c r="Q516" s="212"/>
    </row>
    <row r="517" spans="1:17" s="219" customFormat="1" hidden="1" x14ac:dyDescent="0.25">
      <c r="A517" s="214"/>
      <c r="B517" s="215" t="s">
        <v>1822</v>
      </c>
      <c r="C517" s="215" t="s">
        <v>1823</v>
      </c>
      <c r="D517" s="215" t="s">
        <v>1836</v>
      </c>
      <c r="E517" s="215" t="s">
        <v>2338</v>
      </c>
      <c r="F517" s="215" t="s">
        <v>1836</v>
      </c>
      <c r="G517" s="215" t="s">
        <v>58</v>
      </c>
      <c r="H517" s="216" t="s">
        <v>2345</v>
      </c>
      <c r="I517" s="217"/>
      <c r="J517" s="217"/>
      <c r="K517" s="217"/>
      <c r="L517" s="217"/>
      <c r="M517" s="217"/>
      <c r="N517" s="217"/>
      <c r="O517" s="217"/>
      <c r="P517" s="217"/>
      <c r="Q517" s="218"/>
    </row>
    <row r="518" spans="1:17" s="219" customFormat="1" hidden="1" x14ac:dyDescent="0.25">
      <c r="A518" s="214"/>
      <c r="B518" s="215" t="s">
        <v>1822</v>
      </c>
      <c r="C518" s="215" t="s">
        <v>1823</v>
      </c>
      <c r="D518" s="215" t="s">
        <v>1836</v>
      </c>
      <c r="E518" s="215" t="s">
        <v>2338</v>
      </c>
      <c r="F518" s="215" t="s">
        <v>1836</v>
      </c>
      <c r="G518" s="215" t="s">
        <v>75</v>
      </c>
      <c r="H518" s="216" t="s">
        <v>2346</v>
      </c>
      <c r="I518" s="217"/>
      <c r="J518" s="217"/>
      <c r="K518" s="217"/>
      <c r="L518" s="217"/>
      <c r="M518" s="217"/>
      <c r="N518" s="217"/>
      <c r="O518" s="217"/>
      <c r="P518" s="217"/>
      <c r="Q518" s="218"/>
    </row>
    <row r="519" spans="1:17" s="219" customFormat="1" hidden="1" x14ac:dyDescent="0.25">
      <c r="A519" s="214"/>
      <c r="B519" s="215" t="s">
        <v>1822</v>
      </c>
      <c r="C519" s="215" t="s">
        <v>1823</v>
      </c>
      <c r="D519" s="215" t="s">
        <v>1836</v>
      </c>
      <c r="E519" s="215" t="s">
        <v>2338</v>
      </c>
      <c r="F519" s="215" t="s">
        <v>1836</v>
      </c>
      <c r="G519" s="215" t="s">
        <v>79</v>
      </c>
      <c r="H519" s="216" t="s">
        <v>2347</v>
      </c>
      <c r="I519" s="217"/>
      <c r="J519" s="217"/>
      <c r="K519" s="217"/>
      <c r="L519" s="217"/>
      <c r="M519" s="217"/>
      <c r="N519" s="217"/>
      <c r="O519" s="217"/>
      <c r="P519" s="217"/>
      <c r="Q519" s="218"/>
    </row>
    <row r="520" spans="1:17" s="219" customFormat="1" hidden="1" x14ac:dyDescent="0.25">
      <c r="A520" s="214"/>
      <c r="B520" s="215" t="s">
        <v>1822</v>
      </c>
      <c r="C520" s="215" t="s">
        <v>1823</v>
      </c>
      <c r="D520" s="215" t="s">
        <v>1836</v>
      </c>
      <c r="E520" s="215" t="s">
        <v>2338</v>
      </c>
      <c r="F520" s="215" t="s">
        <v>1836</v>
      </c>
      <c r="G520" s="215" t="s">
        <v>84</v>
      </c>
      <c r="H520" s="216" t="s">
        <v>2348</v>
      </c>
      <c r="I520" s="217"/>
      <c r="J520" s="217"/>
      <c r="K520" s="217"/>
      <c r="L520" s="217"/>
      <c r="M520" s="217"/>
      <c r="N520" s="217"/>
      <c r="O520" s="217"/>
      <c r="P520" s="217"/>
      <c r="Q520" s="218"/>
    </row>
    <row r="521" spans="1:17" s="219" customFormat="1" hidden="1" x14ac:dyDescent="0.25">
      <c r="A521" s="214"/>
      <c r="B521" s="215" t="s">
        <v>1822</v>
      </c>
      <c r="C521" s="215" t="s">
        <v>1823</v>
      </c>
      <c r="D521" s="215" t="s">
        <v>1836</v>
      </c>
      <c r="E521" s="215" t="s">
        <v>2338</v>
      </c>
      <c r="F521" s="215" t="s">
        <v>1836</v>
      </c>
      <c r="G521" s="215" t="s">
        <v>88</v>
      </c>
      <c r="H521" s="216" t="s">
        <v>2349</v>
      </c>
      <c r="I521" s="217"/>
      <c r="J521" s="217"/>
      <c r="K521" s="217"/>
      <c r="L521" s="217"/>
      <c r="M521" s="217"/>
      <c r="N521" s="217"/>
      <c r="O521" s="217"/>
      <c r="P521" s="217"/>
      <c r="Q521" s="218"/>
    </row>
    <row r="522" spans="1:17" s="213" customFormat="1" ht="30" hidden="1" x14ac:dyDescent="0.25">
      <c r="A522" s="208" t="s">
        <v>2350</v>
      </c>
      <c r="B522" s="209" t="s">
        <v>1822</v>
      </c>
      <c r="C522" s="209" t="s">
        <v>1823</v>
      </c>
      <c r="D522" s="209" t="s">
        <v>1836</v>
      </c>
      <c r="E522" s="209" t="s">
        <v>2351</v>
      </c>
      <c r="F522" s="209"/>
      <c r="G522" s="209"/>
      <c r="H522" s="210" t="s">
        <v>2352</v>
      </c>
      <c r="I522" s="211">
        <f>SUM(I523+I527+I530)</f>
        <v>0</v>
      </c>
      <c r="J522" s="211">
        <f t="shared" ref="J522:P522" si="58">SUM(J523+J527+J530)</f>
        <v>0</v>
      </c>
      <c r="K522" s="211">
        <f t="shared" si="58"/>
        <v>0</v>
      </c>
      <c r="L522" s="211">
        <f t="shared" si="58"/>
        <v>0</v>
      </c>
      <c r="M522" s="211">
        <f t="shared" si="58"/>
        <v>0</v>
      </c>
      <c r="N522" s="211">
        <f t="shared" si="58"/>
        <v>0</v>
      </c>
      <c r="O522" s="211">
        <f t="shared" si="58"/>
        <v>0</v>
      </c>
      <c r="P522" s="211">
        <f t="shared" si="58"/>
        <v>0</v>
      </c>
      <c r="Q522" s="212"/>
    </row>
    <row r="523" spans="1:17" s="213" customFormat="1" hidden="1" x14ac:dyDescent="0.25">
      <c r="A523" s="208" t="s">
        <v>263</v>
      </c>
      <c r="B523" s="209" t="s">
        <v>1822</v>
      </c>
      <c r="C523" s="209" t="s">
        <v>1823</v>
      </c>
      <c r="D523" s="209" t="s">
        <v>1836</v>
      </c>
      <c r="E523" s="209" t="s">
        <v>2351</v>
      </c>
      <c r="F523" s="209" t="s">
        <v>1825</v>
      </c>
      <c r="G523" s="209"/>
      <c r="H523" s="210" t="s">
        <v>2353</v>
      </c>
      <c r="I523" s="211">
        <f>SUM(I524:I526)</f>
        <v>0</v>
      </c>
      <c r="J523" s="211">
        <f t="shared" ref="J523:P523" si="59">SUM(J524:J526)</f>
        <v>0</v>
      </c>
      <c r="K523" s="211">
        <f t="shared" si="59"/>
        <v>0</v>
      </c>
      <c r="L523" s="211">
        <f t="shared" si="59"/>
        <v>0</v>
      </c>
      <c r="M523" s="211">
        <f t="shared" si="59"/>
        <v>0</v>
      </c>
      <c r="N523" s="211">
        <f t="shared" si="59"/>
        <v>0</v>
      </c>
      <c r="O523" s="211">
        <f t="shared" si="59"/>
        <v>0</v>
      </c>
      <c r="P523" s="211">
        <f t="shared" si="59"/>
        <v>0</v>
      </c>
      <c r="Q523" s="212"/>
    </row>
    <row r="524" spans="1:17" s="219" customFormat="1" hidden="1" x14ac:dyDescent="0.25">
      <c r="A524" s="214"/>
      <c r="B524" s="215" t="s">
        <v>1822</v>
      </c>
      <c r="C524" s="215" t="s">
        <v>1823</v>
      </c>
      <c r="D524" s="215" t="s">
        <v>1836</v>
      </c>
      <c r="E524" s="215" t="s">
        <v>2351</v>
      </c>
      <c r="F524" s="215" t="s">
        <v>1825</v>
      </c>
      <c r="G524" s="215" t="s">
        <v>58</v>
      </c>
      <c r="H524" s="216" t="s">
        <v>2354</v>
      </c>
      <c r="I524" s="217"/>
      <c r="J524" s="217"/>
      <c r="K524" s="217"/>
      <c r="L524" s="217"/>
      <c r="M524" s="217"/>
      <c r="N524" s="217"/>
      <c r="O524" s="217"/>
      <c r="P524" s="217"/>
      <c r="Q524" s="218"/>
    </row>
    <row r="525" spans="1:17" s="219" customFormat="1" hidden="1" x14ac:dyDescent="0.25">
      <c r="A525" s="214"/>
      <c r="B525" s="215" t="s">
        <v>1822</v>
      </c>
      <c r="C525" s="215" t="s">
        <v>1823</v>
      </c>
      <c r="D525" s="215" t="s">
        <v>1836</v>
      </c>
      <c r="E525" s="215" t="s">
        <v>2351</v>
      </c>
      <c r="F525" s="215" t="s">
        <v>1825</v>
      </c>
      <c r="G525" s="215" t="s">
        <v>75</v>
      </c>
      <c r="H525" s="216" t="s">
        <v>2355</v>
      </c>
      <c r="I525" s="217"/>
      <c r="J525" s="217"/>
      <c r="K525" s="217"/>
      <c r="L525" s="217"/>
      <c r="M525" s="217"/>
      <c r="N525" s="217"/>
      <c r="O525" s="217"/>
      <c r="P525" s="217"/>
      <c r="Q525" s="218"/>
    </row>
    <row r="526" spans="1:17" s="219" customFormat="1" hidden="1" x14ac:dyDescent="0.25">
      <c r="A526" s="214"/>
      <c r="B526" s="215" t="s">
        <v>1822</v>
      </c>
      <c r="C526" s="215" t="s">
        <v>1823</v>
      </c>
      <c r="D526" s="215" t="s">
        <v>1836</v>
      </c>
      <c r="E526" s="215" t="s">
        <v>2351</v>
      </c>
      <c r="F526" s="215" t="s">
        <v>1825</v>
      </c>
      <c r="G526" s="215" t="s">
        <v>79</v>
      </c>
      <c r="H526" s="216" t="s">
        <v>2356</v>
      </c>
      <c r="I526" s="217"/>
      <c r="J526" s="217"/>
      <c r="K526" s="217"/>
      <c r="L526" s="217"/>
      <c r="M526" s="217"/>
      <c r="N526" s="217"/>
      <c r="O526" s="217"/>
      <c r="P526" s="217"/>
      <c r="Q526" s="218"/>
    </row>
    <row r="527" spans="1:17" s="213" customFormat="1" hidden="1" x14ac:dyDescent="0.25">
      <c r="A527" s="208" t="s">
        <v>263</v>
      </c>
      <c r="B527" s="209" t="s">
        <v>1822</v>
      </c>
      <c r="C527" s="209" t="s">
        <v>1823</v>
      </c>
      <c r="D527" s="209" t="s">
        <v>1836</v>
      </c>
      <c r="E527" s="209" t="s">
        <v>2351</v>
      </c>
      <c r="F527" s="209" t="s">
        <v>1836</v>
      </c>
      <c r="G527" s="209"/>
      <c r="H527" s="210" t="s">
        <v>2357</v>
      </c>
      <c r="I527" s="211">
        <f>SUM(I528:I529)</f>
        <v>0</v>
      </c>
      <c r="J527" s="211">
        <f t="shared" ref="J527:P527" si="60">SUM(J528:J529)</f>
        <v>0</v>
      </c>
      <c r="K527" s="211">
        <f t="shared" si="60"/>
        <v>0</v>
      </c>
      <c r="L527" s="211">
        <f t="shared" si="60"/>
        <v>0</v>
      </c>
      <c r="M527" s="211">
        <f t="shared" si="60"/>
        <v>0</v>
      </c>
      <c r="N527" s="211">
        <f t="shared" si="60"/>
        <v>0</v>
      </c>
      <c r="O527" s="211">
        <f t="shared" si="60"/>
        <v>0</v>
      </c>
      <c r="P527" s="211">
        <f t="shared" si="60"/>
        <v>0</v>
      </c>
      <c r="Q527" s="212"/>
    </row>
    <row r="528" spans="1:17" s="219" customFormat="1" hidden="1" x14ac:dyDescent="0.25">
      <c r="A528" s="214"/>
      <c r="B528" s="215" t="s">
        <v>1822</v>
      </c>
      <c r="C528" s="215" t="s">
        <v>1823</v>
      </c>
      <c r="D528" s="215" t="s">
        <v>1836</v>
      </c>
      <c r="E528" s="215" t="s">
        <v>2351</v>
      </c>
      <c r="F528" s="215" t="s">
        <v>1836</v>
      </c>
      <c r="G528" s="215" t="s">
        <v>58</v>
      </c>
      <c r="H528" s="216" t="s">
        <v>2358</v>
      </c>
      <c r="I528" s="217"/>
      <c r="J528" s="217"/>
      <c r="K528" s="217"/>
      <c r="L528" s="217"/>
      <c r="M528" s="217"/>
      <c r="N528" s="217"/>
      <c r="O528" s="217"/>
      <c r="P528" s="217"/>
      <c r="Q528" s="218"/>
    </row>
    <row r="529" spans="1:17" s="219" customFormat="1" hidden="1" x14ac:dyDescent="0.25">
      <c r="A529" s="214"/>
      <c r="B529" s="215" t="s">
        <v>1822</v>
      </c>
      <c r="C529" s="215" t="s">
        <v>1823</v>
      </c>
      <c r="D529" s="215" t="s">
        <v>1836</v>
      </c>
      <c r="E529" s="215" t="s">
        <v>2351</v>
      </c>
      <c r="F529" s="215" t="s">
        <v>1836</v>
      </c>
      <c r="G529" s="215" t="s">
        <v>75</v>
      </c>
      <c r="H529" s="216" t="s">
        <v>2359</v>
      </c>
      <c r="I529" s="217"/>
      <c r="J529" s="217"/>
      <c r="K529" s="217"/>
      <c r="L529" s="217"/>
      <c r="M529" s="217"/>
      <c r="N529" s="217"/>
      <c r="O529" s="217"/>
      <c r="P529" s="217"/>
      <c r="Q529" s="218"/>
    </row>
    <row r="530" spans="1:17" s="213" customFormat="1" hidden="1" x14ac:dyDescent="0.25">
      <c r="A530" s="208" t="s">
        <v>263</v>
      </c>
      <c r="B530" s="209" t="s">
        <v>1822</v>
      </c>
      <c r="C530" s="209" t="s">
        <v>1823</v>
      </c>
      <c r="D530" s="209" t="s">
        <v>1836</v>
      </c>
      <c r="E530" s="209" t="s">
        <v>2351</v>
      </c>
      <c r="F530" s="209" t="s">
        <v>1847</v>
      </c>
      <c r="G530" s="209"/>
      <c r="H530" s="210" t="s">
        <v>2360</v>
      </c>
      <c r="I530" s="211">
        <f>SUM(I531:I535)</f>
        <v>0</v>
      </c>
      <c r="J530" s="211">
        <f t="shared" ref="J530:P530" si="61">SUM(J531:J535)</f>
        <v>0</v>
      </c>
      <c r="K530" s="211">
        <f t="shared" si="61"/>
        <v>0</v>
      </c>
      <c r="L530" s="211">
        <f t="shared" si="61"/>
        <v>0</v>
      </c>
      <c r="M530" s="211">
        <f t="shared" si="61"/>
        <v>0</v>
      </c>
      <c r="N530" s="211">
        <f t="shared" si="61"/>
        <v>0</v>
      </c>
      <c r="O530" s="211">
        <f t="shared" si="61"/>
        <v>0</v>
      </c>
      <c r="P530" s="211">
        <f t="shared" si="61"/>
        <v>0</v>
      </c>
      <c r="Q530" s="212"/>
    </row>
    <row r="531" spans="1:17" s="219" customFormat="1" hidden="1" x14ac:dyDescent="0.25">
      <c r="A531" s="214"/>
      <c r="B531" s="215" t="s">
        <v>1822</v>
      </c>
      <c r="C531" s="215" t="s">
        <v>1823</v>
      </c>
      <c r="D531" s="215" t="s">
        <v>1836</v>
      </c>
      <c r="E531" s="215" t="s">
        <v>2351</v>
      </c>
      <c r="F531" s="215" t="s">
        <v>1847</v>
      </c>
      <c r="G531" s="215" t="s">
        <v>58</v>
      </c>
      <c r="H531" s="216" t="s">
        <v>2361</v>
      </c>
      <c r="I531" s="217"/>
      <c r="J531" s="217"/>
      <c r="K531" s="217"/>
      <c r="L531" s="217"/>
      <c r="M531" s="217"/>
      <c r="N531" s="217"/>
      <c r="O531" s="217"/>
      <c r="P531" s="217"/>
      <c r="Q531" s="218"/>
    </row>
    <row r="532" spans="1:17" s="219" customFormat="1" hidden="1" x14ac:dyDescent="0.25">
      <c r="A532" s="214"/>
      <c r="B532" s="215" t="s">
        <v>1822</v>
      </c>
      <c r="C532" s="215" t="s">
        <v>1823</v>
      </c>
      <c r="D532" s="215" t="s">
        <v>1836</v>
      </c>
      <c r="E532" s="215" t="s">
        <v>2351</v>
      </c>
      <c r="F532" s="215" t="s">
        <v>1847</v>
      </c>
      <c r="G532" s="215" t="s">
        <v>75</v>
      </c>
      <c r="H532" s="216" t="s">
        <v>2362</v>
      </c>
      <c r="I532" s="217"/>
      <c r="J532" s="217"/>
      <c r="K532" s="217"/>
      <c r="L532" s="217"/>
      <c r="M532" s="217"/>
      <c r="N532" s="217"/>
      <c r="O532" s="217"/>
      <c r="P532" s="217"/>
      <c r="Q532" s="218"/>
    </row>
    <row r="533" spans="1:17" s="219" customFormat="1" hidden="1" x14ac:dyDescent="0.25">
      <c r="A533" s="214"/>
      <c r="B533" s="215" t="s">
        <v>1822</v>
      </c>
      <c r="C533" s="215" t="s">
        <v>1823</v>
      </c>
      <c r="D533" s="215" t="s">
        <v>1836</v>
      </c>
      <c r="E533" s="215" t="s">
        <v>2351</v>
      </c>
      <c r="F533" s="215" t="s">
        <v>1847</v>
      </c>
      <c r="G533" s="215" t="s">
        <v>79</v>
      </c>
      <c r="H533" s="216" t="s">
        <v>2363</v>
      </c>
      <c r="I533" s="217"/>
      <c r="J533" s="217"/>
      <c r="K533" s="217"/>
      <c r="L533" s="217"/>
      <c r="M533" s="217"/>
      <c r="N533" s="217"/>
      <c r="O533" s="217"/>
      <c r="P533" s="217"/>
      <c r="Q533" s="218"/>
    </row>
    <row r="534" spans="1:17" s="219" customFormat="1" hidden="1" x14ac:dyDescent="0.25">
      <c r="A534" s="214"/>
      <c r="B534" s="215" t="s">
        <v>1822</v>
      </c>
      <c r="C534" s="215" t="s">
        <v>1823</v>
      </c>
      <c r="D534" s="215" t="s">
        <v>1836</v>
      </c>
      <c r="E534" s="215" t="s">
        <v>2351</v>
      </c>
      <c r="F534" s="215" t="s">
        <v>1847</v>
      </c>
      <c r="G534" s="215" t="s">
        <v>84</v>
      </c>
      <c r="H534" s="216" t="s">
        <v>2364</v>
      </c>
      <c r="I534" s="217"/>
      <c r="J534" s="217"/>
      <c r="K534" s="217"/>
      <c r="L534" s="217"/>
      <c r="M534" s="217"/>
      <c r="N534" s="217"/>
      <c r="O534" s="217"/>
      <c r="P534" s="217"/>
      <c r="Q534" s="218"/>
    </row>
    <row r="535" spans="1:17" s="219" customFormat="1" hidden="1" x14ac:dyDescent="0.25">
      <c r="A535" s="214"/>
      <c r="B535" s="215" t="s">
        <v>1822</v>
      </c>
      <c r="C535" s="215" t="s">
        <v>1823</v>
      </c>
      <c r="D535" s="215" t="s">
        <v>1836</v>
      </c>
      <c r="E535" s="215" t="s">
        <v>2351</v>
      </c>
      <c r="F535" s="215" t="s">
        <v>1847</v>
      </c>
      <c r="G535" s="215" t="s">
        <v>88</v>
      </c>
      <c r="H535" s="216" t="s">
        <v>2365</v>
      </c>
      <c r="I535" s="217"/>
      <c r="J535" s="217"/>
      <c r="K535" s="217"/>
      <c r="L535" s="217"/>
      <c r="M535" s="217"/>
      <c r="N535" s="217"/>
      <c r="O535" s="217"/>
      <c r="P535" s="217"/>
      <c r="Q535" s="218"/>
    </row>
    <row r="536" spans="1:17" s="213" customFormat="1" hidden="1" x14ac:dyDescent="0.25">
      <c r="A536" s="208" t="s">
        <v>2366</v>
      </c>
      <c r="B536" s="209" t="s">
        <v>1822</v>
      </c>
      <c r="C536" s="209" t="s">
        <v>1823</v>
      </c>
      <c r="D536" s="209" t="s">
        <v>1836</v>
      </c>
      <c r="E536" s="209" t="s">
        <v>2367</v>
      </c>
      <c r="F536" s="209"/>
      <c r="G536" s="209"/>
      <c r="H536" s="210" t="s">
        <v>2368</v>
      </c>
      <c r="I536" s="211">
        <f>SUM(I537+I541)</f>
        <v>0</v>
      </c>
      <c r="J536" s="211">
        <f t="shared" ref="J536:P536" si="62">SUM(J537+J541)</f>
        <v>0</v>
      </c>
      <c r="K536" s="211">
        <f t="shared" si="62"/>
        <v>0</v>
      </c>
      <c r="L536" s="211">
        <f t="shared" si="62"/>
        <v>0</v>
      </c>
      <c r="M536" s="211">
        <f t="shared" si="62"/>
        <v>0</v>
      </c>
      <c r="N536" s="211">
        <f t="shared" si="62"/>
        <v>0</v>
      </c>
      <c r="O536" s="211">
        <f t="shared" si="62"/>
        <v>0</v>
      </c>
      <c r="P536" s="211">
        <f t="shared" si="62"/>
        <v>0</v>
      </c>
      <c r="Q536" s="212"/>
    </row>
    <row r="537" spans="1:17" s="213" customFormat="1" hidden="1" x14ac:dyDescent="0.25">
      <c r="A537" s="208" t="s">
        <v>263</v>
      </c>
      <c r="B537" s="209" t="s">
        <v>1822</v>
      </c>
      <c r="C537" s="209" t="s">
        <v>1823</v>
      </c>
      <c r="D537" s="209" t="s">
        <v>1836</v>
      </c>
      <c r="E537" s="209" t="s">
        <v>2367</v>
      </c>
      <c r="F537" s="209" t="s">
        <v>1825</v>
      </c>
      <c r="G537" s="209"/>
      <c r="H537" s="210" t="s">
        <v>2368</v>
      </c>
      <c r="I537" s="211">
        <f>SUM(I538:I540)</f>
        <v>0</v>
      </c>
      <c r="J537" s="211">
        <f t="shared" ref="J537:P537" si="63">SUM(J538:J540)</f>
        <v>0</v>
      </c>
      <c r="K537" s="211">
        <f t="shared" si="63"/>
        <v>0</v>
      </c>
      <c r="L537" s="211">
        <f t="shared" si="63"/>
        <v>0</v>
      </c>
      <c r="M537" s="211">
        <f t="shared" si="63"/>
        <v>0</v>
      </c>
      <c r="N537" s="211">
        <f t="shared" si="63"/>
        <v>0</v>
      </c>
      <c r="O537" s="211">
        <f t="shared" si="63"/>
        <v>0</v>
      </c>
      <c r="P537" s="211">
        <f t="shared" si="63"/>
        <v>0</v>
      </c>
      <c r="Q537" s="212"/>
    </row>
    <row r="538" spans="1:17" s="219" customFormat="1" hidden="1" x14ac:dyDescent="0.25">
      <c r="A538" s="214"/>
      <c r="B538" s="215" t="s">
        <v>1822</v>
      </c>
      <c r="C538" s="215" t="s">
        <v>1823</v>
      </c>
      <c r="D538" s="215" t="s">
        <v>1836</v>
      </c>
      <c r="E538" s="215" t="s">
        <v>2367</v>
      </c>
      <c r="F538" s="215" t="s">
        <v>1825</v>
      </c>
      <c r="G538" s="215" t="s">
        <v>58</v>
      </c>
      <c r="H538" s="216" t="s">
        <v>2333</v>
      </c>
      <c r="I538" s="217"/>
      <c r="J538" s="217"/>
      <c r="K538" s="217"/>
      <c r="L538" s="217"/>
      <c r="M538" s="217"/>
      <c r="N538" s="217"/>
      <c r="O538" s="217"/>
      <c r="P538" s="217"/>
      <c r="Q538" s="218"/>
    </row>
    <row r="539" spans="1:17" s="219" customFormat="1" hidden="1" x14ac:dyDescent="0.25">
      <c r="A539" s="214"/>
      <c r="B539" s="215" t="s">
        <v>1822</v>
      </c>
      <c r="C539" s="215" t="s">
        <v>1823</v>
      </c>
      <c r="D539" s="215" t="s">
        <v>1836</v>
      </c>
      <c r="E539" s="215" t="s">
        <v>2367</v>
      </c>
      <c r="F539" s="215" t="s">
        <v>1825</v>
      </c>
      <c r="G539" s="215" t="s">
        <v>75</v>
      </c>
      <c r="H539" s="216" t="s">
        <v>2369</v>
      </c>
      <c r="I539" s="217"/>
      <c r="J539" s="217"/>
      <c r="K539" s="217"/>
      <c r="L539" s="217"/>
      <c r="M539" s="217"/>
      <c r="N539" s="217"/>
      <c r="O539" s="217"/>
      <c r="P539" s="217"/>
      <c r="Q539" s="218"/>
    </row>
    <row r="540" spans="1:17" s="219" customFormat="1" hidden="1" x14ac:dyDescent="0.25">
      <c r="A540" s="214"/>
      <c r="B540" s="215" t="s">
        <v>1822</v>
      </c>
      <c r="C540" s="215" t="s">
        <v>1823</v>
      </c>
      <c r="D540" s="215" t="s">
        <v>1836</v>
      </c>
      <c r="E540" s="215" t="s">
        <v>2367</v>
      </c>
      <c r="F540" s="215" t="s">
        <v>1825</v>
      </c>
      <c r="G540" s="215" t="s">
        <v>79</v>
      </c>
      <c r="H540" s="216" t="s">
        <v>2370</v>
      </c>
      <c r="I540" s="217"/>
      <c r="J540" s="217"/>
      <c r="K540" s="217"/>
      <c r="L540" s="217"/>
      <c r="M540" s="217"/>
      <c r="N540" s="217"/>
      <c r="O540" s="217"/>
      <c r="P540" s="217"/>
      <c r="Q540" s="218"/>
    </row>
    <row r="541" spans="1:17" s="213" customFormat="1" hidden="1" x14ac:dyDescent="0.25">
      <c r="A541" s="208" t="s">
        <v>263</v>
      </c>
      <c r="B541" s="209" t="s">
        <v>1822</v>
      </c>
      <c r="C541" s="209" t="s">
        <v>1823</v>
      </c>
      <c r="D541" s="209" t="s">
        <v>1836</v>
      </c>
      <c r="E541" s="209" t="s">
        <v>2367</v>
      </c>
      <c r="F541" s="209" t="s">
        <v>1836</v>
      </c>
      <c r="G541" s="209"/>
      <c r="H541" s="210" t="s">
        <v>2371</v>
      </c>
      <c r="I541" s="211">
        <f>SUM(I542:I544)</f>
        <v>0</v>
      </c>
      <c r="J541" s="211">
        <f t="shared" ref="J541:P541" si="64">SUM(J542:J544)</f>
        <v>0</v>
      </c>
      <c r="K541" s="211">
        <f t="shared" si="64"/>
        <v>0</v>
      </c>
      <c r="L541" s="211">
        <f t="shared" si="64"/>
        <v>0</v>
      </c>
      <c r="M541" s="211">
        <f t="shared" si="64"/>
        <v>0</v>
      </c>
      <c r="N541" s="211">
        <f t="shared" si="64"/>
        <v>0</v>
      </c>
      <c r="O541" s="211">
        <f t="shared" si="64"/>
        <v>0</v>
      </c>
      <c r="P541" s="211">
        <f t="shared" si="64"/>
        <v>0</v>
      </c>
      <c r="Q541" s="212"/>
    </row>
    <row r="542" spans="1:17" s="219" customFormat="1" hidden="1" x14ac:dyDescent="0.25">
      <c r="A542" s="214"/>
      <c r="B542" s="215" t="s">
        <v>1822</v>
      </c>
      <c r="C542" s="215" t="s">
        <v>1823</v>
      </c>
      <c r="D542" s="215" t="s">
        <v>1836</v>
      </c>
      <c r="E542" s="215" t="s">
        <v>2367</v>
      </c>
      <c r="F542" s="215" t="s">
        <v>1836</v>
      </c>
      <c r="G542" s="215" t="s">
        <v>58</v>
      </c>
      <c r="H542" s="216" t="s">
        <v>2372</v>
      </c>
      <c r="I542" s="217"/>
      <c r="J542" s="217"/>
      <c r="K542" s="217"/>
      <c r="L542" s="217"/>
      <c r="M542" s="217"/>
      <c r="N542" s="217"/>
      <c r="O542" s="217"/>
      <c r="P542" s="217"/>
      <c r="Q542" s="218"/>
    </row>
    <row r="543" spans="1:17" s="219" customFormat="1" hidden="1" x14ac:dyDescent="0.25">
      <c r="A543" s="214"/>
      <c r="B543" s="215" t="s">
        <v>1822</v>
      </c>
      <c r="C543" s="215" t="s">
        <v>1823</v>
      </c>
      <c r="D543" s="215" t="s">
        <v>1836</v>
      </c>
      <c r="E543" s="215" t="s">
        <v>2367</v>
      </c>
      <c r="F543" s="215" t="s">
        <v>1836</v>
      </c>
      <c r="G543" s="215" t="s">
        <v>75</v>
      </c>
      <c r="H543" s="216" t="s">
        <v>2373</v>
      </c>
      <c r="I543" s="217"/>
      <c r="J543" s="217"/>
      <c r="K543" s="217"/>
      <c r="L543" s="217"/>
      <c r="M543" s="217"/>
      <c r="N543" s="217"/>
      <c r="O543" s="217"/>
      <c r="P543" s="217"/>
      <c r="Q543" s="218"/>
    </row>
    <row r="544" spans="1:17" s="219" customFormat="1" hidden="1" x14ac:dyDescent="0.25">
      <c r="A544" s="214"/>
      <c r="B544" s="215" t="s">
        <v>1822</v>
      </c>
      <c r="C544" s="215" t="s">
        <v>1823</v>
      </c>
      <c r="D544" s="215" t="s">
        <v>1836</v>
      </c>
      <c r="E544" s="215" t="s">
        <v>2367</v>
      </c>
      <c r="F544" s="215" t="s">
        <v>1836</v>
      </c>
      <c r="G544" s="215" t="s">
        <v>79</v>
      </c>
      <c r="H544" s="216" t="s">
        <v>2374</v>
      </c>
      <c r="I544" s="217"/>
      <c r="J544" s="217"/>
      <c r="K544" s="217"/>
      <c r="L544" s="217"/>
      <c r="M544" s="217"/>
      <c r="N544" s="217"/>
      <c r="O544" s="217"/>
      <c r="P544" s="217"/>
      <c r="Q544" s="218"/>
    </row>
    <row r="545" spans="1:17" s="213" customFormat="1" hidden="1" x14ac:dyDescent="0.25">
      <c r="A545" s="208" t="s">
        <v>2375</v>
      </c>
      <c r="B545" s="209" t="s">
        <v>1822</v>
      </c>
      <c r="C545" s="209" t="s">
        <v>1823</v>
      </c>
      <c r="D545" s="209" t="s">
        <v>1836</v>
      </c>
      <c r="E545" s="209" t="s">
        <v>2376</v>
      </c>
      <c r="F545" s="209"/>
      <c r="G545" s="209"/>
      <c r="H545" s="210" t="s">
        <v>2377</v>
      </c>
      <c r="I545" s="211">
        <f>SUM(I546+I550+I557+I562)</f>
        <v>0</v>
      </c>
      <c r="J545" s="211">
        <f t="shared" ref="J545:P545" si="65">SUM(J546+J550+J557+J562)</f>
        <v>0</v>
      </c>
      <c r="K545" s="211">
        <f t="shared" si="65"/>
        <v>0</v>
      </c>
      <c r="L545" s="211">
        <f t="shared" si="65"/>
        <v>0</v>
      </c>
      <c r="M545" s="211">
        <f t="shared" si="65"/>
        <v>0</v>
      </c>
      <c r="N545" s="211">
        <f t="shared" si="65"/>
        <v>0</v>
      </c>
      <c r="O545" s="211">
        <f t="shared" si="65"/>
        <v>0</v>
      </c>
      <c r="P545" s="211">
        <f t="shared" si="65"/>
        <v>0</v>
      </c>
      <c r="Q545" s="212"/>
    </row>
    <row r="546" spans="1:17" s="213" customFormat="1" hidden="1" x14ac:dyDescent="0.25">
      <c r="A546" s="208" t="s">
        <v>263</v>
      </c>
      <c r="B546" s="209" t="s">
        <v>1822</v>
      </c>
      <c r="C546" s="209" t="s">
        <v>1823</v>
      </c>
      <c r="D546" s="209" t="s">
        <v>1836</v>
      </c>
      <c r="E546" s="209" t="s">
        <v>2376</v>
      </c>
      <c r="F546" s="209" t="s">
        <v>1825</v>
      </c>
      <c r="G546" s="209"/>
      <c r="H546" s="210" t="s">
        <v>2378</v>
      </c>
      <c r="I546" s="211">
        <f>SUM(I547:I549)</f>
        <v>0</v>
      </c>
      <c r="J546" s="211">
        <f t="shared" ref="J546:P546" si="66">SUM(J547:J549)</f>
        <v>0</v>
      </c>
      <c r="K546" s="211">
        <f t="shared" si="66"/>
        <v>0</v>
      </c>
      <c r="L546" s="211">
        <f t="shared" si="66"/>
        <v>0</v>
      </c>
      <c r="M546" s="211">
        <f t="shared" si="66"/>
        <v>0</v>
      </c>
      <c r="N546" s="211">
        <f t="shared" si="66"/>
        <v>0</v>
      </c>
      <c r="O546" s="211">
        <f t="shared" si="66"/>
        <v>0</v>
      </c>
      <c r="P546" s="211">
        <f t="shared" si="66"/>
        <v>0</v>
      </c>
      <c r="Q546" s="212"/>
    </row>
    <row r="547" spans="1:17" s="219" customFormat="1" hidden="1" x14ac:dyDescent="0.25">
      <c r="A547" s="214"/>
      <c r="B547" s="215" t="s">
        <v>1822</v>
      </c>
      <c r="C547" s="215" t="s">
        <v>1823</v>
      </c>
      <c r="D547" s="215" t="s">
        <v>1836</v>
      </c>
      <c r="E547" s="215" t="s">
        <v>2376</v>
      </c>
      <c r="F547" s="215" t="s">
        <v>1825</v>
      </c>
      <c r="G547" s="215" t="s">
        <v>58</v>
      </c>
      <c r="H547" s="216" t="s">
        <v>2379</v>
      </c>
      <c r="I547" s="217"/>
      <c r="J547" s="217"/>
      <c r="K547" s="217"/>
      <c r="L547" s="217"/>
      <c r="M547" s="217"/>
      <c r="N547" s="217"/>
      <c r="O547" s="217"/>
      <c r="P547" s="217"/>
      <c r="Q547" s="218"/>
    </row>
    <row r="548" spans="1:17" s="219" customFormat="1" hidden="1" x14ac:dyDescent="0.25">
      <c r="A548" s="214"/>
      <c r="B548" s="215" t="s">
        <v>1822</v>
      </c>
      <c r="C548" s="215" t="s">
        <v>1823</v>
      </c>
      <c r="D548" s="215" t="s">
        <v>1836</v>
      </c>
      <c r="E548" s="215" t="s">
        <v>2376</v>
      </c>
      <c r="F548" s="215" t="s">
        <v>1825</v>
      </c>
      <c r="G548" s="215" t="s">
        <v>75</v>
      </c>
      <c r="H548" s="216" t="s">
        <v>2380</v>
      </c>
      <c r="I548" s="217"/>
      <c r="J548" s="217"/>
      <c r="K548" s="217"/>
      <c r="L548" s="217"/>
      <c r="M548" s="217"/>
      <c r="N548" s="217"/>
      <c r="O548" s="217"/>
      <c r="P548" s="217"/>
      <c r="Q548" s="218"/>
    </row>
    <row r="549" spans="1:17" s="219" customFormat="1" hidden="1" x14ac:dyDescent="0.25">
      <c r="A549" s="214"/>
      <c r="B549" s="215" t="s">
        <v>1822</v>
      </c>
      <c r="C549" s="215" t="s">
        <v>1823</v>
      </c>
      <c r="D549" s="215" t="s">
        <v>1836</v>
      </c>
      <c r="E549" s="215" t="s">
        <v>2376</v>
      </c>
      <c r="F549" s="215" t="s">
        <v>1825</v>
      </c>
      <c r="G549" s="215" t="s">
        <v>79</v>
      </c>
      <c r="H549" s="216" t="s">
        <v>2381</v>
      </c>
      <c r="I549" s="217"/>
      <c r="J549" s="217"/>
      <c r="K549" s="217"/>
      <c r="L549" s="217"/>
      <c r="M549" s="217"/>
      <c r="N549" s="217"/>
      <c r="O549" s="217"/>
      <c r="P549" s="217"/>
      <c r="Q549" s="218"/>
    </row>
    <row r="550" spans="1:17" s="213" customFormat="1" hidden="1" x14ac:dyDescent="0.25">
      <c r="A550" s="208" t="s">
        <v>263</v>
      </c>
      <c r="B550" s="209" t="s">
        <v>1822</v>
      </c>
      <c r="C550" s="209" t="s">
        <v>1823</v>
      </c>
      <c r="D550" s="209" t="s">
        <v>1836</v>
      </c>
      <c r="E550" s="209" t="s">
        <v>2376</v>
      </c>
      <c r="F550" s="209" t="s">
        <v>1836</v>
      </c>
      <c r="G550" s="209"/>
      <c r="H550" s="210" t="s">
        <v>2382</v>
      </c>
      <c r="I550" s="211">
        <f>SUM(I551:I556)</f>
        <v>0</v>
      </c>
      <c r="J550" s="211">
        <f t="shared" ref="J550:P550" si="67">SUM(J551:J556)</f>
        <v>0</v>
      </c>
      <c r="K550" s="211">
        <f t="shared" si="67"/>
        <v>0</v>
      </c>
      <c r="L550" s="211">
        <f t="shared" si="67"/>
        <v>0</v>
      </c>
      <c r="M550" s="211">
        <f t="shared" si="67"/>
        <v>0</v>
      </c>
      <c r="N550" s="211">
        <f t="shared" si="67"/>
        <v>0</v>
      </c>
      <c r="O550" s="211">
        <f t="shared" si="67"/>
        <v>0</v>
      </c>
      <c r="P550" s="211">
        <f t="shared" si="67"/>
        <v>0</v>
      </c>
      <c r="Q550" s="212"/>
    </row>
    <row r="551" spans="1:17" s="219" customFormat="1" hidden="1" x14ac:dyDescent="0.25">
      <c r="A551" s="214"/>
      <c r="B551" s="215" t="s">
        <v>1822</v>
      </c>
      <c r="C551" s="215" t="s">
        <v>1823</v>
      </c>
      <c r="D551" s="215" t="s">
        <v>1836</v>
      </c>
      <c r="E551" s="215" t="s">
        <v>2376</v>
      </c>
      <c r="F551" s="215" t="s">
        <v>1836</v>
      </c>
      <c r="G551" s="215" t="s">
        <v>58</v>
      </c>
      <c r="H551" s="216" t="s">
        <v>2383</v>
      </c>
      <c r="I551" s="217"/>
      <c r="J551" s="217"/>
      <c r="K551" s="217"/>
      <c r="L551" s="217"/>
      <c r="M551" s="217"/>
      <c r="N551" s="217"/>
      <c r="O551" s="217"/>
      <c r="P551" s="217"/>
      <c r="Q551" s="218"/>
    </row>
    <row r="552" spans="1:17" s="219" customFormat="1" hidden="1" x14ac:dyDescent="0.25">
      <c r="A552" s="214"/>
      <c r="B552" s="215" t="s">
        <v>1822</v>
      </c>
      <c r="C552" s="215" t="s">
        <v>1823</v>
      </c>
      <c r="D552" s="215" t="s">
        <v>1836</v>
      </c>
      <c r="E552" s="215" t="s">
        <v>2376</v>
      </c>
      <c r="F552" s="215" t="s">
        <v>1836</v>
      </c>
      <c r="G552" s="215" t="s">
        <v>75</v>
      </c>
      <c r="H552" s="216" t="s">
        <v>2384</v>
      </c>
      <c r="I552" s="217"/>
      <c r="J552" s="217"/>
      <c r="K552" s="217"/>
      <c r="L552" s="217"/>
      <c r="M552" s="217"/>
      <c r="N552" s="217"/>
      <c r="O552" s="217"/>
      <c r="P552" s="217"/>
      <c r="Q552" s="218"/>
    </row>
    <row r="553" spans="1:17" s="219" customFormat="1" hidden="1" x14ac:dyDescent="0.25">
      <c r="A553" s="214"/>
      <c r="B553" s="215" t="s">
        <v>1822</v>
      </c>
      <c r="C553" s="215" t="s">
        <v>1823</v>
      </c>
      <c r="D553" s="215" t="s">
        <v>1836</v>
      </c>
      <c r="E553" s="215" t="s">
        <v>2376</v>
      </c>
      <c r="F553" s="215" t="s">
        <v>1836</v>
      </c>
      <c r="G553" s="215" t="s">
        <v>79</v>
      </c>
      <c r="H553" s="216" t="s">
        <v>2385</v>
      </c>
      <c r="I553" s="217"/>
      <c r="J553" s="217"/>
      <c r="K553" s="217"/>
      <c r="L553" s="217"/>
      <c r="M553" s="217"/>
      <c r="N553" s="217"/>
      <c r="O553" s="217"/>
      <c r="P553" s="217"/>
      <c r="Q553" s="218"/>
    </row>
    <row r="554" spans="1:17" s="219" customFormat="1" hidden="1" x14ac:dyDescent="0.25">
      <c r="A554" s="214"/>
      <c r="B554" s="215" t="s">
        <v>1822</v>
      </c>
      <c r="C554" s="215" t="s">
        <v>1823</v>
      </c>
      <c r="D554" s="215" t="s">
        <v>1836</v>
      </c>
      <c r="E554" s="215" t="s">
        <v>2376</v>
      </c>
      <c r="F554" s="215" t="s">
        <v>1836</v>
      </c>
      <c r="G554" s="215" t="s">
        <v>84</v>
      </c>
      <c r="H554" s="216" t="s">
        <v>2386</v>
      </c>
      <c r="I554" s="217"/>
      <c r="J554" s="217"/>
      <c r="K554" s="217"/>
      <c r="L554" s="217"/>
      <c r="M554" s="217"/>
      <c r="N554" s="217"/>
      <c r="O554" s="217"/>
      <c r="P554" s="217"/>
      <c r="Q554" s="218"/>
    </row>
    <row r="555" spans="1:17" s="219" customFormat="1" hidden="1" x14ac:dyDescent="0.25">
      <c r="A555" s="214"/>
      <c r="B555" s="215" t="s">
        <v>1822</v>
      </c>
      <c r="C555" s="215" t="s">
        <v>1823</v>
      </c>
      <c r="D555" s="215" t="s">
        <v>1836</v>
      </c>
      <c r="E555" s="215" t="s">
        <v>2376</v>
      </c>
      <c r="F555" s="215" t="s">
        <v>1836</v>
      </c>
      <c r="G555" s="215" t="s">
        <v>88</v>
      </c>
      <c r="H555" s="216" t="s">
        <v>2387</v>
      </c>
      <c r="I555" s="217"/>
      <c r="J555" s="217"/>
      <c r="K555" s="217"/>
      <c r="L555" s="217"/>
      <c r="M555" s="217"/>
      <c r="N555" s="217"/>
      <c r="O555" s="217"/>
      <c r="P555" s="217"/>
      <c r="Q555" s="218"/>
    </row>
    <row r="556" spans="1:17" s="219" customFormat="1" hidden="1" x14ac:dyDescent="0.25">
      <c r="A556" s="214"/>
      <c r="B556" s="215" t="s">
        <v>1822</v>
      </c>
      <c r="C556" s="215" t="s">
        <v>1823</v>
      </c>
      <c r="D556" s="215" t="s">
        <v>1836</v>
      </c>
      <c r="E556" s="215" t="s">
        <v>2376</v>
      </c>
      <c r="F556" s="215" t="s">
        <v>1836</v>
      </c>
      <c r="G556" s="215" t="s">
        <v>92</v>
      </c>
      <c r="H556" s="216" t="s">
        <v>2388</v>
      </c>
      <c r="I556" s="217"/>
      <c r="J556" s="217"/>
      <c r="K556" s="217"/>
      <c r="L556" s="217"/>
      <c r="M556" s="217"/>
      <c r="N556" s="217"/>
      <c r="O556" s="217"/>
      <c r="P556" s="217"/>
      <c r="Q556" s="218"/>
    </row>
    <row r="557" spans="1:17" s="213" customFormat="1" hidden="1" x14ac:dyDescent="0.25">
      <c r="A557" s="208" t="s">
        <v>263</v>
      </c>
      <c r="B557" s="209" t="s">
        <v>1822</v>
      </c>
      <c r="C557" s="209" t="s">
        <v>1823</v>
      </c>
      <c r="D557" s="209" t="s">
        <v>1836</v>
      </c>
      <c r="E557" s="209" t="s">
        <v>2376</v>
      </c>
      <c r="F557" s="209" t="s">
        <v>1847</v>
      </c>
      <c r="G557" s="209"/>
      <c r="H557" s="210" t="s">
        <v>2389</v>
      </c>
      <c r="I557" s="211">
        <f>SUM(I558:I561)</f>
        <v>0</v>
      </c>
      <c r="J557" s="211">
        <f t="shared" ref="J557:P557" si="68">SUM(J558:J561)</f>
        <v>0</v>
      </c>
      <c r="K557" s="211">
        <f t="shared" si="68"/>
        <v>0</v>
      </c>
      <c r="L557" s="211">
        <f t="shared" si="68"/>
        <v>0</v>
      </c>
      <c r="M557" s="211">
        <f t="shared" si="68"/>
        <v>0</v>
      </c>
      <c r="N557" s="211">
        <f t="shared" si="68"/>
        <v>0</v>
      </c>
      <c r="O557" s="211">
        <f t="shared" si="68"/>
        <v>0</v>
      </c>
      <c r="P557" s="211">
        <f t="shared" si="68"/>
        <v>0</v>
      </c>
      <c r="Q557" s="212"/>
    </row>
    <row r="558" spans="1:17" s="219" customFormat="1" hidden="1" x14ac:dyDescent="0.25">
      <c r="A558" s="214"/>
      <c r="B558" s="215" t="s">
        <v>1822</v>
      </c>
      <c r="C558" s="215" t="s">
        <v>1823</v>
      </c>
      <c r="D558" s="215" t="s">
        <v>1836</v>
      </c>
      <c r="E558" s="215" t="s">
        <v>2376</v>
      </c>
      <c r="F558" s="215" t="s">
        <v>1847</v>
      </c>
      <c r="G558" s="215" t="s">
        <v>58</v>
      </c>
      <c r="H558" s="216" t="s">
        <v>2390</v>
      </c>
      <c r="I558" s="217"/>
      <c r="J558" s="217"/>
      <c r="K558" s="217"/>
      <c r="L558" s="217"/>
      <c r="M558" s="217"/>
      <c r="N558" s="217"/>
      <c r="O558" s="217"/>
      <c r="P558" s="217"/>
      <c r="Q558" s="218"/>
    </row>
    <row r="559" spans="1:17" s="219" customFormat="1" hidden="1" x14ac:dyDescent="0.25">
      <c r="A559" s="214"/>
      <c r="B559" s="215" t="s">
        <v>1822</v>
      </c>
      <c r="C559" s="215" t="s">
        <v>1823</v>
      </c>
      <c r="D559" s="215" t="s">
        <v>1836</v>
      </c>
      <c r="E559" s="215" t="s">
        <v>2376</v>
      </c>
      <c r="F559" s="215" t="s">
        <v>1847</v>
      </c>
      <c r="G559" s="215" t="s">
        <v>75</v>
      </c>
      <c r="H559" s="216" t="s">
        <v>2391</v>
      </c>
      <c r="I559" s="217"/>
      <c r="J559" s="217"/>
      <c r="K559" s="217"/>
      <c r="L559" s="217"/>
      <c r="M559" s="217"/>
      <c r="N559" s="217"/>
      <c r="O559" s="217"/>
      <c r="P559" s="217"/>
      <c r="Q559" s="218"/>
    </row>
    <row r="560" spans="1:17" s="219" customFormat="1" hidden="1" x14ac:dyDescent="0.25">
      <c r="A560" s="214"/>
      <c r="B560" s="215" t="s">
        <v>1822</v>
      </c>
      <c r="C560" s="215" t="s">
        <v>1823</v>
      </c>
      <c r="D560" s="215" t="s">
        <v>1836</v>
      </c>
      <c r="E560" s="215" t="s">
        <v>2376</v>
      </c>
      <c r="F560" s="215" t="s">
        <v>1847</v>
      </c>
      <c r="G560" s="215" t="s">
        <v>79</v>
      </c>
      <c r="H560" s="216" t="s">
        <v>2392</v>
      </c>
      <c r="I560" s="217"/>
      <c r="J560" s="217"/>
      <c r="K560" s="217"/>
      <c r="L560" s="217"/>
      <c r="M560" s="217"/>
      <c r="N560" s="217"/>
      <c r="O560" s="217"/>
      <c r="P560" s="217"/>
      <c r="Q560" s="218"/>
    </row>
    <row r="561" spans="1:17" s="219" customFormat="1" hidden="1" x14ac:dyDescent="0.25">
      <c r="A561" s="214"/>
      <c r="B561" s="215" t="s">
        <v>1822</v>
      </c>
      <c r="C561" s="215" t="s">
        <v>1823</v>
      </c>
      <c r="D561" s="215" t="s">
        <v>1836</v>
      </c>
      <c r="E561" s="215" t="s">
        <v>2376</v>
      </c>
      <c r="F561" s="215" t="s">
        <v>1847</v>
      </c>
      <c r="G561" s="215" t="s">
        <v>84</v>
      </c>
      <c r="H561" s="216" t="s">
        <v>2393</v>
      </c>
      <c r="I561" s="217"/>
      <c r="J561" s="217"/>
      <c r="K561" s="217"/>
      <c r="L561" s="217"/>
      <c r="M561" s="217"/>
      <c r="N561" s="217"/>
      <c r="O561" s="217"/>
      <c r="P561" s="217"/>
      <c r="Q561" s="218"/>
    </row>
    <row r="562" spans="1:17" s="213" customFormat="1" hidden="1" x14ac:dyDescent="0.25">
      <c r="A562" s="208" t="s">
        <v>263</v>
      </c>
      <c r="B562" s="209" t="s">
        <v>1822</v>
      </c>
      <c r="C562" s="209" t="s">
        <v>1823</v>
      </c>
      <c r="D562" s="209" t="s">
        <v>1836</v>
      </c>
      <c r="E562" s="209" t="s">
        <v>2376</v>
      </c>
      <c r="F562" s="209" t="s">
        <v>1928</v>
      </c>
      <c r="G562" s="209"/>
      <c r="H562" s="210" t="s">
        <v>2394</v>
      </c>
      <c r="I562" s="211">
        <f>SUM(I563:I569)</f>
        <v>0</v>
      </c>
      <c r="J562" s="211">
        <f t="shared" ref="J562:P562" si="69">SUM(J563:J569)</f>
        <v>0</v>
      </c>
      <c r="K562" s="211">
        <f t="shared" si="69"/>
        <v>0</v>
      </c>
      <c r="L562" s="211">
        <f t="shared" si="69"/>
        <v>0</v>
      </c>
      <c r="M562" s="211">
        <f t="shared" si="69"/>
        <v>0</v>
      </c>
      <c r="N562" s="211">
        <f t="shared" si="69"/>
        <v>0</v>
      </c>
      <c r="O562" s="211">
        <f t="shared" si="69"/>
        <v>0</v>
      </c>
      <c r="P562" s="211">
        <f t="shared" si="69"/>
        <v>0</v>
      </c>
      <c r="Q562" s="212"/>
    </row>
    <row r="563" spans="1:17" s="219" customFormat="1" ht="30" hidden="1" x14ac:dyDescent="0.25">
      <c r="A563" s="214"/>
      <c r="B563" s="215" t="s">
        <v>1822</v>
      </c>
      <c r="C563" s="215" t="s">
        <v>1823</v>
      </c>
      <c r="D563" s="215" t="s">
        <v>1836</v>
      </c>
      <c r="E563" s="215" t="s">
        <v>2376</v>
      </c>
      <c r="F563" s="215" t="s">
        <v>1928</v>
      </c>
      <c r="G563" s="215" t="s">
        <v>58</v>
      </c>
      <c r="H563" s="216" t="s">
        <v>2395</v>
      </c>
      <c r="I563" s="217"/>
      <c r="J563" s="217"/>
      <c r="K563" s="217"/>
      <c r="L563" s="217"/>
      <c r="M563" s="217"/>
      <c r="N563" s="217"/>
      <c r="O563" s="217"/>
      <c r="P563" s="217"/>
      <c r="Q563" s="218"/>
    </row>
    <row r="564" spans="1:17" s="219" customFormat="1" ht="30" hidden="1" x14ac:dyDescent="0.25">
      <c r="A564" s="214"/>
      <c r="B564" s="215" t="s">
        <v>1822</v>
      </c>
      <c r="C564" s="215" t="s">
        <v>1823</v>
      </c>
      <c r="D564" s="215" t="s">
        <v>1836</v>
      </c>
      <c r="E564" s="215" t="s">
        <v>2376</v>
      </c>
      <c r="F564" s="215" t="s">
        <v>1928</v>
      </c>
      <c r="G564" s="215" t="s">
        <v>75</v>
      </c>
      <c r="H564" s="216" t="s">
        <v>2396</v>
      </c>
      <c r="I564" s="217"/>
      <c r="J564" s="217"/>
      <c r="K564" s="217"/>
      <c r="L564" s="217"/>
      <c r="M564" s="217"/>
      <c r="N564" s="217"/>
      <c r="O564" s="217"/>
      <c r="P564" s="217"/>
      <c r="Q564" s="218"/>
    </row>
    <row r="565" spans="1:17" s="219" customFormat="1" hidden="1" x14ac:dyDescent="0.25">
      <c r="A565" s="214"/>
      <c r="B565" s="215" t="s">
        <v>1822</v>
      </c>
      <c r="C565" s="215" t="s">
        <v>1823</v>
      </c>
      <c r="D565" s="215" t="s">
        <v>1836</v>
      </c>
      <c r="E565" s="215" t="s">
        <v>2376</v>
      </c>
      <c r="F565" s="215" t="s">
        <v>1928</v>
      </c>
      <c r="G565" s="215" t="s">
        <v>79</v>
      </c>
      <c r="H565" s="216" t="s">
        <v>2397</v>
      </c>
      <c r="I565" s="217"/>
      <c r="J565" s="217"/>
      <c r="K565" s="217"/>
      <c r="L565" s="217"/>
      <c r="M565" s="217"/>
      <c r="N565" s="217"/>
      <c r="O565" s="217"/>
      <c r="P565" s="217"/>
      <c r="Q565" s="218"/>
    </row>
    <row r="566" spans="1:17" s="219" customFormat="1" ht="30" hidden="1" x14ac:dyDescent="0.25">
      <c r="A566" s="214"/>
      <c r="B566" s="215" t="s">
        <v>1822</v>
      </c>
      <c r="C566" s="215" t="s">
        <v>1823</v>
      </c>
      <c r="D566" s="215" t="s">
        <v>1836</v>
      </c>
      <c r="E566" s="215" t="s">
        <v>2376</v>
      </c>
      <c r="F566" s="215" t="s">
        <v>1928</v>
      </c>
      <c r="G566" s="215" t="s">
        <v>84</v>
      </c>
      <c r="H566" s="216" t="s">
        <v>2398</v>
      </c>
      <c r="I566" s="217"/>
      <c r="J566" s="217"/>
      <c r="K566" s="217"/>
      <c r="L566" s="217"/>
      <c r="M566" s="217"/>
      <c r="N566" s="217"/>
      <c r="O566" s="217"/>
      <c r="P566" s="217"/>
      <c r="Q566" s="218"/>
    </row>
    <row r="567" spans="1:17" s="219" customFormat="1" ht="30" hidden="1" x14ac:dyDescent="0.25">
      <c r="A567" s="214"/>
      <c r="B567" s="215" t="s">
        <v>1822</v>
      </c>
      <c r="C567" s="215" t="s">
        <v>1823</v>
      </c>
      <c r="D567" s="215" t="s">
        <v>1836</v>
      </c>
      <c r="E567" s="215" t="s">
        <v>2376</v>
      </c>
      <c r="F567" s="215" t="s">
        <v>1928</v>
      </c>
      <c r="G567" s="215" t="s">
        <v>88</v>
      </c>
      <c r="H567" s="216" t="s">
        <v>2399</v>
      </c>
      <c r="I567" s="217"/>
      <c r="J567" s="217"/>
      <c r="K567" s="217"/>
      <c r="L567" s="217"/>
      <c r="M567" s="217"/>
      <c r="N567" s="217"/>
      <c r="O567" s="217"/>
      <c r="P567" s="217"/>
      <c r="Q567" s="218"/>
    </row>
    <row r="568" spans="1:17" s="219" customFormat="1" hidden="1" x14ac:dyDescent="0.25">
      <c r="A568" s="214"/>
      <c r="B568" s="215" t="s">
        <v>1822</v>
      </c>
      <c r="C568" s="215" t="s">
        <v>1823</v>
      </c>
      <c r="D568" s="215" t="s">
        <v>1836</v>
      </c>
      <c r="E568" s="215" t="s">
        <v>2376</v>
      </c>
      <c r="F568" s="215" t="s">
        <v>1928</v>
      </c>
      <c r="G568" s="215" t="s">
        <v>92</v>
      </c>
      <c r="H568" s="216" t="s">
        <v>2400</v>
      </c>
      <c r="I568" s="217"/>
      <c r="J568" s="217"/>
      <c r="K568" s="217"/>
      <c r="L568" s="217"/>
      <c r="M568" s="217"/>
      <c r="N568" s="217"/>
      <c r="O568" s="217"/>
      <c r="P568" s="217"/>
      <c r="Q568" s="218"/>
    </row>
    <row r="569" spans="1:17" s="219" customFormat="1" hidden="1" x14ac:dyDescent="0.25">
      <c r="A569" s="214"/>
      <c r="B569" s="215" t="s">
        <v>1822</v>
      </c>
      <c r="C569" s="215" t="s">
        <v>1823</v>
      </c>
      <c r="D569" s="215" t="s">
        <v>1836</v>
      </c>
      <c r="E569" s="215" t="s">
        <v>2376</v>
      </c>
      <c r="F569" s="215" t="s">
        <v>1928</v>
      </c>
      <c r="G569" s="215" t="s">
        <v>96</v>
      </c>
      <c r="H569" s="216" t="s">
        <v>2401</v>
      </c>
      <c r="I569" s="217"/>
      <c r="J569" s="217"/>
      <c r="K569" s="217"/>
      <c r="L569" s="217"/>
      <c r="M569" s="217"/>
      <c r="N569" s="217"/>
      <c r="O569" s="217"/>
      <c r="P569" s="217"/>
      <c r="Q569" s="218"/>
    </row>
    <row r="570" spans="1:17" s="213" customFormat="1" hidden="1" x14ac:dyDescent="0.25">
      <c r="A570" s="208" t="s">
        <v>2402</v>
      </c>
      <c r="B570" s="209" t="s">
        <v>1822</v>
      </c>
      <c r="C570" s="209" t="s">
        <v>1823</v>
      </c>
      <c r="D570" s="209" t="s">
        <v>1836</v>
      </c>
      <c r="E570" s="209" t="s">
        <v>2403</v>
      </c>
      <c r="F570" s="209"/>
      <c r="G570" s="209"/>
      <c r="H570" s="210" t="s">
        <v>2404</v>
      </c>
      <c r="I570" s="211">
        <f>SUM(I571)</f>
        <v>0</v>
      </c>
      <c r="J570" s="211">
        <f t="shared" ref="J570:P570" si="70">SUM(J571)</f>
        <v>0</v>
      </c>
      <c r="K570" s="211">
        <f t="shared" si="70"/>
        <v>0</v>
      </c>
      <c r="L570" s="211">
        <f t="shared" si="70"/>
        <v>0</v>
      </c>
      <c r="M570" s="211">
        <f t="shared" si="70"/>
        <v>0</v>
      </c>
      <c r="N570" s="211">
        <f t="shared" si="70"/>
        <v>0</v>
      </c>
      <c r="O570" s="211">
        <f t="shared" si="70"/>
        <v>0</v>
      </c>
      <c r="P570" s="211">
        <f t="shared" si="70"/>
        <v>0</v>
      </c>
      <c r="Q570" s="212"/>
    </row>
    <row r="571" spans="1:17" s="213" customFormat="1" ht="30" hidden="1" x14ac:dyDescent="0.25">
      <c r="A571" s="208" t="s">
        <v>263</v>
      </c>
      <c r="B571" s="209" t="s">
        <v>1822</v>
      </c>
      <c r="C571" s="209" t="s">
        <v>1823</v>
      </c>
      <c r="D571" s="209" t="s">
        <v>1836</v>
      </c>
      <c r="E571" s="209" t="s">
        <v>2403</v>
      </c>
      <c r="F571" s="209" t="s">
        <v>1825</v>
      </c>
      <c r="G571" s="209"/>
      <c r="H571" s="210" t="s">
        <v>2405</v>
      </c>
      <c r="I571" s="211">
        <f>SUM(I572:I574)</f>
        <v>0</v>
      </c>
      <c r="J571" s="211">
        <f t="shared" ref="J571:P571" si="71">SUM(J572:J574)</f>
        <v>0</v>
      </c>
      <c r="K571" s="211">
        <f t="shared" si="71"/>
        <v>0</v>
      </c>
      <c r="L571" s="211">
        <f t="shared" si="71"/>
        <v>0</v>
      </c>
      <c r="M571" s="211">
        <f t="shared" si="71"/>
        <v>0</v>
      </c>
      <c r="N571" s="211">
        <f t="shared" si="71"/>
        <v>0</v>
      </c>
      <c r="O571" s="211">
        <f t="shared" si="71"/>
        <v>0</v>
      </c>
      <c r="P571" s="211">
        <f t="shared" si="71"/>
        <v>0</v>
      </c>
      <c r="Q571" s="212"/>
    </row>
    <row r="572" spans="1:17" s="219" customFormat="1" hidden="1" x14ac:dyDescent="0.25">
      <c r="A572" s="214"/>
      <c r="B572" s="215" t="s">
        <v>1822</v>
      </c>
      <c r="C572" s="215" t="s">
        <v>1823</v>
      </c>
      <c r="D572" s="215" t="s">
        <v>1836</v>
      </c>
      <c r="E572" s="215" t="s">
        <v>2403</v>
      </c>
      <c r="F572" s="215" t="s">
        <v>1825</v>
      </c>
      <c r="G572" s="215" t="s">
        <v>58</v>
      </c>
      <c r="H572" s="216" t="s">
        <v>2406</v>
      </c>
      <c r="I572" s="217"/>
      <c r="J572" s="217"/>
      <c r="K572" s="217"/>
      <c r="L572" s="217"/>
      <c r="M572" s="217"/>
      <c r="N572" s="217"/>
      <c r="O572" s="217"/>
      <c r="P572" s="217"/>
      <c r="Q572" s="218"/>
    </row>
    <row r="573" spans="1:17" s="219" customFormat="1" hidden="1" x14ac:dyDescent="0.25">
      <c r="A573" s="214"/>
      <c r="B573" s="215" t="s">
        <v>1822</v>
      </c>
      <c r="C573" s="215" t="s">
        <v>1823</v>
      </c>
      <c r="D573" s="215" t="s">
        <v>1836</v>
      </c>
      <c r="E573" s="215" t="s">
        <v>2403</v>
      </c>
      <c r="F573" s="215" t="s">
        <v>1825</v>
      </c>
      <c r="G573" s="215" t="s">
        <v>75</v>
      </c>
      <c r="H573" s="216" t="s">
        <v>2407</v>
      </c>
      <c r="I573" s="217"/>
      <c r="J573" s="217"/>
      <c r="K573" s="217"/>
      <c r="L573" s="217"/>
      <c r="M573" s="217"/>
      <c r="N573" s="217"/>
      <c r="O573" s="217"/>
      <c r="P573" s="217"/>
      <c r="Q573" s="218"/>
    </row>
    <row r="574" spans="1:17" s="219" customFormat="1" ht="30" hidden="1" x14ac:dyDescent="0.25">
      <c r="A574" s="214"/>
      <c r="B574" s="215" t="s">
        <v>1822</v>
      </c>
      <c r="C574" s="215" t="s">
        <v>1823</v>
      </c>
      <c r="D574" s="215" t="s">
        <v>1836</v>
      </c>
      <c r="E574" s="215" t="s">
        <v>2403</v>
      </c>
      <c r="F574" s="215" t="s">
        <v>1825</v>
      </c>
      <c r="G574" s="215" t="s">
        <v>79</v>
      </c>
      <c r="H574" s="216" t="s">
        <v>2408</v>
      </c>
      <c r="I574" s="217"/>
      <c r="J574" s="217"/>
      <c r="K574" s="217"/>
      <c r="L574" s="217"/>
      <c r="M574" s="217"/>
      <c r="N574" s="217"/>
      <c r="O574" s="217"/>
      <c r="P574" s="217"/>
      <c r="Q574" s="218"/>
    </row>
    <row r="575" spans="1:17" s="213" customFormat="1" hidden="1" x14ac:dyDescent="0.25">
      <c r="A575" s="208" t="s">
        <v>2409</v>
      </c>
      <c r="B575" s="209" t="s">
        <v>1822</v>
      </c>
      <c r="C575" s="209" t="s">
        <v>1823</v>
      </c>
      <c r="D575" s="209" t="s">
        <v>1836</v>
      </c>
      <c r="E575" s="209" t="s">
        <v>2410</v>
      </c>
      <c r="F575" s="209"/>
      <c r="G575" s="209"/>
      <c r="H575" s="210" t="s">
        <v>2411</v>
      </c>
      <c r="I575" s="211">
        <f>SUM(I576)</f>
        <v>0</v>
      </c>
      <c r="J575" s="211">
        <f t="shared" ref="J575:P575" si="72">SUM(J576)</f>
        <v>0</v>
      </c>
      <c r="K575" s="211">
        <f t="shared" si="72"/>
        <v>0</v>
      </c>
      <c r="L575" s="211">
        <f t="shared" si="72"/>
        <v>0</v>
      </c>
      <c r="M575" s="211">
        <f t="shared" si="72"/>
        <v>0</v>
      </c>
      <c r="N575" s="211">
        <f t="shared" si="72"/>
        <v>0</v>
      </c>
      <c r="O575" s="211">
        <f t="shared" si="72"/>
        <v>0</v>
      </c>
      <c r="P575" s="211">
        <f t="shared" si="72"/>
        <v>0</v>
      </c>
      <c r="Q575" s="212"/>
    </row>
    <row r="576" spans="1:17" s="213" customFormat="1" hidden="1" x14ac:dyDescent="0.25">
      <c r="A576" s="208" t="s">
        <v>263</v>
      </c>
      <c r="B576" s="209" t="s">
        <v>1822</v>
      </c>
      <c r="C576" s="209" t="s">
        <v>1823</v>
      </c>
      <c r="D576" s="209" t="s">
        <v>1836</v>
      </c>
      <c r="E576" s="209" t="s">
        <v>2410</v>
      </c>
      <c r="F576" s="209" t="s">
        <v>1825</v>
      </c>
      <c r="G576" s="209"/>
      <c r="H576" s="210" t="s">
        <v>2412</v>
      </c>
      <c r="I576" s="211">
        <f>SUM(I577:I602)</f>
        <v>0</v>
      </c>
      <c r="J576" s="211">
        <f t="shared" ref="J576:P576" si="73">SUM(J577:J602)</f>
        <v>0</v>
      </c>
      <c r="K576" s="211">
        <f t="shared" si="73"/>
        <v>0</v>
      </c>
      <c r="L576" s="211">
        <f t="shared" si="73"/>
        <v>0</v>
      </c>
      <c r="M576" s="211">
        <f t="shared" si="73"/>
        <v>0</v>
      </c>
      <c r="N576" s="211">
        <f t="shared" si="73"/>
        <v>0</v>
      </c>
      <c r="O576" s="211">
        <f t="shared" si="73"/>
        <v>0</v>
      </c>
      <c r="P576" s="211">
        <f t="shared" si="73"/>
        <v>0</v>
      </c>
      <c r="Q576" s="212"/>
    </row>
    <row r="577" spans="1:17" s="219" customFormat="1" hidden="1" x14ac:dyDescent="0.25">
      <c r="A577" s="214"/>
      <c r="B577" s="215" t="s">
        <v>1822</v>
      </c>
      <c r="C577" s="215" t="s">
        <v>1823</v>
      </c>
      <c r="D577" s="215" t="s">
        <v>1836</v>
      </c>
      <c r="E577" s="215" t="s">
        <v>2410</v>
      </c>
      <c r="F577" s="215" t="s">
        <v>1825</v>
      </c>
      <c r="G577" s="215" t="s">
        <v>58</v>
      </c>
      <c r="H577" s="216" t="s">
        <v>2413</v>
      </c>
      <c r="I577" s="217"/>
      <c r="J577" s="217"/>
      <c r="K577" s="217"/>
      <c r="L577" s="217"/>
      <c r="M577" s="217"/>
      <c r="N577" s="217"/>
      <c r="O577" s="217"/>
      <c r="P577" s="217"/>
      <c r="Q577" s="218"/>
    </row>
    <row r="578" spans="1:17" s="219" customFormat="1" hidden="1" x14ac:dyDescent="0.25">
      <c r="A578" s="214"/>
      <c r="B578" s="215" t="s">
        <v>1822</v>
      </c>
      <c r="C578" s="215" t="s">
        <v>1823</v>
      </c>
      <c r="D578" s="215" t="s">
        <v>1836</v>
      </c>
      <c r="E578" s="215" t="s">
        <v>2410</v>
      </c>
      <c r="F578" s="215" t="s">
        <v>1825</v>
      </c>
      <c r="G578" s="215" t="s">
        <v>75</v>
      </c>
      <c r="H578" s="216" t="s">
        <v>2414</v>
      </c>
      <c r="I578" s="217"/>
      <c r="J578" s="217"/>
      <c r="K578" s="217"/>
      <c r="L578" s="217"/>
      <c r="M578" s="217"/>
      <c r="N578" s="217"/>
      <c r="O578" s="217"/>
      <c r="P578" s="217"/>
      <c r="Q578" s="218"/>
    </row>
    <row r="579" spans="1:17" s="219" customFormat="1" hidden="1" x14ac:dyDescent="0.25">
      <c r="A579" s="214"/>
      <c r="B579" s="215" t="s">
        <v>1822</v>
      </c>
      <c r="C579" s="215" t="s">
        <v>1823</v>
      </c>
      <c r="D579" s="215" t="s">
        <v>1836</v>
      </c>
      <c r="E579" s="215" t="s">
        <v>2410</v>
      </c>
      <c r="F579" s="215" t="s">
        <v>1825</v>
      </c>
      <c r="G579" s="215" t="s">
        <v>79</v>
      </c>
      <c r="H579" s="216" t="s">
        <v>2415</v>
      </c>
      <c r="I579" s="217"/>
      <c r="J579" s="217"/>
      <c r="K579" s="217"/>
      <c r="L579" s="217"/>
      <c r="M579" s="217"/>
      <c r="N579" s="217"/>
      <c r="O579" s="217"/>
      <c r="P579" s="217"/>
      <c r="Q579" s="218"/>
    </row>
    <row r="580" spans="1:17" s="219" customFormat="1" hidden="1" x14ac:dyDescent="0.25">
      <c r="A580" s="214"/>
      <c r="B580" s="215" t="s">
        <v>1822</v>
      </c>
      <c r="C580" s="215" t="s">
        <v>1823</v>
      </c>
      <c r="D580" s="215" t="s">
        <v>1836</v>
      </c>
      <c r="E580" s="215" t="s">
        <v>2410</v>
      </c>
      <c r="F580" s="215" t="s">
        <v>1825</v>
      </c>
      <c r="G580" s="215" t="s">
        <v>84</v>
      </c>
      <c r="H580" s="216" t="s">
        <v>2416</v>
      </c>
      <c r="I580" s="217"/>
      <c r="J580" s="217"/>
      <c r="K580" s="217"/>
      <c r="L580" s="217"/>
      <c r="M580" s="217"/>
      <c r="N580" s="217"/>
      <c r="O580" s="217"/>
      <c r="P580" s="217"/>
      <c r="Q580" s="218"/>
    </row>
    <row r="581" spans="1:17" s="219" customFormat="1" hidden="1" x14ac:dyDescent="0.25">
      <c r="A581" s="214"/>
      <c r="B581" s="215" t="s">
        <v>1822</v>
      </c>
      <c r="C581" s="215" t="s">
        <v>1823</v>
      </c>
      <c r="D581" s="215" t="s">
        <v>1836</v>
      </c>
      <c r="E581" s="215" t="s">
        <v>2410</v>
      </c>
      <c r="F581" s="215" t="s">
        <v>1825</v>
      </c>
      <c r="G581" s="215" t="s">
        <v>88</v>
      </c>
      <c r="H581" s="216" t="s">
        <v>2417</v>
      </c>
      <c r="I581" s="217"/>
      <c r="J581" s="217"/>
      <c r="K581" s="217"/>
      <c r="L581" s="217"/>
      <c r="M581" s="217"/>
      <c r="N581" s="217"/>
      <c r="O581" s="217"/>
      <c r="P581" s="217"/>
      <c r="Q581" s="218"/>
    </row>
    <row r="582" spans="1:17" s="219" customFormat="1" hidden="1" x14ac:dyDescent="0.25">
      <c r="A582" s="214"/>
      <c r="B582" s="215" t="s">
        <v>1822</v>
      </c>
      <c r="C582" s="215" t="s">
        <v>1823</v>
      </c>
      <c r="D582" s="215" t="s">
        <v>1836</v>
      </c>
      <c r="E582" s="215" t="s">
        <v>2410</v>
      </c>
      <c r="F582" s="215" t="s">
        <v>1825</v>
      </c>
      <c r="G582" s="215" t="s">
        <v>92</v>
      </c>
      <c r="H582" s="216" t="s">
        <v>2418</v>
      </c>
      <c r="I582" s="217"/>
      <c r="J582" s="217"/>
      <c r="K582" s="217"/>
      <c r="L582" s="217"/>
      <c r="M582" s="217"/>
      <c r="N582" s="217"/>
      <c r="O582" s="217"/>
      <c r="P582" s="217"/>
      <c r="Q582" s="218"/>
    </row>
    <row r="583" spans="1:17" s="219" customFormat="1" hidden="1" x14ac:dyDescent="0.25">
      <c r="A583" s="214"/>
      <c r="B583" s="215" t="s">
        <v>1822</v>
      </c>
      <c r="C583" s="215" t="s">
        <v>1823</v>
      </c>
      <c r="D583" s="215" t="s">
        <v>1836</v>
      </c>
      <c r="E583" s="215" t="s">
        <v>2410</v>
      </c>
      <c r="F583" s="215" t="s">
        <v>1825</v>
      </c>
      <c r="G583" s="215" t="s">
        <v>96</v>
      </c>
      <c r="H583" s="216" t="s">
        <v>2419</v>
      </c>
      <c r="I583" s="217"/>
      <c r="J583" s="217"/>
      <c r="K583" s="217"/>
      <c r="L583" s="217"/>
      <c r="M583" s="217"/>
      <c r="N583" s="217"/>
      <c r="O583" s="217"/>
      <c r="P583" s="217"/>
      <c r="Q583" s="218"/>
    </row>
    <row r="584" spans="1:17" s="219" customFormat="1" hidden="1" x14ac:dyDescent="0.25">
      <c r="A584" s="214"/>
      <c r="B584" s="215" t="s">
        <v>1822</v>
      </c>
      <c r="C584" s="215" t="s">
        <v>1823</v>
      </c>
      <c r="D584" s="215" t="s">
        <v>1836</v>
      </c>
      <c r="E584" s="215" t="s">
        <v>2410</v>
      </c>
      <c r="F584" s="215" t="s">
        <v>1825</v>
      </c>
      <c r="G584" s="215" t="s">
        <v>100</v>
      </c>
      <c r="H584" s="216" t="s">
        <v>2420</v>
      </c>
      <c r="I584" s="217"/>
      <c r="J584" s="217"/>
      <c r="K584" s="217"/>
      <c r="L584" s="217"/>
      <c r="M584" s="217"/>
      <c r="N584" s="217"/>
      <c r="O584" s="217"/>
      <c r="P584" s="217"/>
      <c r="Q584" s="218"/>
    </row>
    <row r="585" spans="1:17" s="219" customFormat="1" hidden="1" x14ac:dyDescent="0.25">
      <c r="A585" s="214"/>
      <c r="B585" s="215" t="s">
        <v>1822</v>
      </c>
      <c r="C585" s="215" t="s">
        <v>1823</v>
      </c>
      <c r="D585" s="215" t="s">
        <v>1836</v>
      </c>
      <c r="E585" s="215" t="s">
        <v>2410</v>
      </c>
      <c r="F585" s="215" t="s">
        <v>1825</v>
      </c>
      <c r="G585" s="215" t="s">
        <v>105</v>
      </c>
      <c r="H585" s="216" t="s">
        <v>2421</v>
      </c>
      <c r="I585" s="217"/>
      <c r="J585" s="217"/>
      <c r="K585" s="217"/>
      <c r="L585" s="217"/>
      <c r="M585" s="217"/>
      <c r="N585" s="217"/>
      <c r="O585" s="217"/>
      <c r="P585" s="217"/>
      <c r="Q585" s="218"/>
    </row>
    <row r="586" spans="1:17" s="219" customFormat="1" hidden="1" x14ac:dyDescent="0.25">
      <c r="A586" s="214"/>
      <c r="B586" s="215" t="s">
        <v>1822</v>
      </c>
      <c r="C586" s="215" t="s">
        <v>1823</v>
      </c>
      <c r="D586" s="215" t="s">
        <v>1836</v>
      </c>
      <c r="E586" s="215" t="s">
        <v>2410</v>
      </c>
      <c r="F586" s="215" t="s">
        <v>1825</v>
      </c>
      <c r="G586" s="215" t="s">
        <v>108</v>
      </c>
      <c r="H586" s="216" t="s">
        <v>2422</v>
      </c>
      <c r="I586" s="217"/>
      <c r="J586" s="217"/>
      <c r="K586" s="217"/>
      <c r="L586" s="217"/>
      <c r="M586" s="217"/>
      <c r="N586" s="217"/>
      <c r="O586" s="217"/>
      <c r="P586" s="217"/>
      <c r="Q586" s="218"/>
    </row>
    <row r="587" spans="1:17" s="219" customFormat="1" hidden="1" x14ac:dyDescent="0.25">
      <c r="A587" s="214"/>
      <c r="B587" s="215" t="s">
        <v>1822</v>
      </c>
      <c r="C587" s="215" t="s">
        <v>1823</v>
      </c>
      <c r="D587" s="215" t="s">
        <v>1836</v>
      </c>
      <c r="E587" s="215" t="s">
        <v>2410</v>
      </c>
      <c r="F587" s="215" t="s">
        <v>1825</v>
      </c>
      <c r="G587" s="215" t="s">
        <v>135</v>
      </c>
      <c r="H587" s="216" t="s">
        <v>2423</v>
      </c>
      <c r="I587" s="217"/>
      <c r="J587" s="217"/>
      <c r="K587" s="217"/>
      <c r="L587" s="217"/>
      <c r="M587" s="217"/>
      <c r="N587" s="217"/>
      <c r="O587" s="217"/>
      <c r="P587" s="217"/>
      <c r="Q587" s="218"/>
    </row>
    <row r="588" spans="1:17" s="219" customFormat="1" ht="30" hidden="1" x14ac:dyDescent="0.25">
      <c r="A588" s="214"/>
      <c r="B588" s="215" t="s">
        <v>1822</v>
      </c>
      <c r="C588" s="215" t="s">
        <v>1823</v>
      </c>
      <c r="D588" s="215" t="s">
        <v>1836</v>
      </c>
      <c r="E588" s="215" t="s">
        <v>2410</v>
      </c>
      <c r="F588" s="215" t="s">
        <v>1825</v>
      </c>
      <c r="G588" s="215" t="s">
        <v>138</v>
      </c>
      <c r="H588" s="216" t="s">
        <v>2424</v>
      </c>
      <c r="I588" s="217"/>
      <c r="J588" s="217"/>
      <c r="K588" s="217"/>
      <c r="L588" s="217"/>
      <c r="M588" s="217"/>
      <c r="N588" s="217"/>
      <c r="O588" s="217"/>
      <c r="P588" s="217"/>
      <c r="Q588" s="218"/>
    </row>
    <row r="589" spans="1:17" s="219" customFormat="1" hidden="1" x14ac:dyDescent="0.25">
      <c r="A589" s="214"/>
      <c r="B589" s="215" t="s">
        <v>1822</v>
      </c>
      <c r="C589" s="215" t="s">
        <v>1823</v>
      </c>
      <c r="D589" s="215" t="s">
        <v>1836</v>
      </c>
      <c r="E589" s="215" t="s">
        <v>2410</v>
      </c>
      <c r="F589" s="215" t="s">
        <v>1825</v>
      </c>
      <c r="G589" s="215" t="s">
        <v>140</v>
      </c>
      <c r="H589" s="216" t="s">
        <v>2425</v>
      </c>
      <c r="I589" s="217"/>
      <c r="J589" s="217"/>
      <c r="K589" s="217"/>
      <c r="L589" s="217"/>
      <c r="M589" s="217"/>
      <c r="N589" s="217"/>
      <c r="O589" s="217"/>
      <c r="P589" s="217"/>
      <c r="Q589" s="218"/>
    </row>
    <row r="590" spans="1:17" s="219" customFormat="1" hidden="1" x14ac:dyDescent="0.25">
      <c r="A590" s="214"/>
      <c r="B590" s="215" t="s">
        <v>1822</v>
      </c>
      <c r="C590" s="215" t="s">
        <v>1823</v>
      </c>
      <c r="D590" s="215" t="s">
        <v>1836</v>
      </c>
      <c r="E590" s="215" t="s">
        <v>2410</v>
      </c>
      <c r="F590" s="215" t="s">
        <v>1825</v>
      </c>
      <c r="G590" s="215" t="s">
        <v>143</v>
      </c>
      <c r="H590" s="216" t="s">
        <v>2426</v>
      </c>
      <c r="I590" s="217"/>
      <c r="J590" s="217"/>
      <c r="K590" s="217"/>
      <c r="L590" s="217"/>
      <c r="M590" s="217"/>
      <c r="N590" s="217"/>
      <c r="O590" s="217"/>
      <c r="P590" s="217"/>
      <c r="Q590" s="218"/>
    </row>
    <row r="591" spans="1:17" s="219" customFormat="1" hidden="1" x14ac:dyDescent="0.25">
      <c r="A591" s="214"/>
      <c r="B591" s="215" t="s">
        <v>1822</v>
      </c>
      <c r="C591" s="215" t="s">
        <v>1823</v>
      </c>
      <c r="D591" s="215" t="s">
        <v>1836</v>
      </c>
      <c r="E591" s="215" t="s">
        <v>2410</v>
      </c>
      <c r="F591" s="215" t="s">
        <v>1825</v>
      </c>
      <c r="G591" s="215" t="s">
        <v>146</v>
      </c>
      <c r="H591" s="216" t="s">
        <v>2427</v>
      </c>
      <c r="I591" s="217"/>
      <c r="J591" s="217"/>
      <c r="K591" s="217"/>
      <c r="L591" s="217"/>
      <c r="M591" s="217"/>
      <c r="N591" s="217"/>
      <c r="O591" s="217"/>
      <c r="P591" s="217"/>
      <c r="Q591" s="218"/>
    </row>
    <row r="592" spans="1:17" s="219" customFormat="1" hidden="1" x14ac:dyDescent="0.25">
      <c r="A592" s="214"/>
      <c r="B592" s="215" t="s">
        <v>1822</v>
      </c>
      <c r="C592" s="215" t="s">
        <v>1823</v>
      </c>
      <c r="D592" s="215" t="s">
        <v>1836</v>
      </c>
      <c r="E592" s="215" t="s">
        <v>2410</v>
      </c>
      <c r="F592" s="215" t="s">
        <v>1825</v>
      </c>
      <c r="G592" s="215" t="s">
        <v>150</v>
      </c>
      <c r="H592" s="216" t="s">
        <v>2428</v>
      </c>
      <c r="I592" s="217"/>
      <c r="J592" s="217"/>
      <c r="K592" s="217"/>
      <c r="L592" s="217"/>
      <c r="M592" s="217"/>
      <c r="N592" s="217"/>
      <c r="O592" s="217"/>
      <c r="P592" s="217"/>
      <c r="Q592" s="218"/>
    </row>
    <row r="593" spans="1:17" s="219" customFormat="1" hidden="1" x14ac:dyDescent="0.25">
      <c r="A593" s="214"/>
      <c r="B593" s="215" t="s">
        <v>1822</v>
      </c>
      <c r="C593" s="215" t="s">
        <v>1823</v>
      </c>
      <c r="D593" s="215" t="s">
        <v>1836</v>
      </c>
      <c r="E593" s="215" t="s">
        <v>2410</v>
      </c>
      <c r="F593" s="215" t="s">
        <v>1825</v>
      </c>
      <c r="G593" s="215" t="s">
        <v>153</v>
      </c>
      <c r="H593" s="216" t="s">
        <v>2429</v>
      </c>
      <c r="I593" s="217"/>
      <c r="J593" s="217"/>
      <c r="K593" s="217"/>
      <c r="L593" s="217"/>
      <c r="M593" s="217"/>
      <c r="N593" s="217"/>
      <c r="O593" s="217"/>
      <c r="P593" s="217"/>
      <c r="Q593" s="218"/>
    </row>
    <row r="594" spans="1:17" s="219" customFormat="1" hidden="1" x14ac:dyDescent="0.25">
      <c r="A594" s="214"/>
      <c r="B594" s="215" t="s">
        <v>1822</v>
      </c>
      <c r="C594" s="215" t="s">
        <v>1823</v>
      </c>
      <c r="D594" s="215" t="s">
        <v>1836</v>
      </c>
      <c r="E594" s="215" t="s">
        <v>2410</v>
      </c>
      <c r="F594" s="215" t="s">
        <v>1825</v>
      </c>
      <c r="G594" s="215" t="s">
        <v>156</v>
      </c>
      <c r="H594" s="216" t="s">
        <v>2430</v>
      </c>
      <c r="I594" s="217"/>
      <c r="J594" s="217"/>
      <c r="K594" s="217"/>
      <c r="L594" s="217"/>
      <c r="M594" s="217"/>
      <c r="N594" s="217"/>
      <c r="O594" s="217"/>
      <c r="P594" s="217"/>
      <c r="Q594" s="218"/>
    </row>
    <row r="595" spans="1:17" s="219" customFormat="1" ht="30" hidden="1" x14ac:dyDescent="0.25">
      <c r="A595" s="214"/>
      <c r="B595" s="215" t="s">
        <v>1822</v>
      </c>
      <c r="C595" s="215" t="s">
        <v>1823</v>
      </c>
      <c r="D595" s="215" t="s">
        <v>1836</v>
      </c>
      <c r="E595" s="215" t="s">
        <v>2410</v>
      </c>
      <c r="F595" s="215" t="s">
        <v>1825</v>
      </c>
      <c r="G595" s="215" t="s">
        <v>159</v>
      </c>
      <c r="H595" s="216" t="s">
        <v>2431</v>
      </c>
      <c r="I595" s="217"/>
      <c r="J595" s="217"/>
      <c r="K595" s="217"/>
      <c r="L595" s="217"/>
      <c r="M595" s="217"/>
      <c r="N595" s="217"/>
      <c r="O595" s="217"/>
      <c r="P595" s="217"/>
      <c r="Q595" s="218"/>
    </row>
    <row r="596" spans="1:17" s="219" customFormat="1" hidden="1" x14ac:dyDescent="0.25">
      <c r="A596" s="214"/>
      <c r="B596" s="215" t="s">
        <v>1822</v>
      </c>
      <c r="C596" s="215" t="s">
        <v>1823</v>
      </c>
      <c r="D596" s="215" t="s">
        <v>1836</v>
      </c>
      <c r="E596" s="215" t="s">
        <v>2410</v>
      </c>
      <c r="F596" s="215" t="s">
        <v>1825</v>
      </c>
      <c r="G596" s="215" t="s">
        <v>162</v>
      </c>
      <c r="H596" s="216" t="s">
        <v>2432</v>
      </c>
      <c r="I596" s="217"/>
      <c r="J596" s="217"/>
      <c r="K596" s="217"/>
      <c r="L596" s="217"/>
      <c r="M596" s="217"/>
      <c r="N596" s="217"/>
      <c r="O596" s="217"/>
      <c r="P596" s="217"/>
      <c r="Q596" s="218"/>
    </row>
    <row r="597" spans="1:17" s="219" customFormat="1" ht="30" hidden="1" x14ac:dyDescent="0.25">
      <c r="A597" s="214"/>
      <c r="B597" s="215" t="s">
        <v>1822</v>
      </c>
      <c r="C597" s="215" t="s">
        <v>1823</v>
      </c>
      <c r="D597" s="215" t="s">
        <v>1836</v>
      </c>
      <c r="E597" s="215" t="s">
        <v>2410</v>
      </c>
      <c r="F597" s="215" t="s">
        <v>1825</v>
      </c>
      <c r="G597" s="215" t="s">
        <v>312</v>
      </c>
      <c r="H597" s="216" t="s">
        <v>2433</v>
      </c>
      <c r="I597" s="217"/>
      <c r="J597" s="217"/>
      <c r="K597" s="217"/>
      <c r="L597" s="217"/>
      <c r="M597" s="217"/>
      <c r="N597" s="217"/>
      <c r="O597" s="217"/>
      <c r="P597" s="217"/>
      <c r="Q597" s="218"/>
    </row>
    <row r="598" spans="1:17" s="219" customFormat="1" hidden="1" x14ac:dyDescent="0.25">
      <c r="A598" s="214"/>
      <c r="B598" s="215" t="s">
        <v>1822</v>
      </c>
      <c r="C598" s="215" t="s">
        <v>1823</v>
      </c>
      <c r="D598" s="215" t="s">
        <v>1836</v>
      </c>
      <c r="E598" s="215" t="s">
        <v>2410</v>
      </c>
      <c r="F598" s="215" t="s">
        <v>1825</v>
      </c>
      <c r="G598" s="215" t="s">
        <v>313</v>
      </c>
      <c r="H598" s="216" t="s">
        <v>2434</v>
      </c>
      <c r="I598" s="217"/>
      <c r="J598" s="217"/>
      <c r="K598" s="217"/>
      <c r="L598" s="217"/>
      <c r="M598" s="217"/>
      <c r="N598" s="217"/>
      <c r="O598" s="217"/>
      <c r="P598" s="217"/>
      <c r="Q598" s="218"/>
    </row>
    <row r="599" spans="1:17" s="219" customFormat="1" hidden="1" x14ac:dyDescent="0.25">
      <c r="A599" s="214"/>
      <c r="B599" s="215" t="s">
        <v>1822</v>
      </c>
      <c r="C599" s="215" t="s">
        <v>1823</v>
      </c>
      <c r="D599" s="215" t="s">
        <v>1836</v>
      </c>
      <c r="E599" s="215" t="s">
        <v>2410</v>
      </c>
      <c r="F599" s="215" t="s">
        <v>1825</v>
      </c>
      <c r="G599" s="215" t="s">
        <v>559</v>
      </c>
      <c r="H599" s="216" t="s">
        <v>2435</v>
      </c>
      <c r="I599" s="217"/>
      <c r="J599" s="217"/>
      <c r="K599" s="217"/>
      <c r="L599" s="217"/>
      <c r="M599" s="217"/>
      <c r="N599" s="217"/>
      <c r="O599" s="217"/>
      <c r="P599" s="217"/>
      <c r="Q599" s="218"/>
    </row>
    <row r="600" spans="1:17" s="219" customFormat="1" hidden="1" x14ac:dyDescent="0.25">
      <c r="A600" s="214"/>
      <c r="B600" s="215" t="s">
        <v>1822</v>
      </c>
      <c r="C600" s="215" t="s">
        <v>1823</v>
      </c>
      <c r="D600" s="215" t="s">
        <v>1836</v>
      </c>
      <c r="E600" s="215" t="s">
        <v>2410</v>
      </c>
      <c r="F600" s="215" t="s">
        <v>1825</v>
      </c>
      <c r="G600" s="215" t="s">
        <v>561</v>
      </c>
      <c r="H600" s="216" t="s">
        <v>2436</v>
      </c>
      <c r="I600" s="217"/>
      <c r="J600" s="217"/>
      <c r="K600" s="217"/>
      <c r="L600" s="217"/>
      <c r="M600" s="217"/>
      <c r="N600" s="217"/>
      <c r="O600" s="217"/>
      <c r="P600" s="217"/>
      <c r="Q600" s="218"/>
    </row>
    <row r="601" spans="1:17" s="219" customFormat="1" hidden="1" x14ac:dyDescent="0.25">
      <c r="A601" s="214"/>
      <c r="B601" s="215" t="s">
        <v>1822</v>
      </c>
      <c r="C601" s="215" t="s">
        <v>1823</v>
      </c>
      <c r="D601" s="215" t="s">
        <v>1836</v>
      </c>
      <c r="E601" s="215" t="s">
        <v>2410</v>
      </c>
      <c r="F601" s="215" t="s">
        <v>1825</v>
      </c>
      <c r="G601" s="215" t="s">
        <v>563</v>
      </c>
      <c r="H601" s="216" t="s">
        <v>2437</v>
      </c>
      <c r="I601" s="217"/>
      <c r="J601" s="217"/>
      <c r="K601" s="217"/>
      <c r="L601" s="217"/>
      <c r="M601" s="217"/>
      <c r="N601" s="217"/>
      <c r="O601" s="217"/>
      <c r="P601" s="217"/>
      <c r="Q601" s="218"/>
    </row>
    <row r="602" spans="1:17" s="219" customFormat="1" ht="30" hidden="1" x14ac:dyDescent="0.25">
      <c r="A602" s="214"/>
      <c r="B602" s="215" t="s">
        <v>1822</v>
      </c>
      <c r="C602" s="215" t="s">
        <v>1823</v>
      </c>
      <c r="D602" s="215" t="s">
        <v>1836</v>
      </c>
      <c r="E602" s="215" t="s">
        <v>2410</v>
      </c>
      <c r="F602" s="215" t="s">
        <v>1825</v>
      </c>
      <c r="G602" s="215" t="s">
        <v>227</v>
      </c>
      <c r="H602" s="216" t="s">
        <v>2438</v>
      </c>
      <c r="I602" s="217"/>
      <c r="J602" s="217"/>
      <c r="K602" s="217"/>
      <c r="L602" s="217"/>
      <c r="M602" s="217"/>
      <c r="N602" s="217"/>
      <c r="O602" s="217"/>
      <c r="P602" s="217"/>
      <c r="Q602" s="218"/>
    </row>
    <row r="603" spans="1:17" s="213" customFormat="1" hidden="1" x14ac:dyDescent="0.25">
      <c r="A603" s="208" t="s">
        <v>2439</v>
      </c>
      <c r="B603" s="209" t="s">
        <v>1822</v>
      </c>
      <c r="C603" s="209" t="s">
        <v>1823</v>
      </c>
      <c r="D603" s="209" t="s">
        <v>1836</v>
      </c>
      <c r="E603" s="209" t="s">
        <v>2440</v>
      </c>
      <c r="F603" s="209"/>
      <c r="G603" s="209"/>
      <c r="H603" s="210" t="s">
        <v>2441</v>
      </c>
      <c r="I603" s="211">
        <f>SUM(+I604+I608+I616)</f>
        <v>0</v>
      </c>
      <c r="J603" s="211">
        <f t="shared" ref="J603:P603" si="74">SUM(+J604+J608+J616)</f>
        <v>0</v>
      </c>
      <c r="K603" s="211">
        <f t="shared" si="74"/>
        <v>0</v>
      </c>
      <c r="L603" s="211">
        <f t="shared" si="74"/>
        <v>0</v>
      </c>
      <c r="M603" s="211">
        <f t="shared" si="74"/>
        <v>0</v>
      </c>
      <c r="N603" s="211">
        <f t="shared" si="74"/>
        <v>0</v>
      </c>
      <c r="O603" s="211">
        <f t="shared" si="74"/>
        <v>0</v>
      </c>
      <c r="P603" s="211">
        <f t="shared" si="74"/>
        <v>0</v>
      </c>
      <c r="Q603" s="212"/>
    </row>
    <row r="604" spans="1:17" s="213" customFormat="1" hidden="1" x14ac:dyDescent="0.25">
      <c r="A604" s="208" t="s">
        <v>263</v>
      </c>
      <c r="B604" s="209" t="s">
        <v>1822</v>
      </c>
      <c r="C604" s="209" t="s">
        <v>1823</v>
      </c>
      <c r="D604" s="209" t="s">
        <v>1836</v>
      </c>
      <c r="E604" s="209" t="s">
        <v>2440</v>
      </c>
      <c r="F604" s="209" t="s">
        <v>1825</v>
      </c>
      <c r="G604" s="209"/>
      <c r="H604" s="210" t="s">
        <v>2442</v>
      </c>
      <c r="I604" s="211">
        <f>SUM(I605:I607)</f>
        <v>0</v>
      </c>
      <c r="J604" s="211">
        <f t="shared" ref="J604:P604" si="75">SUM(J605:J607)</f>
        <v>0</v>
      </c>
      <c r="K604" s="211">
        <f t="shared" si="75"/>
        <v>0</v>
      </c>
      <c r="L604" s="211">
        <f t="shared" si="75"/>
        <v>0</v>
      </c>
      <c r="M604" s="211">
        <f t="shared" si="75"/>
        <v>0</v>
      </c>
      <c r="N604" s="211">
        <f t="shared" si="75"/>
        <v>0</v>
      </c>
      <c r="O604" s="211">
        <f t="shared" si="75"/>
        <v>0</v>
      </c>
      <c r="P604" s="211">
        <f t="shared" si="75"/>
        <v>0</v>
      </c>
      <c r="Q604" s="212"/>
    </row>
    <row r="605" spans="1:17" s="219" customFormat="1" hidden="1" x14ac:dyDescent="0.25">
      <c r="A605" s="214"/>
      <c r="B605" s="215" t="s">
        <v>1822</v>
      </c>
      <c r="C605" s="215" t="s">
        <v>1823</v>
      </c>
      <c r="D605" s="215" t="s">
        <v>1836</v>
      </c>
      <c r="E605" s="215" t="s">
        <v>2440</v>
      </c>
      <c r="F605" s="215" t="s">
        <v>1825</v>
      </c>
      <c r="G605" s="215" t="s">
        <v>58</v>
      </c>
      <c r="H605" s="216" t="s">
        <v>2443</v>
      </c>
      <c r="I605" s="217"/>
      <c r="J605" s="217"/>
      <c r="K605" s="217"/>
      <c r="L605" s="217"/>
      <c r="M605" s="217"/>
      <c r="N605" s="217"/>
      <c r="O605" s="217"/>
      <c r="P605" s="217"/>
      <c r="Q605" s="218"/>
    </row>
    <row r="606" spans="1:17" s="219" customFormat="1" hidden="1" x14ac:dyDescent="0.25">
      <c r="A606" s="214"/>
      <c r="B606" s="215" t="s">
        <v>1822</v>
      </c>
      <c r="C606" s="215" t="s">
        <v>1823</v>
      </c>
      <c r="D606" s="215" t="s">
        <v>1836</v>
      </c>
      <c r="E606" s="215" t="s">
        <v>2440</v>
      </c>
      <c r="F606" s="215" t="s">
        <v>1825</v>
      </c>
      <c r="G606" s="215" t="s">
        <v>75</v>
      </c>
      <c r="H606" s="216" t="s">
        <v>2444</v>
      </c>
      <c r="I606" s="217"/>
      <c r="J606" s="217"/>
      <c r="K606" s="217"/>
      <c r="L606" s="217"/>
      <c r="M606" s="217"/>
      <c r="N606" s="217"/>
      <c r="O606" s="217"/>
      <c r="P606" s="217"/>
      <c r="Q606" s="218"/>
    </row>
    <row r="607" spans="1:17" s="219" customFormat="1" ht="30" hidden="1" x14ac:dyDescent="0.25">
      <c r="A607" s="214"/>
      <c r="B607" s="215" t="s">
        <v>1822</v>
      </c>
      <c r="C607" s="215" t="s">
        <v>1823</v>
      </c>
      <c r="D607" s="215" t="s">
        <v>1836</v>
      </c>
      <c r="E607" s="215" t="s">
        <v>2440</v>
      </c>
      <c r="F607" s="215" t="s">
        <v>1825</v>
      </c>
      <c r="G607" s="215" t="s">
        <v>79</v>
      </c>
      <c r="H607" s="216" t="s">
        <v>2445</v>
      </c>
      <c r="I607" s="217"/>
      <c r="J607" s="217"/>
      <c r="K607" s="217"/>
      <c r="L607" s="217"/>
      <c r="M607" s="217"/>
      <c r="N607" s="217"/>
      <c r="O607" s="217"/>
      <c r="P607" s="217"/>
      <c r="Q607" s="218"/>
    </row>
    <row r="608" spans="1:17" s="213" customFormat="1" hidden="1" x14ac:dyDescent="0.25">
      <c r="A608" s="208" t="s">
        <v>263</v>
      </c>
      <c r="B608" s="209" t="s">
        <v>1822</v>
      </c>
      <c r="C608" s="209" t="s">
        <v>1823</v>
      </c>
      <c r="D608" s="209" t="s">
        <v>1836</v>
      </c>
      <c r="E608" s="209" t="s">
        <v>2440</v>
      </c>
      <c r="F608" s="209" t="s">
        <v>1836</v>
      </c>
      <c r="G608" s="209"/>
      <c r="H608" s="210" t="s">
        <v>2446</v>
      </c>
      <c r="I608" s="211">
        <f>SUM(I609:I615)</f>
        <v>0</v>
      </c>
      <c r="J608" s="211">
        <f t="shared" ref="J608:P608" si="76">SUM(J609:J615)</f>
        <v>0</v>
      </c>
      <c r="K608" s="211">
        <f t="shared" si="76"/>
        <v>0</v>
      </c>
      <c r="L608" s="211">
        <f t="shared" si="76"/>
        <v>0</v>
      </c>
      <c r="M608" s="211">
        <f t="shared" si="76"/>
        <v>0</v>
      </c>
      <c r="N608" s="211">
        <f t="shared" si="76"/>
        <v>0</v>
      </c>
      <c r="O608" s="211">
        <f t="shared" si="76"/>
        <v>0</v>
      </c>
      <c r="P608" s="211">
        <f t="shared" si="76"/>
        <v>0</v>
      </c>
      <c r="Q608" s="212"/>
    </row>
    <row r="609" spans="1:17" s="219" customFormat="1" hidden="1" x14ac:dyDescent="0.25">
      <c r="A609" s="214"/>
      <c r="B609" s="215" t="s">
        <v>1822</v>
      </c>
      <c r="C609" s="215" t="s">
        <v>1823</v>
      </c>
      <c r="D609" s="215" t="s">
        <v>1836</v>
      </c>
      <c r="E609" s="215" t="s">
        <v>2440</v>
      </c>
      <c r="F609" s="215" t="s">
        <v>1836</v>
      </c>
      <c r="G609" s="215" t="s">
        <v>58</v>
      </c>
      <c r="H609" s="216" t="s">
        <v>2447</v>
      </c>
      <c r="I609" s="217"/>
      <c r="J609" s="217"/>
      <c r="K609" s="217"/>
      <c r="L609" s="217"/>
      <c r="M609" s="217"/>
      <c r="N609" s="217"/>
      <c r="O609" s="217"/>
      <c r="P609" s="217"/>
      <c r="Q609" s="218"/>
    </row>
    <row r="610" spans="1:17" s="219" customFormat="1" ht="30" hidden="1" x14ac:dyDescent="0.25">
      <c r="A610" s="214"/>
      <c r="B610" s="215" t="s">
        <v>1822</v>
      </c>
      <c r="C610" s="215" t="s">
        <v>1823</v>
      </c>
      <c r="D610" s="215" t="s">
        <v>1836</v>
      </c>
      <c r="E610" s="215" t="s">
        <v>2440</v>
      </c>
      <c r="F610" s="215" t="s">
        <v>1836</v>
      </c>
      <c r="G610" s="215" t="s">
        <v>75</v>
      </c>
      <c r="H610" s="216" t="s">
        <v>2448</v>
      </c>
      <c r="I610" s="217"/>
      <c r="J610" s="217"/>
      <c r="K610" s="217"/>
      <c r="L610" s="217"/>
      <c r="M610" s="217"/>
      <c r="N610" s="217"/>
      <c r="O610" s="217"/>
      <c r="P610" s="217"/>
      <c r="Q610" s="218"/>
    </row>
    <row r="611" spans="1:17" s="219" customFormat="1" hidden="1" x14ac:dyDescent="0.25">
      <c r="A611" s="214"/>
      <c r="B611" s="215" t="s">
        <v>1822</v>
      </c>
      <c r="C611" s="215" t="s">
        <v>1823</v>
      </c>
      <c r="D611" s="215" t="s">
        <v>1836</v>
      </c>
      <c r="E611" s="215" t="s">
        <v>2440</v>
      </c>
      <c r="F611" s="215" t="s">
        <v>1836</v>
      </c>
      <c r="G611" s="215" t="s">
        <v>79</v>
      </c>
      <c r="H611" s="216" t="s">
        <v>2449</v>
      </c>
      <c r="I611" s="217"/>
      <c r="J611" s="217"/>
      <c r="K611" s="217"/>
      <c r="L611" s="217"/>
      <c r="M611" s="217"/>
      <c r="N611" s="217"/>
      <c r="O611" s="217"/>
      <c r="P611" s="217"/>
      <c r="Q611" s="218"/>
    </row>
    <row r="612" spans="1:17" s="219" customFormat="1" hidden="1" x14ac:dyDescent="0.25">
      <c r="A612" s="214"/>
      <c r="B612" s="215" t="s">
        <v>1822</v>
      </c>
      <c r="C612" s="215" t="s">
        <v>1823</v>
      </c>
      <c r="D612" s="215" t="s">
        <v>1836</v>
      </c>
      <c r="E612" s="215" t="s">
        <v>2440</v>
      </c>
      <c r="F612" s="215" t="s">
        <v>1836</v>
      </c>
      <c r="G612" s="215" t="s">
        <v>84</v>
      </c>
      <c r="H612" s="216" t="s">
        <v>2450</v>
      </c>
      <c r="I612" s="217"/>
      <c r="J612" s="217"/>
      <c r="K612" s="217"/>
      <c r="L612" s="217"/>
      <c r="M612" s="217"/>
      <c r="N612" s="217"/>
      <c r="O612" s="217"/>
      <c r="P612" s="217"/>
      <c r="Q612" s="218"/>
    </row>
    <row r="613" spans="1:17" s="219" customFormat="1" hidden="1" x14ac:dyDescent="0.25">
      <c r="A613" s="214"/>
      <c r="B613" s="215" t="s">
        <v>1822</v>
      </c>
      <c r="C613" s="215" t="s">
        <v>1823</v>
      </c>
      <c r="D613" s="215" t="s">
        <v>1836</v>
      </c>
      <c r="E613" s="215" t="s">
        <v>2440</v>
      </c>
      <c r="F613" s="215" t="s">
        <v>1836</v>
      </c>
      <c r="G613" s="215" t="s">
        <v>88</v>
      </c>
      <c r="H613" s="216" t="s">
        <v>2451</v>
      </c>
      <c r="I613" s="217"/>
      <c r="J613" s="217"/>
      <c r="K613" s="217"/>
      <c r="L613" s="217"/>
      <c r="M613" s="217"/>
      <c r="N613" s="217"/>
      <c r="O613" s="217"/>
      <c r="P613" s="217"/>
      <c r="Q613" s="218"/>
    </row>
    <row r="614" spans="1:17" s="219" customFormat="1" hidden="1" x14ac:dyDescent="0.25">
      <c r="A614" s="214"/>
      <c r="B614" s="215" t="s">
        <v>1822</v>
      </c>
      <c r="C614" s="215" t="s">
        <v>1823</v>
      </c>
      <c r="D614" s="215" t="s">
        <v>1836</v>
      </c>
      <c r="E614" s="215" t="s">
        <v>2440</v>
      </c>
      <c r="F614" s="215" t="s">
        <v>1836</v>
      </c>
      <c r="G614" s="215" t="s">
        <v>92</v>
      </c>
      <c r="H614" s="216" t="s">
        <v>2452</v>
      </c>
      <c r="I614" s="217"/>
      <c r="J614" s="217"/>
      <c r="K614" s="217"/>
      <c r="L614" s="217"/>
      <c r="M614" s="217"/>
      <c r="N614" s="217"/>
      <c r="O614" s="217"/>
      <c r="P614" s="217"/>
      <c r="Q614" s="218"/>
    </row>
    <row r="615" spans="1:17" s="219" customFormat="1" ht="30" hidden="1" x14ac:dyDescent="0.25">
      <c r="A615" s="214"/>
      <c r="B615" s="215" t="s">
        <v>1822</v>
      </c>
      <c r="C615" s="215" t="s">
        <v>1823</v>
      </c>
      <c r="D615" s="215" t="s">
        <v>1836</v>
      </c>
      <c r="E615" s="215" t="s">
        <v>2440</v>
      </c>
      <c r="F615" s="215" t="s">
        <v>1836</v>
      </c>
      <c r="G615" s="215" t="s">
        <v>96</v>
      </c>
      <c r="H615" s="216" t="s">
        <v>2453</v>
      </c>
      <c r="I615" s="217"/>
      <c r="J615" s="217"/>
      <c r="K615" s="217"/>
      <c r="L615" s="217"/>
      <c r="M615" s="217"/>
      <c r="N615" s="217"/>
      <c r="O615" s="217"/>
      <c r="P615" s="217"/>
      <c r="Q615" s="218"/>
    </row>
    <row r="616" spans="1:17" s="213" customFormat="1" hidden="1" x14ac:dyDescent="0.25">
      <c r="A616" s="208" t="s">
        <v>263</v>
      </c>
      <c r="B616" s="209" t="s">
        <v>1822</v>
      </c>
      <c r="C616" s="209" t="s">
        <v>1823</v>
      </c>
      <c r="D616" s="209" t="s">
        <v>1836</v>
      </c>
      <c r="E616" s="209" t="s">
        <v>2440</v>
      </c>
      <c r="F616" s="209" t="s">
        <v>1847</v>
      </c>
      <c r="G616" s="209"/>
      <c r="H616" s="210" t="s">
        <v>2454</v>
      </c>
      <c r="I616" s="211">
        <f>SUM(I617:I618)</f>
        <v>0</v>
      </c>
      <c r="J616" s="211">
        <f t="shared" ref="J616:P616" si="77">SUM(J617:J618)</f>
        <v>0</v>
      </c>
      <c r="K616" s="211">
        <f t="shared" si="77"/>
        <v>0</v>
      </c>
      <c r="L616" s="211">
        <f t="shared" si="77"/>
        <v>0</v>
      </c>
      <c r="M616" s="211">
        <f t="shared" si="77"/>
        <v>0</v>
      </c>
      <c r="N616" s="211">
        <f t="shared" si="77"/>
        <v>0</v>
      </c>
      <c r="O616" s="211">
        <f t="shared" si="77"/>
        <v>0</v>
      </c>
      <c r="P616" s="211">
        <f t="shared" si="77"/>
        <v>0</v>
      </c>
      <c r="Q616" s="212"/>
    </row>
    <row r="617" spans="1:17" s="219" customFormat="1" hidden="1" x14ac:dyDescent="0.25">
      <c r="A617" s="214"/>
      <c r="B617" s="215" t="s">
        <v>1822</v>
      </c>
      <c r="C617" s="215" t="s">
        <v>1823</v>
      </c>
      <c r="D617" s="215" t="s">
        <v>1836</v>
      </c>
      <c r="E617" s="215" t="s">
        <v>2440</v>
      </c>
      <c r="F617" s="215" t="s">
        <v>1847</v>
      </c>
      <c r="G617" s="215" t="s">
        <v>58</v>
      </c>
      <c r="H617" s="216" t="s">
        <v>2455</v>
      </c>
      <c r="I617" s="217"/>
      <c r="J617" s="217"/>
      <c r="K617" s="217"/>
      <c r="L617" s="217"/>
      <c r="M617" s="217"/>
      <c r="N617" s="217"/>
      <c r="O617" s="217"/>
      <c r="P617" s="217"/>
      <c r="Q617" s="218"/>
    </row>
    <row r="618" spans="1:17" s="219" customFormat="1" ht="30" hidden="1" x14ac:dyDescent="0.25">
      <c r="A618" s="214"/>
      <c r="B618" s="215" t="s">
        <v>1822</v>
      </c>
      <c r="C618" s="215" t="s">
        <v>1823</v>
      </c>
      <c r="D618" s="215" t="s">
        <v>1836</v>
      </c>
      <c r="E618" s="215" t="s">
        <v>2440</v>
      </c>
      <c r="F618" s="215" t="s">
        <v>1847</v>
      </c>
      <c r="G618" s="215" t="s">
        <v>75</v>
      </c>
      <c r="H618" s="216" t="s">
        <v>2456</v>
      </c>
      <c r="I618" s="217"/>
      <c r="J618" s="217"/>
      <c r="K618" s="217"/>
      <c r="L618" s="217"/>
      <c r="M618" s="217"/>
      <c r="N618" s="217"/>
      <c r="O618" s="217"/>
      <c r="P618" s="217"/>
      <c r="Q618" s="218"/>
    </row>
    <row r="619" spans="1:17" s="213" customFormat="1" x14ac:dyDescent="0.25">
      <c r="A619" s="208" t="s">
        <v>2457</v>
      </c>
      <c r="B619" s="209" t="s">
        <v>1822</v>
      </c>
      <c r="C619" s="209" t="s">
        <v>1823</v>
      </c>
      <c r="D619" s="209" t="s">
        <v>1836</v>
      </c>
      <c r="E619" s="209" t="s">
        <v>2458</v>
      </c>
      <c r="F619" s="209"/>
      <c r="G619" s="209"/>
      <c r="H619" s="210" t="s">
        <v>1298</v>
      </c>
      <c r="I619" s="211">
        <f>SUM(I620)</f>
        <v>50797500</v>
      </c>
      <c r="J619" s="211">
        <f t="shared" ref="J619:P619" si="78">SUM(J620)</f>
        <v>10159500</v>
      </c>
      <c r="K619" s="211">
        <f t="shared" si="78"/>
        <v>4479750</v>
      </c>
      <c r="L619" s="211">
        <f t="shared" si="78"/>
        <v>0</v>
      </c>
      <c r="M619" s="211">
        <f t="shared" si="78"/>
        <v>4479750</v>
      </c>
      <c r="N619" s="211">
        <f t="shared" si="78"/>
        <v>39598125</v>
      </c>
      <c r="O619" s="211">
        <f t="shared" si="78"/>
        <v>11199375</v>
      </c>
      <c r="P619" s="211">
        <f t="shared" si="78"/>
        <v>0</v>
      </c>
      <c r="Q619" s="212"/>
    </row>
    <row r="620" spans="1:17" s="213" customFormat="1" x14ac:dyDescent="0.25">
      <c r="A620" s="208" t="s">
        <v>263</v>
      </c>
      <c r="B620" s="209" t="s">
        <v>1822</v>
      </c>
      <c r="C620" s="209" t="s">
        <v>1823</v>
      </c>
      <c r="D620" s="209" t="s">
        <v>1836</v>
      </c>
      <c r="E620" s="209" t="s">
        <v>2458</v>
      </c>
      <c r="F620" s="209" t="s">
        <v>1825</v>
      </c>
      <c r="G620" s="209"/>
      <c r="H620" s="210" t="s">
        <v>1298</v>
      </c>
      <c r="I620" s="211">
        <f>SUM(I621:I626)</f>
        <v>50797500</v>
      </c>
      <c r="J620" s="211">
        <f t="shared" ref="J620:P620" si="79">SUM(J621:J626)</f>
        <v>10159500</v>
      </c>
      <c r="K620" s="211">
        <f t="shared" si="79"/>
        <v>4479750</v>
      </c>
      <c r="L620" s="211">
        <f t="shared" si="79"/>
        <v>0</v>
      </c>
      <c r="M620" s="211">
        <f t="shared" si="79"/>
        <v>4479750</v>
      </c>
      <c r="N620" s="211">
        <f t="shared" si="79"/>
        <v>39598125</v>
      </c>
      <c r="O620" s="211">
        <f t="shared" si="79"/>
        <v>11199375</v>
      </c>
      <c r="P620" s="211">
        <f t="shared" si="79"/>
        <v>0</v>
      </c>
      <c r="Q620" s="212"/>
    </row>
    <row r="621" spans="1:17" s="219" customFormat="1" x14ac:dyDescent="0.25">
      <c r="A621" s="214"/>
      <c r="B621" s="215" t="s">
        <v>1822</v>
      </c>
      <c r="C621" s="215" t="s">
        <v>1823</v>
      </c>
      <c r="D621" s="215" t="s">
        <v>1836</v>
      </c>
      <c r="E621" s="215" t="s">
        <v>2458</v>
      </c>
      <c r="F621" s="215" t="s">
        <v>1825</v>
      </c>
      <c r="G621" s="215" t="s">
        <v>58</v>
      </c>
      <c r="H621" s="216" t="s">
        <v>2459</v>
      </c>
      <c r="I621" s="217">
        <v>50797500</v>
      </c>
      <c r="J621" s="217">
        <v>10159500</v>
      </c>
      <c r="K621" s="217">
        <v>4479750</v>
      </c>
      <c r="L621" s="217"/>
      <c r="M621" s="217">
        <v>4479750</v>
      </c>
      <c r="N621" s="217">
        <v>39598125</v>
      </c>
      <c r="O621" s="217">
        <v>11199375</v>
      </c>
      <c r="P621" s="217"/>
      <c r="Q621" s="218"/>
    </row>
    <row r="622" spans="1:17" s="219" customFormat="1" x14ac:dyDescent="0.25">
      <c r="A622" s="214"/>
      <c r="B622" s="215" t="s">
        <v>1822</v>
      </c>
      <c r="C622" s="215" t="s">
        <v>1823</v>
      </c>
      <c r="D622" s="215" t="s">
        <v>1836</v>
      </c>
      <c r="E622" s="215" t="s">
        <v>2458</v>
      </c>
      <c r="F622" s="215" t="s">
        <v>1825</v>
      </c>
      <c r="G622" s="215" t="s">
        <v>75</v>
      </c>
      <c r="H622" s="216" t="s">
        <v>2460</v>
      </c>
      <c r="I622" s="217"/>
      <c r="J622" s="217"/>
      <c r="K622" s="217"/>
      <c r="L622" s="217"/>
      <c r="M622" s="217"/>
      <c r="N622" s="217"/>
      <c r="O622" s="217"/>
      <c r="P622" s="217"/>
      <c r="Q622" s="218"/>
    </row>
    <row r="623" spans="1:17" s="219" customFormat="1" hidden="1" x14ac:dyDescent="0.25">
      <c r="A623" s="214"/>
      <c r="B623" s="215" t="s">
        <v>1822</v>
      </c>
      <c r="C623" s="215" t="s">
        <v>1823</v>
      </c>
      <c r="D623" s="215" t="s">
        <v>1836</v>
      </c>
      <c r="E623" s="215" t="s">
        <v>2458</v>
      </c>
      <c r="F623" s="215" t="s">
        <v>1825</v>
      </c>
      <c r="G623" s="215" t="s">
        <v>79</v>
      </c>
      <c r="H623" s="216" t="s">
        <v>2461</v>
      </c>
      <c r="I623" s="217"/>
      <c r="J623" s="217"/>
      <c r="K623" s="217"/>
      <c r="L623" s="217"/>
      <c r="M623" s="217"/>
      <c r="N623" s="217"/>
      <c r="O623" s="217"/>
      <c r="P623" s="217"/>
      <c r="Q623" s="218"/>
    </row>
    <row r="624" spans="1:17" s="219" customFormat="1" hidden="1" x14ac:dyDescent="0.25">
      <c r="A624" s="214"/>
      <c r="B624" s="215" t="s">
        <v>1822</v>
      </c>
      <c r="C624" s="215" t="s">
        <v>1823</v>
      </c>
      <c r="D624" s="215" t="s">
        <v>1836</v>
      </c>
      <c r="E624" s="215" t="s">
        <v>2458</v>
      </c>
      <c r="F624" s="215" t="s">
        <v>1825</v>
      </c>
      <c r="G624" s="215" t="s">
        <v>84</v>
      </c>
      <c r="H624" s="216" t="s">
        <v>2462</v>
      </c>
      <c r="I624" s="217"/>
      <c r="J624" s="217"/>
      <c r="K624" s="217"/>
      <c r="L624" s="217"/>
      <c r="M624" s="217"/>
      <c r="N624" s="217"/>
      <c r="O624" s="217"/>
      <c r="P624" s="217"/>
      <c r="Q624" s="218"/>
    </row>
    <row r="625" spans="1:17" s="219" customFormat="1" hidden="1" x14ac:dyDescent="0.25">
      <c r="A625" s="214"/>
      <c r="B625" s="215" t="s">
        <v>1822</v>
      </c>
      <c r="C625" s="215" t="s">
        <v>1823</v>
      </c>
      <c r="D625" s="215" t="s">
        <v>1836</v>
      </c>
      <c r="E625" s="215" t="s">
        <v>2458</v>
      </c>
      <c r="F625" s="215" t="s">
        <v>1825</v>
      </c>
      <c r="G625" s="215" t="s">
        <v>88</v>
      </c>
      <c r="H625" s="216" t="s">
        <v>2463</v>
      </c>
      <c r="I625" s="217"/>
      <c r="J625" s="217"/>
      <c r="K625" s="217"/>
      <c r="L625" s="217"/>
      <c r="M625" s="217"/>
      <c r="N625" s="217"/>
      <c r="O625" s="217"/>
      <c r="P625" s="217"/>
      <c r="Q625" s="218"/>
    </row>
    <row r="626" spans="1:17" s="219" customFormat="1" hidden="1" x14ac:dyDescent="0.25">
      <c r="A626" s="214"/>
      <c r="B626" s="215" t="s">
        <v>1822</v>
      </c>
      <c r="C626" s="215" t="s">
        <v>1823</v>
      </c>
      <c r="D626" s="215" t="s">
        <v>1836</v>
      </c>
      <c r="E626" s="215" t="s">
        <v>2458</v>
      </c>
      <c r="F626" s="215" t="s">
        <v>1825</v>
      </c>
      <c r="G626" s="215" t="s">
        <v>92</v>
      </c>
      <c r="H626" s="216" t="s">
        <v>2464</v>
      </c>
      <c r="I626" s="217"/>
      <c r="J626" s="217"/>
      <c r="K626" s="217"/>
      <c r="L626" s="217"/>
      <c r="M626" s="217"/>
      <c r="N626" s="217"/>
      <c r="O626" s="217"/>
      <c r="P626" s="217"/>
      <c r="Q626" s="218"/>
    </row>
    <row r="627" spans="1:17" s="339" customFormat="1" x14ac:dyDescent="0.25">
      <c r="A627" s="337"/>
      <c r="B627" s="338"/>
      <c r="C627" s="340"/>
      <c r="D627" s="340"/>
      <c r="E627" s="340"/>
      <c r="F627" s="340"/>
      <c r="G627" s="333"/>
      <c r="H627" s="335"/>
      <c r="I627" s="226"/>
      <c r="J627" s="226"/>
      <c r="K627" s="226"/>
      <c r="L627" s="226"/>
      <c r="M627" s="226"/>
      <c r="N627" s="226"/>
      <c r="O627" s="226"/>
      <c r="P627" s="226"/>
    </row>
    <row r="628" spans="1:17" s="339" customFormat="1" x14ac:dyDescent="0.25">
      <c r="A628" s="337">
        <v>3</v>
      </c>
      <c r="B628" s="338">
        <v>3</v>
      </c>
      <c r="C628" s="333" t="s">
        <v>1847</v>
      </c>
      <c r="D628" s="333"/>
      <c r="E628" s="333"/>
      <c r="F628" s="333"/>
      <c r="G628" s="333"/>
      <c r="H628" s="335" t="s">
        <v>1300</v>
      </c>
      <c r="I628" s="226">
        <f>SUM(I629+I682+I688+I695)</f>
        <v>22965463545</v>
      </c>
      <c r="J628" s="226">
        <f t="shared" ref="J628:P628" si="80">SUM(J629+J682+J688+J695)</f>
        <v>1127928813.1225278</v>
      </c>
      <c r="K628" s="226">
        <f t="shared" si="80"/>
        <v>331923026.63619041</v>
      </c>
      <c r="L628" s="226">
        <f t="shared" si="80"/>
        <v>0</v>
      </c>
      <c r="M628" s="226">
        <f t="shared" si="80"/>
        <v>331923026.63619041</v>
      </c>
      <c r="N628" s="226">
        <f>N631+N673+N694</f>
        <v>8959067687.5220146</v>
      </c>
      <c r="O628" s="226">
        <f>O631+O673+O694</f>
        <v>14073065691.337505</v>
      </c>
      <c r="P628" s="226">
        <f t="shared" si="80"/>
        <v>0</v>
      </c>
    </row>
    <row r="629" spans="1:17" s="213" customFormat="1" x14ac:dyDescent="0.25">
      <c r="A629" s="208" t="s">
        <v>1827</v>
      </c>
      <c r="B629" s="209" t="s">
        <v>1822</v>
      </c>
      <c r="C629" s="209" t="s">
        <v>1823</v>
      </c>
      <c r="D629" s="209" t="s">
        <v>1847</v>
      </c>
      <c r="E629" s="209" t="s">
        <v>1825</v>
      </c>
      <c r="F629" s="209"/>
      <c r="G629" s="209"/>
      <c r="H629" s="210" t="s">
        <v>2465</v>
      </c>
      <c r="I629" s="211">
        <f>SUM(I630+I668)</f>
        <v>22885663545</v>
      </c>
      <c r="J629" s="211">
        <f t="shared" ref="J629:P629" si="81">SUM(J630+J668)</f>
        <v>1126332813.1225278</v>
      </c>
      <c r="K629" s="211">
        <f t="shared" si="81"/>
        <v>331125026.63619041</v>
      </c>
      <c r="L629" s="211">
        <f t="shared" si="81"/>
        <v>0</v>
      </c>
      <c r="M629" s="211">
        <f t="shared" si="81"/>
        <v>331125026.63619041</v>
      </c>
      <c r="N629" s="211">
        <f t="shared" si="81"/>
        <v>8940876446.8873653</v>
      </c>
      <c r="O629" s="211">
        <f t="shared" si="81"/>
        <v>14106345641.972153</v>
      </c>
      <c r="P629" s="211">
        <f t="shared" si="81"/>
        <v>0</v>
      </c>
      <c r="Q629" s="212"/>
    </row>
    <row r="630" spans="1:17" s="213" customFormat="1" x14ac:dyDescent="0.25">
      <c r="A630" s="208" t="s">
        <v>263</v>
      </c>
      <c r="B630" s="209" t="s">
        <v>1822</v>
      </c>
      <c r="C630" s="209" t="s">
        <v>1823</v>
      </c>
      <c r="D630" s="209" t="s">
        <v>1847</v>
      </c>
      <c r="E630" s="209" t="s">
        <v>1825</v>
      </c>
      <c r="F630" s="209" t="s">
        <v>1825</v>
      </c>
      <c r="G630" s="209"/>
      <c r="H630" s="210" t="s">
        <v>2466</v>
      </c>
      <c r="I630" s="211">
        <f>SUM(I631:I667)</f>
        <v>13829936550</v>
      </c>
      <c r="J630" s="211">
        <f t="shared" ref="J630:P630" si="82">SUM(J631:J667)</f>
        <v>664493401.43612707</v>
      </c>
      <c r="K630" s="211">
        <f t="shared" si="82"/>
        <v>220781500.45303318</v>
      </c>
      <c r="L630" s="211">
        <f t="shared" si="82"/>
        <v>0</v>
      </c>
      <c r="M630" s="211">
        <f t="shared" si="82"/>
        <v>220781500.45303318</v>
      </c>
      <c r="N630" s="211">
        <f t="shared" si="82"/>
        <v>5065387200.92834</v>
      </c>
      <c r="O630" s="211">
        <f t="shared" si="82"/>
        <v>8831219182.931179</v>
      </c>
      <c r="P630" s="211">
        <f t="shared" si="82"/>
        <v>0</v>
      </c>
      <c r="Q630" s="212"/>
    </row>
    <row r="631" spans="1:17" s="219" customFormat="1" x14ac:dyDescent="0.25">
      <c r="A631" s="214"/>
      <c r="B631" s="215" t="s">
        <v>1822</v>
      </c>
      <c r="C631" s="215" t="s">
        <v>1823</v>
      </c>
      <c r="D631" s="215" t="s">
        <v>1847</v>
      </c>
      <c r="E631" s="215" t="s">
        <v>1825</v>
      </c>
      <c r="F631" s="215" t="s">
        <v>1825</v>
      </c>
      <c r="G631" s="215" t="s">
        <v>58</v>
      </c>
      <c r="H631" s="216" t="s">
        <v>2467</v>
      </c>
      <c r="I631" s="217">
        <v>13829936550</v>
      </c>
      <c r="J631" s="217">
        <v>664493401.43612707</v>
      </c>
      <c r="K631" s="217">
        <v>220781500.45303318</v>
      </c>
      <c r="L631" s="217"/>
      <c r="M631" s="217">
        <v>220781500.45303318</v>
      </c>
      <c r="N631" s="217">
        <v>5065387200.92834</v>
      </c>
      <c r="O631" s="217">
        <v>8831219182.931179</v>
      </c>
      <c r="P631" s="217"/>
      <c r="Q631" s="218"/>
    </row>
    <row r="632" spans="1:17" s="219" customFormat="1" hidden="1" x14ac:dyDescent="0.25">
      <c r="A632" s="214"/>
      <c r="B632" s="215" t="s">
        <v>1822</v>
      </c>
      <c r="C632" s="215" t="s">
        <v>1823</v>
      </c>
      <c r="D632" s="215" t="s">
        <v>1847</v>
      </c>
      <c r="E632" s="215" t="s">
        <v>1825</v>
      </c>
      <c r="F632" s="215" t="s">
        <v>1825</v>
      </c>
      <c r="G632" s="215" t="s">
        <v>75</v>
      </c>
      <c r="H632" s="216" t="s">
        <v>2468</v>
      </c>
      <c r="I632" s="217"/>
      <c r="J632" s="217"/>
      <c r="K632" s="217"/>
      <c r="L632" s="217"/>
      <c r="M632" s="217"/>
      <c r="N632" s="217"/>
      <c r="O632" s="217"/>
      <c r="P632" s="217"/>
      <c r="Q632" s="218"/>
    </row>
    <row r="633" spans="1:17" s="219" customFormat="1" ht="30" hidden="1" x14ac:dyDescent="0.25">
      <c r="A633" s="214"/>
      <c r="B633" s="215" t="s">
        <v>1822</v>
      </c>
      <c r="C633" s="215" t="s">
        <v>1823</v>
      </c>
      <c r="D633" s="215" t="s">
        <v>1847</v>
      </c>
      <c r="E633" s="215" t="s">
        <v>1825</v>
      </c>
      <c r="F633" s="215" t="s">
        <v>1825</v>
      </c>
      <c r="G633" s="215" t="s">
        <v>79</v>
      </c>
      <c r="H633" s="216" t="s">
        <v>2469</v>
      </c>
      <c r="I633" s="217"/>
      <c r="J633" s="217"/>
      <c r="K633" s="217"/>
      <c r="L633" s="217"/>
      <c r="M633" s="217"/>
      <c r="N633" s="217"/>
      <c r="O633" s="217"/>
      <c r="P633" s="217"/>
      <c r="Q633" s="218"/>
    </row>
    <row r="634" spans="1:17" s="219" customFormat="1" hidden="1" x14ac:dyDescent="0.25">
      <c r="A634" s="214"/>
      <c r="B634" s="215" t="s">
        <v>1822</v>
      </c>
      <c r="C634" s="215" t="s">
        <v>1823</v>
      </c>
      <c r="D634" s="215" t="s">
        <v>1847</v>
      </c>
      <c r="E634" s="215" t="s">
        <v>1825</v>
      </c>
      <c r="F634" s="215" t="s">
        <v>1825</v>
      </c>
      <c r="G634" s="215" t="s">
        <v>84</v>
      </c>
      <c r="H634" s="216" t="s">
        <v>2470</v>
      </c>
      <c r="I634" s="217"/>
      <c r="J634" s="217"/>
      <c r="K634" s="217"/>
      <c r="L634" s="217"/>
      <c r="M634" s="217"/>
      <c r="N634" s="217"/>
      <c r="O634" s="217"/>
      <c r="P634" s="217"/>
      <c r="Q634" s="218"/>
    </row>
    <row r="635" spans="1:17" s="219" customFormat="1" hidden="1" x14ac:dyDescent="0.25">
      <c r="A635" s="214"/>
      <c r="B635" s="215" t="s">
        <v>1822</v>
      </c>
      <c r="C635" s="215" t="s">
        <v>1823</v>
      </c>
      <c r="D635" s="215" t="s">
        <v>1847</v>
      </c>
      <c r="E635" s="215" t="s">
        <v>1825</v>
      </c>
      <c r="F635" s="215" t="s">
        <v>1825</v>
      </c>
      <c r="G635" s="215" t="s">
        <v>88</v>
      </c>
      <c r="H635" s="216" t="s">
        <v>2471</v>
      </c>
      <c r="I635" s="217"/>
      <c r="J635" s="217"/>
      <c r="K635" s="217"/>
      <c r="L635" s="217"/>
      <c r="M635" s="217"/>
      <c r="N635" s="217"/>
      <c r="O635" s="217"/>
      <c r="P635" s="217"/>
      <c r="Q635" s="218"/>
    </row>
    <row r="636" spans="1:17" s="219" customFormat="1" hidden="1" x14ac:dyDescent="0.25">
      <c r="A636" s="214"/>
      <c r="B636" s="215" t="s">
        <v>1822</v>
      </c>
      <c r="C636" s="215" t="s">
        <v>1823</v>
      </c>
      <c r="D636" s="215" t="s">
        <v>1847</v>
      </c>
      <c r="E636" s="215" t="s">
        <v>1825</v>
      </c>
      <c r="F636" s="215" t="s">
        <v>1825</v>
      </c>
      <c r="G636" s="215" t="s">
        <v>92</v>
      </c>
      <c r="H636" s="216" t="s">
        <v>2472</v>
      </c>
      <c r="I636" s="217"/>
      <c r="J636" s="217"/>
      <c r="K636" s="217"/>
      <c r="L636" s="217"/>
      <c r="M636" s="217"/>
      <c r="N636" s="217"/>
      <c r="O636" s="217"/>
      <c r="P636" s="217"/>
      <c r="Q636" s="218"/>
    </row>
    <row r="637" spans="1:17" s="219" customFormat="1" ht="30" hidden="1" x14ac:dyDescent="0.25">
      <c r="A637" s="214"/>
      <c r="B637" s="215" t="s">
        <v>1822</v>
      </c>
      <c r="C637" s="215" t="s">
        <v>1823</v>
      </c>
      <c r="D637" s="215" t="s">
        <v>1847</v>
      </c>
      <c r="E637" s="215" t="s">
        <v>1825</v>
      </c>
      <c r="F637" s="215" t="s">
        <v>1825</v>
      </c>
      <c r="G637" s="215" t="s">
        <v>96</v>
      </c>
      <c r="H637" s="216" t="s">
        <v>2473</v>
      </c>
      <c r="I637" s="217"/>
      <c r="J637" s="217"/>
      <c r="K637" s="217"/>
      <c r="L637" s="217"/>
      <c r="M637" s="217"/>
      <c r="N637" s="217"/>
      <c r="O637" s="217"/>
      <c r="P637" s="217"/>
      <c r="Q637" s="218"/>
    </row>
    <row r="638" spans="1:17" s="219" customFormat="1" hidden="1" x14ac:dyDescent="0.25">
      <c r="A638" s="214"/>
      <c r="B638" s="215" t="s">
        <v>1822</v>
      </c>
      <c r="C638" s="215" t="s">
        <v>1823</v>
      </c>
      <c r="D638" s="215" t="s">
        <v>1847</v>
      </c>
      <c r="E638" s="215" t="s">
        <v>1825</v>
      </c>
      <c r="F638" s="215" t="s">
        <v>1825</v>
      </c>
      <c r="G638" s="215" t="s">
        <v>100</v>
      </c>
      <c r="H638" s="216" t="s">
        <v>2474</v>
      </c>
      <c r="I638" s="217"/>
      <c r="J638" s="217"/>
      <c r="K638" s="217"/>
      <c r="L638" s="217"/>
      <c r="M638" s="217"/>
      <c r="N638" s="217"/>
      <c r="O638" s="217"/>
      <c r="P638" s="217"/>
      <c r="Q638" s="218"/>
    </row>
    <row r="639" spans="1:17" s="219" customFormat="1" hidden="1" x14ac:dyDescent="0.25">
      <c r="A639" s="214"/>
      <c r="B639" s="215" t="s">
        <v>1822</v>
      </c>
      <c r="C639" s="215" t="s">
        <v>1823</v>
      </c>
      <c r="D639" s="215" t="s">
        <v>1847</v>
      </c>
      <c r="E639" s="215" t="s">
        <v>1825</v>
      </c>
      <c r="F639" s="215" t="s">
        <v>1825</v>
      </c>
      <c r="G639" s="215" t="s">
        <v>105</v>
      </c>
      <c r="H639" s="216" t="s">
        <v>2475</v>
      </c>
      <c r="I639" s="217"/>
      <c r="J639" s="217"/>
      <c r="K639" s="217"/>
      <c r="L639" s="217"/>
      <c r="M639" s="217"/>
      <c r="N639" s="217"/>
      <c r="O639" s="217"/>
      <c r="P639" s="217"/>
      <c r="Q639" s="218"/>
    </row>
    <row r="640" spans="1:17" s="219" customFormat="1" ht="30" hidden="1" x14ac:dyDescent="0.25">
      <c r="A640" s="214"/>
      <c r="B640" s="215" t="s">
        <v>1822</v>
      </c>
      <c r="C640" s="215" t="s">
        <v>1823</v>
      </c>
      <c r="D640" s="215" t="s">
        <v>1847</v>
      </c>
      <c r="E640" s="215" t="s">
        <v>1825</v>
      </c>
      <c r="F640" s="215" t="s">
        <v>1825</v>
      </c>
      <c r="G640" s="215" t="s">
        <v>108</v>
      </c>
      <c r="H640" s="216" t="s">
        <v>2476</v>
      </c>
      <c r="I640" s="217"/>
      <c r="J640" s="217"/>
      <c r="K640" s="217"/>
      <c r="L640" s="217"/>
      <c r="M640" s="217"/>
      <c r="N640" s="217"/>
      <c r="O640" s="217"/>
      <c r="P640" s="217"/>
      <c r="Q640" s="218"/>
    </row>
    <row r="641" spans="1:17" s="219" customFormat="1" hidden="1" x14ac:dyDescent="0.25">
      <c r="A641" s="214"/>
      <c r="B641" s="215" t="s">
        <v>1822</v>
      </c>
      <c r="C641" s="215" t="s">
        <v>1823</v>
      </c>
      <c r="D641" s="215" t="s">
        <v>1847</v>
      </c>
      <c r="E641" s="215" t="s">
        <v>1825</v>
      </c>
      <c r="F641" s="215" t="s">
        <v>1825</v>
      </c>
      <c r="G641" s="215" t="s">
        <v>135</v>
      </c>
      <c r="H641" s="216" t="s">
        <v>2477</v>
      </c>
      <c r="I641" s="217"/>
      <c r="J641" s="217"/>
      <c r="K641" s="217"/>
      <c r="L641" s="217"/>
      <c r="M641" s="217"/>
      <c r="N641" s="217"/>
      <c r="O641" s="217"/>
      <c r="P641" s="217"/>
      <c r="Q641" s="218"/>
    </row>
    <row r="642" spans="1:17" s="219" customFormat="1" ht="30" hidden="1" x14ac:dyDescent="0.25">
      <c r="A642" s="214"/>
      <c r="B642" s="215" t="s">
        <v>1822</v>
      </c>
      <c r="C642" s="215" t="s">
        <v>1823</v>
      </c>
      <c r="D642" s="215" t="s">
        <v>1847</v>
      </c>
      <c r="E642" s="215" t="s">
        <v>1825</v>
      </c>
      <c r="F642" s="215" t="s">
        <v>1825</v>
      </c>
      <c r="G642" s="215" t="s">
        <v>138</v>
      </c>
      <c r="H642" s="216" t="s">
        <v>2478</v>
      </c>
      <c r="I642" s="217"/>
      <c r="J642" s="217"/>
      <c r="K642" s="217"/>
      <c r="L642" s="217"/>
      <c r="M642" s="217"/>
      <c r="N642" s="217"/>
      <c r="O642" s="217"/>
      <c r="P642" s="217"/>
      <c r="Q642" s="218"/>
    </row>
    <row r="643" spans="1:17" s="219" customFormat="1" hidden="1" x14ac:dyDescent="0.25">
      <c r="A643" s="214"/>
      <c r="B643" s="215" t="s">
        <v>1822</v>
      </c>
      <c r="C643" s="215" t="s">
        <v>1823</v>
      </c>
      <c r="D643" s="215" t="s">
        <v>1847</v>
      </c>
      <c r="E643" s="215" t="s">
        <v>1825</v>
      </c>
      <c r="F643" s="215" t="s">
        <v>1825</v>
      </c>
      <c r="G643" s="215" t="s">
        <v>140</v>
      </c>
      <c r="H643" s="216" t="s">
        <v>2479</v>
      </c>
      <c r="I643" s="217"/>
      <c r="J643" s="217"/>
      <c r="K643" s="217"/>
      <c r="L643" s="217"/>
      <c r="M643" s="217"/>
      <c r="N643" s="217"/>
      <c r="O643" s="217"/>
      <c r="P643" s="217"/>
      <c r="Q643" s="218"/>
    </row>
    <row r="644" spans="1:17" s="219" customFormat="1" hidden="1" x14ac:dyDescent="0.25">
      <c r="A644" s="214"/>
      <c r="B644" s="215" t="s">
        <v>1822</v>
      </c>
      <c r="C644" s="215" t="s">
        <v>1823</v>
      </c>
      <c r="D644" s="215" t="s">
        <v>1847</v>
      </c>
      <c r="E644" s="215" t="s">
        <v>1825</v>
      </c>
      <c r="F644" s="215" t="s">
        <v>1825</v>
      </c>
      <c r="G644" s="215" t="s">
        <v>143</v>
      </c>
      <c r="H644" s="216" t="s">
        <v>2480</v>
      </c>
      <c r="I644" s="217"/>
      <c r="J644" s="217"/>
      <c r="K644" s="217"/>
      <c r="L644" s="217"/>
      <c r="M644" s="217"/>
      <c r="N644" s="217"/>
      <c r="O644" s="217"/>
      <c r="P644" s="217"/>
      <c r="Q644" s="218"/>
    </row>
    <row r="645" spans="1:17" s="219" customFormat="1" hidden="1" x14ac:dyDescent="0.25">
      <c r="A645" s="214"/>
      <c r="B645" s="215" t="s">
        <v>1822</v>
      </c>
      <c r="C645" s="215" t="s">
        <v>1823</v>
      </c>
      <c r="D645" s="215" t="s">
        <v>1847</v>
      </c>
      <c r="E645" s="215" t="s">
        <v>1825</v>
      </c>
      <c r="F645" s="215" t="s">
        <v>1825</v>
      </c>
      <c r="G645" s="215" t="s">
        <v>146</v>
      </c>
      <c r="H645" s="216" t="s">
        <v>2481</v>
      </c>
      <c r="I645" s="217"/>
      <c r="J645" s="217"/>
      <c r="K645" s="217"/>
      <c r="L645" s="217"/>
      <c r="M645" s="217"/>
      <c r="N645" s="217"/>
      <c r="O645" s="217"/>
      <c r="P645" s="217"/>
      <c r="Q645" s="218"/>
    </row>
    <row r="646" spans="1:17" s="219" customFormat="1" hidden="1" x14ac:dyDescent="0.25">
      <c r="A646" s="214"/>
      <c r="B646" s="215" t="s">
        <v>1822</v>
      </c>
      <c r="C646" s="215" t="s">
        <v>1823</v>
      </c>
      <c r="D646" s="215" t="s">
        <v>1847</v>
      </c>
      <c r="E646" s="215" t="s">
        <v>1825</v>
      </c>
      <c r="F646" s="215" t="s">
        <v>1825</v>
      </c>
      <c r="G646" s="215" t="s">
        <v>150</v>
      </c>
      <c r="H646" s="216" t="s">
        <v>2482</v>
      </c>
      <c r="I646" s="217"/>
      <c r="J646" s="217"/>
      <c r="K646" s="217"/>
      <c r="L646" s="217"/>
      <c r="M646" s="217"/>
      <c r="N646" s="217"/>
      <c r="O646" s="217"/>
      <c r="P646" s="217"/>
      <c r="Q646" s="218"/>
    </row>
    <row r="647" spans="1:17" s="219" customFormat="1" hidden="1" x14ac:dyDescent="0.25">
      <c r="A647" s="214"/>
      <c r="B647" s="215" t="s">
        <v>1822</v>
      </c>
      <c r="C647" s="215" t="s">
        <v>1823</v>
      </c>
      <c r="D647" s="215" t="s">
        <v>1847</v>
      </c>
      <c r="E647" s="215" t="s">
        <v>1825</v>
      </c>
      <c r="F647" s="215" t="s">
        <v>1825</v>
      </c>
      <c r="G647" s="215" t="s">
        <v>153</v>
      </c>
      <c r="H647" s="216" t="s">
        <v>2483</v>
      </c>
      <c r="I647" s="217"/>
      <c r="J647" s="217"/>
      <c r="K647" s="217"/>
      <c r="L647" s="217"/>
      <c r="M647" s="217"/>
      <c r="N647" s="217"/>
      <c r="O647" s="217"/>
      <c r="P647" s="217"/>
      <c r="Q647" s="218"/>
    </row>
    <row r="648" spans="1:17" s="219" customFormat="1" ht="30" hidden="1" x14ac:dyDescent="0.25">
      <c r="A648" s="214"/>
      <c r="B648" s="215" t="s">
        <v>1822</v>
      </c>
      <c r="C648" s="215" t="s">
        <v>1823</v>
      </c>
      <c r="D648" s="215" t="s">
        <v>1847</v>
      </c>
      <c r="E648" s="215" t="s">
        <v>1825</v>
      </c>
      <c r="F648" s="215" t="s">
        <v>1825</v>
      </c>
      <c r="G648" s="215" t="s">
        <v>156</v>
      </c>
      <c r="H648" s="216" t="s">
        <v>2484</v>
      </c>
      <c r="I648" s="217"/>
      <c r="J648" s="217"/>
      <c r="K648" s="217"/>
      <c r="L648" s="217"/>
      <c r="M648" s="217"/>
      <c r="N648" s="217"/>
      <c r="O648" s="217"/>
      <c r="P648" s="217"/>
      <c r="Q648" s="218"/>
    </row>
    <row r="649" spans="1:17" s="219" customFormat="1" hidden="1" x14ac:dyDescent="0.25">
      <c r="A649" s="214"/>
      <c r="B649" s="215" t="s">
        <v>1822</v>
      </c>
      <c r="C649" s="215" t="s">
        <v>1823</v>
      </c>
      <c r="D649" s="215" t="s">
        <v>1847</v>
      </c>
      <c r="E649" s="215" t="s">
        <v>1825</v>
      </c>
      <c r="F649" s="215" t="s">
        <v>1825</v>
      </c>
      <c r="G649" s="215" t="s">
        <v>159</v>
      </c>
      <c r="H649" s="216" t="s">
        <v>2485</v>
      </c>
      <c r="I649" s="217"/>
      <c r="J649" s="217"/>
      <c r="K649" s="217"/>
      <c r="L649" s="217"/>
      <c r="M649" s="217"/>
      <c r="N649" s="217"/>
      <c r="O649" s="217"/>
      <c r="P649" s="217"/>
      <c r="Q649" s="218"/>
    </row>
    <row r="650" spans="1:17" s="219" customFormat="1" ht="30" hidden="1" x14ac:dyDescent="0.25">
      <c r="A650" s="214"/>
      <c r="B650" s="215" t="s">
        <v>1822</v>
      </c>
      <c r="C650" s="215" t="s">
        <v>1823</v>
      </c>
      <c r="D650" s="215" t="s">
        <v>1847</v>
      </c>
      <c r="E650" s="215" t="s">
        <v>1825</v>
      </c>
      <c r="F650" s="215" t="s">
        <v>1825</v>
      </c>
      <c r="G650" s="215" t="s">
        <v>162</v>
      </c>
      <c r="H650" s="216" t="s">
        <v>2486</v>
      </c>
      <c r="I650" s="217"/>
      <c r="J650" s="217"/>
      <c r="K650" s="217"/>
      <c r="L650" s="217"/>
      <c r="M650" s="217"/>
      <c r="N650" s="217"/>
      <c r="O650" s="217"/>
      <c r="P650" s="217"/>
      <c r="Q650" s="218"/>
    </row>
    <row r="651" spans="1:17" s="219" customFormat="1" hidden="1" x14ac:dyDescent="0.25">
      <c r="A651" s="214"/>
      <c r="B651" s="215" t="s">
        <v>1822</v>
      </c>
      <c r="C651" s="215" t="s">
        <v>1823</v>
      </c>
      <c r="D651" s="215" t="s">
        <v>1847</v>
      </c>
      <c r="E651" s="215" t="s">
        <v>1825</v>
      </c>
      <c r="F651" s="215" t="s">
        <v>1825</v>
      </c>
      <c r="G651" s="215" t="s">
        <v>312</v>
      </c>
      <c r="H651" s="216" t="s">
        <v>2487</v>
      </c>
      <c r="I651" s="217"/>
      <c r="J651" s="217"/>
      <c r="K651" s="217"/>
      <c r="L651" s="217"/>
      <c r="M651" s="217"/>
      <c r="N651" s="217"/>
      <c r="O651" s="217"/>
      <c r="P651" s="217"/>
      <c r="Q651" s="218"/>
    </row>
    <row r="652" spans="1:17" s="219" customFormat="1" hidden="1" x14ac:dyDescent="0.25">
      <c r="A652" s="214"/>
      <c r="B652" s="215" t="s">
        <v>1822</v>
      </c>
      <c r="C652" s="215" t="s">
        <v>1823</v>
      </c>
      <c r="D652" s="215" t="s">
        <v>1847</v>
      </c>
      <c r="E652" s="215" t="s">
        <v>1825</v>
      </c>
      <c r="F652" s="215" t="s">
        <v>1825</v>
      </c>
      <c r="G652" s="215" t="s">
        <v>313</v>
      </c>
      <c r="H652" s="216" t="s">
        <v>2488</v>
      </c>
      <c r="I652" s="217"/>
      <c r="J652" s="217"/>
      <c r="K652" s="217"/>
      <c r="L652" s="217"/>
      <c r="M652" s="217"/>
      <c r="N652" s="217"/>
      <c r="O652" s="217"/>
      <c r="P652" s="217"/>
      <c r="Q652" s="218"/>
    </row>
    <row r="653" spans="1:17" s="219" customFormat="1" ht="30" hidden="1" x14ac:dyDescent="0.25">
      <c r="A653" s="214"/>
      <c r="B653" s="215" t="s">
        <v>1822</v>
      </c>
      <c r="C653" s="215" t="s">
        <v>1823</v>
      </c>
      <c r="D653" s="215" t="s">
        <v>1847</v>
      </c>
      <c r="E653" s="215" t="s">
        <v>1825</v>
      </c>
      <c r="F653" s="215" t="s">
        <v>1825</v>
      </c>
      <c r="G653" s="215" t="s">
        <v>559</v>
      </c>
      <c r="H653" s="216" t="s">
        <v>2489</v>
      </c>
      <c r="I653" s="217"/>
      <c r="J653" s="217"/>
      <c r="K653" s="217"/>
      <c r="L653" s="217"/>
      <c r="M653" s="217"/>
      <c r="N653" s="217"/>
      <c r="O653" s="217"/>
      <c r="P653" s="217"/>
      <c r="Q653" s="218"/>
    </row>
    <row r="654" spans="1:17" s="219" customFormat="1" hidden="1" x14ac:dyDescent="0.25">
      <c r="A654" s="214"/>
      <c r="B654" s="215" t="s">
        <v>1822</v>
      </c>
      <c r="C654" s="215" t="s">
        <v>1823</v>
      </c>
      <c r="D654" s="215" t="s">
        <v>1847</v>
      </c>
      <c r="E654" s="215" t="s">
        <v>1825</v>
      </c>
      <c r="F654" s="215" t="s">
        <v>1825</v>
      </c>
      <c r="G654" s="215" t="s">
        <v>561</v>
      </c>
      <c r="H654" s="216" t="s">
        <v>2490</v>
      </c>
      <c r="I654" s="217"/>
      <c r="J654" s="217"/>
      <c r="K654" s="217"/>
      <c r="L654" s="217"/>
      <c r="M654" s="217"/>
      <c r="N654" s="217"/>
      <c r="O654" s="217"/>
      <c r="P654" s="217"/>
      <c r="Q654" s="218"/>
    </row>
    <row r="655" spans="1:17" s="219" customFormat="1" hidden="1" x14ac:dyDescent="0.25">
      <c r="A655" s="214"/>
      <c r="B655" s="215" t="s">
        <v>1822</v>
      </c>
      <c r="C655" s="215" t="s">
        <v>1823</v>
      </c>
      <c r="D655" s="215" t="s">
        <v>1847</v>
      </c>
      <c r="E655" s="215" t="s">
        <v>1825</v>
      </c>
      <c r="F655" s="215" t="s">
        <v>1825</v>
      </c>
      <c r="G655" s="215" t="s">
        <v>563</v>
      </c>
      <c r="H655" s="216" t="s">
        <v>2491</v>
      </c>
      <c r="I655" s="217"/>
      <c r="J655" s="217"/>
      <c r="K655" s="217"/>
      <c r="L655" s="217"/>
      <c r="M655" s="217"/>
      <c r="N655" s="217"/>
      <c r="O655" s="217"/>
      <c r="P655" s="217"/>
      <c r="Q655" s="218"/>
    </row>
    <row r="656" spans="1:17" s="219" customFormat="1" hidden="1" x14ac:dyDescent="0.25">
      <c r="A656" s="214"/>
      <c r="B656" s="215" t="s">
        <v>1822</v>
      </c>
      <c r="C656" s="215" t="s">
        <v>1823</v>
      </c>
      <c r="D656" s="215" t="s">
        <v>1847</v>
      </c>
      <c r="E656" s="215" t="s">
        <v>1825</v>
      </c>
      <c r="F656" s="215" t="s">
        <v>1825</v>
      </c>
      <c r="G656" s="215" t="s">
        <v>227</v>
      </c>
      <c r="H656" s="216" t="s">
        <v>2492</v>
      </c>
      <c r="I656" s="217"/>
      <c r="J656" s="217"/>
      <c r="K656" s="217"/>
      <c r="L656" s="217"/>
      <c r="M656" s="217"/>
      <c r="N656" s="217"/>
      <c r="O656" s="217"/>
      <c r="P656" s="217"/>
      <c r="Q656" s="218"/>
    </row>
    <row r="657" spans="1:17" s="219" customFormat="1" ht="30" hidden="1" x14ac:dyDescent="0.25">
      <c r="A657" s="214"/>
      <c r="B657" s="215" t="s">
        <v>1822</v>
      </c>
      <c r="C657" s="215" t="s">
        <v>1823</v>
      </c>
      <c r="D657" s="215" t="s">
        <v>1847</v>
      </c>
      <c r="E657" s="215" t="s">
        <v>1825</v>
      </c>
      <c r="F657" s="215" t="s">
        <v>1825</v>
      </c>
      <c r="G657" s="215" t="s">
        <v>230</v>
      </c>
      <c r="H657" s="216" t="s">
        <v>2493</v>
      </c>
      <c r="I657" s="217"/>
      <c r="J657" s="217"/>
      <c r="K657" s="217"/>
      <c r="L657" s="217"/>
      <c r="M657" s="217"/>
      <c r="N657" s="217"/>
      <c r="O657" s="217"/>
      <c r="P657" s="217"/>
      <c r="Q657" s="218"/>
    </row>
    <row r="658" spans="1:17" s="219" customFormat="1" hidden="1" x14ac:dyDescent="0.25">
      <c r="A658" s="214"/>
      <c r="B658" s="215" t="s">
        <v>1822</v>
      </c>
      <c r="C658" s="215" t="s">
        <v>1823</v>
      </c>
      <c r="D658" s="215" t="s">
        <v>1847</v>
      </c>
      <c r="E658" s="215" t="s">
        <v>1825</v>
      </c>
      <c r="F658" s="215" t="s">
        <v>1825</v>
      </c>
      <c r="G658" s="215" t="s">
        <v>232</v>
      </c>
      <c r="H658" s="216" t="s">
        <v>2494</v>
      </c>
      <c r="I658" s="217"/>
      <c r="J658" s="217"/>
      <c r="K658" s="217"/>
      <c r="L658" s="217"/>
      <c r="M658" s="217"/>
      <c r="N658" s="217"/>
      <c r="O658" s="217"/>
      <c r="P658" s="217"/>
      <c r="Q658" s="218"/>
    </row>
    <row r="659" spans="1:17" s="219" customFormat="1" hidden="1" x14ac:dyDescent="0.25">
      <c r="A659" s="214"/>
      <c r="B659" s="215" t="s">
        <v>1822</v>
      </c>
      <c r="C659" s="215" t="s">
        <v>1823</v>
      </c>
      <c r="D659" s="215" t="s">
        <v>1847</v>
      </c>
      <c r="E659" s="215" t="s">
        <v>1825</v>
      </c>
      <c r="F659" s="215" t="s">
        <v>1825</v>
      </c>
      <c r="G659" s="215" t="s">
        <v>234</v>
      </c>
      <c r="H659" s="216" t="s">
        <v>2495</v>
      </c>
      <c r="I659" s="217"/>
      <c r="J659" s="217"/>
      <c r="K659" s="217"/>
      <c r="L659" s="217"/>
      <c r="M659" s="217"/>
      <c r="N659" s="217"/>
      <c r="O659" s="217"/>
      <c r="P659" s="217"/>
      <c r="Q659" s="218"/>
    </row>
    <row r="660" spans="1:17" s="219" customFormat="1" ht="30" hidden="1" x14ac:dyDescent="0.25">
      <c r="A660" s="214"/>
      <c r="B660" s="215" t="s">
        <v>1822</v>
      </c>
      <c r="C660" s="215" t="s">
        <v>1823</v>
      </c>
      <c r="D660" s="215" t="s">
        <v>1847</v>
      </c>
      <c r="E660" s="215" t="s">
        <v>1825</v>
      </c>
      <c r="F660" s="215" t="s">
        <v>1825</v>
      </c>
      <c r="G660" s="215" t="s">
        <v>236</v>
      </c>
      <c r="H660" s="216" t="s">
        <v>2496</v>
      </c>
      <c r="I660" s="217"/>
      <c r="J660" s="217"/>
      <c r="K660" s="217"/>
      <c r="L660" s="217"/>
      <c r="M660" s="217"/>
      <c r="N660" s="217"/>
      <c r="O660" s="217"/>
      <c r="P660" s="217"/>
      <c r="Q660" s="218"/>
    </row>
    <row r="661" spans="1:17" s="219" customFormat="1" hidden="1" x14ac:dyDescent="0.25">
      <c r="A661" s="214"/>
      <c r="B661" s="215" t="s">
        <v>1822</v>
      </c>
      <c r="C661" s="215" t="s">
        <v>1823</v>
      </c>
      <c r="D661" s="215" t="s">
        <v>1847</v>
      </c>
      <c r="E661" s="215" t="s">
        <v>1825</v>
      </c>
      <c r="F661" s="215" t="s">
        <v>1825</v>
      </c>
      <c r="G661" s="215" t="s">
        <v>238</v>
      </c>
      <c r="H661" s="216" t="s">
        <v>2497</v>
      </c>
      <c r="I661" s="217"/>
      <c r="J661" s="217"/>
      <c r="K661" s="217"/>
      <c r="L661" s="217"/>
      <c r="M661" s="217"/>
      <c r="N661" s="217"/>
      <c r="O661" s="217"/>
      <c r="P661" s="217"/>
      <c r="Q661" s="218"/>
    </row>
    <row r="662" spans="1:17" s="219" customFormat="1" hidden="1" x14ac:dyDescent="0.25">
      <c r="A662" s="214"/>
      <c r="B662" s="215" t="s">
        <v>1822</v>
      </c>
      <c r="C662" s="215" t="s">
        <v>1823</v>
      </c>
      <c r="D662" s="215" t="s">
        <v>1847</v>
      </c>
      <c r="E662" s="215" t="s">
        <v>1825</v>
      </c>
      <c r="F662" s="215" t="s">
        <v>1825</v>
      </c>
      <c r="G662" s="215" t="s">
        <v>240</v>
      </c>
      <c r="H662" s="216" t="s">
        <v>2498</v>
      </c>
      <c r="I662" s="217"/>
      <c r="J662" s="217"/>
      <c r="K662" s="217"/>
      <c r="L662" s="217"/>
      <c r="M662" s="217"/>
      <c r="N662" s="217"/>
      <c r="O662" s="217"/>
      <c r="P662" s="217"/>
      <c r="Q662" s="218"/>
    </row>
    <row r="663" spans="1:17" s="219" customFormat="1" hidden="1" x14ac:dyDescent="0.25">
      <c r="A663" s="214"/>
      <c r="B663" s="215" t="s">
        <v>1822</v>
      </c>
      <c r="C663" s="215" t="s">
        <v>1823</v>
      </c>
      <c r="D663" s="215" t="s">
        <v>1847</v>
      </c>
      <c r="E663" s="215" t="s">
        <v>1825</v>
      </c>
      <c r="F663" s="215" t="s">
        <v>1825</v>
      </c>
      <c r="G663" s="215" t="s">
        <v>242</v>
      </c>
      <c r="H663" s="216" t="s">
        <v>2499</v>
      </c>
      <c r="I663" s="217"/>
      <c r="J663" s="217"/>
      <c r="K663" s="217"/>
      <c r="L663" s="217"/>
      <c r="M663" s="217"/>
      <c r="N663" s="217"/>
      <c r="O663" s="217"/>
      <c r="P663" s="217"/>
      <c r="Q663" s="218"/>
    </row>
    <row r="664" spans="1:17" s="219" customFormat="1" hidden="1" x14ac:dyDescent="0.25">
      <c r="A664" s="214"/>
      <c r="B664" s="215" t="s">
        <v>1822</v>
      </c>
      <c r="C664" s="215" t="s">
        <v>1823</v>
      </c>
      <c r="D664" s="215" t="s">
        <v>1847</v>
      </c>
      <c r="E664" s="215" t="s">
        <v>1825</v>
      </c>
      <c r="F664" s="215" t="s">
        <v>1825</v>
      </c>
      <c r="G664" s="215" t="s">
        <v>244</v>
      </c>
      <c r="H664" s="216" t="s">
        <v>2500</v>
      </c>
      <c r="I664" s="217"/>
      <c r="J664" s="217"/>
      <c r="K664" s="217"/>
      <c r="L664" s="217"/>
      <c r="M664" s="217"/>
      <c r="N664" s="217"/>
      <c r="O664" s="217"/>
      <c r="P664" s="217"/>
      <c r="Q664" s="218"/>
    </row>
    <row r="665" spans="1:17" s="219" customFormat="1" hidden="1" x14ac:dyDescent="0.25">
      <c r="A665" s="214"/>
      <c r="B665" s="215" t="s">
        <v>1822</v>
      </c>
      <c r="C665" s="215" t="s">
        <v>1823</v>
      </c>
      <c r="D665" s="215" t="s">
        <v>1847</v>
      </c>
      <c r="E665" s="215" t="s">
        <v>1825</v>
      </c>
      <c r="F665" s="215" t="s">
        <v>1825</v>
      </c>
      <c r="G665" s="215" t="s">
        <v>246</v>
      </c>
      <c r="H665" s="216" t="s">
        <v>2501</v>
      </c>
      <c r="I665" s="217"/>
      <c r="J665" s="217"/>
      <c r="K665" s="217"/>
      <c r="L665" s="217"/>
      <c r="M665" s="217"/>
      <c r="N665" s="217"/>
      <c r="O665" s="217"/>
      <c r="P665" s="217"/>
      <c r="Q665" s="218"/>
    </row>
    <row r="666" spans="1:17" s="219" customFormat="1" hidden="1" x14ac:dyDescent="0.25">
      <c r="A666" s="214"/>
      <c r="B666" s="215" t="s">
        <v>1822</v>
      </c>
      <c r="C666" s="215" t="s">
        <v>1823</v>
      </c>
      <c r="D666" s="215" t="s">
        <v>1847</v>
      </c>
      <c r="E666" s="215" t="s">
        <v>1825</v>
      </c>
      <c r="F666" s="215" t="s">
        <v>1825</v>
      </c>
      <c r="G666" s="215" t="s">
        <v>407</v>
      </c>
      <c r="H666" s="216" t="s">
        <v>2502</v>
      </c>
      <c r="I666" s="217"/>
      <c r="J666" s="217"/>
      <c r="K666" s="217"/>
      <c r="L666" s="217"/>
      <c r="M666" s="217"/>
      <c r="N666" s="217"/>
      <c r="O666" s="217"/>
      <c r="P666" s="217"/>
      <c r="Q666" s="218"/>
    </row>
    <row r="667" spans="1:17" s="219" customFormat="1" ht="30" hidden="1" x14ac:dyDescent="0.25">
      <c r="A667" s="214"/>
      <c r="B667" s="215" t="s">
        <v>1822</v>
      </c>
      <c r="C667" s="215" t="s">
        <v>1823</v>
      </c>
      <c r="D667" s="215" t="s">
        <v>1847</v>
      </c>
      <c r="E667" s="215" t="s">
        <v>1825</v>
      </c>
      <c r="F667" s="215" t="s">
        <v>1825</v>
      </c>
      <c r="G667" s="215" t="s">
        <v>408</v>
      </c>
      <c r="H667" s="216" t="s">
        <v>2496</v>
      </c>
      <c r="I667" s="217"/>
      <c r="J667" s="217"/>
      <c r="K667" s="217"/>
      <c r="L667" s="217"/>
      <c r="M667" s="217"/>
      <c r="N667" s="217"/>
      <c r="O667" s="217"/>
      <c r="P667" s="217"/>
      <c r="Q667" s="218"/>
    </row>
    <row r="668" spans="1:17" s="213" customFormat="1" x14ac:dyDescent="0.25">
      <c r="A668" s="208" t="s">
        <v>263</v>
      </c>
      <c r="B668" s="209" t="s">
        <v>1822</v>
      </c>
      <c r="C668" s="209" t="s">
        <v>1823</v>
      </c>
      <c r="D668" s="209" t="s">
        <v>1847</v>
      </c>
      <c r="E668" s="209" t="s">
        <v>1825</v>
      </c>
      <c r="F668" s="209" t="s">
        <v>1836</v>
      </c>
      <c r="G668" s="209"/>
      <c r="H668" s="210" t="s">
        <v>2503</v>
      </c>
      <c r="I668" s="211">
        <f>SUM(I669:I681)</f>
        <v>9055726995</v>
      </c>
      <c r="J668" s="211">
        <f t="shared" ref="J668:P668" si="83">SUM(J669:J681)</f>
        <v>461839411.68640083</v>
      </c>
      <c r="K668" s="211">
        <f t="shared" si="83"/>
        <v>110343526.18315722</v>
      </c>
      <c r="L668" s="211">
        <f t="shared" si="83"/>
        <v>0</v>
      </c>
      <c r="M668" s="211">
        <f t="shared" si="83"/>
        <v>110343526.18315722</v>
      </c>
      <c r="N668" s="211">
        <v>3875489245.9590254</v>
      </c>
      <c r="O668" s="211">
        <v>5275126459.0409746</v>
      </c>
      <c r="P668" s="211">
        <f t="shared" si="83"/>
        <v>0</v>
      </c>
      <c r="Q668" s="212"/>
    </row>
    <row r="669" spans="1:17" s="219" customFormat="1" hidden="1" x14ac:dyDescent="0.25">
      <c r="A669" s="214"/>
      <c r="B669" s="215" t="s">
        <v>1822</v>
      </c>
      <c r="C669" s="215" t="s">
        <v>1823</v>
      </c>
      <c r="D669" s="215" t="s">
        <v>1847</v>
      </c>
      <c r="E669" s="215" t="s">
        <v>1825</v>
      </c>
      <c r="F669" s="215" t="s">
        <v>1836</v>
      </c>
      <c r="G669" s="215" t="s">
        <v>58</v>
      </c>
      <c r="H669" s="216" t="s">
        <v>2504</v>
      </c>
      <c r="I669" s="217"/>
      <c r="J669" s="217"/>
      <c r="K669" s="217"/>
      <c r="L669" s="217"/>
      <c r="M669" s="217"/>
      <c r="N669" s="217"/>
      <c r="O669" s="217"/>
      <c r="P669" s="217"/>
      <c r="Q669" s="218"/>
    </row>
    <row r="670" spans="1:17" s="219" customFormat="1" hidden="1" x14ac:dyDescent="0.25">
      <c r="A670" s="214"/>
      <c r="B670" s="215" t="s">
        <v>1822</v>
      </c>
      <c r="C670" s="215" t="s">
        <v>1823</v>
      </c>
      <c r="D670" s="215" t="s">
        <v>1847</v>
      </c>
      <c r="E670" s="215" t="s">
        <v>1825</v>
      </c>
      <c r="F670" s="215" t="s">
        <v>1836</v>
      </c>
      <c r="G670" s="215" t="s">
        <v>75</v>
      </c>
      <c r="H670" s="216" t="s">
        <v>2505</v>
      </c>
      <c r="I670" s="217"/>
      <c r="J670" s="217"/>
      <c r="K670" s="217"/>
      <c r="L670" s="217"/>
      <c r="M670" s="217"/>
      <c r="N670" s="217"/>
      <c r="O670" s="217"/>
      <c r="P670" s="217"/>
      <c r="Q670" s="218"/>
    </row>
    <row r="671" spans="1:17" s="219" customFormat="1" hidden="1" x14ac:dyDescent="0.25">
      <c r="A671" s="214"/>
      <c r="B671" s="215" t="s">
        <v>1822</v>
      </c>
      <c r="C671" s="215" t="s">
        <v>1823</v>
      </c>
      <c r="D671" s="215" t="s">
        <v>1847</v>
      </c>
      <c r="E671" s="215" t="s">
        <v>1825</v>
      </c>
      <c r="F671" s="215" t="s">
        <v>1836</v>
      </c>
      <c r="G671" s="215" t="s">
        <v>79</v>
      </c>
      <c r="H671" s="216" t="s">
        <v>2506</v>
      </c>
      <c r="I671" s="217"/>
      <c r="J671" s="217"/>
      <c r="K671" s="217"/>
      <c r="L671" s="217"/>
      <c r="M671" s="217"/>
      <c r="N671" s="217"/>
      <c r="O671" s="217"/>
      <c r="P671" s="217"/>
      <c r="Q671" s="218"/>
    </row>
    <row r="672" spans="1:17" s="219" customFormat="1" ht="30" hidden="1" x14ac:dyDescent="0.25">
      <c r="A672" s="214"/>
      <c r="B672" s="215" t="s">
        <v>1822</v>
      </c>
      <c r="C672" s="215" t="s">
        <v>1823</v>
      </c>
      <c r="D672" s="215" t="s">
        <v>1847</v>
      </c>
      <c r="E672" s="215" t="s">
        <v>1825</v>
      </c>
      <c r="F672" s="215" t="s">
        <v>1836</v>
      </c>
      <c r="G672" s="215" t="s">
        <v>84</v>
      </c>
      <c r="H672" s="216" t="s">
        <v>2507</v>
      </c>
      <c r="I672" s="217"/>
      <c r="J672" s="217"/>
      <c r="K672" s="217"/>
      <c r="L672" s="217"/>
      <c r="M672" s="217"/>
      <c r="N672" s="217"/>
      <c r="O672" s="217"/>
      <c r="P672" s="217"/>
      <c r="Q672" s="218"/>
    </row>
    <row r="673" spans="1:17" s="219" customFormat="1" x14ac:dyDescent="0.25">
      <c r="A673" s="214"/>
      <c r="B673" s="215" t="s">
        <v>1822</v>
      </c>
      <c r="C673" s="215" t="s">
        <v>1823</v>
      </c>
      <c r="D673" s="215" t="s">
        <v>1847</v>
      </c>
      <c r="E673" s="215" t="s">
        <v>1825</v>
      </c>
      <c r="F673" s="215" t="s">
        <v>1836</v>
      </c>
      <c r="G673" s="215" t="s">
        <v>88</v>
      </c>
      <c r="H673" s="216" t="s">
        <v>850</v>
      </c>
      <c r="I673" s="217">
        <v>9055726995</v>
      </c>
      <c r="J673" s="217">
        <v>461839411.68640083</v>
      </c>
      <c r="K673" s="217">
        <v>110343526.18315722</v>
      </c>
      <c r="L673" s="217"/>
      <c r="M673" s="217">
        <v>110343526.18315722</v>
      </c>
      <c r="N673" s="217">
        <v>3875326486.5936737</v>
      </c>
      <c r="O673" s="217">
        <v>5180400508.4063263</v>
      </c>
      <c r="P673" s="217"/>
      <c r="Q673" s="218"/>
    </row>
    <row r="674" spans="1:17" s="219" customFormat="1" hidden="1" x14ac:dyDescent="0.25">
      <c r="A674" s="214"/>
      <c r="B674" s="215" t="s">
        <v>1822</v>
      </c>
      <c r="C674" s="215" t="s">
        <v>1823</v>
      </c>
      <c r="D674" s="215" t="s">
        <v>1847</v>
      </c>
      <c r="E674" s="215" t="s">
        <v>1825</v>
      </c>
      <c r="F674" s="215" t="s">
        <v>1836</v>
      </c>
      <c r="G674" s="215" t="s">
        <v>92</v>
      </c>
      <c r="H674" s="216" t="s">
        <v>2508</v>
      </c>
      <c r="I674" s="217"/>
      <c r="J674" s="217"/>
      <c r="K674" s="217"/>
      <c r="L674" s="217"/>
      <c r="M674" s="217"/>
      <c r="N674" s="217"/>
      <c r="O674" s="217"/>
      <c r="P674" s="217"/>
      <c r="Q674" s="218"/>
    </row>
    <row r="675" spans="1:17" s="219" customFormat="1" hidden="1" x14ac:dyDescent="0.25">
      <c r="A675" s="214"/>
      <c r="B675" s="215" t="s">
        <v>1822</v>
      </c>
      <c r="C675" s="215" t="s">
        <v>1823</v>
      </c>
      <c r="D675" s="215" t="s">
        <v>1847</v>
      </c>
      <c r="E675" s="215" t="s">
        <v>1825</v>
      </c>
      <c r="F675" s="215" t="s">
        <v>1836</v>
      </c>
      <c r="G675" s="215" t="s">
        <v>96</v>
      </c>
      <c r="H675" s="216" t="s">
        <v>2509</v>
      </c>
      <c r="I675" s="217"/>
      <c r="J675" s="217"/>
      <c r="K675" s="217"/>
      <c r="L675" s="217"/>
      <c r="M675" s="217"/>
      <c r="N675" s="217"/>
      <c r="O675" s="217"/>
      <c r="P675" s="217"/>
      <c r="Q675" s="218"/>
    </row>
    <row r="676" spans="1:17" s="219" customFormat="1" hidden="1" x14ac:dyDescent="0.25">
      <c r="A676" s="214"/>
      <c r="B676" s="215" t="s">
        <v>1822</v>
      </c>
      <c r="C676" s="215" t="s">
        <v>1823</v>
      </c>
      <c r="D676" s="215" t="s">
        <v>1847</v>
      </c>
      <c r="E676" s="215" t="s">
        <v>1825</v>
      </c>
      <c r="F676" s="215" t="s">
        <v>1836</v>
      </c>
      <c r="G676" s="215" t="s">
        <v>100</v>
      </c>
      <c r="H676" s="216" t="s">
        <v>2510</v>
      </c>
      <c r="I676" s="217"/>
      <c r="J676" s="217"/>
      <c r="K676" s="217"/>
      <c r="L676" s="217"/>
      <c r="M676" s="217"/>
      <c r="N676" s="217"/>
      <c r="O676" s="217"/>
      <c r="P676" s="217"/>
      <c r="Q676" s="218"/>
    </row>
    <row r="677" spans="1:17" s="219" customFormat="1" ht="30" hidden="1" x14ac:dyDescent="0.25">
      <c r="A677" s="214"/>
      <c r="B677" s="215" t="s">
        <v>1822</v>
      </c>
      <c r="C677" s="215" t="s">
        <v>1823</v>
      </c>
      <c r="D677" s="215" t="s">
        <v>1847</v>
      </c>
      <c r="E677" s="215" t="s">
        <v>1825</v>
      </c>
      <c r="F677" s="215" t="s">
        <v>1836</v>
      </c>
      <c r="G677" s="215" t="s">
        <v>105</v>
      </c>
      <c r="H677" s="216" t="s">
        <v>2511</v>
      </c>
      <c r="I677" s="217"/>
      <c r="J677" s="217"/>
      <c r="K677" s="217"/>
      <c r="L677" s="217"/>
      <c r="M677" s="217"/>
      <c r="N677" s="217"/>
      <c r="O677" s="217"/>
      <c r="P677" s="217"/>
      <c r="Q677" s="218"/>
    </row>
    <row r="678" spans="1:17" s="219" customFormat="1" hidden="1" x14ac:dyDescent="0.25">
      <c r="A678" s="214"/>
      <c r="B678" s="215" t="s">
        <v>1822</v>
      </c>
      <c r="C678" s="215" t="s">
        <v>1823</v>
      </c>
      <c r="D678" s="215" t="s">
        <v>1847</v>
      </c>
      <c r="E678" s="215" t="s">
        <v>1825</v>
      </c>
      <c r="F678" s="215" t="s">
        <v>1836</v>
      </c>
      <c r="G678" s="215" t="s">
        <v>108</v>
      </c>
      <c r="H678" s="216" t="s">
        <v>2512</v>
      </c>
      <c r="I678" s="217"/>
      <c r="J678" s="217"/>
      <c r="K678" s="217"/>
      <c r="L678" s="217"/>
      <c r="M678" s="217"/>
      <c r="N678" s="217"/>
      <c r="O678" s="217"/>
      <c r="P678" s="217"/>
      <c r="Q678" s="218"/>
    </row>
    <row r="679" spans="1:17" s="219" customFormat="1" hidden="1" x14ac:dyDescent="0.25">
      <c r="A679" s="214"/>
      <c r="B679" s="215" t="s">
        <v>1822</v>
      </c>
      <c r="C679" s="215" t="s">
        <v>1823</v>
      </c>
      <c r="D679" s="215" t="s">
        <v>1847</v>
      </c>
      <c r="E679" s="215" t="s">
        <v>1825</v>
      </c>
      <c r="F679" s="215" t="s">
        <v>1836</v>
      </c>
      <c r="G679" s="215" t="s">
        <v>135</v>
      </c>
      <c r="H679" s="216" t="s">
        <v>2513</v>
      </c>
      <c r="I679" s="217"/>
      <c r="J679" s="217"/>
      <c r="K679" s="217"/>
      <c r="L679" s="217"/>
      <c r="M679" s="217"/>
      <c r="N679" s="217"/>
      <c r="O679" s="217"/>
      <c r="P679" s="217"/>
      <c r="Q679" s="218"/>
    </row>
    <row r="680" spans="1:17" s="219" customFormat="1" hidden="1" x14ac:dyDescent="0.25">
      <c r="A680" s="214"/>
      <c r="B680" s="215" t="s">
        <v>1822</v>
      </c>
      <c r="C680" s="215" t="s">
        <v>1823</v>
      </c>
      <c r="D680" s="215" t="s">
        <v>1847</v>
      </c>
      <c r="E680" s="215" t="s">
        <v>1825</v>
      </c>
      <c r="F680" s="215" t="s">
        <v>1836</v>
      </c>
      <c r="G680" s="215" t="s">
        <v>138</v>
      </c>
      <c r="H680" s="216" t="s">
        <v>2514</v>
      </c>
      <c r="I680" s="217"/>
      <c r="J680" s="217"/>
      <c r="K680" s="217"/>
      <c r="L680" s="217"/>
      <c r="M680" s="217"/>
      <c r="N680" s="217"/>
      <c r="O680" s="217"/>
      <c r="P680" s="217"/>
      <c r="Q680" s="218"/>
    </row>
    <row r="681" spans="1:17" s="219" customFormat="1" ht="30" hidden="1" x14ac:dyDescent="0.25">
      <c r="A681" s="214"/>
      <c r="B681" s="215" t="s">
        <v>1822</v>
      </c>
      <c r="C681" s="215" t="s">
        <v>1823</v>
      </c>
      <c r="D681" s="215" t="s">
        <v>1847</v>
      </c>
      <c r="E681" s="215" t="s">
        <v>1825</v>
      </c>
      <c r="F681" s="215" t="s">
        <v>1836</v>
      </c>
      <c r="G681" s="215" t="s">
        <v>140</v>
      </c>
      <c r="H681" s="216" t="s">
        <v>2515</v>
      </c>
      <c r="I681" s="217"/>
      <c r="J681" s="217"/>
      <c r="K681" s="217"/>
      <c r="L681" s="217"/>
      <c r="M681" s="217"/>
      <c r="N681" s="217"/>
      <c r="O681" s="217"/>
      <c r="P681" s="217"/>
      <c r="Q681" s="218"/>
    </row>
    <row r="682" spans="1:17" s="213" customFormat="1" hidden="1" x14ac:dyDescent="0.25">
      <c r="A682" s="208" t="s">
        <v>1905</v>
      </c>
      <c r="B682" s="209" t="s">
        <v>1822</v>
      </c>
      <c r="C682" s="209" t="s">
        <v>1823</v>
      </c>
      <c r="D682" s="209" t="s">
        <v>1847</v>
      </c>
      <c r="E682" s="209" t="s">
        <v>1836</v>
      </c>
      <c r="F682" s="209"/>
      <c r="G682" s="209"/>
      <c r="H682" s="210" t="s">
        <v>2516</v>
      </c>
      <c r="I682" s="211">
        <f>I683</f>
        <v>0</v>
      </c>
      <c r="J682" s="211">
        <f t="shared" ref="J682:P682" si="84">J683</f>
        <v>0</v>
      </c>
      <c r="K682" s="211">
        <f t="shared" si="84"/>
        <v>0</v>
      </c>
      <c r="L682" s="211">
        <f t="shared" si="84"/>
        <v>0</v>
      </c>
      <c r="M682" s="211">
        <f t="shared" si="84"/>
        <v>0</v>
      </c>
      <c r="N682" s="211">
        <f t="shared" si="84"/>
        <v>0</v>
      </c>
      <c r="O682" s="211">
        <f t="shared" si="84"/>
        <v>0</v>
      </c>
      <c r="P682" s="211">
        <f t="shared" si="84"/>
        <v>0</v>
      </c>
      <c r="Q682" s="212"/>
    </row>
    <row r="683" spans="1:17" s="213" customFormat="1" hidden="1" x14ac:dyDescent="0.25">
      <c r="A683" s="208" t="s">
        <v>263</v>
      </c>
      <c r="B683" s="209" t="s">
        <v>1822</v>
      </c>
      <c r="C683" s="209" t="s">
        <v>1823</v>
      </c>
      <c r="D683" s="209" t="s">
        <v>1847</v>
      </c>
      <c r="E683" s="209" t="s">
        <v>1836</v>
      </c>
      <c r="F683" s="209" t="s">
        <v>1825</v>
      </c>
      <c r="G683" s="209"/>
      <c r="H683" s="210" t="s">
        <v>2517</v>
      </c>
      <c r="I683" s="211">
        <f>SUM(I684:I687)</f>
        <v>0</v>
      </c>
      <c r="J683" s="211">
        <f t="shared" ref="J683:P683" si="85">SUM(J684:J687)</f>
        <v>0</v>
      </c>
      <c r="K683" s="211">
        <f t="shared" si="85"/>
        <v>0</v>
      </c>
      <c r="L683" s="211">
        <f t="shared" si="85"/>
        <v>0</v>
      </c>
      <c r="M683" s="211">
        <f t="shared" si="85"/>
        <v>0</v>
      </c>
      <c r="N683" s="211">
        <f t="shared" si="85"/>
        <v>0</v>
      </c>
      <c r="O683" s="211">
        <f t="shared" si="85"/>
        <v>0</v>
      </c>
      <c r="P683" s="211">
        <f t="shared" si="85"/>
        <v>0</v>
      </c>
      <c r="Q683" s="212"/>
    </row>
    <row r="684" spans="1:17" s="219" customFormat="1" hidden="1" x14ac:dyDescent="0.25">
      <c r="A684" s="214"/>
      <c r="B684" s="215" t="s">
        <v>1822</v>
      </c>
      <c r="C684" s="215" t="s">
        <v>1823</v>
      </c>
      <c r="D684" s="215" t="s">
        <v>1847</v>
      </c>
      <c r="E684" s="215" t="s">
        <v>1836</v>
      </c>
      <c r="F684" s="215" t="s">
        <v>1825</v>
      </c>
      <c r="G684" s="215" t="s">
        <v>58</v>
      </c>
      <c r="H684" s="216" t="s">
        <v>2518</v>
      </c>
      <c r="I684" s="217"/>
      <c r="J684" s="217"/>
      <c r="K684" s="217"/>
      <c r="L684" s="217"/>
      <c r="M684" s="217"/>
      <c r="N684" s="217"/>
      <c r="O684" s="217"/>
      <c r="P684" s="217"/>
      <c r="Q684" s="218"/>
    </row>
    <row r="685" spans="1:17" s="219" customFormat="1" hidden="1" x14ac:dyDescent="0.25">
      <c r="A685" s="214"/>
      <c r="B685" s="215" t="s">
        <v>1822</v>
      </c>
      <c r="C685" s="215" t="s">
        <v>1823</v>
      </c>
      <c r="D685" s="215" t="s">
        <v>1847</v>
      </c>
      <c r="E685" s="215" t="s">
        <v>1836</v>
      </c>
      <c r="F685" s="215" t="s">
        <v>1825</v>
      </c>
      <c r="G685" s="215" t="s">
        <v>75</v>
      </c>
      <c r="H685" s="216" t="s">
        <v>2519</v>
      </c>
      <c r="I685" s="217"/>
      <c r="J685" s="217"/>
      <c r="K685" s="217"/>
      <c r="L685" s="217"/>
      <c r="M685" s="217"/>
      <c r="N685" s="217"/>
      <c r="O685" s="217"/>
      <c r="P685" s="217"/>
      <c r="Q685" s="218"/>
    </row>
    <row r="686" spans="1:17" s="219" customFormat="1" hidden="1" x14ac:dyDescent="0.25">
      <c r="A686" s="214"/>
      <c r="B686" s="215" t="s">
        <v>1822</v>
      </c>
      <c r="C686" s="215" t="s">
        <v>1823</v>
      </c>
      <c r="D686" s="215" t="s">
        <v>1847</v>
      </c>
      <c r="E686" s="215" t="s">
        <v>1836</v>
      </c>
      <c r="F686" s="215" t="s">
        <v>1825</v>
      </c>
      <c r="G686" s="215" t="s">
        <v>79</v>
      </c>
      <c r="H686" s="216" t="s">
        <v>2520</v>
      </c>
      <c r="I686" s="217"/>
      <c r="J686" s="217"/>
      <c r="K686" s="217"/>
      <c r="L686" s="217"/>
      <c r="M686" s="217"/>
      <c r="N686" s="217"/>
      <c r="O686" s="217"/>
      <c r="P686" s="217"/>
      <c r="Q686" s="218"/>
    </row>
    <row r="687" spans="1:17" s="219" customFormat="1" ht="30" hidden="1" x14ac:dyDescent="0.25">
      <c r="A687" s="214"/>
      <c r="B687" s="215" t="s">
        <v>1822</v>
      </c>
      <c r="C687" s="215" t="s">
        <v>1823</v>
      </c>
      <c r="D687" s="215" t="s">
        <v>1847</v>
      </c>
      <c r="E687" s="215" t="s">
        <v>1836</v>
      </c>
      <c r="F687" s="215" t="s">
        <v>1825</v>
      </c>
      <c r="G687" s="215" t="s">
        <v>84</v>
      </c>
      <c r="H687" s="216" t="s">
        <v>2521</v>
      </c>
      <c r="I687" s="217"/>
      <c r="J687" s="217"/>
      <c r="K687" s="217"/>
      <c r="L687" s="217"/>
      <c r="M687" s="217"/>
      <c r="N687" s="217"/>
      <c r="O687" s="217"/>
      <c r="P687" s="217"/>
      <c r="Q687" s="218"/>
    </row>
    <row r="688" spans="1:17" s="213" customFormat="1" x14ac:dyDescent="0.25">
      <c r="A688" s="208" t="s">
        <v>1938</v>
      </c>
      <c r="B688" s="209" t="s">
        <v>1822</v>
      </c>
      <c r="C688" s="209" t="s">
        <v>1823</v>
      </c>
      <c r="D688" s="209" t="s">
        <v>1847</v>
      </c>
      <c r="E688" s="209" t="s">
        <v>1847</v>
      </c>
      <c r="F688" s="209"/>
      <c r="G688" s="209"/>
      <c r="H688" s="210" t="s">
        <v>2522</v>
      </c>
      <c r="I688" s="211">
        <f>I689</f>
        <v>79800000</v>
      </c>
      <c r="J688" s="211">
        <f t="shared" ref="J688:P688" si="86">J689</f>
        <v>1596000</v>
      </c>
      <c r="K688" s="211">
        <f t="shared" si="86"/>
        <v>798000</v>
      </c>
      <c r="L688" s="211">
        <f t="shared" si="86"/>
        <v>0</v>
      </c>
      <c r="M688" s="211">
        <f t="shared" si="86"/>
        <v>798000</v>
      </c>
      <c r="N688" s="211">
        <f t="shared" si="86"/>
        <v>18354000</v>
      </c>
      <c r="O688" s="211">
        <f t="shared" si="86"/>
        <v>61446000</v>
      </c>
      <c r="P688" s="211">
        <f t="shared" si="86"/>
        <v>0</v>
      </c>
      <c r="Q688" s="212"/>
    </row>
    <row r="689" spans="1:17" s="213" customFormat="1" x14ac:dyDescent="0.25">
      <c r="A689" s="208" t="s">
        <v>263</v>
      </c>
      <c r="B689" s="209" t="s">
        <v>1822</v>
      </c>
      <c r="C689" s="209" t="s">
        <v>1823</v>
      </c>
      <c r="D689" s="209" t="s">
        <v>1847</v>
      </c>
      <c r="E689" s="209" t="s">
        <v>1847</v>
      </c>
      <c r="F689" s="209" t="s">
        <v>1825</v>
      </c>
      <c r="G689" s="209"/>
      <c r="H689" s="210" t="s">
        <v>2523</v>
      </c>
      <c r="I689" s="211">
        <f>SUM(I690:I694)</f>
        <v>79800000</v>
      </c>
      <c r="J689" s="211">
        <f t="shared" ref="J689:P689" si="87">SUM(J690:J694)</f>
        <v>1596000</v>
      </c>
      <c r="K689" s="211">
        <f t="shared" si="87"/>
        <v>798000</v>
      </c>
      <c r="L689" s="211">
        <f t="shared" si="87"/>
        <v>0</v>
      </c>
      <c r="M689" s="211">
        <f t="shared" si="87"/>
        <v>798000</v>
      </c>
      <c r="N689" s="211">
        <f t="shared" si="87"/>
        <v>18354000</v>
      </c>
      <c r="O689" s="211">
        <f t="shared" si="87"/>
        <v>61446000</v>
      </c>
      <c r="P689" s="211">
        <f t="shared" si="87"/>
        <v>0</v>
      </c>
      <c r="Q689" s="212"/>
    </row>
    <row r="690" spans="1:17" s="219" customFormat="1" ht="30" hidden="1" x14ac:dyDescent="0.25">
      <c r="A690" s="214"/>
      <c r="B690" s="215" t="s">
        <v>1822</v>
      </c>
      <c r="C690" s="215" t="s">
        <v>1823</v>
      </c>
      <c r="D690" s="215" t="s">
        <v>1847</v>
      </c>
      <c r="E690" s="215" t="s">
        <v>1847</v>
      </c>
      <c r="F690" s="215" t="s">
        <v>1825</v>
      </c>
      <c r="G690" s="215" t="s">
        <v>58</v>
      </c>
      <c r="H690" s="216" t="s">
        <v>2524</v>
      </c>
      <c r="I690" s="217"/>
      <c r="J690" s="217"/>
      <c r="K690" s="217"/>
      <c r="L690" s="217"/>
      <c r="M690" s="217"/>
      <c r="N690" s="217"/>
      <c r="O690" s="217"/>
      <c r="P690" s="217"/>
      <c r="Q690" s="218"/>
    </row>
    <row r="691" spans="1:17" s="219" customFormat="1" ht="30" hidden="1" x14ac:dyDescent="0.25">
      <c r="A691" s="214"/>
      <c r="B691" s="215" t="s">
        <v>1822</v>
      </c>
      <c r="C691" s="215" t="s">
        <v>1823</v>
      </c>
      <c r="D691" s="215" t="s">
        <v>1847</v>
      </c>
      <c r="E691" s="215" t="s">
        <v>1847</v>
      </c>
      <c r="F691" s="215" t="s">
        <v>1825</v>
      </c>
      <c r="G691" s="215" t="s">
        <v>75</v>
      </c>
      <c r="H691" s="216" t="s">
        <v>2525</v>
      </c>
      <c r="I691" s="217"/>
      <c r="J691" s="217"/>
      <c r="K691" s="217"/>
      <c r="L691" s="217"/>
      <c r="M691" s="217"/>
      <c r="N691" s="217"/>
      <c r="O691" s="217"/>
      <c r="P691" s="217"/>
      <c r="Q691" s="218"/>
    </row>
    <row r="692" spans="1:17" s="219" customFormat="1" hidden="1" x14ac:dyDescent="0.25">
      <c r="A692" s="214"/>
      <c r="B692" s="215" t="s">
        <v>1822</v>
      </c>
      <c r="C692" s="215" t="s">
        <v>1823</v>
      </c>
      <c r="D692" s="215" t="s">
        <v>1847</v>
      </c>
      <c r="E692" s="215" t="s">
        <v>1847</v>
      </c>
      <c r="F692" s="215" t="s">
        <v>1825</v>
      </c>
      <c r="G692" s="215" t="s">
        <v>79</v>
      </c>
      <c r="H692" s="216" t="s">
        <v>2526</v>
      </c>
      <c r="I692" s="217"/>
      <c r="J692" s="217"/>
      <c r="K692" s="217"/>
      <c r="L692" s="217"/>
      <c r="M692" s="217"/>
      <c r="N692" s="217"/>
      <c r="O692" s="217"/>
      <c r="P692" s="217"/>
      <c r="Q692" s="218"/>
    </row>
    <row r="693" spans="1:17" s="219" customFormat="1" hidden="1" x14ac:dyDescent="0.25">
      <c r="A693" s="214"/>
      <c r="B693" s="215" t="s">
        <v>1822</v>
      </c>
      <c r="C693" s="215" t="s">
        <v>1823</v>
      </c>
      <c r="D693" s="215" t="s">
        <v>1847</v>
      </c>
      <c r="E693" s="215" t="s">
        <v>1847</v>
      </c>
      <c r="F693" s="215" t="s">
        <v>1825</v>
      </c>
      <c r="G693" s="215" t="s">
        <v>84</v>
      </c>
      <c r="H693" s="216" t="s">
        <v>2527</v>
      </c>
      <c r="I693" s="217"/>
      <c r="J693" s="217"/>
      <c r="K693" s="217"/>
      <c r="L693" s="217"/>
      <c r="M693" s="217"/>
      <c r="N693" s="217"/>
      <c r="O693" s="217"/>
      <c r="P693" s="217"/>
      <c r="Q693" s="218"/>
    </row>
    <row r="694" spans="1:17" s="219" customFormat="1" ht="30" x14ac:dyDescent="0.25">
      <c r="A694" s="214"/>
      <c r="B694" s="215" t="s">
        <v>1822</v>
      </c>
      <c r="C694" s="215" t="s">
        <v>1823</v>
      </c>
      <c r="D694" s="215" t="s">
        <v>1847</v>
      </c>
      <c r="E694" s="215" t="s">
        <v>1847</v>
      </c>
      <c r="F694" s="215" t="s">
        <v>1825</v>
      </c>
      <c r="G694" s="215" t="s">
        <v>88</v>
      </c>
      <c r="H694" s="216" t="s">
        <v>2528</v>
      </c>
      <c r="I694" s="217">
        <v>79800000</v>
      </c>
      <c r="J694" s="217">
        <v>1596000</v>
      </c>
      <c r="K694" s="217">
        <v>798000</v>
      </c>
      <c r="L694" s="217"/>
      <c r="M694" s="217">
        <v>798000</v>
      </c>
      <c r="N694" s="217">
        <v>18354000</v>
      </c>
      <c r="O694" s="217">
        <v>61446000</v>
      </c>
      <c r="P694" s="217"/>
      <c r="Q694" s="218"/>
    </row>
    <row r="695" spans="1:17" s="213" customFormat="1" x14ac:dyDescent="0.25">
      <c r="A695" s="208" t="s">
        <v>1984</v>
      </c>
      <c r="B695" s="209" t="s">
        <v>1822</v>
      </c>
      <c r="C695" s="209" t="s">
        <v>1823</v>
      </c>
      <c r="D695" s="209" t="s">
        <v>1847</v>
      </c>
      <c r="E695" s="209" t="s">
        <v>1928</v>
      </c>
      <c r="F695" s="209"/>
      <c r="G695" s="209"/>
      <c r="H695" s="210" t="s">
        <v>2529</v>
      </c>
      <c r="I695" s="211">
        <f>I696</f>
        <v>0</v>
      </c>
      <c r="J695" s="211">
        <f t="shared" ref="J695:P695" si="88">J696</f>
        <v>0</v>
      </c>
      <c r="K695" s="211">
        <f t="shared" si="88"/>
        <v>0</v>
      </c>
      <c r="L695" s="211">
        <f t="shared" si="88"/>
        <v>0</v>
      </c>
      <c r="M695" s="211">
        <f t="shared" si="88"/>
        <v>0</v>
      </c>
      <c r="N695" s="211">
        <f t="shared" si="88"/>
        <v>0</v>
      </c>
      <c r="O695" s="211">
        <f t="shared" si="88"/>
        <v>0</v>
      </c>
      <c r="P695" s="211">
        <f t="shared" si="88"/>
        <v>0</v>
      </c>
      <c r="Q695" s="212"/>
    </row>
    <row r="696" spans="1:17" s="213" customFormat="1" hidden="1" x14ac:dyDescent="0.25">
      <c r="A696" s="208" t="s">
        <v>263</v>
      </c>
      <c r="B696" s="209" t="s">
        <v>1822</v>
      </c>
      <c r="C696" s="209" t="s">
        <v>1823</v>
      </c>
      <c r="D696" s="209" t="s">
        <v>1847</v>
      </c>
      <c r="E696" s="209" t="s">
        <v>1928</v>
      </c>
      <c r="F696" s="209" t="s">
        <v>1825</v>
      </c>
      <c r="G696" s="209"/>
      <c r="H696" s="210" t="s">
        <v>2530</v>
      </c>
      <c r="I696" s="211">
        <f>SUM(I697:I701)</f>
        <v>0</v>
      </c>
      <c r="J696" s="211">
        <f t="shared" ref="J696:P696" si="89">SUM(J697:J701)</f>
        <v>0</v>
      </c>
      <c r="K696" s="211">
        <f t="shared" si="89"/>
        <v>0</v>
      </c>
      <c r="L696" s="211">
        <f t="shared" si="89"/>
        <v>0</v>
      </c>
      <c r="M696" s="211">
        <f t="shared" si="89"/>
        <v>0</v>
      </c>
      <c r="N696" s="211">
        <f t="shared" si="89"/>
        <v>0</v>
      </c>
      <c r="O696" s="211">
        <f t="shared" si="89"/>
        <v>0</v>
      </c>
      <c r="P696" s="211">
        <f t="shared" si="89"/>
        <v>0</v>
      </c>
      <c r="Q696" s="212"/>
    </row>
    <row r="697" spans="1:17" s="219" customFormat="1" hidden="1" x14ac:dyDescent="0.25">
      <c r="A697" s="214"/>
      <c r="B697" s="215" t="s">
        <v>1822</v>
      </c>
      <c r="C697" s="215" t="s">
        <v>1823</v>
      </c>
      <c r="D697" s="215" t="s">
        <v>1847</v>
      </c>
      <c r="E697" s="215" t="s">
        <v>1928</v>
      </c>
      <c r="F697" s="215" t="s">
        <v>1825</v>
      </c>
      <c r="G697" s="215" t="s">
        <v>58</v>
      </c>
      <c r="H697" s="216" t="s">
        <v>2531</v>
      </c>
      <c r="I697" s="217"/>
      <c r="J697" s="217"/>
      <c r="K697" s="217"/>
      <c r="L697" s="217"/>
      <c r="M697" s="217"/>
      <c r="N697" s="217"/>
      <c r="O697" s="217"/>
      <c r="P697" s="217"/>
      <c r="Q697" s="218"/>
    </row>
    <row r="698" spans="1:17" s="219" customFormat="1" hidden="1" x14ac:dyDescent="0.25">
      <c r="A698" s="214"/>
      <c r="B698" s="215" t="s">
        <v>1822</v>
      </c>
      <c r="C698" s="215" t="s">
        <v>1823</v>
      </c>
      <c r="D698" s="215" t="s">
        <v>1847</v>
      </c>
      <c r="E698" s="215" t="s">
        <v>1928</v>
      </c>
      <c r="F698" s="215" t="s">
        <v>1825</v>
      </c>
      <c r="G698" s="215" t="s">
        <v>75</v>
      </c>
      <c r="H698" s="216" t="s">
        <v>2532</v>
      </c>
      <c r="I698" s="217"/>
      <c r="J698" s="217"/>
      <c r="K698" s="217"/>
      <c r="L698" s="217"/>
      <c r="M698" s="217"/>
      <c r="N698" s="217"/>
      <c r="O698" s="217"/>
      <c r="P698" s="217"/>
      <c r="Q698" s="218"/>
    </row>
    <row r="699" spans="1:17" s="219" customFormat="1" hidden="1" x14ac:dyDescent="0.25">
      <c r="A699" s="214"/>
      <c r="B699" s="215" t="s">
        <v>1822</v>
      </c>
      <c r="C699" s="215" t="s">
        <v>1823</v>
      </c>
      <c r="D699" s="215" t="s">
        <v>1847</v>
      </c>
      <c r="E699" s="215" t="s">
        <v>1928</v>
      </c>
      <c r="F699" s="215" t="s">
        <v>1825</v>
      </c>
      <c r="G699" s="215" t="s">
        <v>79</v>
      </c>
      <c r="H699" s="216" t="s">
        <v>2533</v>
      </c>
      <c r="I699" s="217"/>
      <c r="J699" s="217"/>
      <c r="K699" s="217"/>
      <c r="L699" s="217"/>
      <c r="M699" s="217"/>
      <c r="N699" s="217"/>
      <c r="O699" s="217"/>
      <c r="P699" s="217"/>
      <c r="Q699" s="218"/>
    </row>
    <row r="700" spans="1:17" s="219" customFormat="1" hidden="1" x14ac:dyDescent="0.25">
      <c r="A700" s="214"/>
      <c r="B700" s="215" t="s">
        <v>1822</v>
      </c>
      <c r="C700" s="215" t="s">
        <v>1823</v>
      </c>
      <c r="D700" s="215" t="s">
        <v>1847</v>
      </c>
      <c r="E700" s="215" t="s">
        <v>1928</v>
      </c>
      <c r="F700" s="215" t="s">
        <v>1825</v>
      </c>
      <c r="G700" s="215" t="s">
        <v>84</v>
      </c>
      <c r="H700" s="216" t="s">
        <v>2534</v>
      </c>
      <c r="I700" s="217"/>
      <c r="J700" s="217"/>
      <c r="K700" s="217"/>
      <c r="L700" s="217"/>
      <c r="M700" s="217"/>
      <c r="N700" s="217"/>
      <c r="O700" s="217"/>
      <c r="P700" s="217"/>
      <c r="Q700" s="218"/>
    </row>
    <row r="701" spans="1:17" s="219" customFormat="1" hidden="1" x14ac:dyDescent="0.25">
      <c r="A701" s="214"/>
      <c r="B701" s="215" t="s">
        <v>1822</v>
      </c>
      <c r="C701" s="215" t="s">
        <v>1823</v>
      </c>
      <c r="D701" s="215" t="s">
        <v>1847</v>
      </c>
      <c r="E701" s="215" t="s">
        <v>1928</v>
      </c>
      <c r="F701" s="215" t="s">
        <v>1825</v>
      </c>
      <c r="G701" s="215" t="s">
        <v>88</v>
      </c>
      <c r="H701" s="216" t="s">
        <v>2535</v>
      </c>
      <c r="I701" s="217"/>
      <c r="J701" s="217"/>
      <c r="K701" s="217"/>
      <c r="L701" s="217"/>
      <c r="M701" s="217"/>
      <c r="N701" s="217"/>
      <c r="O701" s="217"/>
      <c r="P701" s="217"/>
      <c r="Q701" s="218"/>
    </row>
    <row r="702" spans="1:17" s="339" customFormat="1" x14ac:dyDescent="0.25">
      <c r="A702" s="337"/>
      <c r="B702" s="338"/>
      <c r="C702" s="340"/>
      <c r="D702" s="340"/>
      <c r="E702" s="340"/>
      <c r="F702" s="340"/>
      <c r="G702" s="333"/>
      <c r="H702" s="335"/>
      <c r="I702" s="226"/>
      <c r="J702" s="226"/>
      <c r="K702" s="226"/>
      <c r="L702" s="226"/>
      <c r="M702" s="226"/>
      <c r="N702" s="226"/>
      <c r="O702" s="226"/>
      <c r="P702" s="226"/>
    </row>
    <row r="703" spans="1:17" s="339" customFormat="1" x14ac:dyDescent="0.25">
      <c r="A703" s="337">
        <v>4</v>
      </c>
      <c r="B703" s="338">
        <v>4</v>
      </c>
      <c r="C703" s="333" t="s">
        <v>1928</v>
      </c>
      <c r="D703" s="333"/>
      <c r="E703" s="333"/>
      <c r="F703" s="333"/>
      <c r="G703" s="333"/>
      <c r="H703" s="335" t="s">
        <v>2536</v>
      </c>
      <c r="I703" s="230">
        <f>SUM(I704+I730+I789+I844)</f>
        <v>1749770100</v>
      </c>
      <c r="J703" s="230">
        <f t="shared" ref="J703:P703" si="90">SUM(J704+J730+J789+J844)</f>
        <v>43087151.180672273</v>
      </c>
      <c r="K703" s="230">
        <f t="shared" si="90"/>
        <v>20656275.590336137</v>
      </c>
      <c r="L703" s="230">
        <f t="shared" si="90"/>
        <v>0</v>
      </c>
      <c r="M703" s="230">
        <f t="shared" si="90"/>
        <v>20656275.590336137</v>
      </c>
      <c r="N703" s="230">
        <f t="shared" si="90"/>
        <v>349291249.89705884</v>
      </c>
      <c r="O703" s="230">
        <f t="shared" si="90"/>
        <v>1400478850.102941</v>
      </c>
      <c r="P703" s="230">
        <f t="shared" si="90"/>
        <v>0</v>
      </c>
    </row>
    <row r="704" spans="1:17" s="213" customFormat="1" x14ac:dyDescent="0.25">
      <c r="A704" s="208" t="s">
        <v>1827</v>
      </c>
      <c r="B704" s="209" t="s">
        <v>1822</v>
      </c>
      <c r="C704" s="209" t="s">
        <v>1823</v>
      </c>
      <c r="D704" s="209" t="s">
        <v>1928</v>
      </c>
      <c r="E704" s="209" t="s">
        <v>1825</v>
      </c>
      <c r="F704" s="209"/>
      <c r="G704" s="209"/>
      <c r="H704" s="210" t="s">
        <v>2537</v>
      </c>
      <c r="I704" s="211">
        <f>SUM(I705+I716)</f>
        <v>0</v>
      </c>
      <c r="J704" s="211">
        <f t="shared" ref="J704:P704" si="91">SUM(J705+J716)</f>
        <v>0</v>
      </c>
      <c r="K704" s="211">
        <f t="shared" si="91"/>
        <v>0</v>
      </c>
      <c r="L704" s="211">
        <f t="shared" si="91"/>
        <v>0</v>
      </c>
      <c r="M704" s="211">
        <f t="shared" si="91"/>
        <v>0</v>
      </c>
      <c r="N704" s="211">
        <f t="shared" si="91"/>
        <v>0</v>
      </c>
      <c r="O704" s="211">
        <f t="shared" si="91"/>
        <v>0</v>
      </c>
      <c r="P704" s="211">
        <f t="shared" si="91"/>
        <v>0</v>
      </c>
      <c r="Q704" s="212"/>
    </row>
    <row r="705" spans="1:17" s="213" customFormat="1" hidden="1" x14ac:dyDescent="0.25">
      <c r="A705" s="208" t="s">
        <v>263</v>
      </c>
      <c r="B705" s="209" t="s">
        <v>1822</v>
      </c>
      <c r="C705" s="209" t="s">
        <v>1823</v>
      </c>
      <c r="D705" s="209" t="s">
        <v>1928</v>
      </c>
      <c r="E705" s="209" t="s">
        <v>1825</v>
      </c>
      <c r="F705" s="209" t="s">
        <v>1825</v>
      </c>
      <c r="G705" s="209"/>
      <c r="H705" s="210" t="s">
        <v>2538</v>
      </c>
      <c r="I705" s="211">
        <f>SUM(I706:I715)</f>
        <v>0</v>
      </c>
      <c r="J705" s="211">
        <f t="shared" ref="J705:P705" si="92">SUM(J706:J715)</f>
        <v>0</v>
      </c>
      <c r="K705" s="211">
        <f t="shared" si="92"/>
        <v>0</v>
      </c>
      <c r="L705" s="211">
        <f t="shared" si="92"/>
        <v>0</v>
      </c>
      <c r="M705" s="211">
        <f t="shared" si="92"/>
        <v>0</v>
      </c>
      <c r="N705" s="211">
        <f t="shared" si="92"/>
        <v>0</v>
      </c>
      <c r="O705" s="211">
        <f t="shared" si="92"/>
        <v>0</v>
      </c>
      <c r="P705" s="211">
        <f t="shared" si="92"/>
        <v>0</v>
      </c>
      <c r="Q705" s="212"/>
    </row>
    <row r="706" spans="1:17" s="219" customFormat="1" hidden="1" x14ac:dyDescent="0.25">
      <c r="A706" s="214"/>
      <c r="B706" s="215" t="s">
        <v>1822</v>
      </c>
      <c r="C706" s="215" t="s">
        <v>1823</v>
      </c>
      <c r="D706" s="215" t="s">
        <v>1928</v>
      </c>
      <c r="E706" s="215" t="s">
        <v>1825</v>
      </c>
      <c r="F706" s="215" t="s">
        <v>1825</v>
      </c>
      <c r="G706" s="215" t="s">
        <v>58</v>
      </c>
      <c r="H706" s="216" t="s">
        <v>2539</v>
      </c>
      <c r="I706" s="217"/>
      <c r="J706" s="217"/>
      <c r="K706" s="217"/>
      <c r="L706" s="217"/>
      <c r="M706" s="217"/>
      <c r="N706" s="217"/>
      <c r="O706" s="217"/>
      <c r="P706" s="217"/>
      <c r="Q706" s="218"/>
    </row>
    <row r="707" spans="1:17" s="219" customFormat="1" hidden="1" x14ac:dyDescent="0.25">
      <c r="A707" s="214"/>
      <c r="B707" s="215" t="s">
        <v>1822</v>
      </c>
      <c r="C707" s="215" t="s">
        <v>1823</v>
      </c>
      <c r="D707" s="215" t="s">
        <v>1928</v>
      </c>
      <c r="E707" s="215" t="s">
        <v>1825</v>
      </c>
      <c r="F707" s="215" t="s">
        <v>1825</v>
      </c>
      <c r="G707" s="215" t="s">
        <v>75</v>
      </c>
      <c r="H707" s="216" t="s">
        <v>2540</v>
      </c>
      <c r="I707" s="217"/>
      <c r="J707" s="217"/>
      <c r="K707" s="217"/>
      <c r="L707" s="217"/>
      <c r="M707" s="217"/>
      <c r="N707" s="217"/>
      <c r="O707" s="217"/>
      <c r="P707" s="217"/>
      <c r="Q707" s="218"/>
    </row>
    <row r="708" spans="1:17" s="219" customFormat="1" hidden="1" x14ac:dyDescent="0.25">
      <c r="A708" s="214"/>
      <c r="B708" s="215" t="s">
        <v>1822</v>
      </c>
      <c r="C708" s="215" t="s">
        <v>1823</v>
      </c>
      <c r="D708" s="215" t="s">
        <v>1928</v>
      </c>
      <c r="E708" s="215" t="s">
        <v>1825</v>
      </c>
      <c r="F708" s="215" t="s">
        <v>1825</v>
      </c>
      <c r="G708" s="215" t="s">
        <v>79</v>
      </c>
      <c r="H708" s="216" t="s">
        <v>2541</v>
      </c>
      <c r="I708" s="217"/>
      <c r="J708" s="217"/>
      <c r="K708" s="217"/>
      <c r="L708" s="217"/>
      <c r="M708" s="217"/>
      <c r="N708" s="217"/>
      <c r="O708" s="217"/>
      <c r="P708" s="217"/>
      <c r="Q708" s="218"/>
    </row>
    <row r="709" spans="1:17" s="219" customFormat="1" hidden="1" x14ac:dyDescent="0.25">
      <c r="A709" s="214"/>
      <c r="B709" s="215" t="s">
        <v>1822</v>
      </c>
      <c r="C709" s="215" t="s">
        <v>1823</v>
      </c>
      <c r="D709" s="215" t="s">
        <v>1928</v>
      </c>
      <c r="E709" s="215" t="s">
        <v>1825</v>
      </c>
      <c r="F709" s="215" t="s">
        <v>1825</v>
      </c>
      <c r="G709" s="215" t="s">
        <v>84</v>
      </c>
      <c r="H709" s="216" t="s">
        <v>2542</v>
      </c>
      <c r="I709" s="217"/>
      <c r="J709" s="217"/>
      <c r="K709" s="217"/>
      <c r="L709" s="217"/>
      <c r="M709" s="217"/>
      <c r="N709" s="217"/>
      <c r="O709" s="217"/>
      <c r="P709" s="217"/>
      <c r="Q709" s="218"/>
    </row>
    <row r="710" spans="1:17" s="219" customFormat="1" hidden="1" x14ac:dyDescent="0.25">
      <c r="A710" s="214"/>
      <c r="B710" s="215" t="s">
        <v>1822</v>
      </c>
      <c r="C710" s="215" t="s">
        <v>1823</v>
      </c>
      <c r="D710" s="215" t="s">
        <v>1928</v>
      </c>
      <c r="E710" s="215" t="s">
        <v>1825</v>
      </c>
      <c r="F710" s="215" t="s">
        <v>1825</v>
      </c>
      <c r="G710" s="215" t="s">
        <v>88</v>
      </c>
      <c r="H710" s="216" t="s">
        <v>2543</v>
      </c>
      <c r="I710" s="217"/>
      <c r="J710" s="217"/>
      <c r="K710" s="217"/>
      <c r="L710" s="217"/>
      <c r="M710" s="217"/>
      <c r="N710" s="217"/>
      <c r="O710" s="217"/>
      <c r="P710" s="217"/>
      <c r="Q710" s="218"/>
    </row>
    <row r="711" spans="1:17" s="219" customFormat="1" hidden="1" x14ac:dyDescent="0.25">
      <c r="A711" s="214"/>
      <c r="B711" s="215" t="s">
        <v>1822</v>
      </c>
      <c r="C711" s="215" t="s">
        <v>1823</v>
      </c>
      <c r="D711" s="215" t="s">
        <v>1928</v>
      </c>
      <c r="E711" s="215" t="s">
        <v>1825</v>
      </c>
      <c r="F711" s="215" t="s">
        <v>1825</v>
      </c>
      <c r="G711" s="215" t="s">
        <v>92</v>
      </c>
      <c r="H711" s="216" t="s">
        <v>2544</v>
      </c>
      <c r="I711" s="217"/>
      <c r="J711" s="217"/>
      <c r="K711" s="217"/>
      <c r="L711" s="217"/>
      <c r="M711" s="217"/>
      <c r="N711" s="217"/>
      <c r="O711" s="217"/>
      <c r="P711" s="217"/>
      <c r="Q711" s="218"/>
    </row>
    <row r="712" spans="1:17" s="219" customFormat="1" hidden="1" x14ac:dyDescent="0.25">
      <c r="A712" s="214"/>
      <c r="B712" s="215" t="s">
        <v>1822</v>
      </c>
      <c r="C712" s="215" t="s">
        <v>1823</v>
      </c>
      <c r="D712" s="215" t="s">
        <v>1928</v>
      </c>
      <c r="E712" s="215" t="s">
        <v>1825</v>
      </c>
      <c r="F712" s="215" t="s">
        <v>1825</v>
      </c>
      <c r="G712" s="215" t="s">
        <v>96</v>
      </c>
      <c r="H712" s="216" t="s">
        <v>2545</v>
      </c>
      <c r="I712" s="217"/>
      <c r="J712" s="217"/>
      <c r="K712" s="217"/>
      <c r="L712" s="217"/>
      <c r="M712" s="217"/>
      <c r="N712" s="217"/>
      <c r="O712" s="217"/>
      <c r="P712" s="217"/>
      <c r="Q712" s="218"/>
    </row>
    <row r="713" spans="1:17" s="219" customFormat="1" hidden="1" x14ac:dyDescent="0.25">
      <c r="A713" s="214"/>
      <c r="B713" s="215" t="s">
        <v>1822</v>
      </c>
      <c r="C713" s="215" t="s">
        <v>1823</v>
      </c>
      <c r="D713" s="215" t="s">
        <v>1928</v>
      </c>
      <c r="E713" s="215" t="s">
        <v>1825</v>
      </c>
      <c r="F713" s="215" t="s">
        <v>1825</v>
      </c>
      <c r="G713" s="215" t="s">
        <v>100</v>
      </c>
      <c r="H713" s="216" t="s">
        <v>2546</v>
      </c>
      <c r="I713" s="217"/>
      <c r="J713" s="217"/>
      <c r="K713" s="217"/>
      <c r="L713" s="217"/>
      <c r="M713" s="217"/>
      <c r="N713" s="217"/>
      <c r="O713" s="217"/>
      <c r="P713" s="217"/>
      <c r="Q713" s="218"/>
    </row>
    <row r="714" spans="1:17" s="219" customFormat="1" hidden="1" x14ac:dyDescent="0.25">
      <c r="A714" s="214"/>
      <c r="B714" s="215" t="s">
        <v>1822</v>
      </c>
      <c r="C714" s="215" t="s">
        <v>1823</v>
      </c>
      <c r="D714" s="215" t="s">
        <v>1928</v>
      </c>
      <c r="E714" s="215" t="s">
        <v>1825</v>
      </c>
      <c r="F714" s="215" t="s">
        <v>1825</v>
      </c>
      <c r="G714" s="215" t="s">
        <v>105</v>
      </c>
      <c r="H714" s="216" t="s">
        <v>2547</v>
      </c>
      <c r="I714" s="217"/>
      <c r="J714" s="217"/>
      <c r="K714" s="217"/>
      <c r="L714" s="217"/>
      <c r="M714" s="217"/>
      <c r="N714" s="217"/>
      <c r="O714" s="217"/>
      <c r="P714" s="217"/>
      <c r="Q714" s="218"/>
    </row>
    <row r="715" spans="1:17" s="219" customFormat="1" hidden="1" x14ac:dyDescent="0.25">
      <c r="A715" s="214"/>
      <c r="B715" s="215" t="s">
        <v>1822</v>
      </c>
      <c r="C715" s="215" t="s">
        <v>1823</v>
      </c>
      <c r="D715" s="215" t="s">
        <v>1928</v>
      </c>
      <c r="E715" s="215" t="s">
        <v>1825</v>
      </c>
      <c r="F715" s="215" t="s">
        <v>1825</v>
      </c>
      <c r="G715" s="215" t="s">
        <v>108</v>
      </c>
      <c r="H715" s="216" t="s">
        <v>2548</v>
      </c>
      <c r="I715" s="217"/>
      <c r="J715" s="217"/>
      <c r="K715" s="217"/>
      <c r="L715" s="217"/>
      <c r="M715" s="217"/>
      <c r="N715" s="217"/>
      <c r="O715" s="217"/>
      <c r="P715" s="217"/>
      <c r="Q715" s="218"/>
    </row>
    <row r="716" spans="1:17" s="213" customFormat="1" hidden="1" x14ac:dyDescent="0.25">
      <c r="A716" s="208" t="s">
        <v>263</v>
      </c>
      <c r="B716" s="209" t="s">
        <v>1822</v>
      </c>
      <c r="C716" s="209" t="s">
        <v>1823</v>
      </c>
      <c r="D716" s="209" t="s">
        <v>1928</v>
      </c>
      <c r="E716" s="209" t="s">
        <v>1825</v>
      </c>
      <c r="F716" s="209" t="s">
        <v>1836</v>
      </c>
      <c r="G716" s="209"/>
      <c r="H716" s="210" t="s">
        <v>2549</v>
      </c>
      <c r="I716" s="211">
        <f>SUM(I717:I729)</f>
        <v>0</v>
      </c>
      <c r="J716" s="211">
        <f t="shared" ref="J716:P716" si="93">SUM(J717:J729)</f>
        <v>0</v>
      </c>
      <c r="K716" s="211">
        <f t="shared" si="93"/>
        <v>0</v>
      </c>
      <c r="L716" s="211">
        <f t="shared" si="93"/>
        <v>0</v>
      </c>
      <c r="M716" s="211">
        <f t="shared" si="93"/>
        <v>0</v>
      </c>
      <c r="N716" s="211">
        <f t="shared" si="93"/>
        <v>0</v>
      </c>
      <c r="O716" s="211">
        <f t="shared" si="93"/>
        <v>0</v>
      </c>
      <c r="P716" s="211">
        <f t="shared" si="93"/>
        <v>0</v>
      </c>
      <c r="Q716" s="212"/>
    </row>
    <row r="717" spans="1:17" s="219" customFormat="1" hidden="1" x14ac:dyDescent="0.25">
      <c r="A717" s="214"/>
      <c r="B717" s="215" t="s">
        <v>1822</v>
      </c>
      <c r="C717" s="215" t="s">
        <v>1823</v>
      </c>
      <c r="D717" s="215" t="s">
        <v>1928</v>
      </c>
      <c r="E717" s="215" t="s">
        <v>1825</v>
      </c>
      <c r="F717" s="215" t="s">
        <v>1836</v>
      </c>
      <c r="G717" s="215" t="s">
        <v>58</v>
      </c>
      <c r="H717" s="216" t="s">
        <v>2550</v>
      </c>
      <c r="I717" s="217"/>
      <c r="J717" s="217"/>
      <c r="K717" s="217"/>
      <c r="L717" s="217"/>
      <c r="M717" s="217"/>
      <c r="N717" s="217"/>
      <c r="O717" s="217"/>
      <c r="P717" s="217"/>
      <c r="Q717" s="218"/>
    </row>
    <row r="718" spans="1:17" s="219" customFormat="1" hidden="1" x14ac:dyDescent="0.25">
      <c r="A718" s="214"/>
      <c r="B718" s="215" t="s">
        <v>1822</v>
      </c>
      <c r="C718" s="215" t="s">
        <v>1823</v>
      </c>
      <c r="D718" s="215" t="s">
        <v>1928</v>
      </c>
      <c r="E718" s="215" t="s">
        <v>1825</v>
      </c>
      <c r="F718" s="215" t="s">
        <v>1836</v>
      </c>
      <c r="G718" s="215" t="s">
        <v>75</v>
      </c>
      <c r="H718" s="216" t="s">
        <v>2551</v>
      </c>
      <c r="I718" s="217"/>
      <c r="J718" s="217"/>
      <c r="K718" s="217"/>
      <c r="L718" s="217"/>
      <c r="M718" s="217"/>
      <c r="N718" s="217"/>
      <c r="O718" s="217"/>
      <c r="P718" s="217"/>
      <c r="Q718" s="218"/>
    </row>
    <row r="719" spans="1:17" s="219" customFormat="1" hidden="1" x14ac:dyDescent="0.25">
      <c r="A719" s="214"/>
      <c r="B719" s="215" t="s">
        <v>1822</v>
      </c>
      <c r="C719" s="215" t="s">
        <v>1823</v>
      </c>
      <c r="D719" s="215" t="s">
        <v>1928</v>
      </c>
      <c r="E719" s="215" t="s">
        <v>1825</v>
      </c>
      <c r="F719" s="215" t="s">
        <v>1836</v>
      </c>
      <c r="G719" s="215" t="s">
        <v>79</v>
      </c>
      <c r="H719" s="216" t="s">
        <v>2552</v>
      </c>
      <c r="I719" s="217"/>
      <c r="J719" s="217"/>
      <c r="K719" s="217"/>
      <c r="L719" s="217"/>
      <c r="M719" s="217"/>
      <c r="N719" s="217"/>
      <c r="O719" s="217"/>
      <c r="P719" s="217"/>
      <c r="Q719" s="218"/>
    </row>
    <row r="720" spans="1:17" s="219" customFormat="1" hidden="1" x14ac:dyDescent="0.25">
      <c r="A720" s="214"/>
      <c r="B720" s="215" t="s">
        <v>1822</v>
      </c>
      <c r="C720" s="215" t="s">
        <v>1823</v>
      </c>
      <c r="D720" s="215" t="s">
        <v>1928</v>
      </c>
      <c r="E720" s="215" t="s">
        <v>1825</v>
      </c>
      <c r="F720" s="215" t="s">
        <v>1836</v>
      </c>
      <c r="G720" s="215" t="s">
        <v>84</v>
      </c>
      <c r="H720" s="216" t="s">
        <v>2553</v>
      </c>
      <c r="I720" s="217"/>
      <c r="J720" s="217"/>
      <c r="K720" s="217"/>
      <c r="L720" s="217"/>
      <c r="M720" s="217"/>
      <c r="N720" s="217"/>
      <c r="O720" s="217"/>
      <c r="P720" s="217"/>
      <c r="Q720" s="218"/>
    </row>
    <row r="721" spans="1:17" s="219" customFormat="1" hidden="1" x14ac:dyDescent="0.25">
      <c r="A721" s="214"/>
      <c r="B721" s="215" t="s">
        <v>1822</v>
      </c>
      <c r="C721" s="215" t="s">
        <v>1823</v>
      </c>
      <c r="D721" s="215" t="s">
        <v>1928</v>
      </c>
      <c r="E721" s="215" t="s">
        <v>1825</v>
      </c>
      <c r="F721" s="215" t="s">
        <v>1836</v>
      </c>
      <c r="G721" s="215" t="s">
        <v>88</v>
      </c>
      <c r="H721" s="216" t="s">
        <v>2554</v>
      </c>
      <c r="I721" s="217"/>
      <c r="J721" s="217"/>
      <c r="K721" s="217"/>
      <c r="L721" s="217"/>
      <c r="M721" s="217"/>
      <c r="N721" s="217"/>
      <c r="O721" s="217"/>
      <c r="P721" s="217"/>
      <c r="Q721" s="218"/>
    </row>
    <row r="722" spans="1:17" s="219" customFormat="1" hidden="1" x14ac:dyDescent="0.25">
      <c r="A722" s="214"/>
      <c r="B722" s="215" t="s">
        <v>1822</v>
      </c>
      <c r="C722" s="215" t="s">
        <v>1823</v>
      </c>
      <c r="D722" s="215" t="s">
        <v>1928</v>
      </c>
      <c r="E722" s="215" t="s">
        <v>1825</v>
      </c>
      <c r="F722" s="215" t="s">
        <v>1836</v>
      </c>
      <c r="G722" s="215" t="s">
        <v>92</v>
      </c>
      <c r="H722" s="216" t="s">
        <v>2555</v>
      </c>
      <c r="I722" s="217"/>
      <c r="J722" s="217"/>
      <c r="K722" s="217"/>
      <c r="L722" s="217"/>
      <c r="M722" s="217"/>
      <c r="N722" s="217"/>
      <c r="O722" s="217"/>
      <c r="P722" s="217"/>
      <c r="Q722" s="218"/>
    </row>
    <row r="723" spans="1:17" s="219" customFormat="1" hidden="1" x14ac:dyDescent="0.25">
      <c r="A723" s="214"/>
      <c r="B723" s="215" t="s">
        <v>1822</v>
      </c>
      <c r="C723" s="215" t="s">
        <v>1823</v>
      </c>
      <c r="D723" s="215" t="s">
        <v>1928</v>
      </c>
      <c r="E723" s="215" t="s">
        <v>1825</v>
      </c>
      <c r="F723" s="215" t="s">
        <v>1836</v>
      </c>
      <c r="G723" s="215" t="s">
        <v>96</v>
      </c>
      <c r="H723" s="216" t="s">
        <v>2556</v>
      </c>
      <c r="I723" s="217"/>
      <c r="J723" s="217"/>
      <c r="K723" s="217"/>
      <c r="L723" s="217"/>
      <c r="M723" s="217"/>
      <c r="N723" s="217"/>
      <c r="O723" s="217"/>
      <c r="P723" s="217"/>
      <c r="Q723" s="218"/>
    </row>
    <row r="724" spans="1:17" s="219" customFormat="1" ht="30" hidden="1" x14ac:dyDescent="0.25">
      <c r="A724" s="214"/>
      <c r="B724" s="215" t="s">
        <v>1822</v>
      </c>
      <c r="C724" s="215" t="s">
        <v>1823</v>
      </c>
      <c r="D724" s="215" t="s">
        <v>1928</v>
      </c>
      <c r="E724" s="215" t="s">
        <v>1825</v>
      </c>
      <c r="F724" s="215" t="s">
        <v>1836</v>
      </c>
      <c r="G724" s="215" t="s">
        <v>100</v>
      </c>
      <c r="H724" s="216" t="s">
        <v>2557</v>
      </c>
      <c r="I724" s="217"/>
      <c r="J724" s="217"/>
      <c r="K724" s="217"/>
      <c r="L724" s="217"/>
      <c r="M724" s="217"/>
      <c r="N724" s="217"/>
      <c r="O724" s="217"/>
      <c r="P724" s="217"/>
      <c r="Q724" s="218"/>
    </row>
    <row r="725" spans="1:17" s="219" customFormat="1" hidden="1" x14ac:dyDescent="0.25">
      <c r="A725" s="214"/>
      <c r="B725" s="215" t="s">
        <v>1822</v>
      </c>
      <c r="C725" s="215" t="s">
        <v>1823</v>
      </c>
      <c r="D725" s="215" t="s">
        <v>1928</v>
      </c>
      <c r="E725" s="215" t="s">
        <v>1825</v>
      </c>
      <c r="F725" s="215" t="s">
        <v>1836</v>
      </c>
      <c r="G725" s="215" t="s">
        <v>105</v>
      </c>
      <c r="H725" s="216" t="s">
        <v>2558</v>
      </c>
      <c r="I725" s="217"/>
      <c r="J725" s="217"/>
      <c r="K725" s="217"/>
      <c r="L725" s="217"/>
      <c r="M725" s="217"/>
      <c r="N725" s="217"/>
      <c r="O725" s="217"/>
      <c r="P725" s="217"/>
      <c r="Q725" s="218"/>
    </row>
    <row r="726" spans="1:17" s="219" customFormat="1" hidden="1" x14ac:dyDescent="0.25">
      <c r="A726" s="214"/>
      <c r="B726" s="215" t="s">
        <v>1822</v>
      </c>
      <c r="C726" s="215" t="s">
        <v>1823</v>
      </c>
      <c r="D726" s="215" t="s">
        <v>1928</v>
      </c>
      <c r="E726" s="215" t="s">
        <v>1825</v>
      </c>
      <c r="F726" s="215" t="s">
        <v>1836</v>
      </c>
      <c r="G726" s="215" t="s">
        <v>108</v>
      </c>
      <c r="H726" s="216" t="s">
        <v>2559</v>
      </c>
      <c r="I726" s="217"/>
      <c r="J726" s="217"/>
      <c r="K726" s="217"/>
      <c r="L726" s="217"/>
      <c r="M726" s="217"/>
      <c r="N726" s="217"/>
      <c r="O726" s="217"/>
      <c r="P726" s="217"/>
      <c r="Q726" s="218"/>
    </row>
    <row r="727" spans="1:17" s="219" customFormat="1" ht="30" hidden="1" x14ac:dyDescent="0.25">
      <c r="A727" s="214"/>
      <c r="B727" s="215" t="s">
        <v>1822</v>
      </c>
      <c r="C727" s="215" t="s">
        <v>1823</v>
      </c>
      <c r="D727" s="215" t="s">
        <v>1928</v>
      </c>
      <c r="E727" s="215" t="s">
        <v>1825</v>
      </c>
      <c r="F727" s="215" t="s">
        <v>1836</v>
      </c>
      <c r="G727" s="215" t="s">
        <v>135</v>
      </c>
      <c r="H727" s="216" t="s">
        <v>2560</v>
      </c>
      <c r="I727" s="217"/>
      <c r="J727" s="217"/>
      <c r="K727" s="217"/>
      <c r="L727" s="217"/>
      <c r="M727" s="217"/>
      <c r="N727" s="217"/>
      <c r="O727" s="217"/>
      <c r="P727" s="217"/>
      <c r="Q727" s="218"/>
    </row>
    <row r="728" spans="1:17" s="219" customFormat="1" hidden="1" x14ac:dyDescent="0.25">
      <c r="A728" s="214"/>
      <c r="B728" s="215" t="s">
        <v>1822</v>
      </c>
      <c r="C728" s="215" t="s">
        <v>1823</v>
      </c>
      <c r="D728" s="215" t="s">
        <v>1928</v>
      </c>
      <c r="E728" s="215" t="s">
        <v>1825</v>
      </c>
      <c r="F728" s="215" t="s">
        <v>1836</v>
      </c>
      <c r="G728" s="215" t="s">
        <v>138</v>
      </c>
      <c r="H728" s="216" t="s">
        <v>2561</v>
      </c>
      <c r="I728" s="217"/>
      <c r="J728" s="217"/>
      <c r="K728" s="217"/>
      <c r="L728" s="217"/>
      <c r="M728" s="217"/>
      <c r="N728" s="217"/>
      <c r="O728" s="217"/>
      <c r="P728" s="217"/>
      <c r="Q728" s="218"/>
    </row>
    <row r="729" spans="1:17" s="219" customFormat="1" hidden="1" x14ac:dyDescent="0.25">
      <c r="A729" s="214"/>
      <c r="B729" s="215" t="s">
        <v>1822</v>
      </c>
      <c r="C729" s="215" t="s">
        <v>1823</v>
      </c>
      <c r="D729" s="215" t="s">
        <v>1928</v>
      </c>
      <c r="E729" s="215" t="s">
        <v>1825</v>
      </c>
      <c r="F729" s="215" t="s">
        <v>1836</v>
      </c>
      <c r="G729" s="215" t="s">
        <v>140</v>
      </c>
      <c r="H729" s="216" t="s">
        <v>2562</v>
      </c>
      <c r="I729" s="217"/>
      <c r="J729" s="217"/>
      <c r="K729" s="217"/>
      <c r="L729" s="217"/>
      <c r="M729" s="217"/>
      <c r="N729" s="217"/>
      <c r="O729" s="217"/>
      <c r="P729" s="217"/>
      <c r="Q729" s="218"/>
    </row>
    <row r="730" spans="1:17" s="213" customFormat="1" hidden="1" x14ac:dyDescent="0.25">
      <c r="A730" s="208" t="s">
        <v>1905</v>
      </c>
      <c r="B730" s="209" t="s">
        <v>1822</v>
      </c>
      <c r="C730" s="209" t="s">
        <v>1823</v>
      </c>
      <c r="D730" s="209" t="s">
        <v>1928</v>
      </c>
      <c r="E730" s="209" t="s">
        <v>1836</v>
      </c>
      <c r="F730" s="209"/>
      <c r="G730" s="209"/>
      <c r="H730" s="210" t="s">
        <v>2563</v>
      </c>
      <c r="I730" s="211">
        <f>SUM(I731+I740+I749+I758+I766+I775+I782)</f>
        <v>0</v>
      </c>
      <c r="J730" s="211">
        <f t="shared" ref="J730:P730" si="94">SUM(J731+J740+J749+J758+J766+J775+J782)</f>
        <v>0</v>
      </c>
      <c r="K730" s="211">
        <f t="shared" si="94"/>
        <v>0</v>
      </c>
      <c r="L730" s="211">
        <f t="shared" si="94"/>
        <v>0</v>
      </c>
      <c r="M730" s="211">
        <f t="shared" si="94"/>
        <v>0</v>
      </c>
      <c r="N730" s="211">
        <f t="shared" si="94"/>
        <v>0</v>
      </c>
      <c r="O730" s="211">
        <f t="shared" si="94"/>
        <v>0</v>
      </c>
      <c r="P730" s="211">
        <f t="shared" si="94"/>
        <v>0</v>
      </c>
      <c r="Q730" s="212"/>
    </row>
    <row r="731" spans="1:17" s="213" customFormat="1" hidden="1" x14ac:dyDescent="0.25">
      <c r="A731" s="208" t="s">
        <v>263</v>
      </c>
      <c r="B731" s="209" t="s">
        <v>1822</v>
      </c>
      <c r="C731" s="209" t="s">
        <v>1823</v>
      </c>
      <c r="D731" s="209" t="s">
        <v>1928</v>
      </c>
      <c r="E731" s="209" t="s">
        <v>1836</v>
      </c>
      <c r="F731" s="209" t="s">
        <v>1825</v>
      </c>
      <c r="G731" s="209"/>
      <c r="H731" s="210" t="s">
        <v>2564</v>
      </c>
      <c r="I731" s="211">
        <f>SUM(I732:I739)</f>
        <v>0</v>
      </c>
      <c r="J731" s="211">
        <f t="shared" ref="J731:P731" si="95">SUM(J732:J739)</f>
        <v>0</v>
      </c>
      <c r="K731" s="211">
        <f t="shared" si="95"/>
        <v>0</v>
      </c>
      <c r="L731" s="211">
        <f t="shared" si="95"/>
        <v>0</v>
      </c>
      <c r="M731" s="211">
        <f t="shared" si="95"/>
        <v>0</v>
      </c>
      <c r="N731" s="211">
        <f t="shared" si="95"/>
        <v>0</v>
      </c>
      <c r="O731" s="211">
        <f t="shared" si="95"/>
        <v>0</v>
      </c>
      <c r="P731" s="211">
        <f t="shared" si="95"/>
        <v>0</v>
      </c>
      <c r="Q731" s="212"/>
    </row>
    <row r="732" spans="1:17" s="219" customFormat="1" hidden="1" x14ac:dyDescent="0.25">
      <c r="A732" s="214"/>
      <c r="B732" s="215" t="s">
        <v>1822</v>
      </c>
      <c r="C732" s="215" t="s">
        <v>1823</v>
      </c>
      <c r="D732" s="215" t="s">
        <v>1928</v>
      </c>
      <c r="E732" s="215" t="s">
        <v>1836</v>
      </c>
      <c r="F732" s="215" t="s">
        <v>1825</v>
      </c>
      <c r="G732" s="215" t="s">
        <v>58</v>
      </c>
      <c r="H732" s="216" t="s">
        <v>2565</v>
      </c>
      <c r="I732" s="217"/>
      <c r="J732" s="217"/>
      <c r="K732" s="217"/>
      <c r="L732" s="217"/>
      <c r="M732" s="217"/>
      <c r="N732" s="217"/>
      <c r="O732" s="217"/>
      <c r="P732" s="217"/>
      <c r="Q732" s="218"/>
    </row>
    <row r="733" spans="1:17" s="219" customFormat="1" hidden="1" x14ac:dyDescent="0.25">
      <c r="A733" s="214"/>
      <c r="B733" s="215" t="s">
        <v>1822</v>
      </c>
      <c r="C733" s="215" t="s">
        <v>1823</v>
      </c>
      <c r="D733" s="215" t="s">
        <v>1928</v>
      </c>
      <c r="E733" s="215" t="s">
        <v>1836</v>
      </c>
      <c r="F733" s="215" t="s">
        <v>1825</v>
      </c>
      <c r="G733" s="215" t="s">
        <v>75</v>
      </c>
      <c r="H733" s="216" t="s">
        <v>2566</v>
      </c>
      <c r="I733" s="217"/>
      <c r="J733" s="217"/>
      <c r="K733" s="217"/>
      <c r="L733" s="217"/>
      <c r="M733" s="217"/>
      <c r="N733" s="217"/>
      <c r="O733" s="217"/>
      <c r="P733" s="217"/>
      <c r="Q733" s="218"/>
    </row>
    <row r="734" spans="1:17" s="219" customFormat="1" hidden="1" x14ac:dyDescent="0.25">
      <c r="A734" s="214"/>
      <c r="B734" s="215" t="s">
        <v>1822</v>
      </c>
      <c r="C734" s="215" t="s">
        <v>1823</v>
      </c>
      <c r="D734" s="215" t="s">
        <v>1928</v>
      </c>
      <c r="E734" s="215" t="s">
        <v>1836</v>
      </c>
      <c r="F734" s="215" t="s">
        <v>1825</v>
      </c>
      <c r="G734" s="215" t="s">
        <v>79</v>
      </c>
      <c r="H734" s="216" t="s">
        <v>2567</v>
      </c>
      <c r="I734" s="217"/>
      <c r="J734" s="217"/>
      <c r="K734" s="217"/>
      <c r="L734" s="217"/>
      <c r="M734" s="217"/>
      <c r="N734" s="217"/>
      <c r="O734" s="217"/>
      <c r="P734" s="217"/>
      <c r="Q734" s="218"/>
    </row>
    <row r="735" spans="1:17" s="219" customFormat="1" hidden="1" x14ac:dyDescent="0.25">
      <c r="A735" s="214"/>
      <c r="B735" s="215" t="s">
        <v>1822</v>
      </c>
      <c r="C735" s="215" t="s">
        <v>1823</v>
      </c>
      <c r="D735" s="215" t="s">
        <v>1928</v>
      </c>
      <c r="E735" s="215" t="s">
        <v>1836</v>
      </c>
      <c r="F735" s="215" t="s">
        <v>1825</v>
      </c>
      <c r="G735" s="215" t="s">
        <v>84</v>
      </c>
      <c r="H735" s="216" t="s">
        <v>2568</v>
      </c>
      <c r="I735" s="217"/>
      <c r="J735" s="217"/>
      <c r="K735" s="217"/>
      <c r="L735" s="217"/>
      <c r="M735" s="217"/>
      <c r="N735" s="217"/>
      <c r="O735" s="217"/>
      <c r="P735" s="217"/>
      <c r="Q735" s="218"/>
    </row>
    <row r="736" spans="1:17" s="219" customFormat="1" hidden="1" x14ac:dyDescent="0.25">
      <c r="A736" s="214"/>
      <c r="B736" s="215" t="s">
        <v>1822</v>
      </c>
      <c r="C736" s="215" t="s">
        <v>1823</v>
      </c>
      <c r="D736" s="215" t="s">
        <v>1928</v>
      </c>
      <c r="E736" s="215" t="s">
        <v>1836</v>
      </c>
      <c r="F736" s="215" t="s">
        <v>1825</v>
      </c>
      <c r="G736" s="215" t="s">
        <v>88</v>
      </c>
      <c r="H736" s="216" t="s">
        <v>2569</v>
      </c>
      <c r="I736" s="217"/>
      <c r="J736" s="217"/>
      <c r="K736" s="217"/>
      <c r="L736" s="217"/>
      <c r="M736" s="217"/>
      <c r="N736" s="217"/>
      <c r="O736" s="217"/>
      <c r="P736" s="217"/>
      <c r="Q736" s="218"/>
    </row>
    <row r="737" spans="1:17" s="219" customFormat="1" hidden="1" x14ac:dyDescent="0.25">
      <c r="A737" s="214"/>
      <c r="B737" s="215" t="s">
        <v>1822</v>
      </c>
      <c r="C737" s="215" t="s">
        <v>1823</v>
      </c>
      <c r="D737" s="215" t="s">
        <v>1928</v>
      </c>
      <c r="E737" s="215" t="s">
        <v>1836</v>
      </c>
      <c r="F737" s="215" t="s">
        <v>1825</v>
      </c>
      <c r="G737" s="215" t="s">
        <v>92</v>
      </c>
      <c r="H737" s="216" t="s">
        <v>2570</v>
      </c>
      <c r="I737" s="217"/>
      <c r="J737" s="217"/>
      <c r="K737" s="217"/>
      <c r="L737" s="217"/>
      <c r="M737" s="217"/>
      <c r="N737" s="217"/>
      <c r="O737" s="217"/>
      <c r="P737" s="217"/>
      <c r="Q737" s="218"/>
    </row>
    <row r="738" spans="1:17" s="219" customFormat="1" hidden="1" x14ac:dyDescent="0.25">
      <c r="A738" s="214"/>
      <c r="B738" s="215" t="s">
        <v>1822</v>
      </c>
      <c r="C738" s="215" t="s">
        <v>1823</v>
      </c>
      <c r="D738" s="215" t="s">
        <v>1928</v>
      </c>
      <c r="E738" s="215" t="s">
        <v>1836</v>
      </c>
      <c r="F738" s="215" t="s">
        <v>1825</v>
      </c>
      <c r="G738" s="215" t="s">
        <v>96</v>
      </c>
      <c r="H738" s="216" t="s">
        <v>2571</v>
      </c>
      <c r="I738" s="217"/>
      <c r="J738" s="217"/>
      <c r="K738" s="217"/>
      <c r="L738" s="217"/>
      <c r="M738" s="217"/>
      <c r="N738" s="217"/>
      <c r="O738" s="217"/>
      <c r="P738" s="217"/>
      <c r="Q738" s="218"/>
    </row>
    <row r="739" spans="1:17" s="219" customFormat="1" hidden="1" x14ac:dyDescent="0.25">
      <c r="A739" s="214"/>
      <c r="B739" s="215" t="s">
        <v>1822</v>
      </c>
      <c r="C739" s="215" t="s">
        <v>1823</v>
      </c>
      <c r="D739" s="215" t="s">
        <v>1928</v>
      </c>
      <c r="E739" s="215" t="s">
        <v>1836</v>
      </c>
      <c r="F739" s="215" t="s">
        <v>1825</v>
      </c>
      <c r="G739" s="215" t="s">
        <v>100</v>
      </c>
      <c r="H739" s="216" t="s">
        <v>2572</v>
      </c>
      <c r="I739" s="217"/>
      <c r="J739" s="217"/>
      <c r="K739" s="217"/>
      <c r="L739" s="217"/>
      <c r="M739" s="217"/>
      <c r="N739" s="217"/>
      <c r="O739" s="217"/>
      <c r="P739" s="217"/>
      <c r="Q739" s="218"/>
    </row>
    <row r="740" spans="1:17" s="213" customFormat="1" hidden="1" x14ac:dyDescent="0.25">
      <c r="A740" s="208" t="s">
        <v>263</v>
      </c>
      <c r="B740" s="209" t="s">
        <v>1822</v>
      </c>
      <c r="C740" s="209" t="s">
        <v>1823</v>
      </c>
      <c r="D740" s="209" t="s">
        <v>1928</v>
      </c>
      <c r="E740" s="209" t="s">
        <v>1836</v>
      </c>
      <c r="F740" s="209" t="s">
        <v>1836</v>
      </c>
      <c r="G740" s="209"/>
      <c r="H740" s="210" t="s">
        <v>2573</v>
      </c>
      <c r="I740" s="211">
        <f>SUM(I741:I748)</f>
        <v>0</v>
      </c>
      <c r="J740" s="211">
        <f t="shared" ref="J740:P740" si="96">SUM(J741:J748)</f>
        <v>0</v>
      </c>
      <c r="K740" s="211">
        <f t="shared" si="96"/>
        <v>0</v>
      </c>
      <c r="L740" s="211">
        <f t="shared" si="96"/>
        <v>0</v>
      </c>
      <c r="M740" s="211">
        <f t="shared" si="96"/>
        <v>0</v>
      </c>
      <c r="N740" s="211">
        <f t="shared" si="96"/>
        <v>0</v>
      </c>
      <c r="O740" s="211">
        <f t="shared" si="96"/>
        <v>0</v>
      </c>
      <c r="P740" s="211">
        <f t="shared" si="96"/>
        <v>0</v>
      </c>
      <c r="Q740" s="212"/>
    </row>
    <row r="741" spans="1:17" s="219" customFormat="1" hidden="1" x14ac:dyDescent="0.25">
      <c r="A741" s="214"/>
      <c r="B741" s="215" t="s">
        <v>1822</v>
      </c>
      <c r="C741" s="215" t="s">
        <v>1823</v>
      </c>
      <c r="D741" s="215" t="s">
        <v>1928</v>
      </c>
      <c r="E741" s="215" t="s">
        <v>1836</v>
      </c>
      <c r="F741" s="215" t="s">
        <v>1836</v>
      </c>
      <c r="G741" s="215" t="s">
        <v>58</v>
      </c>
      <c r="H741" s="216" t="s">
        <v>2574</v>
      </c>
      <c r="I741" s="217"/>
      <c r="J741" s="217"/>
      <c r="K741" s="217"/>
      <c r="L741" s="217"/>
      <c r="M741" s="217"/>
      <c r="N741" s="217"/>
      <c r="O741" s="217"/>
      <c r="P741" s="217"/>
      <c r="Q741" s="218"/>
    </row>
    <row r="742" spans="1:17" s="219" customFormat="1" hidden="1" x14ac:dyDescent="0.25">
      <c r="A742" s="214"/>
      <c r="B742" s="215" t="s">
        <v>1822</v>
      </c>
      <c r="C742" s="215" t="s">
        <v>1823</v>
      </c>
      <c r="D742" s="215" t="s">
        <v>1928</v>
      </c>
      <c r="E742" s="215" t="s">
        <v>1836</v>
      </c>
      <c r="F742" s="215" t="s">
        <v>1836</v>
      </c>
      <c r="G742" s="215" t="s">
        <v>75</v>
      </c>
      <c r="H742" s="216" t="s">
        <v>2575</v>
      </c>
      <c r="I742" s="217"/>
      <c r="J742" s="217"/>
      <c r="K742" s="217"/>
      <c r="L742" s="217"/>
      <c r="M742" s="217"/>
      <c r="N742" s="217"/>
      <c r="O742" s="217"/>
      <c r="P742" s="217"/>
      <c r="Q742" s="218"/>
    </row>
    <row r="743" spans="1:17" s="219" customFormat="1" hidden="1" x14ac:dyDescent="0.25">
      <c r="A743" s="214"/>
      <c r="B743" s="215" t="s">
        <v>1822</v>
      </c>
      <c r="C743" s="215" t="s">
        <v>1823</v>
      </c>
      <c r="D743" s="215" t="s">
        <v>1928</v>
      </c>
      <c r="E743" s="215" t="s">
        <v>1836</v>
      </c>
      <c r="F743" s="215" t="s">
        <v>1836</v>
      </c>
      <c r="G743" s="215" t="s">
        <v>79</v>
      </c>
      <c r="H743" s="216" t="s">
        <v>2576</v>
      </c>
      <c r="I743" s="217"/>
      <c r="J743" s="217"/>
      <c r="K743" s="217"/>
      <c r="L743" s="217"/>
      <c r="M743" s="217"/>
      <c r="N743" s="217"/>
      <c r="O743" s="217"/>
      <c r="P743" s="217"/>
      <c r="Q743" s="218"/>
    </row>
    <row r="744" spans="1:17" s="219" customFormat="1" hidden="1" x14ac:dyDescent="0.25">
      <c r="A744" s="214"/>
      <c r="B744" s="215" t="s">
        <v>1822</v>
      </c>
      <c r="C744" s="215" t="s">
        <v>1823</v>
      </c>
      <c r="D744" s="215" t="s">
        <v>1928</v>
      </c>
      <c r="E744" s="215" t="s">
        <v>1836</v>
      </c>
      <c r="F744" s="215" t="s">
        <v>1836</v>
      </c>
      <c r="G744" s="215" t="s">
        <v>84</v>
      </c>
      <c r="H744" s="216" t="s">
        <v>2577</v>
      </c>
      <c r="I744" s="217"/>
      <c r="J744" s="217"/>
      <c r="K744" s="217"/>
      <c r="L744" s="217"/>
      <c r="M744" s="217"/>
      <c r="N744" s="217"/>
      <c r="O744" s="217"/>
      <c r="P744" s="217"/>
      <c r="Q744" s="218"/>
    </row>
    <row r="745" spans="1:17" s="219" customFormat="1" hidden="1" x14ac:dyDescent="0.25">
      <c r="A745" s="214"/>
      <c r="B745" s="215" t="s">
        <v>1822</v>
      </c>
      <c r="C745" s="215" t="s">
        <v>1823</v>
      </c>
      <c r="D745" s="215" t="s">
        <v>1928</v>
      </c>
      <c r="E745" s="215" t="s">
        <v>1836</v>
      </c>
      <c r="F745" s="215" t="s">
        <v>1836</v>
      </c>
      <c r="G745" s="215" t="s">
        <v>88</v>
      </c>
      <c r="H745" s="216" t="s">
        <v>2578</v>
      </c>
      <c r="I745" s="217"/>
      <c r="J745" s="217"/>
      <c r="K745" s="217"/>
      <c r="L745" s="217"/>
      <c r="M745" s="217"/>
      <c r="N745" s="217"/>
      <c r="O745" s="217"/>
      <c r="P745" s="217"/>
      <c r="Q745" s="218"/>
    </row>
    <row r="746" spans="1:17" s="219" customFormat="1" hidden="1" x14ac:dyDescent="0.25">
      <c r="A746" s="214"/>
      <c r="B746" s="215" t="s">
        <v>1822</v>
      </c>
      <c r="C746" s="215" t="s">
        <v>1823</v>
      </c>
      <c r="D746" s="215" t="s">
        <v>1928</v>
      </c>
      <c r="E746" s="215" t="s">
        <v>1836</v>
      </c>
      <c r="F746" s="215" t="s">
        <v>1836</v>
      </c>
      <c r="G746" s="215" t="s">
        <v>92</v>
      </c>
      <c r="H746" s="216" t="s">
        <v>2579</v>
      </c>
      <c r="I746" s="217"/>
      <c r="J746" s="217"/>
      <c r="K746" s="217"/>
      <c r="L746" s="217"/>
      <c r="M746" s="217"/>
      <c r="N746" s="217"/>
      <c r="O746" s="217"/>
      <c r="P746" s="217"/>
      <c r="Q746" s="218"/>
    </row>
    <row r="747" spans="1:17" s="219" customFormat="1" hidden="1" x14ac:dyDescent="0.25">
      <c r="A747" s="214"/>
      <c r="B747" s="215" t="s">
        <v>1822</v>
      </c>
      <c r="C747" s="215" t="s">
        <v>1823</v>
      </c>
      <c r="D747" s="215" t="s">
        <v>1928</v>
      </c>
      <c r="E747" s="215" t="s">
        <v>1836</v>
      </c>
      <c r="F747" s="215" t="s">
        <v>1836</v>
      </c>
      <c r="G747" s="215" t="s">
        <v>96</v>
      </c>
      <c r="H747" s="216" t="s">
        <v>2580</v>
      </c>
      <c r="I747" s="217"/>
      <c r="J747" s="217"/>
      <c r="K747" s="217"/>
      <c r="L747" s="217"/>
      <c r="M747" s="217"/>
      <c r="N747" s="217"/>
      <c r="O747" s="217"/>
      <c r="P747" s="217"/>
      <c r="Q747" s="218"/>
    </row>
    <row r="748" spans="1:17" s="219" customFormat="1" ht="30" hidden="1" x14ac:dyDescent="0.25">
      <c r="A748" s="214"/>
      <c r="B748" s="215" t="s">
        <v>1822</v>
      </c>
      <c r="C748" s="215" t="s">
        <v>1823</v>
      </c>
      <c r="D748" s="215" t="s">
        <v>1928</v>
      </c>
      <c r="E748" s="215" t="s">
        <v>1836</v>
      </c>
      <c r="F748" s="215" t="s">
        <v>1836</v>
      </c>
      <c r="G748" s="215" t="s">
        <v>100</v>
      </c>
      <c r="H748" s="216" t="s">
        <v>2581</v>
      </c>
      <c r="I748" s="217"/>
      <c r="J748" s="217"/>
      <c r="K748" s="217"/>
      <c r="L748" s="217"/>
      <c r="M748" s="217"/>
      <c r="N748" s="217"/>
      <c r="O748" s="217"/>
      <c r="P748" s="217"/>
      <c r="Q748" s="218"/>
    </row>
    <row r="749" spans="1:17" s="213" customFormat="1" ht="30" hidden="1" x14ac:dyDescent="0.25">
      <c r="A749" s="208" t="s">
        <v>263</v>
      </c>
      <c r="B749" s="209" t="s">
        <v>1822</v>
      </c>
      <c r="C749" s="209" t="s">
        <v>1823</v>
      </c>
      <c r="D749" s="209" t="s">
        <v>1928</v>
      </c>
      <c r="E749" s="209" t="s">
        <v>1836</v>
      </c>
      <c r="F749" s="209" t="s">
        <v>1847</v>
      </c>
      <c r="G749" s="209"/>
      <c r="H749" s="210" t="s">
        <v>2582</v>
      </c>
      <c r="I749" s="211">
        <f>SUM(I750:I757)</f>
        <v>0</v>
      </c>
      <c r="J749" s="211">
        <f t="shared" ref="J749:P749" si="97">SUM(J750:J757)</f>
        <v>0</v>
      </c>
      <c r="K749" s="211">
        <f t="shared" si="97"/>
        <v>0</v>
      </c>
      <c r="L749" s="211">
        <f t="shared" si="97"/>
        <v>0</v>
      </c>
      <c r="M749" s="211">
        <f t="shared" si="97"/>
        <v>0</v>
      </c>
      <c r="N749" s="211">
        <f t="shared" si="97"/>
        <v>0</v>
      </c>
      <c r="O749" s="211">
        <f t="shared" si="97"/>
        <v>0</v>
      </c>
      <c r="P749" s="211">
        <f t="shared" si="97"/>
        <v>0</v>
      </c>
      <c r="Q749" s="212"/>
    </row>
    <row r="750" spans="1:17" s="219" customFormat="1" ht="30" hidden="1" x14ac:dyDescent="0.25">
      <c r="A750" s="214"/>
      <c r="B750" s="215" t="s">
        <v>1822</v>
      </c>
      <c r="C750" s="215" t="s">
        <v>1823</v>
      </c>
      <c r="D750" s="215" t="s">
        <v>1928</v>
      </c>
      <c r="E750" s="215" t="s">
        <v>1836</v>
      </c>
      <c r="F750" s="215" t="s">
        <v>1847</v>
      </c>
      <c r="G750" s="215" t="s">
        <v>58</v>
      </c>
      <c r="H750" s="216" t="s">
        <v>2583</v>
      </c>
      <c r="I750" s="217"/>
      <c r="J750" s="217"/>
      <c r="K750" s="217"/>
      <c r="L750" s="217"/>
      <c r="M750" s="217"/>
      <c r="N750" s="217"/>
      <c r="O750" s="217"/>
      <c r="P750" s="217"/>
      <c r="Q750" s="218"/>
    </row>
    <row r="751" spans="1:17" s="219" customFormat="1" ht="30" hidden="1" x14ac:dyDescent="0.25">
      <c r="A751" s="214"/>
      <c r="B751" s="215" t="s">
        <v>1822</v>
      </c>
      <c r="C751" s="215" t="s">
        <v>1823</v>
      </c>
      <c r="D751" s="215" t="s">
        <v>1928</v>
      </c>
      <c r="E751" s="215" t="s">
        <v>1836</v>
      </c>
      <c r="F751" s="215" t="s">
        <v>1847</v>
      </c>
      <c r="G751" s="215" t="s">
        <v>75</v>
      </c>
      <c r="H751" s="216" t="s">
        <v>2584</v>
      </c>
      <c r="I751" s="217"/>
      <c r="J751" s="217"/>
      <c r="K751" s="217"/>
      <c r="L751" s="217"/>
      <c r="M751" s="217"/>
      <c r="N751" s="217"/>
      <c r="O751" s="217"/>
      <c r="P751" s="217"/>
      <c r="Q751" s="218"/>
    </row>
    <row r="752" spans="1:17" s="219" customFormat="1" ht="30" hidden="1" x14ac:dyDescent="0.25">
      <c r="A752" s="214"/>
      <c r="B752" s="215" t="s">
        <v>1822</v>
      </c>
      <c r="C752" s="215" t="s">
        <v>1823</v>
      </c>
      <c r="D752" s="215" t="s">
        <v>1928</v>
      </c>
      <c r="E752" s="215" t="s">
        <v>1836</v>
      </c>
      <c r="F752" s="215" t="s">
        <v>1847</v>
      </c>
      <c r="G752" s="215" t="s">
        <v>79</v>
      </c>
      <c r="H752" s="216" t="s">
        <v>2585</v>
      </c>
      <c r="I752" s="217"/>
      <c r="J752" s="217"/>
      <c r="K752" s="217"/>
      <c r="L752" s="217"/>
      <c r="M752" s="217"/>
      <c r="N752" s="217"/>
      <c r="O752" s="217"/>
      <c r="P752" s="217"/>
      <c r="Q752" s="218"/>
    </row>
    <row r="753" spans="1:17" s="219" customFormat="1" ht="30" hidden="1" x14ac:dyDescent="0.25">
      <c r="A753" s="214"/>
      <c r="B753" s="215" t="s">
        <v>1822</v>
      </c>
      <c r="C753" s="215" t="s">
        <v>1823</v>
      </c>
      <c r="D753" s="215" t="s">
        <v>1928</v>
      </c>
      <c r="E753" s="215" t="s">
        <v>1836</v>
      </c>
      <c r="F753" s="215" t="s">
        <v>1847</v>
      </c>
      <c r="G753" s="215" t="s">
        <v>84</v>
      </c>
      <c r="H753" s="216" t="s">
        <v>2586</v>
      </c>
      <c r="I753" s="217"/>
      <c r="J753" s="217"/>
      <c r="K753" s="217"/>
      <c r="L753" s="217"/>
      <c r="M753" s="217"/>
      <c r="N753" s="217"/>
      <c r="O753" s="217"/>
      <c r="P753" s="217"/>
      <c r="Q753" s="218"/>
    </row>
    <row r="754" spans="1:17" s="219" customFormat="1" ht="30" hidden="1" x14ac:dyDescent="0.25">
      <c r="A754" s="214"/>
      <c r="B754" s="215" t="s">
        <v>1822</v>
      </c>
      <c r="C754" s="215" t="s">
        <v>1823</v>
      </c>
      <c r="D754" s="215" t="s">
        <v>1928</v>
      </c>
      <c r="E754" s="215" t="s">
        <v>1836</v>
      </c>
      <c r="F754" s="215" t="s">
        <v>1847</v>
      </c>
      <c r="G754" s="215" t="s">
        <v>88</v>
      </c>
      <c r="H754" s="216" t="s">
        <v>2587</v>
      </c>
      <c r="I754" s="217"/>
      <c r="J754" s="217"/>
      <c r="K754" s="217"/>
      <c r="L754" s="217"/>
      <c r="M754" s="217"/>
      <c r="N754" s="217"/>
      <c r="O754" s="217"/>
      <c r="P754" s="217"/>
      <c r="Q754" s="218"/>
    </row>
    <row r="755" spans="1:17" s="219" customFormat="1" ht="30" hidden="1" x14ac:dyDescent="0.25">
      <c r="A755" s="214"/>
      <c r="B755" s="215" t="s">
        <v>1822</v>
      </c>
      <c r="C755" s="215" t="s">
        <v>1823</v>
      </c>
      <c r="D755" s="215" t="s">
        <v>1928</v>
      </c>
      <c r="E755" s="215" t="s">
        <v>1836</v>
      </c>
      <c r="F755" s="215" t="s">
        <v>1847</v>
      </c>
      <c r="G755" s="215" t="s">
        <v>92</v>
      </c>
      <c r="H755" s="216" t="s">
        <v>2588</v>
      </c>
      <c r="I755" s="217"/>
      <c r="J755" s="217"/>
      <c r="K755" s="217"/>
      <c r="L755" s="217"/>
      <c r="M755" s="217"/>
      <c r="N755" s="217"/>
      <c r="O755" s="217"/>
      <c r="P755" s="217"/>
      <c r="Q755" s="218"/>
    </row>
    <row r="756" spans="1:17" s="219" customFormat="1" ht="30" hidden="1" x14ac:dyDescent="0.25">
      <c r="A756" s="214"/>
      <c r="B756" s="215" t="s">
        <v>1822</v>
      </c>
      <c r="C756" s="215" t="s">
        <v>1823</v>
      </c>
      <c r="D756" s="215" t="s">
        <v>1928</v>
      </c>
      <c r="E756" s="215" t="s">
        <v>1836</v>
      </c>
      <c r="F756" s="215" t="s">
        <v>1847</v>
      </c>
      <c r="G756" s="215" t="s">
        <v>96</v>
      </c>
      <c r="H756" s="216" t="s">
        <v>2589</v>
      </c>
      <c r="I756" s="217"/>
      <c r="J756" s="217"/>
      <c r="K756" s="217"/>
      <c r="L756" s="217"/>
      <c r="M756" s="217"/>
      <c r="N756" s="217"/>
      <c r="O756" s="217"/>
      <c r="P756" s="217"/>
      <c r="Q756" s="218"/>
    </row>
    <row r="757" spans="1:17" s="219" customFormat="1" ht="30" hidden="1" x14ac:dyDescent="0.25">
      <c r="A757" s="214"/>
      <c r="B757" s="215" t="s">
        <v>1822</v>
      </c>
      <c r="C757" s="215" t="s">
        <v>1823</v>
      </c>
      <c r="D757" s="215" t="s">
        <v>1928</v>
      </c>
      <c r="E757" s="215" t="s">
        <v>1836</v>
      </c>
      <c r="F757" s="215" t="s">
        <v>1847</v>
      </c>
      <c r="G757" s="215" t="s">
        <v>100</v>
      </c>
      <c r="H757" s="216" t="s">
        <v>2590</v>
      </c>
      <c r="I757" s="217"/>
      <c r="J757" s="217"/>
      <c r="K757" s="217"/>
      <c r="L757" s="217"/>
      <c r="M757" s="217"/>
      <c r="N757" s="217"/>
      <c r="O757" s="217"/>
      <c r="P757" s="217"/>
      <c r="Q757" s="218"/>
    </row>
    <row r="758" spans="1:17" s="213" customFormat="1" ht="30" hidden="1" x14ac:dyDescent="0.25">
      <c r="A758" s="208" t="s">
        <v>263</v>
      </c>
      <c r="B758" s="209" t="s">
        <v>1822</v>
      </c>
      <c r="C758" s="209" t="s">
        <v>1823</v>
      </c>
      <c r="D758" s="209" t="s">
        <v>1928</v>
      </c>
      <c r="E758" s="209" t="s">
        <v>1836</v>
      </c>
      <c r="F758" s="209" t="s">
        <v>1928</v>
      </c>
      <c r="G758" s="209"/>
      <c r="H758" s="210" t="s">
        <v>2591</v>
      </c>
      <c r="I758" s="211">
        <f>SUM(I759:I765)</f>
        <v>0</v>
      </c>
      <c r="J758" s="211">
        <f t="shared" ref="J758:P758" si="98">SUM(J759:J765)</f>
        <v>0</v>
      </c>
      <c r="K758" s="211">
        <f t="shared" si="98"/>
        <v>0</v>
      </c>
      <c r="L758" s="211">
        <f t="shared" si="98"/>
        <v>0</v>
      </c>
      <c r="M758" s="211">
        <f t="shared" si="98"/>
        <v>0</v>
      </c>
      <c r="N758" s="211">
        <f t="shared" si="98"/>
        <v>0</v>
      </c>
      <c r="O758" s="211">
        <f t="shared" si="98"/>
        <v>0</v>
      </c>
      <c r="P758" s="211">
        <f t="shared" si="98"/>
        <v>0</v>
      </c>
      <c r="Q758" s="212"/>
    </row>
    <row r="759" spans="1:17" s="219" customFormat="1" ht="30" hidden="1" x14ac:dyDescent="0.25">
      <c r="A759" s="214"/>
      <c r="B759" s="215" t="s">
        <v>1822</v>
      </c>
      <c r="C759" s="215" t="s">
        <v>1823</v>
      </c>
      <c r="D759" s="215" t="s">
        <v>1928</v>
      </c>
      <c r="E759" s="215" t="s">
        <v>1836</v>
      </c>
      <c r="F759" s="215" t="s">
        <v>1928</v>
      </c>
      <c r="G759" s="215" t="s">
        <v>58</v>
      </c>
      <c r="H759" s="216" t="s">
        <v>2591</v>
      </c>
      <c r="I759" s="217"/>
      <c r="J759" s="217"/>
      <c r="K759" s="217"/>
      <c r="L759" s="217"/>
      <c r="M759" s="217"/>
      <c r="N759" s="217"/>
      <c r="O759" s="217"/>
      <c r="P759" s="217"/>
      <c r="Q759" s="218"/>
    </row>
    <row r="760" spans="1:17" s="219" customFormat="1" ht="30" hidden="1" x14ac:dyDescent="0.25">
      <c r="A760" s="214"/>
      <c r="B760" s="215" t="s">
        <v>1822</v>
      </c>
      <c r="C760" s="215" t="s">
        <v>1823</v>
      </c>
      <c r="D760" s="215" t="s">
        <v>1928</v>
      </c>
      <c r="E760" s="215" t="s">
        <v>1836</v>
      </c>
      <c r="F760" s="215" t="s">
        <v>1928</v>
      </c>
      <c r="G760" s="215" t="s">
        <v>75</v>
      </c>
      <c r="H760" s="216" t="s">
        <v>2592</v>
      </c>
      <c r="I760" s="217"/>
      <c r="J760" s="217"/>
      <c r="K760" s="217"/>
      <c r="L760" s="217"/>
      <c r="M760" s="217"/>
      <c r="N760" s="217"/>
      <c r="O760" s="217"/>
      <c r="P760" s="217"/>
      <c r="Q760" s="218"/>
    </row>
    <row r="761" spans="1:17" s="219" customFormat="1" ht="30" hidden="1" x14ac:dyDescent="0.25">
      <c r="A761" s="214"/>
      <c r="B761" s="215" t="s">
        <v>1822</v>
      </c>
      <c r="C761" s="215" t="s">
        <v>1823</v>
      </c>
      <c r="D761" s="215" t="s">
        <v>1928</v>
      </c>
      <c r="E761" s="215" t="s">
        <v>1836</v>
      </c>
      <c r="F761" s="215" t="s">
        <v>1928</v>
      </c>
      <c r="G761" s="215" t="s">
        <v>79</v>
      </c>
      <c r="H761" s="216" t="s">
        <v>2593</v>
      </c>
      <c r="I761" s="217"/>
      <c r="J761" s="217"/>
      <c r="K761" s="217"/>
      <c r="L761" s="217"/>
      <c r="M761" s="217"/>
      <c r="N761" s="217"/>
      <c r="O761" s="217"/>
      <c r="P761" s="217"/>
      <c r="Q761" s="218"/>
    </row>
    <row r="762" spans="1:17" s="219" customFormat="1" ht="30" hidden="1" x14ac:dyDescent="0.25">
      <c r="A762" s="214"/>
      <c r="B762" s="215" t="s">
        <v>1822</v>
      </c>
      <c r="C762" s="215" t="s">
        <v>1823</v>
      </c>
      <c r="D762" s="215" t="s">
        <v>1928</v>
      </c>
      <c r="E762" s="215" t="s">
        <v>1836</v>
      </c>
      <c r="F762" s="215" t="s">
        <v>1928</v>
      </c>
      <c r="G762" s="215" t="s">
        <v>84</v>
      </c>
      <c r="H762" s="216" t="s">
        <v>2594</v>
      </c>
      <c r="I762" s="217"/>
      <c r="J762" s="217"/>
      <c r="K762" s="217"/>
      <c r="L762" s="217"/>
      <c r="M762" s="217"/>
      <c r="N762" s="217"/>
      <c r="O762" s="217"/>
      <c r="P762" s="217"/>
      <c r="Q762" s="218"/>
    </row>
    <row r="763" spans="1:17" s="219" customFormat="1" ht="30" hidden="1" x14ac:dyDescent="0.25">
      <c r="A763" s="214"/>
      <c r="B763" s="215" t="s">
        <v>1822</v>
      </c>
      <c r="C763" s="215" t="s">
        <v>1823</v>
      </c>
      <c r="D763" s="215" t="s">
        <v>1928</v>
      </c>
      <c r="E763" s="215" t="s">
        <v>1836</v>
      </c>
      <c r="F763" s="215" t="s">
        <v>1928</v>
      </c>
      <c r="G763" s="215" t="s">
        <v>88</v>
      </c>
      <c r="H763" s="216" t="s">
        <v>2595</v>
      </c>
      <c r="I763" s="217"/>
      <c r="J763" s="217"/>
      <c r="K763" s="217"/>
      <c r="L763" s="217"/>
      <c r="M763" s="217"/>
      <c r="N763" s="217"/>
      <c r="O763" s="217"/>
      <c r="P763" s="217"/>
      <c r="Q763" s="218"/>
    </row>
    <row r="764" spans="1:17" s="219" customFormat="1" ht="30" hidden="1" x14ac:dyDescent="0.25">
      <c r="A764" s="214"/>
      <c r="B764" s="215" t="s">
        <v>1822</v>
      </c>
      <c r="C764" s="215" t="s">
        <v>1823</v>
      </c>
      <c r="D764" s="215" t="s">
        <v>1928</v>
      </c>
      <c r="E764" s="215" t="s">
        <v>1836</v>
      </c>
      <c r="F764" s="215" t="s">
        <v>1928</v>
      </c>
      <c r="G764" s="215" t="s">
        <v>92</v>
      </c>
      <c r="H764" s="216" t="s">
        <v>2596</v>
      </c>
      <c r="I764" s="217"/>
      <c r="J764" s="217"/>
      <c r="K764" s="217"/>
      <c r="L764" s="217"/>
      <c r="M764" s="217"/>
      <c r="N764" s="217"/>
      <c r="O764" s="217"/>
      <c r="P764" s="217"/>
      <c r="Q764" s="218"/>
    </row>
    <row r="765" spans="1:17" s="219" customFormat="1" ht="45" hidden="1" x14ac:dyDescent="0.25">
      <c r="A765" s="214"/>
      <c r="B765" s="215" t="s">
        <v>1822</v>
      </c>
      <c r="C765" s="215" t="s">
        <v>1823</v>
      </c>
      <c r="D765" s="215" t="s">
        <v>1928</v>
      </c>
      <c r="E765" s="215" t="s">
        <v>1836</v>
      </c>
      <c r="F765" s="215" t="s">
        <v>1928</v>
      </c>
      <c r="G765" s="215" t="s">
        <v>96</v>
      </c>
      <c r="H765" s="216" t="s">
        <v>2597</v>
      </c>
      <c r="I765" s="217"/>
      <c r="J765" s="217"/>
      <c r="K765" s="217"/>
      <c r="L765" s="217"/>
      <c r="M765" s="217"/>
      <c r="N765" s="217"/>
      <c r="O765" s="217"/>
      <c r="P765" s="217"/>
      <c r="Q765" s="218"/>
    </row>
    <row r="766" spans="1:17" s="213" customFormat="1" ht="30" hidden="1" x14ac:dyDescent="0.25">
      <c r="A766" s="208" t="s">
        <v>263</v>
      </c>
      <c r="B766" s="209" t="s">
        <v>1822</v>
      </c>
      <c r="C766" s="209" t="s">
        <v>1823</v>
      </c>
      <c r="D766" s="209" t="s">
        <v>1928</v>
      </c>
      <c r="E766" s="209" t="s">
        <v>1836</v>
      </c>
      <c r="F766" s="209" t="s">
        <v>1934</v>
      </c>
      <c r="G766" s="209"/>
      <c r="H766" s="210" t="s">
        <v>2598</v>
      </c>
      <c r="I766" s="211">
        <f>SUM(I767:I774)</f>
        <v>0</v>
      </c>
      <c r="J766" s="211">
        <f t="shared" ref="J766:P766" si="99">SUM(J767:J774)</f>
        <v>0</v>
      </c>
      <c r="K766" s="211">
        <f t="shared" si="99"/>
        <v>0</v>
      </c>
      <c r="L766" s="211">
        <f t="shared" si="99"/>
        <v>0</v>
      </c>
      <c r="M766" s="211">
        <f t="shared" si="99"/>
        <v>0</v>
      </c>
      <c r="N766" s="211">
        <f t="shared" si="99"/>
        <v>0</v>
      </c>
      <c r="O766" s="211">
        <f t="shared" si="99"/>
        <v>0</v>
      </c>
      <c r="P766" s="211">
        <f t="shared" si="99"/>
        <v>0</v>
      </c>
      <c r="Q766" s="212"/>
    </row>
    <row r="767" spans="1:17" s="219" customFormat="1" ht="30" hidden="1" x14ac:dyDescent="0.25">
      <c r="A767" s="214"/>
      <c r="B767" s="215" t="s">
        <v>1822</v>
      </c>
      <c r="C767" s="215" t="s">
        <v>1823</v>
      </c>
      <c r="D767" s="215" t="s">
        <v>1928</v>
      </c>
      <c r="E767" s="215" t="s">
        <v>1836</v>
      </c>
      <c r="F767" s="215" t="s">
        <v>1934</v>
      </c>
      <c r="G767" s="215" t="s">
        <v>58</v>
      </c>
      <c r="H767" s="216" t="s">
        <v>2599</v>
      </c>
      <c r="I767" s="217"/>
      <c r="J767" s="217"/>
      <c r="K767" s="217"/>
      <c r="L767" s="217"/>
      <c r="M767" s="217"/>
      <c r="N767" s="217"/>
      <c r="O767" s="217"/>
      <c r="P767" s="217"/>
      <c r="Q767" s="218"/>
    </row>
    <row r="768" spans="1:17" s="219" customFormat="1" ht="30" hidden="1" x14ac:dyDescent="0.25">
      <c r="A768" s="214"/>
      <c r="B768" s="215" t="s">
        <v>1822</v>
      </c>
      <c r="C768" s="215" t="s">
        <v>1823</v>
      </c>
      <c r="D768" s="215" t="s">
        <v>1928</v>
      </c>
      <c r="E768" s="215" t="s">
        <v>1836</v>
      </c>
      <c r="F768" s="215" t="s">
        <v>1934</v>
      </c>
      <c r="G768" s="215" t="s">
        <v>75</v>
      </c>
      <c r="H768" s="216" t="s">
        <v>2600</v>
      </c>
      <c r="I768" s="217"/>
      <c r="J768" s="217"/>
      <c r="K768" s="217"/>
      <c r="L768" s="217"/>
      <c r="M768" s="217"/>
      <c r="N768" s="217"/>
      <c r="O768" s="217"/>
      <c r="P768" s="217"/>
      <c r="Q768" s="218"/>
    </row>
    <row r="769" spans="1:17" s="219" customFormat="1" ht="30" hidden="1" x14ac:dyDescent="0.25">
      <c r="A769" s="214"/>
      <c r="B769" s="215" t="s">
        <v>1822</v>
      </c>
      <c r="C769" s="215" t="s">
        <v>1823</v>
      </c>
      <c r="D769" s="215" t="s">
        <v>1928</v>
      </c>
      <c r="E769" s="215" t="s">
        <v>1836</v>
      </c>
      <c r="F769" s="215" t="s">
        <v>1934</v>
      </c>
      <c r="G769" s="215" t="s">
        <v>79</v>
      </c>
      <c r="H769" s="216" t="s">
        <v>2601</v>
      </c>
      <c r="I769" s="217"/>
      <c r="J769" s="217"/>
      <c r="K769" s="217"/>
      <c r="L769" s="217"/>
      <c r="M769" s="217"/>
      <c r="N769" s="217"/>
      <c r="O769" s="217"/>
      <c r="P769" s="217"/>
      <c r="Q769" s="218"/>
    </row>
    <row r="770" spans="1:17" s="219" customFormat="1" ht="30" hidden="1" x14ac:dyDescent="0.25">
      <c r="A770" s="214"/>
      <c r="B770" s="215" t="s">
        <v>1822</v>
      </c>
      <c r="C770" s="215" t="s">
        <v>1823</v>
      </c>
      <c r="D770" s="215" t="s">
        <v>1928</v>
      </c>
      <c r="E770" s="215" t="s">
        <v>1836</v>
      </c>
      <c r="F770" s="215" t="s">
        <v>1934</v>
      </c>
      <c r="G770" s="215" t="s">
        <v>84</v>
      </c>
      <c r="H770" s="216" t="s">
        <v>2602</v>
      </c>
      <c r="I770" s="217"/>
      <c r="J770" s="217"/>
      <c r="K770" s="217"/>
      <c r="L770" s="217"/>
      <c r="M770" s="217"/>
      <c r="N770" s="217"/>
      <c r="O770" s="217"/>
      <c r="P770" s="217"/>
      <c r="Q770" s="218"/>
    </row>
    <row r="771" spans="1:17" s="219" customFormat="1" ht="30" hidden="1" x14ac:dyDescent="0.25">
      <c r="A771" s="214"/>
      <c r="B771" s="215" t="s">
        <v>1822</v>
      </c>
      <c r="C771" s="215" t="s">
        <v>1823</v>
      </c>
      <c r="D771" s="215" t="s">
        <v>1928</v>
      </c>
      <c r="E771" s="215" t="s">
        <v>1836</v>
      </c>
      <c r="F771" s="215" t="s">
        <v>1934</v>
      </c>
      <c r="G771" s="215" t="s">
        <v>88</v>
      </c>
      <c r="H771" s="216" t="s">
        <v>2603</v>
      </c>
      <c r="I771" s="217"/>
      <c r="J771" s="217"/>
      <c r="K771" s="217"/>
      <c r="L771" s="217"/>
      <c r="M771" s="217"/>
      <c r="N771" s="217"/>
      <c r="O771" s="217"/>
      <c r="P771" s="217"/>
      <c r="Q771" s="218"/>
    </row>
    <row r="772" spans="1:17" s="219" customFormat="1" ht="30" hidden="1" x14ac:dyDescent="0.25">
      <c r="A772" s="214"/>
      <c r="B772" s="215" t="s">
        <v>1822</v>
      </c>
      <c r="C772" s="215" t="s">
        <v>1823</v>
      </c>
      <c r="D772" s="215" t="s">
        <v>1928</v>
      </c>
      <c r="E772" s="215" t="s">
        <v>1836</v>
      </c>
      <c r="F772" s="215" t="s">
        <v>1934</v>
      </c>
      <c r="G772" s="215" t="s">
        <v>92</v>
      </c>
      <c r="H772" s="216" t="s">
        <v>2604</v>
      </c>
      <c r="I772" s="217"/>
      <c r="J772" s="217"/>
      <c r="K772" s="217"/>
      <c r="L772" s="217"/>
      <c r="M772" s="217"/>
      <c r="N772" s="217"/>
      <c r="O772" s="217"/>
      <c r="P772" s="217"/>
      <c r="Q772" s="218"/>
    </row>
    <row r="773" spans="1:17" s="219" customFormat="1" hidden="1" x14ac:dyDescent="0.25">
      <c r="A773" s="214"/>
      <c r="B773" s="215" t="s">
        <v>1822</v>
      </c>
      <c r="C773" s="215" t="s">
        <v>1823</v>
      </c>
      <c r="D773" s="215" t="s">
        <v>1928</v>
      </c>
      <c r="E773" s="215" t="s">
        <v>1836</v>
      </c>
      <c r="F773" s="215" t="s">
        <v>1934</v>
      </c>
      <c r="G773" s="215" t="s">
        <v>96</v>
      </c>
      <c r="H773" s="216" t="s">
        <v>2605</v>
      </c>
      <c r="I773" s="217"/>
      <c r="J773" s="217"/>
      <c r="K773" s="217"/>
      <c r="L773" s="217"/>
      <c r="M773" s="217"/>
      <c r="N773" s="217"/>
      <c r="O773" s="217"/>
      <c r="P773" s="217"/>
      <c r="Q773" s="218"/>
    </row>
    <row r="774" spans="1:17" s="219" customFormat="1" ht="30" hidden="1" x14ac:dyDescent="0.25">
      <c r="A774" s="214"/>
      <c r="B774" s="215" t="s">
        <v>1822</v>
      </c>
      <c r="C774" s="215" t="s">
        <v>1823</v>
      </c>
      <c r="D774" s="215" t="s">
        <v>1928</v>
      </c>
      <c r="E774" s="215" t="s">
        <v>1836</v>
      </c>
      <c r="F774" s="215" t="s">
        <v>1934</v>
      </c>
      <c r="G774" s="215" t="s">
        <v>100</v>
      </c>
      <c r="H774" s="216" t="s">
        <v>2606</v>
      </c>
      <c r="I774" s="217"/>
      <c r="J774" s="217"/>
      <c r="K774" s="217"/>
      <c r="L774" s="217"/>
      <c r="M774" s="217"/>
      <c r="N774" s="217"/>
      <c r="O774" s="217"/>
      <c r="P774" s="217"/>
      <c r="Q774" s="218"/>
    </row>
    <row r="775" spans="1:17" s="213" customFormat="1" hidden="1" x14ac:dyDescent="0.25">
      <c r="A775" s="208" t="s">
        <v>263</v>
      </c>
      <c r="B775" s="209" t="s">
        <v>1822</v>
      </c>
      <c r="C775" s="209" t="s">
        <v>1823</v>
      </c>
      <c r="D775" s="209" t="s">
        <v>1928</v>
      </c>
      <c r="E775" s="209" t="s">
        <v>1836</v>
      </c>
      <c r="F775" s="209" t="s">
        <v>2022</v>
      </c>
      <c r="G775" s="209"/>
      <c r="H775" s="210" t="s">
        <v>2607</v>
      </c>
      <c r="I775" s="211">
        <f>SUM(I776:I781)</f>
        <v>0</v>
      </c>
      <c r="J775" s="211">
        <f t="shared" ref="J775:P775" si="100">SUM(J776:J781)</f>
        <v>0</v>
      </c>
      <c r="K775" s="211">
        <f t="shared" si="100"/>
        <v>0</v>
      </c>
      <c r="L775" s="211">
        <f t="shared" si="100"/>
        <v>0</v>
      </c>
      <c r="M775" s="211">
        <f t="shared" si="100"/>
        <v>0</v>
      </c>
      <c r="N775" s="211">
        <f t="shared" si="100"/>
        <v>0</v>
      </c>
      <c r="O775" s="211">
        <f t="shared" si="100"/>
        <v>0</v>
      </c>
      <c r="P775" s="211">
        <f t="shared" si="100"/>
        <v>0</v>
      </c>
      <c r="Q775" s="212"/>
    </row>
    <row r="776" spans="1:17" s="219" customFormat="1" ht="30" hidden="1" x14ac:dyDescent="0.25">
      <c r="A776" s="214"/>
      <c r="B776" s="215" t="s">
        <v>1822</v>
      </c>
      <c r="C776" s="215" t="s">
        <v>1823</v>
      </c>
      <c r="D776" s="215" t="s">
        <v>1928</v>
      </c>
      <c r="E776" s="215" t="s">
        <v>1836</v>
      </c>
      <c r="F776" s="215" t="s">
        <v>2022</v>
      </c>
      <c r="G776" s="215" t="s">
        <v>58</v>
      </c>
      <c r="H776" s="216" t="s">
        <v>2608</v>
      </c>
      <c r="I776" s="217"/>
      <c r="J776" s="217"/>
      <c r="K776" s="217"/>
      <c r="L776" s="217"/>
      <c r="M776" s="217"/>
      <c r="N776" s="217"/>
      <c r="O776" s="217"/>
      <c r="P776" s="217"/>
      <c r="Q776" s="218"/>
    </row>
    <row r="777" spans="1:17" s="219" customFormat="1" ht="30" hidden="1" x14ac:dyDescent="0.25">
      <c r="A777" s="214"/>
      <c r="B777" s="215" t="s">
        <v>1822</v>
      </c>
      <c r="C777" s="215" t="s">
        <v>1823</v>
      </c>
      <c r="D777" s="215" t="s">
        <v>1928</v>
      </c>
      <c r="E777" s="215" t="s">
        <v>1836</v>
      </c>
      <c r="F777" s="215" t="s">
        <v>2022</v>
      </c>
      <c r="G777" s="215" t="s">
        <v>75</v>
      </c>
      <c r="H777" s="216" t="s">
        <v>2609</v>
      </c>
      <c r="I777" s="217"/>
      <c r="J777" s="217"/>
      <c r="K777" s="217"/>
      <c r="L777" s="217"/>
      <c r="M777" s="217"/>
      <c r="N777" s="217"/>
      <c r="O777" s="217"/>
      <c r="P777" s="217"/>
      <c r="Q777" s="218"/>
    </row>
    <row r="778" spans="1:17" s="219" customFormat="1" ht="30" hidden="1" x14ac:dyDescent="0.25">
      <c r="A778" s="214"/>
      <c r="B778" s="215" t="s">
        <v>1822</v>
      </c>
      <c r="C778" s="215" t="s">
        <v>1823</v>
      </c>
      <c r="D778" s="215" t="s">
        <v>1928</v>
      </c>
      <c r="E778" s="215" t="s">
        <v>1836</v>
      </c>
      <c r="F778" s="215" t="s">
        <v>2022</v>
      </c>
      <c r="G778" s="215" t="s">
        <v>79</v>
      </c>
      <c r="H778" s="216" t="s">
        <v>2610</v>
      </c>
      <c r="I778" s="217"/>
      <c r="J778" s="217"/>
      <c r="K778" s="217"/>
      <c r="L778" s="217"/>
      <c r="M778" s="217"/>
      <c r="N778" s="217"/>
      <c r="O778" s="217"/>
      <c r="P778" s="217"/>
      <c r="Q778" s="218"/>
    </row>
    <row r="779" spans="1:17" s="219" customFormat="1" ht="30" hidden="1" x14ac:dyDescent="0.25">
      <c r="A779" s="214"/>
      <c r="B779" s="215" t="s">
        <v>1822</v>
      </c>
      <c r="C779" s="215" t="s">
        <v>1823</v>
      </c>
      <c r="D779" s="215" t="s">
        <v>1928</v>
      </c>
      <c r="E779" s="215" t="s">
        <v>1836</v>
      </c>
      <c r="F779" s="215" t="s">
        <v>2022</v>
      </c>
      <c r="G779" s="215" t="s">
        <v>84</v>
      </c>
      <c r="H779" s="216" t="s">
        <v>2611</v>
      </c>
      <c r="I779" s="217"/>
      <c r="J779" s="217"/>
      <c r="K779" s="217"/>
      <c r="L779" s="217"/>
      <c r="M779" s="217"/>
      <c r="N779" s="217"/>
      <c r="O779" s="217"/>
      <c r="P779" s="217"/>
      <c r="Q779" s="218"/>
    </row>
    <row r="780" spans="1:17" s="219" customFormat="1" ht="30" hidden="1" x14ac:dyDescent="0.25">
      <c r="A780" s="214"/>
      <c r="B780" s="215" t="s">
        <v>1822</v>
      </c>
      <c r="C780" s="215" t="s">
        <v>1823</v>
      </c>
      <c r="D780" s="215" t="s">
        <v>1928</v>
      </c>
      <c r="E780" s="215" t="s">
        <v>1836</v>
      </c>
      <c r="F780" s="215" t="s">
        <v>2022</v>
      </c>
      <c r="G780" s="215" t="s">
        <v>88</v>
      </c>
      <c r="H780" s="216" t="s">
        <v>2612</v>
      </c>
      <c r="I780" s="217"/>
      <c r="J780" s="217"/>
      <c r="K780" s="217"/>
      <c r="L780" s="217"/>
      <c r="M780" s="217"/>
      <c r="N780" s="217"/>
      <c r="O780" s="217"/>
      <c r="P780" s="217"/>
      <c r="Q780" s="218"/>
    </row>
    <row r="781" spans="1:17" s="219" customFormat="1" ht="30" hidden="1" x14ac:dyDescent="0.25">
      <c r="A781" s="214"/>
      <c r="B781" s="215" t="s">
        <v>1822</v>
      </c>
      <c r="C781" s="215" t="s">
        <v>1823</v>
      </c>
      <c r="D781" s="215" t="s">
        <v>1928</v>
      </c>
      <c r="E781" s="215" t="s">
        <v>1836</v>
      </c>
      <c r="F781" s="215" t="s">
        <v>2022</v>
      </c>
      <c r="G781" s="215" t="s">
        <v>92</v>
      </c>
      <c r="H781" s="216" t="s">
        <v>2613</v>
      </c>
      <c r="I781" s="217"/>
      <c r="J781" s="217"/>
      <c r="K781" s="217"/>
      <c r="L781" s="217"/>
      <c r="M781" s="217"/>
      <c r="N781" s="217"/>
      <c r="O781" s="217"/>
      <c r="P781" s="217"/>
      <c r="Q781" s="218"/>
    </row>
    <row r="782" spans="1:17" s="213" customFormat="1" hidden="1" x14ac:dyDescent="0.25">
      <c r="A782" s="208" t="s">
        <v>263</v>
      </c>
      <c r="B782" s="209" t="s">
        <v>1822</v>
      </c>
      <c r="C782" s="209" t="s">
        <v>1823</v>
      </c>
      <c r="D782" s="209" t="s">
        <v>1928</v>
      </c>
      <c r="E782" s="209" t="s">
        <v>1836</v>
      </c>
      <c r="F782" s="209" t="s">
        <v>2100</v>
      </c>
      <c r="G782" s="209"/>
      <c r="H782" s="210" t="s">
        <v>2614</v>
      </c>
      <c r="I782" s="211">
        <f>SUM(I783:I788)</f>
        <v>0</v>
      </c>
      <c r="J782" s="211">
        <f t="shared" ref="J782:P782" si="101">SUM(J783:J788)</f>
        <v>0</v>
      </c>
      <c r="K782" s="211">
        <f t="shared" si="101"/>
        <v>0</v>
      </c>
      <c r="L782" s="211">
        <f t="shared" si="101"/>
        <v>0</v>
      </c>
      <c r="M782" s="211">
        <f t="shared" si="101"/>
        <v>0</v>
      </c>
      <c r="N782" s="211">
        <f t="shared" si="101"/>
        <v>0</v>
      </c>
      <c r="O782" s="211">
        <f t="shared" si="101"/>
        <v>0</v>
      </c>
      <c r="P782" s="211">
        <f t="shared" si="101"/>
        <v>0</v>
      </c>
      <c r="Q782" s="212"/>
    </row>
    <row r="783" spans="1:17" s="219" customFormat="1" hidden="1" x14ac:dyDescent="0.25">
      <c r="A783" s="214"/>
      <c r="B783" s="215" t="s">
        <v>1822</v>
      </c>
      <c r="C783" s="215" t="s">
        <v>1823</v>
      </c>
      <c r="D783" s="215" t="s">
        <v>1928</v>
      </c>
      <c r="E783" s="215" t="s">
        <v>1836</v>
      </c>
      <c r="F783" s="215" t="s">
        <v>2100</v>
      </c>
      <c r="G783" s="215" t="s">
        <v>58</v>
      </c>
      <c r="H783" s="216" t="s">
        <v>2615</v>
      </c>
      <c r="I783" s="217"/>
      <c r="J783" s="217"/>
      <c r="K783" s="217"/>
      <c r="L783" s="217"/>
      <c r="M783" s="217"/>
      <c r="N783" s="217"/>
      <c r="O783" s="217"/>
      <c r="P783" s="217"/>
      <c r="Q783" s="218"/>
    </row>
    <row r="784" spans="1:17" s="219" customFormat="1" hidden="1" x14ac:dyDescent="0.25">
      <c r="A784" s="214"/>
      <c r="B784" s="215" t="s">
        <v>1822</v>
      </c>
      <c r="C784" s="215" t="s">
        <v>1823</v>
      </c>
      <c r="D784" s="215" t="s">
        <v>1928</v>
      </c>
      <c r="E784" s="215" t="s">
        <v>1836</v>
      </c>
      <c r="F784" s="215" t="s">
        <v>2100</v>
      </c>
      <c r="G784" s="215" t="s">
        <v>75</v>
      </c>
      <c r="H784" s="216" t="s">
        <v>2616</v>
      </c>
      <c r="I784" s="217"/>
      <c r="J784" s="217"/>
      <c r="K784" s="217"/>
      <c r="L784" s="217"/>
      <c r="M784" s="217"/>
      <c r="N784" s="217"/>
      <c r="O784" s="217"/>
      <c r="P784" s="217"/>
      <c r="Q784" s="218"/>
    </row>
    <row r="785" spans="1:17" s="219" customFormat="1" hidden="1" x14ac:dyDescent="0.25">
      <c r="A785" s="214"/>
      <c r="B785" s="215" t="s">
        <v>1822</v>
      </c>
      <c r="C785" s="215" t="s">
        <v>1823</v>
      </c>
      <c r="D785" s="215" t="s">
        <v>1928</v>
      </c>
      <c r="E785" s="215" t="s">
        <v>1836</v>
      </c>
      <c r="F785" s="215" t="s">
        <v>2100</v>
      </c>
      <c r="G785" s="215" t="s">
        <v>79</v>
      </c>
      <c r="H785" s="216" t="s">
        <v>2617</v>
      </c>
      <c r="I785" s="217"/>
      <c r="J785" s="217"/>
      <c r="K785" s="217"/>
      <c r="L785" s="217"/>
      <c r="M785" s="217"/>
      <c r="N785" s="217"/>
      <c r="O785" s="217"/>
      <c r="P785" s="217"/>
      <c r="Q785" s="218"/>
    </row>
    <row r="786" spans="1:17" s="219" customFormat="1" hidden="1" x14ac:dyDescent="0.25">
      <c r="A786" s="214"/>
      <c r="B786" s="215" t="s">
        <v>1822</v>
      </c>
      <c r="C786" s="215" t="s">
        <v>1823</v>
      </c>
      <c r="D786" s="215" t="s">
        <v>1928</v>
      </c>
      <c r="E786" s="215" t="s">
        <v>1836</v>
      </c>
      <c r="F786" s="215" t="s">
        <v>2100</v>
      </c>
      <c r="G786" s="215" t="s">
        <v>84</v>
      </c>
      <c r="H786" s="216" t="s">
        <v>2618</v>
      </c>
      <c r="I786" s="217"/>
      <c r="J786" s="217"/>
      <c r="K786" s="217"/>
      <c r="L786" s="217"/>
      <c r="M786" s="217"/>
      <c r="N786" s="217"/>
      <c r="O786" s="217"/>
      <c r="P786" s="217"/>
      <c r="Q786" s="218"/>
    </row>
    <row r="787" spans="1:17" s="219" customFormat="1" hidden="1" x14ac:dyDescent="0.25">
      <c r="A787" s="214"/>
      <c r="B787" s="215" t="s">
        <v>1822</v>
      </c>
      <c r="C787" s="215" t="s">
        <v>1823</v>
      </c>
      <c r="D787" s="215" t="s">
        <v>1928</v>
      </c>
      <c r="E787" s="215" t="s">
        <v>1836</v>
      </c>
      <c r="F787" s="215" t="s">
        <v>2100</v>
      </c>
      <c r="G787" s="215" t="s">
        <v>88</v>
      </c>
      <c r="H787" s="216" t="s">
        <v>2619</v>
      </c>
      <c r="I787" s="217"/>
      <c r="J787" s="217"/>
      <c r="K787" s="217"/>
      <c r="L787" s="217"/>
      <c r="M787" s="217"/>
      <c r="N787" s="217"/>
      <c r="O787" s="217"/>
      <c r="P787" s="217"/>
      <c r="Q787" s="218"/>
    </row>
    <row r="788" spans="1:17" s="219" customFormat="1" x14ac:dyDescent="0.25">
      <c r="A788" s="214"/>
      <c r="B788" s="215" t="s">
        <v>1822</v>
      </c>
      <c r="C788" s="215" t="s">
        <v>1823</v>
      </c>
      <c r="D788" s="215" t="s">
        <v>1928</v>
      </c>
      <c r="E788" s="215" t="s">
        <v>1836</v>
      </c>
      <c r="F788" s="215" t="s">
        <v>2100</v>
      </c>
      <c r="G788" s="215" t="s">
        <v>92</v>
      </c>
      <c r="H788" s="216" t="s">
        <v>2620</v>
      </c>
      <c r="I788" s="217"/>
      <c r="J788" s="217"/>
      <c r="K788" s="217"/>
      <c r="L788" s="217"/>
      <c r="M788" s="217"/>
      <c r="N788" s="217"/>
      <c r="O788" s="217"/>
      <c r="P788" s="217"/>
      <c r="Q788" s="218"/>
    </row>
    <row r="789" spans="1:17" s="213" customFormat="1" x14ac:dyDescent="0.25">
      <c r="A789" s="208" t="s">
        <v>1938</v>
      </c>
      <c r="B789" s="209" t="s">
        <v>1822</v>
      </c>
      <c r="C789" s="209" t="s">
        <v>1823</v>
      </c>
      <c r="D789" s="209" t="s">
        <v>1928</v>
      </c>
      <c r="E789" s="209" t="s">
        <v>1847</v>
      </c>
      <c r="F789" s="209"/>
      <c r="G789" s="209"/>
      <c r="H789" s="210" t="s">
        <v>2621</v>
      </c>
      <c r="I789" s="211">
        <f>SUM(I790+I796+I801+I806+I811+I824+I829+I832+I837+I842)</f>
        <v>489024600</v>
      </c>
      <c r="J789" s="211">
        <f t="shared" ref="J789:P789" si="102">SUM(J790+J796+J801+J806+J811+J824+J829+J832+J837+J842)</f>
        <v>11568513.680672269</v>
      </c>
      <c r="K789" s="211">
        <f t="shared" si="102"/>
        <v>4896956.8403361347</v>
      </c>
      <c r="L789" s="211">
        <f t="shared" si="102"/>
        <v>0</v>
      </c>
      <c r="M789" s="211">
        <f t="shared" si="102"/>
        <v>4896956.8403361347</v>
      </c>
      <c r="N789" s="211">
        <f t="shared" si="102"/>
        <v>66717968.647058822</v>
      </c>
      <c r="O789" s="211">
        <f t="shared" si="102"/>
        <v>422306631.35294116</v>
      </c>
      <c r="P789" s="211">
        <f t="shared" si="102"/>
        <v>0</v>
      </c>
      <c r="Q789" s="212"/>
    </row>
    <row r="790" spans="1:17" s="213" customFormat="1" x14ac:dyDescent="0.25">
      <c r="A790" s="208" t="s">
        <v>263</v>
      </c>
      <c r="B790" s="209" t="s">
        <v>1822</v>
      </c>
      <c r="C790" s="209" t="s">
        <v>1823</v>
      </c>
      <c r="D790" s="209" t="s">
        <v>1928</v>
      </c>
      <c r="E790" s="209" t="s">
        <v>1847</v>
      </c>
      <c r="F790" s="209" t="s">
        <v>1825</v>
      </c>
      <c r="G790" s="209"/>
      <c r="H790" s="210" t="s">
        <v>2622</v>
      </c>
      <c r="I790" s="211">
        <f>SUM(I791:I795)</f>
        <v>489024600</v>
      </c>
      <c r="J790" s="211">
        <f t="shared" ref="J790:P790" si="103">SUM(J791:J795)</f>
        <v>11568513.680672269</v>
      </c>
      <c r="K790" s="211">
        <f t="shared" si="103"/>
        <v>4896956.8403361347</v>
      </c>
      <c r="L790" s="211">
        <f t="shared" si="103"/>
        <v>0</v>
      </c>
      <c r="M790" s="211">
        <f t="shared" si="103"/>
        <v>4896956.8403361347</v>
      </c>
      <c r="N790" s="211">
        <f t="shared" si="103"/>
        <v>66717968.647058822</v>
      </c>
      <c r="O790" s="211">
        <f t="shared" si="103"/>
        <v>422306631.35294116</v>
      </c>
      <c r="P790" s="211">
        <f t="shared" si="103"/>
        <v>0</v>
      </c>
      <c r="Q790" s="212"/>
    </row>
    <row r="791" spans="1:17" s="219" customFormat="1" x14ac:dyDescent="0.25">
      <c r="A791" s="208"/>
      <c r="B791" s="215" t="s">
        <v>1822</v>
      </c>
      <c r="C791" s="215" t="s">
        <v>1823</v>
      </c>
      <c r="D791" s="215" t="s">
        <v>1928</v>
      </c>
      <c r="E791" s="215" t="s">
        <v>1847</v>
      </c>
      <c r="F791" s="215" t="s">
        <v>1825</v>
      </c>
      <c r="G791" s="215" t="s">
        <v>58</v>
      </c>
      <c r="H791" s="216" t="s">
        <v>2623</v>
      </c>
      <c r="I791" s="217"/>
      <c r="J791" s="217"/>
      <c r="K791" s="217"/>
      <c r="L791" s="217"/>
      <c r="M791" s="217"/>
      <c r="N791" s="217"/>
      <c r="O791" s="217"/>
      <c r="P791" s="217"/>
      <c r="Q791" s="218"/>
    </row>
    <row r="792" spans="1:17" s="219" customFormat="1" hidden="1" x14ac:dyDescent="0.25">
      <c r="A792" s="214"/>
      <c r="B792" s="215" t="s">
        <v>1822</v>
      </c>
      <c r="C792" s="215" t="s">
        <v>1823</v>
      </c>
      <c r="D792" s="215" t="s">
        <v>1928</v>
      </c>
      <c r="E792" s="215" t="s">
        <v>1847</v>
      </c>
      <c r="F792" s="215" t="s">
        <v>1825</v>
      </c>
      <c r="G792" s="215" t="s">
        <v>75</v>
      </c>
      <c r="H792" s="216" t="s">
        <v>2624</v>
      </c>
      <c r="I792" s="217"/>
      <c r="J792" s="217"/>
      <c r="K792" s="217"/>
      <c r="L792" s="217"/>
      <c r="M792" s="217"/>
      <c r="N792" s="217"/>
      <c r="O792" s="217"/>
      <c r="P792" s="217"/>
      <c r="Q792" s="218"/>
    </row>
    <row r="793" spans="1:17" s="219" customFormat="1" hidden="1" x14ac:dyDescent="0.25">
      <c r="A793" s="214"/>
      <c r="B793" s="215" t="s">
        <v>1822</v>
      </c>
      <c r="C793" s="215" t="s">
        <v>1823</v>
      </c>
      <c r="D793" s="215" t="s">
        <v>1928</v>
      </c>
      <c r="E793" s="215" t="s">
        <v>1847</v>
      </c>
      <c r="F793" s="215" t="s">
        <v>1825</v>
      </c>
      <c r="G793" s="215" t="s">
        <v>79</v>
      </c>
      <c r="H793" s="216" t="s">
        <v>2625</v>
      </c>
      <c r="I793" s="217"/>
      <c r="J793" s="217"/>
      <c r="K793" s="217"/>
      <c r="L793" s="217"/>
      <c r="M793" s="217"/>
      <c r="N793" s="217"/>
      <c r="O793" s="217"/>
      <c r="P793" s="217"/>
      <c r="Q793" s="218"/>
    </row>
    <row r="794" spans="1:17" s="219" customFormat="1" x14ac:dyDescent="0.25">
      <c r="A794" s="214"/>
      <c r="B794" s="215" t="s">
        <v>1822</v>
      </c>
      <c r="C794" s="215" t="s">
        <v>1823</v>
      </c>
      <c r="D794" s="215" t="s">
        <v>1928</v>
      </c>
      <c r="E794" s="215" t="s">
        <v>1847</v>
      </c>
      <c r="F794" s="215" t="s">
        <v>1825</v>
      </c>
      <c r="G794" s="215" t="s">
        <v>84</v>
      </c>
      <c r="H794" s="216" t="s">
        <v>2626</v>
      </c>
      <c r="I794" s="217"/>
      <c r="J794" s="217"/>
      <c r="K794" s="217"/>
      <c r="L794" s="217"/>
      <c r="M794" s="217"/>
      <c r="N794" s="217"/>
      <c r="O794" s="217"/>
      <c r="P794" s="217"/>
      <c r="Q794" s="218"/>
    </row>
    <row r="795" spans="1:17" s="219" customFormat="1" x14ac:dyDescent="0.25">
      <c r="A795" s="214"/>
      <c r="B795" s="215" t="s">
        <v>1822</v>
      </c>
      <c r="C795" s="215" t="s">
        <v>1823</v>
      </c>
      <c r="D795" s="215" t="s">
        <v>1928</v>
      </c>
      <c r="E795" s="215" t="s">
        <v>1847</v>
      </c>
      <c r="F795" s="215" t="s">
        <v>1825</v>
      </c>
      <c r="G795" s="215" t="s">
        <v>88</v>
      </c>
      <c r="H795" s="216" t="s">
        <v>2627</v>
      </c>
      <c r="I795" s="217">
        <v>489024600</v>
      </c>
      <c r="J795" s="217">
        <v>11568513.680672269</v>
      </c>
      <c r="K795" s="217">
        <v>4896956.8403361347</v>
      </c>
      <c r="L795" s="217"/>
      <c r="M795" s="217">
        <v>4896956.8403361347</v>
      </c>
      <c r="N795" s="217">
        <v>66717968.647058822</v>
      </c>
      <c r="O795" s="217">
        <v>422306631.35294116</v>
      </c>
      <c r="P795" s="217"/>
      <c r="Q795" s="218"/>
    </row>
    <row r="796" spans="1:17" s="213" customFormat="1" x14ac:dyDescent="0.25">
      <c r="A796" s="208" t="s">
        <v>263</v>
      </c>
      <c r="B796" s="209" t="s">
        <v>1822</v>
      </c>
      <c r="C796" s="209" t="s">
        <v>1823</v>
      </c>
      <c r="D796" s="209" t="s">
        <v>1928</v>
      </c>
      <c r="E796" s="209" t="s">
        <v>1847</v>
      </c>
      <c r="F796" s="209" t="s">
        <v>1836</v>
      </c>
      <c r="G796" s="209"/>
      <c r="H796" s="210" t="s">
        <v>2628</v>
      </c>
      <c r="I796" s="211">
        <f>SUM(I797:I800)</f>
        <v>0</v>
      </c>
      <c r="J796" s="211">
        <f t="shared" ref="J796:P796" si="104">SUM(J797:J800)</f>
        <v>0</v>
      </c>
      <c r="K796" s="211">
        <f t="shared" si="104"/>
        <v>0</v>
      </c>
      <c r="L796" s="211">
        <f t="shared" si="104"/>
        <v>0</v>
      </c>
      <c r="M796" s="211">
        <f t="shared" si="104"/>
        <v>0</v>
      </c>
      <c r="N796" s="211">
        <f t="shared" si="104"/>
        <v>0</v>
      </c>
      <c r="O796" s="211">
        <f t="shared" si="104"/>
        <v>0</v>
      </c>
      <c r="P796" s="211">
        <f t="shared" si="104"/>
        <v>0</v>
      </c>
      <c r="Q796" s="212"/>
    </row>
    <row r="797" spans="1:17" s="219" customFormat="1" hidden="1" x14ac:dyDescent="0.25">
      <c r="A797" s="214"/>
      <c r="B797" s="215" t="s">
        <v>1822</v>
      </c>
      <c r="C797" s="215" t="s">
        <v>1823</v>
      </c>
      <c r="D797" s="215" t="s">
        <v>1928</v>
      </c>
      <c r="E797" s="215" t="s">
        <v>1847</v>
      </c>
      <c r="F797" s="215" t="s">
        <v>1836</v>
      </c>
      <c r="G797" s="215" t="s">
        <v>58</v>
      </c>
      <c r="H797" s="216" t="s">
        <v>2629</v>
      </c>
      <c r="I797" s="217"/>
      <c r="J797" s="217"/>
      <c r="K797" s="217"/>
      <c r="L797" s="217"/>
      <c r="M797" s="217"/>
      <c r="N797" s="217"/>
      <c r="O797" s="217"/>
      <c r="P797" s="217"/>
      <c r="Q797" s="218"/>
    </row>
    <row r="798" spans="1:17" s="219" customFormat="1" hidden="1" x14ac:dyDescent="0.25">
      <c r="A798" s="214"/>
      <c r="B798" s="215" t="s">
        <v>1822</v>
      </c>
      <c r="C798" s="215" t="s">
        <v>1823</v>
      </c>
      <c r="D798" s="215" t="s">
        <v>1928</v>
      </c>
      <c r="E798" s="215" t="s">
        <v>1847</v>
      </c>
      <c r="F798" s="215" t="s">
        <v>1836</v>
      </c>
      <c r="G798" s="215" t="s">
        <v>75</v>
      </c>
      <c r="H798" s="216" t="s">
        <v>2630</v>
      </c>
      <c r="I798" s="217"/>
      <c r="J798" s="217"/>
      <c r="K798" s="217"/>
      <c r="L798" s="217"/>
      <c r="M798" s="217"/>
      <c r="N798" s="217"/>
      <c r="O798" s="217"/>
      <c r="P798" s="217"/>
      <c r="Q798" s="218"/>
    </row>
    <row r="799" spans="1:17" s="219" customFormat="1" hidden="1" x14ac:dyDescent="0.25">
      <c r="A799" s="214"/>
      <c r="B799" s="215" t="s">
        <v>1822</v>
      </c>
      <c r="C799" s="215" t="s">
        <v>1823</v>
      </c>
      <c r="D799" s="215" t="s">
        <v>1928</v>
      </c>
      <c r="E799" s="215" t="s">
        <v>1847</v>
      </c>
      <c r="F799" s="215" t="s">
        <v>1836</v>
      </c>
      <c r="G799" s="215" t="s">
        <v>79</v>
      </c>
      <c r="H799" s="216" t="s">
        <v>2631</v>
      </c>
      <c r="I799" s="217"/>
      <c r="J799" s="217"/>
      <c r="K799" s="217"/>
      <c r="L799" s="217"/>
      <c r="M799" s="217"/>
      <c r="N799" s="217"/>
      <c r="O799" s="217"/>
      <c r="P799" s="217"/>
      <c r="Q799" s="218"/>
    </row>
    <row r="800" spans="1:17" s="219" customFormat="1" hidden="1" x14ac:dyDescent="0.25">
      <c r="A800" s="214"/>
      <c r="B800" s="215" t="s">
        <v>1822</v>
      </c>
      <c r="C800" s="215" t="s">
        <v>1823</v>
      </c>
      <c r="D800" s="215" t="s">
        <v>1928</v>
      </c>
      <c r="E800" s="215" t="s">
        <v>1847</v>
      </c>
      <c r="F800" s="215" t="s">
        <v>1836</v>
      </c>
      <c r="G800" s="215" t="s">
        <v>84</v>
      </c>
      <c r="H800" s="216" t="s">
        <v>2632</v>
      </c>
      <c r="I800" s="217"/>
      <c r="J800" s="217"/>
      <c r="K800" s="217"/>
      <c r="L800" s="217"/>
      <c r="M800" s="217"/>
      <c r="N800" s="217"/>
      <c r="O800" s="217"/>
      <c r="P800" s="217"/>
      <c r="Q800" s="218"/>
    </row>
    <row r="801" spans="1:17" s="213" customFormat="1" hidden="1" x14ac:dyDescent="0.25">
      <c r="A801" s="208" t="s">
        <v>263</v>
      </c>
      <c r="B801" s="209" t="s">
        <v>1822</v>
      </c>
      <c r="C801" s="209" t="s">
        <v>1823</v>
      </c>
      <c r="D801" s="209" t="s">
        <v>1928</v>
      </c>
      <c r="E801" s="209" t="s">
        <v>1847</v>
      </c>
      <c r="F801" s="209" t="s">
        <v>1847</v>
      </c>
      <c r="G801" s="209"/>
      <c r="H801" s="210" t="s">
        <v>2633</v>
      </c>
      <c r="I801" s="211">
        <f>SUM(I802:I805)</f>
        <v>0</v>
      </c>
      <c r="J801" s="211">
        <f t="shared" ref="J801:P801" si="105">SUM(J802:J805)</f>
        <v>0</v>
      </c>
      <c r="K801" s="211">
        <f t="shared" si="105"/>
        <v>0</v>
      </c>
      <c r="L801" s="211">
        <f t="shared" si="105"/>
        <v>0</v>
      </c>
      <c r="M801" s="211">
        <f t="shared" si="105"/>
        <v>0</v>
      </c>
      <c r="N801" s="211">
        <f t="shared" si="105"/>
        <v>0</v>
      </c>
      <c r="O801" s="211">
        <f t="shared" si="105"/>
        <v>0</v>
      </c>
      <c r="P801" s="211">
        <f t="shared" si="105"/>
        <v>0</v>
      </c>
      <c r="Q801" s="212"/>
    </row>
    <row r="802" spans="1:17" s="219" customFormat="1" hidden="1" x14ac:dyDescent="0.25">
      <c r="A802" s="214"/>
      <c r="B802" s="215" t="s">
        <v>1822</v>
      </c>
      <c r="C802" s="215" t="s">
        <v>1823</v>
      </c>
      <c r="D802" s="215" t="s">
        <v>1928</v>
      </c>
      <c r="E802" s="215" t="s">
        <v>1847</v>
      </c>
      <c r="F802" s="215" t="s">
        <v>1847</v>
      </c>
      <c r="G802" s="215" t="s">
        <v>58</v>
      </c>
      <c r="H802" s="216" t="s">
        <v>2634</v>
      </c>
      <c r="I802" s="217"/>
      <c r="J802" s="217"/>
      <c r="K802" s="217"/>
      <c r="L802" s="217"/>
      <c r="M802" s="217"/>
      <c r="N802" s="217"/>
      <c r="O802" s="217"/>
      <c r="P802" s="217"/>
      <c r="Q802" s="218"/>
    </row>
    <row r="803" spans="1:17" s="219" customFormat="1" ht="30" hidden="1" x14ac:dyDescent="0.25">
      <c r="A803" s="214"/>
      <c r="B803" s="215" t="s">
        <v>1822</v>
      </c>
      <c r="C803" s="215" t="s">
        <v>1823</v>
      </c>
      <c r="D803" s="215" t="s">
        <v>1928</v>
      </c>
      <c r="E803" s="215" t="s">
        <v>1847</v>
      </c>
      <c r="F803" s="215" t="s">
        <v>1847</v>
      </c>
      <c r="G803" s="215" t="s">
        <v>75</v>
      </c>
      <c r="H803" s="216" t="s">
        <v>2635</v>
      </c>
      <c r="I803" s="217"/>
      <c r="J803" s="217"/>
      <c r="K803" s="217"/>
      <c r="L803" s="217"/>
      <c r="M803" s="217"/>
      <c r="N803" s="217"/>
      <c r="O803" s="217"/>
      <c r="P803" s="217"/>
      <c r="Q803" s="218"/>
    </row>
    <row r="804" spans="1:17" s="219" customFormat="1" hidden="1" x14ac:dyDescent="0.25">
      <c r="A804" s="214"/>
      <c r="B804" s="215" t="s">
        <v>1822</v>
      </c>
      <c r="C804" s="215" t="s">
        <v>1823</v>
      </c>
      <c r="D804" s="215" t="s">
        <v>1928</v>
      </c>
      <c r="E804" s="215" t="s">
        <v>1847</v>
      </c>
      <c r="F804" s="215" t="s">
        <v>1847</v>
      </c>
      <c r="G804" s="215" t="s">
        <v>79</v>
      </c>
      <c r="H804" s="216" t="s">
        <v>2636</v>
      </c>
      <c r="I804" s="217"/>
      <c r="J804" s="217"/>
      <c r="K804" s="217"/>
      <c r="L804" s="217"/>
      <c r="M804" s="217"/>
      <c r="N804" s="217"/>
      <c r="O804" s="217"/>
      <c r="P804" s="217"/>
      <c r="Q804" s="218"/>
    </row>
    <row r="805" spans="1:17" s="219" customFormat="1" hidden="1" x14ac:dyDescent="0.25">
      <c r="A805" s="214"/>
      <c r="B805" s="215" t="s">
        <v>1822</v>
      </c>
      <c r="C805" s="215" t="s">
        <v>1823</v>
      </c>
      <c r="D805" s="215" t="s">
        <v>1928</v>
      </c>
      <c r="E805" s="215" t="s">
        <v>1847</v>
      </c>
      <c r="F805" s="215" t="s">
        <v>1847</v>
      </c>
      <c r="G805" s="215" t="s">
        <v>84</v>
      </c>
      <c r="H805" s="216" t="s">
        <v>2637</v>
      </c>
      <c r="I805" s="217"/>
      <c r="J805" s="217"/>
      <c r="K805" s="217"/>
      <c r="L805" s="217"/>
      <c r="M805" s="217"/>
      <c r="N805" s="217"/>
      <c r="O805" s="217"/>
      <c r="P805" s="217"/>
      <c r="Q805" s="218"/>
    </row>
    <row r="806" spans="1:17" s="213" customFormat="1" ht="30" hidden="1" x14ac:dyDescent="0.25">
      <c r="A806" s="208" t="s">
        <v>263</v>
      </c>
      <c r="B806" s="209" t="s">
        <v>1822</v>
      </c>
      <c r="C806" s="209" t="s">
        <v>1823</v>
      </c>
      <c r="D806" s="209" t="s">
        <v>1928</v>
      </c>
      <c r="E806" s="209" t="s">
        <v>1847</v>
      </c>
      <c r="F806" s="209" t="s">
        <v>1928</v>
      </c>
      <c r="G806" s="209"/>
      <c r="H806" s="210" t="s">
        <v>2638</v>
      </c>
      <c r="I806" s="211">
        <f>SUM(I807:I810)</f>
        <v>0</v>
      </c>
      <c r="J806" s="211">
        <f t="shared" ref="J806:P806" si="106">SUM(J807:J810)</f>
        <v>0</v>
      </c>
      <c r="K806" s="211">
        <f t="shared" si="106"/>
        <v>0</v>
      </c>
      <c r="L806" s="211">
        <f t="shared" si="106"/>
        <v>0</v>
      </c>
      <c r="M806" s="211">
        <f t="shared" si="106"/>
        <v>0</v>
      </c>
      <c r="N806" s="211">
        <f t="shared" si="106"/>
        <v>0</v>
      </c>
      <c r="O806" s="211">
        <f t="shared" si="106"/>
        <v>0</v>
      </c>
      <c r="P806" s="211">
        <f t="shared" si="106"/>
        <v>0</v>
      </c>
      <c r="Q806" s="212"/>
    </row>
    <row r="807" spans="1:17" s="219" customFormat="1" ht="30" hidden="1" x14ac:dyDescent="0.25">
      <c r="A807" s="214"/>
      <c r="B807" s="215" t="s">
        <v>1822</v>
      </c>
      <c r="C807" s="215" t="s">
        <v>1823</v>
      </c>
      <c r="D807" s="215" t="s">
        <v>1928</v>
      </c>
      <c r="E807" s="215" t="s">
        <v>1847</v>
      </c>
      <c r="F807" s="215" t="s">
        <v>1928</v>
      </c>
      <c r="G807" s="215" t="s">
        <v>58</v>
      </c>
      <c r="H807" s="216" t="s">
        <v>2639</v>
      </c>
      <c r="I807" s="217"/>
      <c r="J807" s="217"/>
      <c r="K807" s="217"/>
      <c r="L807" s="217"/>
      <c r="M807" s="217"/>
      <c r="N807" s="217"/>
      <c r="O807" s="217"/>
      <c r="P807" s="217"/>
      <c r="Q807" s="218"/>
    </row>
    <row r="808" spans="1:17" s="219" customFormat="1" ht="30" hidden="1" x14ac:dyDescent="0.25">
      <c r="A808" s="214"/>
      <c r="B808" s="215" t="s">
        <v>1822</v>
      </c>
      <c r="C808" s="215" t="s">
        <v>1823</v>
      </c>
      <c r="D808" s="215" t="s">
        <v>1928</v>
      </c>
      <c r="E808" s="215" t="s">
        <v>1847</v>
      </c>
      <c r="F808" s="215" t="s">
        <v>1928</v>
      </c>
      <c r="G808" s="215" t="s">
        <v>75</v>
      </c>
      <c r="H808" s="216" t="s">
        <v>2640</v>
      </c>
      <c r="I808" s="217"/>
      <c r="J808" s="217"/>
      <c r="K808" s="217"/>
      <c r="L808" s="217"/>
      <c r="M808" s="217"/>
      <c r="N808" s="217"/>
      <c r="O808" s="217"/>
      <c r="P808" s="217"/>
      <c r="Q808" s="218"/>
    </row>
    <row r="809" spans="1:17" s="219" customFormat="1" ht="30" hidden="1" x14ac:dyDescent="0.25">
      <c r="A809" s="214"/>
      <c r="B809" s="215" t="s">
        <v>1822</v>
      </c>
      <c r="C809" s="215" t="s">
        <v>1823</v>
      </c>
      <c r="D809" s="215" t="s">
        <v>1928</v>
      </c>
      <c r="E809" s="215" t="s">
        <v>1847</v>
      </c>
      <c r="F809" s="215" t="s">
        <v>1928</v>
      </c>
      <c r="G809" s="215" t="s">
        <v>79</v>
      </c>
      <c r="H809" s="216" t="s">
        <v>2641</v>
      </c>
      <c r="I809" s="217"/>
      <c r="J809" s="217"/>
      <c r="K809" s="217"/>
      <c r="L809" s="217"/>
      <c r="M809" s="217"/>
      <c r="N809" s="217"/>
      <c r="O809" s="217"/>
      <c r="P809" s="217"/>
      <c r="Q809" s="218"/>
    </row>
    <row r="810" spans="1:17" s="219" customFormat="1" ht="30" hidden="1" x14ac:dyDescent="0.25">
      <c r="A810" s="214"/>
      <c r="B810" s="215" t="s">
        <v>1822</v>
      </c>
      <c r="C810" s="215" t="s">
        <v>1823</v>
      </c>
      <c r="D810" s="215" t="s">
        <v>1928</v>
      </c>
      <c r="E810" s="215" t="s">
        <v>1847</v>
      </c>
      <c r="F810" s="215" t="s">
        <v>1928</v>
      </c>
      <c r="G810" s="215" t="s">
        <v>84</v>
      </c>
      <c r="H810" s="216" t="s">
        <v>2642</v>
      </c>
      <c r="I810" s="217"/>
      <c r="J810" s="217"/>
      <c r="K810" s="217"/>
      <c r="L810" s="217"/>
      <c r="M810" s="217"/>
      <c r="N810" s="217"/>
      <c r="O810" s="217"/>
      <c r="P810" s="217"/>
      <c r="Q810" s="218"/>
    </row>
    <row r="811" spans="1:17" s="213" customFormat="1" hidden="1" x14ac:dyDescent="0.25">
      <c r="A811" s="208" t="s">
        <v>263</v>
      </c>
      <c r="B811" s="209" t="s">
        <v>1822</v>
      </c>
      <c r="C811" s="209" t="s">
        <v>1823</v>
      </c>
      <c r="D811" s="209" t="s">
        <v>1928</v>
      </c>
      <c r="E811" s="209" t="s">
        <v>1847</v>
      </c>
      <c r="F811" s="209" t="s">
        <v>1934</v>
      </c>
      <c r="G811" s="209"/>
      <c r="H811" s="210" t="s">
        <v>2643</v>
      </c>
      <c r="I811" s="211">
        <f>SUM(I812:I823)</f>
        <v>0</v>
      </c>
      <c r="J811" s="211">
        <f t="shared" ref="J811:P811" si="107">SUM(J812:J823)</f>
        <v>0</v>
      </c>
      <c r="K811" s="211">
        <f t="shared" si="107"/>
        <v>0</v>
      </c>
      <c r="L811" s="211">
        <f t="shared" si="107"/>
        <v>0</v>
      </c>
      <c r="M811" s="211">
        <f t="shared" si="107"/>
        <v>0</v>
      </c>
      <c r="N811" s="211">
        <f t="shared" si="107"/>
        <v>0</v>
      </c>
      <c r="O811" s="211">
        <f t="shared" si="107"/>
        <v>0</v>
      </c>
      <c r="P811" s="211">
        <f t="shared" si="107"/>
        <v>0</v>
      </c>
      <c r="Q811" s="212"/>
    </row>
    <row r="812" spans="1:17" s="219" customFormat="1" ht="30" hidden="1" x14ac:dyDescent="0.25">
      <c r="A812" s="214"/>
      <c r="B812" s="215" t="s">
        <v>1822</v>
      </c>
      <c r="C812" s="215" t="s">
        <v>1823</v>
      </c>
      <c r="D812" s="215" t="s">
        <v>1928</v>
      </c>
      <c r="E812" s="215" t="s">
        <v>1847</v>
      </c>
      <c r="F812" s="215" t="s">
        <v>1934</v>
      </c>
      <c r="G812" s="215" t="s">
        <v>58</v>
      </c>
      <c r="H812" s="216" t="s">
        <v>2644</v>
      </c>
      <c r="I812" s="217"/>
      <c r="J812" s="217"/>
      <c r="K812" s="217"/>
      <c r="L812" s="217"/>
      <c r="M812" s="217"/>
      <c r="N812" s="217"/>
      <c r="O812" s="217"/>
      <c r="P812" s="217"/>
      <c r="Q812" s="218"/>
    </row>
    <row r="813" spans="1:17" s="219" customFormat="1" ht="30" hidden="1" x14ac:dyDescent="0.25">
      <c r="A813" s="214"/>
      <c r="B813" s="215" t="s">
        <v>1822</v>
      </c>
      <c r="C813" s="215" t="s">
        <v>1823</v>
      </c>
      <c r="D813" s="215" t="s">
        <v>1928</v>
      </c>
      <c r="E813" s="215" t="s">
        <v>1847</v>
      </c>
      <c r="F813" s="215" t="s">
        <v>1934</v>
      </c>
      <c r="G813" s="215" t="s">
        <v>75</v>
      </c>
      <c r="H813" s="216" t="s">
        <v>2645</v>
      </c>
      <c r="I813" s="217"/>
      <c r="J813" s="217"/>
      <c r="K813" s="217"/>
      <c r="L813" s="217"/>
      <c r="M813" s="217"/>
      <c r="N813" s="217"/>
      <c r="O813" s="217"/>
      <c r="P813" s="217"/>
      <c r="Q813" s="218"/>
    </row>
    <row r="814" spans="1:17" s="219" customFormat="1" ht="30" hidden="1" x14ac:dyDescent="0.25">
      <c r="A814" s="214"/>
      <c r="B814" s="215" t="s">
        <v>1822</v>
      </c>
      <c r="C814" s="215" t="s">
        <v>1823</v>
      </c>
      <c r="D814" s="215" t="s">
        <v>1928</v>
      </c>
      <c r="E814" s="215" t="s">
        <v>1847</v>
      </c>
      <c r="F814" s="215" t="s">
        <v>1934</v>
      </c>
      <c r="G814" s="215" t="s">
        <v>79</v>
      </c>
      <c r="H814" s="216" t="s">
        <v>2646</v>
      </c>
      <c r="I814" s="217"/>
      <c r="J814" s="217"/>
      <c r="K814" s="217"/>
      <c r="L814" s="217"/>
      <c r="M814" s="217"/>
      <c r="N814" s="217"/>
      <c r="O814" s="217"/>
      <c r="P814" s="217"/>
      <c r="Q814" s="218"/>
    </row>
    <row r="815" spans="1:17" s="219" customFormat="1" ht="30" hidden="1" x14ac:dyDescent="0.25">
      <c r="A815" s="214"/>
      <c r="B815" s="215" t="s">
        <v>1822</v>
      </c>
      <c r="C815" s="215" t="s">
        <v>1823</v>
      </c>
      <c r="D815" s="215" t="s">
        <v>1928</v>
      </c>
      <c r="E815" s="215" t="s">
        <v>1847</v>
      </c>
      <c r="F815" s="215" t="s">
        <v>1934</v>
      </c>
      <c r="G815" s="215" t="s">
        <v>84</v>
      </c>
      <c r="H815" s="216" t="s">
        <v>2647</v>
      </c>
      <c r="I815" s="217"/>
      <c r="J815" s="217"/>
      <c r="K815" s="217"/>
      <c r="L815" s="217"/>
      <c r="M815" s="217"/>
      <c r="N815" s="217"/>
      <c r="O815" s="217"/>
      <c r="P815" s="217"/>
      <c r="Q815" s="218"/>
    </row>
    <row r="816" spans="1:17" s="219" customFormat="1" ht="30" hidden="1" x14ac:dyDescent="0.25">
      <c r="A816" s="214"/>
      <c r="B816" s="215" t="s">
        <v>1822</v>
      </c>
      <c r="C816" s="215" t="s">
        <v>1823</v>
      </c>
      <c r="D816" s="215" t="s">
        <v>1928</v>
      </c>
      <c r="E816" s="215" t="s">
        <v>1847</v>
      </c>
      <c r="F816" s="215" t="s">
        <v>1934</v>
      </c>
      <c r="G816" s="215" t="s">
        <v>88</v>
      </c>
      <c r="H816" s="216" t="s">
        <v>2648</v>
      </c>
      <c r="I816" s="217"/>
      <c r="J816" s="217"/>
      <c r="K816" s="217"/>
      <c r="L816" s="217"/>
      <c r="M816" s="217"/>
      <c r="N816" s="217"/>
      <c r="O816" s="217"/>
      <c r="P816" s="217"/>
      <c r="Q816" s="218"/>
    </row>
    <row r="817" spans="1:17" s="219" customFormat="1" ht="30" hidden="1" x14ac:dyDescent="0.25">
      <c r="A817" s="214"/>
      <c r="B817" s="215" t="s">
        <v>1822</v>
      </c>
      <c r="C817" s="215" t="s">
        <v>1823</v>
      </c>
      <c r="D817" s="215" t="s">
        <v>1928</v>
      </c>
      <c r="E817" s="215" t="s">
        <v>1847</v>
      </c>
      <c r="F817" s="215" t="s">
        <v>1934</v>
      </c>
      <c r="G817" s="215" t="s">
        <v>92</v>
      </c>
      <c r="H817" s="216" t="s">
        <v>2649</v>
      </c>
      <c r="I817" s="217"/>
      <c r="J817" s="217"/>
      <c r="K817" s="217"/>
      <c r="L817" s="217"/>
      <c r="M817" s="217"/>
      <c r="N817" s="217"/>
      <c r="O817" s="217"/>
      <c r="P817" s="217"/>
      <c r="Q817" s="218"/>
    </row>
    <row r="818" spans="1:17" s="219" customFormat="1" ht="30" hidden="1" x14ac:dyDescent="0.25">
      <c r="A818" s="214"/>
      <c r="B818" s="215" t="s">
        <v>1822</v>
      </c>
      <c r="C818" s="215" t="s">
        <v>1823</v>
      </c>
      <c r="D818" s="215" t="s">
        <v>1928</v>
      </c>
      <c r="E818" s="215" t="s">
        <v>1847</v>
      </c>
      <c r="F818" s="215" t="s">
        <v>1934</v>
      </c>
      <c r="G818" s="215" t="s">
        <v>96</v>
      </c>
      <c r="H818" s="216" t="s">
        <v>2650</v>
      </c>
      <c r="I818" s="217"/>
      <c r="J818" s="217"/>
      <c r="K818" s="217"/>
      <c r="L818" s="217"/>
      <c r="M818" s="217"/>
      <c r="N818" s="217"/>
      <c r="O818" s="217"/>
      <c r="P818" s="217"/>
      <c r="Q818" s="218"/>
    </row>
    <row r="819" spans="1:17" s="219" customFormat="1" ht="30" hidden="1" x14ac:dyDescent="0.25">
      <c r="A819" s="214"/>
      <c r="B819" s="215" t="s">
        <v>1822</v>
      </c>
      <c r="C819" s="215" t="s">
        <v>1823</v>
      </c>
      <c r="D819" s="215" t="s">
        <v>1928</v>
      </c>
      <c r="E819" s="215" t="s">
        <v>1847</v>
      </c>
      <c r="F819" s="215" t="s">
        <v>1934</v>
      </c>
      <c r="G819" s="215" t="s">
        <v>100</v>
      </c>
      <c r="H819" s="216" t="s">
        <v>2651</v>
      </c>
      <c r="I819" s="217"/>
      <c r="J819" s="217"/>
      <c r="K819" s="217"/>
      <c r="L819" s="217"/>
      <c r="M819" s="217"/>
      <c r="N819" s="217"/>
      <c r="O819" s="217"/>
      <c r="P819" s="217"/>
      <c r="Q819" s="218"/>
    </row>
    <row r="820" spans="1:17" s="219" customFormat="1" ht="30" hidden="1" x14ac:dyDescent="0.25">
      <c r="A820" s="214"/>
      <c r="B820" s="215" t="s">
        <v>1822</v>
      </c>
      <c r="C820" s="215" t="s">
        <v>1823</v>
      </c>
      <c r="D820" s="215" t="s">
        <v>1928</v>
      </c>
      <c r="E820" s="215" t="s">
        <v>1847</v>
      </c>
      <c r="F820" s="215" t="s">
        <v>1934</v>
      </c>
      <c r="G820" s="215" t="s">
        <v>105</v>
      </c>
      <c r="H820" s="216" t="s">
        <v>2652</v>
      </c>
      <c r="I820" s="217"/>
      <c r="J820" s="217"/>
      <c r="K820" s="217"/>
      <c r="L820" s="217"/>
      <c r="M820" s="217"/>
      <c r="N820" s="217"/>
      <c r="O820" s="217"/>
      <c r="P820" s="217"/>
      <c r="Q820" s="218"/>
    </row>
    <row r="821" spans="1:17" s="219" customFormat="1" ht="30" hidden="1" x14ac:dyDescent="0.25">
      <c r="A821" s="214"/>
      <c r="B821" s="215" t="s">
        <v>1822</v>
      </c>
      <c r="C821" s="215" t="s">
        <v>1823</v>
      </c>
      <c r="D821" s="215" t="s">
        <v>1928</v>
      </c>
      <c r="E821" s="215" t="s">
        <v>1847</v>
      </c>
      <c r="F821" s="215" t="s">
        <v>1934</v>
      </c>
      <c r="G821" s="215" t="s">
        <v>108</v>
      </c>
      <c r="H821" s="216" t="s">
        <v>2653</v>
      </c>
      <c r="I821" s="217"/>
      <c r="J821" s="217"/>
      <c r="K821" s="217"/>
      <c r="L821" s="217"/>
      <c r="M821" s="217"/>
      <c r="N821" s="217"/>
      <c r="O821" s="217"/>
      <c r="P821" s="217"/>
      <c r="Q821" s="218"/>
    </row>
    <row r="822" spans="1:17" s="219" customFormat="1" ht="30" hidden="1" x14ac:dyDescent="0.25">
      <c r="A822" s="214"/>
      <c r="B822" s="215" t="s">
        <v>1822</v>
      </c>
      <c r="C822" s="215" t="s">
        <v>1823</v>
      </c>
      <c r="D822" s="215" t="s">
        <v>1928</v>
      </c>
      <c r="E822" s="215" t="s">
        <v>1847</v>
      </c>
      <c r="F822" s="215" t="s">
        <v>1934</v>
      </c>
      <c r="G822" s="215" t="s">
        <v>135</v>
      </c>
      <c r="H822" s="216" t="s">
        <v>2654</v>
      </c>
      <c r="I822" s="217"/>
      <c r="J822" s="217"/>
      <c r="K822" s="217"/>
      <c r="L822" s="217"/>
      <c r="M822" s="217"/>
      <c r="N822" s="217"/>
      <c r="O822" s="217"/>
      <c r="P822" s="217"/>
      <c r="Q822" s="218"/>
    </row>
    <row r="823" spans="1:17" s="219" customFormat="1" hidden="1" x14ac:dyDescent="0.25">
      <c r="A823" s="214"/>
      <c r="B823" s="215" t="s">
        <v>1822</v>
      </c>
      <c r="C823" s="215" t="s">
        <v>1823</v>
      </c>
      <c r="D823" s="215" t="s">
        <v>1928</v>
      </c>
      <c r="E823" s="215" t="s">
        <v>1847</v>
      </c>
      <c r="F823" s="215" t="s">
        <v>1934</v>
      </c>
      <c r="G823" s="215" t="s">
        <v>138</v>
      </c>
      <c r="H823" s="216" t="s">
        <v>2655</v>
      </c>
      <c r="I823" s="217"/>
      <c r="J823" s="217"/>
      <c r="K823" s="217"/>
      <c r="L823" s="217"/>
      <c r="M823" s="217"/>
      <c r="N823" s="217"/>
      <c r="O823" s="217"/>
      <c r="P823" s="217"/>
      <c r="Q823" s="218"/>
    </row>
    <row r="824" spans="1:17" s="213" customFormat="1" hidden="1" x14ac:dyDescent="0.25">
      <c r="A824" s="208" t="s">
        <v>263</v>
      </c>
      <c r="B824" s="209" t="s">
        <v>1822</v>
      </c>
      <c r="C824" s="209" t="s">
        <v>1823</v>
      </c>
      <c r="D824" s="209" t="s">
        <v>1928</v>
      </c>
      <c r="E824" s="209" t="s">
        <v>1847</v>
      </c>
      <c r="F824" s="209" t="s">
        <v>2022</v>
      </c>
      <c r="G824" s="209"/>
      <c r="H824" s="210" t="s">
        <v>2656</v>
      </c>
      <c r="I824" s="211">
        <f>SUM(I825:I828)</f>
        <v>0</v>
      </c>
      <c r="J824" s="211">
        <f t="shared" ref="J824:P824" si="108">SUM(J825:J828)</f>
        <v>0</v>
      </c>
      <c r="K824" s="211">
        <f t="shared" si="108"/>
        <v>0</v>
      </c>
      <c r="L824" s="211">
        <f t="shared" si="108"/>
        <v>0</v>
      </c>
      <c r="M824" s="211">
        <f t="shared" si="108"/>
        <v>0</v>
      </c>
      <c r="N824" s="211">
        <f t="shared" si="108"/>
        <v>0</v>
      </c>
      <c r="O824" s="211">
        <f t="shared" si="108"/>
        <v>0</v>
      </c>
      <c r="P824" s="211">
        <f t="shared" si="108"/>
        <v>0</v>
      </c>
      <c r="Q824" s="212"/>
    </row>
    <row r="825" spans="1:17" s="219" customFormat="1" hidden="1" x14ac:dyDescent="0.25">
      <c r="A825" s="214"/>
      <c r="B825" s="215" t="s">
        <v>1822</v>
      </c>
      <c r="C825" s="215" t="s">
        <v>1823</v>
      </c>
      <c r="D825" s="215" t="s">
        <v>1928</v>
      </c>
      <c r="E825" s="215" t="s">
        <v>1847</v>
      </c>
      <c r="F825" s="215" t="s">
        <v>2022</v>
      </c>
      <c r="G825" s="215" t="s">
        <v>58</v>
      </c>
      <c r="H825" s="216" t="s">
        <v>2657</v>
      </c>
      <c r="I825" s="217"/>
      <c r="J825" s="217"/>
      <c r="K825" s="217"/>
      <c r="L825" s="217"/>
      <c r="M825" s="217"/>
      <c r="N825" s="217"/>
      <c r="O825" s="217"/>
      <c r="P825" s="217"/>
      <c r="Q825" s="218"/>
    </row>
    <row r="826" spans="1:17" s="219" customFormat="1" hidden="1" x14ac:dyDescent="0.25">
      <c r="A826" s="214"/>
      <c r="B826" s="215" t="s">
        <v>1822</v>
      </c>
      <c r="C826" s="215" t="s">
        <v>1823</v>
      </c>
      <c r="D826" s="215" t="s">
        <v>1928</v>
      </c>
      <c r="E826" s="215" t="s">
        <v>1847</v>
      </c>
      <c r="F826" s="215" t="s">
        <v>2022</v>
      </c>
      <c r="G826" s="215" t="s">
        <v>75</v>
      </c>
      <c r="H826" s="216" t="s">
        <v>2658</v>
      </c>
      <c r="I826" s="217"/>
      <c r="J826" s="217"/>
      <c r="K826" s="217"/>
      <c r="L826" s="217"/>
      <c r="M826" s="217"/>
      <c r="N826" s="217"/>
      <c r="O826" s="217"/>
      <c r="P826" s="217"/>
      <c r="Q826" s="218"/>
    </row>
    <row r="827" spans="1:17" s="219" customFormat="1" hidden="1" x14ac:dyDescent="0.25">
      <c r="A827" s="214"/>
      <c r="B827" s="215" t="s">
        <v>1822</v>
      </c>
      <c r="C827" s="215" t="s">
        <v>1823</v>
      </c>
      <c r="D827" s="215" t="s">
        <v>1928</v>
      </c>
      <c r="E827" s="215" t="s">
        <v>1847</v>
      </c>
      <c r="F827" s="215" t="s">
        <v>2022</v>
      </c>
      <c r="G827" s="215" t="s">
        <v>79</v>
      </c>
      <c r="H827" s="216" t="s">
        <v>2659</v>
      </c>
      <c r="I827" s="217"/>
      <c r="J827" s="217"/>
      <c r="K827" s="217"/>
      <c r="L827" s="217"/>
      <c r="M827" s="217"/>
      <c r="N827" s="217"/>
      <c r="O827" s="217"/>
      <c r="P827" s="217"/>
      <c r="Q827" s="218"/>
    </row>
    <row r="828" spans="1:17" s="219" customFormat="1" hidden="1" x14ac:dyDescent="0.25">
      <c r="A828" s="214"/>
      <c r="B828" s="215" t="s">
        <v>1822</v>
      </c>
      <c r="C828" s="215" t="s">
        <v>1823</v>
      </c>
      <c r="D828" s="215" t="s">
        <v>1928</v>
      </c>
      <c r="E828" s="215" t="s">
        <v>1847</v>
      </c>
      <c r="F828" s="215" t="s">
        <v>2022</v>
      </c>
      <c r="G828" s="215" t="s">
        <v>84</v>
      </c>
      <c r="H828" s="216" t="s">
        <v>2660</v>
      </c>
      <c r="I828" s="217"/>
      <c r="J828" s="217"/>
      <c r="K828" s="217"/>
      <c r="L828" s="217"/>
      <c r="M828" s="217"/>
      <c r="N828" s="217"/>
      <c r="O828" s="217"/>
      <c r="P828" s="217"/>
      <c r="Q828" s="218"/>
    </row>
    <row r="829" spans="1:17" s="213" customFormat="1" hidden="1" x14ac:dyDescent="0.25">
      <c r="A829" s="208" t="s">
        <v>263</v>
      </c>
      <c r="B829" s="209" t="s">
        <v>1822</v>
      </c>
      <c r="C829" s="209" t="s">
        <v>1823</v>
      </c>
      <c r="D829" s="209" t="s">
        <v>1928</v>
      </c>
      <c r="E829" s="209" t="s">
        <v>1847</v>
      </c>
      <c r="F829" s="209" t="s">
        <v>2100</v>
      </c>
      <c r="G829" s="209"/>
      <c r="H829" s="210" t="s">
        <v>2661</v>
      </c>
      <c r="I829" s="211">
        <f>SUM(I830:I831)</f>
        <v>0</v>
      </c>
      <c r="J829" s="211">
        <f t="shared" ref="J829:P829" si="109">SUM(J830:J831)</f>
        <v>0</v>
      </c>
      <c r="K829" s="211">
        <f t="shared" si="109"/>
        <v>0</v>
      </c>
      <c r="L829" s="211">
        <f t="shared" si="109"/>
        <v>0</v>
      </c>
      <c r="M829" s="211">
        <f t="shared" si="109"/>
        <v>0</v>
      </c>
      <c r="N829" s="211">
        <f t="shared" si="109"/>
        <v>0</v>
      </c>
      <c r="O829" s="211">
        <f t="shared" si="109"/>
        <v>0</v>
      </c>
      <c r="P829" s="211">
        <f t="shared" si="109"/>
        <v>0</v>
      </c>
      <c r="Q829" s="212"/>
    </row>
    <row r="830" spans="1:17" s="219" customFormat="1" hidden="1" x14ac:dyDescent="0.25">
      <c r="A830" s="214"/>
      <c r="B830" s="215" t="s">
        <v>1822</v>
      </c>
      <c r="C830" s="215" t="s">
        <v>1823</v>
      </c>
      <c r="D830" s="215" t="s">
        <v>1928</v>
      </c>
      <c r="E830" s="215" t="s">
        <v>1847</v>
      </c>
      <c r="F830" s="215" t="s">
        <v>2100</v>
      </c>
      <c r="G830" s="215" t="s">
        <v>58</v>
      </c>
      <c r="H830" s="216" t="s">
        <v>2662</v>
      </c>
      <c r="I830" s="217"/>
      <c r="J830" s="217"/>
      <c r="K830" s="217"/>
      <c r="L830" s="217"/>
      <c r="M830" s="217"/>
      <c r="N830" s="217"/>
      <c r="O830" s="217"/>
      <c r="P830" s="217"/>
      <c r="Q830" s="218"/>
    </row>
    <row r="831" spans="1:17" s="219" customFormat="1" hidden="1" x14ac:dyDescent="0.25">
      <c r="A831" s="214"/>
      <c r="B831" s="215" t="s">
        <v>1822</v>
      </c>
      <c r="C831" s="215" t="s">
        <v>1823</v>
      </c>
      <c r="D831" s="215" t="s">
        <v>1928</v>
      </c>
      <c r="E831" s="215" t="s">
        <v>1847</v>
      </c>
      <c r="F831" s="215" t="s">
        <v>2100</v>
      </c>
      <c r="G831" s="215" t="s">
        <v>75</v>
      </c>
      <c r="H831" s="216" t="s">
        <v>2663</v>
      </c>
      <c r="I831" s="217"/>
      <c r="J831" s="217"/>
      <c r="K831" s="217"/>
      <c r="L831" s="217"/>
      <c r="M831" s="217"/>
      <c r="N831" s="217"/>
      <c r="O831" s="217"/>
      <c r="P831" s="217"/>
      <c r="Q831" s="218"/>
    </row>
    <row r="832" spans="1:17" s="213" customFormat="1" hidden="1" x14ac:dyDescent="0.25">
      <c r="A832" s="208" t="s">
        <v>263</v>
      </c>
      <c r="B832" s="209" t="s">
        <v>1822</v>
      </c>
      <c r="C832" s="209" t="s">
        <v>1823</v>
      </c>
      <c r="D832" s="209" t="s">
        <v>1928</v>
      </c>
      <c r="E832" s="209" t="s">
        <v>1847</v>
      </c>
      <c r="F832" s="209" t="s">
        <v>2139</v>
      </c>
      <c r="G832" s="209"/>
      <c r="H832" s="210" t="s">
        <v>2664</v>
      </c>
      <c r="I832" s="211">
        <f>SUM(I833:I836)</f>
        <v>0</v>
      </c>
      <c r="J832" s="211">
        <f t="shared" ref="J832:P832" si="110">SUM(J833:J836)</f>
        <v>0</v>
      </c>
      <c r="K832" s="211">
        <f t="shared" si="110"/>
        <v>0</v>
      </c>
      <c r="L832" s="211">
        <f t="shared" si="110"/>
        <v>0</v>
      </c>
      <c r="M832" s="211">
        <f t="shared" si="110"/>
        <v>0</v>
      </c>
      <c r="N832" s="211">
        <f t="shared" si="110"/>
        <v>0</v>
      </c>
      <c r="O832" s="211">
        <f t="shared" si="110"/>
        <v>0</v>
      </c>
      <c r="P832" s="211">
        <f t="shared" si="110"/>
        <v>0</v>
      </c>
      <c r="Q832" s="212"/>
    </row>
    <row r="833" spans="1:17" s="219" customFormat="1" hidden="1" x14ac:dyDescent="0.25">
      <c r="A833" s="214"/>
      <c r="B833" s="215" t="s">
        <v>1822</v>
      </c>
      <c r="C833" s="215" t="s">
        <v>1823</v>
      </c>
      <c r="D833" s="215" t="s">
        <v>1928</v>
      </c>
      <c r="E833" s="215" t="s">
        <v>1847</v>
      </c>
      <c r="F833" s="215" t="s">
        <v>2139</v>
      </c>
      <c r="G833" s="215" t="s">
        <v>58</v>
      </c>
      <c r="H833" s="216" t="s">
        <v>2665</v>
      </c>
      <c r="I833" s="217"/>
      <c r="J833" s="217"/>
      <c r="K833" s="217"/>
      <c r="L833" s="217"/>
      <c r="M833" s="217"/>
      <c r="N833" s="217"/>
      <c r="O833" s="217"/>
      <c r="P833" s="217"/>
      <c r="Q833" s="218"/>
    </row>
    <row r="834" spans="1:17" s="219" customFormat="1" hidden="1" x14ac:dyDescent="0.25">
      <c r="A834" s="214"/>
      <c r="B834" s="215" t="s">
        <v>1822</v>
      </c>
      <c r="C834" s="215" t="s">
        <v>1823</v>
      </c>
      <c r="D834" s="215" t="s">
        <v>1928</v>
      </c>
      <c r="E834" s="215" t="s">
        <v>1847</v>
      </c>
      <c r="F834" s="215" t="s">
        <v>2139</v>
      </c>
      <c r="G834" s="215" t="s">
        <v>75</v>
      </c>
      <c r="H834" s="216" t="s">
        <v>2666</v>
      </c>
      <c r="I834" s="217"/>
      <c r="J834" s="217"/>
      <c r="K834" s="217"/>
      <c r="L834" s="217"/>
      <c r="M834" s="217"/>
      <c r="N834" s="217"/>
      <c r="O834" s="217"/>
      <c r="P834" s="217"/>
      <c r="Q834" s="218"/>
    </row>
    <row r="835" spans="1:17" s="219" customFormat="1" hidden="1" x14ac:dyDescent="0.25">
      <c r="A835" s="214"/>
      <c r="B835" s="215" t="s">
        <v>1822</v>
      </c>
      <c r="C835" s="215" t="s">
        <v>1823</v>
      </c>
      <c r="D835" s="215" t="s">
        <v>1928</v>
      </c>
      <c r="E835" s="215" t="s">
        <v>1847</v>
      </c>
      <c r="F835" s="215" t="s">
        <v>2139</v>
      </c>
      <c r="G835" s="215" t="s">
        <v>79</v>
      </c>
      <c r="H835" s="216" t="s">
        <v>2667</v>
      </c>
      <c r="I835" s="217"/>
      <c r="J835" s="217"/>
      <c r="K835" s="217"/>
      <c r="L835" s="217"/>
      <c r="M835" s="217"/>
      <c r="N835" s="217"/>
      <c r="O835" s="217"/>
      <c r="P835" s="217"/>
      <c r="Q835" s="218"/>
    </row>
    <row r="836" spans="1:17" s="219" customFormat="1" hidden="1" x14ac:dyDescent="0.25">
      <c r="A836" s="214"/>
      <c r="B836" s="215" t="s">
        <v>1822</v>
      </c>
      <c r="C836" s="215" t="s">
        <v>1823</v>
      </c>
      <c r="D836" s="215" t="s">
        <v>1928</v>
      </c>
      <c r="E836" s="215" t="s">
        <v>1847</v>
      </c>
      <c r="F836" s="215" t="s">
        <v>2139</v>
      </c>
      <c r="G836" s="215" t="s">
        <v>84</v>
      </c>
      <c r="H836" s="216" t="s">
        <v>2668</v>
      </c>
      <c r="I836" s="217"/>
      <c r="J836" s="217"/>
      <c r="K836" s="217"/>
      <c r="L836" s="217"/>
      <c r="M836" s="217"/>
      <c r="N836" s="217"/>
      <c r="O836" s="217"/>
      <c r="P836" s="217"/>
      <c r="Q836" s="218"/>
    </row>
    <row r="837" spans="1:17" s="213" customFormat="1" hidden="1" x14ac:dyDescent="0.25">
      <c r="A837" s="208" t="s">
        <v>263</v>
      </c>
      <c r="B837" s="209" t="s">
        <v>1822</v>
      </c>
      <c r="C837" s="209" t="s">
        <v>1823</v>
      </c>
      <c r="D837" s="209" t="s">
        <v>1928</v>
      </c>
      <c r="E837" s="209" t="s">
        <v>1847</v>
      </c>
      <c r="F837" s="209" t="s">
        <v>2277</v>
      </c>
      <c r="G837" s="209"/>
      <c r="H837" s="210" t="s">
        <v>2669</v>
      </c>
      <c r="I837" s="211">
        <f>SUM(I838:I841)</f>
        <v>0</v>
      </c>
      <c r="J837" s="211">
        <f t="shared" ref="J837:P837" si="111">SUM(J838:J841)</f>
        <v>0</v>
      </c>
      <c r="K837" s="211">
        <f t="shared" si="111"/>
        <v>0</v>
      </c>
      <c r="L837" s="211">
        <f t="shared" si="111"/>
        <v>0</v>
      </c>
      <c r="M837" s="211">
        <f t="shared" si="111"/>
        <v>0</v>
      </c>
      <c r="N837" s="211">
        <f t="shared" si="111"/>
        <v>0</v>
      </c>
      <c r="O837" s="211">
        <f t="shared" si="111"/>
        <v>0</v>
      </c>
      <c r="P837" s="211">
        <f t="shared" si="111"/>
        <v>0</v>
      </c>
      <c r="Q837" s="212"/>
    </row>
    <row r="838" spans="1:17" s="219" customFormat="1" hidden="1" x14ac:dyDescent="0.25">
      <c r="A838" s="214"/>
      <c r="B838" s="215" t="s">
        <v>1822</v>
      </c>
      <c r="C838" s="215" t="s">
        <v>1823</v>
      </c>
      <c r="D838" s="215" t="s">
        <v>1928</v>
      </c>
      <c r="E838" s="215" t="s">
        <v>1847</v>
      </c>
      <c r="F838" s="215" t="s">
        <v>2277</v>
      </c>
      <c r="G838" s="215" t="s">
        <v>58</v>
      </c>
      <c r="H838" s="216" t="s">
        <v>2670</v>
      </c>
      <c r="I838" s="217"/>
      <c r="J838" s="217"/>
      <c r="K838" s="217"/>
      <c r="L838" s="217"/>
      <c r="M838" s="217"/>
      <c r="N838" s="217"/>
      <c r="O838" s="217"/>
      <c r="P838" s="217"/>
      <c r="Q838" s="218"/>
    </row>
    <row r="839" spans="1:17" s="219" customFormat="1" hidden="1" x14ac:dyDescent="0.25">
      <c r="A839" s="214"/>
      <c r="B839" s="215" t="s">
        <v>1822</v>
      </c>
      <c r="C839" s="215" t="s">
        <v>1823</v>
      </c>
      <c r="D839" s="215" t="s">
        <v>1928</v>
      </c>
      <c r="E839" s="215" t="s">
        <v>1847</v>
      </c>
      <c r="F839" s="215" t="s">
        <v>2277</v>
      </c>
      <c r="G839" s="215" t="s">
        <v>75</v>
      </c>
      <c r="H839" s="216" t="s">
        <v>2671</v>
      </c>
      <c r="I839" s="217"/>
      <c r="J839" s="217"/>
      <c r="K839" s="217"/>
      <c r="L839" s="217"/>
      <c r="M839" s="217"/>
      <c r="N839" s="217"/>
      <c r="O839" s="217"/>
      <c r="P839" s="217"/>
      <c r="Q839" s="218"/>
    </row>
    <row r="840" spans="1:17" s="219" customFormat="1" ht="30" hidden="1" x14ac:dyDescent="0.25">
      <c r="A840" s="214"/>
      <c r="B840" s="215" t="s">
        <v>1822</v>
      </c>
      <c r="C840" s="215" t="s">
        <v>1823</v>
      </c>
      <c r="D840" s="215" t="s">
        <v>1928</v>
      </c>
      <c r="E840" s="215" t="s">
        <v>1847</v>
      </c>
      <c r="F840" s="215" t="s">
        <v>2277</v>
      </c>
      <c r="G840" s="215" t="s">
        <v>79</v>
      </c>
      <c r="H840" s="216" t="s">
        <v>2672</v>
      </c>
      <c r="I840" s="217"/>
      <c r="J840" s="217"/>
      <c r="K840" s="217"/>
      <c r="L840" s="217"/>
      <c r="M840" s="217"/>
      <c r="N840" s="217"/>
      <c r="O840" s="217"/>
      <c r="P840" s="217"/>
      <c r="Q840" s="218"/>
    </row>
    <row r="841" spans="1:17" s="219" customFormat="1" hidden="1" x14ac:dyDescent="0.25">
      <c r="A841" s="214"/>
      <c r="B841" s="215" t="s">
        <v>1822</v>
      </c>
      <c r="C841" s="215" t="s">
        <v>1823</v>
      </c>
      <c r="D841" s="215" t="s">
        <v>1928</v>
      </c>
      <c r="E841" s="215" t="s">
        <v>1847</v>
      </c>
      <c r="F841" s="215" t="s">
        <v>2277</v>
      </c>
      <c r="G841" s="215" t="s">
        <v>84</v>
      </c>
      <c r="H841" s="216" t="s">
        <v>2673</v>
      </c>
      <c r="I841" s="217"/>
      <c r="J841" s="217"/>
      <c r="K841" s="217"/>
      <c r="L841" s="217"/>
      <c r="M841" s="217"/>
      <c r="N841" s="217"/>
      <c r="O841" s="217"/>
      <c r="P841" s="217"/>
      <c r="Q841" s="218"/>
    </row>
    <row r="842" spans="1:17" s="213" customFormat="1" hidden="1" x14ac:dyDescent="0.25">
      <c r="A842" s="208" t="s">
        <v>263</v>
      </c>
      <c r="B842" s="209" t="s">
        <v>1822</v>
      </c>
      <c r="C842" s="209" t="s">
        <v>1823</v>
      </c>
      <c r="D842" s="209" t="s">
        <v>1928</v>
      </c>
      <c r="E842" s="209" t="s">
        <v>1847</v>
      </c>
      <c r="F842" s="209" t="s">
        <v>2313</v>
      </c>
      <c r="G842" s="209"/>
      <c r="H842" s="210" t="s">
        <v>2674</v>
      </c>
      <c r="I842" s="211">
        <f>I843</f>
        <v>0</v>
      </c>
      <c r="J842" s="211">
        <f t="shared" ref="J842:P842" si="112">J843</f>
        <v>0</v>
      </c>
      <c r="K842" s="211">
        <f t="shared" si="112"/>
        <v>0</v>
      </c>
      <c r="L842" s="211">
        <f t="shared" si="112"/>
        <v>0</v>
      </c>
      <c r="M842" s="211">
        <f t="shared" si="112"/>
        <v>0</v>
      </c>
      <c r="N842" s="211">
        <f t="shared" si="112"/>
        <v>0</v>
      </c>
      <c r="O842" s="211">
        <f t="shared" si="112"/>
        <v>0</v>
      </c>
      <c r="P842" s="211">
        <f t="shared" si="112"/>
        <v>0</v>
      </c>
      <c r="Q842" s="212"/>
    </row>
    <row r="843" spans="1:17" s="219" customFormat="1" x14ac:dyDescent="0.25">
      <c r="A843" s="214"/>
      <c r="B843" s="215" t="s">
        <v>1822</v>
      </c>
      <c r="C843" s="215" t="s">
        <v>1823</v>
      </c>
      <c r="D843" s="215" t="s">
        <v>1928</v>
      </c>
      <c r="E843" s="215" t="s">
        <v>1847</v>
      </c>
      <c r="F843" s="215" t="s">
        <v>2313</v>
      </c>
      <c r="G843" s="215" t="s">
        <v>58</v>
      </c>
      <c r="H843" s="216" t="s">
        <v>2674</v>
      </c>
      <c r="I843" s="217"/>
      <c r="J843" s="217"/>
      <c r="K843" s="217"/>
      <c r="L843" s="217"/>
      <c r="M843" s="217"/>
      <c r="N843" s="217"/>
      <c r="O843" s="217"/>
      <c r="P843" s="217"/>
      <c r="Q843" s="218"/>
    </row>
    <row r="844" spans="1:17" s="213" customFormat="1" x14ac:dyDescent="0.25">
      <c r="A844" s="208" t="s">
        <v>1984</v>
      </c>
      <c r="B844" s="209" t="s">
        <v>1822</v>
      </c>
      <c r="C844" s="209" t="s">
        <v>1823</v>
      </c>
      <c r="D844" s="209" t="s">
        <v>1928</v>
      </c>
      <c r="E844" s="209" t="s">
        <v>1928</v>
      </c>
      <c r="F844" s="209"/>
      <c r="G844" s="209"/>
      <c r="H844" s="210" t="s">
        <v>2675</v>
      </c>
      <c r="I844" s="211">
        <f>SUM(I845+I851+I855+I861)</f>
        <v>1260745500</v>
      </c>
      <c r="J844" s="211">
        <f t="shared" ref="J844:P844" si="113">SUM(J845+J851+J855+J861)</f>
        <v>31518637.5</v>
      </c>
      <c r="K844" s="211">
        <f t="shared" si="113"/>
        <v>15759318.75</v>
      </c>
      <c r="L844" s="211">
        <f t="shared" si="113"/>
        <v>0</v>
      </c>
      <c r="M844" s="211">
        <f t="shared" si="113"/>
        <v>15759318.75</v>
      </c>
      <c r="N844" s="211">
        <f t="shared" si="113"/>
        <v>282573281.25</v>
      </c>
      <c r="O844" s="211">
        <f t="shared" si="113"/>
        <v>978172218.75</v>
      </c>
      <c r="P844" s="211">
        <f t="shared" si="113"/>
        <v>0</v>
      </c>
      <c r="Q844" s="212"/>
    </row>
    <row r="845" spans="1:17" s="213" customFormat="1" x14ac:dyDescent="0.25">
      <c r="A845" s="208" t="s">
        <v>263</v>
      </c>
      <c r="B845" s="209" t="s">
        <v>1822</v>
      </c>
      <c r="C845" s="209" t="s">
        <v>1823</v>
      </c>
      <c r="D845" s="209" t="s">
        <v>1928</v>
      </c>
      <c r="E845" s="209" t="s">
        <v>1928</v>
      </c>
      <c r="F845" s="209" t="s">
        <v>1825</v>
      </c>
      <c r="G845" s="209"/>
      <c r="H845" s="210" t="s">
        <v>2676</v>
      </c>
      <c r="I845" s="211">
        <f>SUM(I846:I850)</f>
        <v>0</v>
      </c>
      <c r="J845" s="211">
        <f t="shared" ref="J845:P845" si="114">SUM(J846:J850)</f>
        <v>0</v>
      </c>
      <c r="K845" s="211">
        <f t="shared" si="114"/>
        <v>0</v>
      </c>
      <c r="L845" s="211">
        <f t="shared" si="114"/>
        <v>0</v>
      </c>
      <c r="M845" s="211">
        <f t="shared" si="114"/>
        <v>0</v>
      </c>
      <c r="N845" s="211">
        <f t="shared" si="114"/>
        <v>0</v>
      </c>
      <c r="O845" s="211">
        <f t="shared" si="114"/>
        <v>0</v>
      </c>
      <c r="P845" s="211">
        <f t="shared" si="114"/>
        <v>0</v>
      </c>
      <c r="Q845" s="212"/>
    </row>
    <row r="846" spans="1:17" s="219" customFormat="1" hidden="1" x14ac:dyDescent="0.25">
      <c r="A846" s="214"/>
      <c r="B846" s="215" t="s">
        <v>1822</v>
      </c>
      <c r="C846" s="215" t="s">
        <v>1823</v>
      </c>
      <c r="D846" s="215" t="s">
        <v>1928</v>
      </c>
      <c r="E846" s="215" t="s">
        <v>1928</v>
      </c>
      <c r="F846" s="215" t="s">
        <v>1825</v>
      </c>
      <c r="G846" s="215" t="s">
        <v>58</v>
      </c>
      <c r="H846" s="216" t="s">
        <v>2677</v>
      </c>
      <c r="I846" s="217"/>
      <c r="J846" s="217"/>
      <c r="K846" s="217"/>
      <c r="L846" s="217"/>
      <c r="M846" s="217"/>
      <c r="N846" s="217"/>
      <c r="O846" s="217"/>
      <c r="P846" s="217"/>
      <c r="Q846" s="218"/>
    </row>
    <row r="847" spans="1:17" s="219" customFormat="1" hidden="1" x14ac:dyDescent="0.25">
      <c r="A847" s="214"/>
      <c r="B847" s="215" t="s">
        <v>1822</v>
      </c>
      <c r="C847" s="215" t="s">
        <v>1823</v>
      </c>
      <c r="D847" s="215" t="s">
        <v>1928</v>
      </c>
      <c r="E847" s="215" t="s">
        <v>1928</v>
      </c>
      <c r="F847" s="215" t="s">
        <v>1825</v>
      </c>
      <c r="G847" s="215" t="s">
        <v>75</v>
      </c>
      <c r="H847" s="216" t="s">
        <v>2678</v>
      </c>
      <c r="I847" s="217"/>
      <c r="J847" s="217"/>
      <c r="K847" s="217"/>
      <c r="L847" s="217"/>
      <c r="M847" s="217"/>
      <c r="N847" s="217"/>
      <c r="O847" s="217"/>
      <c r="P847" s="217"/>
      <c r="Q847" s="218"/>
    </row>
    <row r="848" spans="1:17" s="219" customFormat="1" hidden="1" x14ac:dyDescent="0.25">
      <c r="A848" s="214"/>
      <c r="B848" s="215" t="s">
        <v>1822</v>
      </c>
      <c r="C848" s="215" t="s">
        <v>1823</v>
      </c>
      <c r="D848" s="215" t="s">
        <v>1928</v>
      </c>
      <c r="E848" s="215" t="s">
        <v>1928</v>
      </c>
      <c r="F848" s="215" t="s">
        <v>1825</v>
      </c>
      <c r="G848" s="215" t="s">
        <v>79</v>
      </c>
      <c r="H848" s="216" t="s">
        <v>2679</v>
      </c>
      <c r="I848" s="217"/>
      <c r="J848" s="217"/>
      <c r="K848" s="217"/>
      <c r="L848" s="217"/>
      <c r="M848" s="217"/>
      <c r="N848" s="217"/>
      <c r="O848" s="217"/>
      <c r="P848" s="217"/>
      <c r="Q848" s="218"/>
    </row>
    <row r="849" spans="1:17" s="219" customFormat="1" hidden="1" x14ac:dyDescent="0.25">
      <c r="A849" s="214"/>
      <c r="B849" s="215" t="s">
        <v>1822</v>
      </c>
      <c r="C849" s="215" t="s">
        <v>1823</v>
      </c>
      <c r="D849" s="215" t="s">
        <v>1928</v>
      </c>
      <c r="E849" s="215" t="s">
        <v>1928</v>
      </c>
      <c r="F849" s="215" t="s">
        <v>1825</v>
      </c>
      <c r="G849" s="215" t="s">
        <v>84</v>
      </c>
      <c r="H849" s="216" t="s">
        <v>2680</v>
      </c>
      <c r="I849" s="217"/>
      <c r="J849" s="217"/>
      <c r="K849" s="217"/>
      <c r="L849" s="217"/>
      <c r="M849" s="217"/>
      <c r="N849" s="217"/>
      <c r="O849" s="217"/>
      <c r="P849" s="217"/>
      <c r="Q849" s="218"/>
    </row>
    <row r="850" spans="1:17" s="219" customFormat="1" x14ac:dyDescent="0.25">
      <c r="A850" s="214"/>
      <c r="B850" s="215" t="s">
        <v>1822</v>
      </c>
      <c r="C850" s="215" t="s">
        <v>1823</v>
      </c>
      <c r="D850" s="215" t="s">
        <v>1928</v>
      </c>
      <c r="E850" s="215" t="s">
        <v>1928</v>
      </c>
      <c r="F850" s="215" t="s">
        <v>1825</v>
      </c>
      <c r="G850" s="215" t="s">
        <v>88</v>
      </c>
      <c r="H850" s="216" t="s">
        <v>2681</v>
      </c>
      <c r="I850" s="217"/>
      <c r="J850" s="217"/>
      <c r="K850" s="217"/>
      <c r="L850" s="217"/>
      <c r="M850" s="217"/>
      <c r="N850" s="217"/>
      <c r="O850" s="217"/>
      <c r="P850" s="217"/>
      <c r="Q850" s="218"/>
    </row>
    <row r="851" spans="1:17" s="213" customFormat="1" x14ac:dyDescent="0.25">
      <c r="A851" s="208" t="s">
        <v>263</v>
      </c>
      <c r="B851" s="209" t="s">
        <v>1822</v>
      </c>
      <c r="C851" s="209" t="s">
        <v>1823</v>
      </c>
      <c r="D851" s="209" t="s">
        <v>1928</v>
      </c>
      <c r="E851" s="209" t="s">
        <v>1928</v>
      </c>
      <c r="F851" s="209" t="s">
        <v>1836</v>
      </c>
      <c r="G851" s="209"/>
      <c r="H851" s="210" t="s">
        <v>1428</v>
      </c>
      <c r="I851" s="211">
        <f>SUM(I852:I854)</f>
        <v>1260745500</v>
      </c>
      <c r="J851" s="211">
        <f t="shared" ref="J851:P851" si="115">SUM(J852:J854)</f>
        <v>31518637.5</v>
      </c>
      <c r="K851" s="211">
        <f t="shared" si="115"/>
        <v>15759318.75</v>
      </c>
      <c r="L851" s="211">
        <f t="shared" si="115"/>
        <v>0</v>
      </c>
      <c r="M851" s="211">
        <f t="shared" si="115"/>
        <v>15759318.75</v>
      </c>
      <c r="N851" s="211">
        <f t="shared" si="115"/>
        <v>282573281.25</v>
      </c>
      <c r="O851" s="211">
        <f t="shared" si="115"/>
        <v>978172218.75</v>
      </c>
      <c r="P851" s="211">
        <f t="shared" si="115"/>
        <v>0</v>
      </c>
      <c r="Q851" s="212"/>
    </row>
    <row r="852" spans="1:17" s="219" customFormat="1" x14ac:dyDescent="0.25">
      <c r="A852" s="214"/>
      <c r="B852" s="215" t="s">
        <v>1822</v>
      </c>
      <c r="C852" s="215" t="s">
        <v>1823</v>
      </c>
      <c r="D852" s="215" t="s">
        <v>1928</v>
      </c>
      <c r="E852" s="215" t="s">
        <v>1928</v>
      </c>
      <c r="F852" s="215" t="s">
        <v>1836</v>
      </c>
      <c r="G852" s="215" t="s">
        <v>58</v>
      </c>
      <c r="H852" s="216" t="s">
        <v>2682</v>
      </c>
      <c r="I852" s="217"/>
      <c r="J852" s="217"/>
      <c r="K852" s="217"/>
      <c r="L852" s="217"/>
      <c r="M852" s="217"/>
      <c r="N852" s="217"/>
      <c r="O852" s="217"/>
      <c r="P852" s="217"/>
      <c r="Q852" s="218"/>
    </row>
    <row r="853" spans="1:17" s="219" customFormat="1" x14ac:dyDescent="0.25">
      <c r="A853" s="214"/>
      <c r="B853" s="215" t="s">
        <v>1822</v>
      </c>
      <c r="C853" s="215" t="s">
        <v>1823</v>
      </c>
      <c r="D853" s="215" t="s">
        <v>1928</v>
      </c>
      <c r="E853" s="215" t="s">
        <v>1928</v>
      </c>
      <c r="F853" s="215" t="s">
        <v>1836</v>
      </c>
      <c r="G853" s="215" t="s">
        <v>75</v>
      </c>
      <c r="H853" s="216" t="s">
        <v>2683</v>
      </c>
      <c r="I853" s="217"/>
      <c r="J853" s="217"/>
      <c r="K853" s="217"/>
      <c r="L853" s="217"/>
      <c r="M853" s="217"/>
      <c r="N853" s="217"/>
      <c r="O853" s="217"/>
      <c r="P853" s="217"/>
      <c r="Q853" s="218"/>
    </row>
    <row r="854" spans="1:17" s="219" customFormat="1" x14ac:dyDescent="0.25">
      <c r="A854" s="214"/>
      <c r="B854" s="215" t="s">
        <v>1822</v>
      </c>
      <c r="C854" s="215" t="s">
        <v>1823</v>
      </c>
      <c r="D854" s="215" t="s">
        <v>1928</v>
      </c>
      <c r="E854" s="215" t="s">
        <v>1928</v>
      </c>
      <c r="F854" s="215" t="s">
        <v>1836</v>
      </c>
      <c r="G854" s="215" t="s">
        <v>79</v>
      </c>
      <c r="H854" s="216" t="s">
        <v>2684</v>
      </c>
      <c r="I854" s="217">
        <v>1260745500</v>
      </c>
      <c r="J854" s="217">
        <v>31518637.5</v>
      </c>
      <c r="K854" s="217">
        <v>15759318.75</v>
      </c>
      <c r="L854" s="217"/>
      <c r="M854" s="217">
        <v>15759318.75</v>
      </c>
      <c r="N854" s="217">
        <v>282573281.25</v>
      </c>
      <c r="O854" s="217">
        <v>978172218.75</v>
      </c>
      <c r="P854" s="217"/>
      <c r="Q854" s="218"/>
    </row>
    <row r="855" spans="1:17" s="213" customFormat="1" x14ac:dyDescent="0.25">
      <c r="A855" s="208" t="s">
        <v>263</v>
      </c>
      <c r="B855" s="209" t="s">
        <v>1822</v>
      </c>
      <c r="C855" s="209" t="s">
        <v>1823</v>
      </c>
      <c r="D855" s="209" t="s">
        <v>1928</v>
      </c>
      <c r="E855" s="209" t="s">
        <v>1928</v>
      </c>
      <c r="F855" s="209" t="s">
        <v>1847</v>
      </c>
      <c r="G855" s="209"/>
      <c r="H855" s="210" t="s">
        <v>2685</v>
      </c>
      <c r="I855" s="211">
        <f>SUM(I856:I860)</f>
        <v>0</v>
      </c>
      <c r="J855" s="211">
        <f t="shared" ref="J855:P855" si="116">SUM(J856:J860)</f>
        <v>0</v>
      </c>
      <c r="K855" s="211">
        <f t="shared" si="116"/>
        <v>0</v>
      </c>
      <c r="L855" s="211">
        <f t="shared" si="116"/>
        <v>0</v>
      </c>
      <c r="M855" s="211">
        <f t="shared" si="116"/>
        <v>0</v>
      </c>
      <c r="N855" s="211">
        <f t="shared" si="116"/>
        <v>0</v>
      </c>
      <c r="O855" s="211">
        <f t="shared" si="116"/>
        <v>0</v>
      </c>
      <c r="P855" s="211">
        <f t="shared" si="116"/>
        <v>0</v>
      </c>
      <c r="Q855" s="212"/>
    </row>
    <row r="856" spans="1:17" s="219" customFormat="1" hidden="1" x14ac:dyDescent="0.25">
      <c r="A856" s="214"/>
      <c r="B856" s="215" t="s">
        <v>1822</v>
      </c>
      <c r="C856" s="215" t="s">
        <v>1823</v>
      </c>
      <c r="D856" s="215" t="s">
        <v>1928</v>
      </c>
      <c r="E856" s="215" t="s">
        <v>1928</v>
      </c>
      <c r="F856" s="215" t="s">
        <v>1847</v>
      </c>
      <c r="G856" s="215" t="s">
        <v>58</v>
      </c>
      <c r="H856" s="216" t="s">
        <v>2686</v>
      </c>
      <c r="I856" s="217"/>
      <c r="J856" s="217"/>
      <c r="K856" s="217"/>
      <c r="L856" s="217"/>
      <c r="M856" s="217"/>
      <c r="N856" s="217"/>
      <c r="O856" s="217"/>
      <c r="P856" s="217"/>
      <c r="Q856" s="218"/>
    </row>
    <row r="857" spans="1:17" s="219" customFormat="1" hidden="1" x14ac:dyDescent="0.25">
      <c r="A857" s="214"/>
      <c r="B857" s="215" t="s">
        <v>1822</v>
      </c>
      <c r="C857" s="215" t="s">
        <v>1823</v>
      </c>
      <c r="D857" s="215" t="s">
        <v>1928</v>
      </c>
      <c r="E857" s="215" t="s">
        <v>1928</v>
      </c>
      <c r="F857" s="215" t="s">
        <v>1847</v>
      </c>
      <c r="G857" s="215" t="s">
        <v>75</v>
      </c>
      <c r="H857" s="216" t="s">
        <v>2687</v>
      </c>
      <c r="I857" s="217"/>
      <c r="J857" s="217"/>
      <c r="K857" s="217"/>
      <c r="L857" s="217"/>
      <c r="M857" s="217"/>
      <c r="N857" s="217"/>
      <c r="O857" s="217"/>
      <c r="P857" s="217"/>
      <c r="Q857" s="218"/>
    </row>
    <row r="858" spans="1:17" s="219" customFormat="1" hidden="1" x14ac:dyDescent="0.25">
      <c r="A858" s="214"/>
      <c r="B858" s="215" t="s">
        <v>1822</v>
      </c>
      <c r="C858" s="215" t="s">
        <v>1823</v>
      </c>
      <c r="D858" s="215" t="s">
        <v>1928</v>
      </c>
      <c r="E858" s="215" t="s">
        <v>1928</v>
      </c>
      <c r="F858" s="215" t="s">
        <v>1847</v>
      </c>
      <c r="G858" s="215" t="s">
        <v>79</v>
      </c>
      <c r="H858" s="216" t="s">
        <v>2688</v>
      </c>
      <c r="I858" s="217"/>
      <c r="J858" s="217"/>
      <c r="K858" s="217"/>
      <c r="L858" s="217"/>
      <c r="M858" s="217"/>
      <c r="N858" s="217"/>
      <c r="O858" s="217"/>
      <c r="P858" s="217"/>
      <c r="Q858" s="218"/>
    </row>
    <row r="859" spans="1:17" s="219" customFormat="1" hidden="1" x14ac:dyDescent="0.25">
      <c r="A859" s="214"/>
      <c r="B859" s="215" t="s">
        <v>1822</v>
      </c>
      <c r="C859" s="215" t="s">
        <v>1823</v>
      </c>
      <c r="D859" s="215" t="s">
        <v>1928</v>
      </c>
      <c r="E859" s="215" t="s">
        <v>1928</v>
      </c>
      <c r="F859" s="215" t="s">
        <v>1847</v>
      </c>
      <c r="G859" s="215" t="s">
        <v>84</v>
      </c>
      <c r="H859" s="216" t="s">
        <v>2689</v>
      </c>
      <c r="I859" s="217"/>
      <c r="J859" s="217"/>
      <c r="K859" s="217"/>
      <c r="L859" s="217"/>
      <c r="M859" s="217"/>
      <c r="N859" s="217"/>
      <c r="O859" s="217"/>
      <c r="P859" s="217"/>
      <c r="Q859" s="218"/>
    </row>
    <row r="860" spans="1:17" s="219" customFormat="1" hidden="1" x14ac:dyDescent="0.25">
      <c r="A860" s="214"/>
      <c r="B860" s="215" t="s">
        <v>1822</v>
      </c>
      <c r="C860" s="215" t="s">
        <v>1823</v>
      </c>
      <c r="D860" s="215" t="s">
        <v>1928</v>
      </c>
      <c r="E860" s="215" t="s">
        <v>1928</v>
      </c>
      <c r="F860" s="215" t="s">
        <v>1847</v>
      </c>
      <c r="G860" s="215" t="s">
        <v>88</v>
      </c>
      <c r="H860" s="216" t="s">
        <v>2690</v>
      </c>
      <c r="I860" s="217"/>
      <c r="J860" s="217"/>
      <c r="K860" s="217"/>
      <c r="L860" s="217"/>
      <c r="M860" s="217"/>
      <c r="N860" s="217"/>
      <c r="O860" s="217"/>
      <c r="P860" s="217"/>
      <c r="Q860" s="218"/>
    </row>
    <row r="861" spans="1:17" s="213" customFormat="1" hidden="1" x14ac:dyDescent="0.25">
      <c r="A861" s="208" t="s">
        <v>263</v>
      </c>
      <c r="B861" s="209" t="s">
        <v>1822</v>
      </c>
      <c r="C861" s="209" t="s">
        <v>1823</v>
      </c>
      <c r="D861" s="209" t="s">
        <v>1928</v>
      </c>
      <c r="E861" s="209" t="s">
        <v>1928</v>
      </c>
      <c r="F861" s="209" t="s">
        <v>1928</v>
      </c>
      <c r="G861" s="209"/>
      <c r="H861" s="210" t="s">
        <v>2691</v>
      </c>
      <c r="I861" s="211">
        <f>SUM(I862:I866)</f>
        <v>0</v>
      </c>
      <c r="J861" s="211">
        <f t="shared" ref="J861:P861" si="117">SUM(J862:J866)</f>
        <v>0</v>
      </c>
      <c r="K861" s="211">
        <f t="shared" si="117"/>
        <v>0</v>
      </c>
      <c r="L861" s="211">
        <f t="shared" si="117"/>
        <v>0</v>
      </c>
      <c r="M861" s="211">
        <f t="shared" si="117"/>
        <v>0</v>
      </c>
      <c r="N861" s="211">
        <f t="shared" si="117"/>
        <v>0</v>
      </c>
      <c r="O861" s="211">
        <f t="shared" si="117"/>
        <v>0</v>
      </c>
      <c r="P861" s="211">
        <f t="shared" si="117"/>
        <v>0</v>
      </c>
      <c r="Q861" s="212"/>
    </row>
    <row r="862" spans="1:17" s="219" customFormat="1" hidden="1" x14ac:dyDescent="0.25">
      <c r="A862" s="214"/>
      <c r="B862" s="215" t="s">
        <v>1822</v>
      </c>
      <c r="C862" s="215" t="s">
        <v>1823</v>
      </c>
      <c r="D862" s="215" t="s">
        <v>1928</v>
      </c>
      <c r="E862" s="215" t="s">
        <v>1928</v>
      </c>
      <c r="F862" s="215" t="s">
        <v>1928</v>
      </c>
      <c r="G862" s="215" t="s">
        <v>58</v>
      </c>
      <c r="H862" s="216" t="s">
        <v>2692</v>
      </c>
      <c r="I862" s="217"/>
      <c r="J862" s="217"/>
      <c r="K862" s="217"/>
      <c r="L862" s="217"/>
      <c r="M862" s="217"/>
      <c r="N862" s="217"/>
      <c r="O862" s="217"/>
      <c r="P862" s="217"/>
      <c r="Q862" s="218"/>
    </row>
    <row r="863" spans="1:17" s="219" customFormat="1" hidden="1" x14ac:dyDescent="0.25">
      <c r="A863" s="214"/>
      <c r="B863" s="215" t="s">
        <v>1822</v>
      </c>
      <c r="C863" s="215" t="s">
        <v>1823</v>
      </c>
      <c r="D863" s="215" t="s">
        <v>1928</v>
      </c>
      <c r="E863" s="215" t="s">
        <v>1928</v>
      </c>
      <c r="F863" s="215" t="s">
        <v>1928</v>
      </c>
      <c r="G863" s="215" t="s">
        <v>75</v>
      </c>
      <c r="H863" s="216" t="s">
        <v>2693</v>
      </c>
      <c r="I863" s="217"/>
      <c r="J863" s="217"/>
      <c r="K863" s="217"/>
      <c r="L863" s="217"/>
      <c r="M863" s="217"/>
      <c r="N863" s="217"/>
      <c r="O863" s="217"/>
      <c r="P863" s="217"/>
      <c r="Q863" s="218"/>
    </row>
    <row r="864" spans="1:17" s="219" customFormat="1" hidden="1" x14ac:dyDescent="0.25">
      <c r="A864" s="214"/>
      <c r="B864" s="215" t="s">
        <v>1822</v>
      </c>
      <c r="C864" s="215" t="s">
        <v>1823</v>
      </c>
      <c r="D864" s="215" t="s">
        <v>1928</v>
      </c>
      <c r="E864" s="215" t="s">
        <v>1928</v>
      </c>
      <c r="F864" s="215" t="s">
        <v>1928</v>
      </c>
      <c r="G864" s="215" t="s">
        <v>79</v>
      </c>
      <c r="H864" s="216" t="s">
        <v>2694</v>
      </c>
      <c r="I864" s="217"/>
      <c r="J864" s="217"/>
      <c r="K864" s="217"/>
      <c r="L864" s="217"/>
      <c r="M864" s="217"/>
      <c r="N864" s="217"/>
      <c r="O864" s="217"/>
      <c r="P864" s="217"/>
      <c r="Q864" s="218"/>
    </row>
    <row r="865" spans="1:17" s="219" customFormat="1" hidden="1" x14ac:dyDescent="0.25">
      <c r="A865" s="214"/>
      <c r="B865" s="215" t="s">
        <v>1822</v>
      </c>
      <c r="C865" s="215" t="s">
        <v>1823</v>
      </c>
      <c r="D865" s="215" t="s">
        <v>1928</v>
      </c>
      <c r="E865" s="215" t="s">
        <v>1928</v>
      </c>
      <c r="F865" s="215" t="s">
        <v>1928</v>
      </c>
      <c r="G865" s="215" t="s">
        <v>84</v>
      </c>
      <c r="H865" s="216" t="s">
        <v>2695</v>
      </c>
      <c r="I865" s="217"/>
      <c r="J865" s="217"/>
      <c r="K865" s="217"/>
      <c r="L865" s="217"/>
      <c r="M865" s="217"/>
      <c r="N865" s="217"/>
      <c r="O865" s="217"/>
      <c r="P865" s="217"/>
      <c r="Q865" s="218"/>
    </row>
    <row r="866" spans="1:17" s="219" customFormat="1" hidden="1" x14ac:dyDescent="0.25">
      <c r="A866" s="214"/>
      <c r="B866" s="215" t="s">
        <v>1822</v>
      </c>
      <c r="C866" s="215" t="s">
        <v>1823</v>
      </c>
      <c r="D866" s="215" t="s">
        <v>1928</v>
      </c>
      <c r="E866" s="215" t="s">
        <v>1928</v>
      </c>
      <c r="F866" s="215" t="s">
        <v>1928</v>
      </c>
      <c r="G866" s="215" t="s">
        <v>88</v>
      </c>
      <c r="H866" s="216" t="s">
        <v>2696</v>
      </c>
      <c r="I866" s="217"/>
      <c r="J866" s="217"/>
      <c r="K866" s="217"/>
      <c r="L866" s="217"/>
      <c r="M866" s="217"/>
      <c r="N866" s="217"/>
      <c r="O866" s="217"/>
      <c r="P866" s="217"/>
      <c r="Q866" s="218"/>
    </row>
    <row r="867" spans="1:17" s="339" customFormat="1" hidden="1" x14ac:dyDescent="0.25">
      <c r="A867" s="337"/>
      <c r="B867" s="338"/>
      <c r="C867" s="340"/>
      <c r="D867" s="340"/>
      <c r="E867" s="340"/>
      <c r="F867" s="340"/>
      <c r="G867" s="333"/>
      <c r="H867" s="335"/>
      <c r="I867" s="226"/>
      <c r="J867" s="226"/>
      <c r="K867" s="226"/>
      <c r="L867" s="226"/>
      <c r="M867" s="226"/>
      <c r="N867" s="226"/>
      <c r="O867" s="226"/>
      <c r="P867" s="226"/>
    </row>
    <row r="868" spans="1:17" s="339" customFormat="1" x14ac:dyDescent="0.25">
      <c r="A868" s="337">
        <v>5</v>
      </c>
      <c r="B868" s="338">
        <v>5</v>
      </c>
      <c r="C868" s="333" t="s">
        <v>1934</v>
      </c>
      <c r="D868" s="333"/>
      <c r="E868" s="333"/>
      <c r="F868" s="333"/>
      <c r="G868" s="333"/>
      <c r="H868" s="335" t="s">
        <v>1434</v>
      </c>
      <c r="I868" s="226">
        <f>SUM(I869+I904+I918+I931+I952+I955+I964)</f>
        <v>254806915</v>
      </c>
      <c r="J868" s="226">
        <f t="shared" ref="J868:P868" si="118">SUM(J869+J904+J918+J931+J952+J955+J964)</f>
        <v>0</v>
      </c>
      <c r="K868" s="226">
        <f t="shared" si="118"/>
        <v>0</v>
      </c>
      <c r="L868" s="226">
        <f t="shared" si="118"/>
        <v>0</v>
      </c>
      <c r="M868" s="226">
        <f t="shared" si="118"/>
        <v>0</v>
      </c>
      <c r="N868" s="226">
        <f t="shared" si="118"/>
        <v>0</v>
      </c>
      <c r="O868" s="226">
        <f t="shared" si="118"/>
        <v>254806915</v>
      </c>
      <c r="P868" s="226">
        <f t="shared" si="118"/>
        <v>0</v>
      </c>
    </row>
    <row r="869" spans="1:17" s="213" customFormat="1" x14ac:dyDescent="0.25">
      <c r="A869" s="208" t="s">
        <v>1827</v>
      </c>
      <c r="B869" s="209" t="s">
        <v>1822</v>
      </c>
      <c r="C869" s="209" t="s">
        <v>1823</v>
      </c>
      <c r="D869" s="209" t="s">
        <v>1934</v>
      </c>
      <c r="E869" s="209" t="s">
        <v>1825</v>
      </c>
      <c r="F869" s="209"/>
      <c r="G869" s="209"/>
      <c r="H869" s="210" t="s">
        <v>2697</v>
      </c>
      <c r="I869" s="211">
        <f>SUM(I870+I883+I887+I892+I895+I898+I901)</f>
        <v>254806915</v>
      </c>
      <c r="J869" s="211">
        <f t="shared" ref="J869:P869" si="119">SUM(J870+J883+J887+J892+J895+J898+J901)</f>
        <v>0</v>
      </c>
      <c r="K869" s="211">
        <f t="shared" si="119"/>
        <v>0</v>
      </c>
      <c r="L869" s="211">
        <f t="shared" si="119"/>
        <v>0</v>
      </c>
      <c r="M869" s="211">
        <f t="shared" si="119"/>
        <v>0</v>
      </c>
      <c r="N869" s="211">
        <f t="shared" si="119"/>
        <v>0</v>
      </c>
      <c r="O869" s="211">
        <f t="shared" si="119"/>
        <v>254806915</v>
      </c>
      <c r="P869" s="211">
        <f t="shared" si="119"/>
        <v>0</v>
      </c>
      <c r="Q869" s="212"/>
    </row>
    <row r="870" spans="1:17" s="213" customFormat="1" x14ac:dyDescent="0.25">
      <c r="A870" s="208" t="s">
        <v>263</v>
      </c>
      <c r="B870" s="209" t="s">
        <v>1822</v>
      </c>
      <c r="C870" s="209" t="s">
        <v>1823</v>
      </c>
      <c r="D870" s="209" t="s">
        <v>1934</v>
      </c>
      <c r="E870" s="209" t="s">
        <v>1825</v>
      </c>
      <c r="F870" s="209" t="s">
        <v>1825</v>
      </c>
      <c r="G870" s="209"/>
      <c r="H870" s="210" t="s">
        <v>2698</v>
      </c>
      <c r="I870" s="211">
        <f>SUM(I871:I882)</f>
        <v>254806915</v>
      </c>
      <c r="J870" s="211">
        <f t="shared" ref="J870:P870" si="120">SUM(J871:J882)</f>
        <v>0</v>
      </c>
      <c r="K870" s="211">
        <f t="shared" si="120"/>
        <v>0</v>
      </c>
      <c r="L870" s="211">
        <f t="shared" si="120"/>
        <v>0</v>
      </c>
      <c r="M870" s="211">
        <f t="shared" si="120"/>
        <v>0</v>
      </c>
      <c r="N870" s="211">
        <f t="shared" si="120"/>
        <v>0</v>
      </c>
      <c r="O870" s="211">
        <f t="shared" si="120"/>
        <v>254806915</v>
      </c>
      <c r="P870" s="211">
        <f t="shared" si="120"/>
        <v>0</v>
      </c>
      <c r="Q870" s="212"/>
    </row>
    <row r="871" spans="1:17" s="219" customFormat="1" x14ac:dyDescent="0.25">
      <c r="A871" s="214"/>
      <c r="B871" s="215" t="s">
        <v>1822</v>
      </c>
      <c r="C871" s="215" t="s">
        <v>1823</v>
      </c>
      <c r="D871" s="215" t="s">
        <v>1934</v>
      </c>
      <c r="E871" s="215" t="s">
        <v>1825</v>
      </c>
      <c r="F871" s="215" t="s">
        <v>1825</v>
      </c>
      <c r="G871" s="215" t="s">
        <v>58</v>
      </c>
      <c r="H871" s="216" t="s">
        <v>1454</v>
      </c>
      <c r="I871" s="217">
        <v>254806915</v>
      </c>
      <c r="J871" s="217"/>
      <c r="K871" s="217"/>
      <c r="L871" s="217"/>
      <c r="M871" s="217"/>
      <c r="N871" s="217"/>
      <c r="O871" s="217"/>
      <c r="P871" s="217"/>
      <c r="Q871" s="218"/>
    </row>
    <row r="872" spans="1:17" s="219" customFormat="1" x14ac:dyDescent="0.25">
      <c r="A872" s="214"/>
      <c r="B872" s="215" t="s">
        <v>1822</v>
      </c>
      <c r="C872" s="215" t="s">
        <v>1823</v>
      </c>
      <c r="D872" s="215" t="s">
        <v>1934</v>
      </c>
      <c r="E872" s="215" t="s">
        <v>1825</v>
      </c>
      <c r="F872" s="215" t="s">
        <v>1825</v>
      </c>
      <c r="G872" s="215" t="s">
        <v>75</v>
      </c>
      <c r="H872" s="216" t="s">
        <v>2699</v>
      </c>
      <c r="I872" s="217"/>
      <c r="J872" s="217"/>
      <c r="K872" s="217"/>
      <c r="L872" s="217"/>
      <c r="M872" s="217"/>
      <c r="N872" s="217"/>
      <c r="O872" s="217">
        <v>254806915</v>
      </c>
      <c r="P872" s="217"/>
      <c r="Q872" s="218"/>
    </row>
    <row r="873" spans="1:17" s="219" customFormat="1" hidden="1" x14ac:dyDescent="0.25">
      <c r="A873" s="214"/>
      <c r="B873" s="215" t="s">
        <v>1822</v>
      </c>
      <c r="C873" s="215" t="s">
        <v>1823</v>
      </c>
      <c r="D873" s="215" t="s">
        <v>1934</v>
      </c>
      <c r="E873" s="215" t="s">
        <v>1825</v>
      </c>
      <c r="F873" s="215" t="s">
        <v>1825</v>
      </c>
      <c r="G873" s="215" t="s">
        <v>79</v>
      </c>
      <c r="H873" s="216" t="s">
        <v>2700</v>
      </c>
      <c r="I873" s="217"/>
      <c r="J873" s="217"/>
      <c r="K873" s="217"/>
      <c r="L873" s="217"/>
      <c r="M873" s="217"/>
      <c r="N873" s="217"/>
      <c r="O873" s="217"/>
      <c r="P873" s="217"/>
      <c r="Q873" s="218"/>
    </row>
    <row r="874" spans="1:17" s="219" customFormat="1" hidden="1" x14ac:dyDescent="0.25">
      <c r="A874" s="214"/>
      <c r="B874" s="215" t="s">
        <v>1822</v>
      </c>
      <c r="C874" s="215" t="s">
        <v>1823</v>
      </c>
      <c r="D874" s="215" t="s">
        <v>1934</v>
      </c>
      <c r="E874" s="215" t="s">
        <v>1825</v>
      </c>
      <c r="F874" s="215" t="s">
        <v>1825</v>
      </c>
      <c r="G874" s="215" t="s">
        <v>84</v>
      </c>
      <c r="H874" s="216" t="s">
        <v>2701</v>
      </c>
      <c r="I874" s="217"/>
      <c r="J874" s="217"/>
      <c r="K874" s="217"/>
      <c r="L874" s="217"/>
      <c r="M874" s="217"/>
      <c r="N874" s="217"/>
      <c r="O874" s="217"/>
      <c r="P874" s="217"/>
      <c r="Q874" s="218"/>
    </row>
    <row r="875" spans="1:17" s="219" customFormat="1" hidden="1" x14ac:dyDescent="0.25">
      <c r="A875" s="214"/>
      <c r="B875" s="215" t="s">
        <v>1822</v>
      </c>
      <c r="C875" s="215" t="s">
        <v>1823</v>
      </c>
      <c r="D875" s="215" t="s">
        <v>1934</v>
      </c>
      <c r="E875" s="215" t="s">
        <v>1825</v>
      </c>
      <c r="F875" s="215" t="s">
        <v>1825</v>
      </c>
      <c r="G875" s="215" t="s">
        <v>88</v>
      </c>
      <c r="H875" s="216" t="s">
        <v>1456</v>
      </c>
      <c r="I875" s="217"/>
      <c r="J875" s="217"/>
      <c r="K875" s="217"/>
      <c r="L875" s="217"/>
      <c r="M875" s="217"/>
      <c r="N875" s="217"/>
      <c r="O875" s="217"/>
      <c r="P875" s="217"/>
      <c r="Q875" s="218"/>
    </row>
    <row r="876" spans="1:17" s="219" customFormat="1" ht="30" hidden="1" x14ac:dyDescent="0.25">
      <c r="A876" s="214"/>
      <c r="B876" s="215" t="s">
        <v>1822</v>
      </c>
      <c r="C876" s="215" t="s">
        <v>1823</v>
      </c>
      <c r="D876" s="215" t="s">
        <v>1934</v>
      </c>
      <c r="E876" s="215" t="s">
        <v>1825</v>
      </c>
      <c r="F876" s="215" t="s">
        <v>1825</v>
      </c>
      <c r="G876" s="215" t="s">
        <v>92</v>
      </c>
      <c r="H876" s="216" t="s">
        <v>2702</v>
      </c>
      <c r="I876" s="217"/>
      <c r="J876" s="217"/>
      <c r="K876" s="217"/>
      <c r="L876" s="217"/>
      <c r="M876" s="217"/>
      <c r="N876" s="217"/>
      <c r="O876" s="217"/>
      <c r="P876" s="217"/>
      <c r="Q876" s="218"/>
    </row>
    <row r="877" spans="1:17" s="219" customFormat="1" hidden="1" x14ac:dyDescent="0.25">
      <c r="A877" s="214"/>
      <c r="B877" s="215" t="s">
        <v>1822</v>
      </c>
      <c r="C877" s="215" t="s">
        <v>1823</v>
      </c>
      <c r="D877" s="215" t="s">
        <v>1934</v>
      </c>
      <c r="E877" s="215" t="s">
        <v>1825</v>
      </c>
      <c r="F877" s="215" t="s">
        <v>1825</v>
      </c>
      <c r="G877" s="215" t="s">
        <v>96</v>
      </c>
      <c r="H877" s="216" t="s">
        <v>2703</v>
      </c>
      <c r="I877" s="217"/>
      <c r="J877" s="217"/>
      <c r="K877" s="217"/>
      <c r="L877" s="217"/>
      <c r="M877" s="217"/>
      <c r="N877" s="217"/>
      <c r="O877" s="217"/>
      <c r="P877" s="217"/>
      <c r="Q877" s="218"/>
    </row>
    <row r="878" spans="1:17" s="219" customFormat="1" ht="30" hidden="1" x14ac:dyDescent="0.25">
      <c r="A878" s="214"/>
      <c r="B878" s="215" t="s">
        <v>1822</v>
      </c>
      <c r="C878" s="215" t="s">
        <v>1823</v>
      </c>
      <c r="D878" s="215" t="s">
        <v>1934</v>
      </c>
      <c r="E878" s="215" t="s">
        <v>1825</v>
      </c>
      <c r="F878" s="215" t="s">
        <v>1825</v>
      </c>
      <c r="G878" s="215" t="s">
        <v>100</v>
      </c>
      <c r="H878" s="216" t="s">
        <v>2704</v>
      </c>
      <c r="I878" s="217"/>
      <c r="J878" s="217"/>
      <c r="K878" s="217"/>
      <c r="L878" s="217"/>
      <c r="M878" s="217"/>
      <c r="N878" s="217"/>
      <c r="O878" s="217"/>
      <c r="P878" s="217"/>
      <c r="Q878" s="218"/>
    </row>
    <row r="879" spans="1:17" s="219" customFormat="1" hidden="1" x14ac:dyDescent="0.25">
      <c r="A879" s="214"/>
      <c r="B879" s="215" t="s">
        <v>1822</v>
      </c>
      <c r="C879" s="215" t="s">
        <v>1823</v>
      </c>
      <c r="D879" s="215" t="s">
        <v>1934</v>
      </c>
      <c r="E879" s="215" t="s">
        <v>1825</v>
      </c>
      <c r="F879" s="215" t="s">
        <v>1825</v>
      </c>
      <c r="G879" s="215" t="s">
        <v>105</v>
      </c>
      <c r="H879" s="216" t="s">
        <v>2705</v>
      </c>
      <c r="I879" s="217"/>
      <c r="J879" s="217"/>
      <c r="K879" s="217"/>
      <c r="L879" s="217"/>
      <c r="M879" s="217"/>
      <c r="N879" s="217"/>
      <c r="O879" s="217"/>
      <c r="P879" s="217"/>
      <c r="Q879" s="218"/>
    </row>
    <row r="880" spans="1:17" s="219" customFormat="1" hidden="1" x14ac:dyDescent="0.25">
      <c r="A880" s="214"/>
      <c r="B880" s="215" t="s">
        <v>1822</v>
      </c>
      <c r="C880" s="215" t="s">
        <v>1823</v>
      </c>
      <c r="D880" s="215" t="s">
        <v>1934</v>
      </c>
      <c r="E880" s="215" t="s">
        <v>1825</v>
      </c>
      <c r="F880" s="215" t="s">
        <v>1825</v>
      </c>
      <c r="G880" s="215" t="s">
        <v>108</v>
      </c>
      <c r="H880" s="216" t="s">
        <v>2706</v>
      </c>
      <c r="I880" s="217"/>
      <c r="J880" s="217"/>
      <c r="K880" s="217"/>
      <c r="L880" s="217"/>
      <c r="M880" s="217"/>
      <c r="N880" s="217"/>
      <c r="O880" s="217"/>
      <c r="P880" s="217"/>
      <c r="Q880" s="218"/>
    </row>
    <row r="881" spans="1:17" s="219" customFormat="1" hidden="1" x14ac:dyDescent="0.25">
      <c r="A881" s="214"/>
      <c r="B881" s="215" t="s">
        <v>1822</v>
      </c>
      <c r="C881" s="215" t="s">
        <v>1823</v>
      </c>
      <c r="D881" s="215" t="s">
        <v>1934</v>
      </c>
      <c r="E881" s="215" t="s">
        <v>1825</v>
      </c>
      <c r="F881" s="215" t="s">
        <v>1825</v>
      </c>
      <c r="G881" s="215" t="s">
        <v>135</v>
      </c>
      <c r="H881" s="216" t="s">
        <v>2707</v>
      </c>
      <c r="I881" s="217"/>
      <c r="J881" s="217"/>
      <c r="K881" s="217"/>
      <c r="L881" s="217"/>
      <c r="M881" s="217"/>
      <c r="N881" s="217"/>
      <c r="O881" s="217"/>
      <c r="P881" s="217"/>
      <c r="Q881" s="218"/>
    </row>
    <row r="882" spans="1:17" s="219" customFormat="1" ht="30" hidden="1" x14ac:dyDescent="0.25">
      <c r="A882" s="214"/>
      <c r="B882" s="215" t="s">
        <v>1822</v>
      </c>
      <c r="C882" s="215" t="s">
        <v>1823</v>
      </c>
      <c r="D882" s="215" t="s">
        <v>1934</v>
      </c>
      <c r="E882" s="215" t="s">
        <v>1825</v>
      </c>
      <c r="F882" s="215" t="s">
        <v>1825</v>
      </c>
      <c r="G882" s="215" t="s">
        <v>138</v>
      </c>
      <c r="H882" s="216" t="s">
        <v>2708</v>
      </c>
      <c r="I882" s="217"/>
      <c r="J882" s="217"/>
      <c r="K882" s="217"/>
      <c r="L882" s="217"/>
      <c r="M882" s="217"/>
      <c r="N882" s="217"/>
      <c r="O882" s="217"/>
      <c r="P882" s="217"/>
      <c r="Q882" s="218"/>
    </row>
    <row r="883" spans="1:17" s="213" customFormat="1" ht="30" hidden="1" x14ac:dyDescent="0.25">
      <c r="A883" s="208" t="s">
        <v>263</v>
      </c>
      <c r="B883" s="209" t="s">
        <v>1822</v>
      </c>
      <c r="C883" s="209" t="s">
        <v>1823</v>
      </c>
      <c r="D883" s="209" t="s">
        <v>1934</v>
      </c>
      <c r="E883" s="209" t="s">
        <v>1825</v>
      </c>
      <c r="F883" s="209" t="s">
        <v>1836</v>
      </c>
      <c r="G883" s="209"/>
      <c r="H883" s="210" t="s">
        <v>2709</v>
      </c>
      <c r="I883" s="211">
        <f>SUM(I884:I886)</f>
        <v>0</v>
      </c>
      <c r="J883" s="211">
        <f t="shared" ref="J883:P883" si="121">SUM(J884:J886)</f>
        <v>0</v>
      </c>
      <c r="K883" s="211">
        <f t="shared" si="121"/>
        <v>0</v>
      </c>
      <c r="L883" s="211">
        <f t="shared" si="121"/>
        <v>0</v>
      </c>
      <c r="M883" s="211">
        <f t="shared" si="121"/>
        <v>0</v>
      </c>
      <c r="N883" s="211">
        <f t="shared" si="121"/>
        <v>0</v>
      </c>
      <c r="O883" s="211">
        <f t="shared" si="121"/>
        <v>0</v>
      </c>
      <c r="P883" s="211">
        <f t="shared" si="121"/>
        <v>0</v>
      </c>
      <c r="Q883" s="212"/>
    </row>
    <row r="884" spans="1:17" s="219" customFormat="1" hidden="1" x14ac:dyDescent="0.25">
      <c r="A884" s="214"/>
      <c r="B884" s="215" t="s">
        <v>1822</v>
      </c>
      <c r="C884" s="215" t="s">
        <v>1823</v>
      </c>
      <c r="D884" s="215" t="s">
        <v>1934</v>
      </c>
      <c r="E884" s="215" t="s">
        <v>1825</v>
      </c>
      <c r="F884" s="215" t="s">
        <v>1836</v>
      </c>
      <c r="G884" s="215" t="s">
        <v>58</v>
      </c>
      <c r="H884" s="216" t="s">
        <v>2710</v>
      </c>
      <c r="I884" s="217"/>
      <c r="J884" s="217"/>
      <c r="K884" s="217"/>
      <c r="L884" s="217"/>
      <c r="M884" s="217"/>
      <c r="N884" s="217"/>
      <c r="O884" s="217"/>
      <c r="P884" s="217"/>
      <c r="Q884" s="218"/>
    </row>
    <row r="885" spans="1:17" s="219" customFormat="1" hidden="1" x14ac:dyDescent="0.25">
      <c r="A885" s="214"/>
      <c r="B885" s="215" t="s">
        <v>1822</v>
      </c>
      <c r="C885" s="215" t="s">
        <v>1823</v>
      </c>
      <c r="D885" s="215" t="s">
        <v>1934</v>
      </c>
      <c r="E885" s="215" t="s">
        <v>1825</v>
      </c>
      <c r="F885" s="215" t="s">
        <v>1836</v>
      </c>
      <c r="G885" s="215" t="s">
        <v>75</v>
      </c>
      <c r="H885" s="216" t="s">
        <v>2711</v>
      </c>
      <c r="I885" s="217"/>
      <c r="J885" s="217"/>
      <c r="K885" s="217"/>
      <c r="L885" s="217"/>
      <c r="M885" s="217"/>
      <c r="N885" s="217"/>
      <c r="O885" s="217"/>
      <c r="P885" s="217"/>
      <c r="Q885" s="218"/>
    </row>
    <row r="886" spans="1:17" s="219" customFormat="1" hidden="1" x14ac:dyDescent="0.25">
      <c r="A886" s="214"/>
      <c r="B886" s="215" t="s">
        <v>1822</v>
      </c>
      <c r="C886" s="215" t="s">
        <v>1823</v>
      </c>
      <c r="D886" s="215" t="s">
        <v>1934</v>
      </c>
      <c r="E886" s="215" t="s">
        <v>1825</v>
      </c>
      <c r="F886" s="215" t="s">
        <v>1836</v>
      </c>
      <c r="G886" s="215" t="s">
        <v>79</v>
      </c>
      <c r="H886" s="216" t="s">
        <v>2712</v>
      </c>
      <c r="I886" s="217"/>
      <c r="J886" s="217"/>
      <c r="K886" s="217"/>
      <c r="L886" s="217"/>
      <c r="M886" s="217"/>
      <c r="N886" s="217"/>
      <c r="O886" s="217"/>
      <c r="P886" s="217"/>
      <c r="Q886" s="218"/>
    </row>
    <row r="887" spans="1:17" s="213" customFormat="1" hidden="1" x14ac:dyDescent="0.25">
      <c r="A887" s="208" t="s">
        <v>263</v>
      </c>
      <c r="B887" s="209" t="s">
        <v>1822</v>
      </c>
      <c r="C887" s="209" t="s">
        <v>1823</v>
      </c>
      <c r="D887" s="209" t="s">
        <v>1934</v>
      </c>
      <c r="E887" s="209" t="s">
        <v>1825</v>
      </c>
      <c r="F887" s="209" t="s">
        <v>1847</v>
      </c>
      <c r="G887" s="209"/>
      <c r="H887" s="210" t="s">
        <v>2713</v>
      </c>
      <c r="I887" s="211">
        <f>SUM(I888:I891)</f>
        <v>0</v>
      </c>
      <c r="J887" s="211">
        <f t="shared" ref="J887:P887" si="122">SUM(J888:J891)</f>
        <v>0</v>
      </c>
      <c r="K887" s="211">
        <f t="shared" si="122"/>
        <v>0</v>
      </c>
      <c r="L887" s="211">
        <f t="shared" si="122"/>
        <v>0</v>
      </c>
      <c r="M887" s="211">
        <f t="shared" si="122"/>
        <v>0</v>
      </c>
      <c r="N887" s="211">
        <f t="shared" si="122"/>
        <v>0</v>
      </c>
      <c r="O887" s="211">
        <f t="shared" si="122"/>
        <v>0</v>
      </c>
      <c r="P887" s="211">
        <f t="shared" si="122"/>
        <v>0</v>
      </c>
      <c r="Q887" s="212"/>
    </row>
    <row r="888" spans="1:17" s="219" customFormat="1" hidden="1" x14ac:dyDescent="0.25">
      <c r="A888" s="214"/>
      <c r="B888" s="215" t="s">
        <v>1822</v>
      </c>
      <c r="C888" s="215" t="s">
        <v>1823</v>
      </c>
      <c r="D888" s="215" t="s">
        <v>1934</v>
      </c>
      <c r="E888" s="215" t="s">
        <v>1825</v>
      </c>
      <c r="F888" s="215" t="s">
        <v>1847</v>
      </c>
      <c r="G888" s="215" t="s">
        <v>58</v>
      </c>
      <c r="H888" s="216" t="s">
        <v>2714</v>
      </c>
      <c r="I888" s="217"/>
      <c r="J888" s="217"/>
      <c r="K888" s="217"/>
      <c r="L888" s="217"/>
      <c r="M888" s="217"/>
      <c r="N888" s="217"/>
      <c r="O888" s="217"/>
      <c r="P888" s="217"/>
      <c r="Q888" s="218"/>
    </row>
    <row r="889" spans="1:17" s="219" customFormat="1" hidden="1" x14ac:dyDescent="0.25">
      <c r="A889" s="214"/>
      <c r="B889" s="215" t="s">
        <v>1822</v>
      </c>
      <c r="C889" s="215" t="s">
        <v>1823</v>
      </c>
      <c r="D889" s="215" t="s">
        <v>1934</v>
      </c>
      <c r="E889" s="215" t="s">
        <v>1825</v>
      </c>
      <c r="F889" s="215" t="s">
        <v>1847</v>
      </c>
      <c r="G889" s="215" t="s">
        <v>75</v>
      </c>
      <c r="H889" s="216" t="s">
        <v>2715</v>
      </c>
      <c r="I889" s="217"/>
      <c r="J889" s="217"/>
      <c r="K889" s="217"/>
      <c r="L889" s="217"/>
      <c r="M889" s="217"/>
      <c r="N889" s="217"/>
      <c r="O889" s="217"/>
      <c r="P889" s="217"/>
      <c r="Q889" s="218"/>
    </row>
    <row r="890" spans="1:17" s="219" customFormat="1" hidden="1" x14ac:dyDescent="0.25">
      <c r="A890" s="214"/>
      <c r="B890" s="215" t="s">
        <v>1822</v>
      </c>
      <c r="C890" s="215" t="s">
        <v>1823</v>
      </c>
      <c r="D890" s="215" t="s">
        <v>1934</v>
      </c>
      <c r="E890" s="215" t="s">
        <v>1825</v>
      </c>
      <c r="F890" s="215" t="s">
        <v>1847</v>
      </c>
      <c r="G890" s="215" t="s">
        <v>79</v>
      </c>
      <c r="H890" s="216" t="s">
        <v>2716</v>
      </c>
      <c r="I890" s="217"/>
      <c r="J890" s="217"/>
      <c r="K890" s="217"/>
      <c r="L890" s="217"/>
      <c r="M890" s="217"/>
      <c r="N890" s="217"/>
      <c r="O890" s="217"/>
      <c r="P890" s="217"/>
      <c r="Q890" s="218"/>
    </row>
    <row r="891" spans="1:17" s="219" customFormat="1" ht="30" hidden="1" x14ac:dyDescent="0.25">
      <c r="A891" s="214"/>
      <c r="B891" s="215" t="s">
        <v>1822</v>
      </c>
      <c r="C891" s="215" t="s">
        <v>1823</v>
      </c>
      <c r="D891" s="215" t="s">
        <v>1934</v>
      </c>
      <c r="E891" s="215" t="s">
        <v>1825</v>
      </c>
      <c r="F891" s="215" t="s">
        <v>1847</v>
      </c>
      <c r="G891" s="215" t="s">
        <v>84</v>
      </c>
      <c r="H891" s="216" t="s">
        <v>2717</v>
      </c>
      <c r="I891" s="217"/>
      <c r="J891" s="217"/>
      <c r="K891" s="217"/>
      <c r="L891" s="217"/>
      <c r="M891" s="217"/>
      <c r="N891" s="217"/>
      <c r="O891" s="217"/>
      <c r="P891" s="217"/>
      <c r="Q891" s="218"/>
    </row>
    <row r="892" spans="1:17" s="213" customFormat="1" hidden="1" x14ac:dyDescent="0.25">
      <c r="A892" s="208" t="s">
        <v>263</v>
      </c>
      <c r="B892" s="209" t="s">
        <v>1822</v>
      </c>
      <c r="C892" s="209" t="s">
        <v>1823</v>
      </c>
      <c r="D892" s="209" t="s">
        <v>1934</v>
      </c>
      <c r="E892" s="209" t="s">
        <v>1825</v>
      </c>
      <c r="F892" s="209" t="s">
        <v>1928</v>
      </c>
      <c r="G892" s="209"/>
      <c r="H892" s="210" t="s">
        <v>2718</v>
      </c>
      <c r="I892" s="211">
        <f>SUM(I893:I894)</f>
        <v>0</v>
      </c>
      <c r="J892" s="211">
        <f t="shared" ref="J892:P892" si="123">SUM(J893:J894)</f>
        <v>0</v>
      </c>
      <c r="K892" s="211">
        <f t="shared" si="123"/>
        <v>0</v>
      </c>
      <c r="L892" s="211">
        <f t="shared" si="123"/>
        <v>0</v>
      </c>
      <c r="M892" s="211">
        <f t="shared" si="123"/>
        <v>0</v>
      </c>
      <c r="N892" s="211">
        <f t="shared" si="123"/>
        <v>0</v>
      </c>
      <c r="O892" s="211">
        <f t="shared" si="123"/>
        <v>0</v>
      </c>
      <c r="P892" s="211">
        <f t="shared" si="123"/>
        <v>0</v>
      </c>
      <c r="Q892" s="212"/>
    </row>
    <row r="893" spans="1:17" s="219" customFormat="1" hidden="1" x14ac:dyDescent="0.25">
      <c r="A893" s="214"/>
      <c r="B893" s="215" t="s">
        <v>1822</v>
      </c>
      <c r="C893" s="215" t="s">
        <v>1823</v>
      </c>
      <c r="D893" s="215" t="s">
        <v>1934</v>
      </c>
      <c r="E893" s="215" t="s">
        <v>1825</v>
      </c>
      <c r="F893" s="215" t="s">
        <v>1928</v>
      </c>
      <c r="G893" s="215" t="s">
        <v>58</v>
      </c>
      <c r="H893" s="216" t="s">
        <v>2719</v>
      </c>
      <c r="I893" s="217"/>
      <c r="J893" s="217"/>
      <c r="K893" s="217"/>
      <c r="L893" s="217"/>
      <c r="M893" s="217"/>
      <c r="N893" s="217"/>
      <c r="O893" s="217"/>
      <c r="P893" s="217"/>
      <c r="Q893" s="218"/>
    </row>
    <row r="894" spans="1:17" s="219" customFormat="1" hidden="1" x14ac:dyDescent="0.25">
      <c r="A894" s="214"/>
      <c r="B894" s="215" t="s">
        <v>1822</v>
      </c>
      <c r="C894" s="215" t="s">
        <v>1823</v>
      </c>
      <c r="D894" s="215" t="s">
        <v>1934</v>
      </c>
      <c r="E894" s="215" t="s">
        <v>1825</v>
      </c>
      <c r="F894" s="215" t="s">
        <v>1928</v>
      </c>
      <c r="G894" s="215" t="s">
        <v>75</v>
      </c>
      <c r="H894" s="216" t="s">
        <v>2720</v>
      </c>
      <c r="I894" s="217"/>
      <c r="J894" s="217"/>
      <c r="K894" s="217"/>
      <c r="L894" s="217"/>
      <c r="M894" s="217"/>
      <c r="N894" s="217"/>
      <c r="O894" s="217"/>
      <c r="P894" s="217"/>
      <c r="Q894" s="218"/>
    </row>
    <row r="895" spans="1:17" s="213" customFormat="1" hidden="1" x14ac:dyDescent="0.25">
      <c r="A895" s="208" t="s">
        <v>263</v>
      </c>
      <c r="B895" s="209" t="s">
        <v>1822</v>
      </c>
      <c r="C895" s="209" t="s">
        <v>1823</v>
      </c>
      <c r="D895" s="209" t="s">
        <v>1934</v>
      </c>
      <c r="E895" s="209" t="s">
        <v>1825</v>
      </c>
      <c r="F895" s="209" t="s">
        <v>1934</v>
      </c>
      <c r="G895" s="209"/>
      <c r="H895" s="210" t="s">
        <v>2721</v>
      </c>
      <c r="I895" s="211">
        <f>SUM(I896:I897)</f>
        <v>0</v>
      </c>
      <c r="J895" s="211">
        <f t="shared" ref="J895:P895" si="124">SUM(J896:J897)</f>
        <v>0</v>
      </c>
      <c r="K895" s="211">
        <f t="shared" si="124"/>
        <v>0</v>
      </c>
      <c r="L895" s="211">
        <f t="shared" si="124"/>
        <v>0</v>
      </c>
      <c r="M895" s="211">
        <f t="shared" si="124"/>
        <v>0</v>
      </c>
      <c r="N895" s="211">
        <f t="shared" si="124"/>
        <v>0</v>
      </c>
      <c r="O895" s="211">
        <f t="shared" si="124"/>
        <v>0</v>
      </c>
      <c r="P895" s="211">
        <f t="shared" si="124"/>
        <v>0</v>
      </c>
      <c r="Q895" s="212"/>
    </row>
    <row r="896" spans="1:17" s="219" customFormat="1" hidden="1" x14ac:dyDescent="0.25">
      <c r="A896" s="214"/>
      <c r="B896" s="215" t="s">
        <v>1822</v>
      </c>
      <c r="C896" s="215" t="s">
        <v>1823</v>
      </c>
      <c r="D896" s="215" t="s">
        <v>1934</v>
      </c>
      <c r="E896" s="215" t="s">
        <v>1825</v>
      </c>
      <c r="F896" s="215" t="s">
        <v>1934</v>
      </c>
      <c r="G896" s="215" t="s">
        <v>58</v>
      </c>
      <c r="H896" s="216" t="s">
        <v>2721</v>
      </c>
      <c r="I896" s="217"/>
      <c r="J896" s="217"/>
      <c r="K896" s="217"/>
      <c r="L896" s="217"/>
      <c r="M896" s="217"/>
      <c r="N896" s="217"/>
      <c r="O896" s="217"/>
      <c r="P896" s="217"/>
      <c r="Q896" s="218"/>
    </row>
    <row r="897" spans="1:17" s="219" customFormat="1" ht="30" hidden="1" x14ac:dyDescent="0.25">
      <c r="A897" s="214"/>
      <c r="B897" s="215" t="s">
        <v>1822</v>
      </c>
      <c r="C897" s="215" t="s">
        <v>1823</v>
      </c>
      <c r="D897" s="215" t="s">
        <v>1934</v>
      </c>
      <c r="E897" s="215" t="s">
        <v>1825</v>
      </c>
      <c r="F897" s="215" t="s">
        <v>1934</v>
      </c>
      <c r="G897" s="215" t="s">
        <v>75</v>
      </c>
      <c r="H897" s="216" t="s">
        <v>2722</v>
      </c>
      <c r="I897" s="217"/>
      <c r="J897" s="217"/>
      <c r="K897" s="217"/>
      <c r="L897" s="217"/>
      <c r="M897" s="217"/>
      <c r="N897" s="217"/>
      <c r="O897" s="217"/>
      <c r="P897" s="217"/>
      <c r="Q897" s="218"/>
    </row>
    <row r="898" spans="1:17" s="213" customFormat="1" ht="30" hidden="1" x14ac:dyDescent="0.25">
      <c r="A898" s="208" t="s">
        <v>263</v>
      </c>
      <c r="B898" s="209" t="s">
        <v>1822</v>
      </c>
      <c r="C898" s="209" t="s">
        <v>1823</v>
      </c>
      <c r="D898" s="209" t="s">
        <v>1934</v>
      </c>
      <c r="E898" s="209" t="s">
        <v>1825</v>
      </c>
      <c r="F898" s="209" t="s">
        <v>2022</v>
      </c>
      <c r="G898" s="209"/>
      <c r="H898" s="210" t="s">
        <v>2723</v>
      </c>
      <c r="I898" s="211">
        <f>SUM(I899:I900)</f>
        <v>0</v>
      </c>
      <c r="J898" s="211">
        <f t="shared" ref="J898:P898" si="125">SUM(J899:J900)</f>
        <v>0</v>
      </c>
      <c r="K898" s="211">
        <f t="shared" si="125"/>
        <v>0</v>
      </c>
      <c r="L898" s="211">
        <f t="shared" si="125"/>
        <v>0</v>
      </c>
      <c r="M898" s="211">
        <f t="shared" si="125"/>
        <v>0</v>
      </c>
      <c r="N898" s="211">
        <f t="shared" si="125"/>
        <v>0</v>
      </c>
      <c r="O898" s="211">
        <f t="shared" si="125"/>
        <v>0</v>
      </c>
      <c r="P898" s="211">
        <f t="shared" si="125"/>
        <v>0</v>
      </c>
      <c r="Q898" s="212"/>
    </row>
    <row r="899" spans="1:17" s="219" customFormat="1" ht="30" hidden="1" x14ac:dyDescent="0.25">
      <c r="A899" s="214"/>
      <c r="B899" s="215" t="s">
        <v>1822</v>
      </c>
      <c r="C899" s="215" t="s">
        <v>1823</v>
      </c>
      <c r="D899" s="215" t="s">
        <v>1934</v>
      </c>
      <c r="E899" s="215" t="s">
        <v>1825</v>
      </c>
      <c r="F899" s="215" t="s">
        <v>2022</v>
      </c>
      <c r="G899" s="215" t="s">
        <v>58</v>
      </c>
      <c r="H899" s="216" t="s">
        <v>2723</v>
      </c>
      <c r="I899" s="217"/>
      <c r="J899" s="217"/>
      <c r="K899" s="217"/>
      <c r="L899" s="217"/>
      <c r="M899" s="217"/>
      <c r="N899" s="217"/>
      <c r="O899" s="217"/>
      <c r="P899" s="217"/>
      <c r="Q899" s="218"/>
    </row>
    <row r="900" spans="1:17" s="219" customFormat="1" ht="30" hidden="1" x14ac:dyDescent="0.25">
      <c r="A900" s="214"/>
      <c r="B900" s="215" t="s">
        <v>1822</v>
      </c>
      <c r="C900" s="215" t="s">
        <v>1823</v>
      </c>
      <c r="D900" s="215" t="s">
        <v>1934</v>
      </c>
      <c r="E900" s="215" t="s">
        <v>1825</v>
      </c>
      <c r="F900" s="215" t="s">
        <v>2022</v>
      </c>
      <c r="G900" s="215" t="s">
        <v>75</v>
      </c>
      <c r="H900" s="216" t="s">
        <v>2724</v>
      </c>
      <c r="I900" s="217"/>
      <c r="J900" s="217"/>
      <c r="K900" s="217"/>
      <c r="L900" s="217"/>
      <c r="M900" s="217"/>
      <c r="N900" s="217"/>
      <c r="O900" s="217"/>
      <c r="P900" s="217"/>
      <c r="Q900" s="218"/>
    </row>
    <row r="901" spans="1:17" s="213" customFormat="1" hidden="1" x14ac:dyDescent="0.25">
      <c r="A901" s="208" t="s">
        <v>263</v>
      </c>
      <c r="B901" s="209" t="s">
        <v>1822</v>
      </c>
      <c r="C901" s="209" t="s">
        <v>1823</v>
      </c>
      <c r="D901" s="209" t="s">
        <v>1934</v>
      </c>
      <c r="E901" s="209" t="s">
        <v>1825</v>
      </c>
      <c r="F901" s="209" t="s">
        <v>2100</v>
      </c>
      <c r="G901" s="209"/>
      <c r="H901" s="210" t="s">
        <v>2725</v>
      </c>
      <c r="I901" s="211">
        <f>SUM(I902:I903)</f>
        <v>0</v>
      </c>
      <c r="J901" s="211">
        <f t="shared" ref="J901:P901" si="126">SUM(J902:J903)</f>
        <v>0</v>
      </c>
      <c r="K901" s="211">
        <f t="shared" si="126"/>
        <v>0</v>
      </c>
      <c r="L901" s="211">
        <f t="shared" si="126"/>
        <v>0</v>
      </c>
      <c r="M901" s="211">
        <f t="shared" si="126"/>
        <v>0</v>
      </c>
      <c r="N901" s="211">
        <f t="shared" si="126"/>
        <v>0</v>
      </c>
      <c r="O901" s="211">
        <f t="shared" si="126"/>
        <v>0</v>
      </c>
      <c r="P901" s="211">
        <f t="shared" si="126"/>
        <v>0</v>
      </c>
      <c r="Q901" s="212"/>
    </row>
    <row r="902" spans="1:17" s="219" customFormat="1" hidden="1" x14ac:dyDescent="0.25">
      <c r="A902" s="214"/>
      <c r="B902" s="215" t="s">
        <v>1822</v>
      </c>
      <c r="C902" s="215" t="s">
        <v>1823</v>
      </c>
      <c r="D902" s="215" t="s">
        <v>1934</v>
      </c>
      <c r="E902" s="215" t="s">
        <v>1825</v>
      </c>
      <c r="F902" s="215" t="s">
        <v>2100</v>
      </c>
      <c r="G902" s="215" t="s">
        <v>58</v>
      </c>
      <c r="H902" s="216" t="s">
        <v>2725</v>
      </c>
      <c r="I902" s="217"/>
      <c r="J902" s="217"/>
      <c r="K902" s="217"/>
      <c r="L902" s="217"/>
      <c r="M902" s="217"/>
      <c r="N902" s="217"/>
      <c r="O902" s="217"/>
      <c r="P902" s="217"/>
      <c r="Q902" s="218"/>
    </row>
    <row r="903" spans="1:17" s="219" customFormat="1" hidden="1" x14ac:dyDescent="0.25">
      <c r="A903" s="214"/>
      <c r="B903" s="215" t="s">
        <v>1822</v>
      </c>
      <c r="C903" s="215" t="s">
        <v>1823</v>
      </c>
      <c r="D903" s="215" t="s">
        <v>1934</v>
      </c>
      <c r="E903" s="215" t="s">
        <v>1825</v>
      </c>
      <c r="F903" s="215" t="s">
        <v>2100</v>
      </c>
      <c r="G903" s="215" t="s">
        <v>75</v>
      </c>
      <c r="H903" s="216" t="s">
        <v>2726</v>
      </c>
      <c r="I903" s="217"/>
      <c r="J903" s="217"/>
      <c r="K903" s="217"/>
      <c r="L903" s="217"/>
      <c r="M903" s="217"/>
      <c r="N903" s="217"/>
      <c r="O903" s="217"/>
      <c r="P903" s="217"/>
      <c r="Q903" s="218"/>
    </row>
    <row r="904" spans="1:17" s="213" customFormat="1" ht="30" hidden="1" x14ac:dyDescent="0.25">
      <c r="A904" s="208" t="s">
        <v>1905</v>
      </c>
      <c r="B904" s="209" t="s">
        <v>1822</v>
      </c>
      <c r="C904" s="209" t="s">
        <v>1823</v>
      </c>
      <c r="D904" s="209" t="s">
        <v>1934</v>
      </c>
      <c r="E904" s="209" t="s">
        <v>1836</v>
      </c>
      <c r="F904" s="209"/>
      <c r="G904" s="209"/>
      <c r="H904" s="210" t="s">
        <v>2727</v>
      </c>
      <c r="I904" s="211">
        <f>SUM(I905+I910+I915)</f>
        <v>0</v>
      </c>
      <c r="J904" s="211">
        <f t="shared" ref="J904:P904" si="127">SUM(J905+J910+J915)</f>
        <v>0</v>
      </c>
      <c r="K904" s="211">
        <f t="shared" si="127"/>
        <v>0</v>
      </c>
      <c r="L904" s="211">
        <f t="shared" si="127"/>
        <v>0</v>
      </c>
      <c r="M904" s="211">
        <f t="shared" si="127"/>
        <v>0</v>
      </c>
      <c r="N904" s="211">
        <f t="shared" si="127"/>
        <v>0</v>
      </c>
      <c r="O904" s="211">
        <f t="shared" si="127"/>
        <v>0</v>
      </c>
      <c r="P904" s="211">
        <f t="shared" si="127"/>
        <v>0</v>
      </c>
      <c r="Q904" s="212"/>
    </row>
    <row r="905" spans="1:17" s="213" customFormat="1" hidden="1" x14ac:dyDescent="0.25">
      <c r="A905" s="208" t="s">
        <v>263</v>
      </c>
      <c r="B905" s="209" t="s">
        <v>1822</v>
      </c>
      <c r="C905" s="209" t="s">
        <v>1823</v>
      </c>
      <c r="D905" s="209" t="s">
        <v>1934</v>
      </c>
      <c r="E905" s="209" t="s">
        <v>1836</v>
      </c>
      <c r="F905" s="209" t="s">
        <v>1825</v>
      </c>
      <c r="G905" s="209"/>
      <c r="H905" s="210" t="s">
        <v>2728</v>
      </c>
      <c r="I905" s="211">
        <f>SUM(I906:I909)</f>
        <v>0</v>
      </c>
      <c r="J905" s="211">
        <f t="shared" ref="J905:P905" si="128">SUM(J906:J909)</f>
        <v>0</v>
      </c>
      <c r="K905" s="211">
        <f t="shared" si="128"/>
        <v>0</v>
      </c>
      <c r="L905" s="211">
        <f t="shared" si="128"/>
        <v>0</v>
      </c>
      <c r="M905" s="211">
        <f t="shared" si="128"/>
        <v>0</v>
      </c>
      <c r="N905" s="211">
        <f t="shared" si="128"/>
        <v>0</v>
      </c>
      <c r="O905" s="211">
        <f t="shared" si="128"/>
        <v>0</v>
      </c>
      <c r="P905" s="211">
        <f t="shared" si="128"/>
        <v>0</v>
      </c>
      <c r="Q905" s="212"/>
    </row>
    <row r="906" spans="1:17" s="219" customFormat="1" hidden="1" x14ac:dyDescent="0.25">
      <c r="A906" s="214"/>
      <c r="B906" s="215" t="s">
        <v>1822</v>
      </c>
      <c r="C906" s="215" t="s">
        <v>1823</v>
      </c>
      <c r="D906" s="215" t="s">
        <v>1934</v>
      </c>
      <c r="E906" s="215" t="s">
        <v>1836</v>
      </c>
      <c r="F906" s="215" t="s">
        <v>1825</v>
      </c>
      <c r="G906" s="215" t="s">
        <v>58</v>
      </c>
      <c r="H906" s="216" t="s">
        <v>2729</v>
      </c>
      <c r="I906" s="217"/>
      <c r="J906" s="217"/>
      <c r="K906" s="217"/>
      <c r="L906" s="217"/>
      <c r="M906" s="217"/>
      <c r="N906" s="217"/>
      <c r="O906" s="217"/>
      <c r="P906" s="217"/>
      <c r="Q906" s="218"/>
    </row>
    <row r="907" spans="1:17" s="219" customFormat="1" hidden="1" x14ac:dyDescent="0.25">
      <c r="A907" s="214"/>
      <c r="B907" s="215" t="s">
        <v>1822</v>
      </c>
      <c r="C907" s="215" t="s">
        <v>1823</v>
      </c>
      <c r="D907" s="215" t="s">
        <v>1934</v>
      </c>
      <c r="E907" s="215" t="s">
        <v>1836</v>
      </c>
      <c r="F907" s="215" t="s">
        <v>1825</v>
      </c>
      <c r="G907" s="215" t="s">
        <v>75</v>
      </c>
      <c r="H907" s="216" t="s">
        <v>2730</v>
      </c>
      <c r="I907" s="217"/>
      <c r="J907" s="217"/>
      <c r="K907" s="217"/>
      <c r="L907" s="217"/>
      <c r="M907" s="217"/>
      <c r="N907" s="217"/>
      <c r="O907" s="217"/>
      <c r="P907" s="217"/>
      <c r="Q907" s="218"/>
    </row>
    <row r="908" spans="1:17" s="219" customFormat="1" hidden="1" x14ac:dyDescent="0.25">
      <c r="A908" s="214"/>
      <c r="B908" s="215" t="s">
        <v>1822</v>
      </c>
      <c r="C908" s="215" t="s">
        <v>1823</v>
      </c>
      <c r="D908" s="215" t="s">
        <v>1934</v>
      </c>
      <c r="E908" s="215" t="s">
        <v>1836</v>
      </c>
      <c r="F908" s="215" t="s">
        <v>1825</v>
      </c>
      <c r="G908" s="215" t="s">
        <v>79</v>
      </c>
      <c r="H908" s="216" t="s">
        <v>2731</v>
      </c>
      <c r="I908" s="217"/>
      <c r="J908" s="217"/>
      <c r="K908" s="217"/>
      <c r="L908" s="217"/>
      <c r="M908" s="217"/>
      <c r="N908" s="217"/>
      <c r="O908" s="217"/>
      <c r="P908" s="217"/>
      <c r="Q908" s="218"/>
    </row>
    <row r="909" spans="1:17" s="219" customFormat="1" hidden="1" x14ac:dyDescent="0.25">
      <c r="A909" s="214"/>
      <c r="B909" s="215" t="s">
        <v>1822</v>
      </c>
      <c r="C909" s="215" t="s">
        <v>1823</v>
      </c>
      <c r="D909" s="215" t="s">
        <v>1934</v>
      </c>
      <c r="E909" s="215" t="s">
        <v>1836</v>
      </c>
      <c r="F909" s="215" t="s">
        <v>1825</v>
      </c>
      <c r="G909" s="215" t="s">
        <v>84</v>
      </c>
      <c r="H909" s="216" t="s">
        <v>2732</v>
      </c>
      <c r="I909" s="217"/>
      <c r="J909" s="217"/>
      <c r="K909" s="217"/>
      <c r="L909" s="217"/>
      <c r="M909" s="217"/>
      <c r="N909" s="217"/>
      <c r="O909" s="217"/>
      <c r="P909" s="217"/>
      <c r="Q909" s="218"/>
    </row>
    <row r="910" spans="1:17" s="213" customFormat="1" hidden="1" x14ac:dyDescent="0.25">
      <c r="A910" s="208" t="s">
        <v>263</v>
      </c>
      <c r="B910" s="209" t="s">
        <v>1822</v>
      </c>
      <c r="C910" s="209" t="s">
        <v>1823</v>
      </c>
      <c r="D910" s="209" t="s">
        <v>1934</v>
      </c>
      <c r="E910" s="209" t="s">
        <v>1836</v>
      </c>
      <c r="F910" s="209" t="s">
        <v>1836</v>
      </c>
      <c r="G910" s="209"/>
      <c r="H910" s="210" t="s">
        <v>2733</v>
      </c>
      <c r="I910" s="211">
        <f>SUM(I911:I914)</f>
        <v>0</v>
      </c>
      <c r="J910" s="211">
        <f t="shared" ref="J910:P910" si="129">SUM(J911:J914)</f>
        <v>0</v>
      </c>
      <c r="K910" s="211">
        <f t="shared" si="129"/>
        <v>0</v>
      </c>
      <c r="L910" s="211">
        <f t="shared" si="129"/>
        <v>0</v>
      </c>
      <c r="M910" s="211">
        <f t="shared" si="129"/>
        <v>0</v>
      </c>
      <c r="N910" s="211">
        <f t="shared" si="129"/>
        <v>0</v>
      </c>
      <c r="O910" s="211">
        <f t="shared" si="129"/>
        <v>0</v>
      </c>
      <c r="P910" s="211">
        <f t="shared" si="129"/>
        <v>0</v>
      </c>
      <c r="Q910" s="212"/>
    </row>
    <row r="911" spans="1:17" s="219" customFormat="1" hidden="1" x14ac:dyDescent="0.25">
      <c r="A911" s="214"/>
      <c r="B911" s="215" t="s">
        <v>1822</v>
      </c>
      <c r="C911" s="215" t="s">
        <v>1823</v>
      </c>
      <c r="D911" s="215" t="s">
        <v>1934</v>
      </c>
      <c r="E911" s="215" t="s">
        <v>1836</v>
      </c>
      <c r="F911" s="215" t="s">
        <v>1836</v>
      </c>
      <c r="G911" s="215" t="s">
        <v>58</v>
      </c>
      <c r="H911" s="216" t="s">
        <v>2734</v>
      </c>
      <c r="I911" s="217"/>
      <c r="J911" s="217"/>
      <c r="K911" s="217"/>
      <c r="L911" s="217"/>
      <c r="M911" s="217"/>
      <c r="N911" s="217"/>
      <c r="O911" s="217"/>
      <c r="P911" s="217"/>
      <c r="Q911" s="218"/>
    </row>
    <row r="912" spans="1:17" s="219" customFormat="1" ht="30" hidden="1" x14ac:dyDescent="0.25">
      <c r="A912" s="214"/>
      <c r="B912" s="215" t="s">
        <v>1822</v>
      </c>
      <c r="C912" s="215" t="s">
        <v>1823</v>
      </c>
      <c r="D912" s="215" t="s">
        <v>1934</v>
      </c>
      <c r="E912" s="215" t="s">
        <v>1836</v>
      </c>
      <c r="F912" s="215" t="s">
        <v>1836</v>
      </c>
      <c r="G912" s="215" t="s">
        <v>75</v>
      </c>
      <c r="H912" s="216" t="s">
        <v>2735</v>
      </c>
      <c r="I912" s="217"/>
      <c r="J912" s="217"/>
      <c r="K912" s="217"/>
      <c r="L912" s="217"/>
      <c r="M912" s="217"/>
      <c r="N912" s="217"/>
      <c r="O912" s="217"/>
      <c r="P912" s="217"/>
      <c r="Q912" s="218"/>
    </row>
    <row r="913" spans="1:17" s="219" customFormat="1" hidden="1" x14ac:dyDescent="0.25">
      <c r="A913" s="214"/>
      <c r="B913" s="215" t="s">
        <v>1822</v>
      </c>
      <c r="C913" s="215" t="s">
        <v>1823</v>
      </c>
      <c r="D913" s="215" t="s">
        <v>1934</v>
      </c>
      <c r="E913" s="215" t="s">
        <v>1836</v>
      </c>
      <c r="F913" s="215" t="s">
        <v>1836</v>
      </c>
      <c r="G913" s="215" t="s">
        <v>79</v>
      </c>
      <c r="H913" s="216" t="s">
        <v>2736</v>
      </c>
      <c r="I913" s="217"/>
      <c r="J913" s="217"/>
      <c r="K913" s="217"/>
      <c r="L913" s="217"/>
      <c r="M913" s="217"/>
      <c r="N913" s="217"/>
      <c r="O913" s="217"/>
      <c r="P913" s="217"/>
      <c r="Q913" s="218"/>
    </row>
    <row r="914" spans="1:17" s="219" customFormat="1" hidden="1" x14ac:dyDescent="0.25">
      <c r="A914" s="214"/>
      <c r="B914" s="215" t="s">
        <v>1822</v>
      </c>
      <c r="C914" s="215" t="s">
        <v>1823</v>
      </c>
      <c r="D914" s="215" t="s">
        <v>1934</v>
      </c>
      <c r="E914" s="215" t="s">
        <v>1836</v>
      </c>
      <c r="F914" s="215" t="s">
        <v>1836</v>
      </c>
      <c r="G914" s="215" t="s">
        <v>84</v>
      </c>
      <c r="H914" s="216" t="s">
        <v>2737</v>
      </c>
      <c r="I914" s="217"/>
      <c r="J914" s="217"/>
      <c r="K914" s="217"/>
      <c r="L914" s="217"/>
      <c r="M914" s="217"/>
      <c r="N914" s="217"/>
      <c r="O914" s="217"/>
      <c r="P914" s="217"/>
      <c r="Q914" s="218"/>
    </row>
    <row r="915" spans="1:17" s="213" customFormat="1" hidden="1" x14ac:dyDescent="0.25">
      <c r="A915" s="208" t="s">
        <v>263</v>
      </c>
      <c r="B915" s="209" t="s">
        <v>1822</v>
      </c>
      <c r="C915" s="209" t="s">
        <v>1823</v>
      </c>
      <c r="D915" s="209" t="s">
        <v>1934</v>
      </c>
      <c r="E915" s="209" t="s">
        <v>1836</v>
      </c>
      <c r="F915" s="209" t="s">
        <v>1847</v>
      </c>
      <c r="G915" s="209"/>
      <c r="H915" s="210" t="s">
        <v>2738</v>
      </c>
      <c r="I915" s="211">
        <f>SUM(I916:I917)</f>
        <v>0</v>
      </c>
      <c r="J915" s="211">
        <f t="shared" ref="J915:P915" si="130">SUM(J916:J917)</f>
        <v>0</v>
      </c>
      <c r="K915" s="211">
        <f t="shared" si="130"/>
        <v>0</v>
      </c>
      <c r="L915" s="211">
        <f t="shared" si="130"/>
        <v>0</v>
      </c>
      <c r="M915" s="211">
        <f t="shared" si="130"/>
        <v>0</v>
      </c>
      <c r="N915" s="211">
        <f t="shared" si="130"/>
        <v>0</v>
      </c>
      <c r="O915" s="211">
        <f t="shared" si="130"/>
        <v>0</v>
      </c>
      <c r="P915" s="211">
        <f t="shared" si="130"/>
        <v>0</v>
      </c>
      <c r="Q915" s="212"/>
    </row>
    <row r="916" spans="1:17" s="219" customFormat="1" hidden="1" x14ac:dyDescent="0.25">
      <c r="A916" s="214"/>
      <c r="B916" s="215" t="s">
        <v>1822</v>
      </c>
      <c r="C916" s="215" t="s">
        <v>1823</v>
      </c>
      <c r="D916" s="215" t="s">
        <v>1934</v>
      </c>
      <c r="E916" s="215" t="s">
        <v>1836</v>
      </c>
      <c r="F916" s="215" t="s">
        <v>1847</v>
      </c>
      <c r="G916" s="215" t="s">
        <v>58</v>
      </c>
      <c r="H916" s="216" t="s">
        <v>2739</v>
      </c>
      <c r="I916" s="217"/>
      <c r="J916" s="217"/>
      <c r="K916" s="217"/>
      <c r="L916" s="217"/>
      <c r="M916" s="217"/>
      <c r="N916" s="217"/>
      <c r="O916" s="217"/>
      <c r="P916" s="217"/>
      <c r="Q916" s="218"/>
    </row>
    <row r="917" spans="1:17" s="219" customFormat="1" hidden="1" x14ac:dyDescent="0.25">
      <c r="A917" s="214"/>
      <c r="B917" s="215" t="s">
        <v>1822</v>
      </c>
      <c r="C917" s="215" t="s">
        <v>1823</v>
      </c>
      <c r="D917" s="215" t="s">
        <v>1934</v>
      </c>
      <c r="E917" s="215" t="s">
        <v>1836</v>
      </c>
      <c r="F917" s="215" t="s">
        <v>1847</v>
      </c>
      <c r="G917" s="215" t="s">
        <v>75</v>
      </c>
      <c r="H917" s="216" t="s">
        <v>2740</v>
      </c>
      <c r="I917" s="217"/>
      <c r="J917" s="217"/>
      <c r="K917" s="217"/>
      <c r="L917" s="217"/>
      <c r="M917" s="217"/>
      <c r="N917" s="217"/>
      <c r="O917" s="217"/>
      <c r="P917" s="217"/>
      <c r="Q917" s="218"/>
    </row>
    <row r="918" spans="1:17" s="213" customFormat="1" hidden="1" x14ac:dyDescent="0.25">
      <c r="A918" s="208" t="s">
        <v>1938</v>
      </c>
      <c r="B918" s="209" t="s">
        <v>1822</v>
      </c>
      <c r="C918" s="209" t="s">
        <v>1823</v>
      </c>
      <c r="D918" s="209" t="s">
        <v>1934</v>
      </c>
      <c r="E918" s="209" t="s">
        <v>1847</v>
      </c>
      <c r="F918" s="209"/>
      <c r="G918" s="209"/>
      <c r="H918" s="210" t="s">
        <v>2741</v>
      </c>
      <c r="I918" s="211">
        <f>I919+I924+I929</f>
        <v>0</v>
      </c>
      <c r="J918" s="211">
        <f t="shared" ref="J918:P918" si="131">J919+J924+J929</f>
        <v>0</v>
      </c>
      <c r="K918" s="211">
        <f t="shared" si="131"/>
        <v>0</v>
      </c>
      <c r="L918" s="211">
        <f t="shared" si="131"/>
        <v>0</v>
      </c>
      <c r="M918" s="211">
        <f t="shared" si="131"/>
        <v>0</v>
      </c>
      <c r="N918" s="211">
        <f t="shared" si="131"/>
        <v>0</v>
      </c>
      <c r="O918" s="211">
        <f t="shared" si="131"/>
        <v>0</v>
      </c>
      <c r="P918" s="211">
        <f t="shared" si="131"/>
        <v>0</v>
      </c>
      <c r="Q918" s="212"/>
    </row>
    <row r="919" spans="1:17" s="213" customFormat="1" hidden="1" x14ac:dyDescent="0.25">
      <c r="A919" s="208" t="s">
        <v>263</v>
      </c>
      <c r="B919" s="209" t="s">
        <v>1822</v>
      </c>
      <c r="C919" s="209" t="s">
        <v>1823</v>
      </c>
      <c r="D919" s="209" t="s">
        <v>1934</v>
      </c>
      <c r="E919" s="209" t="s">
        <v>1847</v>
      </c>
      <c r="F919" s="209" t="s">
        <v>1825</v>
      </c>
      <c r="G919" s="209"/>
      <c r="H919" s="210" t="s">
        <v>2742</v>
      </c>
      <c r="I919" s="211">
        <f>SUM(I920:I923)</f>
        <v>0</v>
      </c>
      <c r="J919" s="211">
        <f t="shared" ref="J919:P919" si="132">SUM(J920:J923)</f>
        <v>0</v>
      </c>
      <c r="K919" s="211">
        <f t="shared" si="132"/>
        <v>0</v>
      </c>
      <c r="L919" s="211">
        <f t="shared" si="132"/>
        <v>0</v>
      </c>
      <c r="M919" s="211">
        <f t="shared" si="132"/>
        <v>0</v>
      </c>
      <c r="N919" s="211">
        <f t="shared" si="132"/>
        <v>0</v>
      </c>
      <c r="O919" s="211">
        <f t="shared" si="132"/>
        <v>0</v>
      </c>
      <c r="P919" s="211">
        <f t="shared" si="132"/>
        <v>0</v>
      </c>
      <c r="Q919" s="212"/>
    </row>
    <row r="920" spans="1:17" s="219" customFormat="1" hidden="1" x14ac:dyDescent="0.25">
      <c r="A920" s="214"/>
      <c r="B920" s="215" t="s">
        <v>1822</v>
      </c>
      <c r="C920" s="215" t="s">
        <v>1823</v>
      </c>
      <c r="D920" s="215" t="s">
        <v>1934</v>
      </c>
      <c r="E920" s="215" t="s">
        <v>1847</v>
      </c>
      <c r="F920" s="215" t="s">
        <v>1825</v>
      </c>
      <c r="G920" s="215" t="s">
        <v>58</v>
      </c>
      <c r="H920" s="216" t="s">
        <v>2743</v>
      </c>
      <c r="I920" s="217"/>
      <c r="J920" s="217"/>
      <c r="K920" s="217"/>
      <c r="L920" s="217"/>
      <c r="M920" s="217"/>
      <c r="N920" s="217"/>
      <c r="O920" s="217"/>
      <c r="P920" s="217"/>
      <c r="Q920" s="218"/>
    </row>
    <row r="921" spans="1:17" s="219" customFormat="1" hidden="1" x14ac:dyDescent="0.25">
      <c r="A921" s="214"/>
      <c r="B921" s="215" t="s">
        <v>1822</v>
      </c>
      <c r="C921" s="215" t="s">
        <v>1823</v>
      </c>
      <c r="D921" s="215" t="s">
        <v>1934</v>
      </c>
      <c r="E921" s="215" t="s">
        <v>1847</v>
      </c>
      <c r="F921" s="215" t="s">
        <v>1825</v>
      </c>
      <c r="G921" s="215" t="s">
        <v>75</v>
      </c>
      <c r="H921" s="216" t="s">
        <v>2744</v>
      </c>
      <c r="I921" s="217"/>
      <c r="J921" s="217"/>
      <c r="K921" s="217"/>
      <c r="L921" s="217"/>
      <c r="M921" s="217"/>
      <c r="N921" s="217"/>
      <c r="O921" s="217"/>
      <c r="P921" s="217"/>
      <c r="Q921" s="218"/>
    </row>
    <row r="922" spans="1:17" s="219" customFormat="1" hidden="1" x14ac:dyDescent="0.25">
      <c r="A922" s="214"/>
      <c r="B922" s="215" t="s">
        <v>1822</v>
      </c>
      <c r="C922" s="215" t="s">
        <v>1823</v>
      </c>
      <c r="D922" s="215" t="s">
        <v>1934</v>
      </c>
      <c r="E922" s="215" t="s">
        <v>1847</v>
      </c>
      <c r="F922" s="215" t="s">
        <v>1825</v>
      </c>
      <c r="G922" s="215" t="s">
        <v>79</v>
      </c>
      <c r="H922" s="216" t="s">
        <v>2745</v>
      </c>
      <c r="I922" s="217"/>
      <c r="J922" s="217"/>
      <c r="K922" s="217"/>
      <c r="L922" s="217"/>
      <c r="M922" s="217"/>
      <c r="N922" s="217"/>
      <c r="O922" s="217"/>
      <c r="P922" s="217"/>
      <c r="Q922" s="218"/>
    </row>
    <row r="923" spans="1:17" s="219" customFormat="1" hidden="1" x14ac:dyDescent="0.25">
      <c r="A923" s="214"/>
      <c r="B923" s="215" t="s">
        <v>1822</v>
      </c>
      <c r="C923" s="215" t="s">
        <v>1823</v>
      </c>
      <c r="D923" s="215" t="s">
        <v>1934</v>
      </c>
      <c r="E923" s="215" t="s">
        <v>1847</v>
      </c>
      <c r="F923" s="215" t="s">
        <v>1825</v>
      </c>
      <c r="G923" s="215" t="s">
        <v>84</v>
      </c>
      <c r="H923" s="216" t="s">
        <v>2746</v>
      </c>
      <c r="I923" s="217"/>
      <c r="J923" s="217"/>
      <c r="K923" s="217"/>
      <c r="L923" s="217"/>
      <c r="M923" s="217"/>
      <c r="N923" s="217"/>
      <c r="O923" s="217"/>
      <c r="P923" s="217"/>
      <c r="Q923" s="218"/>
    </row>
    <row r="924" spans="1:17" s="213" customFormat="1" hidden="1" x14ac:dyDescent="0.25">
      <c r="A924" s="208" t="s">
        <v>263</v>
      </c>
      <c r="B924" s="209" t="s">
        <v>1822</v>
      </c>
      <c r="C924" s="209" t="s">
        <v>1823</v>
      </c>
      <c r="D924" s="209" t="s">
        <v>1934</v>
      </c>
      <c r="E924" s="209" t="s">
        <v>1847</v>
      </c>
      <c r="F924" s="209" t="s">
        <v>1836</v>
      </c>
      <c r="G924" s="209"/>
      <c r="H924" s="210" t="s">
        <v>2747</v>
      </c>
      <c r="I924" s="211">
        <f>SUM(I925:I928)</f>
        <v>0</v>
      </c>
      <c r="J924" s="211">
        <f t="shared" ref="J924:P924" si="133">SUM(J925:J928)</f>
        <v>0</v>
      </c>
      <c r="K924" s="211">
        <f t="shared" si="133"/>
        <v>0</v>
      </c>
      <c r="L924" s="211">
        <f t="shared" si="133"/>
        <v>0</v>
      </c>
      <c r="M924" s="211">
        <f t="shared" si="133"/>
        <v>0</v>
      </c>
      <c r="N924" s="211">
        <f t="shared" si="133"/>
        <v>0</v>
      </c>
      <c r="O924" s="211">
        <f t="shared" si="133"/>
        <v>0</v>
      </c>
      <c r="P924" s="211">
        <f t="shared" si="133"/>
        <v>0</v>
      </c>
      <c r="Q924" s="212"/>
    </row>
    <row r="925" spans="1:17" s="219" customFormat="1" hidden="1" x14ac:dyDescent="0.25">
      <c r="A925" s="214"/>
      <c r="B925" s="215" t="s">
        <v>1822</v>
      </c>
      <c r="C925" s="215" t="s">
        <v>1823</v>
      </c>
      <c r="D925" s="215" t="s">
        <v>1934</v>
      </c>
      <c r="E925" s="215" t="s">
        <v>1847</v>
      </c>
      <c r="F925" s="215" t="s">
        <v>1836</v>
      </c>
      <c r="G925" s="215" t="s">
        <v>58</v>
      </c>
      <c r="H925" s="216" t="s">
        <v>2748</v>
      </c>
      <c r="I925" s="217"/>
      <c r="J925" s="217"/>
      <c r="K925" s="217"/>
      <c r="L925" s="217"/>
      <c r="M925" s="217"/>
      <c r="N925" s="217"/>
      <c r="O925" s="217"/>
      <c r="P925" s="217"/>
      <c r="Q925" s="218"/>
    </row>
    <row r="926" spans="1:17" s="219" customFormat="1" hidden="1" x14ac:dyDescent="0.25">
      <c r="A926" s="214"/>
      <c r="B926" s="215" t="s">
        <v>1822</v>
      </c>
      <c r="C926" s="215" t="s">
        <v>1823</v>
      </c>
      <c r="D926" s="215" t="s">
        <v>1934</v>
      </c>
      <c r="E926" s="215" t="s">
        <v>1847</v>
      </c>
      <c r="F926" s="215" t="s">
        <v>1836</v>
      </c>
      <c r="G926" s="215" t="s">
        <v>75</v>
      </c>
      <c r="H926" s="216" t="s">
        <v>2749</v>
      </c>
      <c r="I926" s="217"/>
      <c r="J926" s="217"/>
      <c r="K926" s="217"/>
      <c r="L926" s="217"/>
      <c r="M926" s="217"/>
      <c r="N926" s="217"/>
      <c r="O926" s="217"/>
      <c r="P926" s="217"/>
      <c r="Q926" s="218"/>
    </row>
    <row r="927" spans="1:17" s="219" customFormat="1" hidden="1" x14ac:dyDescent="0.25">
      <c r="A927" s="214"/>
      <c r="B927" s="215" t="s">
        <v>1822</v>
      </c>
      <c r="C927" s="215" t="s">
        <v>1823</v>
      </c>
      <c r="D927" s="215" t="s">
        <v>1934</v>
      </c>
      <c r="E927" s="215" t="s">
        <v>1847</v>
      </c>
      <c r="F927" s="215" t="s">
        <v>1836</v>
      </c>
      <c r="G927" s="215" t="s">
        <v>79</v>
      </c>
      <c r="H927" s="216" t="s">
        <v>2750</v>
      </c>
      <c r="I927" s="217"/>
      <c r="J927" s="217"/>
      <c r="K927" s="217"/>
      <c r="L927" s="217"/>
      <c r="M927" s="217"/>
      <c r="N927" s="217"/>
      <c r="O927" s="217"/>
      <c r="P927" s="217"/>
      <c r="Q927" s="218"/>
    </row>
    <row r="928" spans="1:17" s="219" customFormat="1" hidden="1" x14ac:dyDescent="0.25">
      <c r="A928" s="214"/>
      <c r="B928" s="215" t="s">
        <v>1822</v>
      </c>
      <c r="C928" s="215" t="s">
        <v>1823</v>
      </c>
      <c r="D928" s="215" t="s">
        <v>1934</v>
      </c>
      <c r="E928" s="215" t="s">
        <v>1847</v>
      </c>
      <c r="F928" s="215" t="s">
        <v>1836</v>
      </c>
      <c r="G928" s="215" t="s">
        <v>84</v>
      </c>
      <c r="H928" s="216" t="s">
        <v>2751</v>
      </c>
      <c r="I928" s="217"/>
      <c r="J928" s="217"/>
      <c r="K928" s="217"/>
      <c r="L928" s="217"/>
      <c r="M928" s="217"/>
      <c r="N928" s="217"/>
      <c r="O928" s="217"/>
      <c r="P928" s="217"/>
      <c r="Q928" s="218"/>
    </row>
    <row r="929" spans="1:17" s="213" customFormat="1" hidden="1" x14ac:dyDescent="0.25">
      <c r="A929" s="208" t="s">
        <v>263</v>
      </c>
      <c r="B929" s="209" t="s">
        <v>1822</v>
      </c>
      <c r="C929" s="209" t="s">
        <v>1823</v>
      </c>
      <c r="D929" s="209" t="s">
        <v>1934</v>
      </c>
      <c r="E929" s="209" t="s">
        <v>1847</v>
      </c>
      <c r="F929" s="209" t="s">
        <v>1847</v>
      </c>
      <c r="G929" s="209"/>
      <c r="H929" s="210" t="s">
        <v>2752</v>
      </c>
      <c r="I929" s="211">
        <f>I930</f>
        <v>0</v>
      </c>
      <c r="J929" s="211">
        <f t="shared" ref="J929:P929" si="134">J930</f>
        <v>0</v>
      </c>
      <c r="K929" s="211">
        <f t="shared" si="134"/>
        <v>0</v>
      </c>
      <c r="L929" s="211">
        <f t="shared" si="134"/>
        <v>0</v>
      </c>
      <c r="M929" s="211">
        <f t="shared" si="134"/>
        <v>0</v>
      </c>
      <c r="N929" s="211">
        <f t="shared" si="134"/>
        <v>0</v>
      </c>
      <c r="O929" s="211">
        <f t="shared" si="134"/>
        <v>0</v>
      </c>
      <c r="P929" s="211">
        <f t="shared" si="134"/>
        <v>0</v>
      </c>
      <c r="Q929" s="212"/>
    </row>
    <row r="930" spans="1:17" s="219" customFormat="1" hidden="1" x14ac:dyDescent="0.25">
      <c r="A930" s="214"/>
      <c r="B930" s="215" t="s">
        <v>1822</v>
      </c>
      <c r="C930" s="215" t="s">
        <v>1823</v>
      </c>
      <c r="D930" s="215" t="s">
        <v>1934</v>
      </c>
      <c r="E930" s="215" t="s">
        <v>1847</v>
      </c>
      <c r="F930" s="215" t="s">
        <v>1847</v>
      </c>
      <c r="G930" s="215" t="s">
        <v>58</v>
      </c>
      <c r="H930" s="216" t="s">
        <v>2752</v>
      </c>
      <c r="I930" s="217"/>
      <c r="J930" s="217"/>
      <c r="K930" s="217"/>
      <c r="L930" s="217"/>
      <c r="M930" s="217"/>
      <c r="N930" s="217"/>
      <c r="O930" s="217"/>
      <c r="P930" s="217"/>
      <c r="Q930" s="218"/>
    </row>
    <row r="931" spans="1:17" s="213" customFormat="1" hidden="1" x14ac:dyDescent="0.25">
      <c r="A931" s="208" t="s">
        <v>1984</v>
      </c>
      <c r="B931" s="209" t="s">
        <v>1822</v>
      </c>
      <c r="C931" s="209" t="s">
        <v>1823</v>
      </c>
      <c r="D931" s="209" t="s">
        <v>1934</v>
      </c>
      <c r="E931" s="209" t="s">
        <v>1928</v>
      </c>
      <c r="F931" s="209"/>
      <c r="G931" s="209"/>
      <c r="H931" s="210" t="s">
        <v>2753</v>
      </c>
      <c r="I931" s="211">
        <f>SUM(I932+I934+I936+I938+I940+I942+I944+I946+I948+I950)</f>
        <v>0</v>
      </c>
      <c r="J931" s="211">
        <f t="shared" ref="J931:P931" si="135">SUM(J932+J934+J936+J938+J940+J942+J944+J946+J948+J950)</f>
        <v>0</v>
      </c>
      <c r="K931" s="211">
        <f t="shared" si="135"/>
        <v>0</v>
      </c>
      <c r="L931" s="211">
        <f t="shared" si="135"/>
        <v>0</v>
      </c>
      <c r="M931" s="211">
        <f t="shared" si="135"/>
        <v>0</v>
      </c>
      <c r="N931" s="211">
        <f t="shared" si="135"/>
        <v>0</v>
      </c>
      <c r="O931" s="211">
        <f t="shared" si="135"/>
        <v>0</v>
      </c>
      <c r="P931" s="211">
        <f t="shared" si="135"/>
        <v>0</v>
      </c>
      <c r="Q931" s="212"/>
    </row>
    <row r="932" spans="1:17" s="213" customFormat="1" hidden="1" x14ac:dyDescent="0.25">
      <c r="A932" s="208" t="s">
        <v>263</v>
      </c>
      <c r="B932" s="209" t="s">
        <v>1822</v>
      </c>
      <c r="C932" s="209" t="s">
        <v>1823</v>
      </c>
      <c r="D932" s="209" t="s">
        <v>1934</v>
      </c>
      <c r="E932" s="209" t="s">
        <v>1928</v>
      </c>
      <c r="F932" s="209" t="s">
        <v>1825</v>
      </c>
      <c r="G932" s="209"/>
      <c r="H932" s="210" t="s">
        <v>2754</v>
      </c>
      <c r="I932" s="211">
        <f>I933</f>
        <v>0</v>
      </c>
      <c r="J932" s="211">
        <f t="shared" ref="J932:P932" si="136">J933</f>
        <v>0</v>
      </c>
      <c r="K932" s="211">
        <f t="shared" si="136"/>
        <v>0</v>
      </c>
      <c r="L932" s="211">
        <f t="shared" si="136"/>
        <v>0</v>
      </c>
      <c r="M932" s="211">
        <f t="shared" si="136"/>
        <v>0</v>
      </c>
      <c r="N932" s="211">
        <f t="shared" si="136"/>
        <v>0</v>
      </c>
      <c r="O932" s="211">
        <f t="shared" si="136"/>
        <v>0</v>
      </c>
      <c r="P932" s="211">
        <f t="shared" si="136"/>
        <v>0</v>
      </c>
      <c r="Q932" s="212"/>
    </row>
    <row r="933" spans="1:17" s="219" customFormat="1" hidden="1" x14ac:dyDescent="0.25">
      <c r="A933" s="214"/>
      <c r="B933" s="215" t="s">
        <v>1822</v>
      </c>
      <c r="C933" s="215" t="s">
        <v>1823</v>
      </c>
      <c r="D933" s="215" t="s">
        <v>1934</v>
      </c>
      <c r="E933" s="215" t="s">
        <v>1928</v>
      </c>
      <c r="F933" s="215" t="s">
        <v>1825</v>
      </c>
      <c r="G933" s="215" t="s">
        <v>58</v>
      </c>
      <c r="H933" s="216" t="s">
        <v>2755</v>
      </c>
      <c r="I933" s="217"/>
      <c r="J933" s="217"/>
      <c r="K933" s="217"/>
      <c r="L933" s="217"/>
      <c r="M933" s="217"/>
      <c r="N933" s="217"/>
      <c r="O933" s="217"/>
      <c r="P933" s="217"/>
      <c r="Q933" s="218"/>
    </row>
    <row r="934" spans="1:17" s="213" customFormat="1" ht="30" hidden="1" x14ac:dyDescent="0.25">
      <c r="A934" s="208" t="s">
        <v>263</v>
      </c>
      <c r="B934" s="209" t="s">
        <v>1822</v>
      </c>
      <c r="C934" s="209" t="s">
        <v>1823</v>
      </c>
      <c r="D934" s="209" t="s">
        <v>1934</v>
      </c>
      <c r="E934" s="209" t="s">
        <v>1928</v>
      </c>
      <c r="F934" s="209" t="s">
        <v>1836</v>
      </c>
      <c r="G934" s="209"/>
      <c r="H934" s="210" t="s">
        <v>2756</v>
      </c>
      <c r="I934" s="211">
        <f>I935</f>
        <v>0</v>
      </c>
      <c r="J934" s="211">
        <f t="shared" ref="J934:P934" si="137">J935</f>
        <v>0</v>
      </c>
      <c r="K934" s="211">
        <f t="shared" si="137"/>
        <v>0</v>
      </c>
      <c r="L934" s="211">
        <f t="shared" si="137"/>
        <v>0</v>
      </c>
      <c r="M934" s="211">
        <f t="shared" si="137"/>
        <v>0</v>
      </c>
      <c r="N934" s="211">
        <f t="shared" si="137"/>
        <v>0</v>
      </c>
      <c r="O934" s="211">
        <f t="shared" si="137"/>
        <v>0</v>
      </c>
      <c r="P934" s="211">
        <f t="shared" si="137"/>
        <v>0</v>
      </c>
      <c r="Q934" s="212"/>
    </row>
    <row r="935" spans="1:17" s="219" customFormat="1" ht="45" hidden="1" x14ac:dyDescent="0.25">
      <c r="A935" s="214"/>
      <c r="B935" s="215" t="s">
        <v>1822</v>
      </c>
      <c r="C935" s="215" t="s">
        <v>1823</v>
      </c>
      <c r="D935" s="215" t="s">
        <v>1934</v>
      </c>
      <c r="E935" s="215" t="s">
        <v>1928</v>
      </c>
      <c r="F935" s="215" t="s">
        <v>1836</v>
      </c>
      <c r="G935" s="215" t="s">
        <v>58</v>
      </c>
      <c r="H935" s="216" t="s">
        <v>2757</v>
      </c>
      <c r="I935" s="217"/>
      <c r="J935" s="217"/>
      <c r="K935" s="217"/>
      <c r="L935" s="217"/>
      <c r="M935" s="217"/>
      <c r="N935" s="217"/>
      <c r="O935" s="217"/>
      <c r="P935" s="217"/>
      <c r="Q935" s="218"/>
    </row>
    <row r="936" spans="1:17" s="213" customFormat="1" ht="45" hidden="1" x14ac:dyDescent="0.25">
      <c r="A936" s="208" t="s">
        <v>263</v>
      </c>
      <c r="B936" s="209" t="s">
        <v>1822</v>
      </c>
      <c r="C936" s="209" t="s">
        <v>1823</v>
      </c>
      <c r="D936" s="209" t="s">
        <v>1934</v>
      </c>
      <c r="E936" s="209" t="s">
        <v>1928</v>
      </c>
      <c r="F936" s="209" t="s">
        <v>1847</v>
      </c>
      <c r="G936" s="209"/>
      <c r="H936" s="210" t="s">
        <v>2758</v>
      </c>
      <c r="I936" s="211">
        <f>I937</f>
        <v>0</v>
      </c>
      <c r="J936" s="211">
        <f t="shared" ref="J936:P936" si="138">J937</f>
        <v>0</v>
      </c>
      <c r="K936" s="211">
        <f t="shared" si="138"/>
        <v>0</v>
      </c>
      <c r="L936" s="211">
        <f t="shared" si="138"/>
        <v>0</v>
      </c>
      <c r="M936" s="211">
        <f t="shared" si="138"/>
        <v>0</v>
      </c>
      <c r="N936" s="211">
        <f t="shared" si="138"/>
        <v>0</v>
      </c>
      <c r="O936" s="211">
        <f t="shared" si="138"/>
        <v>0</v>
      </c>
      <c r="P936" s="211">
        <f t="shared" si="138"/>
        <v>0</v>
      </c>
      <c r="Q936" s="212"/>
    </row>
    <row r="937" spans="1:17" s="219" customFormat="1" ht="45" hidden="1" x14ac:dyDescent="0.25">
      <c r="A937" s="214"/>
      <c r="B937" s="215" t="s">
        <v>1822</v>
      </c>
      <c r="C937" s="215" t="s">
        <v>1823</v>
      </c>
      <c r="D937" s="215" t="s">
        <v>1934</v>
      </c>
      <c r="E937" s="215" t="s">
        <v>1928</v>
      </c>
      <c r="F937" s="215" t="s">
        <v>1847</v>
      </c>
      <c r="G937" s="215" t="s">
        <v>58</v>
      </c>
      <c r="H937" s="216" t="s">
        <v>2759</v>
      </c>
      <c r="I937" s="217"/>
      <c r="J937" s="217"/>
      <c r="K937" s="217"/>
      <c r="L937" s="217"/>
      <c r="M937" s="217"/>
      <c r="N937" s="217"/>
      <c r="O937" s="217"/>
      <c r="P937" s="217"/>
      <c r="Q937" s="218"/>
    </row>
    <row r="938" spans="1:17" s="213" customFormat="1" ht="30" hidden="1" x14ac:dyDescent="0.25">
      <c r="A938" s="208" t="s">
        <v>263</v>
      </c>
      <c r="B938" s="209" t="s">
        <v>1822</v>
      </c>
      <c r="C938" s="209" t="s">
        <v>1823</v>
      </c>
      <c r="D938" s="209" t="s">
        <v>1934</v>
      </c>
      <c r="E938" s="209" t="s">
        <v>1928</v>
      </c>
      <c r="F938" s="209" t="s">
        <v>1928</v>
      </c>
      <c r="G938" s="209"/>
      <c r="H938" s="210" t="s">
        <v>2760</v>
      </c>
      <c r="I938" s="211">
        <f>I939</f>
        <v>0</v>
      </c>
      <c r="J938" s="211">
        <f t="shared" ref="J938:P938" si="139">J939</f>
        <v>0</v>
      </c>
      <c r="K938" s="211">
        <f t="shared" si="139"/>
        <v>0</v>
      </c>
      <c r="L938" s="211">
        <f t="shared" si="139"/>
        <v>0</v>
      </c>
      <c r="M938" s="211">
        <f t="shared" si="139"/>
        <v>0</v>
      </c>
      <c r="N938" s="211">
        <f t="shared" si="139"/>
        <v>0</v>
      </c>
      <c r="O938" s="211">
        <f t="shared" si="139"/>
        <v>0</v>
      </c>
      <c r="P938" s="211">
        <f t="shared" si="139"/>
        <v>0</v>
      </c>
      <c r="Q938" s="212"/>
    </row>
    <row r="939" spans="1:17" s="219" customFormat="1" ht="30" hidden="1" x14ac:dyDescent="0.25">
      <c r="A939" s="214"/>
      <c r="B939" s="215" t="s">
        <v>1822</v>
      </c>
      <c r="C939" s="215" t="s">
        <v>1823</v>
      </c>
      <c r="D939" s="215" t="s">
        <v>1934</v>
      </c>
      <c r="E939" s="215" t="s">
        <v>1928</v>
      </c>
      <c r="F939" s="215" t="s">
        <v>1928</v>
      </c>
      <c r="G939" s="215" t="s">
        <v>58</v>
      </c>
      <c r="H939" s="216" t="s">
        <v>2761</v>
      </c>
      <c r="I939" s="217"/>
      <c r="J939" s="217"/>
      <c r="K939" s="217"/>
      <c r="L939" s="217"/>
      <c r="M939" s="217"/>
      <c r="N939" s="217"/>
      <c r="O939" s="217"/>
      <c r="P939" s="217"/>
      <c r="Q939" s="218"/>
    </row>
    <row r="940" spans="1:17" s="213" customFormat="1" ht="30" hidden="1" x14ac:dyDescent="0.25">
      <c r="A940" s="208" t="s">
        <v>263</v>
      </c>
      <c r="B940" s="209" t="s">
        <v>1822</v>
      </c>
      <c r="C940" s="209" t="s">
        <v>1823</v>
      </c>
      <c r="D940" s="209" t="s">
        <v>1934</v>
      </c>
      <c r="E940" s="209" t="s">
        <v>1928</v>
      </c>
      <c r="F940" s="209" t="s">
        <v>1934</v>
      </c>
      <c r="G940" s="209"/>
      <c r="H940" s="210" t="s">
        <v>2762</v>
      </c>
      <c r="I940" s="211">
        <f>I941</f>
        <v>0</v>
      </c>
      <c r="J940" s="211">
        <f t="shared" ref="J940:P940" si="140">J941</f>
        <v>0</v>
      </c>
      <c r="K940" s="211">
        <f t="shared" si="140"/>
        <v>0</v>
      </c>
      <c r="L940" s="211">
        <f t="shared" si="140"/>
        <v>0</v>
      </c>
      <c r="M940" s="211">
        <f t="shared" si="140"/>
        <v>0</v>
      </c>
      <c r="N940" s="211">
        <f t="shared" si="140"/>
        <v>0</v>
      </c>
      <c r="O940" s="211">
        <f t="shared" si="140"/>
        <v>0</v>
      </c>
      <c r="P940" s="211">
        <f t="shared" si="140"/>
        <v>0</v>
      </c>
      <c r="Q940" s="212"/>
    </row>
    <row r="941" spans="1:17" s="219" customFormat="1" ht="30" hidden="1" x14ac:dyDescent="0.25">
      <c r="A941" s="214"/>
      <c r="B941" s="215" t="s">
        <v>1822</v>
      </c>
      <c r="C941" s="215" t="s">
        <v>1823</v>
      </c>
      <c r="D941" s="215" t="s">
        <v>1934</v>
      </c>
      <c r="E941" s="215" t="s">
        <v>1928</v>
      </c>
      <c r="F941" s="215" t="s">
        <v>1934</v>
      </c>
      <c r="G941" s="215" t="s">
        <v>58</v>
      </c>
      <c r="H941" s="216" t="s">
        <v>2763</v>
      </c>
      <c r="I941" s="217"/>
      <c r="J941" s="217"/>
      <c r="K941" s="217"/>
      <c r="L941" s="217"/>
      <c r="M941" s="217"/>
      <c r="N941" s="217"/>
      <c r="O941" s="217"/>
      <c r="P941" s="217"/>
      <c r="Q941" s="218"/>
    </row>
    <row r="942" spans="1:17" s="213" customFormat="1" hidden="1" x14ac:dyDescent="0.25">
      <c r="A942" s="208" t="s">
        <v>263</v>
      </c>
      <c r="B942" s="209" t="s">
        <v>1822</v>
      </c>
      <c r="C942" s="209" t="s">
        <v>1823</v>
      </c>
      <c r="D942" s="209" t="s">
        <v>1934</v>
      </c>
      <c r="E942" s="209" t="s">
        <v>1928</v>
      </c>
      <c r="F942" s="209" t="s">
        <v>2022</v>
      </c>
      <c r="G942" s="209"/>
      <c r="H942" s="210" t="s">
        <v>2764</v>
      </c>
      <c r="I942" s="211">
        <f>I943</f>
        <v>0</v>
      </c>
      <c r="J942" s="211">
        <f t="shared" ref="J942:P942" si="141">J943</f>
        <v>0</v>
      </c>
      <c r="K942" s="211">
        <f t="shared" si="141"/>
        <v>0</v>
      </c>
      <c r="L942" s="211">
        <f t="shared" si="141"/>
        <v>0</v>
      </c>
      <c r="M942" s="211">
        <f t="shared" si="141"/>
        <v>0</v>
      </c>
      <c r="N942" s="211">
        <f t="shared" si="141"/>
        <v>0</v>
      </c>
      <c r="O942" s="211">
        <f t="shared" si="141"/>
        <v>0</v>
      </c>
      <c r="P942" s="211">
        <f t="shared" si="141"/>
        <v>0</v>
      </c>
      <c r="Q942" s="212"/>
    </row>
    <row r="943" spans="1:17" s="219" customFormat="1" ht="30" hidden="1" x14ac:dyDescent="0.25">
      <c r="A943" s="214"/>
      <c r="B943" s="215" t="s">
        <v>1822</v>
      </c>
      <c r="C943" s="215" t="s">
        <v>1823</v>
      </c>
      <c r="D943" s="215" t="s">
        <v>1934</v>
      </c>
      <c r="E943" s="215" t="s">
        <v>1928</v>
      </c>
      <c r="F943" s="215" t="s">
        <v>2022</v>
      </c>
      <c r="G943" s="215" t="s">
        <v>58</v>
      </c>
      <c r="H943" s="216" t="s">
        <v>2765</v>
      </c>
      <c r="I943" s="217"/>
      <c r="J943" s="217"/>
      <c r="K943" s="217"/>
      <c r="L943" s="217"/>
      <c r="M943" s="217"/>
      <c r="N943" s="217"/>
      <c r="O943" s="217"/>
      <c r="P943" s="217"/>
      <c r="Q943" s="218"/>
    </row>
    <row r="944" spans="1:17" s="213" customFormat="1" ht="30" hidden="1" x14ac:dyDescent="0.25">
      <c r="A944" s="208" t="s">
        <v>263</v>
      </c>
      <c r="B944" s="209" t="s">
        <v>1822</v>
      </c>
      <c r="C944" s="209" t="s">
        <v>1823</v>
      </c>
      <c r="D944" s="209" t="s">
        <v>1934</v>
      </c>
      <c r="E944" s="209" t="s">
        <v>1928</v>
      </c>
      <c r="F944" s="209" t="s">
        <v>2100</v>
      </c>
      <c r="G944" s="209"/>
      <c r="H944" s="210" t="s">
        <v>2766</v>
      </c>
      <c r="I944" s="211">
        <f>I945</f>
        <v>0</v>
      </c>
      <c r="J944" s="211">
        <f t="shared" ref="J944:P944" si="142">J945</f>
        <v>0</v>
      </c>
      <c r="K944" s="211">
        <f t="shared" si="142"/>
        <v>0</v>
      </c>
      <c r="L944" s="211">
        <f t="shared" si="142"/>
        <v>0</v>
      </c>
      <c r="M944" s="211">
        <f t="shared" si="142"/>
        <v>0</v>
      </c>
      <c r="N944" s="211">
        <f t="shared" si="142"/>
        <v>0</v>
      </c>
      <c r="O944" s="211">
        <f t="shared" si="142"/>
        <v>0</v>
      </c>
      <c r="P944" s="211">
        <f t="shared" si="142"/>
        <v>0</v>
      </c>
      <c r="Q944" s="212"/>
    </row>
    <row r="945" spans="1:17" s="219" customFormat="1" ht="45" hidden="1" x14ac:dyDescent="0.25">
      <c r="A945" s="214"/>
      <c r="B945" s="215" t="s">
        <v>1822</v>
      </c>
      <c r="C945" s="215" t="s">
        <v>1823</v>
      </c>
      <c r="D945" s="215" t="s">
        <v>1934</v>
      </c>
      <c r="E945" s="215" t="s">
        <v>1928</v>
      </c>
      <c r="F945" s="215" t="s">
        <v>2100</v>
      </c>
      <c r="G945" s="215" t="s">
        <v>58</v>
      </c>
      <c r="H945" s="216" t="s">
        <v>2767</v>
      </c>
      <c r="I945" s="217"/>
      <c r="J945" s="217"/>
      <c r="K945" s="217"/>
      <c r="L945" s="217"/>
      <c r="M945" s="217"/>
      <c r="N945" s="217"/>
      <c r="O945" s="217"/>
      <c r="P945" s="217"/>
      <c r="Q945" s="218"/>
    </row>
    <row r="946" spans="1:17" s="213" customFormat="1" ht="30" hidden="1" x14ac:dyDescent="0.25">
      <c r="A946" s="208" t="s">
        <v>263</v>
      </c>
      <c r="B946" s="209" t="s">
        <v>1822</v>
      </c>
      <c r="C946" s="209" t="s">
        <v>1823</v>
      </c>
      <c r="D946" s="209" t="s">
        <v>1934</v>
      </c>
      <c r="E946" s="209" t="s">
        <v>1928</v>
      </c>
      <c r="F946" s="209" t="s">
        <v>2139</v>
      </c>
      <c r="G946" s="209"/>
      <c r="H946" s="210" t="s">
        <v>2768</v>
      </c>
      <c r="I946" s="211">
        <f>I947</f>
        <v>0</v>
      </c>
      <c r="J946" s="211">
        <f t="shared" ref="J946:P946" si="143">J947</f>
        <v>0</v>
      </c>
      <c r="K946" s="211">
        <f t="shared" si="143"/>
        <v>0</v>
      </c>
      <c r="L946" s="211">
        <f t="shared" si="143"/>
        <v>0</v>
      </c>
      <c r="M946" s="211">
        <f t="shared" si="143"/>
        <v>0</v>
      </c>
      <c r="N946" s="211">
        <f t="shared" si="143"/>
        <v>0</v>
      </c>
      <c r="O946" s="211">
        <f t="shared" si="143"/>
        <v>0</v>
      </c>
      <c r="P946" s="211">
        <f t="shared" si="143"/>
        <v>0</v>
      </c>
      <c r="Q946" s="212"/>
    </row>
    <row r="947" spans="1:17" s="219" customFormat="1" ht="45" hidden="1" x14ac:dyDescent="0.25">
      <c r="A947" s="214"/>
      <c r="B947" s="215" t="s">
        <v>1822</v>
      </c>
      <c r="C947" s="215" t="s">
        <v>1823</v>
      </c>
      <c r="D947" s="215" t="s">
        <v>1934</v>
      </c>
      <c r="E947" s="215" t="s">
        <v>1928</v>
      </c>
      <c r="F947" s="215" t="s">
        <v>2139</v>
      </c>
      <c r="G947" s="215" t="s">
        <v>58</v>
      </c>
      <c r="H947" s="216" t="s">
        <v>2769</v>
      </c>
      <c r="I947" s="217"/>
      <c r="J947" s="217"/>
      <c r="K947" s="217"/>
      <c r="L947" s="217"/>
      <c r="M947" s="217"/>
      <c r="N947" s="217"/>
      <c r="O947" s="217"/>
      <c r="P947" s="217"/>
      <c r="Q947" s="218"/>
    </row>
    <row r="948" spans="1:17" s="213" customFormat="1" ht="45" hidden="1" x14ac:dyDescent="0.25">
      <c r="A948" s="208" t="s">
        <v>263</v>
      </c>
      <c r="B948" s="209" t="s">
        <v>1822</v>
      </c>
      <c r="C948" s="209" t="s">
        <v>1823</v>
      </c>
      <c r="D948" s="209" t="s">
        <v>1934</v>
      </c>
      <c r="E948" s="209" t="s">
        <v>1928</v>
      </c>
      <c r="F948" s="209" t="s">
        <v>2277</v>
      </c>
      <c r="G948" s="209"/>
      <c r="H948" s="210" t="s">
        <v>2770</v>
      </c>
      <c r="I948" s="211">
        <f>I949</f>
        <v>0</v>
      </c>
      <c r="J948" s="211">
        <f t="shared" ref="J948:P948" si="144">J949</f>
        <v>0</v>
      </c>
      <c r="K948" s="211">
        <f t="shared" si="144"/>
        <v>0</v>
      </c>
      <c r="L948" s="211">
        <f t="shared" si="144"/>
        <v>0</v>
      </c>
      <c r="M948" s="211">
        <f t="shared" si="144"/>
        <v>0</v>
      </c>
      <c r="N948" s="211">
        <f t="shared" si="144"/>
        <v>0</v>
      </c>
      <c r="O948" s="211">
        <f t="shared" si="144"/>
        <v>0</v>
      </c>
      <c r="P948" s="211">
        <f t="shared" si="144"/>
        <v>0</v>
      </c>
      <c r="Q948" s="212"/>
    </row>
    <row r="949" spans="1:17" s="219" customFormat="1" ht="45" hidden="1" x14ac:dyDescent="0.25">
      <c r="A949" s="214"/>
      <c r="B949" s="215" t="s">
        <v>1822</v>
      </c>
      <c r="C949" s="215" t="s">
        <v>1823</v>
      </c>
      <c r="D949" s="215" t="s">
        <v>1934</v>
      </c>
      <c r="E949" s="215" t="s">
        <v>1928</v>
      </c>
      <c r="F949" s="215" t="s">
        <v>2277</v>
      </c>
      <c r="G949" s="215" t="s">
        <v>58</v>
      </c>
      <c r="H949" s="216" t="s">
        <v>2771</v>
      </c>
      <c r="I949" s="217"/>
      <c r="J949" s="217"/>
      <c r="K949" s="217"/>
      <c r="L949" s="217"/>
      <c r="M949" s="217"/>
      <c r="N949" s="217"/>
      <c r="O949" s="217"/>
      <c r="P949" s="217"/>
      <c r="Q949" s="218"/>
    </row>
    <row r="950" spans="1:17" s="213" customFormat="1" hidden="1" x14ac:dyDescent="0.25">
      <c r="A950" s="208" t="s">
        <v>263</v>
      </c>
      <c r="B950" s="209" t="s">
        <v>1822</v>
      </c>
      <c r="C950" s="209" t="s">
        <v>1823</v>
      </c>
      <c r="D950" s="209" t="s">
        <v>1934</v>
      </c>
      <c r="E950" s="209" t="s">
        <v>1928</v>
      </c>
      <c r="F950" s="209" t="s">
        <v>2313</v>
      </c>
      <c r="G950" s="209"/>
      <c r="H950" s="210" t="s">
        <v>2772</v>
      </c>
      <c r="I950" s="211">
        <f>I951</f>
        <v>0</v>
      </c>
      <c r="J950" s="211">
        <f t="shared" ref="J950:P950" si="145">J951</f>
        <v>0</v>
      </c>
      <c r="K950" s="211">
        <f t="shared" si="145"/>
        <v>0</v>
      </c>
      <c r="L950" s="211">
        <f t="shared" si="145"/>
        <v>0</v>
      </c>
      <c r="M950" s="211">
        <f t="shared" si="145"/>
        <v>0</v>
      </c>
      <c r="N950" s="211">
        <f t="shared" si="145"/>
        <v>0</v>
      </c>
      <c r="O950" s="211">
        <f t="shared" si="145"/>
        <v>0</v>
      </c>
      <c r="P950" s="211">
        <f t="shared" si="145"/>
        <v>0</v>
      </c>
      <c r="Q950" s="212"/>
    </row>
    <row r="951" spans="1:17" s="219" customFormat="1" hidden="1" x14ac:dyDescent="0.25">
      <c r="A951" s="214"/>
      <c r="B951" s="215" t="s">
        <v>1822</v>
      </c>
      <c r="C951" s="215" t="s">
        <v>1823</v>
      </c>
      <c r="D951" s="215" t="s">
        <v>1934</v>
      </c>
      <c r="E951" s="215" t="s">
        <v>1928</v>
      </c>
      <c r="F951" s="215" t="s">
        <v>2313</v>
      </c>
      <c r="G951" s="215" t="s">
        <v>58</v>
      </c>
      <c r="H951" s="216" t="s">
        <v>2773</v>
      </c>
      <c r="I951" s="217"/>
      <c r="J951" s="217"/>
      <c r="K951" s="217"/>
      <c r="L951" s="217"/>
      <c r="M951" s="217"/>
      <c r="N951" s="217"/>
      <c r="O951" s="217"/>
      <c r="P951" s="217"/>
      <c r="Q951" s="218"/>
    </row>
    <row r="952" spans="1:17" s="213" customFormat="1" hidden="1" x14ac:dyDescent="0.25">
      <c r="A952" s="208" t="s">
        <v>1997</v>
      </c>
      <c r="B952" s="209" t="s">
        <v>1822</v>
      </c>
      <c r="C952" s="209" t="s">
        <v>1823</v>
      </c>
      <c r="D952" s="209" t="s">
        <v>1934</v>
      </c>
      <c r="E952" s="209" t="s">
        <v>1934</v>
      </c>
      <c r="F952" s="209"/>
      <c r="G952" s="209"/>
      <c r="H952" s="210" t="s">
        <v>2774</v>
      </c>
      <c r="I952" s="211">
        <f>I953</f>
        <v>0</v>
      </c>
      <c r="J952" s="211">
        <f t="shared" ref="J952:P953" si="146">J953</f>
        <v>0</v>
      </c>
      <c r="K952" s="211">
        <f t="shared" si="146"/>
        <v>0</v>
      </c>
      <c r="L952" s="211">
        <f t="shared" si="146"/>
        <v>0</v>
      </c>
      <c r="M952" s="211">
        <f t="shared" si="146"/>
        <v>0</v>
      </c>
      <c r="N952" s="211">
        <f t="shared" si="146"/>
        <v>0</v>
      </c>
      <c r="O952" s="211">
        <f t="shared" si="146"/>
        <v>0</v>
      </c>
      <c r="P952" s="211">
        <f t="shared" si="146"/>
        <v>0</v>
      </c>
      <c r="Q952" s="212"/>
    </row>
    <row r="953" spans="1:17" s="213" customFormat="1" hidden="1" x14ac:dyDescent="0.25">
      <c r="A953" s="208" t="s">
        <v>263</v>
      </c>
      <c r="B953" s="209" t="s">
        <v>1822</v>
      </c>
      <c r="C953" s="209" t="s">
        <v>1823</v>
      </c>
      <c r="D953" s="209" t="s">
        <v>1934</v>
      </c>
      <c r="E953" s="209" t="s">
        <v>1934</v>
      </c>
      <c r="F953" s="209" t="s">
        <v>1825</v>
      </c>
      <c r="G953" s="209"/>
      <c r="H953" s="210" t="s">
        <v>2774</v>
      </c>
      <c r="I953" s="211">
        <f>I954</f>
        <v>0</v>
      </c>
      <c r="J953" s="211">
        <f t="shared" si="146"/>
        <v>0</v>
      </c>
      <c r="K953" s="211">
        <f t="shared" si="146"/>
        <v>0</v>
      </c>
      <c r="L953" s="211">
        <f t="shared" si="146"/>
        <v>0</v>
      </c>
      <c r="M953" s="211">
        <f t="shared" si="146"/>
        <v>0</v>
      </c>
      <c r="N953" s="211">
        <f t="shared" si="146"/>
        <v>0</v>
      </c>
      <c r="O953" s="211">
        <f t="shared" si="146"/>
        <v>0</v>
      </c>
      <c r="P953" s="211">
        <f t="shared" si="146"/>
        <v>0</v>
      </c>
      <c r="Q953" s="212"/>
    </row>
    <row r="954" spans="1:17" s="219" customFormat="1" hidden="1" x14ac:dyDescent="0.25">
      <c r="A954" s="214"/>
      <c r="B954" s="215" t="s">
        <v>1822</v>
      </c>
      <c r="C954" s="215" t="s">
        <v>1823</v>
      </c>
      <c r="D954" s="215" t="s">
        <v>1934</v>
      </c>
      <c r="E954" s="215" t="s">
        <v>1934</v>
      </c>
      <c r="F954" s="215" t="s">
        <v>1825</v>
      </c>
      <c r="G954" s="215" t="s">
        <v>58</v>
      </c>
      <c r="H954" s="216" t="s">
        <v>2774</v>
      </c>
      <c r="I954" s="217"/>
      <c r="J954" s="217"/>
      <c r="K954" s="217"/>
      <c r="L954" s="217"/>
      <c r="M954" s="217"/>
      <c r="N954" s="217"/>
      <c r="O954" s="217"/>
      <c r="P954" s="217"/>
      <c r="Q954" s="218"/>
    </row>
    <row r="955" spans="1:17" s="213" customFormat="1" hidden="1" x14ac:dyDescent="0.25">
      <c r="A955" s="208" t="s">
        <v>2021</v>
      </c>
      <c r="B955" s="209" t="s">
        <v>1822</v>
      </c>
      <c r="C955" s="209" t="s">
        <v>1823</v>
      </c>
      <c r="D955" s="209" t="s">
        <v>1934</v>
      </c>
      <c r="E955" s="209" t="s">
        <v>2022</v>
      </c>
      <c r="F955" s="209"/>
      <c r="G955" s="209"/>
      <c r="H955" s="210" t="s">
        <v>2775</v>
      </c>
      <c r="I955" s="211">
        <f>I956</f>
        <v>0</v>
      </c>
      <c r="J955" s="211">
        <f t="shared" ref="J955:P955" si="147">J956</f>
        <v>0</v>
      </c>
      <c r="K955" s="211">
        <f t="shared" si="147"/>
        <v>0</v>
      </c>
      <c r="L955" s="211">
        <f t="shared" si="147"/>
        <v>0</v>
      </c>
      <c r="M955" s="211">
        <f t="shared" si="147"/>
        <v>0</v>
      </c>
      <c r="N955" s="211">
        <f t="shared" si="147"/>
        <v>0</v>
      </c>
      <c r="O955" s="211">
        <f t="shared" si="147"/>
        <v>0</v>
      </c>
      <c r="P955" s="211">
        <f t="shared" si="147"/>
        <v>0</v>
      </c>
      <c r="Q955" s="212"/>
    </row>
    <row r="956" spans="1:17" s="213" customFormat="1" hidden="1" x14ac:dyDescent="0.25">
      <c r="A956" s="208" t="s">
        <v>263</v>
      </c>
      <c r="B956" s="209" t="s">
        <v>1822</v>
      </c>
      <c r="C956" s="209" t="s">
        <v>1823</v>
      </c>
      <c r="D956" s="209" t="s">
        <v>1934</v>
      </c>
      <c r="E956" s="209" t="s">
        <v>2022</v>
      </c>
      <c r="F956" s="209" t="s">
        <v>1825</v>
      </c>
      <c r="G956" s="209"/>
      <c r="H956" s="210" t="s">
        <v>2775</v>
      </c>
      <c r="I956" s="211">
        <f>SUM(I957:I963)</f>
        <v>0</v>
      </c>
      <c r="J956" s="211">
        <f t="shared" ref="J956:P956" si="148">SUM(J957:J963)</f>
        <v>0</v>
      </c>
      <c r="K956" s="211">
        <f t="shared" si="148"/>
        <v>0</v>
      </c>
      <c r="L956" s="211">
        <f t="shared" si="148"/>
        <v>0</v>
      </c>
      <c r="M956" s="211">
        <f t="shared" si="148"/>
        <v>0</v>
      </c>
      <c r="N956" s="211">
        <f t="shared" si="148"/>
        <v>0</v>
      </c>
      <c r="O956" s="211">
        <f t="shared" si="148"/>
        <v>0</v>
      </c>
      <c r="P956" s="211">
        <f t="shared" si="148"/>
        <v>0</v>
      </c>
      <c r="Q956" s="212"/>
    </row>
    <row r="957" spans="1:17" s="219" customFormat="1" hidden="1" x14ac:dyDescent="0.25">
      <c r="A957" s="214"/>
      <c r="B957" s="215" t="s">
        <v>1822</v>
      </c>
      <c r="C957" s="215" t="s">
        <v>1823</v>
      </c>
      <c r="D957" s="215" t="s">
        <v>1934</v>
      </c>
      <c r="E957" s="215" t="s">
        <v>2022</v>
      </c>
      <c r="F957" s="215" t="s">
        <v>1825</v>
      </c>
      <c r="G957" s="215" t="s">
        <v>58</v>
      </c>
      <c r="H957" s="216" t="s">
        <v>2776</v>
      </c>
      <c r="I957" s="217"/>
      <c r="J957" s="217"/>
      <c r="K957" s="217"/>
      <c r="L957" s="217"/>
      <c r="M957" s="217"/>
      <c r="N957" s="217"/>
      <c r="O957" s="217"/>
      <c r="P957" s="217"/>
      <c r="Q957" s="218"/>
    </row>
    <row r="958" spans="1:17" s="219" customFormat="1" hidden="1" x14ac:dyDescent="0.25">
      <c r="A958" s="214"/>
      <c r="B958" s="215" t="s">
        <v>1822</v>
      </c>
      <c r="C958" s="215" t="s">
        <v>1823</v>
      </c>
      <c r="D958" s="215" t="s">
        <v>1934</v>
      </c>
      <c r="E958" s="215" t="s">
        <v>2022</v>
      </c>
      <c r="F958" s="215" t="s">
        <v>1825</v>
      </c>
      <c r="G958" s="215" t="s">
        <v>75</v>
      </c>
      <c r="H958" s="216" t="s">
        <v>2777</v>
      </c>
      <c r="I958" s="217"/>
      <c r="J958" s="217"/>
      <c r="K958" s="217"/>
      <c r="L958" s="217"/>
      <c r="M958" s="217"/>
      <c r="N958" s="217"/>
      <c r="O958" s="217"/>
      <c r="P958" s="217"/>
      <c r="Q958" s="218"/>
    </row>
    <row r="959" spans="1:17" s="219" customFormat="1" hidden="1" x14ac:dyDescent="0.25">
      <c r="A959" s="214"/>
      <c r="B959" s="215" t="s">
        <v>1822</v>
      </c>
      <c r="C959" s="215" t="s">
        <v>1823</v>
      </c>
      <c r="D959" s="215" t="s">
        <v>1934</v>
      </c>
      <c r="E959" s="215" t="s">
        <v>2022</v>
      </c>
      <c r="F959" s="215" t="s">
        <v>1825</v>
      </c>
      <c r="G959" s="215" t="s">
        <v>79</v>
      </c>
      <c r="H959" s="216" t="s">
        <v>2778</v>
      </c>
      <c r="I959" s="217"/>
      <c r="J959" s="217"/>
      <c r="K959" s="217"/>
      <c r="L959" s="217"/>
      <c r="M959" s="217"/>
      <c r="N959" s="217"/>
      <c r="O959" s="217"/>
      <c r="P959" s="217"/>
      <c r="Q959" s="218"/>
    </row>
    <row r="960" spans="1:17" s="219" customFormat="1" hidden="1" x14ac:dyDescent="0.25">
      <c r="A960" s="214"/>
      <c r="B960" s="215" t="s">
        <v>1822</v>
      </c>
      <c r="C960" s="215" t="s">
        <v>1823</v>
      </c>
      <c r="D960" s="215" t="s">
        <v>1934</v>
      </c>
      <c r="E960" s="215" t="s">
        <v>2022</v>
      </c>
      <c r="F960" s="215" t="s">
        <v>1825</v>
      </c>
      <c r="G960" s="215" t="s">
        <v>84</v>
      </c>
      <c r="H960" s="216" t="s">
        <v>2779</v>
      </c>
      <c r="I960" s="217"/>
      <c r="J960" s="217"/>
      <c r="K960" s="217"/>
      <c r="L960" s="217"/>
      <c r="M960" s="217"/>
      <c r="N960" s="217"/>
      <c r="O960" s="217"/>
      <c r="P960" s="217"/>
      <c r="Q960" s="218"/>
    </row>
    <row r="961" spans="1:17" s="219" customFormat="1" hidden="1" x14ac:dyDescent="0.25">
      <c r="A961" s="214"/>
      <c r="B961" s="215" t="s">
        <v>1822</v>
      </c>
      <c r="C961" s="215" t="s">
        <v>1823</v>
      </c>
      <c r="D961" s="215" t="s">
        <v>1934</v>
      </c>
      <c r="E961" s="215" t="s">
        <v>2022</v>
      </c>
      <c r="F961" s="215" t="s">
        <v>1825</v>
      </c>
      <c r="G961" s="215" t="s">
        <v>88</v>
      </c>
      <c r="H961" s="216" t="s">
        <v>2780</v>
      </c>
      <c r="I961" s="217"/>
      <c r="J961" s="217"/>
      <c r="K961" s="217"/>
      <c r="L961" s="217"/>
      <c r="M961" s="217"/>
      <c r="N961" s="217"/>
      <c r="O961" s="217"/>
      <c r="P961" s="217"/>
      <c r="Q961" s="218"/>
    </row>
    <row r="962" spans="1:17" s="219" customFormat="1" hidden="1" x14ac:dyDescent="0.25">
      <c r="A962" s="214"/>
      <c r="B962" s="215" t="s">
        <v>1822</v>
      </c>
      <c r="C962" s="215" t="s">
        <v>1823</v>
      </c>
      <c r="D962" s="215" t="s">
        <v>1934</v>
      </c>
      <c r="E962" s="215" t="s">
        <v>2022</v>
      </c>
      <c r="F962" s="215" t="s">
        <v>1825</v>
      </c>
      <c r="G962" s="215" t="s">
        <v>92</v>
      </c>
      <c r="H962" s="216" t="s">
        <v>2781</v>
      </c>
      <c r="I962" s="217"/>
      <c r="J962" s="217"/>
      <c r="K962" s="217"/>
      <c r="L962" s="217"/>
      <c r="M962" s="217"/>
      <c r="N962" s="217"/>
      <c r="O962" s="217"/>
      <c r="P962" s="217"/>
      <c r="Q962" s="218"/>
    </row>
    <row r="963" spans="1:17" s="219" customFormat="1" hidden="1" x14ac:dyDescent="0.25">
      <c r="A963" s="214"/>
      <c r="B963" s="215" t="s">
        <v>1822</v>
      </c>
      <c r="C963" s="215" t="s">
        <v>1823</v>
      </c>
      <c r="D963" s="215" t="s">
        <v>1934</v>
      </c>
      <c r="E963" s="215" t="s">
        <v>2022</v>
      </c>
      <c r="F963" s="215" t="s">
        <v>1825</v>
      </c>
      <c r="G963" s="215" t="s">
        <v>96</v>
      </c>
      <c r="H963" s="216" t="s">
        <v>2782</v>
      </c>
      <c r="I963" s="217"/>
      <c r="J963" s="217"/>
      <c r="K963" s="217"/>
      <c r="L963" s="217"/>
      <c r="M963" s="217"/>
      <c r="N963" s="217"/>
      <c r="O963" s="217"/>
      <c r="P963" s="217"/>
      <c r="Q963" s="218"/>
    </row>
    <row r="964" spans="1:17" s="213" customFormat="1" hidden="1" x14ac:dyDescent="0.25">
      <c r="A964" s="208" t="s">
        <v>2099</v>
      </c>
      <c r="B964" s="209" t="s">
        <v>1822</v>
      </c>
      <c r="C964" s="209" t="s">
        <v>1823</v>
      </c>
      <c r="D964" s="209" t="s">
        <v>1934</v>
      </c>
      <c r="E964" s="209" t="s">
        <v>2100</v>
      </c>
      <c r="F964" s="209"/>
      <c r="G964" s="209"/>
      <c r="H964" s="210" t="s">
        <v>2783</v>
      </c>
      <c r="I964" s="211">
        <f>I965</f>
        <v>0</v>
      </c>
      <c r="J964" s="211">
        <f t="shared" ref="J964:P964" si="149">J965</f>
        <v>0</v>
      </c>
      <c r="K964" s="211">
        <f t="shared" si="149"/>
        <v>0</v>
      </c>
      <c r="L964" s="211">
        <f t="shared" si="149"/>
        <v>0</v>
      </c>
      <c r="M964" s="211">
        <f t="shared" si="149"/>
        <v>0</v>
      </c>
      <c r="N964" s="211">
        <f t="shared" si="149"/>
        <v>0</v>
      </c>
      <c r="O964" s="211">
        <f t="shared" si="149"/>
        <v>0</v>
      </c>
      <c r="P964" s="211">
        <f t="shared" si="149"/>
        <v>0</v>
      </c>
      <c r="Q964" s="212"/>
    </row>
    <row r="965" spans="1:17" s="213" customFormat="1" hidden="1" x14ac:dyDescent="0.25">
      <c r="A965" s="208" t="s">
        <v>263</v>
      </c>
      <c r="B965" s="209" t="s">
        <v>1822</v>
      </c>
      <c r="C965" s="209" t="s">
        <v>1823</v>
      </c>
      <c r="D965" s="209" t="s">
        <v>1934</v>
      </c>
      <c r="E965" s="209" t="s">
        <v>2100</v>
      </c>
      <c r="F965" s="209" t="s">
        <v>1825</v>
      </c>
      <c r="G965" s="209"/>
      <c r="H965" s="210" t="s">
        <v>2783</v>
      </c>
      <c r="I965" s="211">
        <f>SUM(I966)</f>
        <v>0</v>
      </c>
      <c r="J965" s="211">
        <f t="shared" ref="J965:P965" si="150">SUM(J966)</f>
        <v>0</v>
      </c>
      <c r="K965" s="211">
        <f t="shared" si="150"/>
        <v>0</v>
      </c>
      <c r="L965" s="211">
        <f t="shared" si="150"/>
        <v>0</v>
      </c>
      <c r="M965" s="211">
        <f t="shared" si="150"/>
        <v>0</v>
      </c>
      <c r="N965" s="211">
        <f t="shared" si="150"/>
        <v>0</v>
      </c>
      <c r="O965" s="211">
        <f t="shared" si="150"/>
        <v>0</v>
      </c>
      <c r="P965" s="211">
        <f t="shared" si="150"/>
        <v>0</v>
      </c>
      <c r="Q965" s="212"/>
    </row>
    <row r="966" spans="1:17" s="219" customFormat="1" hidden="1" x14ac:dyDescent="0.25">
      <c r="A966" s="214"/>
      <c r="B966" s="215" t="s">
        <v>1822</v>
      </c>
      <c r="C966" s="215" t="s">
        <v>1823</v>
      </c>
      <c r="D966" s="215" t="s">
        <v>1934</v>
      </c>
      <c r="E966" s="215" t="s">
        <v>2100</v>
      </c>
      <c r="F966" s="215" t="s">
        <v>1825</v>
      </c>
      <c r="G966" s="215" t="s">
        <v>58</v>
      </c>
      <c r="H966" s="216" t="s">
        <v>2783</v>
      </c>
      <c r="I966" s="217"/>
      <c r="J966" s="217"/>
      <c r="K966" s="217"/>
      <c r="L966" s="217"/>
      <c r="M966" s="217"/>
      <c r="N966" s="217"/>
      <c r="O966" s="217"/>
      <c r="P966" s="217"/>
      <c r="Q966" s="218"/>
    </row>
    <row r="967" spans="1:17" s="339" customFormat="1" hidden="1" x14ac:dyDescent="0.25">
      <c r="A967" s="337"/>
      <c r="B967" s="338"/>
      <c r="C967" s="340"/>
      <c r="D967" s="340"/>
      <c r="E967" s="340"/>
      <c r="F967" s="340"/>
      <c r="G967" s="333"/>
      <c r="H967" s="335"/>
      <c r="I967" s="226"/>
      <c r="J967" s="226"/>
      <c r="K967" s="226"/>
      <c r="L967" s="226"/>
      <c r="M967" s="226"/>
      <c r="N967" s="226"/>
      <c r="O967" s="226"/>
      <c r="P967" s="226"/>
    </row>
    <row r="968" spans="1:17" s="339" customFormat="1" ht="30" hidden="1" x14ac:dyDescent="0.25">
      <c r="A968" s="337">
        <v>6</v>
      </c>
      <c r="B968" s="338">
        <v>6</v>
      </c>
      <c r="C968" s="333" t="s">
        <v>2022</v>
      </c>
      <c r="D968" s="333"/>
      <c r="E968" s="333"/>
      <c r="F968" s="333"/>
      <c r="G968" s="333"/>
      <c r="H968" s="335" t="s">
        <v>2784</v>
      </c>
      <c r="I968" s="230">
        <f>SUM(I969+I1006+I1507+I1576+I1717)</f>
        <v>0</v>
      </c>
      <c r="J968" s="230">
        <f t="shared" ref="J968:P968" si="151">SUM(J969+J1006+J1507+J1576+J1717)</f>
        <v>0</v>
      </c>
      <c r="K968" s="230">
        <f t="shared" si="151"/>
        <v>0</v>
      </c>
      <c r="L968" s="230">
        <f t="shared" si="151"/>
        <v>0</v>
      </c>
      <c r="M968" s="230">
        <f t="shared" si="151"/>
        <v>0</v>
      </c>
      <c r="N968" s="230">
        <f t="shared" si="151"/>
        <v>0</v>
      </c>
      <c r="O968" s="230">
        <f t="shared" si="151"/>
        <v>0</v>
      </c>
      <c r="P968" s="230">
        <f t="shared" si="151"/>
        <v>0</v>
      </c>
    </row>
    <row r="969" spans="1:17" s="213" customFormat="1" hidden="1" x14ac:dyDescent="0.25">
      <c r="A969" s="208" t="s">
        <v>1827</v>
      </c>
      <c r="B969" s="234">
        <v>1</v>
      </c>
      <c r="C969" s="234">
        <v>3</v>
      </c>
      <c r="D969" s="235" t="s">
        <v>2022</v>
      </c>
      <c r="E969" s="235" t="s">
        <v>1825</v>
      </c>
      <c r="F969" s="234"/>
      <c r="G969" s="234"/>
      <c r="H969" s="236" t="s">
        <v>2785</v>
      </c>
      <c r="I969" s="230">
        <f>I970</f>
        <v>0</v>
      </c>
      <c r="J969" s="230">
        <f t="shared" ref="J969:P969" si="152">J970</f>
        <v>0</v>
      </c>
      <c r="K969" s="230">
        <f t="shared" si="152"/>
        <v>0</v>
      </c>
      <c r="L969" s="230">
        <f t="shared" si="152"/>
        <v>0</v>
      </c>
      <c r="M969" s="230">
        <f t="shared" si="152"/>
        <v>0</v>
      </c>
      <c r="N969" s="230">
        <f t="shared" si="152"/>
        <v>0</v>
      </c>
      <c r="O969" s="230">
        <f t="shared" si="152"/>
        <v>0</v>
      </c>
      <c r="P969" s="230">
        <f t="shared" si="152"/>
        <v>0</v>
      </c>
      <c r="Q969" s="201"/>
    </row>
    <row r="970" spans="1:17" s="213" customFormat="1" hidden="1" x14ac:dyDescent="0.25">
      <c r="A970" s="208" t="s">
        <v>263</v>
      </c>
      <c r="B970" s="234">
        <v>1</v>
      </c>
      <c r="C970" s="234">
        <v>3</v>
      </c>
      <c r="D970" s="235" t="s">
        <v>2022</v>
      </c>
      <c r="E970" s="235" t="s">
        <v>1825</v>
      </c>
      <c r="F970" s="235" t="s">
        <v>1825</v>
      </c>
      <c r="G970" s="234"/>
      <c r="H970" s="236" t="s">
        <v>2785</v>
      </c>
      <c r="I970" s="230">
        <f>SUM(I971:I1005)</f>
        <v>0</v>
      </c>
      <c r="J970" s="230">
        <f t="shared" ref="J970:P970" si="153">SUM(J971:J1005)</f>
        <v>0</v>
      </c>
      <c r="K970" s="230">
        <f t="shared" si="153"/>
        <v>0</v>
      </c>
      <c r="L970" s="230">
        <f t="shared" si="153"/>
        <v>0</v>
      </c>
      <c r="M970" s="230">
        <f t="shared" si="153"/>
        <v>0</v>
      </c>
      <c r="N970" s="230">
        <f t="shared" si="153"/>
        <v>0</v>
      </c>
      <c r="O970" s="230">
        <f t="shared" si="153"/>
        <v>0</v>
      </c>
      <c r="P970" s="230">
        <f t="shared" si="153"/>
        <v>0</v>
      </c>
      <c r="Q970" s="201"/>
    </row>
    <row r="971" spans="1:17" s="219" customFormat="1" ht="45" hidden="1" x14ac:dyDescent="0.25">
      <c r="A971" s="214"/>
      <c r="B971" s="237">
        <v>1</v>
      </c>
      <c r="C971" s="237">
        <v>3</v>
      </c>
      <c r="D971" s="238" t="s">
        <v>2022</v>
      </c>
      <c r="E971" s="238" t="s">
        <v>1825</v>
      </c>
      <c r="F971" s="238" t="s">
        <v>1825</v>
      </c>
      <c r="G971" s="238" t="s">
        <v>58</v>
      </c>
      <c r="H971" s="239" t="s">
        <v>2786</v>
      </c>
      <c r="I971" s="217"/>
      <c r="J971" s="217"/>
      <c r="K971" s="217"/>
      <c r="L971" s="217"/>
      <c r="M971" s="217"/>
      <c r="N971" s="217"/>
      <c r="O971" s="217"/>
      <c r="P971" s="217"/>
    </row>
    <row r="972" spans="1:17" s="219" customFormat="1" ht="45" hidden="1" x14ac:dyDescent="0.25">
      <c r="A972" s="214"/>
      <c r="B972" s="237">
        <v>1</v>
      </c>
      <c r="C972" s="237">
        <v>3</v>
      </c>
      <c r="D972" s="238" t="s">
        <v>2022</v>
      </c>
      <c r="E972" s="238" t="s">
        <v>1825</v>
      </c>
      <c r="F972" s="238" t="s">
        <v>1825</v>
      </c>
      <c r="G972" s="238" t="s">
        <v>75</v>
      </c>
      <c r="H972" s="239" t="s">
        <v>2787</v>
      </c>
      <c r="I972" s="217"/>
      <c r="J972" s="217"/>
      <c r="K972" s="217"/>
      <c r="L972" s="217"/>
      <c r="M972" s="217"/>
      <c r="N972" s="217"/>
      <c r="O972" s="217"/>
      <c r="P972" s="217"/>
    </row>
    <row r="973" spans="1:17" s="219" customFormat="1" ht="45" hidden="1" x14ac:dyDescent="0.25">
      <c r="A973" s="214"/>
      <c r="B973" s="237">
        <v>1</v>
      </c>
      <c r="C973" s="237">
        <v>3</v>
      </c>
      <c r="D973" s="238" t="s">
        <v>2022</v>
      </c>
      <c r="E973" s="238" t="s">
        <v>1825</v>
      </c>
      <c r="F973" s="238" t="s">
        <v>1825</v>
      </c>
      <c r="G973" s="238" t="s">
        <v>79</v>
      </c>
      <c r="H973" s="239" t="s">
        <v>2788</v>
      </c>
      <c r="I973" s="217"/>
      <c r="J973" s="217"/>
      <c r="K973" s="217"/>
      <c r="L973" s="217"/>
      <c r="M973" s="217"/>
      <c r="N973" s="217"/>
      <c r="O973" s="217"/>
      <c r="P973" s="217"/>
    </row>
    <row r="974" spans="1:17" s="219" customFormat="1" ht="45" hidden="1" x14ac:dyDescent="0.25">
      <c r="A974" s="214"/>
      <c r="B974" s="237">
        <v>1</v>
      </c>
      <c r="C974" s="237">
        <v>3</v>
      </c>
      <c r="D974" s="238" t="s">
        <v>2022</v>
      </c>
      <c r="E974" s="238" t="s">
        <v>1825</v>
      </c>
      <c r="F974" s="238" t="s">
        <v>1825</v>
      </c>
      <c r="G974" s="238" t="s">
        <v>84</v>
      </c>
      <c r="H974" s="239" t="s">
        <v>2789</v>
      </c>
      <c r="I974" s="217"/>
      <c r="J974" s="217"/>
      <c r="K974" s="217"/>
      <c r="L974" s="217"/>
      <c r="M974" s="217"/>
      <c r="N974" s="217"/>
      <c r="O974" s="217"/>
      <c r="P974" s="217"/>
    </row>
    <row r="975" spans="1:17" s="219" customFormat="1" ht="45" hidden="1" x14ac:dyDescent="0.25">
      <c r="A975" s="214"/>
      <c r="B975" s="237">
        <v>1</v>
      </c>
      <c r="C975" s="237">
        <v>3</v>
      </c>
      <c r="D975" s="238" t="s">
        <v>2022</v>
      </c>
      <c r="E975" s="238" t="s">
        <v>1825</v>
      </c>
      <c r="F975" s="238" t="s">
        <v>1825</v>
      </c>
      <c r="G975" s="238" t="s">
        <v>88</v>
      </c>
      <c r="H975" s="239" t="s">
        <v>2790</v>
      </c>
      <c r="I975" s="217"/>
      <c r="J975" s="217"/>
      <c r="K975" s="217"/>
      <c r="L975" s="217"/>
      <c r="M975" s="217"/>
      <c r="N975" s="217"/>
      <c r="O975" s="217"/>
      <c r="P975" s="217"/>
    </row>
    <row r="976" spans="1:17" s="219" customFormat="1" ht="45" hidden="1" x14ac:dyDescent="0.25">
      <c r="A976" s="214"/>
      <c r="B976" s="237">
        <v>1</v>
      </c>
      <c r="C976" s="237">
        <v>3</v>
      </c>
      <c r="D976" s="238" t="s">
        <v>2022</v>
      </c>
      <c r="E976" s="238" t="s">
        <v>1825</v>
      </c>
      <c r="F976" s="238" t="s">
        <v>1825</v>
      </c>
      <c r="G976" s="238" t="s">
        <v>92</v>
      </c>
      <c r="H976" s="239" t="s">
        <v>2791</v>
      </c>
      <c r="I976" s="217"/>
      <c r="J976" s="217"/>
      <c r="K976" s="217"/>
      <c r="L976" s="217"/>
      <c r="M976" s="217"/>
      <c r="N976" s="217"/>
      <c r="O976" s="217"/>
      <c r="P976" s="217"/>
    </row>
    <row r="977" spans="1:16" s="219" customFormat="1" ht="30" hidden="1" x14ac:dyDescent="0.25">
      <c r="A977" s="214"/>
      <c r="B977" s="237">
        <v>1</v>
      </c>
      <c r="C977" s="237">
        <v>3</v>
      </c>
      <c r="D977" s="238" t="s">
        <v>2022</v>
      </c>
      <c r="E977" s="238" t="s">
        <v>1825</v>
      </c>
      <c r="F977" s="238" t="s">
        <v>1825</v>
      </c>
      <c r="G977" s="238" t="s">
        <v>96</v>
      </c>
      <c r="H977" s="239" t="s">
        <v>2792</v>
      </c>
      <c r="I977" s="217"/>
      <c r="J977" s="217"/>
      <c r="K977" s="217"/>
      <c r="L977" s="217"/>
      <c r="M977" s="217"/>
      <c r="N977" s="217"/>
      <c r="O977" s="217"/>
      <c r="P977" s="217"/>
    </row>
    <row r="978" spans="1:16" s="219" customFormat="1" ht="30" hidden="1" x14ac:dyDescent="0.25">
      <c r="A978" s="214"/>
      <c r="B978" s="237">
        <v>1</v>
      </c>
      <c r="C978" s="237">
        <v>3</v>
      </c>
      <c r="D978" s="238" t="s">
        <v>2022</v>
      </c>
      <c r="E978" s="238" t="s">
        <v>1825</v>
      </c>
      <c r="F978" s="238" t="s">
        <v>1825</v>
      </c>
      <c r="G978" s="238" t="s">
        <v>100</v>
      </c>
      <c r="H978" s="239" t="s">
        <v>2793</v>
      </c>
      <c r="I978" s="217"/>
      <c r="J978" s="217"/>
      <c r="K978" s="217"/>
      <c r="L978" s="217"/>
      <c r="M978" s="217"/>
      <c r="N978" s="217"/>
      <c r="O978" s="217"/>
      <c r="P978" s="217"/>
    </row>
    <row r="979" spans="1:16" s="219" customFormat="1" ht="30" hidden="1" x14ac:dyDescent="0.25">
      <c r="A979" s="214"/>
      <c r="B979" s="237">
        <v>1</v>
      </c>
      <c r="C979" s="237">
        <v>3</v>
      </c>
      <c r="D979" s="238" t="s">
        <v>2022</v>
      </c>
      <c r="E979" s="238" t="s">
        <v>1825</v>
      </c>
      <c r="F979" s="238" t="s">
        <v>1825</v>
      </c>
      <c r="G979" s="238" t="s">
        <v>105</v>
      </c>
      <c r="H979" s="239" t="s">
        <v>2794</v>
      </c>
      <c r="I979" s="217"/>
      <c r="J979" s="217"/>
      <c r="K979" s="217"/>
      <c r="L979" s="217"/>
      <c r="M979" s="217"/>
      <c r="N979" s="217"/>
      <c r="O979" s="217"/>
      <c r="P979" s="217"/>
    </row>
    <row r="980" spans="1:16" s="219" customFormat="1" ht="30" hidden="1" x14ac:dyDescent="0.25">
      <c r="A980" s="214"/>
      <c r="B980" s="237">
        <v>1</v>
      </c>
      <c r="C980" s="237">
        <v>3</v>
      </c>
      <c r="D980" s="238" t="s">
        <v>2022</v>
      </c>
      <c r="E980" s="238" t="s">
        <v>1825</v>
      </c>
      <c r="F980" s="238" t="s">
        <v>1825</v>
      </c>
      <c r="G980" s="238" t="s">
        <v>108</v>
      </c>
      <c r="H980" s="239" t="s">
        <v>2795</v>
      </c>
      <c r="I980" s="217"/>
      <c r="J980" s="217"/>
      <c r="K980" s="217"/>
      <c r="L980" s="217"/>
      <c r="M980" s="217"/>
      <c r="N980" s="217"/>
      <c r="O980" s="217"/>
      <c r="P980" s="217"/>
    </row>
    <row r="981" spans="1:16" s="219" customFormat="1" ht="30" hidden="1" x14ac:dyDescent="0.25">
      <c r="A981" s="214"/>
      <c r="B981" s="237">
        <v>1</v>
      </c>
      <c r="C981" s="237">
        <v>3</v>
      </c>
      <c r="D981" s="238" t="s">
        <v>2022</v>
      </c>
      <c r="E981" s="238" t="s">
        <v>1825</v>
      </c>
      <c r="F981" s="238" t="s">
        <v>1825</v>
      </c>
      <c r="G981" s="238" t="s">
        <v>135</v>
      </c>
      <c r="H981" s="239" t="s">
        <v>2796</v>
      </c>
      <c r="I981" s="217"/>
      <c r="J981" s="217"/>
      <c r="K981" s="217"/>
      <c r="L981" s="217"/>
      <c r="M981" s="217"/>
      <c r="N981" s="217"/>
      <c r="O981" s="217"/>
      <c r="P981" s="217"/>
    </row>
    <row r="982" spans="1:16" s="219" customFormat="1" ht="30" hidden="1" x14ac:dyDescent="0.25">
      <c r="A982" s="214"/>
      <c r="B982" s="237">
        <v>1</v>
      </c>
      <c r="C982" s="237">
        <v>3</v>
      </c>
      <c r="D982" s="238" t="s">
        <v>2022</v>
      </c>
      <c r="E982" s="238" t="s">
        <v>1825</v>
      </c>
      <c r="F982" s="238" t="s">
        <v>1825</v>
      </c>
      <c r="G982" s="238" t="s">
        <v>138</v>
      </c>
      <c r="H982" s="239" t="s">
        <v>2797</v>
      </c>
      <c r="I982" s="217"/>
      <c r="J982" s="217"/>
      <c r="K982" s="217"/>
      <c r="L982" s="217"/>
      <c r="M982" s="217"/>
      <c r="N982" s="217"/>
      <c r="O982" s="217"/>
      <c r="P982" s="217"/>
    </row>
    <row r="983" spans="1:16" s="219" customFormat="1" ht="45" hidden="1" x14ac:dyDescent="0.25">
      <c r="A983" s="214"/>
      <c r="B983" s="237">
        <v>1</v>
      </c>
      <c r="C983" s="237">
        <v>3</v>
      </c>
      <c r="D983" s="238" t="s">
        <v>2022</v>
      </c>
      <c r="E983" s="238" t="s">
        <v>1825</v>
      </c>
      <c r="F983" s="238" t="s">
        <v>1825</v>
      </c>
      <c r="G983" s="238" t="s">
        <v>140</v>
      </c>
      <c r="H983" s="239" t="s">
        <v>2798</v>
      </c>
      <c r="I983" s="217"/>
      <c r="J983" s="217"/>
      <c r="K983" s="217"/>
      <c r="L983" s="217"/>
      <c r="M983" s="217"/>
      <c r="N983" s="217"/>
      <c r="O983" s="217"/>
      <c r="P983" s="217"/>
    </row>
    <row r="984" spans="1:16" s="219" customFormat="1" ht="30" hidden="1" x14ac:dyDescent="0.25">
      <c r="A984" s="214"/>
      <c r="B984" s="237">
        <v>1</v>
      </c>
      <c r="C984" s="237">
        <v>3</v>
      </c>
      <c r="D984" s="238" t="s">
        <v>2022</v>
      </c>
      <c r="E984" s="238" t="s">
        <v>1825</v>
      </c>
      <c r="F984" s="238" t="s">
        <v>1825</v>
      </c>
      <c r="G984" s="238" t="s">
        <v>143</v>
      </c>
      <c r="H984" s="239" t="s">
        <v>2799</v>
      </c>
      <c r="I984" s="217"/>
      <c r="J984" s="217"/>
      <c r="K984" s="217"/>
      <c r="L984" s="217"/>
      <c r="M984" s="217"/>
      <c r="N984" s="217"/>
      <c r="O984" s="217"/>
      <c r="P984" s="217"/>
    </row>
    <row r="985" spans="1:16" s="219" customFormat="1" ht="30" hidden="1" x14ac:dyDescent="0.25">
      <c r="A985" s="214"/>
      <c r="B985" s="237">
        <v>1</v>
      </c>
      <c r="C985" s="237">
        <v>3</v>
      </c>
      <c r="D985" s="238" t="s">
        <v>2022</v>
      </c>
      <c r="E985" s="238" t="s">
        <v>1825</v>
      </c>
      <c r="F985" s="238" t="s">
        <v>1825</v>
      </c>
      <c r="G985" s="238" t="s">
        <v>146</v>
      </c>
      <c r="H985" s="239" t="s">
        <v>2800</v>
      </c>
      <c r="I985" s="217"/>
      <c r="J985" s="217"/>
      <c r="K985" s="217"/>
      <c r="L985" s="217"/>
      <c r="M985" s="217"/>
      <c r="N985" s="217"/>
      <c r="O985" s="217"/>
      <c r="P985" s="217"/>
    </row>
    <row r="986" spans="1:16" s="219" customFormat="1" ht="30" hidden="1" x14ac:dyDescent="0.25">
      <c r="A986" s="214"/>
      <c r="B986" s="237">
        <v>1</v>
      </c>
      <c r="C986" s="237">
        <v>3</v>
      </c>
      <c r="D986" s="238" t="s">
        <v>2022</v>
      </c>
      <c r="E986" s="238" t="s">
        <v>1825</v>
      </c>
      <c r="F986" s="238" t="s">
        <v>1825</v>
      </c>
      <c r="G986" s="238" t="s">
        <v>150</v>
      </c>
      <c r="H986" s="239" t="s">
        <v>2801</v>
      </c>
      <c r="I986" s="217"/>
      <c r="J986" s="217"/>
      <c r="K986" s="217"/>
      <c r="L986" s="217"/>
      <c r="M986" s="217"/>
      <c r="N986" s="217"/>
      <c r="O986" s="217"/>
      <c r="P986" s="217"/>
    </row>
    <row r="987" spans="1:16" s="219" customFormat="1" ht="30" hidden="1" x14ac:dyDescent="0.25">
      <c r="A987" s="214"/>
      <c r="B987" s="237">
        <v>1</v>
      </c>
      <c r="C987" s="237">
        <v>3</v>
      </c>
      <c r="D987" s="238" t="s">
        <v>2022</v>
      </c>
      <c r="E987" s="238" t="s">
        <v>1825</v>
      </c>
      <c r="F987" s="238" t="s">
        <v>1825</v>
      </c>
      <c r="G987" s="238" t="s">
        <v>153</v>
      </c>
      <c r="H987" s="239" t="s">
        <v>2802</v>
      </c>
      <c r="I987" s="217"/>
      <c r="J987" s="217"/>
      <c r="K987" s="217"/>
      <c r="L987" s="217"/>
      <c r="M987" s="217"/>
      <c r="N987" s="217"/>
      <c r="O987" s="217"/>
      <c r="P987" s="217"/>
    </row>
    <row r="988" spans="1:16" s="219" customFormat="1" ht="30" hidden="1" x14ac:dyDescent="0.25">
      <c r="A988" s="214"/>
      <c r="B988" s="237">
        <v>1</v>
      </c>
      <c r="C988" s="237">
        <v>3</v>
      </c>
      <c r="D988" s="238" t="s">
        <v>2022</v>
      </c>
      <c r="E988" s="238" t="s">
        <v>1825</v>
      </c>
      <c r="F988" s="238" t="s">
        <v>1825</v>
      </c>
      <c r="G988" s="238" t="s">
        <v>156</v>
      </c>
      <c r="H988" s="239" t="s">
        <v>2803</v>
      </c>
      <c r="I988" s="217"/>
      <c r="J988" s="217"/>
      <c r="K988" s="217"/>
      <c r="L988" s="217"/>
      <c r="M988" s="217"/>
      <c r="N988" s="217"/>
      <c r="O988" s="217"/>
      <c r="P988" s="217"/>
    </row>
    <row r="989" spans="1:16" s="219" customFormat="1" ht="45" hidden="1" x14ac:dyDescent="0.25">
      <c r="A989" s="214"/>
      <c r="B989" s="237">
        <v>1</v>
      </c>
      <c r="C989" s="237">
        <v>3</v>
      </c>
      <c r="D989" s="238" t="s">
        <v>2022</v>
      </c>
      <c r="E989" s="238" t="s">
        <v>1825</v>
      </c>
      <c r="F989" s="238" t="s">
        <v>1825</v>
      </c>
      <c r="G989" s="238" t="s">
        <v>159</v>
      </c>
      <c r="H989" s="239" t="s">
        <v>2804</v>
      </c>
      <c r="I989" s="217"/>
      <c r="J989" s="217"/>
      <c r="K989" s="217"/>
      <c r="L989" s="217"/>
      <c r="M989" s="217"/>
      <c r="N989" s="217"/>
      <c r="O989" s="217"/>
      <c r="P989" s="217"/>
    </row>
    <row r="990" spans="1:16" s="219" customFormat="1" ht="45" hidden="1" x14ac:dyDescent="0.25">
      <c r="A990" s="214"/>
      <c r="B990" s="237">
        <v>1</v>
      </c>
      <c r="C990" s="237">
        <v>3</v>
      </c>
      <c r="D990" s="238" t="s">
        <v>2022</v>
      </c>
      <c r="E990" s="238" t="s">
        <v>1825</v>
      </c>
      <c r="F990" s="238" t="s">
        <v>1825</v>
      </c>
      <c r="G990" s="238" t="s">
        <v>162</v>
      </c>
      <c r="H990" s="239" t="s">
        <v>2805</v>
      </c>
      <c r="I990" s="217"/>
      <c r="J990" s="217"/>
      <c r="K990" s="217"/>
      <c r="L990" s="217"/>
      <c r="M990" s="217"/>
      <c r="N990" s="217"/>
      <c r="O990" s="217"/>
      <c r="P990" s="217"/>
    </row>
    <row r="991" spans="1:16" s="219" customFormat="1" ht="45" hidden="1" x14ac:dyDescent="0.25">
      <c r="A991" s="214"/>
      <c r="B991" s="237">
        <v>1</v>
      </c>
      <c r="C991" s="237">
        <v>3</v>
      </c>
      <c r="D991" s="238" t="s">
        <v>2022</v>
      </c>
      <c r="E991" s="238" t="s">
        <v>1825</v>
      </c>
      <c r="F991" s="238" t="s">
        <v>1825</v>
      </c>
      <c r="G991" s="238" t="s">
        <v>312</v>
      </c>
      <c r="H991" s="239" t="s">
        <v>2806</v>
      </c>
      <c r="I991" s="217"/>
      <c r="J991" s="217"/>
      <c r="K991" s="217"/>
      <c r="L991" s="217"/>
      <c r="M991" s="217"/>
      <c r="N991" s="217"/>
      <c r="O991" s="217"/>
      <c r="P991" s="217"/>
    </row>
    <row r="992" spans="1:16" s="219" customFormat="1" ht="30" hidden="1" x14ac:dyDescent="0.25">
      <c r="A992" s="214"/>
      <c r="B992" s="237">
        <v>1</v>
      </c>
      <c r="C992" s="237">
        <v>3</v>
      </c>
      <c r="D992" s="238" t="s">
        <v>2022</v>
      </c>
      <c r="E992" s="238" t="s">
        <v>1825</v>
      </c>
      <c r="F992" s="238" t="s">
        <v>1825</v>
      </c>
      <c r="G992" s="238" t="s">
        <v>313</v>
      </c>
      <c r="H992" s="239" t="s">
        <v>2807</v>
      </c>
      <c r="I992" s="217"/>
      <c r="J992" s="217"/>
      <c r="K992" s="217"/>
      <c r="L992" s="217"/>
      <c r="M992" s="217"/>
      <c r="N992" s="217"/>
      <c r="O992" s="217"/>
      <c r="P992" s="217"/>
    </row>
    <row r="993" spans="1:16" s="219" customFormat="1" ht="30" hidden="1" x14ac:dyDescent="0.25">
      <c r="A993" s="214"/>
      <c r="B993" s="237">
        <v>1</v>
      </c>
      <c r="C993" s="237">
        <v>3</v>
      </c>
      <c r="D993" s="238" t="s">
        <v>2022</v>
      </c>
      <c r="E993" s="238" t="s">
        <v>1825</v>
      </c>
      <c r="F993" s="238" t="s">
        <v>1825</v>
      </c>
      <c r="G993" s="238" t="s">
        <v>559</v>
      </c>
      <c r="H993" s="239" t="s">
        <v>2808</v>
      </c>
      <c r="I993" s="217"/>
      <c r="J993" s="217"/>
      <c r="K993" s="217"/>
      <c r="L993" s="217"/>
      <c r="M993" s="217"/>
      <c r="N993" s="217"/>
      <c r="O993" s="217"/>
      <c r="P993" s="217"/>
    </row>
    <row r="994" spans="1:16" s="219" customFormat="1" ht="30" hidden="1" x14ac:dyDescent="0.25">
      <c r="A994" s="214"/>
      <c r="B994" s="237">
        <v>1</v>
      </c>
      <c r="C994" s="237">
        <v>3</v>
      </c>
      <c r="D994" s="238" t="s">
        <v>2022</v>
      </c>
      <c r="E994" s="238" t="s">
        <v>1825</v>
      </c>
      <c r="F994" s="238" t="s">
        <v>1825</v>
      </c>
      <c r="G994" s="238" t="s">
        <v>561</v>
      </c>
      <c r="H994" s="239" t="s">
        <v>2809</v>
      </c>
      <c r="I994" s="217"/>
      <c r="J994" s="217"/>
      <c r="K994" s="217"/>
      <c r="L994" s="217"/>
      <c r="M994" s="217"/>
      <c r="N994" s="217"/>
      <c r="O994" s="217"/>
      <c r="P994" s="217"/>
    </row>
    <row r="995" spans="1:16" s="219" customFormat="1" ht="45" hidden="1" x14ac:dyDescent="0.25">
      <c r="A995" s="214"/>
      <c r="B995" s="237">
        <v>1</v>
      </c>
      <c r="C995" s="237">
        <v>3</v>
      </c>
      <c r="D995" s="238" t="s">
        <v>2022</v>
      </c>
      <c r="E995" s="238" t="s">
        <v>1825</v>
      </c>
      <c r="F995" s="238" t="s">
        <v>1825</v>
      </c>
      <c r="G995" s="238" t="s">
        <v>563</v>
      </c>
      <c r="H995" s="239" t="s">
        <v>2810</v>
      </c>
      <c r="I995" s="217"/>
      <c r="J995" s="217"/>
      <c r="K995" s="217"/>
      <c r="L995" s="217"/>
      <c r="M995" s="217"/>
      <c r="N995" s="217"/>
      <c r="O995" s="217"/>
      <c r="P995" s="217"/>
    </row>
    <row r="996" spans="1:16" s="219" customFormat="1" ht="45" hidden="1" x14ac:dyDescent="0.25">
      <c r="A996" s="214"/>
      <c r="B996" s="237">
        <v>1</v>
      </c>
      <c r="C996" s="237">
        <v>3</v>
      </c>
      <c r="D996" s="238" t="s">
        <v>2022</v>
      </c>
      <c r="E996" s="238" t="s">
        <v>1825</v>
      </c>
      <c r="F996" s="238" t="s">
        <v>1825</v>
      </c>
      <c r="G996" s="238" t="s">
        <v>227</v>
      </c>
      <c r="H996" s="239" t="s">
        <v>2811</v>
      </c>
      <c r="I996" s="217"/>
      <c r="J996" s="217"/>
      <c r="K996" s="217"/>
      <c r="L996" s="217"/>
      <c r="M996" s="217"/>
      <c r="N996" s="217"/>
      <c r="O996" s="217"/>
      <c r="P996" s="217"/>
    </row>
    <row r="997" spans="1:16" s="219" customFormat="1" ht="45" hidden="1" x14ac:dyDescent="0.25">
      <c r="A997" s="214"/>
      <c r="B997" s="237">
        <v>1</v>
      </c>
      <c r="C997" s="237">
        <v>3</v>
      </c>
      <c r="D997" s="238" t="s">
        <v>2022</v>
      </c>
      <c r="E997" s="238" t="s">
        <v>1825</v>
      </c>
      <c r="F997" s="238" t="s">
        <v>1825</v>
      </c>
      <c r="G997" s="238" t="s">
        <v>230</v>
      </c>
      <c r="H997" s="239" t="s">
        <v>2812</v>
      </c>
      <c r="I997" s="217"/>
      <c r="J997" s="217"/>
      <c r="K997" s="217"/>
      <c r="L997" s="217"/>
      <c r="M997" s="217"/>
      <c r="N997" s="217"/>
      <c r="O997" s="217"/>
      <c r="P997" s="217"/>
    </row>
    <row r="998" spans="1:16" s="219" customFormat="1" ht="30" hidden="1" x14ac:dyDescent="0.25">
      <c r="A998" s="214"/>
      <c r="B998" s="237">
        <v>1</v>
      </c>
      <c r="C998" s="237">
        <v>3</v>
      </c>
      <c r="D998" s="238" t="s">
        <v>2022</v>
      </c>
      <c r="E998" s="238" t="s">
        <v>1825</v>
      </c>
      <c r="F998" s="238" t="s">
        <v>1825</v>
      </c>
      <c r="G998" s="238" t="s">
        <v>232</v>
      </c>
      <c r="H998" s="239" t="s">
        <v>2813</v>
      </c>
      <c r="I998" s="217"/>
      <c r="J998" s="217"/>
      <c r="K998" s="217"/>
      <c r="L998" s="217"/>
      <c r="M998" s="217"/>
      <c r="N998" s="217"/>
      <c r="O998" s="217"/>
      <c r="P998" s="217"/>
    </row>
    <row r="999" spans="1:16" s="219" customFormat="1" ht="30" hidden="1" x14ac:dyDescent="0.25">
      <c r="A999" s="214"/>
      <c r="B999" s="237">
        <v>1</v>
      </c>
      <c r="C999" s="237">
        <v>3</v>
      </c>
      <c r="D999" s="238" t="s">
        <v>2022</v>
      </c>
      <c r="E999" s="238" t="s">
        <v>1825</v>
      </c>
      <c r="F999" s="238" t="s">
        <v>1825</v>
      </c>
      <c r="G999" s="238" t="s">
        <v>234</v>
      </c>
      <c r="H999" s="239" t="s">
        <v>2814</v>
      </c>
      <c r="I999" s="217"/>
      <c r="J999" s="217"/>
      <c r="K999" s="217"/>
      <c r="L999" s="217"/>
      <c r="M999" s="217"/>
      <c r="N999" s="217"/>
      <c r="O999" s="217"/>
      <c r="P999" s="217"/>
    </row>
    <row r="1000" spans="1:16" s="219" customFormat="1" ht="30" hidden="1" x14ac:dyDescent="0.25">
      <c r="A1000" s="214"/>
      <c r="B1000" s="237">
        <v>1</v>
      </c>
      <c r="C1000" s="237">
        <v>3</v>
      </c>
      <c r="D1000" s="238" t="s">
        <v>2022</v>
      </c>
      <c r="E1000" s="238" t="s">
        <v>1825</v>
      </c>
      <c r="F1000" s="238" t="s">
        <v>1825</v>
      </c>
      <c r="G1000" s="238" t="s">
        <v>236</v>
      </c>
      <c r="H1000" s="239" t="s">
        <v>2815</v>
      </c>
      <c r="I1000" s="217"/>
      <c r="J1000" s="217"/>
      <c r="K1000" s="217"/>
      <c r="L1000" s="217"/>
      <c r="M1000" s="217"/>
      <c r="N1000" s="217"/>
      <c r="O1000" s="217"/>
      <c r="P1000" s="217"/>
    </row>
    <row r="1001" spans="1:16" s="219" customFormat="1" ht="30" hidden="1" x14ac:dyDescent="0.25">
      <c r="A1001" s="214"/>
      <c r="B1001" s="237">
        <v>1</v>
      </c>
      <c r="C1001" s="237">
        <v>3</v>
      </c>
      <c r="D1001" s="238" t="s">
        <v>2022</v>
      </c>
      <c r="E1001" s="238" t="s">
        <v>1825</v>
      </c>
      <c r="F1001" s="238" t="s">
        <v>1825</v>
      </c>
      <c r="G1001" s="238" t="s">
        <v>238</v>
      </c>
      <c r="H1001" s="239" t="s">
        <v>2816</v>
      </c>
      <c r="I1001" s="217"/>
      <c r="J1001" s="217"/>
      <c r="K1001" s="217"/>
      <c r="L1001" s="217"/>
      <c r="M1001" s="217"/>
      <c r="N1001" s="217"/>
      <c r="O1001" s="217"/>
      <c r="P1001" s="217"/>
    </row>
    <row r="1002" spans="1:16" s="219" customFormat="1" ht="30" hidden="1" x14ac:dyDescent="0.25">
      <c r="A1002" s="214"/>
      <c r="B1002" s="237">
        <v>1</v>
      </c>
      <c r="C1002" s="237">
        <v>3</v>
      </c>
      <c r="D1002" s="238" t="s">
        <v>2022</v>
      </c>
      <c r="E1002" s="238" t="s">
        <v>1825</v>
      </c>
      <c r="F1002" s="238" t="s">
        <v>1825</v>
      </c>
      <c r="G1002" s="238" t="s">
        <v>240</v>
      </c>
      <c r="H1002" s="239" t="s">
        <v>2817</v>
      </c>
      <c r="I1002" s="217"/>
      <c r="J1002" s="217"/>
      <c r="K1002" s="217"/>
      <c r="L1002" s="217"/>
      <c r="M1002" s="217"/>
      <c r="N1002" s="217"/>
      <c r="O1002" s="217"/>
      <c r="P1002" s="217"/>
    </row>
    <row r="1003" spans="1:16" s="219" customFormat="1" ht="30" hidden="1" x14ac:dyDescent="0.25">
      <c r="A1003" s="214"/>
      <c r="B1003" s="237">
        <v>1</v>
      </c>
      <c r="C1003" s="237">
        <v>3</v>
      </c>
      <c r="D1003" s="238" t="s">
        <v>2022</v>
      </c>
      <c r="E1003" s="238" t="s">
        <v>1825</v>
      </c>
      <c r="F1003" s="238" t="s">
        <v>1825</v>
      </c>
      <c r="G1003" s="238" t="s">
        <v>242</v>
      </c>
      <c r="H1003" s="239" t="s">
        <v>2818</v>
      </c>
      <c r="I1003" s="217"/>
      <c r="J1003" s="217"/>
      <c r="K1003" s="217"/>
      <c r="L1003" s="217"/>
      <c r="M1003" s="217"/>
      <c r="N1003" s="217"/>
      <c r="O1003" s="217"/>
      <c r="P1003" s="217"/>
    </row>
    <row r="1004" spans="1:16" s="219" customFormat="1" ht="30" hidden="1" x14ac:dyDescent="0.25">
      <c r="A1004" s="214"/>
      <c r="B1004" s="237">
        <v>1</v>
      </c>
      <c r="C1004" s="237">
        <v>3</v>
      </c>
      <c r="D1004" s="238" t="s">
        <v>2022</v>
      </c>
      <c r="E1004" s="238" t="s">
        <v>1825</v>
      </c>
      <c r="F1004" s="238" t="s">
        <v>1825</v>
      </c>
      <c r="G1004" s="238" t="s">
        <v>244</v>
      </c>
      <c r="H1004" s="239" t="s">
        <v>2819</v>
      </c>
      <c r="I1004" s="217"/>
      <c r="J1004" s="217"/>
      <c r="K1004" s="217"/>
      <c r="L1004" s="217"/>
      <c r="M1004" s="217"/>
      <c r="N1004" s="217"/>
      <c r="O1004" s="217"/>
      <c r="P1004" s="217"/>
    </row>
    <row r="1005" spans="1:16" s="219" customFormat="1" ht="30" hidden="1" x14ac:dyDescent="0.25">
      <c r="A1005" s="214"/>
      <c r="B1005" s="237">
        <v>1</v>
      </c>
      <c r="C1005" s="237">
        <v>3</v>
      </c>
      <c r="D1005" s="238" t="s">
        <v>2022</v>
      </c>
      <c r="E1005" s="238" t="s">
        <v>1825</v>
      </c>
      <c r="F1005" s="238" t="s">
        <v>1825</v>
      </c>
      <c r="G1005" s="238" t="s">
        <v>246</v>
      </c>
      <c r="H1005" s="239" t="s">
        <v>2820</v>
      </c>
      <c r="I1005" s="217"/>
      <c r="J1005" s="217"/>
      <c r="K1005" s="217"/>
      <c r="L1005" s="217"/>
      <c r="M1005" s="217"/>
      <c r="N1005" s="217"/>
      <c r="O1005" s="217"/>
      <c r="P1005" s="217"/>
    </row>
    <row r="1006" spans="1:16" s="213" customFormat="1" ht="30" hidden="1" x14ac:dyDescent="0.25">
      <c r="A1006" s="208" t="s">
        <v>1905</v>
      </c>
      <c r="B1006" s="234">
        <v>1</v>
      </c>
      <c r="C1006" s="234">
        <v>3</v>
      </c>
      <c r="D1006" s="235" t="s">
        <v>2022</v>
      </c>
      <c r="E1006" s="235" t="s">
        <v>1836</v>
      </c>
      <c r="F1006" s="234"/>
      <c r="G1006" s="234"/>
      <c r="H1006" s="236" t="s">
        <v>2821</v>
      </c>
      <c r="I1006" s="211">
        <f>SUM(I1007+I1042+I1067+I1112+I1123+I1143+I1216+I1251+I1391+I1400+I1408+I1417+I1428+I1435+I1456+I1460+I1487+I1500)</f>
        <v>0</v>
      </c>
      <c r="J1006" s="211">
        <f t="shared" ref="J1006:P1006" si="154">SUM(J1007+J1042+J1067+J1112+J1123+J1143+J1216+J1251+J1391+J1400+J1408+J1417+J1428+J1435+J1456+J1460+J1487+J1500)</f>
        <v>0</v>
      </c>
      <c r="K1006" s="211">
        <f t="shared" si="154"/>
        <v>0</v>
      </c>
      <c r="L1006" s="211">
        <f t="shared" si="154"/>
        <v>0</v>
      </c>
      <c r="M1006" s="211">
        <f t="shared" si="154"/>
        <v>0</v>
      </c>
      <c r="N1006" s="211">
        <f t="shared" si="154"/>
        <v>0</v>
      </c>
      <c r="O1006" s="211">
        <f t="shared" si="154"/>
        <v>0</v>
      </c>
      <c r="P1006" s="211">
        <f t="shared" si="154"/>
        <v>0</v>
      </c>
    </row>
    <row r="1007" spans="1:16" s="213" customFormat="1" ht="30" hidden="1" x14ac:dyDescent="0.25">
      <c r="A1007" s="208" t="s">
        <v>263</v>
      </c>
      <c r="B1007" s="234">
        <v>1</v>
      </c>
      <c r="C1007" s="234">
        <v>3</v>
      </c>
      <c r="D1007" s="235" t="s">
        <v>2022</v>
      </c>
      <c r="E1007" s="235" t="s">
        <v>1836</v>
      </c>
      <c r="F1007" s="235" t="s">
        <v>1825</v>
      </c>
      <c r="G1007" s="234"/>
      <c r="H1007" s="236" t="s">
        <v>2822</v>
      </c>
      <c r="I1007" s="211">
        <f>SUM(I1008:I1041)</f>
        <v>0</v>
      </c>
      <c r="J1007" s="211">
        <f t="shared" ref="J1007:P1007" si="155">SUM(J1008:J1041)</f>
        <v>0</v>
      </c>
      <c r="K1007" s="211">
        <f t="shared" si="155"/>
        <v>0</v>
      </c>
      <c r="L1007" s="211">
        <f t="shared" si="155"/>
        <v>0</v>
      </c>
      <c r="M1007" s="211">
        <f t="shared" si="155"/>
        <v>0</v>
      </c>
      <c r="N1007" s="211">
        <f t="shared" si="155"/>
        <v>0</v>
      </c>
      <c r="O1007" s="211">
        <f t="shared" si="155"/>
        <v>0</v>
      </c>
      <c r="P1007" s="211">
        <f t="shared" si="155"/>
        <v>0</v>
      </c>
    </row>
    <row r="1008" spans="1:16" s="219" customFormat="1" ht="30" hidden="1" x14ac:dyDescent="0.25">
      <c r="A1008" s="214"/>
      <c r="B1008" s="237">
        <v>1</v>
      </c>
      <c r="C1008" s="237">
        <v>3</v>
      </c>
      <c r="D1008" s="238" t="s">
        <v>2022</v>
      </c>
      <c r="E1008" s="238" t="s">
        <v>1836</v>
      </c>
      <c r="F1008" s="238" t="s">
        <v>1825</v>
      </c>
      <c r="G1008" s="238" t="s">
        <v>58</v>
      </c>
      <c r="H1008" s="239" t="s">
        <v>2823</v>
      </c>
      <c r="I1008" s="217"/>
      <c r="J1008" s="217"/>
      <c r="K1008" s="217"/>
      <c r="L1008" s="217"/>
      <c r="M1008" s="217"/>
      <c r="N1008" s="217"/>
      <c r="O1008" s="217"/>
      <c r="P1008" s="217"/>
    </row>
    <row r="1009" spans="1:16" s="219" customFormat="1" ht="30" hidden="1" x14ac:dyDescent="0.25">
      <c r="A1009" s="214"/>
      <c r="B1009" s="237">
        <v>1</v>
      </c>
      <c r="C1009" s="237">
        <v>3</v>
      </c>
      <c r="D1009" s="238" t="s">
        <v>2022</v>
      </c>
      <c r="E1009" s="238" t="s">
        <v>1836</v>
      </c>
      <c r="F1009" s="238" t="s">
        <v>1825</v>
      </c>
      <c r="G1009" s="238" t="s">
        <v>75</v>
      </c>
      <c r="H1009" s="239" t="s">
        <v>2824</v>
      </c>
      <c r="I1009" s="217"/>
      <c r="J1009" s="217"/>
      <c r="K1009" s="217"/>
      <c r="L1009" s="217"/>
      <c r="M1009" s="217"/>
      <c r="N1009" s="217"/>
      <c r="O1009" s="217"/>
      <c r="P1009" s="217"/>
    </row>
    <row r="1010" spans="1:16" s="219" customFormat="1" ht="30" hidden="1" x14ac:dyDescent="0.25">
      <c r="A1010" s="214"/>
      <c r="B1010" s="237">
        <v>1</v>
      </c>
      <c r="C1010" s="237">
        <v>3</v>
      </c>
      <c r="D1010" s="238" t="s">
        <v>2022</v>
      </c>
      <c r="E1010" s="238" t="s">
        <v>1836</v>
      </c>
      <c r="F1010" s="238" t="s">
        <v>1825</v>
      </c>
      <c r="G1010" s="238" t="s">
        <v>79</v>
      </c>
      <c r="H1010" s="239" t="s">
        <v>2825</v>
      </c>
      <c r="I1010" s="217"/>
      <c r="J1010" s="217"/>
      <c r="K1010" s="217"/>
      <c r="L1010" s="217"/>
      <c r="M1010" s="217"/>
      <c r="N1010" s="217"/>
      <c r="O1010" s="217"/>
      <c r="P1010" s="217"/>
    </row>
    <row r="1011" spans="1:16" s="219" customFormat="1" ht="30" hidden="1" x14ac:dyDescent="0.25">
      <c r="A1011" s="214"/>
      <c r="B1011" s="237">
        <v>1</v>
      </c>
      <c r="C1011" s="237">
        <v>3</v>
      </c>
      <c r="D1011" s="238" t="s">
        <v>2022</v>
      </c>
      <c r="E1011" s="238" t="s">
        <v>1836</v>
      </c>
      <c r="F1011" s="238" t="s">
        <v>1825</v>
      </c>
      <c r="G1011" s="238" t="s">
        <v>84</v>
      </c>
      <c r="H1011" s="239" t="s">
        <v>2826</v>
      </c>
      <c r="I1011" s="217"/>
      <c r="J1011" s="217"/>
      <c r="K1011" s="217"/>
      <c r="L1011" s="217"/>
      <c r="M1011" s="217"/>
      <c r="N1011" s="217"/>
      <c r="O1011" s="217"/>
      <c r="P1011" s="217"/>
    </row>
    <row r="1012" spans="1:16" s="219" customFormat="1" ht="30" hidden="1" x14ac:dyDescent="0.25">
      <c r="A1012" s="214"/>
      <c r="B1012" s="237">
        <v>1</v>
      </c>
      <c r="C1012" s="237">
        <v>3</v>
      </c>
      <c r="D1012" s="238" t="s">
        <v>2022</v>
      </c>
      <c r="E1012" s="238" t="s">
        <v>1836</v>
      </c>
      <c r="F1012" s="238" t="s">
        <v>1825</v>
      </c>
      <c r="G1012" s="238" t="s">
        <v>88</v>
      </c>
      <c r="H1012" s="239" t="s">
        <v>2827</v>
      </c>
      <c r="I1012" s="217"/>
      <c r="J1012" s="217"/>
      <c r="K1012" s="217"/>
      <c r="L1012" s="217"/>
      <c r="M1012" s="217"/>
      <c r="N1012" s="217"/>
      <c r="O1012" s="217"/>
      <c r="P1012" s="217"/>
    </row>
    <row r="1013" spans="1:16" s="219" customFormat="1" ht="30" hidden="1" x14ac:dyDescent="0.25">
      <c r="A1013" s="214"/>
      <c r="B1013" s="237">
        <v>1</v>
      </c>
      <c r="C1013" s="237">
        <v>3</v>
      </c>
      <c r="D1013" s="238" t="s">
        <v>2022</v>
      </c>
      <c r="E1013" s="238" t="s">
        <v>1836</v>
      </c>
      <c r="F1013" s="238" t="s">
        <v>1825</v>
      </c>
      <c r="G1013" s="238" t="s">
        <v>92</v>
      </c>
      <c r="H1013" s="239" t="s">
        <v>2828</v>
      </c>
      <c r="I1013" s="217"/>
      <c r="J1013" s="217"/>
      <c r="K1013" s="217"/>
      <c r="L1013" s="217"/>
      <c r="M1013" s="217"/>
      <c r="N1013" s="217"/>
      <c r="O1013" s="217"/>
      <c r="P1013" s="217"/>
    </row>
    <row r="1014" spans="1:16" s="219" customFormat="1" ht="30" hidden="1" x14ac:dyDescent="0.25">
      <c r="A1014" s="214"/>
      <c r="B1014" s="237">
        <v>1</v>
      </c>
      <c r="C1014" s="237">
        <v>3</v>
      </c>
      <c r="D1014" s="238" t="s">
        <v>2022</v>
      </c>
      <c r="E1014" s="238" t="s">
        <v>1836</v>
      </c>
      <c r="F1014" s="238" t="s">
        <v>1825</v>
      </c>
      <c r="G1014" s="238" t="s">
        <v>96</v>
      </c>
      <c r="H1014" s="239" t="s">
        <v>2829</v>
      </c>
      <c r="I1014" s="217"/>
      <c r="J1014" s="217"/>
      <c r="K1014" s="217"/>
      <c r="L1014" s="217"/>
      <c r="M1014" s="217"/>
      <c r="N1014" s="217"/>
      <c r="O1014" s="217"/>
      <c r="P1014" s="217"/>
    </row>
    <row r="1015" spans="1:16" s="219" customFormat="1" ht="45" hidden="1" x14ac:dyDescent="0.25">
      <c r="A1015" s="214"/>
      <c r="B1015" s="237">
        <v>1</v>
      </c>
      <c r="C1015" s="237">
        <v>3</v>
      </c>
      <c r="D1015" s="238" t="s">
        <v>2022</v>
      </c>
      <c r="E1015" s="238" t="s">
        <v>1836</v>
      </c>
      <c r="F1015" s="238" t="s">
        <v>1825</v>
      </c>
      <c r="G1015" s="238" t="s">
        <v>100</v>
      </c>
      <c r="H1015" s="239" t="s">
        <v>2830</v>
      </c>
      <c r="I1015" s="217"/>
      <c r="J1015" s="217"/>
      <c r="K1015" s="217"/>
      <c r="L1015" s="217"/>
      <c r="M1015" s="217"/>
      <c r="N1015" s="217"/>
      <c r="O1015" s="217"/>
      <c r="P1015" s="217"/>
    </row>
    <row r="1016" spans="1:16" s="219" customFormat="1" ht="30" hidden="1" x14ac:dyDescent="0.25">
      <c r="A1016" s="214"/>
      <c r="B1016" s="237">
        <v>1</v>
      </c>
      <c r="C1016" s="237">
        <v>3</v>
      </c>
      <c r="D1016" s="238" t="s">
        <v>2022</v>
      </c>
      <c r="E1016" s="238" t="s">
        <v>1836</v>
      </c>
      <c r="F1016" s="238" t="s">
        <v>1825</v>
      </c>
      <c r="G1016" s="238" t="s">
        <v>105</v>
      </c>
      <c r="H1016" s="239" t="s">
        <v>2831</v>
      </c>
      <c r="I1016" s="217"/>
      <c r="J1016" s="217"/>
      <c r="K1016" s="217"/>
      <c r="L1016" s="217"/>
      <c r="M1016" s="217"/>
      <c r="N1016" s="217"/>
      <c r="O1016" s="217"/>
      <c r="P1016" s="217"/>
    </row>
    <row r="1017" spans="1:16" s="219" customFormat="1" ht="30" hidden="1" x14ac:dyDescent="0.25">
      <c r="A1017" s="214"/>
      <c r="B1017" s="237">
        <v>1</v>
      </c>
      <c r="C1017" s="237">
        <v>3</v>
      </c>
      <c r="D1017" s="238" t="s">
        <v>2022</v>
      </c>
      <c r="E1017" s="238" t="s">
        <v>1836</v>
      </c>
      <c r="F1017" s="238" t="s">
        <v>1825</v>
      </c>
      <c r="G1017" s="238" t="s">
        <v>108</v>
      </c>
      <c r="H1017" s="239" t="s">
        <v>2832</v>
      </c>
      <c r="I1017" s="217"/>
      <c r="J1017" s="217"/>
      <c r="K1017" s="217"/>
      <c r="L1017" s="217"/>
      <c r="M1017" s="217"/>
      <c r="N1017" s="217"/>
      <c r="O1017" s="217"/>
      <c r="P1017" s="217"/>
    </row>
    <row r="1018" spans="1:16" s="219" customFormat="1" ht="30" hidden="1" x14ac:dyDescent="0.25">
      <c r="A1018" s="214"/>
      <c r="B1018" s="237">
        <v>1</v>
      </c>
      <c r="C1018" s="237">
        <v>3</v>
      </c>
      <c r="D1018" s="238" t="s">
        <v>2022</v>
      </c>
      <c r="E1018" s="238" t="s">
        <v>1836</v>
      </c>
      <c r="F1018" s="238" t="s">
        <v>1825</v>
      </c>
      <c r="G1018" s="238" t="s">
        <v>135</v>
      </c>
      <c r="H1018" s="239" t="s">
        <v>2833</v>
      </c>
      <c r="I1018" s="217"/>
      <c r="J1018" s="217"/>
      <c r="K1018" s="217"/>
      <c r="L1018" s="217"/>
      <c r="M1018" s="217"/>
      <c r="N1018" s="217"/>
      <c r="O1018" s="217"/>
      <c r="P1018" s="217"/>
    </row>
    <row r="1019" spans="1:16" s="219" customFormat="1" ht="45" hidden="1" x14ac:dyDescent="0.25">
      <c r="A1019" s="214"/>
      <c r="B1019" s="237">
        <v>1</v>
      </c>
      <c r="C1019" s="237">
        <v>3</v>
      </c>
      <c r="D1019" s="238" t="s">
        <v>2022</v>
      </c>
      <c r="E1019" s="238" t="s">
        <v>1836</v>
      </c>
      <c r="F1019" s="238" t="s">
        <v>1825</v>
      </c>
      <c r="G1019" s="238" t="s">
        <v>138</v>
      </c>
      <c r="H1019" s="239" t="s">
        <v>2834</v>
      </c>
      <c r="I1019" s="217"/>
      <c r="J1019" s="217"/>
      <c r="K1019" s="217"/>
      <c r="L1019" s="217"/>
      <c r="M1019" s="217"/>
      <c r="N1019" s="217"/>
      <c r="O1019" s="217"/>
      <c r="P1019" s="217"/>
    </row>
    <row r="1020" spans="1:16" s="219" customFormat="1" ht="30" hidden="1" x14ac:dyDescent="0.25">
      <c r="A1020" s="214"/>
      <c r="B1020" s="237">
        <v>1</v>
      </c>
      <c r="C1020" s="237">
        <v>3</v>
      </c>
      <c r="D1020" s="238" t="s">
        <v>2022</v>
      </c>
      <c r="E1020" s="238" t="s">
        <v>1836</v>
      </c>
      <c r="F1020" s="238" t="s">
        <v>1825</v>
      </c>
      <c r="G1020" s="238" t="s">
        <v>140</v>
      </c>
      <c r="H1020" s="239" t="s">
        <v>2835</v>
      </c>
      <c r="I1020" s="217"/>
      <c r="J1020" s="217"/>
      <c r="K1020" s="217"/>
      <c r="L1020" s="217"/>
      <c r="M1020" s="217"/>
      <c r="N1020" s="217"/>
      <c r="O1020" s="217"/>
      <c r="P1020" s="217"/>
    </row>
    <row r="1021" spans="1:16" s="219" customFormat="1" ht="30" hidden="1" x14ac:dyDescent="0.25">
      <c r="A1021" s="214"/>
      <c r="B1021" s="237">
        <v>1</v>
      </c>
      <c r="C1021" s="237">
        <v>3</v>
      </c>
      <c r="D1021" s="238" t="s">
        <v>2022</v>
      </c>
      <c r="E1021" s="238" t="s">
        <v>1836</v>
      </c>
      <c r="F1021" s="238" t="s">
        <v>1825</v>
      </c>
      <c r="G1021" s="238" t="s">
        <v>143</v>
      </c>
      <c r="H1021" s="239" t="s">
        <v>2836</v>
      </c>
      <c r="I1021" s="217"/>
      <c r="J1021" s="217"/>
      <c r="K1021" s="217"/>
      <c r="L1021" s="217"/>
      <c r="M1021" s="217"/>
      <c r="N1021" s="217"/>
      <c r="O1021" s="217"/>
      <c r="P1021" s="217"/>
    </row>
    <row r="1022" spans="1:16" s="219" customFormat="1" ht="30" hidden="1" x14ac:dyDescent="0.25">
      <c r="A1022" s="214"/>
      <c r="B1022" s="237">
        <v>1</v>
      </c>
      <c r="C1022" s="237">
        <v>3</v>
      </c>
      <c r="D1022" s="238" t="s">
        <v>2022</v>
      </c>
      <c r="E1022" s="238" t="s">
        <v>1836</v>
      </c>
      <c r="F1022" s="238" t="s">
        <v>1825</v>
      </c>
      <c r="G1022" s="238" t="s">
        <v>146</v>
      </c>
      <c r="H1022" s="239" t="s">
        <v>2837</v>
      </c>
      <c r="I1022" s="217"/>
      <c r="J1022" s="217"/>
      <c r="K1022" s="217"/>
      <c r="L1022" s="217"/>
      <c r="M1022" s="217"/>
      <c r="N1022" s="217"/>
      <c r="O1022" s="217"/>
      <c r="P1022" s="217"/>
    </row>
    <row r="1023" spans="1:16" s="219" customFormat="1" ht="30" hidden="1" x14ac:dyDescent="0.25">
      <c r="A1023" s="214"/>
      <c r="B1023" s="237">
        <v>1</v>
      </c>
      <c r="C1023" s="237">
        <v>3</v>
      </c>
      <c r="D1023" s="238" t="s">
        <v>2022</v>
      </c>
      <c r="E1023" s="238" t="s">
        <v>1836</v>
      </c>
      <c r="F1023" s="238" t="s">
        <v>1825</v>
      </c>
      <c r="G1023" s="238" t="s">
        <v>150</v>
      </c>
      <c r="H1023" s="239" t="s">
        <v>2838</v>
      </c>
      <c r="I1023" s="217"/>
      <c r="J1023" s="217"/>
      <c r="K1023" s="217"/>
      <c r="L1023" s="217"/>
      <c r="M1023" s="217"/>
      <c r="N1023" s="217"/>
      <c r="O1023" s="217"/>
      <c r="P1023" s="217"/>
    </row>
    <row r="1024" spans="1:16" s="219" customFormat="1" ht="30" hidden="1" x14ac:dyDescent="0.25">
      <c r="A1024" s="214"/>
      <c r="B1024" s="237">
        <v>1</v>
      </c>
      <c r="C1024" s="237">
        <v>3</v>
      </c>
      <c r="D1024" s="238" t="s">
        <v>2022</v>
      </c>
      <c r="E1024" s="238" t="s">
        <v>1836</v>
      </c>
      <c r="F1024" s="238" t="s">
        <v>1825</v>
      </c>
      <c r="G1024" s="238" t="s">
        <v>153</v>
      </c>
      <c r="H1024" s="239" t="s">
        <v>2839</v>
      </c>
      <c r="I1024" s="217"/>
      <c r="J1024" s="217"/>
      <c r="K1024" s="217"/>
      <c r="L1024" s="217"/>
      <c r="M1024" s="217"/>
      <c r="N1024" s="217"/>
      <c r="O1024" s="217"/>
      <c r="P1024" s="217"/>
    </row>
    <row r="1025" spans="1:16" s="219" customFormat="1" ht="45" hidden="1" x14ac:dyDescent="0.25">
      <c r="A1025" s="214"/>
      <c r="B1025" s="237">
        <v>1</v>
      </c>
      <c r="C1025" s="237">
        <v>3</v>
      </c>
      <c r="D1025" s="238" t="s">
        <v>2022</v>
      </c>
      <c r="E1025" s="238" t="s">
        <v>1836</v>
      </c>
      <c r="F1025" s="238" t="s">
        <v>1825</v>
      </c>
      <c r="G1025" s="238" t="s">
        <v>156</v>
      </c>
      <c r="H1025" s="239" t="s">
        <v>2840</v>
      </c>
      <c r="I1025" s="217"/>
      <c r="J1025" s="217"/>
      <c r="K1025" s="217"/>
      <c r="L1025" s="217"/>
      <c r="M1025" s="217"/>
      <c r="N1025" s="217"/>
      <c r="O1025" s="217"/>
      <c r="P1025" s="217"/>
    </row>
    <row r="1026" spans="1:16" s="219" customFormat="1" ht="30" hidden="1" x14ac:dyDescent="0.25">
      <c r="A1026" s="214"/>
      <c r="B1026" s="237">
        <v>1</v>
      </c>
      <c r="C1026" s="237">
        <v>3</v>
      </c>
      <c r="D1026" s="238" t="s">
        <v>2022</v>
      </c>
      <c r="E1026" s="238" t="s">
        <v>1836</v>
      </c>
      <c r="F1026" s="238" t="s">
        <v>1825</v>
      </c>
      <c r="G1026" s="238" t="s">
        <v>159</v>
      </c>
      <c r="H1026" s="239" t="s">
        <v>2841</v>
      </c>
      <c r="I1026" s="217"/>
      <c r="J1026" s="217"/>
      <c r="K1026" s="217"/>
      <c r="L1026" s="217"/>
      <c r="M1026" s="217"/>
      <c r="N1026" s="217"/>
      <c r="O1026" s="217"/>
      <c r="P1026" s="217"/>
    </row>
    <row r="1027" spans="1:16" s="219" customFormat="1" ht="30" hidden="1" x14ac:dyDescent="0.25">
      <c r="A1027" s="214"/>
      <c r="B1027" s="237">
        <v>1</v>
      </c>
      <c r="C1027" s="237">
        <v>3</v>
      </c>
      <c r="D1027" s="238" t="s">
        <v>2022</v>
      </c>
      <c r="E1027" s="238" t="s">
        <v>1836</v>
      </c>
      <c r="F1027" s="238" t="s">
        <v>1825</v>
      </c>
      <c r="G1027" s="238" t="s">
        <v>162</v>
      </c>
      <c r="H1027" s="239" t="s">
        <v>2842</v>
      </c>
      <c r="I1027" s="217"/>
      <c r="J1027" s="217"/>
      <c r="K1027" s="217"/>
      <c r="L1027" s="217"/>
      <c r="M1027" s="217"/>
      <c r="N1027" s="217"/>
      <c r="O1027" s="217"/>
      <c r="P1027" s="217"/>
    </row>
    <row r="1028" spans="1:16" s="219" customFormat="1" ht="30" hidden="1" x14ac:dyDescent="0.25">
      <c r="A1028" s="214"/>
      <c r="B1028" s="237">
        <v>1</v>
      </c>
      <c r="C1028" s="237">
        <v>3</v>
      </c>
      <c r="D1028" s="238" t="s">
        <v>2022</v>
      </c>
      <c r="E1028" s="238" t="s">
        <v>1836</v>
      </c>
      <c r="F1028" s="238" t="s">
        <v>1825</v>
      </c>
      <c r="G1028" s="238" t="s">
        <v>312</v>
      </c>
      <c r="H1028" s="239" t="s">
        <v>2843</v>
      </c>
      <c r="I1028" s="217"/>
      <c r="J1028" s="217"/>
      <c r="K1028" s="217"/>
      <c r="L1028" s="217"/>
      <c r="M1028" s="217"/>
      <c r="N1028" s="217"/>
      <c r="O1028" s="217"/>
      <c r="P1028" s="217"/>
    </row>
    <row r="1029" spans="1:16" s="219" customFormat="1" ht="30" hidden="1" x14ac:dyDescent="0.25">
      <c r="A1029" s="214"/>
      <c r="B1029" s="237">
        <v>1</v>
      </c>
      <c r="C1029" s="237">
        <v>3</v>
      </c>
      <c r="D1029" s="238" t="s">
        <v>2022</v>
      </c>
      <c r="E1029" s="238" t="s">
        <v>1836</v>
      </c>
      <c r="F1029" s="238" t="s">
        <v>1825</v>
      </c>
      <c r="G1029" s="238" t="s">
        <v>313</v>
      </c>
      <c r="H1029" s="239" t="s">
        <v>2844</v>
      </c>
      <c r="I1029" s="217"/>
      <c r="J1029" s="217"/>
      <c r="K1029" s="217"/>
      <c r="L1029" s="217"/>
      <c r="M1029" s="217"/>
      <c r="N1029" s="217"/>
      <c r="O1029" s="217"/>
      <c r="P1029" s="217"/>
    </row>
    <row r="1030" spans="1:16" s="219" customFormat="1" ht="30" hidden="1" x14ac:dyDescent="0.25">
      <c r="A1030" s="214"/>
      <c r="B1030" s="237">
        <v>1</v>
      </c>
      <c r="C1030" s="237">
        <v>3</v>
      </c>
      <c r="D1030" s="238" t="s">
        <v>2022</v>
      </c>
      <c r="E1030" s="238" t="s">
        <v>1836</v>
      </c>
      <c r="F1030" s="238" t="s">
        <v>1825</v>
      </c>
      <c r="G1030" s="238" t="s">
        <v>559</v>
      </c>
      <c r="H1030" s="239" t="s">
        <v>2845</v>
      </c>
      <c r="I1030" s="217"/>
      <c r="J1030" s="217"/>
      <c r="K1030" s="217"/>
      <c r="L1030" s="217"/>
      <c r="M1030" s="217"/>
      <c r="N1030" s="217"/>
      <c r="O1030" s="217"/>
      <c r="P1030" s="217"/>
    </row>
    <row r="1031" spans="1:16" s="219" customFormat="1" ht="30" hidden="1" x14ac:dyDescent="0.25">
      <c r="A1031" s="214"/>
      <c r="B1031" s="237">
        <v>1</v>
      </c>
      <c r="C1031" s="237">
        <v>3</v>
      </c>
      <c r="D1031" s="238" t="s">
        <v>2022</v>
      </c>
      <c r="E1031" s="238" t="s">
        <v>1836</v>
      </c>
      <c r="F1031" s="238" t="s">
        <v>1825</v>
      </c>
      <c r="G1031" s="238" t="s">
        <v>561</v>
      </c>
      <c r="H1031" s="239" t="s">
        <v>2846</v>
      </c>
      <c r="I1031" s="217"/>
      <c r="J1031" s="217"/>
      <c r="K1031" s="217"/>
      <c r="L1031" s="217"/>
      <c r="M1031" s="217"/>
      <c r="N1031" s="217"/>
      <c r="O1031" s="217"/>
      <c r="P1031" s="217"/>
    </row>
    <row r="1032" spans="1:16" s="219" customFormat="1" ht="30" hidden="1" x14ac:dyDescent="0.25">
      <c r="A1032" s="214"/>
      <c r="B1032" s="237">
        <v>1</v>
      </c>
      <c r="C1032" s="237">
        <v>3</v>
      </c>
      <c r="D1032" s="238" t="s">
        <v>2022</v>
      </c>
      <c r="E1032" s="238" t="s">
        <v>1836</v>
      </c>
      <c r="F1032" s="238" t="s">
        <v>1825</v>
      </c>
      <c r="G1032" s="238" t="s">
        <v>563</v>
      </c>
      <c r="H1032" s="239" t="s">
        <v>2847</v>
      </c>
      <c r="I1032" s="217"/>
      <c r="J1032" s="217"/>
      <c r="K1032" s="217"/>
      <c r="L1032" s="217"/>
      <c r="M1032" s="217"/>
      <c r="N1032" s="217"/>
      <c r="O1032" s="217"/>
      <c r="P1032" s="217"/>
    </row>
    <row r="1033" spans="1:16" s="219" customFormat="1" ht="30" hidden="1" x14ac:dyDescent="0.25">
      <c r="A1033" s="214"/>
      <c r="B1033" s="237">
        <v>1</v>
      </c>
      <c r="C1033" s="237">
        <v>3</v>
      </c>
      <c r="D1033" s="238" t="s">
        <v>2022</v>
      </c>
      <c r="E1033" s="238" t="s">
        <v>1836</v>
      </c>
      <c r="F1033" s="238" t="s">
        <v>1825</v>
      </c>
      <c r="G1033" s="238" t="s">
        <v>227</v>
      </c>
      <c r="H1033" s="239" t="s">
        <v>2848</v>
      </c>
      <c r="I1033" s="217"/>
      <c r="J1033" s="217"/>
      <c r="K1033" s="217"/>
      <c r="L1033" s="217"/>
      <c r="M1033" s="217"/>
      <c r="N1033" s="217"/>
      <c r="O1033" s="217"/>
      <c r="P1033" s="217"/>
    </row>
    <row r="1034" spans="1:16" s="219" customFormat="1" ht="45" hidden="1" x14ac:dyDescent="0.25">
      <c r="A1034" s="214"/>
      <c r="B1034" s="237">
        <v>1</v>
      </c>
      <c r="C1034" s="237">
        <v>3</v>
      </c>
      <c r="D1034" s="238" t="s">
        <v>2022</v>
      </c>
      <c r="E1034" s="238" t="s">
        <v>1836</v>
      </c>
      <c r="F1034" s="238" t="s">
        <v>1825</v>
      </c>
      <c r="G1034" s="238" t="s">
        <v>230</v>
      </c>
      <c r="H1034" s="239" t="s">
        <v>2849</v>
      </c>
      <c r="I1034" s="217"/>
      <c r="J1034" s="217"/>
      <c r="K1034" s="217"/>
      <c r="L1034" s="217"/>
      <c r="M1034" s="217"/>
      <c r="N1034" s="217"/>
      <c r="O1034" s="217"/>
      <c r="P1034" s="217"/>
    </row>
    <row r="1035" spans="1:16" s="219" customFormat="1" ht="45" hidden="1" x14ac:dyDescent="0.25">
      <c r="A1035" s="214"/>
      <c r="B1035" s="237">
        <v>1</v>
      </c>
      <c r="C1035" s="237">
        <v>3</v>
      </c>
      <c r="D1035" s="238" t="s">
        <v>2022</v>
      </c>
      <c r="E1035" s="238" t="s">
        <v>1836</v>
      </c>
      <c r="F1035" s="238" t="s">
        <v>1825</v>
      </c>
      <c r="G1035" s="238" t="s">
        <v>232</v>
      </c>
      <c r="H1035" s="239" t="s">
        <v>2850</v>
      </c>
      <c r="I1035" s="217"/>
      <c r="J1035" s="217"/>
      <c r="K1035" s="217"/>
      <c r="L1035" s="217"/>
      <c r="M1035" s="217"/>
      <c r="N1035" s="217"/>
      <c r="O1035" s="217"/>
      <c r="P1035" s="217"/>
    </row>
    <row r="1036" spans="1:16" s="219" customFormat="1" ht="30" hidden="1" x14ac:dyDescent="0.25">
      <c r="A1036" s="214"/>
      <c r="B1036" s="237">
        <v>1</v>
      </c>
      <c r="C1036" s="237">
        <v>3</v>
      </c>
      <c r="D1036" s="238" t="s">
        <v>2022</v>
      </c>
      <c r="E1036" s="238" t="s">
        <v>1836</v>
      </c>
      <c r="F1036" s="238" t="s">
        <v>1825</v>
      </c>
      <c r="G1036" s="238" t="s">
        <v>234</v>
      </c>
      <c r="H1036" s="239" t="s">
        <v>2851</v>
      </c>
      <c r="I1036" s="217"/>
      <c r="J1036" s="217"/>
      <c r="K1036" s="217"/>
      <c r="L1036" s="217"/>
      <c r="M1036" s="217"/>
      <c r="N1036" s="217"/>
      <c r="O1036" s="217"/>
      <c r="P1036" s="217"/>
    </row>
    <row r="1037" spans="1:16" s="219" customFormat="1" ht="45" hidden="1" x14ac:dyDescent="0.25">
      <c r="A1037" s="214"/>
      <c r="B1037" s="237">
        <v>1</v>
      </c>
      <c r="C1037" s="237">
        <v>3</v>
      </c>
      <c r="D1037" s="238" t="s">
        <v>2022</v>
      </c>
      <c r="E1037" s="238" t="s">
        <v>1836</v>
      </c>
      <c r="F1037" s="238" t="s">
        <v>1825</v>
      </c>
      <c r="G1037" s="238" t="s">
        <v>236</v>
      </c>
      <c r="H1037" s="239" t="s">
        <v>2852</v>
      </c>
      <c r="I1037" s="217"/>
      <c r="J1037" s="217"/>
      <c r="K1037" s="217"/>
      <c r="L1037" s="217"/>
      <c r="M1037" s="217"/>
      <c r="N1037" s="217"/>
      <c r="O1037" s="217"/>
      <c r="P1037" s="217"/>
    </row>
    <row r="1038" spans="1:16" s="219" customFormat="1" ht="30" hidden="1" x14ac:dyDescent="0.25">
      <c r="A1038" s="214"/>
      <c r="B1038" s="237">
        <v>1</v>
      </c>
      <c r="C1038" s="237">
        <v>3</v>
      </c>
      <c r="D1038" s="238" t="s">
        <v>2022</v>
      </c>
      <c r="E1038" s="238" t="s">
        <v>1836</v>
      </c>
      <c r="F1038" s="238" t="s">
        <v>1825</v>
      </c>
      <c r="G1038" s="238" t="s">
        <v>238</v>
      </c>
      <c r="H1038" s="239" t="s">
        <v>2853</v>
      </c>
      <c r="I1038" s="217"/>
      <c r="J1038" s="217"/>
      <c r="K1038" s="217"/>
      <c r="L1038" s="217"/>
      <c r="M1038" s="217"/>
      <c r="N1038" s="217"/>
      <c r="O1038" s="217"/>
      <c r="P1038" s="217"/>
    </row>
    <row r="1039" spans="1:16" s="219" customFormat="1" ht="30" hidden="1" x14ac:dyDescent="0.25">
      <c r="A1039" s="214"/>
      <c r="B1039" s="237">
        <v>1</v>
      </c>
      <c r="C1039" s="237">
        <v>3</v>
      </c>
      <c r="D1039" s="238" t="s">
        <v>2022</v>
      </c>
      <c r="E1039" s="238" t="s">
        <v>1836</v>
      </c>
      <c r="F1039" s="238" t="s">
        <v>1825</v>
      </c>
      <c r="G1039" s="238" t="s">
        <v>240</v>
      </c>
      <c r="H1039" s="239" t="s">
        <v>2854</v>
      </c>
      <c r="I1039" s="217"/>
      <c r="J1039" s="217"/>
      <c r="K1039" s="217"/>
      <c r="L1039" s="217"/>
      <c r="M1039" s="217"/>
      <c r="N1039" s="217"/>
      <c r="O1039" s="217"/>
      <c r="P1039" s="217"/>
    </row>
    <row r="1040" spans="1:16" s="219" customFormat="1" ht="30" hidden="1" x14ac:dyDescent="0.25">
      <c r="A1040" s="214"/>
      <c r="B1040" s="237">
        <v>1</v>
      </c>
      <c r="C1040" s="237">
        <v>3</v>
      </c>
      <c r="D1040" s="238" t="s">
        <v>2022</v>
      </c>
      <c r="E1040" s="238" t="s">
        <v>1836</v>
      </c>
      <c r="F1040" s="238" t="s">
        <v>1825</v>
      </c>
      <c r="G1040" s="238" t="s">
        <v>242</v>
      </c>
      <c r="H1040" s="239" t="s">
        <v>2855</v>
      </c>
      <c r="I1040" s="217"/>
      <c r="J1040" s="217"/>
      <c r="K1040" s="217"/>
      <c r="L1040" s="217"/>
      <c r="M1040" s="217"/>
      <c r="N1040" s="217"/>
      <c r="O1040" s="217"/>
      <c r="P1040" s="217"/>
    </row>
    <row r="1041" spans="1:16" s="219" customFormat="1" ht="30" hidden="1" x14ac:dyDescent="0.25">
      <c r="A1041" s="214"/>
      <c r="B1041" s="237">
        <v>1</v>
      </c>
      <c r="C1041" s="237">
        <v>3</v>
      </c>
      <c r="D1041" s="238" t="s">
        <v>2022</v>
      </c>
      <c r="E1041" s="238" t="s">
        <v>1836</v>
      </c>
      <c r="F1041" s="238" t="s">
        <v>1825</v>
      </c>
      <c r="G1041" s="238" t="s">
        <v>244</v>
      </c>
      <c r="H1041" s="239" t="s">
        <v>2856</v>
      </c>
      <c r="I1041" s="217"/>
      <c r="J1041" s="217"/>
      <c r="K1041" s="217"/>
      <c r="L1041" s="217"/>
      <c r="M1041" s="217"/>
      <c r="N1041" s="217"/>
      <c r="O1041" s="217"/>
      <c r="P1041" s="217"/>
    </row>
    <row r="1042" spans="1:16" s="213" customFormat="1" ht="30" hidden="1" x14ac:dyDescent="0.25">
      <c r="A1042" s="208" t="s">
        <v>263</v>
      </c>
      <c r="B1042" s="234">
        <v>1</v>
      </c>
      <c r="C1042" s="234">
        <v>3</v>
      </c>
      <c r="D1042" s="235" t="s">
        <v>2022</v>
      </c>
      <c r="E1042" s="235" t="s">
        <v>1836</v>
      </c>
      <c r="F1042" s="235" t="s">
        <v>1836</v>
      </c>
      <c r="G1042" s="234"/>
      <c r="H1042" s="236" t="s">
        <v>2857</v>
      </c>
      <c r="I1042" s="211">
        <f>SUM(I1043:I1066)</f>
        <v>0</v>
      </c>
      <c r="J1042" s="211">
        <f t="shared" ref="J1042:P1042" si="156">SUM(J1043:J1066)</f>
        <v>0</v>
      </c>
      <c r="K1042" s="211">
        <f t="shared" si="156"/>
        <v>0</v>
      </c>
      <c r="L1042" s="211">
        <f t="shared" si="156"/>
        <v>0</v>
      </c>
      <c r="M1042" s="211">
        <f t="shared" si="156"/>
        <v>0</v>
      </c>
      <c r="N1042" s="211">
        <f t="shared" si="156"/>
        <v>0</v>
      </c>
      <c r="O1042" s="211">
        <f t="shared" si="156"/>
        <v>0</v>
      </c>
      <c r="P1042" s="211">
        <f t="shared" si="156"/>
        <v>0</v>
      </c>
    </row>
    <row r="1043" spans="1:16" s="219" customFormat="1" ht="45" hidden="1" x14ac:dyDescent="0.25">
      <c r="A1043" s="214"/>
      <c r="B1043" s="237">
        <v>1</v>
      </c>
      <c r="C1043" s="237">
        <v>3</v>
      </c>
      <c r="D1043" s="238" t="s">
        <v>2022</v>
      </c>
      <c r="E1043" s="238" t="s">
        <v>1836</v>
      </c>
      <c r="F1043" s="238" t="s">
        <v>1836</v>
      </c>
      <c r="G1043" s="238" t="s">
        <v>58</v>
      </c>
      <c r="H1043" s="239" t="s">
        <v>2858</v>
      </c>
      <c r="I1043" s="217"/>
      <c r="J1043" s="217"/>
      <c r="K1043" s="217"/>
      <c r="L1043" s="217"/>
      <c r="M1043" s="217"/>
      <c r="N1043" s="217"/>
      <c r="O1043" s="217"/>
      <c r="P1043" s="217"/>
    </row>
    <row r="1044" spans="1:16" s="219" customFormat="1" ht="45" hidden="1" x14ac:dyDescent="0.25">
      <c r="A1044" s="214"/>
      <c r="B1044" s="237">
        <v>1</v>
      </c>
      <c r="C1044" s="237">
        <v>3</v>
      </c>
      <c r="D1044" s="238" t="s">
        <v>2022</v>
      </c>
      <c r="E1044" s="238" t="s">
        <v>1836</v>
      </c>
      <c r="F1044" s="238" t="s">
        <v>1836</v>
      </c>
      <c r="G1044" s="238" t="s">
        <v>75</v>
      </c>
      <c r="H1044" s="239" t="s">
        <v>2859</v>
      </c>
      <c r="I1044" s="217"/>
      <c r="J1044" s="217"/>
      <c r="K1044" s="217"/>
      <c r="L1044" s="217"/>
      <c r="M1044" s="217"/>
      <c r="N1044" s="217"/>
      <c r="O1044" s="217"/>
      <c r="P1044" s="217"/>
    </row>
    <row r="1045" spans="1:16" s="219" customFormat="1" ht="45" hidden="1" x14ac:dyDescent="0.25">
      <c r="A1045" s="214"/>
      <c r="B1045" s="237">
        <v>1</v>
      </c>
      <c r="C1045" s="237">
        <v>3</v>
      </c>
      <c r="D1045" s="238" t="s">
        <v>2022</v>
      </c>
      <c r="E1045" s="238" t="s">
        <v>1836</v>
      </c>
      <c r="F1045" s="238" t="s">
        <v>1836</v>
      </c>
      <c r="G1045" s="238" t="s">
        <v>79</v>
      </c>
      <c r="H1045" s="239" t="s">
        <v>2860</v>
      </c>
      <c r="I1045" s="217"/>
      <c r="J1045" s="217"/>
      <c r="K1045" s="217"/>
      <c r="L1045" s="217"/>
      <c r="M1045" s="217"/>
      <c r="N1045" s="217"/>
      <c r="O1045" s="217"/>
      <c r="P1045" s="217"/>
    </row>
    <row r="1046" spans="1:16" s="219" customFormat="1" ht="45" hidden="1" x14ac:dyDescent="0.25">
      <c r="A1046" s="214"/>
      <c r="B1046" s="237">
        <v>1</v>
      </c>
      <c r="C1046" s="237">
        <v>3</v>
      </c>
      <c r="D1046" s="238" t="s">
        <v>2022</v>
      </c>
      <c r="E1046" s="238" t="s">
        <v>1836</v>
      </c>
      <c r="F1046" s="238" t="s">
        <v>1836</v>
      </c>
      <c r="G1046" s="238" t="s">
        <v>84</v>
      </c>
      <c r="H1046" s="239" t="s">
        <v>2861</v>
      </c>
      <c r="I1046" s="217"/>
      <c r="J1046" s="217"/>
      <c r="K1046" s="217"/>
      <c r="L1046" s="217"/>
      <c r="M1046" s="217"/>
      <c r="N1046" s="217"/>
      <c r="O1046" s="217"/>
      <c r="P1046" s="217"/>
    </row>
    <row r="1047" spans="1:16" s="219" customFormat="1" ht="45" hidden="1" x14ac:dyDescent="0.25">
      <c r="A1047" s="214"/>
      <c r="B1047" s="237">
        <v>1</v>
      </c>
      <c r="C1047" s="237">
        <v>3</v>
      </c>
      <c r="D1047" s="238" t="s">
        <v>2022</v>
      </c>
      <c r="E1047" s="238" t="s">
        <v>1836</v>
      </c>
      <c r="F1047" s="238" t="s">
        <v>1836</v>
      </c>
      <c r="G1047" s="238" t="s">
        <v>88</v>
      </c>
      <c r="H1047" s="239" t="s">
        <v>2862</v>
      </c>
      <c r="I1047" s="217"/>
      <c r="J1047" s="217"/>
      <c r="K1047" s="217"/>
      <c r="L1047" s="217"/>
      <c r="M1047" s="217"/>
      <c r="N1047" s="217"/>
      <c r="O1047" s="217"/>
      <c r="P1047" s="217"/>
    </row>
    <row r="1048" spans="1:16" s="219" customFormat="1" ht="45" hidden="1" x14ac:dyDescent="0.25">
      <c r="A1048" s="214"/>
      <c r="B1048" s="237">
        <v>1</v>
      </c>
      <c r="C1048" s="237">
        <v>3</v>
      </c>
      <c r="D1048" s="238" t="s">
        <v>2022</v>
      </c>
      <c r="E1048" s="238" t="s">
        <v>1836</v>
      </c>
      <c r="F1048" s="238" t="s">
        <v>1836</v>
      </c>
      <c r="G1048" s="238" t="s">
        <v>92</v>
      </c>
      <c r="H1048" s="239" t="s">
        <v>2863</v>
      </c>
      <c r="I1048" s="217"/>
      <c r="J1048" s="217"/>
      <c r="K1048" s="217"/>
      <c r="L1048" s="217"/>
      <c r="M1048" s="217"/>
      <c r="N1048" s="217"/>
      <c r="O1048" s="217"/>
      <c r="P1048" s="217"/>
    </row>
    <row r="1049" spans="1:16" s="219" customFormat="1" ht="45" hidden="1" x14ac:dyDescent="0.25">
      <c r="A1049" s="214"/>
      <c r="B1049" s="237">
        <v>1</v>
      </c>
      <c r="C1049" s="237">
        <v>3</v>
      </c>
      <c r="D1049" s="238" t="s">
        <v>2022</v>
      </c>
      <c r="E1049" s="238" t="s">
        <v>1836</v>
      </c>
      <c r="F1049" s="238" t="s">
        <v>1836</v>
      </c>
      <c r="G1049" s="238" t="s">
        <v>96</v>
      </c>
      <c r="H1049" s="239" t="s">
        <v>2864</v>
      </c>
      <c r="I1049" s="217"/>
      <c r="J1049" s="217"/>
      <c r="K1049" s="217"/>
      <c r="L1049" s="217"/>
      <c r="M1049" s="217"/>
      <c r="N1049" s="217"/>
      <c r="O1049" s="217"/>
      <c r="P1049" s="217"/>
    </row>
    <row r="1050" spans="1:16" s="219" customFormat="1" ht="45" hidden="1" x14ac:dyDescent="0.25">
      <c r="A1050" s="214"/>
      <c r="B1050" s="237">
        <v>1</v>
      </c>
      <c r="C1050" s="237">
        <v>3</v>
      </c>
      <c r="D1050" s="238" t="s">
        <v>2022</v>
      </c>
      <c r="E1050" s="238" t="s">
        <v>1836</v>
      </c>
      <c r="F1050" s="238" t="s">
        <v>1836</v>
      </c>
      <c r="G1050" s="238" t="s">
        <v>100</v>
      </c>
      <c r="H1050" s="239" t="s">
        <v>2865</v>
      </c>
      <c r="I1050" s="217"/>
      <c r="J1050" s="217"/>
      <c r="K1050" s="217"/>
      <c r="L1050" s="217"/>
      <c r="M1050" s="217"/>
      <c r="N1050" s="217"/>
      <c r="O1050" s="217"/>
      <c r="P1050" s="217"/>
    </row>
    <row r="1051" spans="1:16" s="219" customFormat="1" ht="45" hidden="1" x14ac:dyDescent="0.25">
      <c r="A1051" s="214"/>
      <c r="B1051" s="237">
        <v>1</v>
      </c>
      <c r="C1051" s="237">
        <v>3</v>
      </c>
      <c r="D1051" s="238" t="s">
        <v>2022</v>
      </c>
      <c r="E1051" s="238" t="s">
        <v>1836</v>
      </c>
      <c r="F1051" s="238" t="s">
        <v>1836</v>
      </c>
      <c r="G1051" s="238" t="s">
        <v>105</v>
      </c>
      <c r="H1051" s="239" t="s">
        <v>2866</v>
      </c>
      <c r="I1051" s="217"/>
      <c r="J1051" s="217"/>
      <c r="K1051" s="217"/>
      <c r="L1051" s="217"/>
      <c r="M1051" s="217"/>
      <c r="N1051" s="217"/>
      <c r="O1051" s="217"/>
      <c r="P1051" s="217"/>
    </row>
    <row r="1052" spans="1:16" s="219" customFormat="1" ht="60" hidden="1" x14ac:dyDescent="0.25">
      <c r="A1052" s="214"/>
      <c r="B1052" s="237">
        <v>1</v>
      </c>
      <c r="C1052" s="237">
        <v>3</v>
      </c>
      <c r="D1052" s="238" t="s">
        <v>2022</v>
      </c>
      <c r="E1052" s="238" t="s">
        <v>1836</v>
      </c>
      <c r="F1052" s="238" t="s">
        <v>1836</v>
      </c>
      <c r="G1052" s="238" t="s">
        <v>108</v>
      </c>
      <c r="H1052" s="239" t="s">
        <v>2867</v>
      </c>
      <c r="I1052" s="217"/>
      <c r="J1052" s="217"/>
      <c r="K1052" s="217"/>
      <c r="L1052" s="217"/>
      <c r="M1052" s="217"/>
      <c r="N1052" s="217"/>
      <c r="O1052" s="217"/>
      <c r="P1052" s="217"/>
    </row>
    <row r="1053" spans="1:16" s="219" customFormat="1" ht="45" hidden="1" x14ac:dyDescent="0.25">
      <c r="A1053" s="214"/>
      <c r="B1053" s="237">
        <v>1</v>
      </c>
      <c r="C1053" s="237">
        <v>3</v>
      </c>
      <c r="D1053" s="238" t="s">
        <v>2022</v>
      </c>
      <c r="E1053" s="238" t="s">
        <v>1836</v>
      </c>
      <c r="F1053" s="238" t="s">
        <v>1836</v>
      </c>
      <c r="G1053" s="238" t="s">
        <v>135</v>
      </c>
      <c r="H1053" s="239" t="s">
        <v>2868</v>
      </c>
      <c r="I1053" s="217"/>
      <c r="J1053" s="217"/>
      <c r="K1053" s="217"/>
      <c r="L1053" s="217"/>
      <c r="M1053" s="217"/>
      <c r="N1053" s="217"/>
      <c r="O1053" s="217"/>
      <c r="P1053" s="217"/>
    </row>
    <row r="1054" spans="1:16" s="219" customFormat="1" ht="45" hidden="1" x14ac:dyDescent="0.25">
      <c r="A1054" s="214"/>
      <c r="B1054" s="237">
        <v>1</v>
      </c>
      <c r="C1054" s="237">
        <v>3</v>
      </c>
      <c r="D1054" s="238" t="s">
        <v>2022</v>
      </c>
      <c r="E1054" s="238" t="s">
        <v>1836</v>
      </c>
      <c r="F1054" s="238" t="s">
        <v>1836</v>
      </c>
      <c r="G1054" s="238" t="s">
        <v>138</v>
      </c>
      <c r="H1054" s="239" t="s">
        <v>2869</v>
      </c>
      <c r="I1054" s="217"/>
      <c r="J1054" s="217"/>
      <c r="K1054" s="217"/>
      <c r="L1054" s="217"/>
      <c r="M1054" s="217"/>
      <c r="N1054" s="217"/>
      <c r="O1054" s="217"/>
      <c r="P1054" s="217"/>
    </row>
    <row r="1055" spans="1:16" s="219" customFormat="1" ht="60" hidden="1" x14ac:dyDescent="0.25">
      <c r="A1055" s="214"/>
      <c r="B1055" s="237">
        <v>1</v>
      </c>
      <c r="C1055" s="237">
        <v>3</v>
      </c>
      <c r="D1055" s="238" t="s">
        <v>2022</v>
      </c>
      <c r="E1055" s="238" t="s">
        <v>1836</v>
      </c>
      <c r="F1055" s="238" t="s">
        <v>1836</v>
      </c>
      <c r="G1055" s="238" t="s">
        <v>140</v>
      </c>
      <c r="H1055" s="239" t="s">
        <v>2870</v>
      </c>
      <c r="I1055" s="217"/>
      <c r="J1055" s="217"/>
      <c r="K1055" s="217"/>
      <c r="L1055" s="217"/>
      <c r="M1055" s="217"/>
      <c r="N1055" s="217"/>
      <c r="O1055" s="217"/>
      <c r="P1055" s="217"/>
    </row>
    <row r="1056" spans="1:16" s="219" customFormat="1" ht="60" hidden="1" x14ac:dyDescent="0.25">
      <c r="A1056" s="214"/>
      <c r="B1056" s="237">
        <v>1</v>
      </c>
      <c r="C1056" s="237">
        <v>3</v>
      </c>
      <c r="D1056" s="238" t="s">
        <v>2022</v>
      </c>
      <c r="E1056" s="238" t="s">
        <v>1836</v>
      </c>
      <c r="F1056" s="238" t="s">
        <v>1836</v>
      </c>
      <c r="G1056" s="238" t="s">
        <v>143</v>
      </c>
      <c r="H1056" s="239" t="s">
        <v>2871</v>
      </c>
      <c r="I1056" s="217"/>
      <c r="J1056" s="217"/>
      <c r="K1056" s="217"/>
      <c r="L1056" s="217"/>
      <c r="M1056" s="217"/>
      <c r="N1056" s="217"/>
      <c r="O1056" s="217"/>
      <c r="P1056" s="217"/>
    </row>
    <row r="1057" spans="1:16" s="219" customFormat="1" ht="60" hidden="1" x14ac:dyDescent="0.25">
      <c r="A1057" s="214"/>
      <c r="B1057" s="237">
        <v>1</v>
      </c>
      <c r="C1057" s="237">
        <v>3</v>
      </c>
      <c r="D1057" s="238" t="s">
        <v>2022</v>
      </c>
      <c r="E1057" s="238" t="s">
        <v>1836</v>
      </c>
      <c r="F1057" s="238" t="s">
        <v>1836</v>
      </c>
      <c r="G1057" s="238" t="s">
        <v>146</v>
      </c>
      <c r="H1057" s="239" t="s">
        <v>2872</v>
      </c>
      <c r="I1057" s="217"/>
      <c r="J1057" s="217"/>
      <c r="K1057" s="217"/>
      <c r="L1057" s="217"/>
      <c r="M1057" s="217"/>
      <c r="N1057" s="217"/>
      <c r="O1057" s="217"/>
      <c r="P1057" s="217"/>
    </row>
    <row r="1058" spans="1:16" s="219" customFormat="1" ht="45" hidden="1" x14ac:dyDescent="0.25">
      <c r="A1058" s="214"/>
      <c r="B1058" s="237">
        <v>1</v>
      </c>
      <c r="C1058" s="237">
        <v>3</v>
      </c>
      <c r="D1058" s="238" t="s">
        <v>2022</v>
      </c>
      <c r="E1058" s="238" t="s">
        <v>1836</v>
      </c>
      <c r="F1058" s="238" t="s">
        <v>1836</v>
      </c>
      <c r="G1058" s="238" t="s">
        <v>150</v>
      </c>
      <c r="H1058" s="239" t="s">
        <v>2873</v>
      </c>
      <c r="I1058" s="217"/>
      <c r="J1058" s="217"/>
      <c r="K1058" s="217"/>
      <c r="L1058" s="217"/>
      <c r="M1058" s="217"/>
      <c r="N1058" s="217"/>
      <c r="O1058" s="217"/>
      <c r="P1058" s="217"/>
    </row>
    <row r="1059" spans="1:16" s="219" customFormat="1" ht="45" hidden="1" x14ac:dyDescent="0.25">
      <c r="A1059" s="214"/>
      <c r="B1059" s="237">
        <v>1</v>
      </c>
      <c r="C1059" s="237">
        <v>3</v>
      </c>
      <c r="D1059" s="238" t="s">
        <v>2022</v>
      </c>
      <c r="E1059" s="238" t="s">
        <v>1836</v>
      </c>
      <c r="F1059" s="238" t="s">
        <v>1836</v>
      </c>
      <c r="G1059" s="238" t="s">
        <v>153</v>
      </c>
      <c r="H1059" s="239" t="s">
        <v>2874</v>
      </c>
      <c r="I1059" s="217"/>
      <c r="J1059" s="217"/>
      <c r="K1059" s="217"/>
      <c r="L1059" s="217"/>
      <c r="M1059" s="217"/>
      <c r="N1059" s="217"/>
      <c r="O1059" s="217"/>
      <c r="P1059" s="217"/>
    </row>
    <row r="1060" spans="1:16" s="219" customFormat="1" ht="45" hidden="1" x14ac:dyDescent="0.25">
      <c r="A1060" s="214"/>
      <c r="B1060" s="237">
        <v>1</v>
      </c>
      <c r="C1060" s="237">
        <v>3</v>
      </c>
      <c r="D1060" s="238" t="s">
        <v>2022</v>
      </c>
      <c r="E1060" s="238" t="s">
        <v>1836</v>
      </c>
      <c r="F1060" s="238" t="s">
        <v>1836</v>
      </c>
      <c r="G1060" s="238" t="s">
        <v>156</v>
      </c>
      <c r="H1060" s="239" t="s">
        <v>2875</v>
      </c>
      <c r="I1060" s="217"/>
      <c r="J1060" s="217"/>
      <c r="K1060" s="217"/>
      <c r="L1060" s="217"/>
      <c r="M1060" s="217"/>
      <c r="N1060" s="217"/>
      <c r="O1060" s="217"/>
      <c r="P1060" s="217"/>
    </row>
    <row r="1061" spans="1:16" s="219" customFormat="1" ht="60" hidden="1" x14ac:dyDescent="0.25">
      <c r="A1061" s="214"/>
      <c r="B1061" s="237">
        <v>1</v>
      </c>
      <c r="C1061" s="237">
        <v>3</v>
      </c>
      <c r="D1061" s="238" t="s">
        <v>2022</v>
      </c>
      <c r="E1061" s="238" t="s">
        <v>1836</v>
      </c>
      <c r="F1061" s="238" t="s">
        <v>1836</v>
      </c>
      <c r="G1061" s="238" t="s">
        <v>159</v>
      </c>
      <c r="H1061" s="239" t="s">
        <v>2876</v>
      </c>
      <c r="I1061" s="217"/>
      <c r="J1061" s="217"/>
      <c r="K1061" s="217"/>
      <c r="L1061" s="217"/>
      <c r="M1061" s="217"/>
      <c r="N1061" s="217"/>
      <c r="O1061" s="217"/>
      <c r="P1061" s="217"/>
    </row>
    <row r="1062" spans="1:16" s="219" customFormat="1" ht="60" hidden="1" x14ac:dyDescent="0.25">
      <c r="A1062" s="214"/>
      <c r="B1062" s="237">
        <v>1</v>
      </c>
      <c r="C1062" s="237">
        <v>3</v>
      </c>
      <c r="D1062" s="238" t="s">
        <v>2022</v>
      </c>
      <c r="E1062" s="238" t="s">
        <v>1836</v>
      </c>
      <c r="F1062" s="238" t="s">
        <v>1836</v>
      </c>
      <c r="G1062" s="238" t="s">
        <v>162</v>
      </c>
      <c r="H1062" s="239" t="s">
        <v>2877</v>
      </c>
      <c r="I1062" s="217"/>
      <c r="J1062" s="217"/>
      <c r="K1062" s="217"/>
      <c r="L1062" s="217"/>
      <c r="M1062" s="217"/>
      <c r="N1062" s="217"/>
      <c r="O1062" s="217"/>
      <c r="P1062" s="217"/>
    </row>
    <row r="1063" spans="1:16" s="219" customFormat="1" ht="60" hidden="1" x14ac:dyDescent="0.25">
      <c r="A1063" s="214"/>
      <c r="B1063" s="237">
        <v>1</v>
      </c>
      <c r="C1063" s="237">
        <v>3</v>
      </c>
      <c r="D1063" s="238" t="s">
        <v>2022</v>
      </c>
      <c r="E1063" s="238" t="s">
        <v>1836</v>
      </c>
      <c r="F1063" s="238" t="s">
        <v>1836</v>
      </c>
      <c r="G1063" s="238" t="s">
        <v>312</v>
      </c>
      <c r="H1063" s="239" t="s">
        <v>2878</v>
      </c>
      <c r="I1063" s="217"/>
      <c r="J1063" s="217"/>
      <c r="K1063" s="217"/>
      <c r="L1063" s="217"/>
      <c r="M1063" s="217"/>
      <c r="N1063" s="217"/>
      <c r="O1063" s="217"/>
      <c r="P1063" s="217"/>
    </row>
    <row r="1064" spans="1:16" s="219" customFormat="1" ht="60" hidden="1" x14ac:dyDescent="0.25">
      <c r="A1064" s="214"/>
      <c r="B1064" s="237">
        <v>1</v>
      </c>
      <c r="C1064" s="237">
        <v>3</v>
      </c>
      <c r="D1064" s="238" t="s">
        <v>2022</v>
      </c>
      <c r="E1064" s="238" t="s">
        <v>1836</v>
      </c>
      <c r="F1064" s="238" t="s">
        <v>1836</v>
      </c>
      <c r="G1064" s="238" t="s">
        <v>313</v>
      </c>
      <c r="H1064" s="239" t="s">
        <v>2879</v>
      </c>
      <c r="I1064" s="217"/>
      <c r="J1064" s="217"/>
      <c r="K1064" s="217"/>
      <c r="L1064" s="217"/>
      <c r="M1064" s="217"/>
      <c r="N1064" s="217"/>
      <c r="O1064" s="217"/>
      <c r="P1064" s="217"/>
    </row>
    <row r="1065" spans="1:16" s="219" customFormat="1" ht="45" hidden="1" x14ac:dyDescent="0.25">
      <c r="A1065" s="214"/>
      <c r="B1065" s="237">
        <v>1</v>
      </c>
      <c r="C1065" s="237">
        <v>3</v>
      </c>
      <c r="D1065" s="238" t="s">
        <v>2022</v>
      </c>
      <c r="E1065" s="238" t="s">
        <v>1836</v>
      </c>
      <c r="F1065" s="238" t="s">
        <v>1836</v>
      </c>
      <c r="G1065" s="238" t="s">
        <v>559</v>
      </c>
      <c r="H1065" s="239" t="s">
        <v>2880</v>
      </c>
      <c r="I1065" s="217"/>
      <c r="J1065" s="217"/>
      <c r="K1065" s="217"/>
      <c r="L1065" s="217"/>
      <c r="M1065" s="217"/>
      <c r="N1065" s="217"/>
      <c r="O1065" s="217"/>
      <c r="P1065" s="217"/>
    </row>
    <row r="1066" spans="1:16" s="219" customFormat="1" ht="45" hidden="1" x14ac:dyDescent="0.25">
      <c r="A1066" s="214"/>
      <c r="B1066" s="237">
        <v>1</v>
      </c>
      <c r="C1066" s="237">
        <v>3</v>
      </c>
      <c r="D1066" s="238" t="s">
        <v>2022</v>
      </c>
      <c r="E1066" s="238" t="s">
        <v>1836</v>
      </c>
      <c r="F1066" s="238" t="s">
        <v>1836</v>
      </c>
      <c r="G1066" s="238" t="s">
        <v>561</v>
      </c>
      <c r="H1066" s="239" t="s">
        <v>2881</v>
      </c>
      <c r="I1066" s="217"/>
      <c r="J1066" s="217"/>
      <c r="K1066" s="217"/>
      <c r="L1066" s="217"/>
      <c r="M1066" s="217"/>
      <c r="N1066" s="217"/>
      <c r="O1066" s="217"/>
      <c r="P1066" s="217"/>
    </row>
    <row r="1067" spans="1:16" s="213" customFormat="1" ht="30" hidden="1" x14ac:dyDescent="0.25">
      <c r="A1067" s="208" t="s">
        <v>263</v>
      </c>
      <c r="B1067" s="234">
        <v>1</v>
      </c>
      <c r="C1067" s="234">
        <v>3</v>
      </c>
      <c r="D1067" s="235" t="s">
        <v>2022</v>
      </c>
      <c r="E1067" s="235" t="s">
        <v>1836</v>
      </c>
      <c r="F1067" s="235" t="s">
        <v>1847</v>
      </c>
      <c r="G1067" s="234"/>
      <c r="H1067" s="210" t="s">
        <v>2882</v>
      </c>
      <c r="I1067" s="211">
        <f>SUM(I1068:I1111)</f>
        <v>0</v>
      </c>
      <c r="J1067" s="211">
        <f t="shared" ref="J1067:P1067" si="157">SUM(J1068:J1111)</f>
        <v>0</v>
      </c>
      <c r="K1067" s="211">
        <f t="shared" si="157"/>
        <v>0</v>
      </c>
      <c r="L1067" s="211">
        <f t="shared" si="157"/>
        <v>0</v>
      </c>
      <c r="M1067" s="211">
        <f t="shared" si="157"/>
        <v>0</v>
      </c>
      <c r="N1067" s="211">
        <f t="shared" si="157"/>
        <v>0</v>
      </c>
      <c r="O1067" s="211">
        <f t="shared" si="157"/>
        <v>0</v>
      </c>
      <c r="P1067" s="211">
        <f t="shared" si="157"/>
        <v>0</v>
      </c>
    </row>
    <row r="1068" spans="1:16" s="219" customFormat="1" ht="60" hidden="1" x14ac:dyDescent="0.25">
      <c r="A1068" s="214"/>
      <c r="B1068" s="237">
        <v>1</v>
      </c>
      <c r="C1068" s="237">
        <v>3</v>
      </c>
      <c r="D1068" s="238" t="s">
        <v>2022</v>
      </c>
      <c r="E1068" s="238" t="s">
        <v>1836</v>
      </c>
      <c r="F1068" s="238" t="s">
        <v>1847</v>
      </c>
      <c r="G1068" s="238" t="s">
        <v>58</v>
      </c>
      <c r="H1068" s="239" t="s">
        <v>2883</v>
      </c>
      <c r="I1068" s="217"/>
      <c r="J1068" s="217"/>
      <c r="K1068" s="217"/>
      <c r="L1068" s="217"/>
      <c r="M1068" s="217"/>
      <c r="N1068" s="217"/>
      <c r="O1068" s="217"/>
      <c r="P1068" s="217"/>
    </row>
    <row r="1069" spans="1:16" s="219" customFormat="1" ht="60" hidden="1" x14ac:dyDescent="0.25">
      <c r="A1069" s="214"/>
      <c r="B1069" s="237">
        <v>1</v>
      </c>
      <c r="C1069" s="237">
        <v>3</v>
      </c>
      <c r="D1069" s="238" t="s">
        <v>2022</v>
      </c>
      <c r="E1069" s="238" t="s">
        <v>1836</v>
      </c>
      <c r="F1069" s="238" t="s">
        <v>1847</v>
      </c>
      <c r="G1069" s="238" t="s">
        <v>75</v>
      </c>
      <c r="H1069" s="239" t="s">
        <v>2884</v>
      </c>
      <c r="I1069" s="217"/>
      <c r="J1069" s="217"/>
      <c r="K1069" s="217"/>
      <c r="L1069" s="217"/>
      <c r="M1069" s="217"/>
      <c r="N1069" s="217"/>
      <c r="O1069" s="217"/>
      <c r="P1069" s="217"/>
    </row>
    <row r="1070" spans="1:16" s="219" customFormat="1" ht="45" hidden="1" x14ac:dyDescent="0.25">
      <c r="A1070" s="214"/>
      <c r="B1070" s="237">
        <v>1</v>
      </c>
      <c r="C1070" s="237">
        <v>3</v>
      </c>
      <c r="D1070" s="238" t="s">
        <v>2022</v>
      </c>
      <c r="E1070" s="238" t="s">
        <v>1836</v>
      </c>
      <c r="F1070" s="238" t="s">
        <v>1847</v>
      </c>
      <c r="G1070" s="238" t="s">
        <v>79</v>
      </c>
      <c r="H1070" s="239" t="s">
        <v>2885</v>
      </c>
      <c r="I1070" s="217"/>
      <c r="J1070" s="217"/>
      <c r="K1070" s="217"/>
      <c r="L1070" s="217"/>
      <c r="M1070" s="217"/>
      <c r="N1070" s="217"/>
      <c r="O1070" s="217"/>
      <c r="P1070" s="217"/>
    </row>
    <row r="1071" spans="1:16" s="219" customFormat="1" ht="45" hidden="1" x14ac:dyDescent="0.25">
      <c r="A1071" s="214"/>
      <c r="B1071" s="237">
        <v>1</v>
      </c>
      <c r="C1071" s="237">
        <v>3</v>
      </c>
      <c r="D1071" s="238" t="s">
        <v>2022</v>
      </c>
      <c r="E1071" s="238" t="s">
        <v>1836</v>
      </c>
      <c r="F1071" s="238" t="s">
        <v>1847</v>
      </c>
      <c r="G1071" s="238" t="s">
        <v>84</v>
      </c>
      <c r="H1071" s="239" t="s">
        <v>2886</v>
      </c>
      <c r="I1071" s="217"/>
      <c r="J1071" s="217"/>
      <c r="K1071" s="217"/>
      <c r="L1071" s="217"/>
      <c r="M1071" s="217"/>
      <c r="N1071" s="217"/>
      <c r="O1071" s="217"/>
      <c r="P1071" s="217"/>
    </row>
    <row r="1072" spans="1:16" s="219" customFormat="1" ht="45" hidden="1" x14ac:dyDescent="0.25">
      <c r="A1072" s="214"/>
      <c r="B1072" s="237">
        <v>1</v>
      </c>
      <c r="C1072" s="237">
        <v>3</v>
      </c>
      <c r="D1072" s="238" t="s">
        <v>2022</v>
      </c>
      <c r="E1072" s="238" t="s">
        <v>1836</v>
      </c>
      <c r="F1072" s="238" t="s">
        <v>1847</v>
      </c>
      <c r="G1072" s="238" t="s">
        <v>88</v>
      </c>
      <c r="H1072" s="239" t="s">
        <v>2887</v>
      </c>
      <c r="I1072" s="217"/>
      <c r="J1072" s="217"/>
      <c r="K1072" s="217"/>
      <c r="L1072" s="217"/>
      <c r="M1072" s="217"/>
      <c r="N1072" s="217"/>
      <c r="O1072" s="217"/>
      <c r="P1072" s="217"/>
    </row>
    <row r="1073" spans="1:16" s="219" customFormat="1" ht="45" hidden="1" x14ac:dyDescent="0.25">
      <c r="A1073" s="214"/>
      <c r="B1073" s="237">
        <v>1</v>
      </c>
      <c r="C1073" s="237">
        <v>3</v>
      </c>
      <c r="D1073" s="238" t="s">
        <v>2022</v>
      </c>
      <c r="E1073" s="238" t="s">
        <v>1836</v>
      </c>
      <c r="F1073" s="238" t="s">
        <v>1847</v>
      </c>
      <c r="G1073" s="238" t="s">
        <v>92</v>
      </c>
      <c r="H1073" s="239" t="s">
        <v>2888</v>
      </c>
      <c r="I1073" s="217"/>
      <c r="J1073" s="217"/>
      <c r="K1073" s="217"/>
      <c r="L1073" s="217"/>
      <c r="M1073" s="217"/>
      <c r="N1073" s="217"/>
      <c r="O1073" s="217"/>
      <c r="P1073" s="217"/>
    </row>
    <row r="1074" spans="1:16" s="219" customFormat="1" ht="45" hidden="1" x14ac:dyDescent="0.25">
      <c r="A1074" s="214"/>
      <c r="B1074" s="237">
        <v>1</v>
      </c>
      <c r="C1074" s="237">
        <v>3</v>
      </c>
      <c r="D1074" s="238" t="s">
        <v>2022</v>
      </c>
      <c r="E1074" s="238" t="s">
        <v>1836</v>
      </c>
      <c r="F1074" s="238" t="s">
        <v>1847</v>
      </c>
      <c r="G1074" s="238" t="s">
        <v>96</v>
      </c>
      <c r="H1074" s="239" t="s">
        <v>2889</v>
      </c>
      <c r="I1074" s="217"/>
      <c r="J1074" s="217"/>
      <c r="K1074" s="217"/>
      <c r="L1074" s="217"/>
      <c r="M1074" s="217"/>
      <c r="N1074" s="217"/>
      <c r="O1074" s="217"/>
      <c r="P1074" s="217"/>
    </row>
    <row r="1075" spans="1:16" s="219" customFormat="1" ht="30" hidden="1" x14ac:dyDescent="0.25">
      <c r="A1075" s="214"/>
      <c r="B1075" s="237">
        <v>1</v>
      </c>
      <c r="C1075" s="237">
        <v>3</v>
      </c>
      <c r="D1075" s="238" t="s">
        <v>2022</v>
      </c>
      <c r="E1075" s="238" t="s">
        <v>1836</v>
      </c>
      <c r="F1075" s="238" t="s">
        <v>1847</v>
      </c>
      <c r="G1075" s="238" t="s">
        <v>100</v>
      </c>
      <c r="H1075" s="239" t="s">
        <v>2890</v>
      </c>
      <c r="I1075" s="217"/>
      <c r="J1075" s="217"/>
      <c r="K1075" s="217"/>
      <c r="L1075" s="217"/>
      <c r="M1075" s="217"/>
      <c r="N1075" s="217"/>
      <c r="O1075" s="217"/>
      <c r="P1075" s="217"/>
    </row>
    <row r="1076" spans="1:16" s="219" customFormat="1" ht="45" hidden="1" x14ac:dyDescent="0.25">
      <c r="A1076" s="214"/>
      <c r="B1076" s="237">
        <v>1</v>
      </c>
      <c r="C1076" s="237">
        <v>3</v>
      </c>
      <c r="D1076" s="238" t="s">
        <v>2022</v>
      </c>
      <c r="E1076" s="238" t="s">
        <v>1836</v>
      </c>
      <c r="F1076" s="238" t="s">
        <v>1847</v>
      </c>
      <c r="G1076" s="238" t="s">
        <v>105</v>
      </c>
      <c r="H1076" s="239" t="s">
        <v>2891</v>
      </c>
      <c r="I1076" s="217"/>
      <c r="J1076" s="217"/>
      <c r="K1076" s="217"/>
      <c r="L1076" s="217"/>
      <c r="M1076" s="217"/>
      <c r="N1076" s="217"/>
      <c r="O1076" s="217"/>
      <c r="P1076" s="217"/>
    </row>
    <row r="1077" spans="1:16" s="219" customFormat="1" ht="45" hidden="1" x14ac:dyDescent="0.25">
      <c r="A1077" s="214"/>
      <c r="B1077" s="237">
        <v>1</v>
      </c>
      <c r="C1077" s="237">
        <v>3</v>
      </c>
      <c r="D1077" s="238" t="s">
        <v>2022</v>
      </c>
      <c r="E1077" s="238" t="s">
        <v>1836</v>
      </c>
      <c r="F1077" s="238" t="s">
        <v>1847</v>
      </c>
      <c r="G1077" s="238" t="s">
        <v>108</v>
      </c>
      <c r="H1077" s="239" t="s">
        <v>2892</v>
      </c>
      <c r="I1077" s="217"/>
      <c r="J1077" s="217"/>
      <c r="K1077" s="217"/>
      <c r="L1077" s="217"/>
      <c r="M1077" s="217"/>
      <c r="N1077" s="217"/>
      <c r="O1077" s="217"/>
      <c r="P1077" s="217"/>
    </row>
    <row r="1078" spans="1:16" s="219" customFormat="1" ht="45" hidden="1" x14ac:dyDescent="0.25">
      <c r="A1078" s="214"/>
      <c r="B1078" s="237">
        <v>1</v>
      </c>
      <c r="C1078" s="237">
        <v>3</v>
      </c>
      <c r="D1078" s="238" t="s">
        <v>2022</v>
      </c>
      <c r="E1078" s="238" t="s">
        <v>1836</v>
      </c>
      <c r="F1078" s="238" t="s">
        <v>1847</v>
      </c>
      <c r="G1078" s="238" t="s">
        <v>135</v>
      </c>
      <c r="H1078" s="239" t="s">
        <v>2893</v>
      </c>
      <c r="I1078" s="217"/>
      <c r="J1078" s="217"/>
      <c r="K1078" s="217"/>
      <c r="L1078" s="217"/>
      <c r="M1078" s="217"/>
      <c r="N1078" s="217"/>
      <c r="O1078" s="217"/>
      <c r="P1078" s="217"/>
    </row>
    <row r="1079" spans="1:16" s="219" customFormat="1" ht="45" hidden="1" x14ac:dyDescent="0.25">
      <c r="A1079" s="214"/>
      <c r="B1079" s="237">
        <v>1</v>
      </c>
      <c r="C1079" s="237">
        <v>3</v>
      </c>
      <c r="D1079" s="238" t="s">
        <v>2022</v>
      </c>
      <c r="E1079" s="238" t="s">
        <v>1836</v>
      </c>
      <c r="F1079" s="238" t="s">
        <v>1847</v>
      </c>
      <c r="G1079" s="238" t="s">
        <v>138</v>
      </c>
      <c r="H1079" s="239" t="s">
        <v>2894</v>
      </c>
      <c r="I1079" s="217"/>
      <c r="J1079" s="217"/>
      <c r="K1079" s="217"/>
      <c r="L1079" s="217"/>
      <c r="M1079" s="217"/>
      <c r="N1079" s="217"/>
      <c r="O1079" s="217"/>
      <c r="P1079" s="217"/>
    </row>
    <row r="1080" spans="1:16" s="219" customFormat="1" ht="45" hidden="1" x14ac:dyDescent="0.25">
      <c r="A1080" s="214"/>
      <c r="B1080" s="237">
        <v>1</v>
      </c>
      <c r="C1080" s="237">
        <v>3</v>
      </c>
      <c r="D1080" s="238" t="s">
        <v>2022</v>
      </c>
      <c r="E1080" s="238" t="s">
        <v>1836</v>
      </c>
      <c r="F1080" s="238" t="s">
        <v>1847</v>
      </c>
      <c r="G1080" s="238" t="s">
        <v>140</v>
      </c>
      <c r="H1080" s="239" t="s">
        <v>2895</v>
      </c>
      <c r="I1080" s="217"/>
      <c r="J1080" s="217"/>
      <c r="K1080" s="217"/>
      <c r="L1080" s="217"/>
      <c r="M1080" s="217"/>
      <c r="N1080" s="217"/>
      <c r="O1080" s="217"/>
      <c r="P1080" s="217"/>
    </row>
    <row r="1081" spans="1:16" s="219" customFormat="1" ht="45" hidden="1" x14ac:dyDescent="0.25">
      <c r="A1081" s="214"/>
      <c r="B1081" s="237">
        <v>1</v>
      </c>
      <c r="C1081" s="237">
        <v>3</v>
      </c>
      <c r="D1081" s="238" t="s">
        <v>2022</v>
      </c>
      <c r="E1081" s="238" t="s">
        <v>1836</v>
      </c>
      <c r="F1081" s="238" t="s">
        <v>1847</v>
      </c>
      <c r="G1081" s="238" t="s">
        <v>143</v>
      </c>
      <c r="H1081" s="239" t="s">
        <v>2896</v>
      </c>
      <c r="I1081" s="217"/>
      <c r="J1081" s="217"/>
      <c r="K1081" s="217"/>
      <c r="L1081" s="217"/>
      <c r="M1081" s="217"/>
      <c r="N1081" s="217"/>
      <c r="O1081" s="217"/>
      <c r="P1081" s="217"/>
    </row>
    <row r="1082" spans="1:16" s="219" customFormat="1" ht="45" hidden="1" x14ac:dyDescent="0.25">
      <c r="A1082" s="214"/>
      <c r="B1082" s="237">
        <v>1</v>
      </c>
      <c r="C1082" s="237">
        <v>3</v>
      </c>
      <c r="D1082" s="238" t="s">
        <v>2022</v>
      </c>
      <c r="E1082" s="238" t="s">
        <v>1836</v>
      </c>
      <c r="F1082" s="238" t="s">
        <v>1847</v>
      </c>
      <c r="G1082" s="238" t="s">
        <v>146</v>
      </c>
      <c r="H1082" s="239" t="s">
        <v>2897</v>
      </c>
      <c r="I1082" s="217"/>
      <c r="J1082" s="217"/>
      <c r="K1082" s="217"/>
      <c r="L1082" s="217"/>
      <c r="M1082" s="217"/>
      <c r="N1082" s="217"/>
      <c r="O1082" s="217"/>
      <c r="P1082" s="217"/>
    </row>
    <row r="1083" spans="1:16" s="219" customFormat="1" ht="45" hidden="1" x14ac:dyDescent="0.25">
      <c r="A1083" s="214"/>
      <c r="B1083" s="237">
        <v>1</v>
      </c>
      <c r="C1083" s="237">
        <v>3</v>
      </c>
      <c r="D1083" s="238" t="s">
        <v>2022</v>
      </c>
      <c r="E1083" s="238" t="s">
        <v>1836</v>
      </c>
      <c r="F1083" s="238" t="s">
        <v>1847</v>
      </c>
      <c r="G1083" s="238" t="s">
        <v>150</v>
      </c>
      <c r="H1083" s="239" t="s">
        <v>2898</v>
      </c>
      <c r="I1083" s="217"/>
      <c r="J1083" s="217"/>
      <c r="K1083" s="217"/>
      <c r="L1083" s="217"/>
      <c r="M1083" s="217"/>
      <c r="N1083" s="217"/>
      <c r="O1083" s="217"/>
      <c r="P1083" s="217"/>
    </row>
    <row r="1084" spans="1:16" s="219" customFormat="1" ht="45" hidden="1" x14ac:dyDescent="0.25">
      <c r="A1084" s="214"/>
      <c r="B1084" s="237">
        <v>1</v>
      </c>
      <c r="C1084" s="237">
        <v>3</v>
      </c>
      <c r="D1084" s="238" t="s">
        <v>2022</v>
      </c>
      <c r="E1084" s="238" t="s">
        <v>1836</v>
      </c>
      <c r="F1084" s="238" t="s">
        <v>1847</v>
      </c>
      <c r="G1084" s="238" t="s">
        <v>153</v>
      </c>
      <c r="H1084" s="239" t="s">
        <v>2899</v>
      </c>
      <c r="I1084" s="217"/>
      <c r="J1084" s="217"/>
      <c r="K1084" s="217"/>
      <c r="L1084" s="217"/>
      <c r="M1084" s="217"/>
      <c r="N1084" s="217"/>
      <c r="O1084" s="217"/>
      <c r="P1084" s="217"/>
    </row>
    <row r="1085" spans="1:16" s="219" customFormat="1" ht="45" hidden="1" x14ac:dyDescent="0.25">
      <c r="A1085" s="214"/>
      <c r="B1085" s="237">
        <v>1</v>
      </c>
      <c r="C1085" s="237">
        <v>3</v>
      </c>
      <c r="D1085" s="238" t="s">
        <v>2022</v>
      </c>
      <c r="E1085" s="238" t="s">
        <v>1836</v>
      </c>
      <c r="F1085" s="238" t="s">
        <v>1847</v>
      </c>
      <c r="G1085" s="238" t="s">
        <v>156</v>
      </c>
      <c r="H1085" s="239" t="s">
        <v>2900</v>
      </c>
      <c r="I1085" s="217"/>
      <c r="J1085" s="217"/>
      <c r="K1085" s="217"/>
      <c r="L1085" s="217"/>
      <c r="M1085" s="217"/>
      <c r="N1085" s="217"/>
      <c r="O1085" s="217"/>
      <c r="P1085" s="217"/>
    </row>
    <row r="1086" spans="1:16" s="219" customFormat="1" ht="45" hidden="1" x14ac:dyDescent="0.25">
      <c r="A1086" s="214"/>
      <c r="B1086" s="237">
        <v>1</v>
      </c>
      <c r="C1086" s="237">
        <v>3</v>
      </c>
      <c r="D1086" s="238" t="s">
        <v>2022</v>
      </c>
      <c r="E1086" s="238" t="s">
        <v>1836</v>
      </c>
      <c r="F1086" s="238" t="s">
        <v>1847</v>
      </c>
      <c r="G1086" s="238" t="s">
        <v>159</v>
      </c>
      <c r="H1086" s="239" t="s">
        <v>2901</v>
      </c>
      <c r="I1086" s="217"/>
      <c r="J1086" s="217"/>
      <c r="K1086" s="217"/>
      <c r="L1086" s="217"/>
      <c r="M1086" s="217"/>
      <c r="N1086" s="217"/>
      <c r="O1086" s="217"/>
      <c r="P1086" s="217"/>
    </row>
    <row r="1087" spans="1:16" s="219" customFormat="1" ht="45" hidden="1" x14ac:dyDescent="0.25">
      <c r="A1087" s="214"/>
      <c r="B1087" s="237">
        <v>1</v>
      </c>
      <c r="C1087" s="237">
        <v>3</v>
      </c>
      <c r="D1087" s="238" t="s">
        <v>2022</v>
      </c>
      <c r="E1087" s="238" t="s">
        <v>1836</v>
      </c>
      <c r="F1087" s="238" t="s">
        <v>1847</v>
      </c>
      <c r="G1087" s="238" t="s">
        <v>162</v>
      </c>
      <c r="H1087" s="239" t="s">
        <v>2901</v>
      </c>
      <c r="I1087" s="217"/>
      <c r="J1087" s="217"/>
      <c r="K1087" s="217"/>
      <c r="L1087" s="217"/>
      <c r="M1087" s="217"/>
      <c r="N1087" s="217"/>
      <c r="O1087" s="217"/>
      <c r="P1087" s="217"/>
    </row>
    <row r="1088" spans="1:16" s="219" customFormat="1" ht="45" hidden="1" x14ac:dyDescent="0.25">
      <c r="A1088" s="214"/>
      <c r="B1088" s="237">
        <v>1</v>
      </c>
      <c r="C1088" s="237">
        <v>3</v>
      </c>
      <c r="D1088" s="238" t="s">
        <v>2022</v>
      </c>
      <c r="E1088" s="238" t="s">
        <v>1836</v>
      </c>
      <c r="F1088" s="238" t="s">
        <v>1847</v>
      </c>
      <c r="G1088" s="238" t="s">
        <v>312</v>
      </c>
      <c r="H1088" s="239" t="s">
        <v>2902</v>
      </c>
      <c r="I1088" s="217"/>
      <c r="J1088" s="217"/>
      <c r="K1088" s="217"/>
      <c r="L1088" s="217"/>
      <c r="M1088" s="217"/>
      <c r="N1088" s="217"/>
      <c r="O1088" s="217"/>
      <c r="P1088" s="217"/>
    </row>
    <row r="1089" spans="1:16" s="219" customFormat="1" ht="45" hidden="1" x14ac:dyDescent="0.25">
      <c r="A1089" s="214"/>
      <c r="B1089" s="237">
        <v>1</v>
      </c>
      <c r="C1089" s="237">
        <v>3</v>
      </c>
      <c r="D1089" s="238" t="s">
        <v>2022</v>
      </c>
      <c r="E1089" s="238" t="s">
        <v>1836</v>
      </c>
      <c r="F1089" s="238" t="s">
        <v>1847</v>
      </c>
      <c r="G1089" s="238" t="s">
        <v>313</v>
      </c>
      <c r="H1089" s="239" t="s">
        <v>2903</v>
      </c>
      <c r="I1089" s="217"/>
      <c r="J1089" s="217"/>
      <c r="K1089" s="217"/>
      <c r="L1089" s="217"/>
      <c r="M1089" s="217"/>
      <c r="N1089" s="217"/>
      <c r="O1089" s="217"/>
      <c r="P1089" s="217"/>
    </row>
    <row r="1090" spans="1:16" s="219" customFormat="1" ht="45" hidden="1" x14ac:dyDescent="0.25">
      <c r="A1090" s="214"/>
      <c r="B1090" s="237">
        <v>1</v>
      </c>
      <c r="C1090" s="237">
        <v>3</v>
      </c>
      <c r="D1090" s="238" t="s">
        <v>2022</v>
      </c>
      <c r="E1090" s="238" t="s">
        <v>1836</v>
      </c>
      <c r="F1090" s="238" t="s">
        <v>1847</v>
      </c>
      <c r="G1090" s="238" t="s">
        <v>559</v>
      </c>
      <c r="H1090" s="239" t="s">
        <v>2904</v>
      </c>
      <c r="I1090" s="217"/>
      <c r="J1090" s="217"/>
      <c r="K1090" s="217"/>
      <c r="L1090" s="217"/>
      <c r="M1090" s="217"/>
      <c r="N1090" s="217"/>
      <c r="O1090" s="217"/>
      <c r="P1090" s="217"/>
    </row>
    <row r="1091" spans="1:16" s="219" customFormat="1" ht="30" hidden="1" x14ac:dyDescent="0.25">
      <c r="A1091" s="214"/>
      <c r="B1091" s="237">
        <v>1</v>
      </c>
      <c r="C1091" s="237">
        <v>3</v>
      </c>
      <c r="D1091" s="238" t="s">
        <v>2022</v>
      </c>
      <c r="E1091" s="238" t="s">
        <v>1836</v>
      </c>
      <c r="F1091" s="238" t="s">
        <v>1847</v>
      </c>
      <c r="G1091" s="238" t="s">
        <v>561</v>
      </c>
      <c r="H1091" s="239" t="s">
        <v>2905</v>
      </c>
      <c r="I1091" s="217"/>
      <c r="J1091" s="217"/>
      <c r="K1091" s="217"/>
      <c r="L1091" s="217"/>
      <c r="M1091" s="217"/>
      <c r="N1091" s="217"/>
      <c r="O1091" s="217"/>
      <c r="P1091" s="217"/>
    </row>
    <row r="1092" spans="1:16" s="219" customFormat="1" ht="30" hidden="1" x14ac:dyDescent="0.25">
      <c r="A1092" s="214"/>
      <c r="B1092" s="237">
        <v>1</v>
      </c>
      <c r="C1092" s="237">
        <v>3</v>
      </c>
      <c r="D1092" s="238" t="s">
        <v>2022</v>
      </c>
      <c r="E1092" s="238" t="s">
        <v>1836</v>
      </c>
      <c r="F1092" s="238" t="s">
        <v>1847</v>
      </c>
      <c r="G1092" s="238" t="s">
        <v>563</v>
      </c>
      <c r="H1092" s="239" t="s">
        <v>2906</v>
      </c>
      <c r="I1092" s="217"/>
      <c r="J1092" s="217"/>
      <c r="K1092" s="217"/>
      <c r="L1092" s="217"/>
      <c r="M1092" s="217"/>
      <c r="N1092" s="217"/>
      <c r="O1092" s="217"/>
      <c r="P1092" s="217"/>
    </row>
    <row r="1093" spans="1:16" s="219" customFormat="1" ht="30" hidden="1" x14ac:dyDescent="0.25">
      <c r="A1093" s="214"/>
      <c r="B1093" s="237">
        <v>1</v>
      </c>
      <c r="C1093" s="237">
        <v>3</v>
      </c>
      <c r="D1093" s="238" t="s">
        <v>2022</v>
      </c>
      <c r="E1093" s="238" t="s">
        <v>1836</v>
      </c>
      <c r="F1093" s="238" t="s">
        <v>1847</v>
      </c>
      <c r="G1093" s="238" t="s">
        <v>227</v>
      </c>
      <c r="H1093" s="239" t="s">
        <v>2907</v>
      </c>
      <c r="I1093" s="217"/>
      <c r="J1093" s="217"/>
      <c r="K1093" s="217"/>
      <c r="L1093" s="217"/>
      <c r="M1093" s="217"/>
      <c r="N1093" s="217"/>
      <c r="O1093" s="217"/>
      <c r="P1093" s="217"/>
    </row>
    <row r="1094" spans="1:16" s="219" customFormat="1" ht="30" hidden="1" x14ac:dyDescent="0.25">
      <c r="A1094" s="214"/>
      <c r="B1094" s="237">
        <v>1</v>
      </c>
      <c r="C1094" s="237">
        <v>3</v>
      </c>
      <c r="D1094" s="238" t="s">
        <v>2022</v>
      </c>
      <c r="E1094" s="238" t="s">
        <v>1836</v>
      </c>
      <c r="F1094" s="238" t="s">
        <v>1847</v>
      </c>
      <c r="G1094" s="238" t="s">
        <v>230</v>
      </c>
      <c r="H1094" s="239" t="s">
        <v>2908</v>
      </c>
      <c r="I1094" s="217"/>
      <c r="J1094" s="217"/>
      <c r="K1094" s="217"/>
      <c r="L1094" s="217"/>
      <c r="M1094" s="217"/>
      <c r="N1094" s="217"/>
      <c r="O1094" s="217"/>
      <c r="P1094" s="217"/>
    </row>
    <row r="1095" spans="1:16" s="219" customFormat="1" ht="30" hidden="1" x14ac:dyDescent="0.25">
      <c r="A1095" s="214"/>
      <c r="B1095" s="237">
        <v>1</v>
      </c>
      <c r="C1095" s="237">
        <v>3</v>
      </c>
      <c r="D1095" s="238" t="s">
        <v>2022</v>
      </c>
      <c r="E1095" s="238" t="s">
        <v>1836</v>
      </c>
      <c r="F1095" s="238" t="s">
        <v>1847</v>
      </c>
      <c r="G1095" s="238" t="s">
        <v>232</v>
      </c>
      <c r="H1095" s="239" t="s">
        <v>2909</v>
      </c>
      <c r="I1095" s="217"/>
      <c r="J1095" s="217"/>
      <c r="K1095" s="217"/>
      <c r="L1095" s="217"/>
      <c r="M1095" s="217"/>
      <c r="N1095" s="217"/>
      <c r="O1095" s="217"/>
      <c r="P1095" s="217"/>
    </row>
    <row r="1096" spans="1:16" s="219" customFormat="1" ht="30" hidden="1" x14ac:dyDescent="0.25">
      <c r="A1096" s="214"/>
      <c r="B1096" s="237">
        <v>1</v>
      </c>
      <c r="C1096" s="237">
        <v>3</v>
      </c>
      <c r="D1096" s="238" t="s">
        <v>2022</v>
      </c>
      <c r="E1096" s="238" t="s">
        <v>1836</v>
      </c>
      <c r="F1096" s="238" t="s">
        <v>1847</v>
      </c>
      <c r="G1096" s="238" t="s">
        <v>234</v>
      </c>
      <c r="H1096" s="239" t="s">
        <v>2910</v>
      </c>
      <c r="I1096" s="217"/>
      <c r="J1096" s="217"/>
      <c r="K1096" s="217"/>
      <c r="L1096" s="217"/>
      <c r="M1096" s="217"/>
      <c r="N1096" s="217"/>
      <c r="O1096" s="217"/>
      <c r="P1096" s="217"/>
    </row>
    <row r="1097" spans="1:16" s="219" customFormat="1" ht="30" hidden="1" x14ac:dyDescent="0.25">
      <c r="A1097" s="214"/>
      <c r="B1097" s="237">
        <v>1</v>
      </c>
      <c r="C1097" s="237">
        <v>3</v>
      </c>
      <c r="D1097" s="238" t="s">
        <v>2022</v>
      </c>
      <c r="E1097" s="238" t="s">
        <v>1836</v>
      </c>
      <c r="F1097" s="238" t="s">
        <v>1847</v>
      </c>
      <c r="G1097" s="238" t="s">
        <v>236</v>
      </c>
      <c r="H1097" s="239" t="s">
        <v>2911</v>
      </c>
      <c r="I1097" s="217"/>
      <c r="J1097" s="217"/>
      <c r="K1097" s="217"/>
      <c r="L1097" s="217"/>
      <c r="M1097" s="217"/>
      <c r="N1097" s="217"/>
      <c r="O1097" s="217"/>
      <c r="P1097" s="217"/>
    </row>
    <row r="1098" spans="1:16" s="219" customFormat="1" ht="30" hidden="1" x14ac:dyDescent="0.25">
      <c r="A1098" s="214"/>
      <c r="B1098" s="237">
        <v>1</v>
      </c>
      <c r="C1098" s="237">
        <v>3</v>
      </c>
      <c r="D1098" s="238" t="s">
        <v>2022</v>
      </c>
      <c r="E1098" s="238" t="s">
        <v>1836</v>
      </c>
      <c r="F1098" s="238" t="s">
        <v>1847</v>
      </c>
      <c r="G1098" s="238" t="s">
        <v>238</v>
      </c>
      <c r="H1098" s="239" t="s">
        <v>2912</v>
      </c>
      <c r="I1098" s="217"/>
      <c r="J1098" s="217"/>
      <c r="K1098" s="217"/>
      <c r="L1098" s="217"/>
      <c r="M1098" s="217"/>
      <c r="N1098" s="217"/>
      <c r="O1098" s="217"/>
      <c r="P1098" s="217"/>
    </row>
    <row r="1099" spans="1:16" s="219" customFormat="1" ht="30" hidden="1" x14ac:dyDescent="0.25">
      <c r="A1099" s="214"/>
      <c r="B1099" s="237">
        <v>1</v>
      </c>
      <c r="C1099" s="237">
        <v>3</v>
      </c>
      <c r="D1099" s="238" t="s">
        <v>2022</v>
      </c>
      <c r="E1099" s="238" t="s">
        <v>1836</v>
      </c>
      <c r="F1099" s="238" t="s">
        <v>1847</v>
      </c>
      <c r="G1099" s="238" t="s">
        <v>240</v>
      </c>
      <c r="H1099" s="239" t="s">
        <v>2913</v>
      </c>
      <c r="I1099" s="217"/>
      <c r="J1099" s="217"/>
      <c r="K1099" s="217"/>
      <c r="L1099" s="217"/>
      <c r="M1099" s="217"/>
      <c r="N1099" s="217"/>
      <c r="O1099" s="217"/>
      <c r="P1099" s="217"/>
    </row>
    <row r="1100" spans="1:16" s="219" customFormat="1" ht="30" hidden="1" x14ac:dyDescent="0.25">
      <c r="A1100" s="214"/>
      <c r="B1100" s="237">
        <v>1</v>
      </c>
      <c r="C1100" s="237">
        <v>3</v>
      </c>
      <c r="D1100" s="238" t="s">
        <v>2022</v>
      </c>
      <c r="E1100" s="238" t="s">
        <v>1836</v>
      </c>
      <c r="F1100" s="238" t="s">
        <v>1847</v>
      </c>
      <c r="G1100" s="238" t="s">
        <v>242</v>
      </c>
      <c r="H1100" s="239" t="s">
        <v>2914</v>
      </c>
      <c r="I1100" s="217"/>
      <c r="J1100" s="217"/>
      <c r="K1100" s="217"/>
      <c r="L1100" s="217"/>
      <c r="M1100" s="217"/>
      <c r="N1100" s="217"/>
      <c r="O1100" s="217"/>
      <c r="P1100" s="217"/>
    </row>
    <row r="1101" spans="1:16" s="219" customFormat="1" ht="30" hidden="1" x14ac:dyDescent="0.25">
      <c r="A1101" s="214"/>
      <c r="B1101" s="237">
        <v>1</v>
      </c>
      <c r="C1101" s="237">
        <v>3</v>
      </c>
      <c r="D1101" s="238" t="s">
        <v>2022</v>
      </c>
      <c r="E1101" s="238" t="s">
        <v>1836</v>
      </c>
      <c r="F1101" s="238" t="s">
        <v>1847</v>
      </c>
      <c r="G1101" s="238" t="s">
        <v>244</v>
      </c>
      <c r="H1101" s="239" t="s">
        <v>2915</v>
      </c>
      <c r="I1101" s="217"/>
      <c r="J1101" s="217"/>
      <c r="K1101" s="217"/>
      <c r="L1101" s="217"/>
      <c r="M1101" s="217"/>
      <c r="N1101" s="217"/>
      <c r="O1101" s="217"/>
      <c r="P1101" s="217"/>
    </row>
    <row r="1102" spans="1:16" s="219" customFormat="1" ht="30" hidden="1" x14ac:dyDescent="0.25">
      <c r="A1102" s="214"/>
      <c r="B1102" s="237">
        <v>1</v>
      </c>
      <c r="C1102" s="237">
        <v>3</v>
      </c>
      <c r="D1102" s="238" t="s">
        <v>2022</v>
      </c>
      <c r="E1102" s="238" t="s">
        <v>1836</v>
      </c>
      <c r="F1102" s="238" t="s">
        <v>1847</v>
      </c>
      <c r="G1102" s="238" t="s">
        <v>246</v>
      </c>
      <c r="H1102" s="239" t="s">
        <v>2916</v>
      </c>
      <c r="I1102" s="217"/>
      <c r="J1102" s="217"/>
      <c r="K1102" s="217"/>
      <c r="L1102" s="217"/>
      <c r="M1102" s="217"/>
      <c r="N1102" s="217"/>
      <c r="O1102" s="217"/>
      <c r="P1102" s="217"/>
    </row>
    <row r="1103" spans="1:16" s="219" customFormat="1" ht="30" hidden="1" x14ac:dyDescent="0.25">
      <c r="A1103" s="214"/>
      <c r="B1103" s="237">
        <v>1</v>
      </c>
      <c r="C1103" s="237">
        <v>3</v>
      </c>
      <c r="D1103" s="238" t="s">
        <v>2022</v>
      </c>
      <c r="E1103" s="238" t="s">
        <v>1836</v>
      </c>
      <c r="F1103" s="238" t="s">
        <v>1847</v>
      </c>
      <c r="G1103" s="238" t="s">
        <v>407</v>
      </c>
      <c r="H1103" s="239" t="s">
        <v>2917</v>
      </c>
      <c r="I1103" s="217"/>
      <c r="J1103" s="217"/>
      <c r="K1103" s="217"/>
      <c r="L1103" s="217"/>
      <c r="M1103" s="217"/>
      <c r="N1103" s="217"/>
      <c r="O1103" s="217"/>
      <c r="P1103" s="217"/>
    </row>
    <row r="1104" spans="1:16" s="219" customFormat="1" ht="30" hidden="1" x14ac:dyDescent="0.25">
      <c r="A1104" s="214"/>
      <c r="B1104" s="237">
        <v>1</v>
      </c>
      <c r="C1104" s="237">
        <v>3</v>
      </c>
      <c r="D1104" s="238" t="s">
        <v>2022</v>
      </c>
      <c r="E1104" s="238" t="s">
        <v>1836</v>
      </c>
      <c r="F1104" s="238" t="s">
        <v>1847</v>
      </c>
      <c r="G1104" s="238" t="s">
        <v>408</v>
      </c>
      <c r="H1104" s="239" t="s">
        <v>2918</v>
      </c>
      <c r="I1104" s="217"/>
      <c r="J1104" s="217"/>
      <c r="K1104" s="217"/>
      <c r="L1104" s="217"/>
      <c r="M1104" s="217"/>
      <c r="N1104" s="217"/>
      <c r="O1104" s="217"/>
      <c r="P1104" s="217"/>
    </row>
    <row r="1105" spans="1:16" s="219" customFormat="1" ht="45" hidden="1" x14ac:dyDescent="0.25">
      <c r="A1105" s="214"/>
      <c r="B1105" s="237">
        <v>1</v>
      </c>
      <c r="C1105" s="237">
        <v>3</v>
      </c>
      <c r="D1105" s="238" t="s">
        <v>2022</v>
      </c>
      <c r="E1105" s="238" t="s">
        <v>1836</v>
      </c>
      <c r="F1105" s="238" t="s">
        <v>1847</v>
      </c>
      <c r="G1105" s="238" t="s">
        <v>409</v>
      </c>
      <c r="H1105" s="239" t="s">
        <v>2919</v>
      </c>
      <c r="I1105" s="217"/>
      <c r="J1105" s="217"/>
      <c r="K1105" s="217"/>
      <c r="L1105" s="217"/>
      <c r="M1105" s="217"/>
      <c r="N1105" s="217"/>
      <c r="O1105" s="217"/>
      <c r="P1105" s="217"/>
    </row>
    <row r="1106" spans="1:16" s="219" customFormat="1" ht="30" hidden="1" x14ac:dyDescent="0.25">
      <c r="A1106" s="214"/>
      <c r="B1106" s="237">
        <v>1</v>
      </c>
      <c r="C1106" s="237">
        <v>3</v>
      </c>
      <c r="D1106" s="238" t="s">
        <v>2022</v>
      </c>
      <c r="E1106" s="238" t="s">
        <v>1836</v>
      </c>
      <c r="F1106" s="238" t="s">
        <v>1847</v>
      </c>
      <c r="G1106" s="238" t="s">
        <v>788</v>
      </c>
      <c r="H1106" s="239" t="s">
        <v>2920</v>
      </c>
      <c r="I1106" s="217"/>
      <c r="J1106" s="217"/>
      <c r="K1106" s="217"/>
      <c r="L1106" s="217"/>
      <c r="M1106" s="217"/>
      <c r="N1106" s="217"/>
      <c r="O1106" s="217"/>
      <c r="P1106" s="217"/>
    </row>
    <row r="1107" spans="1:16" s="219" customFormat="1" ht="30" hidden="1" x14ac:dyDescent="0.25">
      <c r="A1107" s="214"/>
      <c r="B1107" s="237">
        <v>1</v>
      </c>
      <c r="C1107" s="237">
        <v>3</v>
      </c>
      <c r="D1107" s="238" t="s">
        <v>2022</v>
      </c>
      <c r="E1107" s="238" t="s">
        <v>1836</v>
      </c>
      <c r="F1107" s="238" t="s">
        <v>1847</v>
      </c>
      <c r="G1107" s="238" t="s">
        <v>1017</v>
      </c>
      <c r="H1107" s="239" t="s">
        <v>2921</v>
      </c>
      <c r="I1107" s="217"/>
      <c r="J1107" s="217"/>
      <c r="K1107" s="217"/>
      <c r="L1107" s="217"/>
      <c r="M1107" s="217"/>
      <c r="N1107" s="217"/>
      <c r="O1107" s="217"/>
      <c r="P1107" s="217"/>
    </row>
    <row r="1108" spans="1:16" s="219" customFormat="1" ht="30" hidden="1" x14ac:dyDescent="0.25">
      <c r="A1108" s="214"/>
      <c r="B1108" s="237">
        <v>1</v>
      </c>
      <c r="C1108" s="237">
        <v>3</v>
      </c>
      <c r="D1108" s="238" t="s">
        <v>2022</v>
      </c>
      <c r="E1108" s="238" t="s">
        <v>1836</v>
      </c>
      <c r="F1108" s="238" t="s">
        <v>1847</v>
      </c>
      <c r="G1108" s="238" t="s">
        <v>411</v>
      </c>
      <c r="H1108" s="239" t="s">
        <v>2922</v>
      </c>
      <c r="I1108" s="217"/>
      <c r="J1108" s="217"/>
      <c r="K1108" s="217"/>
      <c r="L1108" s="217"/>
      <c r="M1108" s="217"/>
      <c r="N1108" s="217"/>
      <c r="O1108" s="217"/>
      <c r="P1108" s="217"/>
    </row>
    <row r="1109" spans="1:16" s="219" customFormat="1" ht="45" hidden="1" x14ac:dyDescent="0.25">
      <c r="A1109" s="214"/>
      <c r="B1109" s="237">
        <v>1</v>
      </c>
      <c r="C1109" s="237">
        <v>3</v>
      </c>
      <c r="D1109" s="238" t="s">
        <v>2022</v>
      </c>
      <c r="E1109" s="238" t="s">
        <v>1836</v>
      </c>
      <c r="F1109" s="238" t="s">
        <v>1847</v>
      </c>
      <c r="G1109" s="238" t="s">
        <v>247</v>
      </c>
      <c r="H1109" s="239" t="s">
        <v>2923</v>
      </c>
      <c r="I1109" s="217"/>
      <c r="J1109" s="217"/>
      <c r="K1109" s="217"/>
      <c r="L1109" s="217"/>
      <c r="M1109" s="217"/>
      <c r="N1109" s="217"/>
      <c r="O1109" s="217"/>
      <c r="P1109" s="217"/>
    </row>
    <row r="1110" spans="1:16" s="219" customFormat="1" ht="30" hidden="1" x14ac:dyDescent="0.25">
      <c r="A1110" s="214"/>
      <c r="B1110" s="237">
        <v>1</v>
      </c>
      <c r="C1110" s="237">
        <v>3</v>
      </c>
      <c r="D1110" s="238" t="s">
        <v>2022</v>
      </c>
      <c r="E1110" s="238" t="s">
        <v>1836</v>
      </c>
      <c r="F1110" s="238" t="s">
        <v>1847</v>
      </c>
      <c r="G1110" s="238" t="s">
        <v>1019</v>
      </c>
      <c r="H1110" s="239" t="s">
        <v>2924</v>
      </c>
      <c r="I1110" s="217"/>
      <c r="J1110" s="217"/>
      <c r="K1110" s="217"/>
      <c r="L1110" s="217"/>
      <c r="M1110" s="217"/>
      <c r="N1110" s="217"/>
      <c r="O1110" s="217"/>
      <c r="P1110" s="217"/>
    </row>
    <row r="1111" spans="1:16" s="219" customFormat="1" ht="30" hidden="1" x14ac:dyDescent="0.25">
      <c r="A1111" s="214"/>
      <c r="B1111" s="237">
        <v>1</v>
      </c>
      <c r="C1111" s="237">
        <v>3</v>
      </c>
      <c r="D1111" s="238" t="s">
        <v>2022</v>
      </c>
      <c r="E1111" s="238" t="s">
        <v>1836</v>
      </c>
      <c r="F1111" s="238" t="s">
        <v>1847</v>
      </c>
      <c r="G1111" s="238" t="s">
        <v>1022</v>
      </c>
      <c r="H1111" s="239" t="s">
        <v>2925</v>
      </c>
      <c r="I1111" s="217"/>
      <c r="J1111" s="217"/>
      <c r="K1111" s="217"/>
      <c r="L1111" s="217"/>
      <c r="M1111" s="217"/>
      <c r="N1111" s="217"/>
      <c r="O1111" s="217"/>
      <c r="P1111" s="217"/>
    </row>
    <row r="1112" spans="1:16" s="213" customFormat="1" ht="30" hidden="1" x14ac:dyDescent="0.25">
      <c r="A1112" s="208" t="s">
        <v>263</v>
      </c>
      <c r="B1112" s="234">
        <v>1</v>
      </c>
      <c r="C1112" s="234">
        <v>3</v>
      </c>
      <c r="D1112" s="235" t="s">
        <v>2022</v>
      </c>
      <c r="E1112" s="235" t="s">
        <v>1836</v>
      </c>
      <c r="F1112" s="235" t="s">
        <v>1928</v>
      </c>
      <c r="G1112" s="234"/>
      <c r="H1112" s="236" t="s">
        <v>2926</v>
      </c>
      <c r="I1112" s="211">
        <f>SUM(I1113:I1122)</f>
        <v>0</v>
      </c>
      <c r="J1112" s="211">
        <f t="shared" ref="J1112:P1112" si="158">SUM(J1113:J1122)</f>
        <v>0</v>
      </c>
      <c r="K1112" s="211">
        <f t="shared" si="158"/>
        <v>0</v>
      </c>
      <c r="L1112" s="211">
        <f t="shared" si="158"/>
        <v>0</v>
      </c>
      <c r="M1112" s="211">
        <f t="shared" si="158"/>
        <v>0</v>
      </c>
      <c r="N1112" s="211">
        <f t="shared" si="158"/>
        <v>0</v>
      </c>
      <c r="O1112" s="211">
        <f t="shared" si="158"/>
        <v>0</v>
      </c>
      <c r="P1112" s="211">
        <f t="shared" si="158"/>
        <v>0</v>
      </c>
    </row>
    <row r="1113" spans="1:16" s="219" customFormat="1" ht="45" hidden="1" x14ac:dyDescent="0.25">
      <c r="A1113" s="214"/>
      <c r="B1113" s="237">
        <v>1</v>
      </c>
      <c r="C1113" s="237">
        <v>3</v>
      </c>
      <c r="D1113" s="238" t="s">
        <v>2022</v>
      </c>
      <c r="E1113" s="238" t="s">
        <v>1836</v>
      </c>
      <c r="F1113" s="238" t="s">
        <v>1928</v>
      </c>
      <c r="G1113" s="238" t="s">
        <v>58</v>
      </c>
      <c r="H1113" s="239" t="s">
        <v>2927</v>
      </c>
      <c r="I1113" s="217"/>
      <c r="J1113" s="217"/>
      <c r="K1113" s="217"/>
      <c r="L1113" s="217"/>
      <c r="M1113" s="217"/>
      <c r="N1113" s="217"/>
      <c r="O1113" s="217"/>
      <c r="P1113" s="217"/>
    </row>
    <row r="1114" spans="1:16" s="219" customFormat="1" ht="45" hidden="1" x14ac:dyDescent="0.25">
      <c r="A1114" s="214"/>
      <c r="B1114" s="237">
        <v>1</v>
      </c>
      <c r="C1114" s="237">
        <v>3</v>
      </c>
      <c r="D1114" s="238" t="s">
        <v>2022</v>
      </c>
      <c r="E1114" s="238" t="s">
        <v>1836</v>
      </c>
      <c r="F1114" s="238" t="s">
        <v>1928</v>
      </c>
      <c r="G1114" s="238" t="s">
        <v>75</v>
      </c>
      <c r="H1114" s="239" t="s">
        <v>2928</v>
      </c>
      <c r="I1114" s="217"/>
      <c r="J1114" s="217"/>
      <c r="K1114" s="217"/>
      <c r="L1114" s="217"/>
      <c r="M1114" s="217"/>
      <c r="N1114" s="217"/>
      <c r="O1114" s="217"/>
      <c r="P1114" s="217"/>
    </row>
    <row r="1115" spans="1:16" s="219" customFormat="1" ht="30" hidden="1" x14ac:dyDescent="0.25">
      <c r="A1115" s="214"/>
      <c r="B1115" s="237">
        <v>1</v>
      </c>
      <c r="C1115" s="237">
        <v>3</v>
      </c>
      <c r="D1115" s="238" t="s">
        <v>2022</v>
      </c>
      <c r="E1115" s="238" t="s">
        <v>1836</v>
      </c>
      <c r="F1115" s="238" t="s">
        <v>1928</v>
      </c>
      <c r="G1115" s="238" t="s">
        <v>79</v>
      </c>
      <c r="H1115" s="239" t="s">
        <v>2929</v>
      </c>
      <c r="I1115" s="217"/>
      <c r="J1115" s="217"/>
      <c r="K1115" s="217"/>
      <c r="L1115" s="217"/>
      <c r="M1115" s="217"/>
      <c r="N1115" s="217"/>
      <c r="O1115" s="217"/>
      <c r="P1115" s="217"/>
    </row>
    <row r="1116" spans="1:16" s="219" customFormat="1" ht="45" hidden="1" x14ac:dyDescent="0.25">
      <c r="A1116" s="214"/>
      <c r="B1116" s="237">
        <v>1</v>
      </c>
      <c r="C1116" s="237">
        <v>3</v>
      </c>
      <c r="D1116" s="238" t="s">
        <v>2022</v>
      </c>
      <c r="E1116" s="238" t="s">
        <v>1836</v>
      </c>
      <c r="F1116" s="238" t="s">
        <v>1928</v>
      </c>
      <c r="G1116" s="238" t="s">
        <v>84</v>
      </c>
      <c r="H1116" s="239" t="s">
        <v>2930</v>
      </c>
      <c r="I1116" s="217"/>
      <c r="J1116" s="217"/>
      <c r="K1116" s="217"/>
      <c r="L1116" s="217"/>
      <c r="M1116" s="217"/>
      <c r="N1116" s="217"/>
      <c r="O1116" s="217"/>
      <c r="P1116" s="217"/>
    </row>
    <row r="1117" spans="1:16" s="219" customFormat="1" ht="45" hidden="1" x14ac:dyDescent="0.25">
      <c r="A1117" s="214"/>
      <c r="B1117" s="237">
        <v>1</v>
      </c>
      <c r="C1117" s="237">
        <v>3</v>
      </c>
      <c r="D1117" s="238" t="s">
        <v>2022</v>
      </c>
      <c r="E1117" s="238" t="s">
        <v>1836</v>
      </c>
      <c r="F1117" s="238" t="s">
        <v>1928</v>
      </c>
      <c r="G1117" s="238" t="s">
        <v>88</v>
      </c>
      <c r="H1117" s="239" t="s">
        <v>2931</v>
      </c>
      <c r="I1117" s="217"/>
      <c r="J1117" s="217"/>
      <c r="K1117" s="217"/>
      <c r="L1117" s="217"/>
      <c r="M1117" s="217"/>
      <c r="N1117" s="217"/>
      <c r="O1117" s="217"/>
      <c r="P1117" s="217"/>
    </row>
    <row r="1118" spans="1:16" s="219" customFormat="1" ht="30" hidden="1" x14ac:dyDescent="0.25">
      <c r="A1118" s="214"/>
      <c r="B1118" s="237">
        <v>1</v>
      </c>
      <c r="C1118" s="237">
        <v>3</v>
      </c>
      <c r="D1118" s="238" t="s">
        <v>2022</v>
      </c>
      <c r="E1118" s="238" t="s">
        <v>1836</v>
      </c>
      <c r="F1118" s="238" t="s">
        <v>1928</v>
      </c>
      <c r="G1118" s="238" t="s">
        <v>92</v>
      </c>
      <c r="H1118" s="239" t="s">
        <v>2932</v>
      </c>
      <c r="I1118" s="217"/>
      <c r="J1118" s="217"/>
      <c r="K1118" s="217"/>
      <c r="L1118" s="217"/>
      <c r="M1118" s="217"/>
      <c r="N1118" s="217"/>
      <c r="O1118" s="217"/>
      <c r="P1118" s="217"/>
    </row>
    <row r="1119" spans="1:16" s="219" customFormat="1" ht="30" hidden="1" x14ac:dyDescent="0.25">
      <c r="A1119" s="214"/>
      <c r="B1119" s="237">
        <v>1</v>
      </c>
      <c r="C1119" s="237">
        <v>3</v>
      </c>
      <c r="D1119" s="238" t="s">
        <v>2022</v>
      </c>
      <c r="E1119" s="238" t="s">
        <v>1836</v>
      </c>
      <c r="F1119" s="238" t="s">
        <v>1928</v>
      </c>
      <c r="G1119" s="238" t="s">
        <v>96</v>
      </c>
      <c r="H1119" s="239" t="s">
        <v>2933</v>
      </c>
      <c r="I1119" s="217"/>
      <c r="J1119" s="217"/>
      <c r="K1119" s="217"/>
      <c r="L1119" s="217"/>
      <c r="M1119" s="217"/>
      <c r="N1119" s="217"/>
      <c r="O1119" s="217"/>
      <c r="P1119" s="217"/>
    </row>
    <row r="1120" spans="1:16" s="219" customFormat="1" ht="30" hidden="1" x14ac:dyDescent="0.25">
      <c r="A1120" s="214"/>
      <c r="B1120" s="237">
        <v>1</v>
      </c>
      <c r="C1120" s="237">
        <v>3</v>
      </c>
      <c r="D1120" s="238" t="s">
        <v>2022</v>
      </c>
      <c r="E1120" s="238" t="s">
        <v>1836</v>
      </c>
      <c r="F1120" s="238" t="s">
        <v>1928</v>
      </c>
      <c r="G1120" s="238" t="s">
        <v>100</v>
      </c>
      <c r="H1120" s="239" t="s">
        <v>2934</v>
      </c>
      <c r="I1120" s="217"/>
      <c r="J1120" s="217"/>
      <c r="K1120" s="217"/>
      <c r="L1120" s="217"/>
      <c r="M1120" s="217"/>
      <c r="N1120" s="217"/>
      <c r="O1120" s="217"/>
      <c r="P1120" s="217"/>
    </row>
    <row r="1121" spans="1:16" s="219" customFormat="1" ht="30" hidden="1" x14ac:dyDescent="0.25">
      <c r="A1121" s="214"/>
      <c r="B1121" s="237">
        <v>1</v>
      </c>
      <c r="C1121" s="237">
        <v>3</v>
      </c>
      <c r="D1121" s="238" t="s">
        <v>2022</v>
      </c>
      <c r="E1121" s="238" t="s">
        <v>1836</v>
      </c>
      <c r="F1121" s="238" t="s">
        <v>1928</v>
      </c>
      <c r="G1121" s="238" t="s">
        <v>105</v>
      </c>
      <c r="H1121" s="239" t="s">
        <v>2935</v>
      </c>
      <c r="I1121" s="217"/>
      <c r="J1121" s="217"/>
      <c r="K1121" s="217"/>
      <c r="L1121" s="217"/>
      <c r="M1121" s="217"/>
      <c r="N1121" s="217"/>
      <c r="O1121" s="217"/>
      <c r="P1121" s="217"/>
    </row>
    <row r="1122" spans="1:16" s="219" customFormat="1" ht="30" hidden="1" x14ac:dyDescent="0.25">
      <c r="A1122" s="214"/>
      <c r="B1122" s="237">
        <v>1</v>
      </c>
      <c r="C1122" s="237">
        <v>3</v>
      </c>
      <c r="D1122" s="238" t="s">
        <v>2022</v>
      </c>
      <c r="E1122" s="238" t="s">
        <v>1836</v>
      </c>
      <c r="F1122" s="238" t="s">
        <v>1928</v>
      </c>
      <c r="G1122" s="238" t="s">
        <v>108</v>
      </c>
      <c r="H1122" s="239" t="s">
        <v>2936</v>
      </c>
      <c r="I1122" s="217"/>
      <c r="J1122" s="217"/>
      <c r="K1122" s="217"/>
      <c r="L1122" s="217"/>
      <c r="M1122" s="217"/>
      <c r="N1122" s="217"/>
      <c r="O1122" s="217"/>
      <c r="P1122" s="217"/>
    </row>
    <row r="1123" spans="1:16" s="213" customFormat="1" ht="30" hidden="1" x14ac:dyDescent="0.25">
      <c r="A1123" s="208" t="s">
        <v>263</v>
      </c>
      <c r="B1123" s="234">
        <v>1</v>
      </c>
      <c r="C1123" s="234">
        <v>3</v>
      </c>
      <c r="D1123" s="235" t="s">
        <v>2022</v>
      </c>
      <c r="E1123" s="235" t="s">
        <v>1836</v>
      </c>
      <c r="F1123" s="235" t="s">
        <v>1934</v>
      </c>
      <c r="G1123" s="234"/>
      <c r="H1123" s="236" t="s">
        <v>2937</v>
      </c>
      <c r="I1123" s="211">
        <f>SUM(I1124:I1142)</f>
        <v>0</v>
      </c>
      <c r="J1123" s="211">
        <f t="shared" ref="J1123:P1123" si="159">SUM(J1124:J1142)</f>
        <v>0</v>
      </c>
      <c r="K1123" s="211">
        <f t="shared" si="159"/>
        <v>0</v>
      </c>
      <c r="L1123" s="211">
        <f t="shared" si="159"/>
        <v>0</v>
      </c>
      <c r="M1123" s="211">
        <f t="shared" si="159"/>
        <v>0</v>
      </c>
      <c r="N1123" s="211">
        <f t="shared" si="159"/>
        <v>0</v>
      </c>
      <c r="O1123" s="211">
        <f t="shared" si="159"/>
        <v>0</v>
      </c>
      <c r="P1123" s="211">
        <f t="shared" si="159"/>
        <v>0</v>
      </c>
    </row>
    <row r="1124" spans="1:16" s="219" customFormat="1" ht="30" hidden="1" x14ac:dyDescent="0.25">
      <c r="A1124" s="214"/>
      <c r="B1124" s="237">
        <v>1</v>
      </c>
      <c r="C1124" s="237">
        <v>3</v>
      </c>
      <c r="D1124" s="238" t="s">
        <v>2022</v>
      </c>
      <c r="E1124" s="238" t="s">
        <v>1836</v>
      </c>
      <c r="F1124" s="238" t="s">
        <v>1934</v>
      </c>
      <c r="G1124" s="238" t="s">
        <v>58</v>
      </c>
      <c r="H1124" s="239" t="s">
        <v>2938</v>
      </c>
      <c r="I1124" s="217"/>
      <c r="J1124" s="217"/>
      <c r="K1124" s="217"/>
      <c r="L1124" s="217"/>
      <c r="M1124" s="217"/>
      <c r="N1124" s="217"/>
      <c r="O1124" s="217"/>
      <c r="P1124" s="217"/>
    </row>
    <row r="1125" spans="1:16" s="219" customFormat="1" ht="30" hidden="1" x14ac:dyDescent="0.25">
      <c r="A1125" s="214"/>
      <c r="B1125" s="237">
        <v>1</v>
      </c>
      <c r="C1125" s="237">
        <v>3</v>
      </c>
      <c r="D1125" s="238" t="s">
        <v>2022</v>
      </c>
      <c r="E1125" s="238" t="s">
        <v>1836</v>
      </c>
      <c r="F1125" s="238" t="s">
        <v>1934</v>
      </c>
      <c r="G1125" s="238" t="s">
        <v>75</v>
      </c>
      <c r="H1125" s="239" t="s">
        <v>2939</v>
      </c>
      <c r="I1125" s="217"/>
      <c r="J1125" s="217"/>
      <c r="K1125" s="217"/>
      <c r="L1125" s="217"/>
      <c r="M1125" s="217"/>
      <c r="N1125" s="217"/>
      <c r="O1125" s="217"/>
      <c r="P1125" s="217"/>
    </row>
    <row r="1126" spans="1:16" s="219" customFormat="1" ht="45" hidden="1" x14ac:dyDescent="0.25">
      <c r="A1126" s="214"/>
      <c r="B1126" s="237">
        <v>1</v>
      </c>
      <c r="C1126" s="237">
        <v>3</v>
      </c>
      <c r="D1126" s="238" t="s">
        <v>2022</v>
      </c>
      <c r="E1126" s="238" t="s">
        <v>1836</v>
      </c>
      <c r="F1126" s="238" t="s">
        <v>1934</v>
      </c>
      <c r="G1126" s="238" t="s">
        <v>79</v>
      </c>
      <c r="H1126" s="239" t="s">
        <v>2940</v>
      </c>
      <c r="I1126" s="217"/>
      <c r="J1126" s="217"/>
      <c r="K1126" s="217"/>
      <c r="L1126" s="217"/>
      <c r="M1126" s="217"/>
      <c r="N1126" s="217"/>
      <c r="O1126" s="217"/>
      <c r="P1126" s="217"/>
    </row>
    <row r="1127" spans="1:16" s="219" customFormat="1" ht="45" hidden="1" x14ac:dyDescent="0.25">
      <c r="A1127" s="214"/>
      <c r="B1127" s="237">
        <v>1</v>
      </c>
      <c r="C1127" s="237">
        <v>3</v>
      </c>
      <c r="D1127" s="238" t="s">
        <v>2022</v>
      </c>
      <c r="E1127" s="238" t="s">
        <v>1836</v>
      </c>
      <c r="F1127" s="238" t="s">
        <v>1934</v>
      </c>
      <c r="G1127" s="238" t="s">
        <v>84</v>
      </c>
      <c r="H1127" s="239" t="s">
        <v>2941</v>
      </c>
      <c r="I1127" s="217"/>
      <c r="J1127" s="217"/>
      <c r="K1127" s="217"/>
      <c r="L1127" s="217"/>
      <c r="M1127" s="217"/>
      <c r="N1127" s="217"/>
      <c r="O1127" s="217"/>
      <c r="P1127" s="217"/>
    </row>
    <row r="1128" spans="1:16" s="219" customFormat="1" ht="30" hidden="1" x14ac:dyDescent="0.25">
      <c r="A1128" s="214"/>
      <c r="B1128" s="237">
        <v>1</v>
      </c>
      <c r="C1128" s="237">
        <v>3</v>
      </c>
      <c r="D1128" s="238" t="s">
        <v>2022</v>
      </c>
      <c r="E1128" s="238" t="s">
        <v>1836</v>
      </c>
      <c r="F1128" s="238" t="s">
        <v>1934</v>
      </c>
      <c r="G1128" s="238" t="s">
        <v>88</v>
      </c>
      <c r="H1128" s="239" t="s">
        <v>2942</v>
      </c>
      <c r="I1128" s="217"/>
      <c r="J1128" s="217"/>
      <c r="K1128" s="217"/>
      <c r="L1128" s="217"/>
      <c r="M1128" s="217"/>
      <c r="N1128" s="217"/>
      <c r="O1128" s="217"/>
      <c r="P1128" s="217"/>
    </row>
    <row r="1129" spans="1:16" s="219" customFormat="1" ht="30" hidden="1" x14ac:dyDescent="0.25">
      <c r="A1129" s="214"/>
      <c r="B1129" s="237">
        <v>1</v>
      </c>
      <c r="C1129" s="237">
        <v>3</v>
      </c>
      <c r="D1129" s="238" t="s">
        <v>2022</v>
      </c>
      <c r="E1129" s="238" t="s">
        <v>1836</v>
      </c>
      <c r="F1129" s="238" t="s">
        <v>1934</v>
      </c>
      <c r="G1129" s="238" t="s">
        <v>92</v>
      </c>
      <c r="H1129" s="239" t="s">
        <v>2943</v>
      </c>
      <c r="I1129" s="217"/>
      <c r="J1129" s="217"/>
      <c r="K1129" s="217"/>
      <c r="L1129" s="217"/>
      <c r="M1129" s="217"/>
      <c r="N1129" s="217"/>
      <c r="O1129" s="217"/>
      <c r="P1129" s="217"/>
    </row>
    <row r="1130" spans="1:16" s="219" customFormat="1" ht="30" hidden="1" x14ac:dyDescent="0.25">
      <c r="A1130" s="214"/>
      <c r="B1130" s="237">
        <v>1</v>
      </c>
      <c r="C1130" s="237">
        <v>3</v>
      </c>
      <c r="D1130" s="238" t="s">
        <v>2022</v>
      </c>
      <c r="E1130" s="238" t="s">
        <v>1836</v>
      </c>
      <c r="F1130" s="238" t="s">
        <v>1934</v>
      </c>
      <c r="G1130" s="238" t="s">
        <v>96</v>
      </c>
      <c r="H1130" s="239" t="s">
        <v>2944</v>
      </c>
      <c r="I1130" s="217"/>
      <c r="J1130" s="217"/>
      <c r="K1130" s="217"/>
      <c r="L1130" s="217"/>
      <c r="M1130" s="217"/>
      <c r="N1130" s="217"/>
      <c r="O1130" s="217"/>
      <c r="P1130" s="217"/>
    </row>
    <row r="1131" spans="1:16" s="219" customFormat="1" ht="30" hidden="1" x14ac:dyDescent="0.25">
      <c r="A1131" s="214"/>
      <c r="B1131" s="237">
        <v>1</v>
      </c>
      <c r="C1131" s="237">
        <v>3</v>
      </c>
      <c r="D1131" s="238" t="s">
        <v>2022</v>
      </c>
      <c r="E1131" s="238" t="s">
        <v>1836</v>
      </c>
      <c r="F1131" s="238" t="s">
        <v>1934</v>
      </c>
      <c r="G1131" s="238" t="s">
        <v>100</v>
      </c>
      <c r="H1131" s="239" t="s">
        <v>2945</v>
      </c>
      <c r="I1131" s="217"/>
      <c r="J1131" s="217"/>
      <c r="K1131" s="217"/>
      <c r="L1131" s="217"/>
      <c r="M1131" s="217"/>
      <c r="N1131" s="217"/>
      <c r="O1131" s="217"/>
      <c r="P1131" s="217"/>
    </row>
    <row r="1132" spans="1:16" s="219" customFormat="1" ht="30" hidden="1" x14ac:dyDescent="0.25">
      <c r="A1132" s="214"/>
      <c r="B1132" s="237">
        <v>1</v>
      </c>
      <c r="C1132" s="237">
        <v>3</v>
      </c>
      <c r="D1132" s="238" t="s">
        <v>2022</v>
      </c>
      <c r="E1132" s="238" t="s">
        <v>1836</v>
      </c>
      <c r="F1132" s="238" t="s">
        <v>1934</v>
      </c>
      <c r="G1132" s="238" t="s">
        <v>105</v>
      </c>
      <c r="H1132" s="239" t="s">
        <v>2946</v>
      </c>
      <c r="I1132" s="217"/>
      <c r="J1132" s="217"/>
      <c r="K1132" s="217"/>
      <c r="L1132" s="217"/>
      <c r="M1132" s="217"/>
      <c r="N1132" s="217"/>
      <c r="O1132" s="217"/>
      <c r="P1132" s="217"/>
    </row>
    <row r="1133" spans="1:16" s="219" customFormat="1" ht="30" hidden="1" x14ac:dyDescent="0.25">
      <c r="A1133" s="214"/>
      <c r="B1133" s="237">
        <v>1</v>
      </c>
      <c r="C1133" s="237">
        <v>3</v>
      </c>
      <c r="D1133" s="238" t="s">
        <v>2022</v>
      </c>
      <c r="E1133" s="238" t="s">
        <v>1836</v>
      </c>
      <c r="F1133" s="238" t="s">
        <v>1934</v>
      </c>
      <c r="G1133" s="238" t="s">
        <v>108</v>
      </c>
      <c r="H1133" s="239" t="s">
        <v>2947</v>
      </c>
      <c r="I1133" s="217"/>
      <c r="J1133" s="217"/>
      <c r="K1133" s="217"/>
      <c r="L1133" s="217"/>
      <c r="M1133" s="217"/>
      <c r="N1133" s="217"/>
      <c r="O1133" s="217"/>
      <c r="P1133" s="217"/>
    </row>
    <row r="1134" spans="1:16" s="219" customFormat="1" ht="45" hidden="1" x14ac:dyDescent="0.25">
      <c r="A1134" s="214"/>
      <c r="B1134" s="237">
        <v>1</v>
      </c>
      <c r="C1134" s="237">
        <v>3</v>
      </c>
      <c r="D1134" s="238" t="s">
        <v>2022</v>
      </c>
      <c r="E1134" s="238" t="s">
        <v>1836</v>
      </c>
      <c r="F1134" s="238" t="s">
        <v>1934</v>
      </c>
      <c r="G1134" s="238" t="s">
        <v>135</v>
      </c>
      <c r="H1134" s="239" t="s">
        <v>2948</v>
      </c>
      <c r="I1134" s="217"/>
      <c r="J1134" s="217"/>
      <c r="K1134" s="217"/>
      <c r="L1134" s="217"/>
      <c r="M1134" s="217"/>
      <c r="N1134" s="217"/>
      <c r="O1134" s="217"/>
      <c r="P1134" s="217"/>
    </row>
    <row r="1135" spans="1:16" s="219" customFormat="1" ht="45" hidden="1" x14ac:dyDescent="0.25">
      <c r="A1135" s="214"/>
      <c r="B1135" s="237">
        <v>1</v>
      </c>
      <c r="C1135" s="237">
        <v>3</v>
      </c>
      <c r="D1135" s="238" t="s">
        <v>2022</v>
      </c>
      <c r="E1135" s="238" t="s">
        <v>1836</v>
      </c>
      <c r="F1135" s="238" t="s">
        <v>1934</v>
      </c>
      <c r="G1135" s="238" t="s">
        <v>138</v>
      </c>
      <c r="H1135" s="239" t="s">
        <v>2949</v>
      </c>
      <c r="I1135" s="217"/>
      <c r="J1135" s="217"/>
      <c r="K1135" s="217"/>
      <c r="L1135" s="217"/>
      <c r="M1135" s="217"/>
      <c r="N1135" s="217"/>
      <c r="O1135" s="217"/>
      <c r="P1135" s="217"/>
    </row>
    <row r="1136" spans="1:16" s="219" customFormat="1" ht="45" hidden="1" x14ac:dyDescent="0.25">
      <c r="A1136" s="214"/>
      <c r="B1136" s="237">
        <v>1</v>
      </c>
      <c r="C1136" s="237">
        <v>3</v>
      </c>
      <c r="D1136" s="238" t="s">
        <v>2022</v>
      </c>
      <c r="E1136" s="238" t="s">
        <v>1836</v>
      </c>
      <c r="F1136" s="238" t="s">
        <v>1934</v>
      </c>
      <c r="G1136" s="238" t="s">
        <v>140</v>
      </c>
      <c r="H1136" s="239" t="s">
        <v>2950</v>
      </c>
      <c r="I1136" s="217"/>
      <c r="J1136" s="217"/>
      <c r="K1136" s="217"/>
      <c r="L1136" s="217"/>
      <c r="M1136" s="217"/>
      <c r="N1136" s="217"/>
      <c r="O1136" s="217"/>
      <c r="P1136" s="217"/>
    </row>
    <row r="1137" spans="1:16" s="219" customFormat="1" ht="45" hidden="1" x14ac:dyDescent="0.25">
      <c r="A1137" s="214"/>
      <c r="B1137" s="237">
        <v>1</v>
      </c>
      <c r="C1137" s="237">
        <v>3</v>
      </c>
      <c r="D1137" s="238" t="s">
        <v>2022</v>
      </c>
      <c r="E1137" s="238" t="s">
        <v>1836</v>
      </c>
      <c r="F1137" s="238" t="s">
        <v>1934</v>
      </c>
      <c r="G1137" s="238" t="s">
        <v>143</v>
      </c>
      <c r="H1137" s="239" t="s">
        <v>2951</v>
      </c>
      <c r="I1137" s="217"/>
      <c r="J1137" s="217"/>
      <c r="K1137" s="217"/>
      <c r="L1137" s="217"/>
      <c r="M1137" s="217"/>
      <c r="N1137" s="217"/>
      <c r="O1137" s="217"/>
      <c r="P1137" s="217"/>
    </row>
    <row r="1138" spans="1:16" s="219" customFormat="1" ht="45" hidden="1" x14ac:dyDescent="0.25">
      <c r="A1138" s="214"/>
      <c r="B1138" s="237">
        <v>1</v>
      </c>
      <c r="C1138" s="237">
        <v>3</v>
      </c>
      <c r="D1138" s="238" t="s">
        <v>2022</v>
      </c>
      <c r="E1138" s="238" t="s">
        <v>1836</v>
      </c>
      <c r="F1138" s="238" t="s">
        <v>1934</v>
      </c>
      <c r="G1138" s="238" t="s">
        <v>146</v>
      </c>
      <c r="H1138" s="239" t="s">
        <v>2952</v>
      </c>
      <c r="I1138" s="217"/>
      <c r="J1138" s="217"/>
      <c r="K1138" s="217"/>
      <c r="L1138" s="217"/>
      <c r="M1138" s="217"/>
      <c r="N1138" s="217"/>
      <c r="O1138" s="217"/>
      <c r="P1138" s="217"/>
    </row>
    <row r="1139" spans="1:16" s="219" customFormat="1" ht="45" hidden="1" x14ac:dyDescent="0.25">
      <c r="A1139" s="214"/>
      <c r="B1139" s="237">
        <v>1</v>
      </c>
      <c r="C1139" s="237">
        <v>3</v>
      </c>
      <c r="D1139" s="238" t="s">
        <v>2022</v>
      </c>
      <c r="E1139" s="238" t="s">
        <v>1836</v>
      </c>
      <c r="F1139" s="238" t="s">
        <v>1934</v>
      </c>
      <c r="G1139" s="238" t="s">
        <v>150</v>
      </c>
      <c r="H1139" s="239" t="s">
        <v>2953</v>
      </c>
      <c r="I1139" s="217"/>
      <c r="J1139" s="217"/>
      <c r="K1139" s="217"/>
      <c r="L1139" s="217"/>
      <c r="M1139" s="217"/>
      <c r="N1139" s="217"/>
      <c r="O1139" s="217"/>
      <c r="P1139" s="217"/>
    </row>
    <row r="1140" spans="1:16" s="219" customFormat="1" ht="45" hidden="1" x14ac:dyDescent="0.25">
      <c r="A1140" s="214"/>
      <c r="B1140" s="237">
        <v>1</v>
      </c>
      <c r="C1140" s="237">
        <v>3</v>
      </c>
      <c r="D1140" s="238" t="s">
        <v>2022</v>
      </c>
      <c r="E1140" s="238" t="s">
        <v>1836</v>
      </c>
      <c r="F1140" s="238" t="s">
        <v>1934</v>
      </c>
      <c r="G1140" s="238" t="s">
        <v>153</v>
      </c>
      <c r="H1140" s="239" t="s">
        <v>2954</v>
      </c>
      <c r="I1140" s="217"/>
      <c r="J1140" s="217"/>
      <c r="K1140" s="217"/>
      <c r="L1140" s="217"/>
      <c r="M1140" s="217"/>
      <c r="N1140" s="217"/>
      <c r="O1140" s="217"/>
      <c r="P1140" s="217"/>
    </row>
    <row r="1141" spans="1:16" s="219" customFormat="1" ht="45" hidden="1" x14ac:dyDescent="0.25">
      <c r="A1141" s="214"/>
      <c r="B1141" s="237">
        <v>1</v>
      </c>
      <c r="C1141" s="237">
        <v>3</v>
      </c>
      <c r="D1141" s="238" t="s">
        <v>2022</v>
      </c>
      <c r="E1141" s="238" t="s">
        <v>1836</v>
      </c>
      <c r="F1141" s="238" t="s">
        <v>1934</v>
      </c>
      <c r="G1141" s="238" t="s">
        <v>156</v>
      </c>
      <c r="H1141" s="239" t="s">
        <v>2955</v>
      </c>
      <c r="I1141" s="217"/>
      <c r="J1141" s="217"/>
      <c r="K1141" s="217"/>
      <c r="L1141" s="217"/>
      <c r="M1141" s="217"/>
      <c r="N1141" s="217"/>
      <c r="O1141" s="217"/>
      <c r="P1141" s="217"/>
    </row>
    <row r="1142" spans="1:16" s="219" customFormat="1" ht="45" hidden="1" x14ac:dyDescent="0.25">
      <c r="A1142" s="214"/>
      <c r="B1142" s="237">
        <v>1</v>
      </c>
      <c r="C1142" s="237">
        <v>3</v>
      </c>
      <c r="D1142" s="238" t="s">
        <v>2022</v>
      </c>
      <c r="E1142" s="238" t="s">
        <v>1836</v>
      </c>
      <c r="F1142" s="238" t="s">
        <v>1934</v>
      </c>
      <c r="G1142" s="238" t="s">
        <v>159</v>
      </c>
      <c r="H1142" s="239" t="s">
        <v>2956</v>
      </c>
      <c r="I1142" s="217"/>
      <c r="J1142" s="217"/>
      <c r="K1142" s="217"/>
      <c r="L1142" s="217"/>
      <c r="M1142" s="217"/>
      <c r="N1142" s="217"/>
      <c r="O1142" s="217"/>
      <c r="P1142" s="217"/>
    </row>
    <row r="1143" spans="1:16" s="213" customFormat="1" ht="30" hidden="1" x14ac:dyDescent="0.25">
      <c r="A1143" s="208" t="s">
        <v>263</v>
      </c>
      <c r="B1143" s="234">
        <v>1</v>
      </c>
      <c r="C1143" s="234">
        <v>3</v>
      </c>
      <c r="D1143" s="235" t="s">
        <v>2022</v>
      </c>
      <c r="E1143" s="235" t="s">
        <v>1836</v>
      </c>
      <c r="F1143" s="235" t="s">
        <v>2022</v>
      </c>
      <c r="G1143" s="234"/>
      <c r="H1143" s="236" t="s">
        <v>2957</v>
      </c>
      <c r="I1143" s="211">
        <f>SUM(I1144:I1215)</f>
        <v>0</v>
      </c>
      <c r="J1143" s="211">
        <f t="shared" ref="J1143:P1143" si="160">SUM(J1144:J1215)</f>
        <v>0</v>
      </c>
      <c r="K1143" s="211">
        <f t="shared" si="160"/>
        <v>0</v>
      </c>
      <c r="L1143" s="211">
        <f t="shared" si="160"/>
        <v>0</v>
      </c>
      <c r="M1143" s="211">
        <f t="shared" si="160"/>
        <v>0</v>
      </c>
      <c r="N1143" s="211">
        <f t="shared" si="160"/>
        <v>0</v>
      </c>
      <c r="O1143" s="211">
        <f t="shared" si="160"/>
        <v>0</v>
      </c>
      <c r="P1143" s="211">
        <f t="shared" si="160"/>
        <v>0</v>
      </c>
    </row>
    <row r="1144" spans="1:16" s="219" customFormat="1" ht="30" hidden="1" x14ac:dyDescent="0.25">
      <c r="A1144" s="214"/>
      <c r="B1144" s="237">
        <v>1</v>
      </c>
      <c r="C1144" s="237">
        <v>3</v>
      </c>
      <c r="D1144" s="238" t="s">
        <v>2022</v>
      </c>
      <c r="E1144" s="238" t="s">
        <v>1836</v>
      </c>
      <c r="F1144" s="238" t="s">
        <v>2022</v>
      </c>
      <c r="G1144" s="238" t="s">
        <v>58</v>
      </c>
      <c r="H1144" s="239" t="s">
        <v>2958</v>
      </c>
      <c r="I1144" s="217"/>
      <c r="J1144" s="217"/>
      <c r="K1144" s="217"/>
      <c r="L1144" s="217"/>
      <c r="M1144" s="217"/>
      <c r="N1144" s="217"/>
      <c r="O1144" s="217"/>
      <c r="P1144" s="217"/>
    </row>
    <row r="1145" spans="1:16" s="219" customFormat="1" ht="45" hidden="1" x14ac:dyDescent="0.25">
      <c r="A1145" s="214"/>
      <c r="B1145" s="237">
        <v>1</v>
      </c>
      <c r="C1145" s="237">
        <v>3</v>
      </c>
      <c r="D1145" s="238" t="s">
        <v>2022</v>
      </c>
      <c r="E1145" s="238" t="s">
        <v>1836</v>
      </c>
      <c r="F1145" s="238" t="s">
        <v>2022</v>
      </c>
      <c r="G1145" s="238" t="s">
        <v>75</v>
      </c>
      <c r="H1145" s="239" t="s">
        <v>2959</v>
      </c>
      <c r="I1145" s="217"/>
      <c r="J1145" s="217"/>
      <c r="K1145" s="217"/>
      <c r="L1145" s="217"/>
      <c r="M1145" s="217"/>
      <c r="N1145" s="217"/>
      <c r="O1145" s="217"/>
      <c r="P1145" s="217"/>
    </row>
    <row r="1146" spans="1:16" s="219" customFormat="1" ht="30" hidden="1" x14ac:dyDescent="0.25">
      <c r="A1146" s="214"/>
      <c r="B1146" s="237">
        <v>1</v>
      </c>
      <c r="C1146" s="237">
        <v>3</v>
      </c>
      <c r="D1146" s="238" t="s">
        <v>2022</v>
      </c>
      <c r="E1146" s="238" t="s">
        <v>1836</v>
      </c>
      <c r="F1146" s="238" t="s">
        <v>2022</v>
      </c>
      <c r="G1146" s="238" t="s">
        <v>79</v>
      </c>
      <c r="H1146" s="239" t="s">
        <v>2960</v>
      </c>
      <c r="I1146" s="217"/>
      <c r="J1146" s="217"/>
      <c r="K1146" s="217"/>
      <c r="L1146" s="217"/>
      <c r="M1146" s="217"/>
      <c r="N1146" s="217"/>
      <c r="O1146" s="217"/>
      <c r="P1146" s="217"/>
    </row>
    <row r="1147" spans="1:16" s="219" customFormat="1" ht="30" hidden="1" x14ac:dyDescent="0.25">
      <c r="A1147" s="214"/>
      <c r="B1147" s="237">
        <v>1</v>
      </c>
      <c r="C1147" s="237">
        <v>3</v>
      </c>
      <c r="D1147" s="238" t="s">
        <v>2022</v>
      </c>
      <c r="E1147" s="238" t="s">
        <v>1836</v>
      </c>
      <c r="F1147" s="238" t="s">
        <v>2022</v>
      </c>
      <c r="G1147" s="238" t="s">
        <v>84</v>
      </c>
      <c r="H1147" s="239" t="s">
        <v>2961</v>
      </c>
      <c r="I1147" s="217"/>
      <c r="J1147" s="217"/>
      <c r="K1147" s="217"/>
      <c r="L1147" s="217"/>
      <c r="M1147" s="217"/>
      <c r="N1147" s="217"/>
      <c r="O1147" s="217"/>
      <c r="P1147" s="217"/>
    </row>
    <row r="1148" spans="1:16" s="219" customFormat="1" ht="45" hidden="1" x14ac:dyDescent="0.25">
      <c r="A1148" s="214"/>
      <c r="B1148" s="237">
        <v>1</v>
      </c>
      <c r="C1148" s="237">
        <v>3</v>
      </c>
      <c r="D1148" s="238" t="s">
        <v>2022</v>
      </c>
      <c r="E1148" s="238" t="s">
        <v>1836</v>
      </c>
      <c r="F1148" s="238" t="s">
        <v>2022</v>
      </c>
      <c r="G1148" s="238" t="s">
        <v>88</v>
      </c>
      <c r="H1148" s="239" t="s">
        <v>2962</v>
      </c>
      <c r="I1148" s="217"/>
      <c r="J1148" s="217"/>
      <c r="K1148" s="217"/>
      <c r="L1148" s="217"/>
      <c r="M1148" s="217"/>
      <c r="N1148" s="217"/>
      <c r="O1148" s="217"/>
      <c r="P1148" s="217"/>
    </row>
    <row r="1149" spans="1:16" s="219" customFormat="1" ht="30" hidden="1" x14ac:dyDescent="0.25">
      <c r="A1149" s="214"/>
      <c r="B1149" s="237">
        <v>1</v>
      </c>
      <c r="C1149" s="237">
        <v>3</v>
      </c>
      <c r="D1149" s="238" t="s">
        <v>2022</v>
      </c>
      <c r="E1149" s="238" t="s">
        <v>1836</v>
      </c>
      <c r="F1149" s="238" t="s">
        <v>2022</v>
      </c>
      <c r="G1149" s="238" t="s">
        <v>92</v>
      </c>
      <c r="H1149" s="239" t="s">
        <v>2963</v>
      </c>
      <c r="I1149" s="217"/>
      <c r="J1149" s="217"/>
      <c r="K1149" s="217"/>
      <c r="L1149" s="217"/>
      <c r="M1149" s="217"/>
      <c r="N1149" s="217"/>
      <c r="O1149" s="217"/>
      <c r="P1149" s="217"/>
    </row>
    <row r="1150" spans="1:16" s="219" customFormat="1" ht="45" hidden="1" x14ac:dyDescent="0.25">
      <c r="A1150" s="214"/>
      <c r="B1150" s="237">
        <v>1</v>
      </c>
      <c r="C1150" s="237">
        <v>3</v>
      </c>
      <c r="D1150" s="238" t="s">
        <v>2022</v>
      </c>
      <c r="E1150" s="238" t="s">
        <v>1836</v>
      </c>
      <c r="F1150" s="238" t="s">
        <v>2022</v>
      </c>
      <c r="G1150" s="238" t="s">
        <v>96</v>
      </c>
      <c r="H1150" s="239" t="s">
        <v>2964</v>
      </c>
      <c r="I1150" s="217"/>
      <c r="J1150" s="217"/>
      <c r="K1150" s="217"/>
      <c r="L1150" s="217"/>
      <c r="M1150" s="217"/>
      <c r="N1150" s="217"/>
      <c r="O1150" s="217"/>
      <c r="P1150" s="217"/>
    </row>
    <row r="1151" spans="1:16" s="219" customFormat="1" ht="45" hidden="1" x14ac:dyDescent="0.25">
      <c r="A1151" s="214"/>
      <c r="B1151" s="237">
        <v>1</v>
      </c>
      <c r="C1151" s="237">
        <v>3</v>
      </c>
      <c r="D1151" s="238" t="s">
        <v>2022</v>
      </c>
      <c r="E1151" s="238" t="s">
        <v>1836</v>
      </c>
      <c r="F1151" s="238" t="s">
        <v>2022</v>
      </c>
      <c r="G1151" s="238" t="s">
        <v>100</v>
      </c>
      <c r="H1151" s="239" t="s">
        <v>2965</v>
      </c>
      <c r="I1151" s="217"/>
      <c r="J1151" s="217"/>
      <c r="K1151" s="217"/>
      <c r="L1151" s="217"/>
      <c r="M1151" s="217"/>
      <c r="N1151" s="217"/>
      <c r="O1151" s="217"/>
      <c r="P1151" s="217"/>
    </row>
    <row r="1152" spans="1:16" s="219" customFormat="1" ht="45" hidden="1" x14ac:dyDescent="0.25">
      <c r="A1152" s="214"/>
      <c r="B1152" s="237">
        <v>1</v>
      </c>
      <c r="C1152" s="237">
        <v>3</v>
      </c>
      <c r="D1152" s="238" t="s">
        <v>2022</v>
      </c>
      <c r="E1152" s="238" t="s">
        <v>1836</v>
      </c>
      <c r="F1152" s="238" t="s">
        <v>2022</v>
      </c>
      <c r="G1152" s="238" t="s">
        <v>105</v>
      </c>
      <c r="H1152" s="239" t="s">
        <v>2966</v>
      </c>
      <c r="I1152" s="217"/>
      <c r="J1152" s="217"/>
      <c r="K1152" s="217"/>
      <c r="L1152" s="217"/>
      <c r="M1152" s="217"/>
      <c r="N1152" s="217"/>
      <c r="O1152" s="217"/>
      <c r="P1152" s="217"/>
    </row>
    <row r="1153" spans="1:16" s="219" customFormat="1" ht="45" hidden="1" x14ac:dyDescent="0.25">
      <c r="A1153" s="214"/>
      <c r="B1153" s="237">
        <v>1</v>
      </c>
      <c r="C1153" s="237">
        <v>3</v>
      </c>
      <c r="D1153" s="238" t="s">
        <v>2022</v>
      </c>
      <c r="E1153" s="238" t="s">
        <v>1836</v>
      </c>
      <c r="F1153" s="238" t="s">
        <v>2022</v>
      </c>
      <c r="G1153" s="238" t="s">
        <v>108</v>
      </c>
      <c r="H1153" s="239" t="s">
        <v>2967</v>
      </c>
      <c r="I1153" s="217"/>
      <c r="J1153" s="217"/>
      <c r="K1153" s="217"/>
      <c r="L1153" s="217"/>
      <c r="M1153" s="217"/>
      <c r="N1153" s="217"/>
      <c r="O1153" s="217"/>
      <c r="P1153" s="217"/>
    </row>
    <row r="1154" spans="1:16" s="219" customFormat="1" ht="45" hidden="1" x14ac:dyDescent="0.25">
      <c r="A1154" s="214"/>
      <c r="B1154" s="237">
        <v>1</v>
      </c>
      <c r="C1154" s="237">
        <v>3</v>
      </c>
      <c r="D1154" s="238" t="s">
        <v>2022</v>
      </c>
      <c r="E1154" s="238" t="s">
        <v>1836</v>
      </c>
      <c r="F1154" s="238" t="s">
        <v>2022</v>
      </c>
      <c r="G1154" s="238" t="s">
        <v>135</v>
      </c>
      <c r="H1154" s="239" t="s">
        <v>2968</v>
      </c>
      <c r="I1154" s="217"/>
      <c r="J1154" s="217"/>
      <c r="K1154" s="217"/>
      <c r="L1154" s="217"/>
      <c r="M1154" s="217"/>
      <c r="N1154" s="217"/>
      <c r="O1154" s="217"/>
      <c r="P1154" s="217"/>
    </row>
    <row r="1155" spans="1:16" s="219" customFormat="1" ht="30" hidden="1" x14ac:dyDescent="0.25">
      <c r="A1155" s="214"/>
      <c r="B1155" s="237">
        <v>1</v>
      </c>
      <c r="C1155" s="237">
        <v>3</v>
      </c>
      <c r="D1155" s="238" t="s">
        <v>2022</v>
      </c>
      <c r="E1155" s="238" t="s">
        <v>1836</v>
      </c>
      <c r="F1155" s="238" t="s">
        <v>2022</v>
      </c>
      <c r="G1155" s="238" t="s">
        <v>138</v>
      </c>
      <c r="H1155" s="239" t="s">
        <v>2969</v>
      </c>
      <c r="I1155" s="217"/>
      <c r="J1155" s="217"/>
      <c r="K1155" s="217"/>
      <c r="L1155" s="217"/>
      <c r="M1155" s="217"/>
      <c r="N1155" s="217"/>
      <c r="O1155" s="217"/>
      <c r="P1155" s="217"/>
    </row>
    <row r="1156" spans="1:16" s="219" customFormat="1" ht="30" hidden="1" x14ac:dyDescent="0.25">
      <c r="A1156" s="214"/>
      <c r="B1156" s="237">
        <v>1</v>
      </c>
      <c r="C1156" s="237">
        <v>3</v>
      </c>
      <c r="D1156" s="238" t="s">
        <v>2022</v>
      </c>
      <c r="E1156" s="238" t="s">
        <v>1836</v>
      </c>
      <c r="F1156" s="238" t="s">
        <v>2022</v>
      </c>
      <c r="G1156" s="238" t="s">
        <v>140</v>
      </c>
      <c r="H1156" s="239" t="s">
        <v>2970</v>
      </c>
      <c r="I1156" s="217"/>
      <c r="J1156" s="217"/>
      <c r="K1156" s="217"/>
      <c r="L1156" s="217"/>
      <c r="M1156" s="217"/>
      <c r="N1156" s="217"/>
      <c r="O1156" s="217"/>
      <c r="P1156" s="217"/>
    </row>
    <row r="1157" spans="1:16" s="219" customFormat="1" ht="30" hidden="1" x14ac:dyDescent="0.25">
      <c r="A1157" s="214"/>
      <c r="B1157" s="237">
        <v>1</v>
      </c>
      <c r="C1157" s="237">
        <v>3</v>
      </c>
      <c r="D1157" s="238" t="s">
        <v>2022</v>
      </c>
      <c r="E1157" s="238" t="s">
        <v>1836</v>
      </c>
      <c r="F1157" s="238" t="s">
        <v>2022</v>
      </c>
      <c r="G1157" s="238" t="s">
        <v>143</v>
      </c>
      <c r="H1157" s="239" t="s">
        <v>2971</v>
      </c>
      <c r="I1157" s="217"/>
      <c r="J1157" s="217"/>
      <c r="K1157" s="217"/>
      <c r="L1157" s="217"/>
      <c r="M1157" s="217"/>
      <c r="N1157" s="217"/>
      <c r="O1157" s="217"/>
      <c r="P1157" s="217"/>
    </row>
    <row r="1158" spans="1:16" s="219" customFormat="1" ht="45" hidden="1" x14ac:dyDescent="0.25">
      <c r="A1158" s="214"/>
      <c r="B1158" s="237">
        <v>1</v>
      </c>
      <c r="C1158" s="237">
        <v>3</v>
      </c>
      <c r="D1158" s="238" t="s">
        <v>2022</v>
      </c>
      <c r="E1158" s="238" t="s">
        <v>1836</v>
      </c>
      <c r="F1158" s="238" t="s">
        <v>2022</v>
      </c>
      <c r="G1158" s="238" t="s">
        <v>146</v>
      </c>
      <c r="H1158" s="239" t="s">
        <v>2972</v>
      </c>
      <c r="I1158" s="217"/>
      <c r="J1158" s="217"/>
      <c r="K1158" s="217"/>
      <c r="L1158" s="217"/>
      <c r="M1158" s="217"/>
      <c r="N1158" s="217"/>
      <c r="O1158" s="217"/>
      <c r="P1158" s="217"/>
    </row>
    <row r="1159" spans="1:16" s="219" customFormat="1" ht="30" hidden="1" x14ac:dyDescent="0.25">
      <c r="A1159" s="214"/>
      <c r="B1159" s="237">
        <v>1</v>
      </c>
      <c r="C1159" s="237">
        <v>3</v>
      </c>
      <c r="D1159" s="238" t="s">
        <v>2022</v>
      </c>
      <c r="E1159" s="238" t="s">
        <v>1836</v>
      </c>
      <c r="F1159" s="238" t="s">
        <v>2022</v>
      </c>
      <c r="G1159" s="238" t="s">
        <v>150</v>
      </c>
      <c r="H1159" s="239" t="s">
        <v>2973</v>
      </c>
      <c r="I1159" s="217"/>
      <c r="J1159" s="217"/>
      <c r="K1159" s="217"/>
      <c r="L1159" s="217"/>
      <c r="M1159" s="217"/>
      <c r="N1159" s="217"/>
      <c r="O1159" s="217"/>
      <c r="P1159" s="217"/>
    </row>
    <row r="1160" spans="1:16" s="219" customFormat="1" ht="30" hidden="1" x14ac:dyDescent="0.25">
      <c r="A1160" s="214"/>
      <c r="B1160" s="237">
        <v>1</v>
      </c>
      <c r="C1160" s="237">
        <v>3</v>
      </c>
      <c r="D1160" s="238" t="s">
        <v>2022</v>
      </c>
      <c r="E1160" s="238" t="s">
        <v>1836</v>
      </c>
      <c r="F1160" s="238" t="s">
        <v>2022</v>
      </c>
      <c r="G1160" s="238" t="s">
        <v>153</v>
      </c>
      <c r="H1160" s="239" t="s">
        <v>2974</v>
      </c>
      <c r="I1160" s="217"/>
      <c r="J1160" s="217"/>
      <c r="K1160" s="217"/>
      <c r="L1160" s="217"/>
      <c r="M1160" s="217"/>
      <c r="N1160" s="217"/>
      <c r="O1160" s="217"/>
      <c r="P1160" s="217"/>
    </row>
    <row r="1161" spans="1:16" s="219" customFormat="1" ht="45" hidden="1" x14ac:dyDescent="0.25">
      <c r="A1161" s="214"/>
      <c r="B1161" s="237">
        <v>1</v>
      </c>
      <c r="C1161" s="237">
        <v>3</v>
      </c>
      <c r="D1161" s="238" t="s">
        <v>2022</v>
      </c>
      <c r="E1161" s="238" t="s">
        <v>1836</v>
      </c>
      <c r="F1161" s="238" t="s">
        <v>2022</v>
      </c>
      <c r="G1161" s="238" t="s">
        <v>156</v>
      </c>
      <c r="H1161" s="239" t="s">
        <v>2975</v>
      </c>
      <c r="I1161" s="217"/>
      <c r="J1161" s="217"/>
      <c r="K1161" s="217"/>
      <c r="L1161" s="217"/>
      <c r="M1161" s="217"/>
      <c r="N1161" s="217"/>
      <c r="O1161" s="217"/>
      <c r="P1161" s="217"/>
    </row>
    <row r="1162" spans="1:16" s="219" customFormat="1" ht="45" hidden="1" x14ac:dyDescent="0.25">
      <c r="A1162" s="214"/>
      <c r="B1162" s="237">
        <v>1</v>
      </c>
      <c r="C1162" s="237">
        <v>3</v>
      </c>
      <c r="D1162" s="238" t="s">
        <v>2022</v>
      </c>
      <c r="E1162" s="238" t="s">
        <v>1836</v>
      </c>
      <c r="F1162" s="238" t="s">
        <v>2022</v>
      </c>
      <c r="G1162" s="238" t="s">
        <v>159</v>
      </c>
      <c r="H1162" s="239" t="s">
        <v>2976</v>
      </c>
      <c r="I1162" s="217"/>
      <c r="J1162" s="217"/>
      <c r="K1162" s="217"/>
      <c r="L1162" s="217"/>
      <c r="M1162" s="217"/>
      <c r="N1162" s="217"/>
      <c r="O1162" s="217"/>
      <c r="P1162" s="217"/>
    </row>
    <row r="1163" spans="1:16" s="219" customFormat="1" ht="45" hidden="1" x14ac:dyDescent="0.25">
      <c r="A1163" s="214"/>
      <c r="B1163" s="237">
        <v>1</v>
      </c>
      <c r="C1163" s="237">
        <v>3</v>
      </c>
      <c r="D1163" s="238" t="s">
        <v>2022</v>
      </c>
      <c r="E1163" s="238" t="s">
        <v>1836</v>
      </c>
      <c r="F1163" s="238" t="s">
        <v>2022</v>
      </c>
      <c r="G1163" s="238" t="s">
        <v>162</v>
      </c>
      <c r="H1163" s="239" t="s">
        <v>2977</v>
      </c>
      <c r="I1163" s="217"/>
      <c r="J1163" s="217"/>
      <c r="K1163" s="217"/>
      <c r="L1163" s="217"/>
      <c r="M1163" s="217"/>
      <c r="N1163" s="217"/>
      <c r="O1163" s="217"/>
      <c r="P1163" s="217"/>
    </row>
    <row r="1164" spans="1:16" s="219" customFormat="1" ht="45" hidden="1" x14ac:dyDescent="0.25">
      <c r="A1164" s="214"/>
      <c r="B1164" s="237">
        <v>1</v>
      </c>
      <c r="C1164" s="237">
        <v>3</v>
      </c>
      <c r="D1164" s="238" t="s">
        <v>2022</v>
      </c>
      <c r="E1164" s="238" t="s">
        <v>1836</v>
      </c>
      <c r="F1164" s="238" t="s">
        <v>2022</v>
      </c>
      <c r="G1164" s="238" t="s">
        <v>312</v>
      </c>
      <c r="H1164" s="239" t="s">
        <v>2978</v>
      </c>
      <c r="I1164" s="217"/>
      <c r="J1164" s="217"/>
      <c r="K1164" s="217"/>
      <c r="L1164" s="217"/>
      <c r="M1164" s="217"/>
      <c r="N1164" s="217"/>
      <c r="O1164" s="217"/>
      <c r="P1164" s="217"/>
    </row>
    <row r="1165" spans="1:16" s="219" customFormat="1" ht="45" hidden="1" x14ac:dyDescent="0.25">
      <c r="A1165" s="214"/>
      <c r="B1165" s="237">
        <v>1</v>
      </c>
      <c r="C1165" s="237">
        <v>3</v>
      </c>
      <c r="D1165" s="238" t="s">
        <v>2022</v>
      </c>
      <c r="E1165" s="238" t="s">
        <v>1836</v>
      </c>
      <c r="F1165" s="238" t="s">
        <v>2022</v>
      </c>
      <c r="G1165" s="238" t="s">
        <v>313</v>
      </c>
      <c r="H1165" s="239" t="s">
        <v>2979</v>
      </c>
      <c r="I1165" s="217"/>
      <c r="J1165" s="217"/>
      <c r="K1165" s="217"/>
      <c r="L1165" s="217"/>
      <c r="M1165" s="217"/>
      <c r="N1165" s="217"/>
      <c r="O1165" s="217"/>
      <c r="P1165" s="217"/>
    </row>
    <row r="1166" spans="1:16" s="219" customFormat="1" ht="45" hidden="1" x14ac:dyDescent="0.25">
      <c r="A1166" s="214"/>
      <c r="B1166" s="237">
        <v>1</v>
      </c>
      <c r="C1166" s="237">
        <v>3</v>
      </c>
      <c r="D1166" s="238" t="s">
        <v>2022</v>
      </c>
      <c r="E1166" s="238" t="s">
        <v>1836</v>
      </c>
      <c r="F1166" s="238" t="s">
        <v>2022</v>
      </c>
      <c r="G1166" s="238" t="s">
        <v>559</v>
      </c>
      <c r="H1166" s="239" t="s">
        <v>2980</v>
      </c>
      <c r="I1166" s="217"/>
      <c r="J1166" s="217"/>
      <c r="K1166" s="217"/>
      <c r="L1166" s="217"/>
      <c r="M1166" s="217"/>
      <c r="N1166" s="217"/>
      <c r="O1166" s="217"/>
      <c r="P1166" s="217"/>
    </row>
    <row r="1167" spans="1:16" s="219" customFormat="1" ht="45" hidden="1" x14ac:dyDescent="0.25">
      <c r="A1167" s="214"/>
      <c r="B1167" s="237">
        <v>1</v>
      </c>
      <c r="C1167" s="237">
        <v>3</v>
      </c>
      <c r="D1167" s="238" t="s">
        <v>2022</v>
      </c>
      <c r="E1167" s="238" t="s">
        <v>1836</v>
      </c>
      <c r="F1167" s="238" t="s">
        <v>2022</v>
      </c>
      <c r="G1167" s="238" t="s">
        <v>561</v>
      </c>
      <c r="H1167" s="239" t="s">
        <v>2981</v>
      </c>
      <c r="I1167" s="217"/>
      <c r="J1167" s="217"/>
      <c r="K1167" s="217"/>
      <c r="L1167" s="217"/>
      <c r="M1167" s="217"/>
      <c r="N1167" s="217"/>
      <c r="O1167" s="217"/>
      <c r="P1167" s="217"/>
    </row>
    <row r="1168" spans="1:16" s="219" customFormat="1" ht="45" hidden="1" x14ac:dyDescent="0.25">
      <c r="A1168" s="214"/>
      <c r="B1168" s="237">
        <v>1</v>
      </c>
      <c r="C1168" s="237">
        <v>3</v>
      </c>
      <c r="D1168" s="238" t="s">
        <v>2022</v>
      </c>
      <c r="E1168" s="238" t="s">
        <v>1836</v>
      </c>
      <c r="F1168" s="238" t="s">
        <v>2022</v>
      </c>
      <c r="G1168" s="238" t="s">
        <v>563</v>
      </c>
      <c r="H1168" s="239" t="s">
        <v>2982</v>
      </c>
      <c r="I1168" s="217"/>
      <c r="J1168" s="217"/>
      <c r="K1168" s="217"/>
      <c r="L1168" s="217"/>
      <c r="M1168" s="217"/>
      <c r="N1168" s="217"/>
      <c r="O1168" s="217"/>
      <c r="P1168" s="217"/>
    </row>
    <row r="1169" spans="1:16" s="219" customFormat="1" ht="45" hidden="1" x14ac:dyDescent="0.25">
      <c r="A1169" s="214"/>
      <c r="B1169" s="237">
        <v>1</v>
      </c>
      <c r="C1169" s="237">
        <v>3</v>
      </c>
      <c r="D1169" s="238" t="s">
        <v>2022</v>
      </c>
      <c r="E1169" s="238" t="s">
        <v>1836</v>
      </c>
      <c r="F1169" s="238" t="s">
        <v>2022</v>
      </c>
      <c r="G1169" s="238" t="s">
        <v>227</v>
      </c>
      <c r="H1169" s="239" t="s">
        <v>2983</v>
      </c>
      <c r="I1169" s="217"/>
      <c r="J1169" s="217"/>
      <c r="K1169" s="217"/>
      <c r="L1169" s="217"/>
      <c r="M1169" s="217"/>
      <c r="N1169" s="217"/>
      <c r="O1169" s="217"/>
      <c r="P1169" s="217"/>
    </row>
    <row r="1170" spans="1:16" s="219" customFormat="1" ht="45" hidden="1" x14ac:dyDescent="0.25">
      <c r="A1170" s="214"/>
      <c r="B1170" s="237">
        <v>1</v>
      </c>
      <c r="C1170" s="237">
        <v>3</v>
      </c>
      <c r="D1170" s="238" t="s">
        <v>2022</v>
      </c>
      <c r="E1170" s="238" t="s">
        <v>1836</v>
      </c>
      <c r="F1170" s="238" t="s">
        <v>2022</v>
      </c>
      <c r="G1170" s="238" t="s">
        <v>230</v>
      </c>
      <c r="H1170" s="239" t="s">
        <v>2984</v>
      </c>
      <c r="I1170" s="217"/>
      <c r="J1170" s="217"/>
      <c r="K1170" s="217"/>
      <c r="L1170" s="217"/>
      <c r="M1170" s="217"/>
      <c r="N1170" s="217"/>
      <c r="O1170" s="217"/>
      <c r="P1170" s="217"/>
    </row>
    <row r="1171" spans="1:16" s="219" customFormat="1" ht="45" hidden="1" x14ac:dyDescent="0.25">
      <c r="A1171" s="214"/>
      <c r="B1171" s="237">
        <v>1</v>
      </c>
      <c r="C1171" s="237">
        <v>3</v>
      </c>
      <c r="D1171" s="238" t="s">
        <v>2022</v>
      </c>
      <c r="E1171" s="238" t="s">
        <v>1836</v>
      </c>
      <c r="F1171" s="238" t="s">
        <v>2022</v>
      </c>
      <c r="G1171" s="238" t="s">
        <v>232</v>
      </c>
      <c r="H1171" s="239" t="s">
        <v>2985</v>
      </c>
      <c r="I1171" s="217"/>
      <c r="J1171" s="217"/>
      <c r="K1171" s="217"/>
      <c r="L1171" s="217"/>
      <c r="M1171" s="217"/>
      <c r="N1171" s="217"/>
      <c r="O1171" s="217"/>
      <c r="P1171" s="217"/>
    </row>
    <row r="1172" spans="1:16" s="219" customFormat="1" ht="45" hidden="1" x14ac:dyDescent="0.25">
      <c r="A1172" s="214"/>
      <c r="B1172" s="237">
        <v>1</v>
      </c>
      <c r="C1172" s="237">
        <v>3</v>
      </c>
      <c r="D1172" s="238" t="s">
        <v>2022</v>
      </c>
      <c r="E1172" s="238" t="s">
        <v>1836</v>
      </c>
      <c r="F1172" s="238" t="s">
        <v>2022</v>
      </c>
      <c r="G1172" s="238" t="s">
        <v>234</v>
      </c>
      <c r="H1172" s="239" t="s">
        <v>2986</v>
      </c>
      <c r="I1172" s="217"/>
      <c r="J1172" s="217"/>
      <c r="K1172" s="217"/>
      <c r="L1172" s="217"/>
      <c r="M1172" s="217"/>
      <c r="N1172" s="217"/>
      <c r="O1172" s="217"/>
      <c r="P1172" s="217"/>
    </row>
    <row r="1173" spans="1:16" s="219" customFormat="1" ht="45" hidden="1" x14ac:dyDescent="0.25">
      <c r="A1173" s="214"/>
      <c r="B1173" s="237">
        <v>1</v>
      </c>
      <c r="C1173" s="237">
        <v>3</v>
      </c>
      <c r="D1173" s="238" t="s">
        <v>2022</v>
      </c>
      <c r="E1173" s="238" t="s">
        <v>1836</v>
      </c>
      <c r="F1173" s="238" t="s">
        <v>2022</v>
      </c>
      <c r="G1173" s="238" t="s">
        <v>236</v>
      </c>
      <c r="H1173" s="239" t="s">
        <v>2987</v>
      </c>
      <c r="I1173" s="217"/>
      <c r="J1173" s="217"/>
      <c r="K1173" s="217"/>
      <c r="L1173" s="217"/>
      <c r="M1173" s="217"/>
      <c r="N1173" s="217"/>
      <c r="O1173" s="217"/>
      <c r="P1173" s="217"/>
    </row>
    <row r="1174" spans="1:16" s="219" customFormat="1" ht="45" hidden="1" x14ac:dyDescent="0.25">
      <c r="A1174" s="214"/>
      <c r="B1174" s="237">
        <v>1</v>
      </c>
      <c r="C1174" s="237">
        <v>3</v>
      </c>
      <c r="D1174" s="238" t="s">
        <v>2022</v>
      </c>
      <c r="E1174" s="238" t="s">
        <v>1836</v>
      </c>
      <c r="F1174" s="238" t="s">
        <v>2022</v>
      </c>
      <c r="G1174" s="238" t="s">
        <v>238</v>
      </c>
      <c r="H1174" s="239" t="s">
        <v>2988</v>
      </c>
      <c r="I1174" s="217"/>
      <c r="J1174" s="217"/>
      <c r="K1174" s="217"/>
      <c r="L1174" s="217"/>
      <c r="M1174" s="217"/>
      <c r="N1174" s="217"/>
      <c r="O1174" s="217"/>
      <c r="P1174" s="217"/>
    </row>
    <row r="1175" spans="1:16" s="219" customFormat="1" ht="45" hidden="1" x14ac:dyDescent="0.25">
      <c r="A1175" s="214"/>
      <c r="B1175" s="237">
        <v>1</v>
      </c>
      <c r="C1175" s="237">
        <v>3</v>
      </c>
      <c r="D1175" s="238" t="s">
        <v>2022</v>
      </c>
      <c r="E1175" s="238" t="s">
        <v>1836</v>
      </c>
      <c r="F1175" s="238" t="s">
        <v>2022</v>
      </c>
      <c r="G1175" s="238" t="s">
        <v>240</v>
      </c>
      <c r="H1175" s="239" t="s">
        <v>2989</v>
      </c>
      <c r="I1175" s="217"/>
      <c r="J1175" s="217"/>
      <c r="K1175" s="217"/>
      <c r="L1175" s="217"/>
      <c r="M1175" s="217"/>
      <c r="N1175" s="217"/>
      <c r="O1175" s="217"/>
      <c r="P1175" s="217"/>
    </row>
    <row r="1176" spans="1:16" s="219" customFormat="1" ht="45" hidden="1" x14ac:dyDescent="0.25">
      <c r="A1176" s="214"/>
      <c r="B1176" s="237">
        <v>1</v>
      </c>
      <c r="C1176" s="237">
        <v>3</v>
      </c>
      <c r="D1176" s="238" t="s">
        <v>2022</v>
      </c>
      <c r="E1176" s="238" t="s">
        <v>1836</v>
      </c>
      <c r="F1176" s="238" t="s">
        <v>2022</v>
      </c>
      <c r="G1176" s="238" t="s">
        <v>242</v>
      </c>
      <c r="H1176" s="239" t="s">
        <v>2990</v>
      </c>
      <c r="I1176" s="217"/>
      <c r="J1176" s="217"/>
      <c r="K1176" s="217"/>
      <c r="L1176" s="217"/>
      <c r="M1176" s="217"/>
      <c r="N1176" s="217"/>
      <c r="O1176" s="217"/>
      <c r="P1176" s="217"/>
    </row>
    <row r="1177" spans="1:16" s="219" customFormat="1" ht="45" hidden="1" x14ac:dyDescent="0.25">
      <c r="A1177" s="214"/>
      <c r="B1177" s="237">
        <v>1</v>
      </c>
      <c r="C1177" s="237">
        <v>3</v>
      </c>
      <c r="D1177" s="238" t="s">
        <v>2022</v>
      </c>
      <c r="E1177" s="238" t="s">
        <v>1836</v>
      </c>
      <c r="F1177" s="238" t="s">
        <v>2022</v>
      </c>
      <c r="G1177" s="238" t="s">
        <v>244</v>
      </c>
      <c r="H1177" s="239" t="s">
        <v>2991</v>
      </c>
      <c r="I1177" s="217"/>
      <c r="J1177" s="217"/>
      <c r="K1177" s="217"/>
      <c r="L1177" s="217"/>
      <c r="M1177" s="217"/>
      <c r="N1177" s="217"/>
      <c r="O1177" s="217"/>
      <c r="P1177" s="217"/>
    </row>
    <row r="1178" spans="1:16" s="219" customFormat="1" ht="45" hidden="1" x14ac:dyDescent="0.25">
      <c r="A1178" s="214"/>
      <c r="B1178" s="237">
        <v>1</v>
      </c>
      <c r="C1178" s="237">
        <v>3</v>
      </c>
      <c r="D1178" s="238" t="s">
        <v>2022</v>
      </c>
      <c r="E1178" s="238" t="s">
        <v>1836</v>
      </c>
      <c r="F1178" s="238" t="s">
        <v>2022</v>
      </c>
      <c r="G1178" s="238" t="s">
        <v>246</v>
      </c>
      <c r="H1178" s="239" t="s">
        <v>2992</v>
      </c>
      <c r="I1178" s="217"/>
      <c r="J1178" s="217"/>
      <c r="K1178" s="217"/>
      <c r="L1178" s="217"/>
      <c r="M1178" s="217"/>
      <c r="N1178" s="217"/>
      <c r="O1178" s="217"/>
      <c r="P1178" s="217"/>
    </row>
    <row r="1179" spans="1:16" s="219" customFormat="1" ht="30" hidden="1" x14ac:dyDescent="0.25">
      <c r="A1179" s="214"/>
      <c r="B1179" s="237">
        <v>1</v>
      </c>
      <c r="C1179" s="237">
        <v>3</v>
      </c>
      <c r="D1179" s="238" t="s">
        <v>2022</v>
      </c>
      <c r="E1179" s="238" t="s">
        <v>1836</v>
      </c>
      <c r="F1179" s="238" t="s">
        <v>2022</v>
      </c>
      <c r="G1179" s="238" t="s">
        <v>407</v>
      </c>
      <c r="H1179" s="239" t="s">
        <v>2993</v>
      </c>
      <c r="I1179" s="217"/>
      <c r="J1179" s="217"/>
      <c r="K1179" s="217"/>
      <c r="L1179" s="217"/>
      <c r="M1179" s="217"/>
      <c r="N1179" s="217"/>
      <c r="O1179" s="217"/>
      <c r="P1179" s="217"/>
    </row>
    <row r="1180" spans="1:16" s="219" customFormat="1" ht="45" hidden="1" x14ac:dyDescent="0.25">
      <c r="A1180" s="214"/>
      <c r="B1180" s="237">
        <v>1</v>
      </c>
      <c r="C1180" s="237">
        <v>3</v>
      </c>
      <c r="D1180" s="238" t="s">
        <v>2022</v>
      </c>
      <c r="E1180" s="238" t="s">
        <v>1836</v>
      </c>
      <c r="F1180" s="238" t="s">
        <v>2022</v>
      </c>
      <c r="G1180" s="238" t="s">
        <v>408</v>
      </c>
      <c r="H1180" s="239" t="s">
        <v>2994</v>
      </c>
      <c r="I1180" s="217"/>
      <c r="J1180" s="217"/>
      <c r="K1180" s="217"/>
      <c r="L1180" s="217"/>
      <c r="M1180" s="217"/>
      <c r="N1180" s="217"/>
      <c r="O1180" s="217"/>
      <c r="P1180" s="217"/>
    </row>
    <row r="1181" spans="1:16" s="219" customFormat="1" ht="30" hidden="1" x14ac:dyDescent="0.25">
      <c r="A1181" s="214"/>
      <c r="B1181" s="237">
        <v>1</v>
      </c>
      <c r="C1181" s="237">
        <v>3</v>
      </c>
      <c r="D1181" s="238" t="s">
        <v>2022</v>
      </c>
      <c r="E1181" s="238" t="s">
        <v>1836</v>
      </c>
      <c r="F1181" s="238" t="s">
        <v>2022</v>
      </c>
      <c r="G1181" s="238" t="s">
        <v>409</v>
      </c>
      <c r="H1181" s="239" t="s">
        <v>2995</v>
      </c>
      <c r="I1181" s="217"/>
      <c r="J1181" s="217"/>
      <c r="K1181" s="217"/>
      <c r="L1181" s="217"/>
      <c r="M1181" s="217"/>
      <c r="N1181" s="217"/>
      <c r="O1181" s="217"/>
      <c r="P1181" s="217"/>
    </row>
    <row r="1182" spans="1:16" s="219" customFormat="1" ht="30" hidden="1" x14ac:dyDescent="0.25">
      <c r="A1182" s="214"/>
      <c r="B1182" s="237">
        <v>1</v>
      </c>
      <c r="C1182" s="237">
        <v>3</v>
      </c>
      <c r="D1182" s="238" t="s">
        <v>2022</v>
      </c>
      <c r="E1182" s="238" t="s">
        <v>1836</v>
      </c>
      <c r="F1182" s="238" t="s">
        <v>2022</v>
      </c>
      <c r="G1182" s="238" t="s">
        <v>788</v>
      </c>
      <c r="H1182" s="239" t="s">
        <v>2996</v>
      </c>
      <c r="I1182" s="217"/>
      <c r="J1182" s="217"/>
      <c r="K1182" s="217"/>
      <c r="L1182" s="217"/>
      <c r="M1182" s="217"/>
      <c r="N1182" s="217"/>
      <c r="O1182" s="217"/>
      <c r="P1182" s="217"/>
    </row>
    <row r="1183" spans="1:16" s="219" customFormat="1" ht="45" hidden="1" x14ac:dyDescent="0.25">
      <c r="A1183" s="214"/>
      <c r="B1183" s="237">
        <v>1</v>
      </c>
      <c r="C1183" s="237">
        <v>3</v>
      </c>
      <c r="D1183" s="238" t="s">
        <v>2022</v>
      </c>
      <c r="E1183" s="238" t="s">
        <v>1836</v>
      </c>
      <c r="F1183" s="238" t="s">
        <v>2022</v>
      </c>
      <c r="G1183" s="238" t="s">
        <v>1017</v>
      </c>
      <c r="H1183" s="239" t="s">
        <v>2997</v>
      </c>
      <c r="I1183" s="217"/>
      <c r="J1183" s="217"/>
      <c r="K1183" s="217"/>
      <c r="L1183" s="217"/>
      <c r="M1183" s="217"/>
      <c r="N1183" s="217"/>
      <c r="O1183" s="217"/>
      <c r="P1183" s="217"/>
    </row>
    <row r="1184" spans="1:16" s="219" customFormat="1" ht="45" hidden="1" x14ac:dyDescent="0.25">
      <c r="A1184" s="214"/>
      <c r="B1184" s="237">
        <v>1</v>
      </c>
      <c r="C1184" s="237">
        <v>3</v>
      </c>
      <c r="D1184" s="238" t="s">
        <v>2022</v>
      </c>
      <c r="E1184" s="238" t="s">
        <v>1836</v>
      </c>
      <c r="F1184" s="238" t="s">
        <v>2022</v>
      </c>
      <c r="G1184" s="238" t="s">
        <v>411</v>
      </c>
      <c r="H1184" s="239" t="s">
        <v>2998</v>
      </c>
      <c r="I1184" s="217"/>
      <c r="J1184" s="217"/>
      <c r="K1184" s="217"/>
      <c r="L1184" s="217"/>
      <c r="M1184" s="217"/>
      <c r="N1184" s="217"/>
      <c r="O1184" s="217"/>
      <c r="P1184" s="217"/>
    </row>
    <row r="1185" spans="1:16" s="219" customFormat="1" ht="45" hidden="1" x14ac:dyDescent="0.25">
      <c r="A1185" s="214"/>
      <c r="B1185" s="237">
        <v>1</v>
      </c>
      <c r="C1185" s="237">
        <v>3</v>
      </c>
      <c r="D1185" s="238" t="s">
        <v>2022</v>
      </c>
      <c r="E1185" s="238" t="s">
        <v>1836</v>
      </c>
      <c r="F1185" s="238" t="s">
        <v>2022</v>
      </c>
      <c r="G1185" s="238" t="s">
        <v>247</v>
      </c>
      <c r="H1185" s="239" t="s">
        <v>2999</v>
      </c>
      <c r="I1185" s="217"/>
      <c r="J1185" s="217"/>
      <c r="K1185" s="217"/>
      <c r="L1185" s="217"/>
      <c r="M1185" s="217"/>
      <c r="N1185" s="217"/>
      <c r="O1185" s="217"/>
      <c r="P1185" s="217"/>
    </row>
    <row r="1186" spans="1:16" s="219" customFormat="1" ht="45" hidden="1" x14ac:dyDescent="0.25">
      <c r="A1186" s="214"/>
      <c r="B1186" s="237">
        <v>1</v>
      </c>
      <c r="C1186" s="237">
        <v>3</v>
      </c>
      <c r="D1186" s="238" t="s">
        <v>2022</v>
      </c>
      <c r="E1186" s="238" t="s">
        <v>1836</v>
      </c>
      <c r="F1186" s="238" t="s">
        <v>2022</v>
      </c>
      <c r="G1186" s="238" t="s">
        <v>1019</v>
      </c>
      <c r="H1186" s="239" t="s">
        <v>3000</v>
      </c>
      <c r="I1186" s="217"/>
      <c r="J1186" s="217"/>
      <c r="K1186" s="217"/>
      <c r="L1186" s="217"/>
      <c r="M1186" s="217"/>
      <c r="N1186" s="217"/>
      <c r="O1186" s="217"/>
      <c r="P1186" s="217"/>
    </row>
    <row r="1187" spans="1:16" s="219" customFormat="1" ht="45" hidden="1" x14ac:dyDescent="0.25">
      <c r="A1187" s="214"/>
      <c r="B1187" s="237">
        <v>1</v>
      </c>
      <c r="C1187" s="237">
        <v>3</v>
      </c>
      <c r="D1187" s="238" t="s">
        <v>2022</v>
      </c>
      <c r="E1187" s="238" t="s">
        <v>1836</v>
      </c>
      <c r="F1187" s="238" t="s">
        <v>2022</v>
      </c>
      <c r="G1187" s="238" t="s">
        <v>1022</v>
      </c>
      <c r="H1187" s="239" t="s">
        <v>3001</v>
      </c>
      <c r="I1187" s="217"/>
      <c r="J1187" s="217"/>
      <c r="K1187" s="217"/>
      <c r="L1187" s="217"/>
      <c r="M1187" s="217"/>
      <c r="N1187" s="217"/>
      <c r="O1187" s="217"/>
      <c r="P1187" s="217"/>
    </row>
    <row r="1188" spans="1:16" s="219" customFormat="1" ht="45" hidden="1" x14ac:dyDescent="0.25">
      <c r="A1188" s="214"/>
      <c r="B1188" s="237">
        <v>1</v>
      </c>
      <c r="C1188" s="237">
        <v>3</v>
      </c>
      <c r="D1188" s="238" t="s">
        <v>2022</v>
      </c>
      <c r="E1188" s="238" t="s">
        <v>1836</v>
      </c>
      <c r="F1188" s="238" t="s">
        <v>2022</v>
      </c>
      <c r="G1188" s="238" t="s">
        <v>1024</v>
      </c>
      <c r="H1188" s="239" t="s">
        <v>3002</v>
      </c>
      <c r="I1188" s="217"/>
      <c r="J1188" s="217"/>
      <c r="K1188" s="217"/>
      <c r="L1188" s="217"/>
      <c r="M1188" s="217"/>
      <c r="N1188" s="217"/>
      <c r="O1188" s="217"/>
      <c r="P1188" s="217"/>
    </row>
    <row r="1189" spans="1:16" s="219" customFormat="1" ht="45" hidden="1" x14ac:dyDescent="0.25">
      <c r="A1189" s="214"/>
      <c r="B1189" s="237">
        <v>1</v>
      </c>
      <c r="C1189" s="237">
        <v>3</v>
      </c>
      <c r="D1189" s="238" t="s">
        <v>2022</v>
      </c>
      <c r="E1189" s="238" t="s">
        <v>1836</v>
      </c>
      <c r="F1189" s="238" t="s">
        <v>2022</v>
      </c>
      <c r="G1189" s="238" t="s">
        <v>1026</v>
      </c>
      <c r="H1189" s="239" t="s">
        <v>3003</v>
      </c>
      <c r="I1189" s="217"/>
      <c r="J1189" s="217"/>
      <c r="K1189" s="217"/>
      <c r="L1189" s="217"/>
      <c r="M1189" s="217"/>
      <c r="N1189" s="217"/>
      <c r="O1189" s="217"/>
      <c r="P1189" s="217"/>
    </row>
    <row r="1190" spans="1:16" s="219" customFormat="1" ht="45" hidden="1" x14ac:dyDescent="0.25">
      <c r="A1190" s="214"/>
      <c r="B1190" s="237">
        <v>1</v>
      </c>
      <c r="C1190" s="237">
        <v>3</v>
      </c>
      <c r="D1190" s="238" t="s">
        <v>2022</v>
      </c>
      <c r="E1190" s="238" t="s">
        <v>1836</v>
      </c>
      <c r="F1190" s="238" t="s">
        <v>2022</v>
      </c>
      <c r="G1190" s="238" t="s">
        <v>416</v>
      </c>
      <c r="H1190" s="239" t="s">
        <v>3004</v>
      </c>
      <c r="I1190" s="217"/>
      <c r="J1190" s="217"/>
      <c r="K1190" s="217"/>
      <c r="L1190" s="217"/>
      <c r="M1190" s="217"/>
      <c r="N1190" s="217"/>
      <c r="O1190" s="217"/>
      <c r="P1190" s="217"/>
    </row>
    <row r="1191" spans="1:16" s="219" customFormat="1" ht="45" hidden="1" x14ac:dyDescent="0.25">
      <c r="A1191" s="214"/>
      <c r="B1191" s="237">
        <v>1</v>
      </c>
      <c r="C1191" s="237">
        <v>3</v>
      </c>
      <c r="D1191" s="238" t="s">
        <v>2022</v>
      </c>
      <c r="E1191" s="238" t="s">
        <v>1836</v>
      </c>
      <c r="F1191" s="238" t="s">
        <v>2022</v>
      </c>
      <c r="G1191" s="238" t="s">
        <v>417</v>
      </c>
      <c r="H1191" s="239" t="s">
        <v>3005</v>
      </c>
      <c r="I1191" s="217"/>
      <c r="J1191" s="217"/>
      <c r="K1191" s="217"/>
      <c r="L1191" s="217"/>
      <c r="M1191" s="217"/>
      <c r="N1191" s="217"/>
      <c r="O1191" s="217"/>
      <c r="P1191" s="217"/>
    </row>
    <row r="1192" spans="1:16" s="219" customFormat="1" ht="45" hidden="1" x14ac:dyDescent="0.25">
      <c r="A1192" s="214"/>
      <c r="B1192" s="237">
        <v>1</v>
      </c>
      <c r="C1192" s="237">
        <v>3</v>
      </c>
      <c r="D1192" s="238" t="s">
        <v>2022</v>
      </c>
      <c r="E1192" s="238" t="s">
        <v>1836</v>
      </c>
      <c r="F1192" s="238" t="s">
        <v>2022</v>
      </c>
      <c r="G1192" s="238" t="s">
        <v>1028</v>
      </c>
      <c r="H1192" s="239" t="s">
        <v>3006</v>
      </c>
      <c r="I1192" s="217"/>
      <c r="J1192" s="217"/>
      <c r="K1192" s="217"/>
      <c r="L1192" s="217"/>
      <c r="M1192" s="217"/>
      <c r="N1192" s="217"/>
      <c r="O1192" s="217"/>
      <c r="P1192" s="217"/>
    </row>
    <row r="1193" spans="1:16" s="219" customFormat="1" ht="45" hidden="1" x14ac:dyDescent="0.25">
      <c r="A1193" s="214"/>
      <c r="B1193" s="237">
        <v>1</v>
      </c>
      <c r="C1193" s="237">
        <v>3</v>
      </c>
      <c r="D1193" s="238" t="s">
        <v>2022</v>
      </c>
      <c r="E1193" s="238" t="s">
        <v>1836</v>
      </c>
      <c r="F1193" s="238" t="s">
        <v>2022</v>
      </c>
      <c r="G1193" s="238" t="s">
        <v>1029</v>
      </c>
      <c r="H1193" s="239" t="s">
        <v>3007</v>
      </c>
      <c r="I1193" s="217"/>
      <c r="J1193" s="217"/>
      <c r="K1193" s="217"/>
      <c r="L1193" s="217"/>
      <c r="M1193" s="217"/>
      <c r="N1193" s="217"/>
      <c r="O1193" s="217"/>
      <c r="P1193" s="217"/>
    </row>
    <row r="1194" spans="1:16" s="219" customFormat="1" ht="45" hidden="1" x14ac:dyDescent="0.25">
      <c r="A1194" s="214"/>
      <c r="B1194" s="237">
        <v>1</v>
      </c>
      <c r="C1194" s="237">
        <v>3</v>
      </c>
      <c r="D1194" s="238" t="s">
        <v>2022</v>
      </c>
      <c r="E1194" s="238" t="s">
        <v>1836</v>
      </c>
      <c r="F1194" s="238" t="s">
        <v>2022</v>
      </c>
      <c r="G1194" s="238" t="s">
        <v>1030</v>
      </c>
      <c r="H1194" s="239" t="s">
        <v>3008</v>
      </c>
      <c r="I1194" s="217"/>
      <c r="J1194" s="217"/>
      <c r="K1194" s="217"/>
      <c r="L1194" s="217"/>
      <c r="M1194" s="217"/>
      <c r="N1194" s="217"/>
      <c r="O1194" s="217"/>
      <c r="P1194" s="217"/>
    </row>
    <row r="1195" spans="1:16" s="219" customFormat="1" ht="45" hidden="1" x14ac:dyDescent="0.25">
      <c r="A1195" s="214"/>
      <c r="B1195" s="237">
        <v>1</v>
      </c>
      <c r="C1195" s="237">
        <v>3</v>
      </c>
      <c r="D1195" s="238" t="s">
        <v>2022</v>
      </c>
      <c r="E1195" s="238" t="s">
        <v>1836</v>
      </c>
      <c r="F1195" s="238" t="s">
        <v>2022</v>
      </c>
      <c r="G1195" s="238" t="s">
        <v>1032</v>
      </c>
      <c r="H1195" s="239" t="s">
        <v>3009</v>
      </c>
      <c r="I1195" s="217"/>
      <c r="J1195" s="217"/>
      <c r="K1195" s="217"/>
      <c r="L1195" s="217"/>
      <c r="M1195" s="217"/>
      <c r="N1195" s="217"/>
      <c r="O1195" s="217"/>
      <c r="P1195" s="217"/>
    </row>
    <row r="1196" spans="1:16" s="219" customFormat="1" ht="45" hidden="1" x14ac:dyDescent="0.25">
      <c r="A1196" s="214"/>
      <c r="B1196" s="237">
        <v>1</v>
      </c>
      <c r="C1196" s="237">
        <v>3</v>
      </c>
      <c r="D1196" s="238" t="s">
        <v>2022</v>
      </c>
      <c r="E1196" s="238" t="s">
        <v>1836</v>
      </c>
      <c r="F1196" s="238" t="s">
        <v>2022</v>
      </c>
      <c r="G1196" s="238" t="s">
        <v>1212</v>
      </c>
      <c r="H1196" s="239" t="s">
        <v>3010</v>
      </c>
      <c r="I1196" s="217"/>
      <c r="J1196" s="217"/>
      <c r="K1196" s="217"/>
      <c r="L1196" s="217"/>
      <c r="M1196" s="217"/>
      <c r="N1196" s="217"/>
      <c r="O1196" s="217"/>
      <c r="P1196" s="217"/>
    </row>
    <row r="1197" spans="1:16" s="219" customFormat="1" ht="45" hidden="1" x14ac:dyDescent="0.25">
      <c r="A1197" s="214"/>
      <c r="B1197" s="237">
        <v>1</v>
      </c>
      <c r="C1197" s="237">
        <v>3</v>
      </c>
      <c r="D1197" s="238" t="s">
        <v>2022</v>
      </c>
      <c r="E1197" s="238" t="s">
        <v>1836</v>
      </c>
      <c r="F1197" s="238" t="s">
        <v>2022</v>
      </c>
      <c r="G1197" s="238" t="s">
        <v>791</v>
      </c>
      <c r="H1197" s="239" t="s">
        <v>3011</v>
      </c>
      <c r="I1197" s="217"/>
      <c r="J1197" s="217"/>
      <c r="K1197" s="217"/>
      <c r="L1197" s="217"/>
      <c r="M1197" s="217"/>
      <c r="N1197" s="217"/>
      <c r="O1197" s="217"/>
      <c r="P1197" s="217"/>
    </row>
    <row r="1198" spans="1:16" s="219" customFormat="1" ht="45" hidden="1" x14ac:dyDescent="0.25">
      <c r="A1198" s="214"/>
      <c r="B1198" s="237">
        <v>1</v>
      </c>
      <c r="C1198" s="237">
        <v>3</v>
      </c>
      <c r="D1198" s="238" t="s">
        <v>2022</v>
      </c>
      <c r="E1198" s="238" t="s">
        <v>1836</v>
      </c>
      <c r="F1198" s="238" t="s">
        <v>2022</v>
      </c>
      <c r="G1198" s="238" t="s">
        <v>420</v>
      </c>
      <c r="H1198" s="239" t="s">
        <v>3012</v>
      </c>
      <c r="I1198" s="217"/>
      <c r="J1198" s="217"/>
      <c r="K1198" s="217"/>
      <c r="L1198" s="217"/>
      <c r="M1198" s="217"/>
      <c r="N1198" s="217"/>
      <c r="O1198" s="217"/>
      <c r="P1198" s="217"/>
    </row>
    <row r="1199" spans="1:16" s="219" customFormat="1" ht="60" hidden="1" x14ac:dyDescent="0.25">
      <c r="A1199" s="214"/>
      <c r="B1199" s="237">
        <v>1</v>
      </c>
      <c r="C1199" s="237">
        <v>3</v>
      </c>
      <c r="D1199" s="238" t="s">
        <v>2022</v>
      </c>
      <c r="E1199" s="238" t="s">
        <v>1836</v>
      </c>
      <c r="F1199" s="238" t="s">
        <v>2022</v>
      </c>
      <c r="G1199" s="238" t="s">
        <v>1224</v>
      </c>
      <c r="H1199" s="239" t="s">
        <v>3013</v>
      </c>
      <c r="I1199" s="217"/>
      <c r="J1199" s="217"/>
      <c r="K1199" s="217"/>
      <c r="L1199" s="217"/>
      <c r="M1199" s="217"/>
      <c r="N1199" s="217"/>
      <c r="O1199" s="217"/>
      <c r="P1199" s="217"/>
    </row>
    <row r="1200" spans="1:16" s="219" customFormat="1" ht="45" hidden="1" x14ac:dyDescent="0.25">
      <c r="A1200" s="214"/>
      <c r="B1200" s="237">
        <v>1</v>
      </c>
      <c r="C1200" s="237">
        <v>3</v>
      </c>
      <c r="D1200" s="238" t="s">
        <v>2022</v>
      </c>
      <c r="E1200" s="238" t="s">
        <v>1836</v>
      </c>
      <c r="F1200" s="238" t="s">
        <v>2022</v>
      </c>
      <c r="G1200" s="238" t="s">
        <v>1226</v>
      </c>
      <c r="H1200" s="239" t="s">
        <v>3014</v>
      </c>
      <c r="I1200" s="217"/>
      <c r="J1200" s="217"/>
      <c r="K1200" s="217"/>
      <c r="L1200" s="217"/>
      <c r="M1200" s="217"/>
      <c r="N1200" s="217"/>
      <c r="O1200" s="217"/>
      <c r="P1200" s="217"/>
    </row>
    <row r="1201" spans="1:16" s="219" customFormat="1" ht="45" hidden="1" x14ac:dyDescent="0.25">
      <c r="A1201" s="214"/>
      <c r="B1201" s="237">
        <v>1</v>
      </c>
      <c r="C1201" s="237">
        <v>3</v>
      </c>
      <c r="D1201" s="238" t="s">
        <v>2022</v>
      </c>
      <c r="E1201" s="238" t="s">
        <v>1836</v>
      </c>
      <c r="F1201" s="238" t="s">
        <v>2022</v>
      </c>
      <c r="G1201" s="238" t="s">
        <v>2198</v>
      </c>
      <c r="H1201" s="239" t="s">
        <v>3015</v>
      </c>
      <c r="I1201" s="217"/>
      <c r="J1201" s="217"/>
      <c r="K1201" s="217"/>
      <c r="L1201" s="217"/>
      <c r="M1201" s="217"/>
      <c r="N1201" s="217"/>
      <c r="O1201" s="217"/>
      <c r="P1201" s="217"/>
    </row>
    <row r="1202" spans="1:16" s="219" customFormat="1" ht="45" hidden="1" x14ac:dyDescent="0.25">
      <c r="A1202" s="214"/>
      <c r="B1202" s="237">
        <v>1</v>
      </c>
      <c r="C1202" s="237">
        <v>3</v>
      </c>
      <c r="D1202" s="238" t="s">
        <v>2022</v>
      </c>
      <c r="E1202" s="238" t="s">
        <v>1836</v>
      </c>
      <c r="F1202" s="238" t="s">
        <v>2022</v>
      </c>
      <c r="G1202" s="238" t="s">
        <v>422</v>
      </c>
      <c r="H1202" s="239" t="s">
        <v>3016</v>
      </c>
      <c r="I1202" s="217"/>
      <c r="J1202" s="217"/>
      <c r="K1202" s="217"/>
      <c r="L1202" s="217"/>
      <c r="M1202" s="217"/>
      <c r="N1202" s="217"/>
      <c r="O1202" s="217"/>
      <c r="P1202" s="217"/>
    </row>
    <row r="1203" spans="1:16" s="219" customFormat="1" ht="60" hidden="1" x14ac:dyDescent="0.25">
      <c r="A1203" s="214"/>
      <c r="B1203" s="237">
        <v>1</v>
      </c>
      <c r="C1203" s="237">
        <v>3</v>
      </c>
      <c r="D1203" s="238" t="s">
        <v>2022</v>
      </c>
      <c r="E1203" s="238" t="s">
        <v>1836</v>
      </c>
      <c r="F1203" s="238" t="s">
        <v>2022</v>
      </c>
      <c r="G1203" s="238" t="s">
        <v>423</v>
      </c>
      <c r="H1203" s="239" t="s">
        <v>3017</v>
      </c>
      <c r="I1203" s="217"/>
      <c r="J1203" s="217"/>
      <c r="K1203" s="217"/>
      <c r="L1203" s="217"/>
      <c r="M1203" s="217"/>
      <c r="N1203" s="217"/>
      <c r="O1203" s="217"/>
      <c r="P1203" s="217"/>
    </row>
    <row r="1204" spans="1:16" s="219" customFormat="1" ht="60" hidden="1" x14ac:dyDescent="0.25">
      <c r="A1204" s="214"/>
      <c r="B1204" s="237">
        <v>1</v>
      </c>
      <c r="C1204" s="237">
        <v>3</v>
      </c>
      <c r="D1204" s="238" t="s">
        <v>2022</v>
      </c>
      <c r="E1204" s="238" t="s">
        <v>1836</v>
      </c>
      <c r="F1204" s="238" t="s">
        <v>2022</v>
      </c>
      <c r="G1204" s="238" t="s">
        <v>575</v>
      </c>
      <c r="H1204" s="239" t="s">
        <v>3018</v>
      </c>
      <c r="I1204" s="217"/>
      <c r="J1204" s="217"/>
      <c r="K1204" s="217"/>
      <c r="L1204" s="217"/>
      <c r="M1204" s="217"/>
      <c r="N1204" s="217"/>
      <c r="O1204" s="217"/>
      <c r="P1204" s="217"/>
    </row>
    <row r="1205" spans="1:16" s="219" customFormat="1" ht="60" hidden="1" x14ac:dyDescent="0.25">
      <c r="A1205" s="214"/>
      <c r="B1205" s="237">
        <v>1</v>
      </c>
      <c r="C1205" s="237">
        <v>3</v>
      </c>
      <c r="D1205" s="238" t="s">
        <v>2022</v>
      </c>
      <c r="E1205" s="238" t="s">
        <v>1836</v>
      </c>
      <c r="F1205" s="238" t="s">
        <v>2022</v>
      </c>
      <c r="G1205" s="238" t="s">
        <v>576</v>
      </c>
      <c r="H1205" s="239" t="s">
        <v>3019</v>
      </c>
      <c r="I1205" s="217"/>
      <c r="J1205" s="217"/>
      <c r="K1205" s="217"/>
      <c r="L1205" s="217"/>
      <c r="M1205" s="217"/>
      <c r="N1205" s="217"/>
      <c r="O1205" s="217"/>
      <c r="P1205" s="217"/>
    </row>
    <row r="1206" spans="1:16" s="219" customFormat="1" ht="45" hidden="1" x14ac:dyDescent="0.25">
      <c r="A1206" s="214"/>
      <c r="B1206" s="237">
        <v>1</v>
      </c>
      <c r="C1206" s="237">
        <v>3</v>
      </c>
      <c r="D1206" s="238" t="s">
        <v>2022</v>
      </c>
      <c r="E1206" s="238" t="s">
        <v>1836</v>
      </c>
      <c r="F1206" s="238" t="s">
        <v>2022</v>
      </c>
      <c r="G1206" s="238" t="s">
        <v>577</v>
      </c>
      <c r="H1206" s="239" t="s">
        <v>3020</v>
      </c>
      <c r="I1206" s="217"/>
      <c r="J1206" s="217"/>
      <c r="K1206" s="217"/>
      <c r="L1206" s="217"/>
      <c r="M1206" s="217"/>
      <c r="N1206" s="217"/>
      <c r="O1206" s="217"/>
      <c r="P1206" s="217"/>
    </row>
    <row r="1207" spans="1:16" s="219" customFormat="1" ht="30" hidden="1" x14ac:dyDescent="0.25">
      <c r="A1207" s="214"/>
      <c r="B1207" s="237">
        <v>1</v>
      </c>
      <c r="C1207" s="237">
        <v>3</v>
      </c>
      <c r="D1207" s="238" t="s">
        <v>2022</v>
      </c>
      <c r="E1207" s="238" t="s">
        <v>1836</v>
      </c>
      <c r="F1207" s="238" t="s">
        <v>2022</v>
      </c>
      <c r="G1207" s="238" t="s">
        <v>2205</v>
      </c>
      <c r="H1207" s="239" t="s">
        <v>3021</v>
      </c>
      <c r="I1207" s="217"/>
      <c r="J1207" s="217"/>
      <c r="K1207" s="217"/>
      <c r="L1207" s="217"/>
      <c r="M1207" s="217"/>
      <c r="N1207" s="217"/>
      <c r="O1207" s="217"/>
      <c r="P1207" s="217"/>
    </row>
    <row r="1208" spans="1:16" s="219" customFormat="1" ht="45" hidden="1" x14ac:dyDescent="0.25">
      <c r="A1208" s="214"/>
      <c r="B1208" s="237">
        <v>1</v>
      </c>
      <c r="C1208" s="237">
        <v>3</v>
      </c>
      <c r="D1208" s="238" t="s">
        <v>2022</v>
      </c>
      <c r="E1208" s="238" t="s">
        <v>1836</v>
      </c>
      <c r="F1208" s="238" t="s">
        <v>2022</v>
      </c>
      <c r="G1208" s="238" t="s">
        <v>3022</v>
      </c>
      <c r="H1208" s="239" t="s">
        <v>3023</v>
      </c>
      <c r="I1208" s="217"/>
      <c r="J1208" s="217"/>
      <c r="K1208" s="217"/>
      <c r="L1208" s="217"/>
      <c r="M1208" s="217"/>
      <c r="N1208" s="217"/>
      <c r="O1208" s="217"/>
      <c r="P1208" s="217"/>
    </row>
    <row r="1209" spans="1:16" s="219" customFormat="1" ht="60" hidden="1" x14ac:dyDescent="0.25">
      <c r="A1209" s="214"/>
      <c r="B1209" s="237">
        <v>1</v>
      </c>
      <c r="C1209" s="237">
        <v>3</v>
      </c>
      <c r="D1209" s="238" t="s">
        <v>2022</v>
      </c>
      <c r="E1209" s="238" t="s">
        <v>1836</v>
      </c>
      <c r="F1209" s="238" t="s">
        <v>2022</v>
      </c>
      <c r="G1209" s="238" t="s">
        <v>427</v>
      </c>
      <c r="H1209" s="239" t="s">
        <v>3024</v>
      </c>
      <c r="I1209" s="217"/>
      <c r="J1209" s="217"/>
      <c r="K1209" s="217"/>
      <c r="L1209" s="217"/>
      <c r="M1209" s="217"/>
      <c r="N1209" s="217"/>
      <c r="O1209" s="217"/>
      <c r="P1209" s="217"/>
    </row>
    <row r="1210" spans="1:16" s="219" customFormat="1" ht="45" hidden="1" x14ac:dyDescent="0.25">
      <c r="A1210" s="214"/>
      <c r="B1210" s="237">
        <v>1</v>
      </c>
      <c r="C1210" s="237">
        <v>3</v>
      </c>
      <c r="D1210" s="238" t="s">
        <v>2022</v>
      </c>
      <c r="E1210" s="238" t="s">
        <v>1836</v>
      </c>
      <c r="F1210" s="238" t="s">
        <v>2022</v>
      </c>
      <c r="G1210" s="238" t="s">
        <v>428</v>
      </c>
      <c r="H1210" s="239" t="s">
        <v>3025</v>
      </c>
      <c r="I1210" s="217"/>
      <c r="J1210" s="217"/>
      <c r="K1210" s="217"/>
      <c r="L1210" s="217"/>
      <c r="M1210" s="217"/>
      <c r="N1210" s="217"/>
      <c r="O1210" s="217"/>
      <c r="P1210" s="217"/>
    </row>
    <row r="1211" spans="1:16" s="219" customFormat="1" ht="45" hidden="1" x14ac:dyDescent="0.25">
      <c r="A1211" s="214"/>
      <c r="B1211" s="237">
        <v>1</v>
      </c>
      <c r="C1211" s="237">
        <v>3</v>
      </c>
      <c r="D1211" s="238" t="s">
        <v>2022</v>
      </c>
      <c r="E1211" s="238" t="s">
        <v>1836</v>
      </c>
      <c r="F1211" s="238" t="s">
        <v>2022</v>
      </c>
      <c r="G1211" s="238" t="s">
        <v>429</v>
      </c>
      <c r="H1211" s="239" t="s">
        <v>3026</v>
      </c>
      <c r="I1211" s="217"/>
      <c r="J1211" s="217"/>
      <c r="K1211" s="217"/>
      <c r="L1211" s="217"/>
      <c r="M1211" s="217"/>
      <c r="N1211" s="217"/>
      <c r="O1211" s="217"/>
      <c r="P1211" s="217"/>
    </row>
    <row r="1212" spans="1:16" s="219" customFormat="1" ht="30" hidden="1" x14ac:dyDescent="0.25">
      <c r="A1212" s="214"/>
      <c r="B1212" s="237">
        <v>1</v>
      </c>
      <c r="C1212" s="237">
        <v>3</v>
      </c>
      <c r="D1212" s="238" t="s">
        <v>2022</v>
      </c>
      <c r="E1212" s="238" t="s">
        <v>1836</v>
      </c>
      <c r="F1212" s="238" t="s">
        <v>2022</v>
      </c>
      <c r="G1212" s="238" t="s">
        <v>431</v>
      </c>
      <c r="H1212" s="239" t="s">
        <v>3027</v>
      </c>
      <c r="I1212" s="217"/>
      <c r="J1212" s="217"/>
      <c r="K1212" s="217"/>
      <c r="L1212" s="217"/>
      <c r="M1212" s="217"/>
      <c r="N1212" s="217"/>
      <c r="O1212" s="217"/>
      <c r="P1212" s="217"/>
    </row>
    <row r="1213" spans="1:16" s="219" customFormat="1" ht="45" hidden="1" x14ac:dyDescent="0.25">
      <c r="A1213" s="214"/>
      <c r="B1213" s="237">
        <v>1</v>
      </c>
      <c r="C1213" s="237">
        <v>3</v>
      </c>
      <c r="D1213" s="238" t="s">
        <v>2022</v>
      </c>
      <c r="E1213" s="238" t="s">
        <v>1836</v>
      </c>
      <c r="F1213" s="238" t="s">
        <v>2022</v>
      </c>
      <c r="G1213" s="238" t="s">
        <v>432</v>
      </c>
      <c r="H1213" s="239" t="s">
        <v>3028</v>
      </c>
      <c r="I1213" s="217"/>
      <c r="J1213" s="217"/>
      <c r="K1213" s="217"/>
      <c r="L1213" s="217"/>
      <c r="M1213" s="217"/>
      <c r="N1213" s="217"/>
      <c r="O1213" s="217"/>
      <c r="P1213" s="217"/>
    </row>
    <row r="1214" spans="1:16" s="219" customFormat="1" ht="60" hidden="1" x14ac:dyDescent="0.25">
      <c r="A1214" s="214"/>
      <c r="B1214" s="237">
        <v>1</v>
      </c>
      <c r="C1214" s="237">
        <v>3</v>
      </c>
      <c r="D1214" s="238" t="s">
        <v>2022</v>
      </c>
      <c r="E1214" s="238" t="s">
        <v>1836</v>
      </c>
      <c r="F1214" s="238" t="s">
        <v>2022</v>
      </c>
      <c r="G1214" s="238" t="s">
        <v>435</v>
      </c>
      <c r="H1214" s="239" t="s">
        <v>3029</v>
      </c>
      <c r="I1214" s="217"/>
      <c r="J1214" s="217"/>
      <c r="K1214" s="217"/>
      <c r="L1214" s="217"/>
      <c r="M1214" s="217"/>
      <c r="N1214" s="217"/>
      <c r="O1214" s="217"/>
      <c r="P1214" s="217"/>
    </row>
    <row r="1215" spans="1:16" s="219" customFormat="1" ht="60" hidden="1" x14ac:dyDescent="0.25">
      <c r="A1215" s="214"/>
      <c r="B1215" s="237">
        <v>1</v>
      </c>
      <c r="C1215" s="237">
        <v>3</v>
      </c>
      <c r="D1215" s="238" t="s">
        <v>2022</v>
      </c>
      <c r="E1215" s="238" t="s">
        <v>1836</v>
      </c>
      <c r="F1215" s="238" t="s">
        <v>2022</v>
      </c>
      <c r="G1215" s="238" t="s">
        <v>436</v>
      </c>
      <c r="H1215" s="239" t="s">
        <v>3030</v>
      </c>
      <c r="I1215" s="217"/>
      <c r="J1215" s="217"/>
      <c r="K1215" s="217"/>
      <c r="L1215" s="217"/>
      <c r="M1215" s="217"/>
      <c r="N1215" s="217"/>
      <c r="O1215" s="217"/>
      <c r="P1215" s="217"/>
    </row>
    <row r="1216" spans="1:16" s="213" customFormat="1" ht="30" hidden="1" x14ac:dyDescent="0.25">
      <c r="A1216" s="208" t="s">
        <v>263</v>
      </c>
      <c r="B1216" s="234">
        <v>1</v>
      </c>
      <c r="C1216" s="234">
        <v>3</v>
      </c>
      <c r="D1216" s="235" t="s">
        <v>2022</v>
      </c>
      <c r="E1216" s="235" t="s">
        <v>1836</v>
      </c>
      <c r="F1216" s="235" t="s">
        <v>2100</v>
      </c>
      <c r="G1216" s="234"/>
      <c r="H1216" s="236" t="s">
        <v>3031</v>
      </c>
      <c r="I1216" s="211">
        <f>SUM(I1217:I1250)</f>
        <v>0</v>
      </c>
      <c r="J1216" s="211">
        <f t="shared" ref="J1216:P1216" si="161">SUM(J1217:J1250)</f>
        <v>0</v>
      </c>
      <c r="K1216" s="211">
        <f t="shared" si="161"/>
        <v>0</v>
      </c>
      <c r="L1216" s="211">
        <f t="shared" si="161"/>
        <v>0</v>
      </c>
      <c r="M1216" s="211">
        <f t="shared" si="161"/>
        <v>0</v>
      </c>
      <c r="N1216" s="211">
        <f t="shared" si="161"/>
        <v>0</v>
      </c>
      <c r="O1216" s="211">
        <f t="shared" si="161"/>
        <v>0</v>
      </c>
      <c r="P1216" s="211">
        <f t="shared" si="161"/>
        <v>0</v>
      </c>
    </row>
    <row r="1217" spans="1:16" s="219" customFormat="1" ht="30" hidden="1" x14ac:dyDescent="0.25">
      <c r="A1217" s="214"/>
      <c r="B1217" s="237">
        <v>1</v>
      </c>
      <c r="C1217" s="237">
        <v>3</v>
      </c>
      <c r="D1217" s="238" t="s">
        <v>2022</v>
      </c>
      <c r="E1217" s="238" t="s">
        <v>1836</v>
      </c>
      <c r="F1217" s="238" t="s">
        <v>2100</v>
      </c>
      <c r="G1217" s="238" t="s">
        <v>58</v>
      </c>
      <c r="H1217" s="239" t="s">
        <v>3032</v>
      </c>
      <c r="I1217" s="217"/>
      <c r="J1217" s="217"/>
      <c r="K1217" s="217"/>
      <c r="L1217" s="217"/>
      <c r="M1217" s="217"/>
      <c r="N1217" s="217"/>
      <c r="O1217" s="217"/>
      <c r="P1217" s="217"/>
    </row>
    <row r="1218" spans="1:16" s="219" customFormat="1" ht="30" hidden="1" x14ac:dyDescent="0.25">
      <c r="A1218" s="214"/>
      <c r="B1218" s="237">
        <v>1</v>
      </c>
      <c r="C1218" s="237">
        <v>3</v>
      </c>
      <c r="D1218" s="238" t="s">
        <v>2022</v>
      </c>
      <c r="E1218" s="238" t="s">
        <v>1836</v>
      </c>
      <c r="F1218" s="238" t="s">
        <v>2100</v>
      </c>
      <c r="G1218" s="238" t="s">
        <v>75</v>
      </c>
      <c r="H1218" s="239" t="s">
        <v>3033</v>
      </c>
      <c r="I1218" s="217"/>
      <c r="J1218" s="217"/>
      <c r="K1218" s="217"/>
      <c r="L1218" s="217"/>
      <c r="M1218" s="217"/>
      <c r="N1218" s="217"/>
      <c r="O1218" s="217"/>
      <c r="P1218" s="217"/>
    </row>
    <row r="1219" spans="1:16" s="219" customFormat="1" ht="45" hidden="1" x14ac:dyDescent="0.25">
      <c r="A1219" s="214"/>
      <c r="B1219" s="237">
        <v>1</v>
      </c>
      <c r="C1219" s="237">
        <v>3</v>
      </c>
      <c r="D1219" s="238" t="s">
        <v>2022</v>
      </c>
      <c r="E1219" s="238" t="s">
        <v>1836</v>
      </c>
      <c r="F1219" s="238" t="s">
        <v>2100</v>
      </c>
      <c r="G1219" s="238" t="s">
        <v>79</v>
      </c>
      <c r="H1219" s="239" t="s">
        <v>3034</v>
      </c>
      <c r="I1219" s="217"/>
      <c r="J1219" s="217"/>
      <c r="K1219" s="217"/>
      <c r="L1219" s="217"/>
      <c r="M1219" s="217"/>
      <c r="N1219" s="217"/>
      <c r="O1219" s="217"/>
      <c r="P1219" s="217"/>
    </row>
    <row r="1220" spans="1:16" s="219" customFormat="1" ht="30" hidden="1" x14ac:dyDescent="0.25">
      <c r="A1220" s="214"/>
      <c r="B1220" s="237">
        <v>1</v>
      </c>
      <c r="C1220" s="237">
        <v>3</v>
      </c>
      <c r="D1220" s="238" t="s">
        <v>2022</v>
      </c>
      <c r="E1220" s="238" t="s">
        <v>1836</v>
      </c>
      <c r="F1220" s="238" t="s">
        <v>2100</v>
      </c>
      <c r="G1220" s="238" t="s">
        <v>84</v>
      </c>
      <c r="H1220" s="239" t="s">
        <v>3035</v>
      </c>
      <c r="I1220" s="217"/>
      <c r="J1220" s="217"/>
      <c r="K1220" s="217"/>
      <c r="L1220" s="217"/>
      <c r="M1220" s="217"/>
      <c r="N1220" s="217"/>
      <c r="O1220" s="217"/>
      <c r="P1220" s="217"/>
    </row>
    <row r="1221" spans="1:16" s="219" customFormat="1" ht="45" hidden="1" x14ac:dyDescent="0.25">
      <c r="A1221" s="214"/>
      <c r="B1221" s="237">
        <v>1</v>
      </c>
      <c r="C1221" s="237">
        <v>3</v>
      </c>
      <c r="D1221" s="238" t="s">
        <v>2022</v>
      </c>
      <c r="E1221" s="238" t="s">
        <v>1836</v>
      </c>
      <c r="F1221" s="238" t="s">
        <v>2100</v>
      </c>
      <c r="G1221" s="238" t="s">
        <v>88</v>
      </c>
      <c r="H1221" s="239" t="s">
        <v>3036</v>
      </c>
      <c r="I1221" s="217"/>
      <c r="J1221" s="217"/>
      <c r="K1221" s="217"/>
      <c r="L1221" s="217"/>
      <c r="M1221" s="217"/>
      <c r="N1221" s="217"/>
      <c r="O1221" s="217"/>
      <c r="P1221" s="217"/>
    </row>
    <row r="1222" spans="1:16" s="219" customFormat="1" ht="30" hidden="1" x14ac:dyDescent="0.25">
      <c r="A1222" s="214"/>
      <c r="B1222" s="237">
        <v>1</v>
      </c>
      <c r="C1222" s="237">
        <v>3</v>
      </c>
      <c r="D1222" s="238" t="s">
        <v>2022</v>
      </c>
      <c r="E1222" s="238" t="s">
        <v>1836</v>
      </c>
      <c r="F1222" s="238" t="s">
        <v>2100</v>
      </c>
      <c r="G1222" s="238" t="s">
        <v>92</v>
      </c>
      <c r="H1222" s="239" t="s">
        <v>3037</v>
      </c>
      <c r="I1222" s="217"/>
      <c r="J1222" s="217"/>
      <c r="K1222" s="217"/>
      <c r="L1222" s="217"/>
      <c r="M1222" s="217"/>
      <c r="N1222" s="217"/>
      <c r="O1222" s="217"/>
      <c r="P1222" s="217"/>
    </row>
    <row r="1223" spans="1:16" s="219" customFormat="1" ht="30" hidden="1" x14ac:dyDescent="0.25">
      <c r="A1223" s="214"/>
      <c r="B1223" s="237">
        <v>1</v>
      </c>
      <c r="C1223" s="237">
        <v>3</v>
      </c>
      <c r="D1223" s="238" t="s">
        <v>2022</v>
      </c>
      <c r="E1223" s="238" t="s">
        <v>1836</v>
      </c>
      <c r="F1223" s="238" t="s">
        <v>2100</v>
      </c>
      <c r="G1223" s="238" t="s">
        <v>96</v>
      </c>
      <c r="H1223" s="239" t="s">
        <v>3038</v>
      </c>
      <c r="I1223" s="217"/>
      <c r="J1223" s="217"/>
      <c r="K1223" s="217"/>
      <c r="L1223" s="217"/>
      <c r="M1223" s="217"/>
      <c r="N1223" s="217"/>
      <c r="O1223" s="217"/>
      <c r="P1223" s="217"/>
    </row>
    <row r="1224" spans="1:16" s="219" customFormat="1" ht="45" hidden="1" x14ac:dyDescent="0.25">
      <c r="A1224" s="214"/>
      <c r="B1224" s="237">
        <v>1</v>
      </c>
      <c r="C1224" s="237">
        <v>3</v>
      </c>
      <c r="D1224" s="238" t="s">
        <v>2022</v>
      </c>
      <c r="E1224" s="238" t="s">
        <v>1836</v>
      </c>
      <c r="F1224" s="238" t="s">
        <v>2100</v>
      </c>
      <c r="G1224" s="238" t="s">
        <v>100</v>
      </c>
      <c r="H1224" s="239" t="s">
        <v>3039</v>
      </c>
      <c r="I1224" s="217"/>
      <c r="J1224" s="217"/>
      <c r="K1224" s="217"/>
      <c r="L1224" s="217"/>
      <c r="M1224" s="217"/>
      <c r="N1224" s="217"/>
      <c r="O1224" s="217"/>
      <c r="P1224" s="217"/>
    </row>
    <row r="1225" spans="1:16" s="219" customFormat="1" ht="45" hidden="1" x14ac:dyDescent="0.25">
      <c r="A1225" s="214"/>
      <c r="B1225" s="237">
        <v>1</v>
      </c>
      <c r="C1225" s="237">
        <v>3</v>
      </c>
      <c r="D1225" s="238" t="s">
        <v>2022</v>
      </c>
      <c r="E1225" s="238" t="s">
        <v>1836</v>
      </c>
      <c r="F1225" s="238" t="s">
        <v>2100</v>
      </c>
      <c r="G1225" s="238" t="s">
        <v>105</v>
      </c>
      <c r="H1225" s="239" t="s">
        <v>3040</v>
      </c>
      <c r="I1225" s="217"/>
      <c r="J1225" s="217"/>
      <c r="K1225" s="217"/>
      <c r="L1225" s="217"/>
      <c r="M1225" s="217"/>
      <c r="N1225" s="217"/>
      <c r="O1225" s="217"/>
      <c r="P1225" s="217"/>
    </row>
    <row r="1226" spans="1:16" s="219" customFormat="1" ht="30" hidden="1" x14ac:dyDescent="0.25">
      <c r="A1226" s="214"/>
      <c r="B1226" s="237">
        <v>1</v>
      </c>
      <c r="C1226" s="237">
        <v>3</v>
      </c>
      <c r="D1226" s="238" t="s">
        <v>2022</v>
      </c>
      <c r="E1226" s="238" t="s">
        <v>1836</v>
      </c>
      <c r="F1226" s="238" t="s">
        <v>2100</v>
      </c>
      <c r="G1226" s="238" t="s">
        <v>108</v>
      </c>
      <c r="H1226" s="239" t="s">
        <v>3041</v>
      </c>
      <c r="I1226" s="217"/>
      <c r="J1226" s="217"/>
      <c r="K1226" s="217"/>
      <c r="L1226" s="217"/>
      <c r="M1226" s="217"/>
      <c r="N1226" s="217"/>
      <c r="O1226" s="217"/>
      <c r="P1226" s="217"/>
    </row>
    <row r="1227" spans="1:16" s="219" customFormat="1" ht="45" hidden="1" x14ac:dyDescent="0.25">
      <c r="A1227" s="214"/>
      <c r="B1227" s="237">
        <v>1</v>
      </c>
      <c r="C1227" s="237">
        <v>3</v>
      </c>
      <c r="D1227" s="238" t="s">
        <v>2022</v>
      </c>
      <c r="E1227" s="238" t="s">
        <v>1836</v>
      </c>
      <c r="F1227" s="238" t="s">
        <v>2100</v>
      </c>
      <c r="G1227" s="238" t="s">
        <v>135</v>
      </c>
      <c r="H1227" s="239" t="s">
        <v>3042</v>
      </c>
      <c r="I1227" s="217"/>
      <c r="J1227" s="217"/>
      <c r="K1227" s="217"/>
      <c r="L1227" s="217"/>
      <c r="M1227" s="217"/>
      <c r="N1227" s="217"/>
      <c r="O1227" s="217"/>
      <c r="P1227" s="217"/>
    </row>
    <row r="1228" spans="1:16" s="219" customFormat="1" ht="45" hidden="1" x14ac:dyDescent="0.25">
      <c r="A1228" s="214"/>
      <c r="B1228" s="237">
        <v>1</v>
      </c>
      <c r="C1228" s="237">
        <v>3</v>
      </c>
      <c r="D1228" s="238" t="s">
        <v>2022</v>
      </c>
      <c r="E1228" s="238" t="s">
        <v>1836</v>
      </c>
      <c r="F1228" s="238" t="s">
        <v>2100</v>
      </c>
      <c r="G1228" s="238" t="s">
        <v>138</v>
      </c>
      <c r="H1228" s="239" t="s">
        <v>3043</v>
      </c>
      <c r="I1228" s="217"/>
      <c r="J1228" s="217"/>
      <c r="K1228" s="217"/>
      <c r="L1228" s="217"/>
      <c r="M1228" s="217"/>
      <c r="N1228" s="217"/>
      <c r="O1228" s="217"/>
      <c r="P1228" s="217"/>
    </row>
    <row r="1229" spans="1:16" s="219" customFormat="1" ht="45" hidden="1" x14ac:dyDescent="0.25">
      <c r="A1229" s="214"/>
      <c r="B1229" s="237">
        <v>1</v>
      </c>
      <c r="C1229" s="237">
        <v>3</v>
      </c>
      <c r="D1229" s="238" t="s">
        <v>2022</v>
      </c>
      <c r="E1229" s="238" t="s">
        <v>1836</v>
      </c>
      <c r="F1229" s="238" t="s">
        <v>2100</v>
      </c>
      <c r="G1229" s="238" t="s">
        <v>140</v>
      </c>
      <c r="H1229" s="239" t="s">
        <v>3044</v>
      </c>
      <c r="I1229" s="217"/>
      <c r="J1229" s="217"/>
      <c r="K1229" s="217"/>
      <c r="L1229" s="217"/>
      <c r="M1229" s="217"/>
      <c r="N1229" s="217"/>
      <c r="O1229" s="217"/>
      <c r="P1229" s="217"/>
    </row>
    <row r="1230" spans="1:16" s="219" customFormat="1" ht="30" hidden="1" x14ac:dyDescent="0.25">
      <c r="A1230" s="214"/>
      <c r="B1230" s="237">
        <v>1</v>
      </c>
      <c r="C1230" s="237">
        <v>3</v>
      </c>
      <c r="D1230" s="238" t="s">
        <v>2022</v>
      </c>
      <c r="E1230" s="238" t="s">
        <v>1836</v>
      </c>
      <c r="F1230" s="238" t="s">
        <v>2100</v>
      </c>
      <c r="G1230" s="238" t="s">
        <v>143</v>
      </c>
      <c r="H1230" s="239" t="s">
        <v>3045</v>
      </c>
      <c r="I1230" s="217"/>
      <c r="J1230" s="217"/>
      <c r="K1230" s="217"/>
      <c r="L1230" s="217"/>
      <c r="M1230" s="217"/>
      <c r="N1230" s="217"/>
      <c r="O1230" s="217"/>
      <c r="P1230" s="217"/>
    </row>
    <row r="1231" spans="1:16" s="219" customFormat="1" ht="45" hidden="1" x14ac:dyDescent="0.25">
      <c r="A1231" s="214"/>
      <c r="B1231" s="237">
        <v>1</v>
      </c>
      <c r="C1231" s="237">
        <v>3</v>
      </c>
      <c r="D1231" s="238" t="s">
        <v>2022</v>
      </c>
      <c r="E1231" s="238" t="s">
        <v>1836</v>
      </c>
      <c r="F1231" s="238" t="s">
        <v>2100</v>
      </c>
      <c r="G1231" s="238" t="s">
        <v>146</v>
      </c>
      <c r="H1231" s="239" t="s">
        <v>3046</v>
      </c>
      <c r="I1231" s="217"/>
      <c r="J1231" s="217"/>
      <c r="K1231" s="217"/>
      <c r="L1231" s="217"/>
      <c r="M1231" s="217"/>
      <c r="N1231" s="217"/>
      <c r="O1231" s="217"/>
      <c r="P1231" s="217"/>
    </row>
    <row r="1232" spans="1:16" s="219" customFormat="1" ht="45" hidden="1" x14ac:dyDescent="0.25">
      <c r="A1232" s="214"/>
      <c r="B1232" s="237">
        <v>1</v>
      </c>
      <c r="C1232" s="237">
        <v>3</v>
      </c>
      <c r="D1232" s="238" t="s">
        <v>2022</v>
      </c>
      <c r="E1232" s="238" t="s">
        <v>1836</v>
      </c>
      <c r="F1232" s="238" t="s">
        <v>2100</v>
      </c>
      <c r="G1232" s="238" t="s">
        <v>150</v>
      </c>
      <c r="H1232" s="239" t="s">
        <v>3047</v>
      </c>
      <c r="I1232" s="217"/>
      <c r="J1232" s="217"/>
      <c r="K1232" s="217"/>
      <c r="L1232" s="217"/>
      <c r="M1232" s="217"/>
      <c r="N1232" s="217"/>
      <c r="O1232" s="217"/>
      <c r="P1232" s="217"/>
    </row>
    <row r="1233" spans="1:16" s="219" customFormat="1" ht="45" hidden="1" x14ac:dyDescent="0.25">
      <c r="A1233" s="214"/>
      <c r="B1233" s="237">
        <v>1</v>
      </c>
      <c r="C1233" s="237">
        <v>3</v>
      </c>
      <c r="D1233" s="238" t="s">
        <v>2022</v>
      </c>
      <c r="E1233" s="238" t="s">
        <v>1836</v>
      </c>
      <c r="F1233" s="238" t="s">
        <v>2100</v>
      </c>
      <c r="G1233" s="238" t="s">
        <v>153</v>
      </c>
      <c r="H1233" s="239" t="s">
        <v>3048</v>
      </c>
      <c r="I1233" s="217"/>
      <c r="J1233" s="217"/>
      <c r="K1233" s="217"/>
      <c r="L1233" s="217"/>
      <c r="M1233" s="217"/>
      <c r="N1233" s="217"/>
      <c r="O1233" s="217"/>
      <c r="P1233" s="217"/>
    </row>
    <row r="1234" spans="1:16" s="219" customFormat="1" ht="45" hidden="1" x14ac:dyDescent="0.25">
      <c r="A1234" s="214"/>
      <c r="B1234" s="237">
        <v>1</v>
      </c>
      <c r="C1234" s="237">
        <v>3</v>
      </c>
      <c r="D1234" s="238" t="s">
        <v>2022</v>
      </c>
      <c r="E1234" s="238" t="s">
        <v>1836</v>
      </c>
      <c r="F1234" s="238" t="s">
        <v>2100</v>
      </c>
      <c r="G1234" s="238" t="s">
        <v>156</v>
      </c>
      <c r="H1234" s="239" t="s">
        <v>3049</v>
      </c>
      <c r="I1234" s="217"/>
      <c r="J1234" s="217"/>
      <c r="K1234" s="217"/>
      <c r="L1234" s="217"/>
      <c r="M1234" s="217"/>
      <c r="N1234" s="217"/>
      <c r="O1234" s="217"/>
      <c r="P1234" s="217"/>
    </row>
    <row r="1235" spans="1:16" s="219" customFormat="1" ht="30" hidden="1" x14ac:dyDescent="0.25">
      <c r="A1235" s="214"/>
      <c r="B1235" s="237">
        <v>1</v>
      </c>
      <c r="C1235" s="237">
        <v>3</v>
      </c>
      <c r="D1235" s="238" t="s">
        <v>2022</v>
      </c>
      <c r="E1235" s="238" t="s">
        <v>1836</v>
      </c>
      <c r="F1235" s="238" t="s">
        <v>2100</v>
      </c>
      <c r="G1235" s="238" t="s">
        <v>159</v>
      </c>
      <c r="H1235" s="239" t="s">
        <v>3050</v>
      </c>
      <c r="I1235" s="217"/>
      <c r="J1235" s="217"/>
      <c r="K1235" s="217"/>
      <c r="L1235" s="217"/>
      <c r="M1235" s="217"/>
      <c r="N1235" s="217"/>
      <c r="O1235" s="217"/>
      <c r="P1235" s="217"/>
    </row>
    <row r="1236" spans="1:16" s="219" customFormat="1" ht="45" hidden="1" x14ac:dyDescent="0.25">
      <c r="A1236" s="214"/>
      <c r="B1236" s="237">
        <v>1</v>
      </c>
      <c r="C1236" s="237">
        <v>3</v>
      </c>
      <c r="D1236" s="238" t="s">
        <v>2022</v>
      </c>
      <c r="E1236" s="238" t="s">
        <v>1836</v>
      </c>
      <c r="F1236" s="238" t="s">
        <v>2100</v>
      </c>
      <c r="G1236" s="238" t="s">
        <v>162</v>
      </c>
      <c r="H1236" s="239" t="s">
        <v>3051</v>
      </c>
      <c r="I1236" s="217"/>
      <c r="J1236" s="217"/>
      <c r="K1236" s="217"/>
      <c r="L1236" s="217"/>
      <c r="M1236" s="217"/>
      <c r="N1236" s="217"/>
      <c r="O1236" s="217"/>
      <c r="P1236" s="217"/>
    </row>
    <row r="1237" spans="1:16" s="219" customFormat="1" ht="45" hidden="1" x14ac:dyDescent="0.25">
      <c r="A1237" s="214"/>
      <c r="B1237" s="237">
        <v>1</v>
      </c>
      <c r="C1237" s="237">
        <v>3</v>
      </c>
      <c r="D1237" s="238" t="s">
        <v>2022</v>
      </c>
      <c r="E1237" s="238" t="s">
        <v>1836</v>
      </c>
      <c r="F1237" s="238" t="s">
        <v>2100</v>
      </c>
      <c r="G1237" s="238" t="s">
        <v>312</v>
      </c>
      <c r="H1237" s="239" t="s">
        <v>3052</v>
      </c>
      <c r="I1237" s="217"/>
      <c r="J1237" s="217"/>
      <c r="K1237" s="217"/>
      <c r="L1237" s="217"/>
      <c r="M1237" s="217"/>
      <c r="N1237" s="217"/>
      <c r="O1237" s="217"/>
      <c r="P1237" s="217"/>
    </row>
    <row r="1238" spans="1:16" s="219" customFormat="1" ht="30" hidden="1" x14ac:dyDescent="0.25">
      <c r="A1238" s="214"/>
      <c r="B1238" s="237">
        <v>1</v>
      </c>
      <c r="C1238" s="237">
        <v>3</v>
      </c>
      <c r="D1238" s="238" t="s">
        <v>2022</v>
      </c>
      <c r="E1238" s="238" t="s">
        <v>1836</v>
      </c>
      <c r="F1238" s="238" t="s">
        <v>2100</v>
      </c>
      <c r="G1238" s="238" t="s">
        <v>313</v>
      </c>
      <c r="H1238" s="239" t="s">
        <v>3053</v>
      </c>
      <c r="I1238" s="217"/>
      <c r="J1238" s="217"/>
      <c r="K1238" s="217"/>
      <c r="L1238" s="217"/>
      <c r="M1238" s="217"/>
      <c r="N1238" s="217"/>
      <c r="O1238" s="217"/>
      <c r="P1238" s="217"/>
    </row>
    <row r="1239" spans="1:16" s="219" customFormat="1" ht="45" hidden="1" x14ac:dyDescent="0.25">
      <c r="A1239" s="214"/>
      <c r="B1239" s="237">
        <v>1</v>
      </c>
      <c r="C1239" s="237">
        <v>3</v>
      </c>
      <c r="D1239" s="238" t="s">
        <v>2022</v>
      </c>
      <c r="E1239" s="238" t="s">
        <v>1836</v>
      </c>
      <c r="F1239" s="238" t="s">
        <v>2100</v>
      </c>
      <c r="G1239" s="238" t="s">
        <v>559</v>
      </c>
      <c r="H1239" s="239" t="s">
        <v>3054</v>
      </c>
      <c r="I1239" s="217"/>
      <c r="J1239" s="217"/>
      <c r="K1239" s="217"/>
      <c r="L1239" s="217"/>
      <c r="M1239" s="217"/>
      <c r="N1239" s="217"/>
      <c r="O1239" s="217"/>
      <c r="P1239" s="217"/>
    </row>
    <row r="1240" spans="1:16" s="219" customFormat="1" ht="30" hidden="1" x14ac:dyDescent="0.25">
      <c r="A1240" s="214"/>
      <c r="B1240" s="237">
        <v>1</v>
      </c>
      <c r="C1240" s="237">
        <v>3</v>
      </c>
      <c r="D1240" s="238" t="s">
        <v>2022</v>
      </c>
      <c r="E1240" s="238" t="s">
        <v>1836</v>
      </c>
      <c r="F1240" s="238" t="s">
        <v>2100</v>
      </c>
      <c r="G1240" s="238" t="s">
        <v>561</v>
      </c>
      <c r="H1240" s="239" t="s">
        <v>3055</v>
      </c>
      <c r="I1240" s="217"/>
      <c r="J1240" s="217"/>
      <c r="K1240" s="217"/>
      <c r="L1240" s="217"/>
      <c r="M1240" s="217"/>
      <c r="N1240" s="217"/>
      <c r="O1240" s="217"/>
      <c r="P1240" s="217"/>
    </row>
    <row r="1241" spans="1:16" s="219" customFormat="1" ht="30" hidden="1" x14ac:dyDescent="0.25">
      <c r="A1241" s="214"/>
      <c r="B1241" s="237">
        <v>1</v>
      </c>
      <c r="C1241" s="237">
        <v>3</v>
      </c>
      <c r="D1241" s="238" t="s">
        <v>2022</v>
      </c>
      <c r="E1241" s="238" t="s">
        <v>1836</v>
      </c>
      <c r="F1241" s="238" t="s">
        <v>2100</v>
      </c>
      <c r="G1241" s="238" t="s">
        <v>563</v>
      </c>
      <c r="H1241" s="239" t="s">
        <v>3056</v>
      </c>
      <c r="I1241" s="217"/>
      <c r="J1241" s="217"/>
      <c r="K1241" s="217"/>
      <c r="L1241" s="217"/>
      <c r="M1241" s="217"/>
      <c r="N1241" s="217"/>
      <c r="O1241" s="217"/>
      <c r="P1241" s="217"/>
    </row>
    <row r="1242" spans="1:16" s="219" customFormat="1" ht="45" hidden="1" x14ac:dyDescent="0.25">
      <c r="A1242" s="214"/>
      <c r="B1242" s="237">
        <v>1</v>
      </c>
      <c r="C1242" s="237">
        <v>3</v>
      </c>
      <c r="D1242" s="238" t="s">
        <v>2022</v>
      </c>
      <c r="E1242" s="238" t="s">
        <v>1836</v>
      </c>
      <c r="F1242" s="238" t="s">
        <v>2100</v>
      </c>
      <c r="G1242" s="238" t="s">
        <v>227</v>
      </c>
      <c r="H1242" s="239" t="s">
        <v>3057</v>
      </c>
      <c r="I1242" s="217"/>
      <c r="J1242" s="217"/>
      <c r="K1242" s="217"/>
      <c r="L1242" s="217"/>
      <c r="M1242" s="217"/>
      <c r="N1242" s="217"/>
      <c r="O1242" s="217"/>
      <c r="P1242" s="217"/>
    </row>
    <row r="1243" spans="1:16" s="219" customFormat="1" ht="45" hidden="1" x14ac:dyDescent="0.25">
      <c r="A1243" s="214"/>
      <c r="B1243" s="237">
        <v>1</v>
      </c>
      <c r="C1243" s="237">
        <v>3</v>
      </c>
      <c r="D1243" s="238" t="s">
        <v>2022</v>
      </c>
      <c r="E1243" s="238" t="s">
        <v>1836</v>
      </c>
      <c r="F1243" s="238" t="s">
        <v>2100</v>
      </c>
      <c r="G1243" s="238" t="s">
        <v>230</v>
      </c>
      <c r="H1243" s="239" t="s">
        <v>3058</v>
      </c>
      <c r="I1243" s="217"/>
      <c r="J1243" s="217"/>
      <c r="K1243" s="217"/>
      <c r="L1243" s="217"/>
      <c r="M1243" s="217"/>
      <c r="N1243" s="217"/>
      <c r="O1243" s="217"/>
      <c r="P1243" s="217"/>
    </row>
    <row r="1244" spans="1:16" s="219" customFormat="1" ht="30" hidden="1" x14ac:dyDescent="0.25">
      <c r="A1244" s="214"/>
      <c r="B1244" s="237">
        <v>1</v>
      </c>
      <c r="C1244" s="237">
        <v>3</v>
      </c>
      <c r="D1244" s="238" t="s">
        <v>2022</v>
      </c>
      <c r="E1244" s="238" t="s">
        <v>1836</v>
      </c>
      <c r="F1244" s="238" t="s">
        <v>2100</v>
      </c>
      <c r="G1244" s="238" t="s">
        <v>232</v>
      </c>
      <c r="H1244" s="239" t="s">
        <v>3059</v>
      </c>
      <c r="I1244" s="217"/>
      <c r="J1244" s="217"/>
      <c r="K1244" s="217"/>
      <c r="L1244" s="217"/>
      <c r="M1244" s="217"/>
      <c r="N1244" s="217"/>
      <c r="O1244" s="217"/>
      <c r="P1244" s="217"/>
    </row>
    <row r="1245" spans="1:16" s="219" customFormat="1" ht="30" hidden="1" x14ac:dyDescent="0.25">
      <c r="A1245" s="214"/>
      <c r="B1245" s="237">
        <v>1</v>
      </c>
      <c r="C1245" s="237">
        <v>3</v>
      </c>
      <c r="D1245" s="238" t="s">
        <v>2022</v>
      </c>
      <c r="E1245" s="238" t="s">
        <v>1836</v>
      </c>
      <c r="F1245" s="238" t="s">
        <v>2100</v>
      </c>
      <c r="G1245" s="238" t="s">
        <v>234</v>
      </c>
      <c r="H1245" s="239" t="s">
        <v>3060</v>
      </c>
      <c r="I1245" s="217"/>
      <c r="J1245" s="217"/>
      <c r="K1245" s="217"/>
      <c r="L1245" s="217"/>
      <c r="M1245" s="217"/>
      <c r="N1245" s="217"/>
      <c r="O1245" s="217"/>
      <c r="P1245" s="217"/>
    </row>
    <row r="1246" spans="1:16" s="219" customFormat="1" ht="45" hidden="1" x14ac:dyDescent="0.25">
      <c r="A1246" s="214"/>
      <c r="B1246" s="237">
        <v>1</v>
      </c>
      <c r="C1246" s="237">
        <v>3</v>
      </c>
      <c r="D1246" s="238" t="s">
        <v>2022</v>
      </c>
      <c r="E1246" s="238" t="s">
        <v>1836</v>
      </c>
      <c r="F1246" s="238" t="s">
        <v>2100</v>
      </c>
      <c r="G1246" s="238" t="s">
        <v>236</v>
      </c>
      <c r="H1246" s="239" t="s">
        <v>3061</v>
      </c>
      <c r="I1246" s="217"/>
      <c r="J1246" s="217"/>
      <c r="K1246" s="217"/>
      <c r="L1246" s="217"/>
      <c r="M1246" s="217"/>
      <c r="N1246" s="217"/>
      <c r="O1246" s="217"/>
      <c r="P1246" s="217"/>
    </row>
    <row r="1247" spans="1:16" s="219" customFormat="1" ht="45" hidden="1" x14ac:dyDescent="0.25">
      <c r="A1247" s="214"/>
      <c r="B1247" s="237">
        <v>1</v>
      </c>
      <c r="C1247" s="237">
        <v>3</v>
      </c>
      <c r="D1247" s="238" t="s">
        <v>2022</v>
      </c>
      <c r="E1247" s="238" t="s">
        <v>1836</v>
      </c>
      <c r="F1247" s="238" t="s">
        <v>2100</v>
      </c>
      <c r="G1247" s="238" t="s">
        <v>238</v>
      </c>
      <c r="H1247" s="239" t="s">
        <v>3062</v>
      </c>
      <c r="I1247" s="217"/>
      <c r="J1247" s="217"/>
      <c r="K1247" s="217"/>
      <c r="L1247" s="217"/>
      <c r="M1247" s="217"/>
      <c r="N1247" s="217"/>
      <c r="O1247" s="217"/>
      <c r="P1247" s="217"/>
    </row>
    <row r="1248" spans="1:16" s="219" customFormat="1" ht="45" hidden="1" x14ac:dyDescent="0.25">
      <c r="A1248" s="214"/>
      <c r="B1248" s="237">
        <v>1</v>
      </c>
      <c r="C1248" s="237">
        <v>3</v>
      </c>
      <c r="D1248" s="238" t="s">
        <v>2022</v>
      </c>
      <c r="E1248" s="238" t="s">
        <v>1836</v>
      </c>
      <c r="F1248" s="238" t="s">
        <v>2100</v>
      </c>
      <c r="G1248" s="238" t="s">
        <v>240</v>
      </c>
      <c r="H1248" s="239" t="s">
        <v>3063</v>
      </c>
      <c r="I1248" s="217"/>
      <c r="J1248" s="217"/>
      <c r="K1248" s="217"/>
      <c r="L1248" s="217"/>
      <c r="M1248" s="217"/>
      <c r="N1248" s="217"/>
      <c r="O1248" s="217"/>
      <c r="P1248" s="217"/>
    </row>
    <row r="1249" spans="1:16" s="219" customFormat="1" ht="45" hidden="1" x14ac:dyDescent="0.25">
      <c r="A1249" s="214"/>
      <c r="B1249" s="237">
        <v>1</v>
      </c>
      <c r="C1249" s="237">
        <v>3</v>
      </c>
      <c r="D1249" s="238" t="s">
        <v>2022</v>
      </c>
      <c r="E1249" s="238" t="s">
        <v>1836</v>
      </c>
      <c r="F1249" s="238" t="s">
        <v>2100</v>
      </c>
      <c r="G1249" s="238" t="s">
        <v>242</v>
      </c>
      <c r="H1249" s="239" t="s">
        <v>3064</v>
      </c>
      <c r="I1249" s="217"/>
      <c r="J1249" s="217"/>
      <c r="K1249" s="217"/>
      <c r="L1249" s="217"/>
      <c r="M1249" s="217"/>
      <c r="N1249" s="217"/>
      <c r="O1249" s="217"/>
      <c r="P1249" s="217"/>
    </row>
    <row r="1250" spans="1:16" s="219" customFormat="1" ht="45" hidden="1" x14ac:dyDescent="0.25">
      <c r="A1250" s="214"/>
      <c r="B1250" s="237">
        <v>1</v>
      </c>
      <c r="C1250" s="237">
        <v>3</v>
      </c>
      <c r="D1250" s="238" t="s">
        <v>2022</v>
      </c>
      <c r="E1250" s="238" t="s">
        <v>1836</v>
      </c>
      <c r="F1250" s="238" t="s">
        <v>2100</v>
      </c>
      <c r="G1250" s="238" t="s">
        <v>244</v>
      </c>
      <c r="H1250" s="239" t="s">
        <v>3065</v>
      </c>
      <c r="I1250" s="217"/>
      <c r="J1250" s="217"/>
      <c r="K1250" s="217"/>
      <c r="L1250" s="217"/>
      <c r="M1250" s="217"/>
      <c r="N1250" s="217"/>
      <c r="O1250" s="217"/>
      <c r="P1250" s="217"/>
    </row>
    <row r="1251" spans="1:16" s="213" customFormat="1" ht="30" hidden="1" x14ac:dyDescent="0.25">
      <c r="A1251" s="208" t="s">
        <v>263</v>
      </c>
      <c r="B1251" s="234">
        <v>1</v>
      </c>
      <c r="C1251" s="234">
        <v>3</v>
      </c>
      <c r="D1251" s="235" t="s">
        <v>2022</v>
      </c>
      <c r="E1251" s="235" t="s">
        <v>1836</v>
      </c>
      <c r="F1251" s="235" t="s">
        <v>2139</v>
      </c>
      <c r="G1251" s="234"/>
      <c r="H1251" s="236" t="s">
        <v>3066</v>
      </c>
      <c r="I1251" s="211">
        <f>SUM(I1252:I1390)</f>
        <v>0</v>
      </c>
      <c r="J1251" s="211">
        <f t="shared" ref="J1251:P1251" si="162">SUM(J1252:J1390)</f>
        <v>0</v>
      </c>
      <c r="K1251" s="211">
        <f t="shared" si="162"/>
        <v>0</v>
      </c>
      <c r="L1251" s="211">
        <f t="shared" si="162"/>
        <v>0</v>
      </c>
      <c r="M1251" s="211">
        <f t="shared" si="162"/>
        <v>0</v>
      </c>
      <c r="N1251" s="211">
        <f t="shared" si="162"/>
        <v>0</v>
      </c>
      <c r="O1251" s="211">
        <f t="shared" si="162"/>
        <v>0</v>
      </c>
      <c r="P1251" s="211">
        <f t="shared" si="162"/>
        <v>0</v>
      </c>
    </row>
    <row r="1252" spans="1:16" s="219" customFormat="1" ht="45" hidden="1" x14ac:dyDescent="0.25">
      <c r="A1252" s="214"/>
      <c r="B1252" s="237">
        <v>1</v>
      </c>
      <c r="C1252" s="237">
        <v>3</v>
      </c>
      <c r="D1252" s="238" t="s">
        <v>2022</v>
      </c>
      <c r="E1252" s="238" t="s">
        <v>1836</v>
      </c>
      <c r="F1252" s="238" t="s">
        <v>2139</v>
      </c>
      <c r="G1252" s="238" t="s">
        <v>58</v>
      </c>
      <c r="H1252" s="239" t="s">
        <v>3067</v>
      </c>
      <c r="I1252" s="217"/>
      <c r="J1252" s="217"/>
      <c r="K1252" s="217"/>
      <c r="L1252" s="217"/>
      <c r="M1252" s="217"/>
      <c r="N1252" s="217"/>
      <c r="O1252" s="217"/>
      <c r="P1252" s="217"/>
    </row>
    <row r="1253" spans="1:16" s="219" customFormat="1" ht="45" hidden="1" x14ac:dyDescent="0.25">
      <c r="A1253" s="214"/>
      <c r="B1253" s="237">
        <v>1</v>
      </c>
      <c r="C1253" s="237">
        <v>3</v>
      </c>
      <c r="D1253" s="238" t="s">
        <v>2022</v>
      </c>
      <c r="E1253" s="238" t="s">
        <v>1836</v>
      </c>
      <c r="F1253" s="238" t="s">
        <v>2139</v>
      </c>
      <c r="G1253" s="238" t="s">
        <v>75</v>
      </c>
      <c r="H1253" s="239" t="s">
        <v>3068</v>
      </c>
      <c r="I1253" s="217"/>
      <c r="J1253" s="217"/>
      <c r="K1253" s="217"/>
      <c r="L1253" s="217"/>
      <c r="M1253" s="217"/>
      <c r="N1253" s="217"/>
      <c r="O1253" s="217"/>
      <c r="P1253" s="217"/>
    </row>
    <row r="1254" spans="1:16" s="219" customFormat="1" ht="45" hidden="1" x14ac:dyDescent="0.25">
      <c r="A1254" s="214"/>
      <c r="B1254" s="237">
        <v>1</v>
      </c>
      <c r="C1254" s="237">
        <v>3</v>
      </c>
      <c r="D1254" s="238" t="s">
        <v>2022</v>
      </c>
      <c r="E1254" s="238" t="s">
        <v>1836</v>
      </c>
      <c r="F1254" s="238" t="s">
        <v>2139</v>
      </c>
      <c r="G1254" s="238" t="s">
        <v>79</v>
      </c>
      <c r="H1254" s="239" t="s">
        <v>3069</v>
      </c>
      <c r="I1254" s="217"/>
      <c r="J1254" s="217"/>
      <c r="K1254" s="217"/>
      <c r="L1254" s="217"/>
      <c r="M1254" s="217"/>
      <c r="N1254" s="217"/>
      <c r="O1254" s="217"/>
      <c r="P1254" s="217"/>
    </row>
    <row r="1255" spans="1:16" s="219" customFormat="1" ht="45" hidden="1" x14ac:dyDescent="0.25">
      <c r="A1255" s="214"/>
      <c r="B1255" s="237">
        <v>1</v>
      </c>
      <c r="C1255" s="237">
        <v>3</v>
      </c>
      <c r="D1255" s="238" t="s">
        <v>2022</v>
      </c>
      <c r="E1255" s="238" t="s">
        <v>1836</v>
      </c>
      <c r="F1255" s="238" t="s">
        <v>2139</v>
      </c>
      <c r="G1255" s="238" t="s">
        <v>84</v>
      </c>
      <c r="H1255" s="239" t="s">
        <v>3070</v>
      </c>
      <c r="I1255" s="217"/>
      <c r="J1255" s="217"/>
      <c r="K1255" s="217"/>
      <c r="L1255" s="217"/>
      <c r="M1255" s="217"/>
      <c r="N1255" s="217"/>
      <c r="O1255" s="217"/>
      <c r="P1255" s="217"/>
    </row>
    <row r="1256" spans="1:16" s="219" customFormat="1" ht="45" hidden="1" x14ac:dyDescent="0.25">
      <c r="A1256" s="214"/>
      <c r="B1256" s="237">
        <v>1</v>
      </c>
      <c r="C1256" s="237">
        <v>3</v>
      </c>
      <c r="D1256" s="238" t="s">
        <v>2022</v>
      </c>
      <c r="E1256" s="238" t="s">
        <v>1836</v>
      </c>
      <c r="F1256" s="238" t="s">
        <v>2139</v>
      </c>
      <c r="G1256" s="238" t="s">
        <v>88</v>
      </c>
      <c r="H1256" s="239" t="s">
        <v>3071</v>
      </c>
      <c r="I1256" s="217"/>
      <c r="J1256" s="217"/>
      <c r="K1256" s="217"/>
      <c r="L1256" s="217"/>
      <c r="M1256" s="217"/>
      <c r="N1256" s="217"/>
      <c r="O1256" s="217"/>
      <c r="P1256" s="217"/>
    </row>
    <row r="1257" spans="1:16" s="219" customFormat="1" ht="45" hidden="1" x14ac:dyDescent="0.25">
      <c r="A1257" s="214"/>
      <c r="B1257" s="237">
        <v>1</v>
      </c>
      <c r="C1257" s="237">
        <v>3</v>
      </c>
      <c r="D1257" s="238" t="s">
        <v>2022</v>
      </c>
      <c r="E1257" s="238" t="s">
        <v>1836</v>
      </c>
      <c r="F1257" s="238" t="s">
        <v>2139</v>
      </c>
      <c r="G1257" s="238" t="s">
        <v>92</v>
      </c>
      <c r="H1257" s="239" t="s">
        <v>3072</v>
      </c>
      <c r="I1257" s="217"/>
      <c r="J1257" s="217"/>
      <c r="K1257" s="217"/>
      <c r="L1257" s="217"/>
      <c r="M1257" s="217"/>
      <c r="N1257" s="217"/>
      <c r="O1257" s="217"/>
      <c r="P1257" s="217"/>
    </row>
    <row r="1258" spans="1:16" s="219" customFormat="1" ht="45" hidden="1" x14ac:dyDescent="0.25">
      <c r="A1258" s="214"/>
      <c r="B1258" s="237">
        <v>1</v>
      </c>
      <c r="C1258" s="237">
        <v>3</v>
      </c>
      <c r="D1258" s="238" t="s">
        <v>2022</v>
      </c>
      <c r="E1258" s="238" t="s">
        <v>1836</v>
      </c>
      <c r="F1258" s="238" t="s">
        <v>2139</v>
      </c>
      <c r="G1258" s="238" t="s">
        <v>96</v>
      </c>
      <c r="H1258" s="239" t="s">
        <v>3073</v>
      </c>
      <c r="I1258" s="217"/>
      <c r="J1258" s="217"/>
      <c r="K1258" s="217"/>
      <c r="L1258" s="217"/>
      <c r="M1258" s="217"/>
      <c r="N1258" s="217"/>
      <c r="O1258" s="217"/>
      <c r="P1258" s="217"/>
    </row>
    <row r="1259" spans="1:16" s="219" customFormat="1" ht="45" hidden="1" x14ac:dyDescent="0.25">
      <c r="A1259" s="214"/>
      <c r="B1259" s="237">
        <v>1</v>
      </c>
      <c r="C1259" s="237">
        <v>3</v>
      </c>
      <c r="D1259" s="238" t="s">
        <v>2022</v>
      </c>
      <c r="E1259" s="238" t="s">
        <v>1836</v>
      </c>
      <c r="F1259" s="238" t="s">
        <v>2139</v>
      </c>
      <c r="G1259" s="238" t="s">
        <v>100</v>
      </c>
      <c r="H1259" s="239" t="s">
        <v>3074</v>
      </c>
      <c r="I1259" s="217"/>
      <c r="J1259" s="217"/>
      <c r="K1259" s="217"/>
      <c r="L1259" s="217"/>
      <c r="M1259" s="217"/>
      <c r="N1259" s="217"/>
      <c r="O1259" s="217"/>
      <c r="P1259" s="217"/>
    </row>
    <row r="1260" spans="1:16" s="219" customFormat="1" ht="45" hidden="1" x14ac:dyDescent="0.25">
      <c r="A1260" s="214"/>
      <c r="B1260" s="237">
        <v>1</v>
      </c>
      <c r="C1260" s="237">
        <v>3</v>
      </c>
      <c r="D1260" s="238" t="s">
        <v>2022</v>
      </c>
      <c r="E1260" s="238" t="s">
        <v>1836</v>
      </c>
      <c r="F1260" s="238" t="s">
        <v>2139</v>
      </c>
      <c r="G1260" s="238" t="s">
        <v>105</v>
      </c>
      <c r="H1260" s="239" t="s">
        <v>3075</v>
      </c>
      <c r="I1260" s="217"/>
      <c r="J1260" s="217"/>
      <c r="K1260" s="217"/>
      <c r="L1260" s="217"/>
      <c r="M1260" s="217"/>
      <c r="N1260" s="217"/>
      <c r="O1260" s="217"/>
      <c r="P1260" s="217"/>
    </row>
    <row r="1261" spans="1:16" s="219" customFormat="1" ht="45" hidden="1" x14ac:dyDescent="0.25">
      <c r="A1261" s="214"/>
      <c r="B1261" s="237">
        <v>1</v>
      </c>
      <c r="C1261" s="237">
        <v>3</v>
      </c>
      <c r="D1261" s="238" t="s">
        <v>2022</v>
      </c>
      <c r="E1261" s="238" t="s">
        <v>1836</v>
      </c>
      <c r="F1261" s="238" t="s">
        <v>2139</v>
      </c>
      <c r="G1261" s="238" t="s">
        <v>108</v>
      </c>
      <c r="H1261" s="239" t="s">
        <v>3076</v>
      </c>
      <c r="I1261" s="217"/>
      <c r="J1261" s="217"/>
      <c r="K1261" s="217"/>
      <c r="L1261" s="217"/>
      <c r="M1261" s="217"/>
      <c r="N1261" s="217"/>
      <c r="O1261" s="217"/>
      <c r="P1261" s="217"/>
    </row>
    <row r="1262" spans="1:16" s="219" customFormat="1" ht="45" hidden="1" x14ac:dyDescent="0.25">
      <c r="A1262" s="214"/>
      <c r="B1262" s="237">
        <v>1</v>
      </c>
      <c r="C1262" s="237">
        <v>3</v>
      </c>
      <c r="D1262" s="238" t="s">
        <v>2022</v>
      </c>
      <c r="E1262" s="238" t="s">
        <v>1836</v>
      </c>
      <c r="F1262" s="238" t="s">
        <v>2139</v>
      </c>
      <c r="G1262" s="238" t="s">
        <v>135</v>
      </c>
      <c r="H1262" s="239" t="s">
        <v>3077</v>
      </c>
      <c r="I1262" s="217"/>
      <c r="J1262" s="217"/>
      <c r="K1262" s="217"/>
      <c r="L1262" s="217"/>
      <c r="M1262" s="217"/>
      <c r="N1262" s="217"/>
      <c r="O1262" s="217"/>
      <c r="P1262" s="217"/>
    </row>
    <row r="1263" spans="1:16" s="219" customFormat="1" ht="45" hidden="1" x14ac:dyDescent="0.25">
      <c r="A1263" s="214"/>
      <c r="B1263" s="237">
        <v>1</v>
      </c>
      <c r="C1263" s="237">
        <v>3</v>
      </c>
      <c r="D1263" s="238" t="s">
        <v>2022</v>
      </c>
      <c r="E1263" s="238" t="s">
        <v>1836</v>
      </c>
      <c r="F1263" s="238" t="s">
        <v>2139</v>
      </c>
      <c r="G1263" s="238" t="s">
        <v>138</v>
      </c>
      <c r="H1263" s="239" t="s">
        <v>3078</v>
      </c>
      <c r="I1263" s="217"/>
      <c r="J1263" s="217"/>
      <c r="K1263" s="217"/>
      <c r="L1263" s="217"/>
      <c r="M1263" s="217"/>
      <c r="N1263" s="217"/>
      <c r="O1263" s="217"/>
      <c r="P1263" s="217"/>
    </row>
    <row r="1264" spans="1:16" s="219" customFormat="1" ht="45" hidden="1" x14ac:dyDescent="0.25">
      <c r="A1264" s="214"/>
      <c r="B1264" s="237">
        <v>1</v>
      </c>
      <c r="C1264" s="237">
        <v>3</v>
      </c>
      <c r="D1264" s="238" t="s">
        <v>2022</v>
      </c>
      <c r="E1264" s="238" t="s">
        <v>1836</v>
      </c>
      <c r="F1264" s="238" t="s">
        <v>2139</v>
      </c>
      <c r="G1264" s="238" t="s">
        <v>140</v>
      </c>
      <c r="H1264" s="239" t="s">
        <v>3079</v>
      </c>
      <c r="I1264" s="217"/>
      <c r="J1264" s="217"/>
      <c r="K1264" s="217"/>
      <c r="L1264" s="217"/>
      <c r="M1264" s="217"/>
      <c r="N1264" s="217"/>
      <c r="O1264" s="217"/>
      <c r="P1264" s="217"/>
    </row>
    <row r="1265" spans="1:16" s="219" customFormat="1" ht="45" hidden="1" x14ac:dyDescent="0.25">
      <c r="A1265" s="214"/>
      <c r="B1265" s="237">
        <v>1</v>
      </c>
      <c r="C1265" s="237">
        <v>3</v>
      </c>
      <c r="D1265" s="238" t="s">
        <v>2022</v>
      </c>
      <c r="E1265" s="238" t="s">
        <v>1836</v>
      </c>
      <c r="F1265" s="238" t="s">
        <v>2139</v>
      </c>
      <c r="G1265" s="238" t="s">
        <v>143</v>
      </c>
      <c r="H1265" s="239" t="s">
        <v>3080</v>
      </c>
      <c r="I1265" s="217"/>
      <c r="J1265" s="217"/>
      <c r="K1265" s="217"/>
      <c r="L1265" s="217"/>
      <c r="M1265" s="217"/>
      <c r="N1265" s="217"/>
      <c r="O1265" s="217"/>
      <c r="P1265" s="217"/>
    </row>
    <row r="1266" spans="1:16" s="219" customFormat="1" ht="45" hidden="1" x14ac:dyDescent="0.25">
      <c r="A1266" s="214"/>
      <c r="B1266" s="237">
        <v>1</v>
      </c>
      <c r="C1266" s="237">
        <v>3</v>
      </c>
      <c r="D1266" s="238" t="s">
        <v>2022</v>
      </c>
      <c r="E1266" s="238" t="s">
        <v>1836</v>
      </c>
      <c r="F1266" s="238" t="s">
        <v>2139</v>
      </c>
      <c r="G1266" s="238" t="s">
        <v>146</v>
      </c>
      <c r="H1266" s="239" t="s">
        <v>3081</v>
      </c>
      <c r="I1266" s="217"/>
      <c r="J1266" s="217"/>
      <c r="K1266" s="217"/>
      <c r="L1266" s="217"/>
      <c r="M1266" s="217"/>
      <c r="N1266" s="217"/>
      <c r="O1266" s="217"/>
      <c r="P1266" s="217"/>
    </row>
    <row r="1267" spans="1:16" s="219" customFormat="1" ht="45" hidden="1" x14ac:dyDescent="0.25">
      <c r="A1267" s="214"/>
      <c r="B1267" s="237">
        <v>1</v>
      </c>
      <c r="C1267" s="237">
        <v>3</v>
      </c>
      <c r="D1267" s="238" t="s">
        <v>2022</v>
      </c>
      <c r="E1267" s="238" t="s">
        <v>1836</v>
      </c>
      <c r="F1267" s="238" t="s">
        <v>2139</v>
      </c>
      <c r="G1267" s="238" t="s">
        <v>150</v>
      </c>
      <c r="H1267" s="239" t="s">
        <v>3082</v>
      </c>
      <c r="I1267" s="217"/>
      <c r="J1267" s="217"/>
      <c r="K1267" s="217"/>
      <c r="L1267" s="217"/>
      <c r="M1267" s="217"/>
      <c r="N1267" s="217"/>
      <c r="O1267" s="217"/>
      <c r="P1267" s="217"/>
    </row>
    <row r="1268" spans="1:16" s="219" customFormat="1" ht="45" hidden="1" x14ac:dyDescent="0.25">
      <c r="A1268" s="214"/>
      <c r="B1268" s="237">
        <v>1</v>
      </c>
      <c r="C1268" s="237">
        <v>3</v>
      </c>
      <c r="D1268" s="238" t="s">
        <v>2022</v>
      </c>
      <c r="E1268" s="238" t="s">
        <v>1836</v>
      </c>
      <c r="F1268" s="238" t="s">
        <v>2139</v>
      </c>
      <c r="G1268" s="238" t="s">
        <v>153</v>
      </c>
      <c r="H1268" s="239" t="s">
        <v>3083</v>
      </c>
      <c r="I1268" s="217"/>
      <c r="J1268" s="217"/>
      <c r="K1268" s="217"/>
      <c r="L1268" s="217"/>
      <c r="M1268" s="217"/>
      <c r="N1268" s="217"/>
      <c r="O1268" s="217"/>
      <c r="P1268" s="217"/>
    </row>
    <row r="1269" spans="1:16" s="219" customFormat="1" ht="45" hidden="1" x14ac:dyDescent="0.25">
      <c r="A1269" s="214"/>
      <c r="B1269" s="237">
        <v>1</v>
      </c>
      <c r="C1269" s="237">
        <v>3</v>
      </c>
      <c r="D1269" s="238" t="s">
        <v>2022</v>
      </c>
      <c r="E1269" s="238" t="s">
        <v>1836</v>
      </c>
      <c r="F1269" s="238" t="s">
        <v>2139</v>
      </c>
      <c r="G1269" s="238" t="s">
        <v>156</v>
      </c>
      <c r="H1269" s="239" t="s">
        <v>3084</v>
      </c>
      <c r="I1269" s="217"/>
      <c r="J1269" s="217"/>
      <c r="K1269" s="217"/>
      <c r="L1269" s="217"/>
      <c r="M1269" s="217"/>
      <c r="N1269" s="217"/>
      <c r="O1269" s="217"/>
      <c r="P1269" s="217"/>
    </row>
    <row r="1270" spans="1:16" s="219" customFormat="1" ht="45" hidden="1" x14ac:dyDescent="0.25">
      <c r="A1270" s="214"/>
      <c r="B1270" s="237">
        <v>1</v>
      </c>
      <c r="C1270" s="237">
        <v>3</v>
      </c>
      <c r="D1270" s="238" t="s">
        <v>2022</v>
      </c>
      <c r="E1270" s="238" t="s">
        <v>1836</v>
      </c>
      <c r="F1270" s="238" t="s">
        <v>2139</v>
      </c>
      <c r="G1270" s="238" t="s">
        <v>159</v>
      </c>
      <c r="H1270" s="239" t="s">
        <v>3085</v>
      </c>
      <c r="I1270" s="217"/>
      <c r="J1270" s="217"/>
      <c r="K1270" s="217"/>
      <c r="L1270" s="217"/>
      <c r="M1270" s="217"/>
      <c r="N1270" s="217"/>
      <c r="O1270" s="217"/>
      <c r="P1270" s="217"/>
    </row>
    <row r="1271" spans="1:16" s="219" customFormat="1" ht="45" hidden="1" x14ac:dyDescent="0.25">
      <c r="A1271" s="214"/>
      <c r="B1271" s="237">
        <v>1</v>
      </c>
      <c r="C1271" s="237">
        <v>3</v>
      </c>
      <c r="D1271" s="238" t="s">
        <v>2022</v>
      </c>
      <c r="E1271" s="238" t="s">
        <v>1836</v>
      </c>
      <c r="F1271" s="238" t="s">
        <v>2139</v>
      </c>
      <c r="G1271" s="238" t="s">
        <v>162</v>
      </c>
      <c r="H1271" s="239" t="s">
        <v>3086</v>
      </c>
      <c r="I1271" s="217"/>
      <c r="J1271" s="217"/>
      <c r="K1271" s="217"/>
      <c r="L1271" s="217"/>
      <c r="M1271" s="217"/>
      <c r="N1271" s="217"/>
      <c r="O1271" s="217"/>
      <c r="P1271" s="217"/>
    </row>
    <row r="1272" spans="1:16" s="219" customFormat="1" ht="45" hidden="1" x14ac:dyDescent="0.25">
      <c r="A1272" s="214"/>
      <c r="B1272" s="237">
        <v>1</v>
      </c>
      <c r="C1272" s="237">
        <v>3</v>
      </c>
      <c r="D1272" s="238" t="s">
        <v>2022</v>
      </c>
      <c r="E1272" s="238" t="s">
        <v>1836</v>
      </c>
      <c r="F1272" s="238" t="s">
        <v>2139</v>
      </c>
      <c r="G1272" s="238" t="s">
        <v>312</v>
      </c>
      <c r="H1272" s="239" t="s">
        <v>3087</v>
      </c>
      <c r="I1272" s="217"/>
      <c r="J1272" s="217"/>
      <c r="K1272" s="217"/>
      <c r="L1272" s="217"/>
      <c r="M1272" s="217"/>
      <c r="N1272" s="217"/>
      <c r="O1272" s="217"/>
      <c r="P1272" s="217"/>
    </row>
    <row r="1273" spans="1:16" s="219" customFormat="1" ht="45" hidden="1" x14ac:dyDescent="0.25">
      <c r="A1273" s="214"/>
      <c r="B1273" s="237">
        <v>1</v>
      </c>
      <c r="C1273" s="237">
        <v>3</v>
      </c>
      <c r="D1273" s="238" t="s">
        <v>2022</v>
      </c>
      <c r="E1273" s="238" t="s">
        <v>1836</v>
      </c>
      <c r="F1273" s="238" t="s">
        <v>2139</v>
      </c>
      <c r="G1273" s="238" t="s">
        <v>313</v>
      </c>
      <c r="H1273" s="239" t="s">
        <v>3088</v>
      </c>
      <c r="I1273" s="217"/>
      <c r="J1273" s="217"/>
      <c r="K1273" s="217"/>
      <c r="L1273" s="217"/>
      <c r="M1273" s="217"/>
      <c r="N1273" s="217"/>
      <c r="O1273" s="217"/>
      <c r="P1273" s="217"/>
    </row>
    <row r="1274" spans="1:16" s="219" customFormat="1" ht="45" hidden="1" x14ac:dyDescent="0.25">
      <c r="A1274" s="214"/>
      <c r="B1274" s="237">
        <v>1</v>
      </c>
      <c r="C1274" s="237">
        <v>3</v>
      </c>
      <c r="D1274" s="238" t="s">
        <v>2022</v>
      </c>
      <c r="E1274" s="238" t="s">
        <v>1836</v>
      </c>
      <c r="F1274" s="238" t="s">
        <v>2139</v>
      </c>
      <c r="G1274" s="238" t="s">
        <v>559</v>
      </c>
      <c r="H1274" s="239" t="s">
        <v>3089</v>
      </c>
      <c r="I1274" s="217"/>
      <c r="J1274" s="217"/>
      <c r="K1274" s="217"/>
      <c r="L1274" s="217"/>
      <c r="M1274" s="217"/>
      <c r="N1274" s="217"/>
      <c r="O1274" s="217"/>
      <c r="P1274" s="217"/>
    </row>
    <row r="1275" spans="1:16" s="219" customFormat="1" ht="45" hidden="1" x14ac:dyDescent="0.25">
      <c r="A1275" s="214"/>
      <c r="B1275" s="237">
        <v>1</v>
      </c>
      <c r="C1275" s="237">
        <v>3</v>
      </c>
      <c r="D1275" s="238" t="s">
        <v>2022</v>
      </c>
      <c r="E1275" s="238" t="s">
        <v>1836</v>
      </c>
      <c r="F1275" s="238" t="s">
        <v>2139</v>
      </c>
      <c r="G1275" s="238" t="s">
        <v>561</v>
      </c>
      <c r="H1275" s="239" t="s">
        <v>3090</v>
      </c>
      <c r="I1275" s="217"/>
      <c r="J1275" s="217"/>
      <c r="K1275" s="217"/>
      <c r="L1275" s="217"/>
      <c r="M1275" s="217"/>
      <c r="N1275" s="217"/>
      <c r="O1275" s="217"/>
      <c r="P1275" s="217"/>
    </row>
    <row r="1276" spans="1:16" s="219" customFormat="1" ht="45" hidden="1" x14ac:dyDescent="0.25">
      <c r="A1276" s="214"/>
      <c r="B1276" s="237">
        <v>1</v>
      </c>
      <c r="C1276" s="237">
        <v>3</v>
      </c>
      <c r="D1276" s="238" t="s">
        <v>2022</v>
      </c>
      <c r="E1276" s="238" t="s">
        <v>1836</v>
      </c>
      <c r="F1276" s="238" t="s">
        <v>2139</v>
      </c>
      <c r="G1276" s="238" t="s">
        <v>563</v>
      </c>
      <c r="H1276" s="239" t="s">
        <v>3091</v>
      </c>
      <c r="I1276" s="217"/>
      <c r="J1276" s="217"/>
      <c r="K1276" s="217"/>
      <c r="L1276" s="217"/>
      <c r="M1276" s="217"/>
      <c r="N1276" s="217"/>
      <c r="O1276" s="217"/>
      <c r="P1276" s="217"/>
    </row>
    <row r="1277" spans="1:16" s="219" customFormat="1" ht="45" hidden="1" x14ac:dyDescent="0.25">
      <c r="A1277" s="214"/>
      <c r="B1277" s="237">
        <v>1</v>
      </c>
      <c r="C1277" s="237">
        <v>3</v>
      </c>
      <c r="D1277" s="238" t="s">
        <v>2022</v>
      </c>
      <c r="E1277" s="238" t="s">
        <v>1836</v>
      </c>
      <c r="F1277" s="238" t="s">
        <v>2139</v>
      </c>
      <c r="G1277" s="238" t="s">
        <v>227</v>
      </c>
      <c r="H1277" s="239" t="s">
        <v>3092</v>
      </c>
      <c r="I1277" s="217"/>
      <c r="J1277" s="217"/>
      <c r="K1277" s="217"/>
      <c r="L1277" s="217"/>
      <c r="M1277" s="217"/>
      <c r="N1277" s="217"/>
      <c r="O1277" s="217"/>
      <c r="P1277" s="217"/>
    </row>
    <row r="1278" spans="1:16" s="219" customFormat="1" ht="45" hidden="1" x14ac:dyDescent="0.25">
      <c r="A1278" s="214"/>
      <c r="B1278" s="237">
        <v>1</v>
      </c>
      <c r="C1278" s="237">
        <v>3</v>
      </c>
      <c r="D1278" s="238" t="s">
        <v>2022</v>
      </c>
      <c r="E1278" s="238" t="s">
        <v>1836</v>
      </c>
      <c r="F1278" s="238" t="s">
        <v>2139</v>
      </c>
      <c r="G1278" s="238" t="s">
        <v>230</v>
      </c>
      <c r="H1278" s="239" t="s">
        <v>3093</v>
      </c>
      <c r="I1278" s="217"/>
      <c r="J1278" s="217"/>
      <c r="K1278" s="217"/>
      <c r="L1278" s="217"/>
      <c r="M1278" s="217"/>
      <c r="N1278" s="217"/>
      <c r="O1278" s="217"/>
      <c r="P1278" s="217"/>
    </row>
    <row r="1279" spans="1:16" s="219" customFormat="1" ht="45" hidden="1" x14ac:dyDescent="0.25">
      <c r="A1279" s="214"/>
      <c r="B1279" s="237">
        <v>1</v>
      </c>
      <c r="C1279" s="237">
        <v>3</v>
      </c>
      <c r="D1279" s="238" t="s">
        <v>2022</v>
      </c>
      <c r="E1279" s="238" t="s">
        <v>1836</v>
      </c>
      <c r="F1279" s="238" t="s">
        <v>2139</v>
      </c>
      <c r="G1279" s="238" t="s">
        <v>232</v>
      </c>
      <c r="H1279" s="239" t="s">
        <v>3094</v>
      </c>
      <c r="I1279" s="217"/>
      <c r="J1279" s="217"/>
      <c r="K1279" s="217"/>
      <c r="L1279" s="217"/>
      <c r="M1279" s="217"/>
      <c r="N1279" s="217"/>
      <c r="O1279" s="217"/>
      <c r="P1279" s="217"/>
    </row>
    <row r="1280" spans="1:16" s="219" customFormat="1" ht="45" hidden="1" x14ac:dyDescent="0.25">
      <c r="A1280" s="214"/>
      <c r="B1280" s="237">
        <v>1</v>
      </c>
      <c r="C1280" s="237">
        <v>3</v>
      </c>
      <c r="D1280" s="238" t="s">
        <v>2022</v>
      </c>
      <c r="E1280" s="238" t="s">
        <v>1836</v>
      </c>
      <c r="F1280" s="238" t="s">
        <v>2139</v>
      </c>
      <c r="G1280" s="238" t="s">
        <v>234</v>
      </c>
      <c r="H1280" s="239" t="s">
        <v>3095</v>
      </c>
      <c r="I1280" s="217"/>
      <c r="J1280" s="217"/>
      <c r="K1280" s="217"/>
      <c r="L1280" s="217"/>
      <c r="M1280" s="217"/>
      <c r="N1280" s="217"/>
      <c r="O1280" s="217"/>
      <c r="P1280" s="217"/>
    </row>
    <row r="1281" spans="1:16" s="219" customFormat="1" ht="45" hidden="1" x14ac:dyDescent="0.25">
      <c r="A1281" s="214"/>
      <c r="B1281" s="237">
        <v>1</v>
      </c>
      <c r="C1281" s="237">
        <v>3</v>
      </c>
      <c r="D1281" s="238" t="s">
        <v>2022</v>
      </c>
      <c r="E1281" s="238" t="s">
        <v>1836</v>
      </c>
      <c r="F1281" s="238" t="s">
        <v>2139</v>
      </c>
      <c r="G1281" s="238" t="s">
        <v>236</v>
      </c>
      <c r="H1281" s="239" t="s">
        <v>3096</v>
      </c>
      <c r="I1281" s="217"/>
      <c r="J1281" s="217"/>
      <c r="K1281" s="217"/>
      <c r="L1281" s="217"/>
      <c r="M1281" s="217"/>
      <c r="N1281" s="217"/>
      <c r="O1281" s="217"/>
      <c r="P1281" s="217"/>
    </row>
    <row r="1282" spans="1:16" s="219" customFormat="1" ht="45" hidden="1" x14ac:dyDescent="0.25">
      <c r="A1282" s="214"/>
      <c r="B1282" s="237">
        <v>1</v>
      </c>
      <c r="C1282" s="237">
        <v>3</v>
      </c>
      <c r="D1282" s="238" t="s">
        <v>2022</v>
      </c>
      <c r="E1282" s="238" t="s">
        <v>1836</v>
      </c>
      <c r="F1282" s="238" t="s">
        <v>2139</v>
      </c>
      <c r="G1282" s="238" t="s">
        <v>238</v>
      </c>
      <c r="H1282" s="239" t="s">
        <v>3097</v>
      </c>
      <c r="I1282" s="217"/>
      <c r="J1282" s="217"/>
      <c r="K1282" s="217"/>
      <c r="L1282" s="217"/>
      <c r="M1282" s="217"/>
      <c r="N1282" s="217"/>
      <c r="O1282" s="217"/>
      <c r="P1282" s="217"/>
    </row>
    <row r="1283" spans="1:16" s="219" customFormat="1" ht="45" hidden="1" x14ac:dyDescent="0.25">
      <c r="A1283" s="214"/>
      <c r="B1283" s="237">
        <v>1</v>
      </c>
      <c r="C1283" s="237">
        <v>3</v>
      </c>
      <c r="D1283" s="238" t="s">
        <v>2022</v>
      </c>
      <c r="E1283" s="238" t="s">
        <v>1836</v>
      </c>
      <c r="F1283" s="238" t="s">
        <v>2139</v>
      </c>
      <c r="G1283" s="238" t="s">
        <v>240</v>
      </c>
      <c r="H1283" s="239" t="s">
        <v>3098</v>
      </c>
      <c r="I1283" s="217"/>
      <c r="J1283" s="217"/>
      <c r="K1283" s="217"/>
      <c r="L1283" s="217"/>
      <c r="M1283" s="217"/>
      <c r="N1283" s="217"/>
      <c r="O1283" s="217"/>
      <c r="P1283" s="217"/>
    </row>
    <row r="1284" spans="1:16" s="219" customFormat="1" ht="45" hidden="1" x14ac:dyDescent="0.25">
      <c r="A1284" s="214"/>
      <c r="B1284" s="237">
        <v>1</v>
      </c>
      <c r="C1284" s="237">
        <v>3</v>
      </c>
      <c r="D1284" s="238" t="s">
        <v>2022</v>
      </c>
      <c r="E1284" s="238" t="s">
        <v>1836</v>
      </c>
      <c r="F1284" s="238" t="s">
        <v>2139</v>
      </c>
      <c r="G1284" s="238" t="s">
        <v>242</v>
      </c>
      <c r="H1284" s="239" t="s">
        <v>3099</v>
      </c>
      <c r="I1284" s="217"/>
      <c r="J1284" s="217"/>
      <c r="K1284" s="217"/>
      <c r="L1284" s="217"/>
      <c r="M1284" s="217"/>
      <c r="N1284" s="217"/>
      <c r="O1284" s="217"/>
      <c r="P1284" s="217"/>
    </row>
    <row r="1285" spans="1:16" s="219" customFormat="1" ht="45" hidden="1" x14ac:dyDescent="0.25">
      <c r="A1285" s="214"/>
      <c r="B1285" s="237">
        <v>1</v>
      </c>
      <c r="C1285" s="237">
        <v>3</v>
      </c>
      <c r="D1285" s="238" t="s">
        <v>2022</v>
      </c>
      <c r="E1285" s="238" t="s">
        <v>1836</v>
      </c>
      <c r="F1285" s="238" t="s">
        <v>2139</v>
      </c>
      <c r="G1285" s="238" t="s">
        <v>244</v>
      </c>
      <c r="H1285" s="239" t="s">
        <v>3100</v>
      </c>
      <c r="I1285" s="217"/>
      <c r="J1285" s="217"/>
      <c r="K1285" s="217"/>
      <c r="L1285" s="217"/>
      <c r="M1285" s="217"/>
      <c r="N1285" s="217"/>
      <c r="O1285" s="217"/>
      <c r="P1285" s="217"/>
    </row>
    <row r="1286" spans="1:16" s="219" customFormat="1" ht="45" hidden="1" x14ac:dyDescent="0.25">
      <c r="A1286" s="214"/>
      <c r="B1286" s="237">
        <v>1</v>
      </c>
      <c r="C1286" s="237">
        <v>3</v>
      </c>
      <c r="D1286" s="238" t="s">
        <v>2022</v>
      </c>
      <c r="E1286" s="238" t="s">
        <v>1836</v>
      </c>
      <c r="F1286" s="238" t="s">
        <v>2139</v>
      </c>
      <c r="G1286" s="238" t="s">
        <v>246</v>
      </c>
      <c r="H1286" s="239" t="s">
        <v>3101</v>
      </c>
      <c r="I1286" s="217"/>
      <c r="J1286" s="217"/>
      <c r="K1286" s="217"/>
      <c r="L1286" s="217"/>
      <c r="M1286" s="217"/>
      <c r="N1286" s="217"/>
      <c r="O1286" s="217"/>
      <c r="P1286" s="217"/>
    </row>
    <row r="1287" spans="1:16" s="219" customFormat="1" ht="45" hidden="1" x14ac:dyDescent="0.25">
      <c r="A1287" s="214"/>
      <c r="B1287" s="237">
        <v>1</v>
      </c>
      <c r="C1287" s="237">
        <v>3</v>
      </c>
      <c r="D1287" s="238" t="s">
        <v>2022</v>
      </c>
      <c r="E1287" s="238" t="s">
        <v>1836</v>
      </c>
      <c r="F1287" s="238" t="s">
        <v>2139</v>
      </c>
      <c r="G1287" s="238" t="s">
        <v>407</v>
      </c>
      <c r="H1287" s="239" t="s">
        <v>3102</v>
      </c>
      <c r="I1287" s="217"/>
      <c r="J1287" s="217"/>
      <c r="K1287" s="217"/>
      <c r="L1287" s="217"/>
      <c r="M1287" s="217"/>
      <c r="N1287" s="217"/>
      <c r="O1287" s="217"/>
      <c r="P1287" s="217"/>
    </row>
    <row r="1288" spans="1:16" s="219" customFormat="1" ht="60" hidden="1" x14ac:dyDescent="0.25">
      <c r="A1288" s="214"/>
      <c r="B1288" s="237">
        <v>1</v>
      </c>
      <c r="C1288" s="237">
        <v>3</v>
      </c>
      <c r="D1288" s="238" t="s">
        <v>2022</v>
      </c>
      <c r="E1288" s="238" t="s">
        <v>1836</v>
      </c>
      <c r="F1288" s="238" t="s">
        <v>2139</v>
      </c>
      <c r="G1288" s="238" t="s">
        <v>408</v>
      </c>
      <c r="H1288" s="239" t="s">
        <v>3103</v>
      </c>
      <c r="I1288" s="217"/>
      <c r="J1288" s="217"/>
      <c r="K1288" s="217"/>
      <c r="L1288" s="217"/>
      <c r="M1288" s="217"/>
      <c r="N1288" s="217"/>
      <c r="O1288" s="217"/>
      <c r="P1288" s="217"/>
    </row>
    <row r="1289" spans="1:16" s="219" customFormat="1" ht="45" hidden="1" x14ac:dyDescent="0.25">
      <c r="A1289" s="214"/>
      <c r="B1289" s="237">
        <v>1</v>
      </c>
      <c r="C1289" s="237">
        <v>3</v>
      </c>
      <c r="D1289" s="238" t="s">
        <v>2022</v>
      </c>
      <c r="E1289" s="238" t="s">
        <v>1836</v>
      </c>
      <c r="F1289" s="238" t="s">
        <v>2139</v>
      </c>
      <c r="G1289" s="238" t="s">
        <v>409</v>
      </c>
      <c r="H1289" s="239" t="s">
        <v>3104</v>
      </c>
      <c r="I1289" s="217"/>
      <c r="J1289" s="217"/>
      <c r="K1289" s="217"/>
      <c r="L1289" s="217"/>
      <c r="M1289" s="217"/>
      <c r="N1289" s="217"/>
      <c r="O1289" s="217"/>
      <c r="P1289" s="217"/>
    </row>
    <row r="1290" spans="1:16" s="219" customFormat="1" ht="45" hidden="1" x14ac:dyDescent="0.25">
      <c r="A1290" s="214"/>
      <c r="B1290" s="237">
        <v>1</v>
      </c>
      <c r="C1290" s="237">
        <v>3</v>
      </c>
      <c r="D1290" s="238" t="s">
        <v>2022</v>
      </c>
      <c r="E1290" s="238" t="s">
        <v>1836</v>
      </c>
      <c r="F1290" s="238" t="s">
        <v>2139</v>
      </c>
      <c r="G1290" s="238" t="s">
        <v>788</v>
      </c>
      <c r="H1290" s="239" t="s">
        <v>3105</v>
      </c>
      <c r="I1290" s="217"/>
      <c r="J1290" s="217"/>
      <c r="K1290" s="217"/>
      <c r="L1290" s="217"/>
      <c r="M1290" s="217"/>
      <c r="N1290" s="217"/>
      <c r="O1290" s="217"/>
      <c r="P1290" s="217"/>
    </row>
    <row r="1291" spans="1:16" s="219" customFormat="1" ht="45" hidden="1" x14ac:dyDescent="0.25">
      <c r="A1291" s="214"/>
      <c r="B1291" s="237">
        <v>1</v>
      </c>
      <c r="C1291" s="237">
        <v>3</v>
      </c>
      <c r="D1291" s="238" t="s">
        <v>2022</v>
      </c>
      <c r="E1291" s="238" t="s">
        <v>1836</v>
      </c>
      <c r="F1291" s="238" t="s">
        <v>2139</v>
      </c>
      <c r="G1291" s="238" t="s">
        <v>1017</v>
      </c>
      <c r="H1291" s="239" t="s">
        <v>3106</v>
      </c>
      <c r="I1291" s="217"/>
      <c r="J1291" s="217"/>
      <c r="K1291" s="217"/>
      <c r="L1291" s="217"/>
      <c r="M1291" s="217"/>
      <c r="N1291" s="217"/>
      <c r="O1291" s="217"/>
      <c r="P1291" s="217"/>
    </row>
    <row r="1292" spans="1:16" s="219" customFormat="1" ht="45" hidden="1" x14ac:dyDescent="0.25">
      <c r="A1292" s="214"/>
      <c r="B1292" s="237">
        <v>1</v>
      </c>
      <c r="C1292" s="237">
        <v>3</v>
      </c>
      <c r="D1292" s="238" t="s">
        <v>2022</v>
      </c>
      <c r="E1292" s="238" t="s">
        <v>1836</v>
      </c>
      <c r="F1292" s="238" t="s">
        <v>2139</v>
      </c>
      <c r="G1292" s="238" t="s">
        <v>411</v>
      </c>
      <c r="H1292" s="239" t="s">
        <v>3107</v>
      </c>
      <c r="I1292" s="217"/>
      <c r="J1292" s="217"/>
      <c r="K1292" s="217"/>
      <c r="L1292" s="217"/>
      <c r="M1292" s="217"/>
      <c r="N1292" s="217"/>
      <c r="O1292" s="217"/>
      <c r="P1292" s="217"/>
    </row>
    <row r="1293" spans="1:16" s="219" customFormat="1" ht="45" hidden="1" x14ac:dyDescent="0.25">
      <c r="A1293" s="214"/>
      <c r="B1293" s="237">
        <v>1</v>
      </c>
      <c r="C1293" s="237">
        <v>3</v>
      </c>
      <c r="D1293" s="238" t="s">
        <v>2022</v>
      </c>
      <c r="E1293" s="238" t="s">
        <v>1836</v>
      </c>
      <c r="F1293" s="238" t="s">
        <v>2139</v>
      </c>
      <c r="G1293" s="238" t="s">
        <v>247</v>
      </c>
      <c r="H1293" s="239" t="s">
        <v>3108</v>
      </c>
      <c r="I1293" s="217"/>
      <c r="J1293" s="217"/>
      <c r="K1293" s="217"/>
      <c r="L1293" s="217"/>
      <c r="M1293" s="217"/>
      <c r="N1293" s="217"/>
      <c r="O1293" s="217"/>
      <c r="P1293" s="217"/>
    </row>
    <row r="1294" spans="1:16" s="219" customFormat="1" ht="45" hidden="1" x14ac:dyDescent="0.25">
      <c r="A1294" s="214"/>
      <c r="B1294" s="237">
        <v>1</v>
      </c>
      <c r="C1294" s="237">
        <v>3</v>
      </c>
      <c r="D1294" s="238" t="s">
        <v>2022</v>
      </c>
      <c r="E1294" s="238" t="s">
        <v>1836</v>
      </c>
      <c r="F1294" s="238" t="s">
        <v>2139</v>
      </c>
      <c r="G1294" s="238" t="s">
        <v>1019</v>
      </c>
      <c r="H1294" s="239" t="s">
        <v>3109</v>
      </c>
      <c r="I1294" s="217"/>
      <c r="J1294" s="217"/>
      <c r="K1294" s="217"/>
      <c r="L1294" s="217"/>
      <c r="M1294" s="217"/>
      <c r="N1294" s="217"/>
      <c r="O1294" s="217"/>
      <c r="P1294" s="217"/>
    </row>
    <row r="1295" spans="1:16" s="219" customFormat="1" ht="45" hidden="1" x14ac:dyDescent="0.25">
      <c r="A1295" s="214"/>
      <c r="B1295" s="237">
        <v>1</v>
      </c>
      <c r="C1295" s="237">
        <v>3</v>
      </c>
      <c r="D1295" s="238" t="s">
        <v>2022</v>
      </c>
      <c r="E1295" s="238" t="s">
        <v>1836</v>
      </c>
      <c r="F1295" s="238" t="s">
        <v>2139</v>
      </c>
      <c r="G1295" s="238" t="s">
        <v>1022</v>
      </c>
      <c r="H1295" s="239" t="s">
        <v>3110</v>
      </c>
      <c r="I1295" s="217"/>
      <c r="J1295" s="217"/>
      <c r="K1295" s="217"/>
      <c r="L1295" s="217"/>
      <c r="M1295" s="217"/>
      <c r="N1295" s="217"/>
      <c r="O1295" s="217"/>
      <c r="P1295" s="217"/>
    </row>
    <row r="1296" spans="1:16" s="219" customFormat="1" ht="45" hidden="1" x14ac:dyDescent="0.25">
      <c r="A1296" s="214"/>
      <c r="B1296" s="237">
        <v>1</v>
      </c>
      <c r="C1296" s="237">
        <v>3</v>
      </c>
      <c r="D1296" s="238" t="s">
        <v>2022</v>
      </c>
      <c r="E1296" s="238" t="s">
        <v>1836</v>
      </c>
      <c r="F1296" s="238" t="s">
        <v>2139</v>
      </c>
      <c r="G1296" s="238" t="s">
        <v>1024</v>
      </c>
      <c r="H1296" s="239" t="s">
        <v>3111</v>
      </c>
      <c r="I1296" s="217"/>
      <c r="J1296" s="217"/>
      <c r="K1296" s="217"/>
      <c r="L1296" s="217"/>
      <c r="M1296" s="217"/>
      <c r="N1296" s="217"/>
      <c r="O1296" s="217"/>
      <c r="P1296" s="217"/>
    </row>
    <row r="1297" spans="1:16" s="219" customFormat="1" ht="45" hidden="1" x14ac:dyDescent="0.25">
      <c r="A1297" s="214"/>
      <c r="B1297" s="237">
        <v>1</v>
      </c>
      <c r="C1297" s="237">
        <v>3</v>
      </c>
      <c r="D1297" s="238" t="s">
        <v>2022</v>
      </c>
      <c r="E1297" s="238" t="s">
        <v>1836</v>
      </c>
      <c r="F1297" s="238" t="s">
        <v>2139</v>
      </c>
      <c r="G1297" s="238" t="s">
        <v>1026</v>
      </c>
      <c r="H1297" s="239" t="s">
        <v>3112</v>
      </c>
      <c r="I1297" s="217"/>
      <c r="J1297" s="217"/>
      <c r="K1297" s="217"/>
      <c r="L1297" s="217"/>
      <c r="M1297" s="217"/>
      <c r="N1297" s="217"/>
      <c r="O1297" s="217"/>
      <c r="P1297" s="217"/>
    </row>
    <row r="1298" spans="1:16" s="219" customFormat="1" ht="45" hidden="1" x14ac:dyDescent="0.25">
      <c r="A1298" s="214"/>
      <c r="B1298" s="237">
        <v>1</v>
      </c>
      <c r="C1298" s="237">
        <v>3</v>
      </c>
      <c r="D1298" s="238" t="s">
        <v>2022</v>
      </c>
      <c r="E1298" s="238" t="s">
        <v>1836</v>
      </c>
      <c r="F1298" s="238" t="s">
        <v>2139</v>
      </c>
      <c r="G1298" s="238" t="s">
        <v>416</v>
      </c>
      <c r="H1298" s="239" t="s">
        <v>3113</v>
      </c>
      <c r="I1298" s="217"/>
      <c r="J1298" s="217"/>
      <c r="K1298" s="217"/>
      <c r="L1298" s="217"/>
      <c r="M1298" s="217"/>
      <c r="N1298" s="217"/>
      <c r="O1298" s="217"/>
      <c r="P1298" s="217"/>
    </row>
    <row r="1299" spans="1:16" s="219" customFormat="1" ht="45" hidden="1" x14ac:dyDescent="0.25">
      <c r="A1299" s="214"/>
      <c r="B1299" s="237">
        <v>1</v>
      </c>
      <c r="C1299" s="237">
        <v>3</v>
      </c>
      <c r="D1299" s="238" t="s">
        <v>2022</v>
      </c>
      <c r="E1299" s="238" t="s">
        <v>1836</v>
      </c>
      <c r="F1299" s="238" t="s">
        <v>2139</v>
      </c>
      <c r="G1299" s="238" t="s">
        <v>417</v>
      </c>
      <c r="H1299" s="239" t="s">
        <v>3114</v>
      </c>
      <c r="I1299" s="217"/>
      <c r="J1299" s="217"/>
      <c r="K1299" s="217"/>
      <c r="L1299" s="217"/>
      <c r="M1299" s="217"/>
      <c r="N1299" s="217"/>
      <c r="O1299" s="217"/>
      <c r="P1299" s="217"/>
    </row>
    <row r="1300" spans="1:16" s="219" customFormat="1" ht="45" hidden="1" x14ac:dyDescent="0.25">
      <c r="A1300" s="214"/>
      <c r="B1300" s="237">
        <v>1</v>
      </c>
      <c r="C1300" s="237">
        <v>3</v>
      </c>
      <c r="D1300" s="238" t="s">
        <v>2022</v>
      </c>
      <c r="E1300" s="238" t="s">
        <v>1836</v>
      </c>
      <c r="F1300" s="238" t="s">
        <v>2139</v>
      </c>
      <c r="G1300" s="238" t="s">
        <v>1028</v>
      </c>
      <c r="H1300" s="239" t="s">
        <v>3115</v>
      </c>
      <c r="I1300" s="217"/>
      <c r="J1300" s="217"/>
      <c r="K1300" s="217"/>
      <c r="L1300" s="217"/>
      <c r="M1300" s="217"/>
      <c r="N1300" s="217"/>
      <c r="O1300" s="217"/>
      <c r="P1300" s="217"/>
    </row>
    <row r="1301" spans="1:16" s="219" customFormat="1" ht="45" hidden="1" x14ac:dyDescent="0.25">
      <c r="A1301" s="214"/>
      <c r="B1301" s="237">
        <v>1</v>
      </c>
      <c r="C1301" s="237">
        <v>3</v>
      </c>
      <c r="D1301" s="238" t="s">
        <v>2022</v>
      </c>
      <c r="E1301" s="238" t="s">
        <v>1836</v>
      </c>
      <c r="F1301" s="238" t="s">
        <v>2139</v>
      </c>
      <c r="G1301" s="238" t="s">
        <v>1029</v>
      </c>
      <c r="H1301" s="239" t="s">
        <v>3116</v>
      </c>
      <c r="I1301" s="217"/>
      <c r="J1301" s="217"/>
      <c r="K1301" s="217"/>
      <c r="L1301" s="217"/>
      <c r="M1301" s="217"/>
      <c r="N1301" s="217"/>
      <c r="O1301" s="217"/>
      <c r="P1301" s="217"/>
    </row>
    <row r="1302" spans="1:16" s="219" customFormat="1" ht="45" hidden="1" x14ac:dyDescent="0.25">
      <c r="A1302" s="214"/>
      <c r="B1302" s="237">
        <v>1</v>
      </c>
      <c r="C1302" s="237">
        <v>3</v>
      </c>
      <c r="D1302" s="238" t="s">
        <v>2022</v>
      </c>
      <c r="E1302" s="238" t="s">
        <v>1836</v>
      </c>
      <c r="F1302" s="238" t="s">
        <v>2139</v>
      </c>
      <c r="G1302" s="238" t="s">
        <v>1030</v>
      </c>
      <c r="H1302" s="239" t="s">
        <v>3117</v>
      </c>
      <c r="I1302" s="217"/>
      <c r="J1302" s="217"/>
      <c r="K1302" s="217"/>
      <c r="L1302" s="217"/>
      <c r="M1302" s="217"/>
      <c r="N1302" s="217"/>
      <c r="O1302" s="217"/>
      <c r="P1302" s="217"/>
    </row>
    <row r="1303" spans="1:16" s="219" customFormat="1" ht="45" hidden="1" x14ac:dyDescent="0.25">
      <c r="A1303" s="214"/>
      <c r="B1303" s="237">
        <v>1</v>
      </c>
      <c r="C1303" s="237">
        <v>3</v>
      </c>
      <c r="D1303" s="238" t="s">
        <v>2022</v>
      </c>
      <c r="E1303" s="238" t="s">
        <v>1836</v>
      </c>
      <c r="F1303" s="238" t="s">
        <v>2139</v>
      </c>
      <c r="G1303" s="238" t="s">
        <v>1032</v>
      </c>
      <c r="H1303" s="239" t="s">
        <v>3118</v>
      </c>
      <c r="I1303" s="217"/>
      <c r="J1303" s="217"/>
      <c r="K1303" s="217"/>
      <c r="L1303" s="217"/>
      <c r="M1303" s="217"/>
      <c r="N1303" s="217"/>
      <c r="O1303" s="217"/>
      <c r="P1303" s="217"/>
    </row>
    <row r="1304" spans="1:16" s="219" customFormat="1" ht="45" hidden="1" x14ac:dyDescent="0.25">
      <c r="A1304" s="214"/>
      <c r="B1304" s="237">
        <v>1</v>
      </c>
      <c r="C1304" s="237">
        <v>3</v>
      </c>
      <c r="D1304" s="238" t="s">
        <v>2022</v>
      </c>
      <c r="E1304" s="238" t="s">
        <v>1836</v>
      </c>
      <c r="F1304" s="238" t="s">
        <v>2139</v>
      </c>
      <c r="G1304" s="238" t="s">
        <v>1212</v>
      </c>
      <c r="H1304" s="239" t="s">
        <v>3119</v>
      </c>
      <c r="I1304" s="217"/>
      <c r="J1304" s="217"/>
      <c r="K1304" s="217"/>
      <c r="L1304" s="217"/>
      <c r="M1304" s="217"/>
      <c r="N1304" s="217"/>
      <c r="O1304" s="217"/>
      <c r="P1304" s="217"/>
    </row>
    <row r="1305" spans="1:16" s="219" customFormat="1" ht="45" hidden="1" x14ac:dyDescent="0.25">
      <c r="A1305" s="214"/>
      <c r="B1305" s="237">
        <v>1</v>
      </c>
      <c r="C1305" s="237">
        <v>3</v>
      </c>
      <c r="D1305" s="238" t="s">
        <v>2022</v>
      </c>
      <c r="E1305" s="238" t="s">
        <v>1836</v>
      </c>
      <c r="F1305" s="238" t="s">
        <v>2139</v>
      </c>
      <c r="G1305" s="238" t="s">
        <v>791</v>
      </c>
      <c r="H1305" s="239" t="s">
        <v>3120</v>
      </c>
      <c r="I1305" s="217"/>
      <c r="J1305" s="217"/>
      <c r="K1305" s="217"/>
      <c r="L1305" s="217"/>
      <c r="M1305" s="217"/>
      <c r="N1305" s="217"/>
      <c r="O1305" s="217"/>
      <c r="P1305" s="217"/>
    </row>
    <row r="1306" spans="1:16" s="219" customFormat="1" ht="45" hidden="1" x14ac:dyDescent="0.25">
      <c r="A1306" s="214"/>
      <c r="B1306" s="237">
        <v>1</v>
      </c>
      <c r="C1306" s="237">
        <v>3</v>
      </c>
      <c r="D1306" s="238" t="s">
        <v>2022</v>
      </c>
      <c r="E1306" s="238" t="s">
        <v>1836</v>
      </c>
      <c r="F1306" s="238" t="s">
        <v>2139</v>
      </c>
      <c r="G1306" s="238" t="s">
        <v>420</v>
      </c>
      <c r="H1306" s="239" t="s">
        <v>3121</v>
      </c>
      <c r="I1306" s="217"/>
      <c r="J1306" s="217"/>
      <c r="K1306" s="217"/>
      <c r="L1306" s="217"/>
      <c r="M1306" s="217"/>
      <c r="N1306" s="217"/>
      <c r="O1306" s="217"/>
      <c r="P1306" s="217"/>
    </row>
    <row r="1307" spans="1:16" s="219" customFormat="1" ht="45" hidden="1" x14ac:dyDescent="0.25">
      <c r="A1307" s="214"/>
      <c r="B1307" s="237">
        <v>1</v>
      </c>
      <c r="C1307" s="237">
        <v>3</v>
      </c>
      <c r="D1307" s="238" t="s">
        <v>2022</v>
      </c>
      <c r="E1307" s="238" t="s">
        <v>1836</v>
      </c>
      <c r="F1307" s="238" t="s">
        <v>2139</v>
      </c>
      <c r="G1307" s="238" t="s">
        <v>1224</v>
      </c>
      <c r="H1307" s="239" t="s">
        <v>3122</v>
      </c>
      <c r="I1307" s="217"/>
      <c r="J1307" s="217"/>
      <c r="K1307" s="217"/>
      <c r="L1307" s="217"/>
      <c r="M1307" s="217"/>
      <c r="N1307" s="217"/>
      <c r="O1307" s="217"/>
      <c r="P1307" s="217"/>
    </row>
    <row r="1308" spans="1:16" s="219" customFormat="1" ht="60" hidden="1" x14ac:dyDescent="0.25">
      <c r="A1308" s="214"/>
      <c r="B1308" s="237">
        <v>1</v>
      </c>
      <c r="C1308" s="237">
        <v>3</v>
      </c>
      <c r="D1308" s="238" t="s">
        <v>2022</v>
      </c>
      <c r="E1308" s="238" t="s">
        <v>1836</v>
      </c>
      <c r="F1308" s="238" t="s">
        <v>2139</v>
      </c>
      <c r="G1308" s="238" t="s">
        <v>1226</v>
      </c>
      <c r="H1308" s="239" t="s">
        <v>3123</v>
      </c>
      <c r="I1308" s="217"/>
      <c r="J1308" s="217"/>
      <c r="K1308" s="217"/>
      <c r="L1308" s="217"/>
      <c r="M1308" s="217"/>
      <c r="N1308" s="217"/>
      <c r="O1308" s="217"/>
      <c r="P1308" s="217"/>
    </row>
    <row r="1309" spans="1:16" s="219" customFormat="1" ht="45" hidden="1" x14ac:dyDescent="0.25">
      <c r="A1309" s="214"/>
      <c r="B1309" s="237">
        <v>1</v>
      </c>
      <c r="C1309" s="237">
        <v>3</v>
      </c>
      <c r="D1309" s="238" t="s">
        <v>2022</v>
      </c>
      <c r="E1309" s="238" t="s">
        <v>1836</v>
      </c>
      <c r="F1309" s="238" t="s">
        <v>2139</v>
      </c>
      <c r="G1309" s="238" t="s">
        <v>2198</v>
      </c>
      <c r="H1309" s="239" t="s">
        <v>3124</v>
      </c>
      <c r="I1309" s="217"/>
      <c r="J1309" s="217"/>
      <c r="K1309" s="217"/>
      <c r="L1309" s="217"/>
      <c r="M1309" s="217"/>
      <c r="N1309" s="217"/>
      <c r="O1309" s="217"/>
      <c r="P1309" s="217"/>
    </row>
    <row r="1310" spans="1:16" s="219" customFormat="1" ht="45" hidden="1" x14ac:dyDescent="0.25">
      <c r="A1310" s="214"/>
      <c r="B1310" s="237">
        <v>1</v>
      </c>
      <c r="C1310" s="237">
        <v>3</v>
      </c>
      <c r="D1310" s="238" t="s">
        <v>2022</v>
      </c>
      <c r="E1310" s="238" t="s">
        <v>1836</v>
      </c>
      <c r="F1310" s="238" t="s">
        <v>2139</v>
      </c>
      <c r="G1310" s="238" t="s">
        <v>422</v>
      </c>
      <c r="H1310" s="239" t="s">
        <v>3125</v>
      </c>
      <c r="I1310" s="217"/>
      <c r="J1310" s="217"/>
      <c r="K1310" s="217"/>
      <c r="L1310" s="217"/>
      <c r="M1310" s="217"/>
      <c r="N1310" s="217"/>
      <c r="O1310" s="217"/>
      <c r="P1310" s="217"/>
    </row>
    <row r="1311" spans="1:16" s="219" customFormat="1" ht="45" hidden="1" x14ac:dyDescent="0.25">
      <c r="A1311" s="214"/>
      <c r="B1311" s="237">
        <v>1</v>
      </c>
      <c r="C1311" s="237">
        <v>3</v>
      </c>
      <c r="D1311" s="238" t="s">
        <v>2022</v>
      </c>
      <c r="E1311" s="238" t="s">
        <v>1836</v>
      </c>
      <c r="F1311" s="238" t="s">
        <v>2139</v>
      </c>
      <c r="G1311" s="238" t="s">
        <v>423</v>
      </c>
      <c r="H1311" s="239" t="s">
        <v>3126</v>
      </c>
      <c r="I1311" s="217"/>
      <c r="J1311" s="217"/>
      <c r="K1311" s="217"/>
      <c r="L1311" s="217"/>
      <c r="M1311" s="217"/>
      <c r="N1311" s="217"/>
      <c r="O1311" s="217"/>
      <c r="P1311" s="217"/>
    </row>
    <row r="1312" spans="1:16" s="219" customFormat="1" ht="45" hidden="1" x14ac:dyDescent="0.25">
      <c r="A1312" s="214"/>
      <c r="B1312" s="237">
        <v>1</v>
      </c>
      <c r="C1312" s="237">
        <v>3</v>
      </c>
      <c r="D1312" s="238" t="s">
        <v>2022</v>
      </c>
      <c r="E1312" s="238" t="s">
        <v>1836</v>
      </c>
      <c r="F1312" s="238" t="s">
        <v>2139</v>
      </c>
      <c r="G1312" s="238" t="s">
        <v>575</v>
      </c>
      <c r="H1312" s="239" t="s">
        <v>3127</v>
      </c>
      <c r="I1312" s="217"/>
      <c r="J1312" s="217"/>
      <c r="K1312" s="217"/>
      <c r="L1312" s="217"/>
      <c r="M1312" s="217"/>
      <c r="N1312" s="217"/>
      <c r="O1312" s="217"/>
      <c r="P1312" s="217"/>
    </row>
    <row r="1313" spans="1:16" s="219" customFormat="1" ht="45" hidden="1" x14ac:dyDescent="0.25">
      <c r="A1313" s="214"/>
      <c r="B1313" s="237">
        <v>1</v>
      </c>
      <c r="C1313" s="237">
        <v>3</v>
      </c>
      <c r="D1313" s="238" t="s">
        <v>2022</v>
      </c>
      <c r="E1313" s="238" t="s">
        <v>1836</v>
      </c>
      <c r="F1313" s="238" t="s">
        <v>2139</v>
      </c>
      <c r="G1313" s="238" t="s">
        <v>576</v>
      </c>
      <c r="H1313" s="239" t="s">
        <v>3128</v>
      </c>
      <c r="I1313" s="217"/>
      <c r="J1313" s="217"/>
      <c r="K1313" s="217"/>
      <c r="L1313" s="217"/>
      <c r="M1313" s="217"/>
      <c r="N1313" s="217"/>
      <c r="O1313" s="217"/>
      <c r="P1313" s="217"/>
    </row>
    <row r="1314" spans="1:16" s="219" customFormat="1" ht="45" hidden="1" x14ac:dyDescent="0.25">
      <c r="A1314" s="214"/>
      <c r="B1314" s="237">
        <v>1</v>
      </c>
      <c r="C1314" s="237">
        <v>3</v>
      </c>
      <c r="D1314" s="238" t="s">
        <v>2022</v>
      </c>
      <c r="E1314" s="238" t="s">
        <v>1836</v>
      </c>
      <c r="F1314" s="238" t="s">
        <v>2139</v>
      </c>
      <c r="G1314" s="238" t="s">
        <v>577</v>
      </c>
      <c r="H1314" s="239" t="s">
        <v>3129</v>
      </c>
      <c r="I1314" s="217"/>
      <c r="J1314" s="217"/>
      <c r="K1314" s="217"/>
      <c r="L1314" s="217"/>
      <c r="M1314" s="217"/>
      <c r="N1314" s="217"/>
      <c r="O1314" s="217"/>
      <c r="P1314" s="217"/>
    </row>
    <row r="1315" spans="1:16" s="219" customFormat="1" ht="45" hidden="1" x14ac:dyDescent="0.25">
      <c r="A1315" s="214"/>
      <c r="B1315" s="237">
        <v>1</v>
      </c>
      <c r="C1315" s="237">
        <v>3</v>
      </c>
      <c r="D1315" s="238" t="s">
        <v>2022</v>
      </c>
      <c r="E1315" s="238" t="s">
        <v>1836</v>
      </c>
      <c r="F1315" s="238" t="s">
        <v>2139</v>
      </c>
      <c r="G1315" s="238" t="s">
        <v>2205</v>
      </c>
      <c r="H1315" s="239" t="s">
        <v>3130</v>
      </c>
      <c r="I1315" s="217"/>
      <c r="J1315" s="217"/>
      <c r="K1315" s="217"/>
      <c r="L1315" s="217"/>
      <c r="M1315" s="217"/>
      <c r="N1315" s="217"/>
      <c r="O1315" s="217"/>
      <c r="P1315" s="217"/>
    </row>
    <row r="1316" spans="1:16" s="219" customFormat="1" ht="45" hidden="1" x14ac:dyDescent="0.25">
      <c r="A1316" s="214"/>
      <c r="B1316" s="237">
        <v>1</v>
      </c>
      <c r="C1316" s="237">
        <v>3</v>
      </c>
      <c r="D1316" s="238" t="s">
        <v>2022</v>
      </c>
      <c r="E1316" s="238" t="s">
        <v>1836</v>
      </c>
      <c r="F1316" s="238" t="s">
        <v>2139</v>
      </c>
      <c r="G1316" s="238" t="s">
        <v>3022</v>
      </c>
      <c r="H1316" s="239" t="s">
        <v>3131</v>
      </c>
      <c r="I1316" s="217"/>
      <c r="J1316" s="217"/>
      <c r="K1316" s="217"/>
      <c r="L1316" s="217"/>
      <c r="M1316" s="217"/>
      <c r="N1316" s="217"/>
      <c r="O1316" s="217"/>
      <c r="P1316" s="217"/>
    </row>
    <row r="1317" spans="1:16" s="219" customFormat="1" ht="45" hidden="1" x14ac:dyDescent="0.25">
      <c r="A1317" s="214"/>
      <c r="B1317" s="237">
        <v>1</v>
      </c>
      <c r="C1317" s="237">
        <v>3</v>
      </c>
      <c r="D1317" s="238" t="s">
        <v>2022</v>
      </c>
      <c r="E1317" s="238" t="s">
        <v>1836</v>
      </c>
      <c r="F1317" s="238" t="s">
        <v>2139</v>
      </c>
      <c r="G1317" s="238" t="s">
        <v>427</v>
      </c>
      <c r="H1317" s="239" t="s">
        <v>3132</v>
      </c>
      <c r="I1317" s="217"/>
      <c r="J1317" s="217"/>
      <c r="K1317" s="217"/>
      <c r="L1317" s="217"/>
      <c r="M1317" s="217"/>
      <c r="N1317" s="217"/>
      <c r="O1317" s="217"/>
      <c r="P1317" s="217"/>
    </row>
    <row r="1318" spans="1:16" s="219" customFormat="1" ht="45" hidden="1" x14ac:dyDescent="0.25">
      <c r="A1318" s="214"/>
      <c r="B1318" s="237">
        <v>1</v>
      </c>
      <c r="C1318" s="237">
        <v>3</v>
      </c>
      <c r="D1318" s="238" t="s">
        <v>2022</v>
      </c>
      <c r="E1318" s="238" t="s">
        <v>1836</v>
      </c>
      <c r="F1318" s="238" t="s">
        <v>2139</v>
      </c>
      <c r="G1318" s="238" t="s">
        <v>428</v>
      </c>
      <c r="H1318" s="239" t="s">
        <v>3133</v>
      </c>
      <c r="I1318" s="217"/>
      <c r="J1318" s="217"/>
      <c r="K1318" s="217"/>
      <c r="L1318" s="217"/>
      <c r="M1318" s="217"/>
      <c r="N1318" s="217"/>
      <c r="O1318" s="217"/>
      <c r="P1318" s="217"/>
    </row>
    <row r="1319" spans="1:16" s="219" customFormat="1" ht="45" hidden="1" x14ac:dyDescent="0.25">
      <c r="A1319" s="214"/>
      <c r="B1319" s="237">
        <v>1</v>
      </c>
      <c r="C1319" s="237">
        <v>3</v>
      </c>
      <c r="D1319" s="238" t="s">
        <v>2022</v>
      </c>
      <c r="E1319" s="238" t="s">
        <v>1836</v>
      </c>
      <c r="F1319" s="238" t="s">
        <v>2139</v>
      </c>
      <c r="G1319" s="238" t="s">
        <v>429</v>
      </c>
      <c r="H1319" s="239" t="s">
        <v>3134</v>
      </c>
      <c r="I1319" s="217"/>
      <c r="J1319" s="217"/>
      <c r="K1319" s="217"/>
      <c r="L1319" s="217"/>
      <c r="M1319" s="217"/>
      <c r="N1319" s="217"/>
      <c r="O1319" s="217"/>
      <c r="P1319" s="217"/>
    </row>
    <row r="1320" spans="1:16" s="219" customFormat="1" ht="45" hidden="1" x14ac:dyDescent="0.25">
      <c r="A1320" s="214"/>
      <c r="B1320" s="237">
        <v>1</v>
      </c>
      <c r="C1320" s="237">
        <v>3</v>
      </c>
      <c r="D1320" s="238" t="s">
        <v>2022</v>
      </c>
      <c r="E1320" s="238" t="s">
        <v>1836</v>
      </c>
      <c r="F1320" s="238" t="s">
        <v>2139</v>
      </c>
      <c r="G1320" s="238" t="s">
        <v>431</v>
      </c>
      <c r="H1320" s="239" t="s">
        <v>3135</v>
      </c>
      <c r="I1320" s="217"/>
      <c r="J1320" s="217"/>
      <c r="K1320" s="217"/>
      <c r="L1320" s="217"/>
      <c r="M1320" s="217"/>
      <c r="N1320" s="217"/>
      <c r="O1320" s="217"/>
      <c r="P1320" s="217"/>
    </row>
    <row r="1321" spans="1:16" s="219" customFormat="1" ht="45" hidden="1" x14ac:dyDescent="0.25">
      <c r="A1321" s="214"/>
      <c r="B1321" s="237">
        <v>1</v>
      </c>
      <c r="C1321" s="237">
        <v>3</v>
      </c>
      <c r="D1321" s="238" t="s">
        <v>2022</v>
      </c>
      <c r="E1321" s="238" t="s">
        <v>1836</v>
      </c>
      <c r="F1321" s="238" t="s">
        <v>2139</v>
      </c>
      <c r="G1321" s="238" t="s">
        <v>432</v>
      </c>
      <c r="H1321" s="239" t="s">
        <v>3136</v>
      </c>
      <c r="I1321" s="217"/>
      <c r="J1321" s="217"/>
      <c r="K1321" s="217"/>
      <c r="L1321" s="217"/>
      <c r="M1321" s="217"/>
      <c r="N1321" s="217"/>
      <c r="O1321" s="217"/>
      <c r="P1321" s="217"/>
    </row>
    <row r="1322" spans="1:16" s="219" customFormat="1" ht="60" hidden="1" x14ac:dyDescent="0.25">
      <c r="A1322" s="214"/>
      <c r="B1322" s="237">
        <v>1</v>
      </c>
      <c r="C1322" s="237">
        <v>3</v>
      </c>
      <c r="D1322" s="238" t="s">
        <v>2022</v>
      </c>
      <c r="E1322" s="238" t="s">
        <v>1836</v>
      </c>
      <c r="F1322" s="238" t="s">
        <v>2139</v>
      </c>
      <c r="G1322" s="238" t="s">
        <v>435</v>
      </c>
      <c r="H1322" s="239" t="s">
        <v>3137</v>
      </c>
      <c r="I1322" s="217"/>
      <c r="J1322" s="217"/>
      <c r="K1322" s="217"/>
      <c r="L1322" s="217"/>
      <c r="M1322" s="217"/>
      <c r="N1322" s="217"/>
      <c r="O1322" s="217"/>
      <c r="P1322" s="217"/>
    </row>
    <row r="1323" spans="1:16" s="219" customFormat="1" ht="60" hidden="1" x14ac:dyDescent="0.25">
      <c r="A1323" s="214"/>
      <c r="B1323" s="237">
        <v>1</v>
      </c>
      <c r="C1323" s="237">
        <v>3</v>
      </c>
      <c r="D1323" s="238" t="s">
        <v>2022</v>
      </c>
      <c r="E1323" s="238" t="s">
        <v>1836</v>
      </c>
      <c r="F1323" s="238" t="s">
        <v>2139</v>
      </c>
      <c r="G1323" s="238" t="s">
        <v>436</v>
      </c>
      <c r="H1323" s="239" t="s">
        <v>3138</v>
      </c>
      <c r="I1323" s="217"/>
      <c r="J1323" s="217"/>
      <c r="K1323" s="217"/>
      <c r="L1323" s="217"/>
      <c r="M1323" s="217"/>
      <c r="N1323" s="217"/>
      <c r="O1323" s="217"/>
      <c r="P1323" s="217"/>
    </row>
    <row r="1324" spans="1:16" s="219" customFormat="1" ht="60" hidden="1" x14ac:dyDescent="0.25">
      <c r="A1324" s="214"/>
      <c r="B1324" s="237">
        <v>1</v>
      </c>
      <c r="C1324" s="237">
        <v>3</v>
      </c>
      <c r="D1324" s="238" t="s">
        <v>2022</v>
      </c>
      <c r="E1324" s="238" t="s">
        <v>1836</v>
      </c>
      <c r="F1324" s="238" t="s">
        <v>2139</v>
      </c>
      <c r="G1324" s="238" t="s">
        <v>437</v>
      </c>
      <c r="H1324" s="239" t="s">
        <v>3139</v>
      </c>
      <c r="I1324" s="217"/>
      <c r="J1324" s="217"/>
      <c r="K1324" s="217"/>
      <c r="L1324" s="217"/>
      <c r="M1324" s="217"/>
      <c r="N1324" s="217"/>
      <c r="O1324" s="217"/>
      <c r="P1324" s="217"/>
    </row>
    <row r="1325" spans="1:16" s="219" customFormat="1" ht="60" hidden="1" x14ac:dyDescent="0.25">
      <c r="A1325" s="214"/>
      <c r="B1325" s="237">
        <v>1</v>
      </c>
      <c r="C1325" s="237">
        <v>3</v>
      </c>
      <c r="D1325" s="238" t="s">
        <v>2022</v>
      </c>
      <c r="E1325" s="238" t="s">
        <v>1836</v>
      </c>
      <c r="F1325" s="238" t="s">
        <v>2139</v>
      </c>
      <c r="G1325" s="238" t="s">
        <v>438</v>
      </c>
      <c r="H1325" s="239" t="s">
        <v>3140</v>
      </c>
      <c r="I1325" s="217"/>
      <c r="J1325" s="217"/>
      <c r="K1325" s="217"/>
      <c r="L1325" s="217"/>
      <c r="M1325" s="217"/>
      <c r="N1325" s="217"/>
      <c r="O1325" s="217"/>
      <c r="P1325" s="217"/>
    </row>
    <row r="1326" spans="1:16" s="219" customFormat="1" ht="60" hidden="1" x14ac:dyDescent="0.25">
      <c r="A1326" s="214"/>
      <c r="B1326" s="237">
        <v>1</v>
      </c>
      <c r="C1326" s="237">
        <v>3</v>
      </c>
      <c r="D1326" s="238" t="s">
        <v>2022</v>
      </c>
      <c r="E1326" s="238" t="s">
        <v>1836</v>
      </c>
      <c r="F1326" s="238" t="s">
        <v>2139</v>
      </c>
      <c r="G1326" s="238" t="s">
        <v>440</v>
      </c>
      <c r="H1326" s="239" t="s">
        <v>3141</v>
      </c>
      <c r="I1326" s="217"/>
      <c r="J1326" s="217"/>
      <c r="K1326" s="217"/>
      <c r="L1326" s="217"/>
      <c r="M1326" s="217"/>
      <c r="N1326" s="217"/>
      <c r="O1326" s="217"/>
      <c r="P1326" s="217"/>
    </row>
    <row r="1327" spans="1:16" s="219" customFormat="1" ht="60" hidden="1" x14ac:dyDescent="0.25">
      <c r="A1327" s="214"/>
      <c r="B1327" s="237">
        <v>1</v>
      </c>
      <c r="C1327" s="237">
        <v>3</v>
      </c>
      <c r="D1327" s="238" t="s">
        <v>2022</v>
      </c>
      <c r="E1327" s="238" t="s">
        <v>1836</v>
      </c>
      <c r="F1327" s="238" t="s">
        <v>2139</v>
      </c>
      <c r="G1327" s="238" t="s">
        <v>441</v>
      </c>
      <c r="H1327" s="239" t="s">
        <v>3142</v>
      </c>
      <c r="I1327" s="217"/>
      <c r="J1327" s="217"/>
      <c r="K1327" s="217"/>
      <c r="L1327" s="217"/>
      <c r="M1327" s="217"/>
      <c r="N1327" s="217"/>
      <c r="O1327" s="217"/>
      <c r="P1327" s="217"/>
    </row>
    <row r="1328" spans="1:16" s="219" customFormat="1" ht="45" hidden="1" x14ac:dyDescent="0.25">
      <c r="A1328" s="214"/>
      <c r="B1328" s="237">
        <v>1</v>
      </c>
      <c r="C1328" s="237">
        <v>3</v>
      </c>
      <c r="D1328" s="238" t="s">
        <v>2022</v>
      </c>
      <c r="E1328" s="238" t="s">
        <v>1836</v>
      </c>
      <c r="F1328" s="238" t="s">
        <v>2139</v>
      </c>
      <c r="G1328" s="238" t="s">
        <v>442</v>
      </c>
      <c r="H1328" s="239" t="s">
        <v>3143</v>
      </c>
      <c r="I1328" s="217"/>
      <c r="J1328" s="217"/>
      <c r="K1328" s="217"/>
      <c r="L1328" s="217"/>
      <c r="M1328" s="217"/>
      <c r="N1328" s="217"/>
      <c r="O1328" s="217"/>
      <c r="P1328" s="217"/>
    </row>
    <row r="1329" spans="1:16" s="219" customFormat="1" ht="45" hidden="1" x14ac:dyDescent="0.25">
      <c r="A1329" s="214"/>
      <c r="B1329" s="237">
        <v>1</v>
      </c>
      <c r="C1329" s="237">
        <v>3</v>
      </c>
      <c r="D1329" s="238" t="s">
        <v>2022</v>
      </c>
      <c r="E1329" s="238" t="s">
        <v>1836</v>
      </c>
      <c r="F1329" s="238" t="s">
        <v>2139</v>
      </c>
      <c r="G1329" s="238" t="s">
        <v>443</v>
      </c>
      <c r="H1329" s="239" t="s">
        <v>3144</v>
      </c>
      <c r="I1329" s="217"/>
      <c r="J1329" s="217"/>
      <c r="K1329" s="217"/>
      <c r="L1329" s="217"/>
      <c r="M1329" s="217"/>
      <c r="N1329" s="217"/>
      <c r="O1329" s="217"/>
      <c r="P1329" s="217"/>
    </row>
    <row r="1330" spans="1:16" s="219" customFormat="1" ht="60" hidden="1" x14ac:dyDescent="0.25">
      <c r="A1330" s="214"/>
      <c r="B1330" s="237">
        <v>1</v>
      </c>
      <c r="C1330" s="237">
        <v>3</v>
      </c>
      <c r="D1330" s="238" t="s">
        <v>2022</v>
      </c>
      <c r="E1330" s="238" t="s">
        <v>1836</v>
      </c>
      <c r="F1330" s="238" t="s">
        <v>2139</v>
      </c>
      <c r="G1330" s="238" t="s">
        <v>3145</v>
      </c>
      <c r="H1330" s="239" t="s">
        <v>3146</v>
      </c>
      <c r="I1330" s="217"/>
      <c r="J1330" s="217"/>
      <c r="K1330" s="217"/>
      <c r="L1330" s="217"/>
      <c r="M1330" s="217"/>
      <c r="N1330" s="217"/>
      <c r="O1330" s="217"/>
      <c r="P1330" s="217"/>
    </row>
    <row r="1331" spans="1:16" s="219" customFormat="1" ht="60" hidden="1" x14ac:dyDescent="0.25">
      <c r="A1331" s="214"/>
      <c r="B1331" s="237">
        <v>1</v>
      </c>
      <c r="C1331" s="237">
        <v>3</v>
      </c>
      <c r="D1331" s="238" t="s">
        <v>2022</v>
      </c>
      <c r="E1331" s="238" t="s">
        <v>1836</v>
      </c>
      <c r="F1331" s="238" t="s">
        <v>2139</v>
      </c>
      <c r="G1331" s="238" t="s">
        <v>3147</v>
      </c>
      <c r="H1331" s="239" t="s">
        <v>3148</v>
      </c>
      <c r="I1331" s="217"/>
      <c r="J1331" s="217"/>
      <c r="K1331" s="217"/>
      <c r="L1331" s="217"/>
      <c r="M1331" s="217"/>
      <c r="N1331" s="217"/>
      <c r="O1331" s="217"/>
      <c r="P1331" s="217"/>
    </row>
    <row r="1332" spans="1:16" s="219" customFormat="1" ht="60" hidden="1" x14ac:dyDescent="0.25">
      <c r="A1332" s="214"/>
      <c r="B1332" s="237">
        <v>1</v>
      </c>
      <c r="C1332" s="237">
        <v>3</v>
      </c>
      <c r="D1332" s="238" t="s">
        <v>2022</v>
      </c>
      <c r="E1332" s="238" t="s">
        <v>1836</v>
      </c>
      <c r="F1332" s="238" t="s">
        <v>2139</v>
      </c>
      <c r="G1332" s="238" t="s">
        <v>3149</v>
      </c>
      <c r="H1332" s="239" t="s">
        <v>3150</v>
      </c>
      <c r="I1332" s="217"/>
      <c r="J1332" s="217"/>
      <c r="K1332" s="217"/>
      <c r="L1332" s="217"/>
      <c r="M1332" s="217"/>
      <c r="N1332" s="217"/>
      <c r="O1332" s="217"/>
      <c r="P1332" s="217"/>
    </row>
    <row r="1333" spans="1:16" s="219" customFormat="1" ht="45" hidden="1" x14ac:dyDescent="0.25">
      <c r="A1333" s="214"/>
      <c r="B1333" s="237">
        <v>1</v>
      </c>
      <c r="C1333" s="237">
        <v>3</v>
      </c>
      <c r="D1333" s="238" t="s">
        <v>2022</v>
      </c>
      <c r="E1333" s="238" t="s">
        <v>1836</v>
      </c>
      <c r="F1333" s="238" t="s">
        <v>2139</v>
      </c>
      <c r="G1333" s="238" t="s">
        <v>3151</v>
      </c>
      <c r="H1333" s="239" t="s">
        <v>3152</v>
      </c>
      <c r="I1333" s="217"/>
      <c r="J1333" s="217"/>
      <c r="K1333" s="217"/>
      <c r="L1333" s="217"/>
      <c r="M1333" s="217"/>
      <c r="N1333" s="217"/>
      <c r="O1333" s="217"/>
      <c r="P1333" s="217"/>
    </row>
    <row r="1334" spans="1:16" s="219" customFormat="1" ht="60" hidden="1" x14ac:dyDescent="0.25">
      <c r="A1334" s="214"/>
      <c r="B1334" s="237">
        <v>1</v>
      </c>
      <c r="C1334" s="237">
        <v>3</v>
      </c>
      <c r="D1334" s="238" t="s">
        <v>2022</v>
      </c>
      <c r="E1334" s="238" t="s">
        <v>1836</v>
      </c>
      <c r="F1334" s="238" t="s">
        <v>2139</v>
      </c>
      <c r="G1334" s="238" t="s">
        <v>3153</v>
      </c>
      <c r="H1334" s="239" t="s">
        <v>3154</v>
      </c>
      <c r="I1334" s="217"/>
      <c r="J1334" s="217"/>
      <c r="K1334" s="217"/>
      <c r="L1334" s="217"/>
      <c r="M1334" s="217"/>
      <c r="N1334" s="217"/>
      <c r="O1334" s="217"/>
      <c r="P1334" s="217"/>
    </row>
    <row r="1335" spans="1:16" s="219" customFormat="1" ht="45" hidden="1" x14ac:dyDescent="0.25">
      <c r="A1335" s="214"/>
      <c r="B1335" s="237">
        <v>1</v>
      </c>
      <c r="C1335" s="237">
        <v>3</v>
      </c>
      <c r="D1335" s="238" t="s">
        <v>2022</v>
      </c>
      <c r="E1335" s="238" t="s">
        <v>1836</v>
      </c>
      <c r="F1335" s="238" t="s">
        <v>2139</v>
      </c>
      <c r="G1335" s="238" t="s">
        <v>3155</v>
      </c>
      <c r="H1335" s="239" t="s">
        <v>3156</v>
      </c>
      <c r="I1335" s="217"/>
      <c r="J1335" s="217"/>
      <c r="K1335" s="217"/>
      <c r="L1335" s="217"/>
      <c r="M1335" s="217"/>
      <c r="N1335" s="217"/>
      <c r="O1335" s="217"/>
      <c r="P1335" s="217"/>
    </row>
    <row r="1336" spans="1:16" s="219" customFormat="1" ht="45" hidden="1" x14ac:dyDescent="0.25">
      <c r="A1336" s="214"/>
      <c r="B1336" s="237">
        <v>1</v>
      </c>
      <c r="C1336" s="237">
        <v>3</v>
      </c>
      <c r="D1336" s="238" t="s">
        <v>2022</v>
      </c>
      <c r="E1336" s="238" t="s">
        <v>1836</v>
      </c>
      <c r="F1336" s="238" t="s">
        <v>2139</v>
      </c>
      <c r="G1336" s="238" t="s">
        <v>899</v>
      </c>
      <c r="H1336" s="239" t="s">
        <v>3157</v>
      </c>
      <c r="I1336" s="217"/>
      <c r="J1336" s="217"/>
      <c r="K1336" s="217"/>
      <c r="L1336" s="217"/>
      <c r="M1336" s="217"/>
      <c r="N1336" s="217"/>
      <c r="O1336" s="217"/>
      <c r="P1336" s="217"/>
    </row>
    <row r="1337" spans="1:16" s="219" customFormat="1" ht="45" hidden="1" x14ac:dyDescent="0.25">
      <c r="A1337" s="214"/>
      <c r="B1337" s="237">
        <v>1</v>
      </c>
      <c r="C1337" s="237">
        <v>3</v>
      </c>
      <c r="D1337" s="238" t="s">
        <v>2022</v>
      </c>
      <c r="E1337" s="238" t="s">
        <v>1836</v>
      </c>
      <c r="F1337" s="238" t="s">
        <v>2139</v>
      </c>
      <c r="G1337" s="238" t="s">
        <v>900</v>
      </c>
      <c r="H1337" s="239" t="s">
        <v>3158</v>
      </c>
      <c r="I1337" s="217"/>
      <c r="J1337" s="217"/>
      <c r="K1337" s="217"/>
      <c r="L1337" s="217"/>
      <c r="M1337" s="217"/>
      <c r="N1337" s="217"/>
      <c r="O1337" s="217"/>
      <c r="P1337" s="217"/>
    </row>
    <row r="1338" spans="1:16" s="219" customFormat="1" ht="60" hidden="1" x14ac:dyDescent="0.25">
      <c r="A1338" s="214"/>
      <c r="B1338" s="237">
        <v>1</v>
      </c>
      <c r="C1338" s="237">
        <v>3</v>
      </c>
      <c r="D1338" s="238" t="s">
        <v>2022</v>
      </c>
      <c r="E1338" s="238" t="s">
        <v>1836</v>
      </c>
      <c r="F1338" s="238" t="s">
        <v>2139</v>
      </c>
      <c r="G1338" s="238" t="s">
        <v>835</v>
      </c>
      <c r="H1338" s="239" t="s">
        <v>3159</v>
      </c>
      <c r="I1338" s="217"/>
      <c r="J1338" s="217"/>
      <c r="K1338" s="217"/>
      <c r="L1338" s="217"/>
      <c r="M1338" s="217"/>
      <c r="N1338" s="217"/>
      <c r="O1338" s="217"/>
      <c r="P1338" s="217"/>
    </row>
    <row r="1339" spans="1:16" s="219" customFormat="1" ht="60" hidden="1" x14ac:dyDescent="0.25">
      <c r="A1339" s="214"/>
      <c r="B1339" s="237">
        <v>1</v>
      </c>
      <c r="C1339" s="237">
        <v>3</v>
      </c>
      <c r="D1339" s="238" t="s">
        <v>2022</v>
      </c>
      <c r="E1339" s="238" t="s">
        <v>1836</v>
      </c>
      <c r="F1339" s="238" t="s">
        <v>2139</v>
      </c>
      <c r="G1339" s="238" t="s">
        <v>901</v>
      </c>
      <c r="H1339" s="239" t="s">
        <v>3160</v>
      </c>
      <c r="I1339" s="217"/>
      <c r="J1339" s="217"/>
      <c r="K1339" s="217"/>
      <c r="L1339" s="217"/>
      <c r="M1339" s="217"/>
      <c r="N1339" s="217"/>
      <c r="O1339" s="217"/>
      <c r="P1339" s="217"/>
    </row>
    <row r="1340" spans="1:16" s="219" customFormat="1" ht="60" hidden="1" x14ac:dyDescent="0.25">
      <c r="A1340" s="214"/>
      <c r="B1340" s="237">
        <v>1</v>
      </c>
      <c r="C1340" s="237">
        <v>3</v>
      </c>
      <c r="D1340" s="238" t="s">
        <v>2022</v>
      </c>
      <c r="E1340" s="238" t="s">
        <v>1836</v>
      </c>
      <c r="F1340" s="238" t="s">
        <v>2139</v>
      </c>
      <c r="G1340" s="238" t="s">
        <v>446</v>
      </c>
      <c r="H1340" s="239" t="s">
        <v>3161</v>
      </c>
      <c r="I1340" s="217"/>
      <c r="J1340" s="217"/>
      <c r="K1340" s="217"/>
      <c r="L1340" s="217"/>
      <c r="M1340" s="217"/>
      <c r="N1340" s="217"/>
      <c r="O1340" s="217"/>
      <c r="P1340" s="217"/>
    </row>
    <row r="1341" spans="1:16" s="219" customFormat="1" ht="45" hidden="1" x14ac:dyDescent="0.25">
      <c r="A1341" s="214"/>
      <c r="B1341" s="237">
        <v>1</v>
      </c>
      <c r="C1341" s="237">
        <v>3</v>
      </c>
      <c r="D1341" s="238" t="s">
        <v>2022</v>
      </c>
      <c r="E1341" s="238" t="s">
        <v>1836</v>
      </c>
      <c r="F1341" s="238" t="s">
        <v>2139</v>
      </c>
      <c r="G1341" s="238" t="s">
        <v>448</v>
      </c>
      <c r="H1341" s="239" t="s">
        <v>3162</v>
      </c>
      <c r="I1341" s="217"/>
      <c r="J1341" s="217"/>
      <c r="K1341" s="217"/>
      <c r="L1341" s="217"/>
      <c r="M1341" s="217"/>
      <c r="N1341" s="217"/>
      <c r="O1341" s="217"/>
      <c r="P1341" s="217"/>
    </row>
    <row r="1342" spans="1:16" s="219" customFormat="1" ht="60" hidden="1" x14ac:dyDescent="0.25">
      <c r="A1342" s="214"/>
      <c r="B1342" s="237">
        <v>1</v>
      </c>
      <c r="C1342" s="237">
        <v>3</v>
      </c>
      <c r="D1342" s="238" t="s">
        <v>2022</v>
      </c>
      <c r="E1342" s="238" t="s">
        <v>1836</v>
      </c>
      <c r="F1342" s="238" t="s">
        <v>2139</v>
      </c>
      <c r="G1342" s="238" t="s">
        <v>452</v>
      </c>
      <c r="H1342" s="239" t="s">
        <v>3163</v>
      </c>
      <c r="I1342" s="217"/>
      <c r="J1342" s="217"/>
      <c r="K1342" s="217"/>
      <c r="L1342" s="217"/>
      <c r="M1342" s="217"/>
      <c r="N1342" s="217"/>
      <c r="O1342" s="217"/>
      <c r="P1342" s="217"/>
    </row>
    <row r="1343" spans="1:16" s="219" customFormat="1" ht="60" hidden="1" x14ac:dyDescent="0.25">
      <c r="A1343" s="214"/>
      <c r="B1343" s="237">
        <v>1</v>
      </c>
      <c r="C1343" s="237">
        <v>3</v>
      </c>
      <c r="D1343" s="238" t="s">
        <v>2022</v>
      </c>
      <c r="E1343" s="238" t="s">
        <v>1836</v>
      </c>
      <c r="F1343" s="238" t="s">
        <v>2139</v>
      </c>
      <c r="G1343" s="238" t="s">
        <v>904</v>
      </c>
      <c r="H1343" s="239" t="s">
        <v>3164</v>
      </c>
      <c r="I1343" s="217"/>
      <c r="J1343" s="217"/>
      <c r="K1343" s="217"/>
      <c r="L1343" s="217"/>
      <c r="M1343" s="217"/>
      <c r="N1343" s="217"/>
      <c r="O1343" s="217"/>
      <c r="P1343" s="217"/>
    </row>
    <row r="1344" spans="1:16" s="219" customFormat="1" ht="45" hidden="1" x14ac:dyDescent="0.25">
      <c r="A1344" s="214"/>
      <c r="B1344" s="237">
        <v>1</v>
      </c>
      <c r="C1344" s="237">
        <v>3</v>
      </c>
      <c r="D1344" s="238" t="s">
        <v>2022</v>
      </c>
      <c r="E1344" s="238" t="s">
        <v>1836</v>
      </c>
      <c r="F1344" s="238" t="s">
        <v>2139</v>
      </c>
      <c r="G1344" s="238" t="s">
        <v>905</v>
      </c>
      <c r="H1344" s="239" t="s">
        <v>3165</v>
      </c>
      <c r="I1344" s="217"/>
      <c r="J1344" s="217"/>
      <c r="K1344" s="217"/>
      <c r="L1344" s="217"/>
      <c r="M1344" s="217"/>
      <c r="N1344" s="217"/>
      <c r="O1344" s="217"/>
      <c r="P1344" s="217"/>
    </row>
    <row r="1345" spans="1:16" s="219" customFormat="1" ht="45" hidden="1" x14ac:dyDescent="0.25">
      <c r="A1345" s="214"/>
      <c r="B1345" s="237">
        <v>1</v>
      </c>
      <c r="C1345" s="237">
        <v>3</v>
      </c>
      <c r="D1345" s="238" t="s">
        <v>2022</v>
      </c>
      <c r="E1345" s="238" t="s">
        <v>1836</v>
      </c>
      <c r="F1345" s="238" t="s">
        <v>2139</v>
      </c>
      <c r="G1345" s="238" t="s">
        <v>906</v>
      </c>
      <c r="H1345" s="239" t="s">
        <v>3166</v>
      </c>
      <c r="I1345" s="217"/>
      <c r="J1345" s="217"/>
      <c r="K1345" s="217"/>
      <c r="L1345" s="217"/>
      <c r="M1345" s="217"/>
      <c r="N1345" s="217"/>
      <c r="O1345" s="217"/>
      <c r="P1345" s="217"/>
    </row>
    <row r="1346" spans="1:16" s="219" customFormat="1" ht="60" hidden="1" x14ac:dyDescent="0.25">
      <c r="A1346" s="214"/>
      <c r="B1346" s="237">
        <v>1</v>
      </c>
      <c r="C1346" s="237">
        <v>3</v>
      </c>
      <c r="D1346" s="238" t="s">
        <v>2022</v>
      </c>
      <c r="E1346" s="238" t="s">
        <v>1836</v>
      </c>
      <c r="F1346" s="238" t="s">
        <v>2139</v>
      </c>
      <c r="G1346" s="238" t="s">
        <v>908</v>
      </c>
      <c r="H1346" s="239" t="s">
        <v>3167</v>
      </c>
      <c r="I1346" s="217"/>
      <c r="J1346" s="217"/>
      <c r="K1346" s="217"/>
      <c r="L1346" s="217"/>
      <c r="M1346" s="217"/>
      <c r="N1346" s="217"/>
      <c r="O1346" s="217"/>
      <c r="P1346" s="217"/>
    </row>
    <row r="1347" spans="1:16" s="219" customFormat="1" ht="60" hidden="1" x14ac:dyDescent="0.25">
      <c r="A1347" s="214"/>
      <c r="B1347" s="237">
        <v>1</v>
      </c>
      <c r="C1347" s="237">
        <v>3</v>
      </c>
      <c r="D1347" s="238" t="s">
        <v>2022</v>
      </c>
      <c r="E1347" s="238" t="s">
        <v>1836</v>
      </c>
      <c r="F1347" s="238" t="s">
        <v>2139</v>
      </c>
      <c r="G1347" s="238" t="s">
        <v>3168</v>
      </c>
      <c r="H1347" s="239" t="s">
        <v>3169</v>
      </c>
      <c r="I1347" s="217"/>
      <c r="J1347" s="217"/>
      <c r="K1347" s="217"/>
      <c r="L1347" s="217"/>
      <c r="M1347" s="217"/>
      <c r="N1347" s="217"/>
      <c r="O1347" s="217"/>
      <c r="P1347" s="217"/>
    </row>
    <row r="1348" spans="1:16" s="219" customFormat="1" ht="45" hidden="1" x14ac:dyDescent="0.25">
      <c r="A1348" s="214"/>
      <c r="B1348" s="237">
        <v>1</v>
      </c>
      <c r="C1348" s="237">
        <v>3</v>
      </c>
      <c r="D1348" s="238" t="s">
        <v>2022</v>
      </c>
      <c r="E1348" s="238" t="s">
        <v>1836</v>
      </c>
      <c r="F1348" s="238" t="s">
        <v>2139</v>
      </c>
      <c r="G1348" s="238" t="s">
        <v>3170</v>
      </c>
      <c r="H1348" s="239" t="s">
        <v>3171</v>
      </c>
      <c r="I1348" s="217"/>
      <c r="J1348" s="217"/>
      <c r="K1348" s="217"/>
      <c r="L1348" s="217"/>
      <c r="M1348" s="217"/>
      <c r="N1348" s="217"/>
      <c r="O1348" s="217"/>
      <c r="P1348" s="217"/>
    </row>
    <row r="1349" spans="1:16" s="219" customFormat="1" ht="45" hidden="1" x14ac:dyDescent="0.25">
      <c r="A1349" s="214"/>
      <c r="B1349" s="237">
        <v>1</v>
      </c>
      <c r="C1349" s="237">
        <v>3</v>
      </c>
      <c r="D1349" s="238" t="s">
        <v>2022</v>
      </c>
      <c r="E1349" s="238" t="s">
        <v>1836</v>
      </c>
      <c r="F1349" s="238" t="s">
        <v>2139</v>
      </c>
      <c r="G1349" s="238" t="s">
        <v>3172</v>
      </c>
      <c r="H1349" s="239" t="s">
        <v>3173</v>
      </c>
      <c r="I1349" s="217"/>
      <c r="J1349" s="217"/>
      <c r="K1349" s="217"/>
      <c r="L1349" s="217"/>
      <c r="M1349" s="217"/>
      <c r="N1349" s="217"/>
      <c r="O1349" s="217"/>
      <c r="P1349" s="217"/>
    </row>
    <row r="1350" spans="1:16" s="219" customFormat="1" ht="45" hidden="1" x14ac:dyDescent="0.25">
      <c r="A1350" s="214"/>
      <c r="B1350" s="237">
        <v>1</v>
      </c>
      <c r="C1350" s="237">
        <v>3</v>
      </c>
      <c r="D1350" s="238" t="s">
        <v>2022</v>
      </c>
      <c r="E1350" s="238" t="s">
        <v>1836</v>
      </c>
      <c r="F1350" s="238" t="s">
        <v>2139</v>
      </c>
      <c r="G1350" s="238" t="s">
        <v>3174</v>
      </c>
      <c r="H1350" s="239" t="s">
        <v>3175</v>
      </c>
      <c r="I1350" s="217"/>
      <c r="J1350" s="217"/>
      <c r="K1350" s="217"/>
      <c r="L1350" s="217"/>
      <c r="M1350" s="217"/>
      <c r="N1350" s="217"/>
      <c r="O1350" s="217"/>
      <c r="P1350" s="217"/>
    </row>
    <row r="1351" spans="1:16" s="219" customFormat="1" ht="45" hidden="1" x14ac:dyDescent="0.25">
      <c r="A1351" s="214"/>
      <c r="B1351" s="237">
        <v>1</v>
      </c>
      <c r="C1351" s="237">
        <v>3</v>
      </c>
      <c r="D1351" s="238" t="s">
        <v>2022</v>
      </c>
      <c r="E1351" s="238" t="s">
        <v>1836</v>
      </c>
      <c r="F1351" s="238" t="s">
        <v>2139</v>
      </c>
      <c r="G1351" s="238" t="s">
        <v>3176</v>
      </c>
      <c r="H1351" s="239" t="s">
        <v>3177</v>
      </c>
      <c r="I1351" s="217"/>
      <c r="J1351" s="217"/>
      <c r="K1351" s="217"/>
      <c r="L1351" s="217"/>
      <c r="M1351" s="217"/>
      <c r="N1351" s="217"/>
      <c r="O1351" s="217"/>
      <c r="P1351" s="217"/>
    </row>
    <row r="1352" spans="1:16" s="219" customFormat="1" ht="45" hidden="1" x14ac:dyDescent="0.25">
      <c r="A1352" s="214"/>
      <c r="B1352" s="237">
        <v>1</v>
      </c>
      <c r="C1352" s="237">
        <v>3</v>
      </c>
      <c r="D1352" s="238" t="s">
        <v>2022</v>
      </c>
      <c r="E1352" s="238" t="s">
        <v>1836</v>
      </c>
      <c r="F1352" s="238" t="s">
        <v>2139</v>
      </c>
      <c r="G1352" s="238" t="s">
        <v>3178</v>
      </c>
      <c r="H1352" s="239" t="s">
        <v>3179</v>
      </c>
      <c r="I1352" s="217"/>
      <c r="J1352" s="217"/>
      <c r="K1352" s="217"/>
      <c r="L1352" s="217"/>
      <c r="M1352" s="217"/>
      <c r="N1352" s="217"/>
      <c r="O1352" s="217"/>
      <c r="P1352" s="217"/>
    </row>
    <row r="1353" spans="1:16" s="219" customFormat="1" ht="60" hidden="1" x14ac:dyDescent="0.25">
      <c r="A1353" s="214"/>
      <c r="B1353" s="237">
        <v>1</v>
      </c>
      <c r="C1353" s="237">
        <v>3</v>
      </c>
      <c r="D1353" s="238" t="s">
        <v>2022</v>
      </c>
      <c r="E1353" s="238" t="s">
        <v>1836</v>
      </c>
      <c r="F1353" s="238" t="s">
        <v>2139</v>
      </c>
      <c r="G1353" s="238" t="s">
        <v>3180</v>
      </c>
      <c r="H1353" s="239" t="s">
        <v>3181</v>
      </c>
      <c r="I1353" s="217"/>
      <c r="J1353" s="217"/>
      <c r="K1353" s="217"/>
      <c r="L1353" s="217"/>
      <c r="M1353" s="217"/>
      <c r="N1353" s="217"/>
      <c r="O1353" s="217"/>
      <c r="P1353" s="217"/>
    </row>
    <row r="1354" spans="1:16" s="219" customFormat="1" ht="75" hidden="1" x14ac:dyDescent="0.25">
      <c r="A1354" s="214"/>
      <c r="B1354" s="237">
        <v>1</v>
      </c>
      <c r="C1354" s="237">
        <v>3</v>
      </c>
      <c r="D1354" s="238" t="s">
        <v>2022</v>
      </c>
      <c r="E1354" s="238" t="s">
        <v>1836</v>
      </c>
      <c r="F1354" s="238" t="s">
        <v>2139</v>
      </c>
      <c r="G1354" s="238" t="s">
        <v>3182</v>
      </c>
      <c r="H1354" s="239" t="s">
        <v>3183</v>
      </c>
      <c r="I1354" s="217"/>
      <c r="J1354" s="217"/>
      <c r="K1354" s="217"/>
      <c r="L1354" s="217"/>
      <c r="M1354" s="217"/>
      <c r="N1354" s="217"/>
      <c r="O1354" s="217"/>
      <c r="P1354" s="217"/>
    </row>
    <row r="1355" spans="1:16" s="219" customFormat="1" ht="75" hidden="1" x14ac:dyDescent="0.25">
      <c r="A1355" s="214"/>
      <c r="B1355" s="237">
        <v>1</v>
      </c>
      <c r="C1355" s="237">
        <v>3</v>
      </c>
      <c r="D1355" s="238" t="s">
        <v>2022</v>
      </c>
      <c r="E1355" s="238" t="s">
        <v>1836</v>
      </c>
      <c r="F1355" s="238" t="s">
        <v>2139</v>
      </c>
      <c r="G1355" s="238" t="s">
        <v>758</v>
      </c>
      <c r="H1355" s="239" t="s">
        <v>3184</v>
      </c>
      <c r="I1355" s="217"/>
      <c r="J1355" s="217"/>
      <c r="K1355" s="217"/>
      <c r="L1355" s="217"/>
      <c r="M1355" s="217"/>
      <c r="N1355" s="217"/>
      <c r="O1355" s="217"/>
      <c r="P1355" s="217"/>
    </row>
    <row r="1356" spans="1:16" s="219" customFormat="1" ht="75" hidden="1" x14ac:dyDescent="0.25">
      <c r="A1356" s="214"/>
      <c r="B1356" s="237">
        <v>1</v>
      </c>
      <c r="C1356" s="237">
        <v>3</v>
      </c>
      <c r="D1356" s="238" t="s">
        <v>2022</v>
      </c>
      <c r="E1356" s="238" t="s">
        <v>1836</v>
      </c>
      <c r="F1356" s="238" t="s">
        <v>2139</v>
      </c>
      <c r="G1356" s="238" t="s">
        <v>760</v>
      </c>
      <c r="H1356" s="239" t="s">
        <v>3185</v>
      </c>
      <c r="I1356" s="217"/>
      <c r="J1356" s="217"/>
      <c r="K1356" s="217"/>
      <c r="L1356" s="217"/>
      <c r="M1356" s="217"/>
      <c r="N1356" s="217"/>
      <c r="O1356" s="217"/>
      <c r="P1356" s="217"/>
    </row>
    <row r="1357" spans="1:16" s="219" customFormat="1" ht="90" hidden="1" x14ac:dyDescent="0.25">
      <c r="A1357" s="214"/>
      <c r="B1357" s="237">
        <v>1</v>
      </c>
      <c r="C1357" s="237">
        <v>3</v>
      </c>
      <c r="D1357" s="238" t="s">
        <v>2022</v>
      </c>
      <c r="E1357" s="238" t="s">
        <v>1836</v>
      </c>
      <c r="F1357" s="238" t="s">
        <v>2139</v>
      </c>
      <c r="G1357" s="238" t="s">
        <v>761</v>
      </c>
      <c r="H1357" s="239" t="s">
        <v>3186</v>
      </c>
      <c r="I1357" s="217"/>
      <c r="J1357" s="217"/>
      <c r="K1357" s="217"/>
      <c r="L1357" s="217"/>
      <c r="M1357" s="217"/>
      <c r="N1357" s="217"/>
      <c r="O1357" s="217"/>
      <c r="P1357" s="217"/>
    </row>
    <row r="1358" spans="1:16" s="219" customFormat="1" ht="45" hidden="1" x14ac:dyDescent="0.25">
      <c r="A1358" s="214"/>
      <c r="B1358" s="237">
        <v>1</v>
      </c>
      <c r="C1358" s="237">
        <v>3</v>
      </c>
      <c r="D1358" s="238" t="s">
        <v>2022</v>
      </c>
      <c r="E1358" s="238" t="s">
        <v>1836</v>
      </c>
      <c r="F1358" s="238" t="s">
        <v>2139</v>
      </c>
      <c r="G1358" s="238" t="s">
        <v>3187</v>
      </c>
      <c r="H1358" s="239" t="s">
        <v>3188</v>
      </c>
      <c r="I1358" s="217"/>
      <c r="J1358" s="217"/>
      <c r="K1358" s="217"/>
      <c r="L1358" s="217"/>
      <c r="M1358" s="217"/>
      <c r="N1358" s="217"/>
      <c r="O1358" s="217"/>
      <c r="P1358" s="217"/>
    </row>
    <row r="1359" spans="1:16" s="219" customFormat="1" ht="45" hidden="1" x14ac:dyDescent="0.25">
      <c r="A1359" s="214"/>
      <c r="B1359" s="237">
        <v>1</v>
      </c>
      <c r="C1359" s="237">
        <v>3</v>
      </c>
      <c r="D1359" s="238" t="s">
        <v>2022</v>
      </c>
      <c r="E1359" s="238" t="s">
        <v>1836</v>
      </c>
      <c r="F1359" s="238" t="s">
        <v>2139</v>
      </c>
      <c r="G1359" s="238" t="s">
        <v>3189</v>
      </c>
      <c r="H1359" s="239" t="s">
        <v>3190</v>
      </c>
      <c r="I1359" s="217"/>
      <c r="J1359" s="217"/>
      <c r="K1359" s="217"/>
      <c r="L1359" s="217"/>
      <c r="M1359" s="217"/>
      <c r="N1359" s="217"/>
      <c r="O1359" s="217"/>
      <c r="P1359" s="217"/>
    </row>
    <row r="1360" spans="1:16" s="219" customFormat="1" ht="45" hidden="1" x14ac:dyDescent="0.25">
      <c r="A1360" s="214"/>
      <c r="B1360" s="237">
        <v>1</v>
      </c>
      <c r="C1360" s="237">
        <v>3</v>
      </c>
      <c r="D1360" s="238" t="s">
        <v>2022</v>
      </c>
      <c r="E1360" s="238" t="s">
        <v>1836</v>
      </c>
      <c r="F1360" s="238" t="s">
        <v>2139</v>
      </c>
      <c r="G1360" s="238" t="s">
        <v>763</v>
      </c>
      <c r="H1360" s="239" t="s">
        <v>3191</v>
      </c>
      <c r="I1360" s="217"/>
      <c r="J1360" s="217"/>
      <c r="K1360" s="217"/>
      <c r="L1360" s="217"/>
      <c r="M1360" s="217"/>
      <c r="N1360" s="217"/>
      <c r="O1360" s="217"/>
      <c r="P1360" s="217"/>
    </row>
    <row r="1361" spans="1:16" s="219" customFormat="1" ht="45" hidden="1" x14ac:dyDescent="0.25">
      <c r="A1361" s="214"/>
      <c r="B1361" s="237">
        <v>1</v>
      </c>
      <c r="C1361" s="237">
        <v>3</v>
      </c>
      <c r="D1361" s="238" t="s">
        <v>2022</v>
      </c>
      <c r="E1361" s="238" t="s">
        <v>1836</v>
      </c>
      <c r="F1361" s="238" t="s">
        <v>2139</v>
      </c>
      <c r="G1361" s="238" t="s">
        <v>3192</v>
      </c>
      <c r="H1361" s="239" t="s">
        <v>3193</v>
      </c>
      <c r="I1361" s="217"/>
      <c r="J1361" s="217"/>
      <c r="K1361" s="217"/>
      <c r="L1361" s="217"/>
      <c r="M1361" s="217"/>
      <c r="N1361" s="217"/>
      <c r="O1361" s="217"/>
      <c r="P1361" s="217"/>
    </row>
    <row r="1362" spans="1:16" s="219" customFormat="1" ht="45" hidden="1" x14ac:dyDescent="0.25">
      <c r="A1362" s="214"/>
      <c r="B1362" s="237">
        <v>1</v>
      </c>
      <c r="C1362" s="237">
        <v>3</v>
      </c>
      <c r="D1362" s="238" t="s">
        <v>2022</v>
      </c>
      <c r="E1362" s="238" t="s">
        <v>1836</v>
      </c>
      <c r="F1362" s="238" t="s">
        <v>2139</v>
      </c>
      <c r="G1362" s="238" t="s">
        <v>3194</v>
      </c>
      <c r="H1362" s="239" t="s">
        <v>3195</v>
      </c>
      <c r="I1362" s="217"/>
      <c r="J1362" s="217"/>
      <c r="K1362" s="217"/>
      <c r="L1362" s="217"/>
      <c r="M1362" s="217"/>
      <c r="N1362" s="217"/>
      <c r="O1362" s="217"/>
      <c r="P1362" s="217"/>
    </row>
    <row r="1363" spans="1:16" s="219" customFormat="1" ht="60" hidden="1" x14ac:dyDescent="0.25">
      <c r="A1363" s="214"/>
      <c r="B1363" s="237">
        <v>1</v>
      </c>
      <c r="C1363" s="237">
        <v>3</v>
      </c>
      <c r="D1363" s="238" t="s">
        <v>2022</v>
      </c>
      <c r="E1363" s="238" t="s">
        <v>1836</v>
      </c>
      <c r="F1363" s="238" t="s">
        <v>2139</v>
      </c>
      <c r="G1363" s="238" t="s">
        <v>3196</v>
      </c>
      <c r="H1363" s="239" t="s">
        <v>3197</v>
      </c>
      <c r="I1363" s="217"/>
      <c r="J1363" s="217"/>
      <c r="K1363" s="217"/>
      <c r="L1363" s="217"/>
      <c r="M1363" s="217"/>
      <c r="N1363" s="217"/>
      <c r="O1363" s="217"/>
      <c r="P1363" s="217"/>
    </row>
    <row r="1364" spans="1:16" s="219" customFormat="1" ht="45" hidden="1" x14ac:dyDescent="0.25">
      <c r="A1364" s="214"/>
      <c r="B1364" s="237">
        <v>1</v>
      </c>
      <c r="C1364" s="237">
        <v>3</v>
      </c>
      <c r="D1364" s="238" t="s">
        <v>2022</v>
      </c>
      <c r="E1364" s="238" t="s">
        <v>1836</v>
      </c>
      <c r="F1364" s="238" t="s">
        <v>2139</v>
      </c>
      <c r="G1364" s="238" t="s">
        <v>3198</v>
      </c>
      <c r="H1364" s="239" t="s">
        <v>3199</v>
      </c>
      <c r="I1364" s="217"/>
      <c r="J1364" s="217"/>
      <c r="K1364" s="217"/>
      <c r="L1364" s="217"/>
      <c r="M1364" s="217"/>
      <c r="N1364" s="217"/>
      <c r="O1364" s="217"/>
      <c r="P1364" s="217"/>
    </row>
    <row r="1365" spans="1:16" s="219" customFormat="1" ht="60" hidden="1" x14ac:dyDescent="0.25">
      <c r="A1365" s="214"/>
      <c r="B1365" s="237">
        <v>1</v>
      </c>
      <c r="C1365" s="237">
        <v>3</v>
      </c>
      <c r="D1365" s="238" t="s">
        <v>2022</v>
      </c>
      <c r="E1365" s="238" t="s">
        <v>1836</v>
      </c>
      <c r="F1365" s="238" t="s">
        <v>2139</v>
      </c>
      <c r="G1365" s="238" t="s">
        <v>3200</v>
      </c>
      <c r="H1365" s="239" t="s">
        <v>3201</v>
      </c>
      <c r="I1365" s="217"/>
      <c r="J1365" s="217"/>
      <c r="K1365" s="217"/>
      <c r="L1365" s="217"/>
      <c r="M1365" s="217"/>
      <c r="N1365" s="217"/>
      <c r="O1365" s="217"/>
      <c r="P1365" s="217"/>
    </row>
    <row r="1366" spans="1:16" s="219" customFormat="1" ht="60" hidden="1" x14ac:dyDescent="0.25">
      <c r="A1366" s="214"/>
      <c r="B1366" s="237">
        <v>1</v>
      </c>
      <c r="C1366" s="237">
        <v>3</v>
      </c>
      <c r="D1366" s="238" t="s">
        <v>2022</v>
      </c>
      <c r="E1366" s="238" t="s">
        <v>1836</v>
      </c>
      <c r="F1366" s="238" t="s">
        <v>2139</v>
      </c>
      <c r="G1366" s="238" t="s">
        <v>3202</v>
      </c>
      <c r="H1366" s="239" t="s">
        <v>3203</v>
      </c>
      <c r="I1366" s="217"/>
      <c r="J1366" s="217"/>
      <c r="K1366" s="217"/>
      <c r="L1366" s="217"/>
      <c r="M1366" s="217"/>
      <c r="N1366" s="217"/>
      <c r="O1366" s="217"/>
      <c r="P1366" s="217"/>
    </row>
    <row r="1367" spans="1:16" s="219" customFormat="1" ht="45" hidden="1" x14ac:dyDescent="0.25">
      <c r="A1367" s="214"/>
      <c r="B1367" s="237">
        <v>1</v>
      </c>
      <c r="C1367" s="237">
        <v>3</v>
      </c>
      <c r="D1367" s="238" t="s">
        <v>2022</v>
      </c>
      <c r="E1367" s="238" t="s">
        <v>1836</v>
      </c>
      <c r="F1367" s="238" t="s">
        <v>2139</v>
      </c>
      <c r="G1367" s="238" t="s">
        <v>3204</v>
      </c>
      <c r="H1367" s="239" t="s">
        <v>3205</v>
      </c>
      <c r="I1367" s="217"/>
      <c r="J1367" s="217"/>
      <c r="K1367" s="217"/>
      <c r="L1367" s="217"/>
      <c r="M1367" s="217"/>
      <c r="N1367" s="217"/>
      <c r="O1367" s="217"/>
      <c r="P1367" s="217"/>
    </row>
    <row r="1368" spans="1:16" s="219" customFormat="1" ht="45" hidden="1" x14ac:dyDescent="0.25">
      <c r="A1368" s="214"/>
      <c r="B1368" s="237">
        <v>1</v>
      </c>
      <c r="C1368" s="237">
        <v>3</v>
      </c>
      <c r="D1368" s="238" t="s">
        <v>2022</v>
      </c>
      <c r="E1368" s="238" t="s">
        <v>1836</v>
      </c>
      <c r="F1368" s="238" t="s">
        <v>2139</v>
      </c>
      <c r="G1368" s="238" t="s">
        <v>3206</v>
      </c>
      <c r="H1368" s="239" t="s">
        <v>3207</v>
      </c>
      <c r="I1368" s="217"/>
      <c r="J1368" s="217"/>
      <c r="K1368" s="217"/>
      <c r="L1368" s="217"/>
      <c r="M1368" s="217"/>
      <c r="N1368" s="217"/>
      <c r="O1368" s="217"/>
      <c r="P1368" s="217"/>
    </row>
    <row r="1369" spans="1:16" s="219" customFormat="1" ht="45" hidden="1" x14ac:dyDescent="0.25">
      <c r="A1369" s="214"/>
      <c r="B1369" s="237">
        <v>1</v>
      </c>
      <c r="C1369" s="237">
        <v>3</v>
      </c>
      <c r="D1369" s="238" t="s">
        <v>2022</v>
      </c>
      <c r="E1369" s="238" t="s">
        <v>1836</v>
      </c>
      <c r="F1369" s="238" t="s">
        <v>2139</v>
      </c>
      <c r="G1369" s="238" t="s">
        <v>3208</v>
      </c>
      <c r="H1369" s="239" t="s">
        <v>3209</v>
      </c>
      <c r="I1369" s="217"/>
      <c r="J1369" s="217"/>
      <c r="K1369" s="217"/>
      <c r="L1369" s="217"/>
      <c r="M1369" s="217"/>
      <c r="N1369" s="217"/>
      <c r="O1369" s="217"/>
      <c r="P1369" s="217"/>
    </row>
    <row r="1370" spans="1:16" s="219" customFormat="1" ht="60" hidden="1" x14ac:dyDescent="0.25">
      <c r="A1370" s="214"/>
      <c r="B1370" s="237">
        <v>1</v>
      </c>
      <c r="C1370" s="237">
        <v>3</v>
      </c>
      <c r="D1370" s="238" t="s">
        <v>2022</v>
      </c>
      <c r="E1370" s="238" t="s">
        <v>1836</v>
      </c>
      <c r="F1370" s="238" t="s">
        <v>2139</v>
      </c>
      <c r="G1370" s="238" t="s">
        <v>3210</v>
      </c>
      <c r="H1370" s="239" t="s">
        <v>3211</v>
      </c>
      <c r="I1370" s="217"/>
      <c r="J1370" s="217"/>
      <c r="K1370" s="217"/>
      <c r="L1370" s="217"/>
      <c r="M1370" s="217"/>
      <c r="N1370" s="217"/>
      <c r="O1370" s="217"/>
      <c r="P1370" s="217"/>
    </row>
    <row r="1371" spans="1:16" s="219" customFormat="1" ht="60" hidden="1" x14ac:dyDescent="0.25">
      <c r="A1371" s="214"/>
      <c r="B1371" s="237">
        <v>1</v>
      </c>
      <c r="C1371" s="237">
        <v>3</v>
      </c>
      <c r="D1371" s="238" t="s">
        <v>2022</v>
      </c>
      <c r="E1371" s="238" t="s">
        <v>1836</v>
      </c>
      <c r="F1371" s="238" t="s">
        <v>2139</v>
      </c>
      <c r="G1371" s="238" t="s">
        <v>3212</v>
      </c>
      <c r="H1371" s="239" t="s">
        <v>3213</v>
      </c>
      <c r="I1371" s="217"/>
      <c r="J1371" s="217"/>
      <c r="K1371" s="217"/>
      <c r="L1371" s="217"/>
      <c r="M1371" s="217"/>
      <c r="N1371" s="217"/>
      <c r="O1371" s="217"/>
      <c r="P1371" s="217"/>
    </row>
    <row r="1372" spans="1:16" s="219" customFormat="1" ht="60" hidden="1" x14ac:dyDescent="0.25">
      <c r="A1372" s="214"/>
      <c r="B1372" s="237">
        <v>1</v>
      </c>
      <c r="C1372" s="237">
        <v>3</v>
      </c>
      <c r="D1372" s="238" t="s">
        <v>2022</v>
      </c>
      <c r="E1372" s="238" t="s">
        <v>1836</v>
      </c>
      <c r="F1372" s="238" t="s">
        <v>2139</v>
      </c>
      <c r="G1372" s="238" t="s">
        <v>3214</v>
      </c>
      <c r="H1372" s="239" t="s">
        <v>3215</v>
      </c>
      <c r="I1372" s="217"/>
      <c r="J1372" s="217"/>
      <c r="K1372" s="217"/>
      <c r="L1372" s="217"/>
      <c r="M1372" s="217"/>
      <c r="N1372" s="217"/>
      <c r="O1372" s="217"/>
      <c r="P1372" s="217"/>
    </row>
    <row r="1373" spans="1:16" s="219" customFormat="1" ht="60" hidden="1" x14ac:dyDescent="0.25">
      <c r="A1373" s="214"/>
      <c r="B1373" s="237">
        <v>1</v>
      </c>
      <c r="C1373" s="237">
        <v>3</v>
      </c>
      <c r="D1373" s="238" t="s">
        <v>2022</v>
      </c>
      <c r="E1373" s="238" t="s">
        <v>1836</v>
      </c>
      <c r="F1373" s="238" t="s">
        <v>2139</v>
      </c>
      <c r="G1373" s="238" t="s">
        <v>3216</v>
      </c>
      <c r="H1373" s="239" t="s">
        <v>3217</v>
      </c>
      <c r="I1373" s="217"/>
      <c r="J1373" s="217"/>
      <c r="K1373" s="217"/>
      <c r="L1373" s="217"/>
      <c r="M1373" s="217"/>
      <c r="N1373" s="217"/>
      <c r="O1373" s="217"/>
      <c r="P1373" s="217"/>
    </row>
    <row r="1374" spans="1:16" s="219" customFormat="1" ht="60" hidden="1" x14ac:dyDescent="0.25">
      <c r="A1374" s="214"/>
      <c r="B1374" s="237">
        <v>1</v>
      </c>
      <c r="C1374" s="237">
        <v>3</v>
      </c>
      <c r="D1374" s="238" t="s">
        <v>2022</v>
      </c>
      <c r="E1374" s="238" t="s">
        <v>1836</v>
      </c>
      <c r="F1374" s="238" t="s">
        <v>2139</v>
      </c>
      <c r="G1374" s="238" t="s">
        <v>501</v>
      </c>
      <c r="H1374" s="239" t="s">
        <v>3218</v>
      </c>
      <c r="I1374" s="217"/>
      <c r="J1374" s="217"/>
      <c r="K1374" s="217"/>
      <c r="L1374" s="217"/>
      <c r="M1374" s="217"/>
      <c r="N1374" s="217"/>
      <c r="O1374" s="217"/>
      <c r="P1374" s="217"/>
    </row>
    <row r="1375" spans="1:16" s="219" customFormat="1" ht="60" hidden="1" x14ac:dyDescent="0.25">
      <c r="A1375" s="214"/>
      <c r="B1375" s="237">
        <v>1</v>
      </c>
      <c r="C1375" s="237">
        <v>3</v>
      </c>
      <c r="D1375" s="238" t="s">
        <v>2022</v>
      </c>
      <c r="E1375" s="238" t="s">
        <v>1836</v>
      </c>
      <c r="F1375" s="238" t="s">
        <v>2139</v>
      </c>
      <c r="G1375" s="238" t="s">
        <v>3219</v>
      </c>
      <c r="H1375" s="239" t="s">
        <v>3220</v>
      </c>
      <c r="I1375" s="217"/>
      <c r="J1375" s="217"/>
      <c r="K1375" s="217"/>
      <c r="L1375" s="217"/>
      <c r="M1375" s="217"/>
      <c r="N1375" s="217"/>
      <c r="O1375" s="217"/>
      <c r="P1375" s="217"/>
    </row>
    <row r="1376" spans="1:16" s="219" customFormat="1" ht="60" hidden="1" x14ac:dyDescent="0.25">
      <c r="A1376" s="214"/>
      <c r="B1376" s="237">
        <v>1</v>
      </c>
      <c r="C1376" s="237">
        <v>3</v>
      </c>
      <c r="D1376" s="238" t="s">
        <v>2022</v>
      </c>
      <c r="E1376" s="238" t="s">
        <v>1836</v>
      </c>
      <c r="F1376" s="238" t="s">
        <v>2139</v>
      </c>
      <c r="G1376" s="238" t="s">
        <v>3221</v>
      </c>
      <c r="H1376" s="239" t="s">
        <v>3222</v>
      </c>
      <c r="I1376" s="217"/>
      <c r="J1376" s="217"/>
      <c r="K1376" s="217"/>
      <c r="L1376" s="217"/>
      <c r="M1376" s="217"/>
      <c r="N1376" s="217"/>
      <c r="O1376" s="217"/>
      <c r="P1376" s="217"/>
    </row>
    <row r="1377" spans="1:16" s="219" customFormat="1" ht="45" hidden="1" x14ac:dyDescent="0.25">
      <c r="A1377" s="214"/>
      <c r="B1377" s="237">
        <v>1</v>
      </c>
      <c r="C1377" s="237">
        <v>3</v>
      </c>
      <c r="D1377" s="238" t="s">
        <v>2022</v>
      </c>
      <c r="E1377" s="238" t="s">
        <v>1836</v>
      </c>
      <c r="F1377" s="238" t="s">
        <v>2139</v>
      </c>
      <c r="G1377" s="238" t="s">
        <v>3223</v>
      </c>
      <c r="H1377" s="239" t="s">
        <v>3224</v>
      </c>
      <c r="I1377" s="217"/>
      <c r="J1377" s="217"/>
      <c r="K1377" s="217"/>
      <c r="L1377" s="217"/>
      <c r="M1377" s="217"/>
      <c r="N1377" s="217"/>
      <c r="O1377" s="217"/>
      <c r="P1377" s="217"/>
    </row>
    <row r="1378" spans="1:16" s="219" customFormat="1" ht="60" hidden="1" x14ac:dyDescent="0.25">
      <c r="A1378" s="214"/>
      <c r="B1378" s="237">
        <v>1</v>
      </c>
      <c r="C1378" s="237">
        <v>3</v>
      </c>
      <c r="D1378" s="238" t="s">
        <v>2022</v>
      </c>
      <c r="E1378" s="238" t="s">
        <v>1836</v>
      </c>
      <c r="F1378" s="238" t="s">
        <v>2139</v>
      </c>
      <c r="G1378" s="238" t="s">
        <v>3225</v>
      </c>
      <c r="H1378" s="239" t="s">
        <v>3226</v>
      </c>
      <c r="I1378" s="217"/>
      <c r="J1378" s="217"/>
      <c r="K1378" s="217"/>
      <c r="L1378" s="217"/>
      <c r="M1378" s="217"/>
      <c r="N1378" s="217"/>
      <c r="O1378" s="217"/>
      <c r="P1378" s="217"/>
    </row>
    <row r="1379" spans="1:16" s="219" customFormat="1" ht="60" hidden="1" x14ac:dyDescent="0.25">
      <c r="A1379" s="214"/>
      <c r="B1379" s="237">
        <v>1</v>
      </c>
      <c r="C1379" s="237">
        <v>3</v>
      </c>
      <c r="D1379" s="238" t="s">
        <v>2022</v>
      </c>
      <c r="E1379" s="238" t="s">
        <v>1836</v>
      </c>
      <c r="F1379" s="238" t="s">
        <v>2139</v>
      </c>
      <c r="G1379" s="238" t="s">
        <v>3227</v>
      </c>
      <c r="H1379" s="239" t="s">
        <v>3228</v>
      </c>
      <c r="I1379" s="217"/>
      <c r="J1379" s="217"/>
      <c r="K1379" s="217"/>
      <c r="L1379" s="217"/>
      <c r="M1379" s="217"/>
      <c r="N1379" s="217"/>
      <c r="O1379" s="217"/>
      <c r="P1379" s="217"/>
    </row>
    <row r="1380" spans="1:16" s="219" customFormat="1" ht="60" hidden="1" x14ac:dyDescent="0.25">
      <c r="A1380" s="214"/>
      <c r="B1380" s="237">
        <v>1</v>
      </c>
      <c r="C1380" s="237">
        <v>3</v>
      </c>
      <c r="D1380" s="238" t="s">
        <v>2022</v>
      </c>
      <c r="E1380" s="238" t="s">
        <v>1836</v>
      </c>
      <c r="F1380" s="238" t="s">
        <v>2139</v>
      </c>
      <c r="G1380" s="238" t="s">
        <v>3229</v>
      </c>
      <c r="H1380" s="239" t="s">
        <v>3230</v>
      </c>
      <c r="I1380" s="217"/>
      <c r="J1380" s="217"/>
      <c r="K1380" s="217"/>
      <c r="L1380" s="217"/>
      <c r="M1380" s="217"/>
      <c r="N1380" s="217"/>
      <c r="O1380" s="217"/>
      <c r="P1380" s="217"/>
    </row>
    <row r="1381" spans="1:16" s="219" customFormat="1" ht="60" hidden="1" x14ac:dyDescent="0.25">
      <c r="A1381" s="214"/>
      <c r="B1381" s="237">
        <v>1</v>
      </c>
      <c r="C1381" s="237">
        <v>3</v>
      </c>
      <c r="D1381" s="238" t="s">
        <v>2022</v>
      </c>
      <c r="E1381" s="238" t="s">
        <v>1836</v>
      </c>
      <c r="F1381" s="238" t="s">
        <v>2139</v>
      </c>
      <c r="G1381" s="238" t="s">
        <v>506</v>
      </c>
      <c r="H1381" s="239" t="s">
        <v>3231</v>
      </c>
      <c r="I1381" s="217"/>
      <c r="J1381" s="217"/>
      <c r="K1381" s="217"/>
      <c r="L1381" s="217"/>
      <c r="M1381" s="217"/>
      <c r="N1381" s="217"/>
      <c r="O1381" s="217"/>
      <c r="P1381" s="217"/>
    </row>
    <row r="1382" spans="1:16" s="219" customFormat="1" ht="60" hidden="1" x14ac:dyDescent="0.25">
      <c r="A1382" s="214"/>
      <c r="B1382" s="237">
        <v>1</v>
      </c>
      <c r="C1382" s="237">
        <v>3</v>
      </c>
      <c r="D1382" s="238" t="s">
        <v>2022</v>
      </c>
      <c r="E1382" s="238" t="s">
        <v>1836</v>
      </c>
      <c r="F1382" s="238" t="s">
        <v>2139</v>
      </c>
      <c r="G1382" s="238" t="s">
        <v>507</v>
      </c>
      <c r="H1382" s="239" t="s">
        <v>3232</v>
      </c>
      <c r="I1382" s="217"/>
      <c r="J1382" s="217"/>
      <c r="K1382" s="217"/>
      <c r="L1382" s="217"/>
      <c r="M1382" s="217"/>
      <c r="N1382" s="217"/>
      <c r="O1382" s="217"/>
      <c r="P1382" s="217"/>
    </row>
    <row r="1383" spans="1:16" s="219" customFormat="1" ht="60" hidden="1" x14ac:dyDescent="0.25">
      <c r="A1383" s="214"/>
      <c r="B1383" s="237">
        <v>1</v>
      </c>
      <c r="C1383" s="237">
        <v>3</v>
      </c>
      <c r="D1383" s="238" t="s">
        <v>2022</v>
      </c>
      <c r="E1383" s="238" t="s">
        <v>1836</v>
      </c>
      <c r="F1383" s="238" t="s">
        <v>2139</v>
      </c>
      <c r="G1383" s="238" t="s">
        <v>508</v>
      </c>
      <c r="H1383" s="239" t="s">
        <v>3233</v>
      </c>
      <c r="I1383" s="217"/>
      <c r="J1383" s="217"/>
      <c r="K1383" s="217"/>
      <c r="L1383" s="217"/>
      <c r="M1383" s="217"/>
      <c r="N1383" s="217"/>
      <c r="O1383" s="217"/>
      <c r="P1383" s="217"/>
    </row>
    <row r="1384" spans="1:16" s="219" customFormat="1" ht="60" hidden="1" x14ac:dyDescent="0.25">
      <c r="A1384" s="214"/>
      <c r="B1384" s="237">
        <v>1</v>
      </c>
      <c r="C1384" s="237">
        <v>3</v>
      </c>
      <c r="D1384" s="238" t="s">
        <v>2022</v>
      </c>
      <c r="E1384" s="238" t="s">
        <v>1836</v>
      </c>
      <c r="F1384" s="238" t="s">
        <v>2139</v>
      </c>
      <c r="G1384" s="238" t="s">
        <v>3234</v>
      </c>
      <c r="H1384" s="239" t="s">
        <v>3235</v>
      </c>
      <c r="I1384" s="217"/>
      <c r="J1384" s="217"/>
      <c r="K1384" s="217"/>
      <c r="L1384" s="217"/>
      <c r="M1384" s="217"/>
      <c r="N1384" s="217"/>
      <c r="O1384" s="217"/>
      <c r="P1384" s="217"/>
    </row>
    <row r="1385" spans="1:16" s="219" customFormat="1" ht="75" hidden="1" x14ac:dyDescent="0.25">
      <c r="A1385" s="214"/>
      <c r="B1385" s="237">
        <v>1</v>
      </c>
      <c r="C1385" s="237">
        <v>3</v>
      </c>
      <c r="D1385" s="238" t="s">
        <v>2022</v>
      </c>
      <c r="E1385" s="238" t="s">
        <v>1836</v>
      </c>
      <c r="F1385" s="238" t="s">
        <v>2139</v>
      </c>
      <c r="G1385" s="238" t="s">
        <v>3236</v>
      </c>
      <c r="H1385" s="239" t="s">
        <v>3237</v>
      </c>
      <c r="I1385" s="217"/>
      <c r="J1385" s="217"/>
      <c r="K1385" s="217"/>
      <c r="L1385" s="217"/>
      <c r="M1385" s="217"/>
      <c r="N1385" s="217"/>
      <c r="O1385" s="217"/>
      <c r="P1385" s="217"/>
    </row>
    <row r="1386" spans="1:16" s="219" customFormat="1" ht="60" hidden="1" x14ac:dyDescent="0.25">
      <c r="A1386" s="214"/>
      <c r="B1386" s="237">
        <v>1</v>
      </c>
      <c r="C1386" s="237">
        <v>3</v>
      </c>
      <c r="D1386" s="238" t="s">
        <v>2022</v>
      </c>
      <c r="E1386" s="238" t="s">
        <v>1836</v>
      </c>
      <c r="F1386" s="238" t="s">
        <v>2139</v>
      </c>
      <c r="G1386" s="238" t="s">
        <v>3238</v>
      </c>
      <c r="H1386" s="239" t="s">
        <v>3239</v>
      </c>
      <c r="I1386" s="217"/>
      <c r="J1386" s="217"/>
      <c r="K1386" s="217"/>
      <c r="L1386" s="217"/>
      <c r="M1386" s="217"/>
      <c r="N1386" s="217"/>
      <c r="O1386" s="217"/>
      <c r="P1386" s="217"/>
    </row>
    <row r="1387" spans="1:16" s="219" customFormat="1" ht="75" hidden="1" x14ac:dyDescent="0.25">
      <c r="A1387" s="214"/>
      <c r="B1387" s="237">
        <v>1</v>
      </c>
      <c r="C1387" s="237">
        <v>3</v>
      </c>
      <c r="D1387" s="238" t="s">
        <v>2022</v>
      </c>
      <c r="E1387" s="238" t="s">
        <v>1836</v>
      </c>
      <c r="F1387" s="238" t="s">
        <v>2139</v>
      </c>
      <c r="G1387" s="238" t="s">
        <v>3240</v>
      </c>
      <c r="H1387" s="239" t="s">
        <v>3241</v>
      </c>
      <c r="I1387" s="217"/>
      <c r="J1387" s="217"/>
      <c r="K1387" s="217"/>
      <c r="L1387" s="217"/>
      <c r="M1387" s="217"/>
      <c r="N1387" s="217"/>
      <c r="O1387" s="217"/>
      <c r="P1387" s="217"/>
    </row>
    <row r="1388" spans="1:16" s="219" customFormat="1" ht="60" hidden="1" x14ac:dyDescent="0.25">
      <c r="A1388" s="214"/>
      <c r="B1388" s="237">
        <v>1</v>
      </c>
      <c r="C1388" s="237">
        <v>3</v>
      </c>
      <c r="D1388" s="238" t="s">
        <v>2022</v>
      </c>
      <c r="E1388" s="238" t="s">
        <v>1836</v>
      </c>
      <c r="F1388" s="238" t="s">
        <v>2139</v>
      </c>
      <c r="G1388" s="238" t="s">
        <v>510</v>
      </c>
      <c r="H1388" s="239" t="s">
        <v>3242</v>
      </c>
      <c r="I1388" s="217"/>
      <c r="J1388" s="217"/>
      <c r="K1388" s="217"/>
      <c r="L1388" s="217"/>
      <c r="M1388" s="217"/>
      <c r="N1388" s="217"/>
      <c r="O1388" s="217"/>
      <c r="P1388" s="217"/>
    </row>
    <row r="1389" spans="1:16" s="219" customFormat="1" ht="60" hidden="1" x14ac:dyDescent="0.25">
      <c r="A1389" s="214"/>
      <c r="B1389" s="237">
        <v>1</v>
      </c>
      <c r="C1389" s="237">
        <v>3</v>
      </c>
      <c r="D1389" s="238" t="s">
        <v>2022</v>
      </c>
      <c r="E1389" s="238" t="s">
        <v>1836</v>
      </c>
      <c r="F1389" s="238" t="s">
        <v>2139</v>
      </c>
      <c r="G1389" s="238" t="s">
        <v>513</v>
      </c>
      <c r="H1389" s="239" t="s">
        <v>3243</v>
      </c>
      <c r="I1389" s="217"/>
      <c r="J1389" s="217"/>
      <c r="K1389" s="217"/>
      <c r="L1389" s="217"/>
      <c r="M1389" s="217"/>
      <c r="N1389" s="217"/>
      <c r="O1389" s="217"/>
      <c r="P1389" s="217"/>
    </row>
    <row r="1390" spans="1:16" s="219" customFormat="1" ht="75" hidden="1" x14ac:dyDescent="0.25">
      <c r="A1390" s="214"/>
      <c r="B1390" s="237">
        <v>1</v>
      </c>
      <c r="C1390" s="237">
        <v>3</v>
      </c>
      <c r="D1390" s="238" t="s">
        <v>2022</v>
      </c>
      <c r="E1390" s="238" t="s">
        <v>1836</v>
      </c>
      <c r="F1390" s="238" t="s">
        <v>2139</v>
      </c>
      <c r="G1390" s="238" t="s">
        <v>514</v>
      </c>
      <c r="H1390" s="239" t="s">
        <v>3244</v>
      </c>
      <c r="I1390" s="217"/>
      <c r="J1390" s="217"/>
      <c r="K1390" s="217"/>
      <c r="L1390" s="217"/>
      <c r="M1390" s="217"/>
      <c r="N1390" s="217"/>
      <c r="O1390" s="217"/>
      <c r="P1390" s="217"/>
    </row>
    <row r="1391" spans="1:16" s="213" customFormat="1" ht="30" hidden="1" x14ac:dyDescent="0.25">
      <c r="A1391" s="208" t="s">
        <v>263</v>
      </c>
      <c r="B1391" s="234">
        <v>1</v>
      </c>
      <c r="C1391" s="234">
        <v>3</v>
      </c>
      <c r="D1391" s="235" t="s">
        <v>2022</v>
      </c>
      <c r="E1391" s="235" t="s">
        <v>1836</v>
      </c>
      <c r="F1391" s="235" t="s">
        <v>2313</v>
      </c>
      <c r="G1391" s="234"/>
      <c r="H1391" s="236" t="s">
        <v>3245</v>
      </c>
      <c r="I1391" s="211">
        <f>SUM(I1392:I1399)</f>
        <v>0</v>
      </c>
      <c r="J1391" s="211">
        <f t="shared" ref="J1391:P1391" si="163">SUM(J1392:J1399)</f>
        <v>0</v>
      </c>
      <c r="K1391" s="211">
        <f t="shared" si="163"/>
        <v>0</v>
      </c>
      <c r="L1391" s="211">
        <f t="shared" si="163"/>
        <v>0</v>
      </c>
      <c r="M1391" s="211">
        <f t="shared" si="163"/>
        <v>0</v>
      </c>
      <c r="N1391" s="211">
        <f t="shared" si="163"/>
        <v>0</v>
      </c>
      <c r="O1391" s="211">
        <f t="shared" si="163"/>
        <v>0</v>
      </c>
      <c r="P1391" s="211">
        <f t="shared" si="163"/>
        <v>0</v>
      </c>
    </row>
    <row r="1392" spans="1:16" s="219" customFormat="1" ht="30" hidden="1" x14ac:dyDescent="0.25">
      <c r="A1392" s="214"/>
      <c r="B1392" s="237">
        <v>1</v>
      </c>
      <c r="C1392" s="237">
        <v>3</v>
      </c>
      <c r="D1392" s="238" t="s">
        <v>2022</v>
      </c>
      <c r="E1392" s="238" t="s">
        <v>1836</v>
      </c>
      <c r="F1392" s="238" t="s">
        <v>2313</v>
      </c>
      <c r="G1392" s="238" t="s">
        <v>58</v>
      </c>
      <c r="H1392" s="239" t="s">
        <v>3246</v>
      </c>
      <c r="I1392" s="217"/>
      <c r="J1392" s="217"/>
      <c r="K1392" s="217"/>
      <c r="L1392" s="217"/>
      <c r="M1392" s="217"/>
      <c r="N1392" s="217"/>
      <c r="O1392" s="217"/>
      <c r="P1392" s="217"/>
    </row>
    <row r="1393" spans="1:16" s="219" customFormat="1" ht="30" hidden="1" x14ac:dyDescent="0.25">
      <c r="A1393" s="214"/>
      <c r="B1393" s="237">
        <v>1</v>
      </c>
      <c r="C1393" s="237">
        <v>3</v>
      </c>
      <c r="D1393" s="238" t="s">
        <v>2022</v>
      </c>
      <c r="E1393" s="238" t="s">
        <v>1836</v>
      </c>
      <c r="F1393" s="238" t="s">
        <v>2313</v>
      </c>
      <c r="G1393" s="238" t="s">
        <v>75</v>
      </c>
      <c r="H1393" s="239" t="s">
        <v>3247</v>
      </c>
      <c r="I1393" s="217"/>
      <c r="J1393" s="217"/>
      <c r="K1393" s="217"/>
      <c r="L1393" s="217"/>
      <c r="M1393" s="217"/>
      <c r="N1393" s="217"/>
      <c r="O1393" s="217"/>
      <c r="P1393" s="217"/>
    </row>
    <row r="1394" spans="1:16" s="219" customFormat="1" ht="45" hidden="1" x14ac:dyDescent="0.25">
      <c r="A1394" s="214"/>
      <c r="B1394" s="237">
        <v>1</v>
      </c>
      <c r="C1394" s="237">
        <v>3</v>
      </c>
      <c r="D1394" s="238" t="s">
        <v>2022</v>
      </c>
      <c r="E1394" s="238" t="s">
        <v>1836</v>
      </c>
      <c r="F1394" s="238" t="s">
        <v>2313</v>
      </c>
      <c r="G1394" s="238" t="s">
        <v>79</v>
      </c>
      <c r="H1394" s="239" t="s">
        <v>3248</v>
      </c>
      <c r="I1394" s="217"/>
      <c r="J1394" s="217"/>
      <c r="K1394" s="217"/>
      <c r="L1394" s="217"/>
      <c r="M1394" s="217"/>
      <c r="N1394" s="217"/>
      <c r="O1394" s="217"/>
      <c r="P1394" s="217"/>
    </row>
    <row r="1395" spans="1:16" s="219" customFormat="1" ht="45" hidden="1" x14ac:dyDescent="0.25">
      <c r="A1395" s="214"/>
      <c r="B1395" s="237">
        <v>1</v>
      </c>
      <c r="C1395" s="237">
        <v>3</v>
      </c>
      <c r="D1395" s="238" t="s">
        <v>2022</v>
      </c>
      <c r="E1395" s="238" t="s">
        <v>1836</v>
      </c>
      <c r="F1395" s="238" t="s">
        <v>2313</v>
      </c>
      <c r="G1395" s="238" t="s">
        <v>84</v>
      </c>
      <c r="H1395" s="239" t="s">
        <v>3249</v>
      </c>
      <c r="I1395" s="217"/>
      <c r="J1395" s="217"/>
      <c r="K1395" s="217"/>
      <c r="L1395" s="217"/>
      <c r="M1395" s="217"/>
      <c r="N1395" s="217"/>
      <c r="O1395" s="217"/>
      <c r="P1395" s="217"/>
    </row>
    <row r="1396" spans="1:16" s="219" customFormat="1" ht="45" hidden="1" x14ac:dyDescent="0.25">
      <c r="A1396" s="214"/>
      <c r="B1396" s="237">
        <v>1</v>
      </c>
      <c r="C1396" s="237">
        <v>3</v>
      </c>
      <c r="D1396" s="238" t="s">
        <v>2022</v>
      </c>
      <c r="E1396" s="238" t="s">
        <v>1836</v>
      </c>
      <c r="F1396" s="238" t="s">
        <v>2313</v>
      </c>
      <c r="G1396" s="238" t="s">
        <v>88</v>
      </c>
      <c r="H1396" s="239" t="s">
        <v>3250</v>
      </c>
      <c r="I1396" s="217"/>
      <c r="J1396" s="217"/>
      <c r="K1396" s="217"/>
      <c r="L1396" s="217"/>
      <c r="M1396" s="217"/>
      <c r="N1396" s="217"/>
      <c r="O1396" s="217"/>
      <c r="P1396" s="217"/>
    </row>
    <row r="1397" spans="1:16" s="219" customFormat="1" ht="45" hidden="1" x14ac:dyDescent="0.25">
      <c r="A1397" s="214"/>
      <c r="B1397" s="237">
        <v>1</v>
      </c>
      <c r="C1397" s="237">
        <v>3</v>
      </c>
      <c r="D1397" s="238" t="s">
        <v>2022</v>
      </c>
      <c r="E1397" s="238" t="s">
        <v>1836</v>
      </c>
      <c r="F1397" s="238" t="s">
        <v>2313</v>
      </c>
      <c r="G1397" s="238" t="s">
        <v>92</v>
      </c>
      <c r="H1397" s="239" t="s">
        <v>3251</v>
      </c>
      <c r="I1397" s="217"/>
      <c r="J1397" s="217"/>
      <c r="K1397" s="217"/>
      <c r="L1397" s="217"/>
      <c r="M1397" s="217"/>
      <c r="N1397" s="217"/>
      <c r="O1397" s="217"/>
      <c r="P1397" s="217"/>
    </row>
    <row r="1398" spans="1:16" s="219" customFormat="1" ht="45" hidden="1" x14ac:dyDescent="0.25">
      <c r="A1398" s="214"/>
      <c r="B1398" s="237">
        <v>1</v>
      </c>
      <c r="C1398" s="237">
        <v>3</v>
      </c>
      <c r="D1398" s="238" t="s">
        <v>2022</v>
      </c>
      <c r="E1398" s="238" t="s">
        <v>1836</v>
      </c>
      <c r="F1398" s="238" t="s">
        <v>2313</v>
      </c>
      <c r="G1398" s="238" t="s">
        <v>96</v>
      </c>
      <c r="H1398" s="239" t="s">
        <v>3252</v>
      </c>
      <c r="I1398" s="217"/>
      <c r="J1398" s="217"/>
      <c r="K1398" s="217"/>
      <c r="L1398" s="217"/>
      <c r="M1398" s="217"/>
      <c r="N1398" s="217"/>
      <c r="O1398" s="217"/>
      <c r="P1398" s="217"/>
    </row>
    <row r="1399" spans="1:16" s="219" customFormat="1" ht="45" hidden="1" x14ac:dyDescent="0.25">
      <c r="A1399" s="214"/>
      <c r="B1399" s="237">
        <v>1</v>
      </c>
      <c r="C1399" s="237">
        <v>3</v>
      </c>
      <c r="D1399" s="238" t="s">
        <v>2022</v>
      </c>
      <c r="E1399" s="238" t="s">
        <v>1836</v>
      </c>
      <c r="F1399" s="238" t="s">
        <v>2313</v>
      </c>
      <c r="G1399" s="238" t="s">
        <v>100</v>
      </c>
      <c r="H1399" s="239" t="s">
        <v>3253</v>
      </c>
      <c r="I1399" s="217"/>
      <c r="J1399" s="217"/>
      <c r="K1399" s="217"/>
      <c r="L1399" s="217"/>
      <c r="M1399" s="217"/>
      <c r="N1399" s="217"/>
      <c r="O1399" s="217"/>
      <c r="P1399" s="217"/>
    </row>
    <row r="1400" spans="1:16" s="213" customFormat="1" ht="30" hidden="1" x14ac:dyDescent="0.25">
      <c r="A1400" s="208" t="s">
        <v>263</v>
      </c>
      <c r="B1400" s="234">
        <v>1</v>
      </c>
      <c r="C1400" s="234">
        <v>3</v>
      </c>
      <c r="D1400" s="235" t="s">
        <v>2022</v>
      </c>
      <c r="E1400" s="235" t="s">
        <v>1836</v>
      </c>
      <c r="F1400" s="235" t="s">
        <v>2326</v>
      </c>
      <c r="G1400" s="234"/>
      <c r="H1400" s="236" t="s">
        <v>3254</v>
      </c>
      <c r="I1400" s="211">
        <f>SUM(I1401:I1407)</f>
        <v>0</v>
      </c>
      <c r="J1400" s="211">
        <f t="shared" ref="J1400:P1400" si="164">SUM(J1401:J1407)</f>
        <v>0</v>
      </c>
      <c r="K1400" s="211">
        <f t="shared" si="164"/>
        <v>0</v>
      </c>
      <c r="L1400" s="211">
        <f t="shared" si="164"/>
        <v>0</v>
      </c>
      <c r="M1400" s="211">
        <f t="shared" si="164"/>
        <v>0</v>
      </c>
      <c r="N1400" s="211">
        <f t="shared" si="164"/>
        <v>0</v>
      </c>
      <c r="O1400" s="211">
        <f t="shared" si="164"/>
        <v>0</v>
      </c>
      <c r="P1400" s="211">
        <f t="shared" si="164"/>
        <v>0</v>
      </c>
    </row>
    <row r="1401" spans="1:16" s="219" customFormat="1" ht="45" hidden="1" x14ac:dyDescent="0.25">
      <c r="A1401" s="214"/>
      <c r="B1401" s="237">
        <v>1</v>
      </c>
      <c r="C1401" s="237">
        <v>3</v>
      </c>
      <c r="D1401" s="238" t="s">
        <v>2022</v>
      </c>
      <c r="E1401" s="238" t="s">
        <v>1836</v>
      </c>
      <c r="F1401" s="238" t="s">
        <v>2326</v>
      </c>
      <c r="G1401" s="238" t="s">
        <v>58</v>
      </c>
      <c r="H1401" s="239" t="s">
        <v>3255</v>
      </c>
      <c r="I1401" s="217"/>
      <c r="J1401" s="217"/>
      <c r="K1401" s="217"/>
      <c r="L1401" s="217"/>
      <c r="M1401" s="217"/>
      <c r="N1401" s="217"/>
      <c r="O1401" s="217"/>
      <c r="P1401" s="217"/>
    </row>
    <row r="1402" spans="1:16" s="219" customFormat="1" ht="30" hidden="1" x14ac:dyDescent="0.25">
      <c r="A1402" s="214"/>
      <c r="B1402" s="237">
        <v>1</v>
      </c>
      <c r="C1402" s="237">
        <v>3</v>
      </c>
      <c r="D1402" s="238" t="s">
        <v>2022</v>
      </c>
      <c r="E1402" s="238" t="s">
        <v>1836</v>
      </c>
      <c r="F1402" s="238" t="s">
        <v>2326</v>
      </c>
      <c r="G1402" s="238" t="s">
        <v>75</v>
      </c>
      <c r="H1402" s="239" t="s">
        <v>3256</v>
      </c>
      <c r="I1402" s="217"/>
      <c r="J1402" s="217"/>
      <c r="K1402" s="217"/>
      <c r="L1402" s="217"/>
      <c r="M1402" s="217"/>
      <c r="N1402" s="217"/>
      <c r="O1402" s="217"/>
      <c r="P1402" s="217"/>
    </row>
    <row r="1403" spans="1:16" s="219" customFormat="1" ht="45" hidden="1" x14ac:dyDescent="0.25">
      <c r="A1403" s="214"/>
      <c r="B1403" s="237">
        <v>1</v>
      </c>
      <c r="C1403" s="237">
        <v>3</v>
      </c>
      <c r="D1403" s="238" t="s">
        <v>2022</v>
      </c>
      <c r="E1403" s="238" t="s">
        <v>1836</v>
      </c>
      <c r="F1403" s="238" t="s">
        <v>2326</v>
      </c>
      <c r="G1403" s="238" t="s">
        <v>79</v>
      </c>
      <c r="H1403" s="239" t="s">
        <v>3257</v>
      </c>
      <c r="I1403" s="217"/>
      <c r="J1403" s="217"/>
      <c r="K1403" s="217"/>
      <c r="L1403" s="217"/>
      <c r="M1403" s="217"/>
      <c r="N1403" s="217"/>
      <c r="O1403" s="217"/>
      <c r="P1403" s="217"/>
    </row>
    <row r="1404" spans="1:16" s="219" customFormat="1" ht="30" hidden="1" x14ac:dyDescent="0.25">
      <c r="A1404" s="214"/>
      <c r="B1404" s="237">
        <v>1</v>
      </c>
      <c r="C1404" s="237">
        <v>3</v>
      </c>
      <c r="D1404" s="238" t="s">
        <v>2022</v>
      </c>
      <c r="E1404" s="238" t="s">
        <v>1836</v>
      </c>
      <c r="F1404" s="238" t="s">
        <v>2326</v>
      </c>
      <c r="G1404" s="238" t="s">
        <v>84</v>
      </c>
      <c r="H1404" s="239" t="s">
        <v>3258</v>
      </c>
      <c r="I1404" s="217"/>
      <c r="J1404" s="217"/>
      <c r="K1404" s="217"/>
      <c r="L1404" s="217"/>
      <c r="M1404" s="217"/>
      <c r="N1404" s="217"/>
      <c r="O1404" s="217"/>
      <c r="P1404" s="217"/>
    </row>
    <row r="1405" spans="1:16" s="219" customFormat="1" ht="45" hidden="1" x14ac:dyDescent="0.25">
      <c r="A1405" s="214"/>
      <c r="B1405" s="237">
        <v>1</v>
      </c>
      <c r="C1405" s="237">
        <v>3</v>
      </c>
      <c r="D1405" s="238" t="s">
        <v>2022</v>
      </c>
      <c r="E1405" s="238" t="s">
        <v>1836</v>
      </c>
      <c r="F1405" s="238" t="s">
        <v>2326</v>
      </c>
      <c r="G1405" s="238" t="s">
        <v>88</v>
      </c>
      <c r="H1405" s="239" t="s">
        <v>3259</v>
      </c>
      <c r="I1405" s="217"/>
      <c r="J1405" s="217"/>
      <c r="K1405" s="217"/>
      <c r="L1405" s="217"/>
      <c r="M1405" s="217"/>
      <c r="N1405" s="217"/>
      <c r="O1405" s="217"/>
      <c r="P1405" s="217"/>
    </row>
    <row r="1406" spans="1:16" s="219" customFormat="1" ht="30" hidden="1" x14ac:dyDescent="0.25">
      <c r="A1406" s="214"/>
      <c r="B1406" s="237">
        <v>1</v>
      </c>
      <c r="C1406" s="237">
        <v>3</v>
      </c>
      <c r="D1406" s="238" t="s">
        <v>2022</v>
      </c>
      <c r="E1406" s="238" t="s">
        <v>1836</v>
      </c>
      <c r="F1406" s="238" t="s">
        <v>2326</v>
      </c>
      <c r="G1406" s="238" t="s">
        <v>92</v>
      </c>
      <c r="H1406" s="239" t="s">
        <v>3260</v>
      </c>
      <c r="I1406" s="217"/>
      <c r="J1406" s="217"/>
      <c r="K1406" s="217"/>
      <c r="L1406" s="217"/>
      <c r="M1406" s="217"/>
      <c r="N1406" s="217"/>
      <c r="O1406" s="217"/>
      <c r="P1406" s="217"/>
    </row>
    <row r="1407" spans="1:16" s="219" customFormat="1" ht="45" hidden="1" x14ac:dyDescent="0.25">
      <c r="A1407" s="214"/>
      <c r="B1407" s="237">
        <v>1</v>
      </c>
      <c r="C1407" s="237">
        <v>3</v>
      </c>
      <c r="D1407" s="238" t="s">
        <v>2022</v>
      </c>
      <c r="E1407" s="238" t="s">
        <v>1836</v>
      </c>
      <c r="F1407" s="238" t="s">
        <v>2326</v>
      </c>
      <c r="G1407" s="238" t="s">
        <v>96</v>
      </c>
      <c r="H1407" s="239" t="s">
        <v>3261</v>
      </c>
      <c r="I1407" s="217"/>
      <c r="J1407" s="217"/>
      <c r="K1407" s="217"/>
      <c r="L1407" s="217"/>
      <c r="M1407" s="217"/>
      <c r="N1407" s="217"/>
      <c r="O1407" s="217"/>
      <c r="P1407" s="217"/>
    </row>
    <row r="1408" spans="1:16" s="213" customFormat="1" ht="30" hidden="1" x14ac:dyDescent="0.25">
      <c r="A1408" s="208" t="s">
        <v>263</v>
      </c>
      <c r="B1408" s="234">
        <v>1</v>
      </c>
      <c r="C1408" s="234">
        <v>3</v>
      </c>
      <c r="D1408" s="235" t="s">
        <v>2022</v>
      </c>
      <c r="E1408" s="235" t="s">
        <v>1836</v>
      </c>
      <c r="F1408" s="235" t="s">
        <v>2338</v>
      </c>
      <c r="G1408" s="234"/>
      <c r="H1408" s="236" t="s">
        <v>3262</v>
      </c>
      <c r="I1408" s="211">
        <f>SUM(I1409:I1416)</f>
        <v>0</v>
      </c>
      <c r="J1408" s="211">
        <f t="shared" ref="J1408:P1408" si="165">SUM(J1409:J1416)</f>
        <v>0</v>
      </c>
      <c r="K1408" s="211">
        <f t="shared" si="165"/>
        <v>0</v>
      </c>
      <c r="L1408" s="211">
        <f t="shared" si="165"/>
        <v>0</v>
      </c>
      <c r="M1408" s="211">
        <f t="shared" si="165"/>
        <v>0</v>
      </c>
      <c r="N1408" s="211">
        <f t="shared" si="165"/>
        <v>0</v>
      </c>
      <c r="O1408" s="211">
        <f t="shared" si="165"/>
        <v>0</v>
      </c>
      <c r="P1408" s="211">
        <f t="shared" si="165"/>
        <v>0</v>
      </c>
    </row>
    <row r="1409" spans="1:16" s="219" customFormat="1" ht="30" hidden="1" x14ac:dyDescent="0.25">
      <c r="A1409" s="214"/>
      <c r="B1409" s="237">
        <v>1</v>
      </c>
      <c r="C1409" s="237">
        <v>3</v>
      </c>
      <c r="D1409" s="238" t="s">
        <v>2022</v>
      </c>
      <c r="E1409" s="238" t="s">
        <v>1836</v>
      </c>
      <c r="F1409" s="238" t="s">
        <v>2338</v>
      </c>
      <c r="G1409" s="238" t="s">
        <v>58</v>
      </c>
      <c r="H1409" s="239" t="s">
        <v>3263</v>
      </c>
      <c r="I1409" s="217"/>
      <c r="J1409" s="217"/>
      <c r="K1409" s="217"/>
      <c r="L1409" s="217"/>
      <c r="M1409" s="217"/>
      <c r="N1409" s="217"/>
      <c r="O1409" s="217"/>
      <c r="P1409" s="217"/>
    </row>
    <row r="1410" spans="1:16" s="219" customFormat="1" ht="30" hidden="1" x14ac:dyDescent="0.25">
      <c r="A1410" s="214"/>
      <c r="B1410" s="237">
        <v>1</v>
      </c>
      <c r="C1410" s="237">
        <v>3</v>
      </c>
      <c r="D1410" s="238" t="s">
        <v>2022</v>
      </c>
      <c r="E1410" s="238" t="s">
        <v>1836</v>
      </c>
      <c r="F1410" s="238" t="s">
        <v>2338</v>
      </c>
      <c r="G1410" s="238" t="s">
        <v>75</v>
      </c>
      <c r="H1410" s="239" t="s">
        <v>3264</v>
      </c>
      <c r="I1410" s="217"/>
      <c r="J1410" s="217"/>
      <c r="K1410" s="217"/>
      <c r="L1410" s="217"/>
      <c r="M1410" s="217"/>
      <c r="N1410" s="217"/>
      <c r="O1410" s="217"/>
      <c r="P1410" s="217"/>
    </row>
    <row r="1411" spans="1:16" s="219" customFormat="1" ht="45" hidden="1" x14ac:dyDescent="0.25">
      <c r="A1411" s="214"/>
      <c r="B1411" s="237">
        <v>1</v>
      </c>
      <c r="C1411" s="237">
        <v>3</v>
      </c>
      <c r="D1411" s="238" t="s">
        <v>2022</v>
      </c>
      <c r="E1411" s="238" t="s">
        <v>1836</v>
      </c>
      <c r="F1411" s="238" t="s">
        <v>2338</v>
      </c>
      <c r="G1411" s="238" t="s">
        <v>79</v>
      </c>
      <c r="H1411" s="239" t="s">
        <v>3265</v>
      </c>
      <c r="I1411" s="217"/>
      <c r="J1411" s="217"/>
      <c r="K1411" s="217"/>
      <c r="L1411" s="217"/>
      <c r="M1411" s="217"/>
      <c r="N1411" s="217"/>
      <c r="O1411" s="217"/>
      <c r="P1411" s="217"/>
    </row>
    <row r="1412" spans="1:16" s="219" customFormat="1" ht="30" hidden="1" x14ac:dyDescent="0.25">
      <c r="A1412" s="214"/>
      <c r="B1412" s="237">
        <v>1</v>
      </c>
      <c r="C1412" s="237">
        <v>3</v>
      </c>
      <c r="D1412" s="238" t="s">
        <v>2022</v>
      </c>
      <c r="E1412" s="238" t="s">
        <v>1836</v>
      </c>
      <c r="F1412" s="238" t="s">
        <v>2338</v>
      </c>
      <c r="G1412" s="238" t="s">
        <v>84</v>
      </c>
      <c r="H1412" s="239" t="s">
        <v>3266</v>
      </c>
      <c r="I1412" s="217"/>
      <c r="J1412" s="217"/>
      <c r="K1412" s="217"/>
      <c r="L1412" s="217"/>
      <c r="M1412" s="217"/>
      <c r="N1412" s="217"/>
      <c r="O1412" s="217"/>
      <c r="P1412" s="217"/>
    </row>
    <row r="1413" spans="1:16" s="219" customFormat="1" ht="30" hidden="1" x14ac:dyDescent="0.25">
      <c r="A1413" s="214"/>
      <c r="B1413" s="237">
        <v>1</v>
      </c>
      <c r="C1413" s="237">
        <v>3</v>
      </c>
      <c r="D1413" s="238" t="s">
        <v>2022</v>
      </c>
      <c r="E1413" s="238" t="s">
        <v>1836</v>
      </c>
      <c r="F1413" s="238" t="s">
        <v>2338</v>
      </c>
      <c r="G1413" s="238" t="s">
        <v>88</v>
      </c>
      <c r="H1413" s="239" t="s">
        <v>3267</v>
      </c>
      <c r="I1413" s="217"/>
      <c r="J1413" s="217"/>
      <c r="K1413" s="217"/>
      <c r="L1413" s="217"/>
      <c r="M1413" s="217"/>
      <c r="N1413" s="217"/>
      <c r="O1413" s="217"/>
      <c r="P1413" s="217"/>
    </row>
    <row r="1414" spans="1:16" s="219" customFormat="1" ht="30" hidden="1" x14ac:dyDescent="0.25">
      <c r="A1414" s="214"/>
      <c r="B1414" s="237">
        <v>1</v>
      </c>
      <c r="C1414" s="237">
        <v>3</v>
      </c>
      <c r="D1414" s="238" t="s">
        <v>2022</v>
      </c>
      <c r="E1414" s="238" t="s">
        <v>1836</v>
      </c>
      <c r="F1414" s="238" t="s">
        <v>2338</v>
      </c>
      <c r="G1414" s="238" t="s">
        <v>92</v>
      </c>
      <c r="H1414" s="239" t="s">
        <v>3268</v>
      </c>
      <c r="I1414" s="217"/>
      <c r="J1414" s="217"/>
      <c r="K1414" s="217"/>
      <c r="L1414" s="217"/>
      <c r="M1414" s="217"/>
      <c r="N1414" s="217"/>
      <c r="O1414" s="217"/>
      <c r="P1414" s="217"/>
    </row>
    <row r="1415" spans="1:16" s="219" customFormat="1" ht="45" hidden="1" x14ac:dyDescent="0.25">
      <c r="A1415" s="214"/>
      <c r="B1415" s="237">
        <v>1</v>
      </c>
      <c r="C1415" s="237">
        <v>3</v>
      </c>
      <c r="D1415" s="238" t="s">
        <v>2022</v>
      </c>
      <c r="E1415" s="238" t="s">
        <v>1836</v>
      </c>
      <c r="F1415" s="238" t="s">
        <v>2338</v>
      </c>
      <c r="G1415" s="238" t="s">
        <v>96</v>
      </c>
      <c r="H1415" s="239" t="s">
        <v>3269</v>
      </c>
      <c r="I1415" s="217"/>
      <c r="J1415" s="217"/>
      <c r="K1415" s="217"/>
      <c r="L1415" s="217"/>
      <c r="M1415" s="217"/>
      <c r="N1415" s="217"/>
      <c r="O1415" s="217"/>
      <c r="P1415" s="217"/>
    </row>
    <row r="1416" spans="1:16" s="219" customFormat="1" ht="45" hidden="1" x14ac:dyDescent="0.25">
      <c r="A1416" s="214"/>
      <c r="B1416" s="237">
        <v>1</v>
      </c>
      <c r="C1416" s="237">
        <v>3</v>
      </c>
      <c r="D1416" s="238" t="s">
        <v>2022</v>
      </c>
      <c r="E1416" s="238" t="s">
        <v>1836</v>
      </c>
      <c r="F1416" s="238" t="s">
        <v>2338</v>
      </c>
      <c r="G1416" s="238" t="s">
        <v>100</v>
      </c>
      <c r="H1416" s="239" t="s">
        <v>3270</v>
      </c>
      <c r="I1416" s="217"/>
      <c r="J1416" s="217"/>
      <c r="K1416" s="217"/>
      <c r="L1416" s="217"/>
      <c r="M1416" s="217"/>
      <c r="N1416" s="217"/>
      <c r="O1416" s="217"/>
      <c r="P1416" s="217"/>
    </row>
    <row r="1417" spans="1:16" s="213" customFormat="1" ht="45" hidden="1" x14ac:dyDescent="0.25">
      <c r="A1417" s="208" t="s">
        <v>263</v>
      </c>
      <c r="B1417" s="234">
        <v>1</v>
      </c>
      <c r="C1417" s="234">
        <v>3</v>
      </c>
      <c r="D1417" s="235" t="s">
        <v>2022</v>
      </c>
      <c r="E1417" s="235" t="s">
        <v>1836</v>
      </c>
      <c r="F1417" s="235" t="s">
        <v>2351</v>
      </c>
      <c r="G1417" s="234"/>
      <c r="H1417" s="236" t="s">
        <v>3271</v>
      </c>
      <c r="I1417" s="211">
        <f>SUM(I1418:I1427)</f>
        <v>0</v>
      </c>
      <c r="J1417" s="211">
        <f t="shared" ref="J1417:P1417" si="166">SUM(J1418:J1427)</f>
        <v>0</v>
      </c>
      <c r="K1417" s="211">
        <f t="shared" si="166"/>
        <v>0</v>
      </c>
      <c r="L1417" s="211">
        <f t="shared" si="166"/>
        <v>0</v>
      </c>
      <c r="M1417" s="211">
        <f t="shared" si="166"/>
        <v>0</v>
      </c>
      <c r="N1417" s="211">
        <f t="shared" si="166"/>
        <v>0</v>
      </c>
      <c r="O1417" s="211">
        <f t="shared" si="166"/>
        <v>0</v>
      </c>
      <c r="P1417" s="211">
        <f t="shared" si="166"/>
        <v>0</v>
      </c>
    </row>
    <row r="1418" spans="1:16" s="219" customFormat="1" ht="30" hidden="1" x14ac:dyDescent="0.25">
      <c r="A1418" s="214"/>
      <c r="B1418" s="237">
        <v>1</v>
      </c>
      <c r="C1418" s="237">
        <v>3</v>
      </c>
      <c r="D1418" s="238" t="s">
        <v>2022</v>
      </c>
      <c r="E1418" s="238" t="s">
        <v>1836</v>
      </c>
      <c r="F1418" s="238" t="s">
        <v>2351</v>
      </c>
      <c r="G1418" s="238" t="s">
        <v>58</v>
      </c>
      <c r="H1418" s="239" t="s">
        <v>3272</v>
      </c>
      <c r="I1418" s="217"/>
      <c r="J1418" s="217"/>
      <c r="K1418" s="217"/>
      <c r="L1418" s="217"/>
      <c r="M1418" s="217"/>
      <c r="N1418" s="217"/>
      <c r="O1418" s="217"/>
      <c r="P1418" s="217"/>
    </row>
    <row r="1419" spans="1:16" s="219" customFormat="1" ht="30" hidden="1" x14ac:dyDescent="0.25">
      <c r="A1419" s="214"/>
      <c r="B1419" s="237">
        <v>1</v>
      </c>
      <c r="C1419" s="237">
        <v>3</v>
      </c>
      <c r="D1419" s="238" t="s">
        <v>2022</v>
      </c>
      <c r="E1419" s="238" t="s">
        <v>1836</v>
      </c>
      <c r="F1419" s="238" t="s">
        <v>2351</v>
      </c>
      <c r="G1419" s="238" t="s">
        <v>75</v>
      </c>
      <c r="H1419" s="239" t="s">
        <v>3273</v>
      </c>
      <c r="I1419" s="217"/>
      <c r="J1419" s="217"/>
      <c r="K1419" s="217"/>
      <c r="L1419" s="217"/>
      <c r="M1419" s="217"/>
      <c r="N1419" s="217"/>
      <c r="O1419" s="217"/>
      <c r="P1419" s="217"/>
    </row>
    <row r="1420" spans="1:16" s="219" customFormat="1" ht="30" hidden="1" x14ac:dyDescent="0.25">
      <c r="A1420" s="214"/>
      <c r="B1420" s="237">
        <v>1</v>
      </c>
      <c r="C1420" s="237">
        <v>3</v>
      </c>
      <c r="D1420" s="238" t="s">
        <v>2022</v>
      </c>
      <c r="E1420" s="238" t="s">
        <v>1836</v>
      </c>
      <c r="F1420" s="238" t="s">
        <v>2351</v>
      </c>
      <c r="G1420" s="238" t="s">
        <v>79</v>
      </c>
      <c r="H1420" s="239" t="s">
        <v>3274</v>
      </c>
      <c r="I1420" s="217"/>
      <c r="J1420" s="217"/>
      <c r="K1420" s="217"/>
      <c r="L1420" s="217"/>
      <c r="M1420" s="217"/>
      <c r="N1420" s="217"/>
      <c r="O1420" s="217"/>
      <c r="P1420" s="217"/>
    </row>
    <row r="1421" spans="1:16" s="219" customFormat="1" ht="30" hidden="1" x14ac:dyDescent="0.25">
      <c r="A1421" s="214"/>
      <c r="B1421" s="237">
        <v>1</v>
      </c>
      <c r="C1421" s="237">
        <v>3</v>
      </c>
      <c r="D1421" s="238" t="s">
        <v>2022</v>
      </c>
      <c r="E1421" s="238" t="s">
        <v>1836</v>
      </c>
      <c r="F1421" s="238" t="s">
        <v>2351</v>
      </c>
      <c r="G1421" s="238" t="s">
        <v>84</v>
      </c>
      <c r="H1421" s="239" t="s">
        <v>3275</v>
      </c>
      <c r="I1421" s="217"/>
      <c r="J1421" s="217"/>
      <c r="K1421" s="217"/>
      <c r="L1421" s="217"/>
      <c r="M1421" s="217"/>
      <c r="N1421" s="217"/>
      <c r="O1421" s="217"/>
      <c r="P1421" s="217"/>
    </row>
    <row r="1422" spans="1:16" s="219" customFormat="1" ht="30" hidden="1" x14ac:dyDescent="0.25">
      <c r="A1422" s="214"/>
      <c r="B1422" s="237">
        <v>1</v>
      </c>
      <c r="C1422" s="237">
        <v>3</v>
      </c>
      <c r="D1422" s="238" t="s">
        <v>2022</v>
      </c>
      <c r="E1422" s="238" t="s">
        <v>1836</v>
      </c>
      <c r="F1422" s="238" t="s">
        <v>2351</v>
      </c>
      <c r="G1422" s="238" t="s">
        <v>88</v>
      </c>
      <c r="H1422" s="239" t="s">
        <v>3276</v>
      </c>
      <c r="I1422" s="217"/>
      <c r="J1422" s="217"/>
      <c r="K1422" s="217"/>
      <c r="L1422" s="217"/>
      <c r="M1422" s="217"/>
      <c r="N1422" s="217"/>
      <c r="O1422" s="217"/>
      <c r="P1422" s="217"/>
    </row>
    <row r="1423" spans="1:16" s="219" customFormat="1" ht="45" hidden="1" x14ac:dyDescent="0.25">
      <c r="A1423" s="214"/>
      <c r="B1423" s="237">
        <v>1</v>
      </c>
      <c r="C1423" s="237">
        <v>3</v>
      </c>
      <c r="D1423" s="238" t="s">
        <v>2022</v>
      </c>
      <c r="E1423" s="238" t="s">
        <v>1836</v>
      </c>
      <c r="F1423" s="238" t="s">
        <v>2351</v>
      </c>
      <c r="G1423" s="238" t="s">
        <v>92</v>
      </c>
      <c r="H1423" s="239" t="s">
        <v>3277</v>
      </c>
      <c r="I1423" s="217"/>
      <c r="J1423" s="217"/>
      <c r="K1423" s="217"/>
      <c r="L1423" s="217"/>
      <c r="M1423" s="217"/>
      <c r="N1423" s="217"/>
      <c r="O1423" s="217"/>
      <c r="P1423" s="217"/>
    </row>
    <row r="1424" spans="1:16" s="219" customFormat="1" ht="45" hidden="1" x14ac:dyDescent="0.25">
      <c r="A1424" s="214"/>
      <c r="B1424" s="237">
        <v>1</v>
      </c>
      <c r="C1424" s="237">
        <v>3</v>
      </c>
      <c r="D1424" s="238" t="s">
        <v>2022</v>
      </c>
      <c r="E1424" s="238" t="s">
        <v>1836</v>
      </c>
      <c r="F1424" s="238" t="s">
        <v>2351</v>
      </c>
      <c r="G1424" s="238" t="s">
        <v>96</v>
      </c>
      <c r="H1424" s="239" t="s">
        <v>3278</v>
      </c>
      <c r="I1424" s="217"/>
      <c r="J1424" s="217"/>
      <c r="K1424" s="217"/>
      <c r="L1424" s="217"/>
      <c r="M1424" s="217"/>
      <c r="N1424" s="217"/>
      <c r="O1424" s="217"/>
      <c r="P1424" s="217"/>
    </row>
    <row r="1425" spans="1:16" s="219" customFormat="1" ht="45" hidden="1" x14ac:dyDescent="0.25">
      <c r="A1425" s="214"/>
      <c r="B1425" s="237">
        <v>1</v>
      </c>
      <c r="C1425" s="237">
        <v>3</v>
      </c>
      <c r="D1425" s="238" t="s">
        <v>2022</v>
      </c>
      <c r="E1425" s="238" t="s">
        <v>1836</v>
      </c>
      <c r="F1425" s="238" t="s">
        <v>2351</v>
      </c>
      <c r="G1425" s="238" t="s">
        <v>100</v>
      </c>
      <c r="H1425" s="239" t="s">
        <v>3279</v>
      </c>
      <c r="I1425" s="217"/>
      <c r="J1425" s="217"/>
      <c r="K1425" s="217"/>
      <c r="L1425" s="217"/>
      <c r="M1425" s="217"/>
      <c r="N1425" s="217"/>
      <c r="O1425" s="217"/>
      <c r="P1425" s="217"/>
    </row>
    <row r="1426" spans="1:16" s="219" customFormat="1" ht="45" hidden="1" x14ac:dyDescent="0.25">
      <c r="A1426" s="214"/>
      <c r="B1426" s="237">
        <v>1</v>
      </c>
      <c r="C1426" s="237">
        <v>3</v>
      </c>
      <c r="D1426" s="238" t="s">
        <v>2022</v>
      </c>
      <c r="E1426" s="238" t="s">
        <v>1836</v>
      </c>
      <c r="F1426" s="238" t="s">
        <v>2351</v>
      </c>
      <c r="G1426" s="238" t="s">
        <v>105</v>
      </c>
      <c r="H1426" s="239" t="s">
        <v>3280</v>
      </c>
      <c r="I1426" s="217"/>
      <c r="J1426" s="217"/>
      <c r="K1426" s="217"/>
      <c r="L1426" s="217"/>
      <c r="M1426" s="217"/>
      <c r="N1426" s="217"/>
      <c r="O1426" s="217"/>
      <c r="P1426" s="217"/>
    </row>
    <row r="1427" spans="1:16" s="219" customFormat="1" ht="45" hidden="1" x14ac:dyDescent="0.25">
      <c r="A1427" s="214"/>
      <c r="B1427" s="237">
        <v>1</v>
      </c>
      <c r="C1427" s="237">
        <v>3</v>
      </c>
      <c r="D1427" s="238" t="s">
        <v>2022</v>
      </c>
      <c r="E1427" s="238" t="s">
        <v>1836</v>
      </c>
      <c r="F1427" s="238" t="s">
        <v>2351</v>
      </c>
      <c r="G1427" s="238" t="s">
        <v>108</v>
      </c>
      <c r="H1427" s="239" t="s">
        <v>3281</v>
      </c>
      <c r="I1427" s="217"/>
      <c r="J1427" s="217"/>
      <c r="K1427" s="217"/>
      <c r="L1427" s="217"/>
      <c r="M1427" s="217"/>
      <c r="N1427" s="217"/>
      <c r="O1427" s="217"/>
      <c r="P1427" s="217"/>
    </row>
    <row r="1428" spans="1:16" s="213" customFormat="1" ht="30" hidden="1" x14ac:dyDescent="0.25">
      <c r="A1428" s="208" t="s">
        <v>263</v>
      </c>
      <c r="B1428" s="234">
        <v>1</v>
      </c>
      <c r="C1428" s="234">
        <v>3</v>
      </c>
      <c r="D1428" s="235" t="s">
        <v>2022</v>
      </c>
      <c r="E1428" s="235" t="s">
        <v>1836</v>
      </c>
      <c r="F1428" s="235" t="s">
        <v>2367</v>
      </c>
      <c r="G1428" s="234"/>
      <c r="H1428" s="236" t="s">
        <v>3282</v>
      </c>
      <c r="I1428" s="211">
        <f>SUM(I1429:I1434)</f>
        <v>0</v>
      </c>
      <c r="J1428" s="211">
        <f t="shared" ref="J1428:P1428" si="167">SUM(J1429:J1434)</f>
        <v>0</v>
      </c>
      <c r="K1428" s="211">
        <f t="shared" si="167"/>
        <v>0</v>
      </c>
      <c r="L1428" s="211">
        <f t="shared" si="167"/>
        <v>0</v>
      </c>
      <c r="M1428" s="211">
        <f t="shared" si="167"/>
        <v>0</v>
      </c>
      <c r="N1428" s="211">
        <f t="shared" si="167"/>
        <v>0</v>
      </c>
      <c r="O1428" s="211">
        <f t="shared" si="167"/>
        <v>0</v>
      </c>
      <c r="P1428" s="211">
        <f t="shared" si="167"/>
        <v>0</v>
      </c>
    </row>
    <row r="1429" spans="1:16" s="219" customFormat="1" ht="30" hidden="1" x14ac:dyDescent="0.25">
      <c r="A1429" s="214"/>
      <c r="B1429" s="237">
        <v>1</v>
      </c>
      <c r="C1429" s="237">
        <v>3</v>
      </c>
      <c r="D1429" s="238" t="s">
        <v>2022</v>
      </c>
      <c r="E1429" s="238" t="s">
        <v>1836</v>
      </c>
      <c r="F1429" s="238" t="s">
        <v>2367</v>
      </c>
      <c r="G1429" s="238" t="s">
        <v>58</v>
      </c>
      <c r="H1429" s="239" t="s">
        <v>3283</v>
      </c>
      <c r="I1429" s="217"/>
      <c r="J1429" s="217"/>
      <c r="K1429" s="217"/>
      <c r="L1429" s="217"/>
      <c r="M1429" s="217"/>
      <c r="N1429" s="217"/>
      <c r="O1429" s="217"/>
      <c r="P1429" s="217"/>
    </row>
    <row r="1430" spans="1:16" s="219" customFormat="1" ht="30" hidden="1" x14ac:dyDescent="0.25">
      <c r="A1430" s="214"/>
      <c r="B1430" s="237">
        <v>1</v>
      </c>
      <c r="C1430" s="237">
        <v>3</v>
      </c>
      <c r="D1430" s="238" t="s">
        <v>2022</v>
      </c>
      <c r="E1430" s="238" t="s">
        <v>1836</v>
      </c>
      <c r="F1430" s="238" t="s">
        <v>2367</v>
      </c>
      <c r="G1430" s="238" t="s">
        <v>75</v>
      </c>
      <c r="H1430" s="239" t="s">
        <v>3284</v>
      </c>
      <c r="I1430" s="217"/>
      <c r="J1430" s="217"/>
      <c r="K1430" s="217"/>
      <c r="L1430" s="217"/>
      <c r="M1430" s="217"/>
      <c r="N1430" s="217"/>
      <c r="O1430" s="217"/>
      <c r="P1430" s="217"/>
    </row>
    <row r="1431" spans="1:16" s="219" customFormat="1" ht="45" hidden="1" x14ac:dyDescent="0.25">
      <c r="A1431" s="214"/>
      <c r="B1431" s="237">
        <v>1</v>
      </c>
      <c r="C1431" s="237">
        <v>3</v>
      </c>
      <c r="D1431" s="238" t="s">
        <v>2022</v>
      </c>
      <c r="E1431" s="238" t="s">
        <v>1836</v>
      </c>
      <c r="F1431" s="238" t="s">
        <v>2367</v>
      </c>
      <c r="G1431" s="238" t="s">
        <v>79</v>
      </c>
      <c r="H1431" s="239" t="s">
        <v>3285</v>
      </c>
      <c r="I1431" s="217"/>
      <c r="J1431" s="217"/>
      <c r="K1431" s="217"/>
      <c r="L1431" s="217"/>
      <c r="M1431" s="217"/>
      <c r="N1431" s="217"/>
      <c r="O1431" s="217"/>
      <c r="P1431" s="217"/>
    </row>
    <row r="1432" spans="1:16" s="219" customFormat="1" ht="30" hidden="1" x14ac:dyDescent="0.25">
      <c r="A1432" s="214"/>
      <c r="B1432" s="237">
        <v>1</v>
      </c>
      <c r="C1432" s="237">
        <v>3</v>
      </c>
      <c r="D1432" s="238" t="s">
        <v>2022</v>
      </c>
      <c r="E1432" s="238" t="s">
        <v>1836</v>
      </c>
      <c r="F1432" s="238" t="s">
        <v>2367</v>
      </c>
      <c r="G1432" s="238" t="s">
        <v>84</v>
      </c>
      <c r="H1432" s="239" t="s">
        <v>3286</v>
      </c>
      <c r="I1432" s="217"/>
      <c r="J1432" s="217"/>
      <c r="K1432" s="217"/>
      <c r="L1432" s="217"/>
      <c r="M1432" s="217"/>
      <c r="N1432" s="217"/>
      <c r="O1432" s="217"/>
      <c r="P1432" s="217"/>
    </row>
    <row r="1433" spans="1:16" s="219" customFormat="1" ht="30" hidden="1" x14ac:dyDescent="0.25">
      <c r="A1433" s="214"/>
      <c r="B1433" s="237">
        <v>1</v>
      </c>
      <c r="C1433" s="237">
        <v>3</v>
      </c>
      <c r="D1433" s="238" t="s">
        <v>2022</v>
      </c>
      <c r="E1433" s="238" t="s">
        <v>1836</v>
      </c>
      <c r="F1433" s="238" t="s">
        <v>2367</v>
      </c>
      <c r="G1433" s="238" t="s">
        <v>88</v>
      </c>
      <c r="H1433" s="239" t="s">
        <v>3287</v>
      </c>
      <c r="I1433" s="217"/>
      <c r="J1433" s="217"/>
      <c r="K1433" s="217"/>
      <c r="L1433" s="217"/>
      <c r="M1433" s="217"/>
      <c r="N1433" s="217"/>
      <c r="O1433" s="217"/>
      <c r="P1433" s="217"/>
    </row>
    <row r="1434" spans="1:16" s="219" customFormat="1" ht="45" hidden="1" x14ac:dyDescent="0.25">
      <c r="A1434" s="214"/>
      <c r="B1434" s="237">
        <v>1</v>
      </c>
      <c r="C1434" s="237">
        <v>3</v>
      </c>
      <c r="D1434" s="238" t="s">
        <v>2022</v>
      </c>
      <c r="E1434" s="238" t="s">
        <v>1836</v>
      </c>
      <c r="F1434" s="238" t="s">
        <v>2367</v>
      </c>
      <c r="G1434" s="238" t="s">
        <v>92</v>
      </c>
      <c r="H1434" s="239" t="s">
        <v>3288</v>
      </c>
      <c r="I1434" s="217"/>
      <c r="J1434" s="217"/>
      <c r="K1434" s="217"/>
      <c r="L1434" s="217"/>
      <c r="M1434" s="217"/>
      <c r="N1434" s="217"/>
      <c r="O1434" s="217"/>
      <c r="P1434" s="217"/>
    </row>
    <row r="1435" spans="1:16" s="213" customFormat="1" ht="30" hidden="1" x14ac:dyDescent="0.25">
      <c r="A1435" s="208" t="s">
        <v>263</v>
      </c>
      <c r="B1435" s="234">
        <v>1</v>
      </c>
      <c r="C1435" s="234">
        <v>3</v>
      </c>
      <c r="D1435" s="235" t="s">
        <v>2022</v>
      </c>
      <c r="E1435" s="235" t="s">
        <v>1836</v>
      </c>
      <c r="F1435" s="235" t="s">
        <v>2376</v>
      </c>
      <c r="G1435" s="234"/>
      <c r="H1435" s="236" t="s">
        <v>3289</v>
      </c>
      <c r="I1435" s="211">
        <f>SUM(I1436:I1455)</f>
        <v>0</v>
      </c>
      <c r="J1435" s="211">
        <f t="shared" ref="J1435:P1435" si="168">SUM(J1436:J1455)</f>
        <v>0</v>
      </c>
      <c r="K1435" s="211">
        <f t="shared" si="168"/>
        <v>0</v>
      </c>
      <c r="L1435" s="211">
        <f t="shared" si="168"/>
        <v>0</v>
      </c>
      <c r="M1435" s="211">
        <f t="shared" si="168"/>
        <v>0</v>
      </c>
      <c r="N1435" s="211">
        <f t="shared" si="168"/>
        <v>0</v>
      </c>
      <c r="O1435" s="211">
        <f t="shared" si="168"/>
        <v>0</v>
      </c>
      <c r="P1435" s="211">
        <f t="shared" si="168"/>
        <v>0</v>
      </c>
    </row>
    <row r="1436" spans="1:16" s="219" customFormat="1" ht="30" hidden="1" x14ac:dyDescent="0.25">
      <c r="A1436" s="214"/>
      <c r="B1436" s="237">
        <v>1</v>
      </c>
      <c r="C1436" s="237">
        <v>3</v>
      </c>
      <c r="D1436" s="238" t="s">
        <v>2022</v>
      </c>
      <c r="E1436" s="238" t="s">
        <v>1836</v>
      </c>
      <c r="F1436" s="238" t="s">
        <v>2376</v>
      </c>
      <c r="G1436" s="238" t="s">
        <v>58</v>
      </c>
      <c r="H1436" s="239" t="s">
        <v>3290</v>
      </c>
      <c r="I1436" s="217"/>
      <c r="J1436" s="217"/>
      <c r="K1436" s="217"/>
      <c r="L1436" s="217"/>
      <c r="M1436" s="217"/>
      <c r="N1436" s="217"/>
      <c r="O1436" s="217"/>
      <c r="P1436" s="217"/>
    </row>
    <row r="1437" spans="1:16" s="219" customFormat="1" ht="30" hidden="1" x14ac:dyDescent="0.25">
      <c r="A1437" s="214"/>
      <c r="B1437" s="237">
        <v>1</v>
      </c>
      <c r="C1437" s="237">
        <v>3</v>
      </c>
      <c r="D1437" s="238" t="s">
        <v>2022</v>
      </c>
      <c r="E1437" s="238" t="s">
        <v>1836</v>
      </c>
      <c r="F1437" s="238" t="s">
        <v>2376</v>
      </c>
      <c r="G1437" s="238" t="s">
        <v>75</v>
      </c>
      <c r="H1437" s="239" t="s">
        <v>3291</v>
      </c>
      <c r="I1437" s="217"/>
      <c r="J1437" s="217"/>
      <c r="K1437" s="217"/>
      <c r="L1437" s="217"/>
      <c r="M1437" s="217"/>
      <c r="N1437" s="217"/>
      <c r="O1437" s="217"/>
      <c r="P1437" s="217"/>
    </row>
    <row r="1438" spans="1:16" s="219" customFormat="1" ht="30" hidden="1" x14ac:dyDescent="0.25">
      <c r="A1438" s="214"/>
      <c r="B1438" s="237">
        <v>1</v>
      </c>
      <c r="C1438" s="237">
        <v>3</v>
      </c>
      <c r="D1438" s="238" t="s">
        <v>2022</v>
      </c>
      <c r="E1438" s="238" t="s">
        <v>1836</v>
      </c>
      <c r="F1438" s="238" t="s">
        <v>2376</v>
      </c>
      <c r="G1438" s="238" t="s">
        <v>79</v>
      </c>
      <c r="H1438" s="239" t="s">
        <v>3292</v>
      </c>
      <c r="I1438" s="217"/>
      <c r="J1438" s="217"/>
      <c r="K1438" s="217"/>
      <c r="L1438" s="217"/>
      <c r="M1438" s="217"/>
      <c r="N1438" s="217"/>
      <c r="O1438" s="217"/>
      <c r="P1438" s="217"/>
    </row>
    <row r="1439" spans="1:16" s="219" customFormat="1" ht="30" hidden="1" x14ac:dyDescent="0.25">
      <c r="A1439" s="214"/>
      <c r="B1439" s="237">
        <v>1</v>
      </c>
      <c r="C1439" s="237">
        <v>3</v>
      </c>
      <c r="D1439" s="238" t="s">
        <v>2022</v>
      </c>
      <c r="E1439" s="238" t="s">
        <v>1836</v>
      </c>
      <c r="F1439" s="238" t="s">
        <v>2376</v>
      </c>
      <c r="G1439" s="238" t="s">
        <v>84</v>
      </c>
      <c r="H1439" s="239" t="s">
        <v>3293</v>
      </c>
      <c r="I1439" s="217"/>
      <c r="J1439" s="217"/>
      <c r="K1439" s="217"/>
      <c r="L1439" s="217"/>
      <c r="M1439" s="217"/>
      <c r="N1439" s="217"/>
      <c r="O1439" s="217"/>
      <c r="P1439" s="217"/>
    </row>
    <row r="1440" spans="1:16" s="219" customFormat="1" ht="30" hidden="1" x14ac:dyDescent="0.25">
      <c r="A1440" s="214"/>
      <c r="B1440" s="237">
        <v>1</v>
      </c>
      <c r="C1440" s="237">
        <v>3</v>
      </c>
      <c r="D1440" s="238" t="s">
        <v>2022</v>
      </c>
      <c r="E1440" s="238" t="s">
        <v>1836</v>
      </c>
      <c r="F1440" s="238" t="s">
        <v>2376</v>
      </c>
      <c r="G1440" s="238" t="s">
        <v>88</v>
      </c>
      <c r="H1440" s="239" t="s">
        <v>3294</v>
      </c>
      <c r="I1440" s="217"/>
      <c r="J1440" s="217"/>
      <c r="K1440" s="217"/>
      <c r="L1440" s="217"/>
      <c r="M1440" s="217"/>
      <c r="N1440" s="217"/>
      <c r="O1440" s="217"/>
      <c r="P1440" s="217"/>
    </row>
    <row r="1441" spans="1:16" s="219" customFormat="1" ht="30" hidden="1" x14ac:dyDescent="0.25">
      <c r="A1441" s="214"/>
      <c r="B1441" s="237">
        <v>1</v>
      </c>
      <c r="C1441" s="237">
        <v>3</v>
      </c>
      <c r="D1441" s="238" t="s">
        <v>2022</v>
      </c>
      <c r="E1441" s="238" t="s">
        <v>1836</v>
      </c>
      <c r="F1441" s="238" t="s">
        <v>2376</v>
      </c>
      <c r="G1441" s="238" t="s">
        <v>92</v>
      </c>
      <c r="H1441" s="239" t="s">
        <v>3295</v>
      </c>
      <c r="I1441" s="217"/>
      <c r="J1441" s="217"/>
      <c r="K1441" s="217"/>
      <c r="L1441" s="217"/>
      <c r="M1441" s="217"/>
      <c r="N1441" s="217"/>
      <c r="O1441" s="217"/>
      <c r="P1441" s="217"/>
    </row>
    <row r="1442" spans="1:16" s="219" customFormat="1" ht="30" hidden="1" x14ac:dyDescent="0.25">
      <c r="A1442" s="214"/>
      <c r="B1442" s="237">
        <v>1</v>
      </c>
      <c r="C1442" s="237">
        <v>3</v>
      </c>
      <c r="D1442" s="238" t="s">
        <v>2022</v>
      </c>
      <c r="E1442" s="238" t="s">
        <v>1836</v>
      </c>
      <c r="F1442" s="238" t="s">
        <v>2376</v>
      </c>
      <c r="G1442" s="238" t="s">
        <v>96</v>
      </c>
      <c r="H1442" s="239" t="s">
        <v>3296</v>
      </c>
      <c r="I1442" s="217"/>
      <c r="J1442" s="217"/>
      <c r="K1442" s="217"/>
      <c r="L1442" s="217"/>
      <c r="M1442" s="217"/>
      <c r="N1442" s="217"/>
      <c r="O1442" s="217"/>
      <c r="P1442" s="217"/>
    </row>
    <row r="1443" spans="1:16" s="219" customFormat="1" ht="30" hidden="1" x14ac:dyDescent="0.25">
      <c r="A1443" s="214"/>
      <c r="B1443" s="237">
        <v>1</v>
      </c>
      <c r="C1443" s="237">
        <v>3</v>
      </c>
      <c r="D1443" s="238" t="s">
        <v>2022</v>
      </c>
      <c r="E1443" s="238" t="s">
        <v>1836</v>
      </c>
      <c r="F1443" s="238" t="s">
        <v>2376</v>
      </c>
      <c r="G1443" s="238" t="s">
        <v>100</v>
      </c>
      <c r="H1443" s="239" t="s">
        <v>3297</v>
      </c>
      <c r="I1443" s="217"/>
      <c r="J1443" s="217"/>
      <c r="K1443" s="217"/>
      <c r="L1443" s="217"/>
      <c r="M1443" s="217"/>
      <c r="N1443" s="217"/>
      <c r="O1443" s="217"/>
      <c r="P1443" s="217"/>
    </row>
    <row r="1444" spans="1:16" s="219" customFormat="1" ht="30" hidden="1" x14ac:dyDescent="0.25">
      <c r="A1444" s="214"/>
      <c r="B1444" s="237">
        <v>1</v>
      </c>
      <c r="C1444" s="237">
        <v>3</v>
      </c>
      <c r="D1444" s="238" t="s">
        <v>2022</v>
      </c>
      <c r="E1444" s="238" t="s">
        <v>1836</v>
      </c>
      <c r="F1444" s="238" t="s">
        <v>2376</v>
      </c>
      <c r="G1444" s="238" t="s">
        <v>105</v>
      </c>
      <c r="H1444" s="239" t="s">
        <v>3298</v>
      </c>
      <c r="I1444" s="217"/>
      <c r="J1444" s="217"/>
      <c r="K1444" s="217"/>
      <c r="L1444" s="217"/>
      <c r="M1444" s="217"/>
      <c r="N1444" s="217"/>
      <c r="O1444" s="217"/>
      <c r="P1444" s="217"/>
    </row>
    <row r="1445" spans="1:16" s="219" customFormat="1" ht="30" hidden="1" x14ac:dyDescent="0.25">
      <c r="A1445" s="214"/>
      <c r="B1445" s="237">
        <v>1</v>
      </c>
      <c r="C1445" s="237">
        <v>3</v>
      </c>
      <c r="D1445" s="238" t="s">
        <v>2022</v>
      </c>
      <c r="E1445" s="238" t="s">
        <v>1836</v>
      </c>
      <c r="F1445" s="238" t="s">
        <v>2376</v>
      </c>
      <c r="G1445" s="238" t="s">
        <v>108</v>
      </c>
      <c r="H1445" s="239" t="s">
        <v>3299</v>
      </c>
      <c r="I1445" s="217"/>
      <c r="J1445" s="217"/>
      <c r="K1445" s="217"/>
      <c r="L1445" s="217"/>
      <c r="M1445" s="217"/>
      <c r="N1445" s="217"/>
      <c r="O1445" s="217"/>
      <c r="P1445" s="217"/>
    </row>
    <row r="1446" spans="1:16" s="219" customFormat="1" ht="30" hidden="1" x14ac:dyDescent="0.25">
      <c r="A1446" s="214"/>
      <c r="B1446" s="237">
        <v>1</v>
      </c>
      <c r="C1446" s="237">
        <v>3</v>
      </c>
      <c r="D1446" s="238" t="s">
        <v>2022</v>
      </c>
      <c r="E1446" s="238" t="s">
        <v>1836</v>
      </c>
      <c r="F1446" s="238" t="s">
        <v>2376</v>
      </c>
      <c r="G1446" s="238" t="s">
        <v>135</v>
      </c>
      <c r="H1446" s="239" t="s">
        <v>3300</v>
      </c>
      <c r="I1446" s="217"/>
      <c r="J1446" s="217"/>
      <c r="K1446" s="217"/>
      <c r="L1446" s="217"/>
      <c r="M1446" s="217"/>
      <c r="N1446" s="217"/>
      <c r="O1446" s="217"/>
      <c r="P1446" s="217"/>
    </row>
    <row r="1447" spans="1:16" s="219" customFormat="1" ht="30" hidden="1" x14ac:dyDescent="0.25">
      <c r="A1447" s="214"/>
      <c r="B1447" s="237">
        <v>1</v>
      </c>
      <c r="C1447" s="237">
        <v>3</v>
      </c>
      <c r="D1447" s="238" t="s">
        <v>2022</v>
      </c>
      <c r="E1447" s="238" t="s">
        <v>1836</v>
      </c>
      <c r="F1447" s="238" t="s">
        <v>2376</v>
      </c>
      <c r="G1447" s="238" t="s">
        <v>138</v>
      </c>
      <c r="H1447" s="239" t="s">
        <v>3301</v>
      </c>
      <c r="I1447" s="217"/>
      <c r="J1447" s="217"/>
      <c r="K1447" s="217"/>
      <c r="L1447" s="217"/>
      <c r="M1447" s="217"/>
      <c r="N1447" s="217"/>
      <c r="O1447" s="217"/>
      <c r="P1447" s="217"/>
    </row>
    <row r="1448" spans="1:16" s="219" customFormat="1" ht="30" hidden="1" x14ac:dyDescent="0.25">
      <c r="A1448" s="214"/>
      <c r="B1448" s="237">
        <v>1</v>
      </c>
      <c r="C1448" s="237">
        <v>3</v>
      </c>
      <c r="D1448" s="238" t="s">
        <v>2022</v>
      </c>
      <c r="E1448" s="238" t="s">
        <v>1836</v>
      </c>
      <c r="F1448" s="238" t="s">
        <v>2376</v>
      </c>
      <c r="G1448" s="238" t="s">
        <v>140</v>
      </c>
      <c r="H1448" s="239" t="s">
        <v>3302</v>
      </c>
      <c r="I1448" s="217"/>
      <c r="J1448" s="217"/>
      <c r="K1448" s="217"/>
      <c r="L1448" s="217"/>
      <c r="M1448" s="217"/>
      <c r="N1448" s="217"/>
      <c r="O1448" s="217"/>
      <c r="P1448" s="217"/>
    </row>
    <row r="1449" spans="1:16" s="219" customFormat="1" ht="45" hidden="1" x14ac:dyDescent="0.25">
      <c r="A1449" s="214"/>
      <c r="B1449" s="237">
        <v>1</v>
      </c>
      <c r="C1449" s="237">
        <v>3</v>
      </c>
      <c r="D1449" s="238" t="s">
        <v>2022</v>
      </c>
      <c r="E1449" s="238" t="s">
        <v>1836</v>
      </c>
      <c r="F1449" s="238" t="s">
        <v>2376</v>
      </c>
      <c r="G1449" s="238" t="s">
        <v>143</v>
      </c>
      <c r="H1449" s="239" t="s">
        <v>3303</v>
      </c>
      <c r="I1449" s="217"/>
      <c r="J1449" s="217"/>
      <c r="K1449" s="217"/>
      <c r="L1449" s="217"/>
      <c r="M1449" s="217"/>
      <c r="N1449" s="217"/>
      <c r="O1449" s="217"/>
      <c r="P1449" s="217"/>
    </row>
    <row r="1450" spans="1:16" s="219" customFormat="1" ht="60" hidden="1" x14ac:dyDescent="0.25">
      <c r="A1450" s="214"/>
      <c r="B1450" s="237">
        <v>1</v>
      </c>
      <c r="C1450" s="237">
        <v>3</v>
      </c>
      <c r="D1450" s="238" t="s">
        <v>2022</v>
      </c>
      <c r="E1450" s="238" t="s">
        <v>1836</v>
      </c>
      <c r="F1450" s="238" t="s">
        <v>2376</v>
      </c>
      <c r="G1450" s="238" t="s">
        <v>146</v>
      </c>
      <c r="H1450" s="239" t="s">
        <v>3304</v>
      </c>
      <c r="I1450" s="217"/>
      <c r="J1450" s="217"/>
      <c r="K1450" s="217"/>
      <c r="L1450" s="217"/>
      <c r="M1450" s="217"/>
      <c r="N1450" s="217"/>
      <c r="O1450" s="217"/>
      <c r="P1450" s="217"/>
    </row>
    <row r="1451" spans="1:16" s="219" customFormat="1" ht="45" hidden="1" x14ac:dyDescent="0.25">
      <c r="A1451" s="214"/>
      <c r="B1451" s="237">
        <v>1</v>
      </c>
      <c r="C1451" s="237">
        <v>3</v>
      </c>
      <c r="D1451" s="238" t="s">
        <v>2022</v>
      </c>
      <c r="E1451" s="238" t="s">
        <v>1836</v>
      </c>
      <c r="F1451" s="238" t="s">
        <v>2376</v>
      </c>
      <c r="G1451" s="238" t="s">
        <v>150</v>
      </c>
      <c r="H1451" s="239" t="s">
        <v>3305</v>
      </c>
      <c r="I1451" s="217"/>
      <c r="J1451" s="217"/>
      <c r="K1451" s="217"/>
      <c r="L1451" s="217"/>
      <c r="M1451" s="217"/>
      <c r="N1451" s="217"/>
      <c r="O1451" s="217"/>
      <c r="P1451" s="217"/>
    </row>
    <row r="1452" spans="1:16" s="219" customFormat="1" ht="60" hidden="1" x14ac:dyDescent="0.25">
      <c r="A1452" s="214"/>
      <c r="B1452" s="237">
        <v>1</v>
      </c>
      <c r="C1452" s="237">
        <v>3</v>
      </c>
      <c r="D1452" s="238" t="s">
        <v>2022</v>
      </c>
      <c r="E1452" s="238" t="s">
        <v>1836</v>
      </c>
      <c r="F1452" s="238" t="s">
        <v>2376</v>
      </c>
      <c r="G1452" s="238" t="s">
        <v>153</v>
      </c>
      <c r="H1452" s="239" t="s">
        <v>3306</v>
      </c>
      <c r="I1452" s="217"/>
      <c r="J1452" s="217"/>
      <c r="K1452" s="217"/>
      <c r="L1452" s="217"/>
      <c r="M1452" s="217"/>
      <c r="N1452" s="217"/>
      <c r="O1452" s="217"/>
      <c r="P1452" s="217"/>
    </row>
    <row r="1453" spans="1:16" s="219" customFormat="1" ht="45" hidden="1" x14ac:dyDescent="0.25">
      <c r="A1453" s="214"/>
      <c r="B1453" s="237">
        <v>1</v>
      </c>
      <c r="C1453" s="237">
        <v>3</v>
      </c>
      <c r="D1453" s="238" t="s">
        <v>2022</v>
      </c>
      <c r="E1453" s="238" t="s">
        <v>1836</v>
      </c>
      <c r="F1453" s="238" t="s">
        <v>2376</v>
      </c>
      <c r="G1453" s="238" t="s">
        <v>156</v>
      </c>
      <c r="H1453" s="239" t="s">
        <v>3307</v>
      </c>
      <c r="I1453" s="217"/>
      <c r="J1453" s="217"/>
      <c r="K1453" s="217"/>
      <c r="L1453" s="217"/>
      <c r="M1453" s="217"/>
      <c r="N1453" s="217"/>
      <c r="O1453" s="217"/>
      <c r="P1453" s="217"/>
    </row>
    <row r="1454" spans="1:16" s="219" customFormat="1" ht="45" hidden="1" x14ac:dyDescent="0.25">
      <c r="A1454" s="214"/>
      <c r="B1454" s="237">
        <v>1</v>
      </c>
      <c r="C1454" s="237">
        <v>3</v>
      </c>
      <c r="D1454" s="238" t="s">
        <v>2022</v>
      </c>
      <c r="E1454" s="238" t="s">
        <v>1836</v>
      </c>
      <c r="F1454" s="238" t="s">
        <v>2376</v>
      </c>
      <c r="G1454" s="238" t="s">
        <v>159</v>
      </c>
      <c r="H1454" s="239" t="s">
        <v>3308</v>
      </c>
      <c r="I1454" s="217"/>
      <c r="J1454" s="217"/>
      <c r="K1454" s="217"/>
      <c r="L1454" s="217"/>
      <c r="M1454" s="217"/>
      <c r="N1454" s="217"/>
      <c r="O1454" s="217"/>
      <c r="P1454" s="217"/>
    </row>
    <row r="1455" spans="1:16" s="219" customFormat="1" ht="45" hidden="1" x14ac:dyDescent="0.25">
      <c r="A1455" s="214"/>
      <c r="B1455" s="237">
        <v>1</v>
      </c>
      <c r="C1455" s="237">
        <v>3</v>
      </c>
      <c r="D1455" s="238" t="s">
        <v>2022</v>
      </c>
      <c r="E1455" s="238" t="s">
        <v>1836</v>
      </c>
      <c r="F1455" s="238" t="s">
        <v>2376</v>
      </c>
      <c r="G1455" s="238" t="s">
        <v>162</v>
      </c>
      <c r="H1455" s="239" t="s">
        <v>3309</v>
      </c>
      <c r="I1455" s="217"/>
      <c r="J1455" s="217"/>
      <c r="K1455" s="217"/>
      <c r="L1455" s="217"/>
      <c r="M1455" s="217"/>
      <c r="N1455" s="217"/>
      <c r="O1455" s="217"/>
      <c r="P1455" s="217"/>
    </row>
    <row r="1456" spans="1:16" s="213" customFormat="1" ht="30" hidden="1" x14ac:dyDescent="0.25">
      <c r="A1456" s="208" t="s">
        <v>263</v>
      </c>
      <c r="B1456" s="234">
        <v>1</v>
      </c>
      <c r="C1456" s="234">
        <v>3</v>
      </c>
      <c r="D1456" s="235" t="s">
        <v>2022</v>
      </c>
      <c r="E1456" s="235" t="s">
        <v>1836</v>
      </c>
      <c r="F1456" s="235" t="s">
        <v>2403</v>
      </c>
      <c r="G1456" s="234"/>
      <c r="H1456" s="236" t="s">
        <v>3310</v>
      </c>
      <c r="I1456" s="211">
        <f>SUM(I1457:I1459)</f>
        <v>0</v>
      </c>
      <c r="J1456" s="211">
        <f t="shared" ref="J1456:P1456" si="169">SUM(J1457:J1459)</f>
        <v>0</v>
      </c>
      <c r="K1456" s="211">
        <f t="shared" si="169"/>
        <v>0</v>
      </c>
      <c r="L1456" s="211">
        <f t="shared" si="169"/>
        <v>0</v>
      </c>
      <c r="M1456" s="211">
        <f t="shared" si="169"/>
        <v>0</v>
      </c>
      <c r="N1456" s="211">
        <f t="shared" si="169"/>
        <v>0</v>
      </c>
      <c r="O1456" s="211">
        <f t="shared" si="169"/>
        <v>0</v>
      </c>
      <c r="P1456" s="211">
        <f t="shared" si="169"/>
        <v>0</v>
      </c>
    </row>
    <row r="1457" spans="1:16" s="219" customFormat="1" ht="45" hidden="1" x14ac:dyDescent="0.25">
      <c r="A1457" s="214"/>
      <c r="B1457" s="237">
        <v>1</v>
      </c>
      <c r="C1457" s="237">
        <v>3</v>
      </c>
      <c r="D1457" s="238" t="s">
        <v>2022</v>
      </c>
      <c r="E1457" s="238" t="s">
        <v>1836</v>
      </c>
      <c r="F1457" s="238" t="s">
        <v>2403</v>
      </c>
      <c r="G1457" s="238" t="s">
        <v>58</v>
      </c>
      <c r="H1457" s="239" t="s">
        <v>3311</v>
      </c>
      <c r="I1457" s="217"/>
      <c r="J1457" s="217"/>
      <c r="K1457" s="217"/>
      <c r="L1457" s="217"/>
      <c r="M1457" s="217"/>
      <c r="N1457" s="217"/>
      <c r="O1457" s="217"/>
      <c r="P1457" s="217"/>
    </row>
    <row r="1458" spans="1:16" s="219" customFormat="1" ht="45" hidden="1" x14ac:dyDescent="0.25">
      <c r="A1458" s="214"/>
      <c r="B1458" s="237">
        <v>1</v>
      </c>
      <c r="C1458" s="237">
        <v>3</v>
      </c>
      <c r="D1458" s="238" t="s">
        <v>2022</v>
      </c>
      <c r="E1458" s="238" t="s">
        <v>1836</v>
      </c>
      <c r="F1458" s="238" t="s">
        <v>2403</v>
      </c>
      <c r="G1458" s="238" t="s">
        <v>75</v>
      </c>
      <c r="H1458" s="239" t="s">
        <v>3312</v>
      </c>
      <c r="I1458" s="217"/>
      <c r="J1458" s="217"/>
      <c r="K1458" s="217"/>
      <c r="L1458" s="217"/>
      <c r="M1458" s="217"/>
      <c r="N1458" s="217"/>
      <c r="O1458" s="217"/>
      <c r="P1458" s="217"/>
    </row>
    <row r="1459" spans="1:16" s="219" customFormat="1" ht="60" hidden="1" x14ac:dyDescent="0.25">
      <c r="A1459" s="214"/>
      <c r="B1459" s="237">
        <v>1</v>
      </c>
      <c r="C1459" s="237">
        <v>3</v>
      </c>
      <c r="D1459" s="238" t="s">
        <v>2022</v>
      </c>
      <c r="E1459" s="238" t="s">
        <v>1836</v>
      </c>
      <c r="F1459" s="238" t="s">
        <v>2403</v>
      </c>
      <c r="G1459" s="238" t="s">
        <v>79</v>
      </c>
      <c r="H1459" s="239" t="s">
        <v>3313</v>
      </c>
      <c r="I1459" s="217"/>
      <c r="J1459" s="217"/>
      <c r="K1459" s="217"/>
      <c r="L1459" s="217"/>
      <c r="M1459" s="217"/>
      <c r="N1459" s="217"/>
      <c r="O1459" s="217"/>
      <c r="P1459" s="217"/>
    </row>
    <row r="1460" spans="1:16" s="213" customFormat="1" ht="30" hidden="1" x14ac:dyDescent="0.25">
      <c r="A1460" s="208" t="s">
        <v>263</v>
      </c>
      <c r="B1460" s="234">
        <v>1</v>
      </c>
      <c r="C1460" s="234">
        <v>3</v>
      </c>
      <c r="D1460" s="235" t="s">
        <v>2022</v>
      </c>
      <c r="E1460" s="235" t="s">
        <v>1836</v>
      </c>
      <c r="F1460" s="235" t="s">
        <v>2410</v>
      </c>
      <c r="G1460" s="234"/>
      <c r="H1460" s="236" t="s">
        <v>3314</v>
      </c>
      <c r="I1460" s="211">
        <f>SUM(I1461:I1486)</f>
        <v>0</v>
      </c>
      <c r="J1460" s="211">
        <f t="shared" ref="J1460:P1460" si="170">SUM(J1461:J1486)</f>
        <v>0</v>
      </c>
      <c r="K1460" s="211">
        <f t="shared" si="170"/>
        <v>0</v>
      </c>
      <c r="L1460" s="211">
        <f t="shared" si="170"/>
        <v>0</v>
      </c>
      <c r="M1460" s="211">
        <f t="shared" si="170"/>
        <v>0</v>
      </c>
      <c r="N1460" s="211">
        <f t="shared" si="170"/>
        <v>0</v>
      </c>
      <c r="O1460" s="211">
        <f t="shared" si="170"/>
        <v>0</v>
      </c>
      <c r="P1460" s="211">
        <f t="shared" si="170"/>
        <v>0</v>
      </c>
    </row>
    <row r="1461" spans="1:16" s="219" customFormat="1" ht="45" hidden="1" x14ac:dyDescent="0.25">
      <c r="A1461" s="214"/>
      <c r="B1461" s="237">
        <v>1</v>
      </c>
      <c r="C1461" s="237">
        <v>3</v>
      </c>
      <c r="D1461" s="238" t="s">
        <v>2022</v>
      </c>
      <c r="E1461" s="238" t="s">
        <v>1836</v>
      </c>
      <c r="F1461" s="238" t="s">
        <v>2410</v>
      </c>
      <c r="G1461" s="238" t="s">
        <v>58</v>
      </c>
      <c r="H1461" s="239" t="s">
        <v>3315</v>
      </c>
      <c r="I1461" s="217"/>
      <c r="J1461" s="217"/>
      <c r="K1461" s="217"/>
      <c r="L1461" s="217"/>
      <c r="M1461" s="217"/>
      <c r="N1461" s="217"/>
      <c r="O1461" s="217"/>
      <c r="P1461" s="217"/>
    </row>
    <row r="1462" spans="1:16" s="219" customFormat="1" ht="45" hidden="1" x14ac:dyDescent="0.25">
      <c r="A1462" s="214"/>
      <c r="B1462" s="237">
        <v>1</v>
      </c>
      <c r="C1462" s="237">
        <v>3</v>
      </c>
      <c r="D1462" s="238" t="s">
        <v>2022</v>
      </c>
      <c r="E1462" s="238" t="s">
        <v>1836</v>
      </c>
      <c r="F1462" s="238" t="s">
        <v>2410</v>
      </c>
      <c r="G1462" s="238" t="s">
        <v>75</v>
      </c>
      <c r="H1462" s="239" t="s">
        <v>3316</v>
      </c>
      <c r="I1462" s="217"/>
      <c r="J1462" s="217"/>
      <c r="K1462" s="217"/>
      <c r="L1462" s="217"/>
      <c r="M1462" s="217"/>
      <c r="N1462" s="217"/>
      <c r="O1462" s="217"/>
      <c r="P1462" s="217"/>
    </row>
    <row r="1463" spans="1:16" s="219" customFormat="1" ht="45" hidden="1" x14ac:dyDescent="0.25">
      <c r="A1463" s="214"/>
      <c r="B1463" s="237">
        <v>1</v>
      </c>
      <c r="C1463" s="237">
        <v>3</v>
      </c>
      <c r="D1463" s="238" t="s">
        <v>2022</v>
      </c>
      <c r="E1463" s="238" t="s">
        <v>1836</v>
      </c>
      <c r="F1463" s="238" t="s">
        <v>2410</v>
      </c>
      <c r="G1463" s="238" t="s">
        <v>79</v>
      </c>
      <c r="H1463" s="239" t="s">
        <v>3317</v>
      </c>
      <c r="I1463" s="217"/>
      <c r="J1463" s="217"/>
      <c r="K1463" s="217"/>
      <c r="L1463" s="217"/>
      <c r="M1463" s="217"/>
      <c r="N1463" s="217"/>
      <c r="O1463" s="217"/>
      <c r="P1463" s="217"/>
    </row>
    <row r="1464" spans="1:16" s="219" customFormat="1" ht="45" hidden="1" x14ac:dyDescent="0.25">
      <c r="A1464" s="214"/>
      <c r="B1464" s="237">
        <v>1</v>
      </c>
      <c r="C1464" s="237">
        <v>3</v>
      </c>
      <c r="D1464" s="238" t="s">
        <v>2022</v>
      </c>
      <c r="E1464" s="238" t="s">
        <v>1836</v>
      </c>
      <c r="F1464" s="238" t="s">
        <v>2410</v>
      </c>
      <c r="G1464" s="238" t="s">
        <v>84</v>
      </c>
      <c r="H1464" s="239" t="s">
        <v>3318</v>
      </c>
      <c r="I1464" s="217"/>
      <c r="J1464" s="217"/>
      <c r="K1464" s="217"/>
      <c r="L1464" s="217"/>
      <c r="M1464" s="217"/>
      <c r="N1464" s="217"/>
      <c r="O1464" s="217"/>
      <c r="P1464" s="217"/>
    </row>
    <row r="1465" spans="1:16" s="219" customFormat="1" ht="45" hidden="1" x14ac:dyDescent="0.25">
      <c r="A1465" s="214"/>
      <c r="B1465" s="237">
        <v>1</v>
      </c>
      <c r="C1465" s="237">
        <v>3</v>
      </c>
      <c r="D1465" s="238" t="s">
        <v>2022</v>
      </c>
      <c r="E1465" s="238" t="s">
        <v>1836</v>
      </c>
      <c r="F1465" s="238" t="s">
        <v>2410</v>
      </c>
      <c r="G1465" s="238" t="s">
        <v>88</v>
      </c>
      <c r="H1465" s="239" t="s">
        <v>3319</v>
      </c>
      <c r="I1465" s="217"/>
      <c r="J1465" s="217"/>
      <c r="K1465" s="217"/>
      <c r="L1465" s="217"/>
      <c r="M1465" s="217"/>
      <c r="N1465" s="217"/>
      <c r="O1465" s="217"/>
      <c r="P1465" s="217"/>
    </row>
    <row r="1466" spans="1:16" s="219" customFormat="1" ht="45" hidden="1" x14ac:dyDescent="0.25">
      <c r="A1466" s="214"/>
      <c r="B1466" s="237">
        <v>1</v>
      </c>
      <c r="C1466" s="237">
        <v>3</v>
      </c>
      <c r="D1466" s="238" t="s">
        <v>2022</v>
      </c>
      <c r="E1466" s="238" t="s">
        <v>1836</v>
      </c>
      <c r="F1466" s="238" t="s">
        <v>2410</v>
      </c>
      <c r="G1466" s="238" t="s">
        <v>92</v>
      </c>
      <c r="H1466" s="239" t="s">
        <v>3320</v>
      </c>
      <c r="I1466" s="217"/>
      <c r="J1466" s="217"/>
      <c r="K1466" s="217"/>
      <c r="L1466" s="217"/>
      <c r="M1466" s="217"/>
      <c r="N1466" s="217"/>
      <c r="O1466" s="217"/>
      <c r="P1466" s="217"/>
    </row>
    <row r="1467" spans="1:16" s="219" customFormat="1" ht="45" hidden="1" x14ac:dyDescent="0.25">
      <c r="A1467" s="214"/>
      <c r="B1467" s="237">
        <v>1</v>
      </c>
      <c r="C1467" s="237">
        <v>3</v>
      </c>
      <c r="D1467" s="238" t="s">
        <v>2022</v>
      </c>
      <c r="E1467" s="238" t="s">
        <v>1836</v>
      </c>
      <c r="F1467" s="238" t="s">
        <v>2410</v>
      </c>
      <c r="G1467" s="238" t="s">
        <v>96</v>
      </c>
      <c r="H1467" s="239" t="s">
        <v>3321</v>
      </c>
      <c r="I1467" s="217"/>
      <c r="J1467" s="217"/>
      <c r="K1467" s="217"/>
      <c r="L1467" s="217"/>
      <c r="M1467" s="217"/>
      <c r="N1467" s="217"/>
      <c r="O1467" s="217"/>
      <c r="P1467" s="217"/>
    </row>
    <row r="1468" spans="1:16" s="219" customFormat="1" ht="45" hidden="1" x14ac:dyDescent="0.25">
      <c r="A1468" s="214"/>
      <c r="B1468" s="237">
        <v>1</v>
      </c>
      <c r="C1468" s="237">
        <v>3</v>
      </c>
      <c r="D1468" s="238" t="s">
        <v>2022</v>
      </c>
      <c r="E1468" s="238" t="s">
        <v>1836</v>
      </c>
      <c r="F1468" s="238" t="s">
        <v>2410</v>
      </c>
      <c r="G1468" s="238" t="s">
        <v>100</v>
      </c>
      <c r="H1468" s="239" t="s">
        <v>3322</v>
      </c>
      <c r="I1468" s="217"/>
      <c r="J1468" s="217"/>
      <c r="K1468" s="217"/>
      <c r="L1468" s="217"/>
      <c r="M1468" s="217"/>
      <c r="N1468" s="217"/>
      <c r="O1468" s="217"/>
      <c r="P1468" s="217"/>
    </row>
    <row r="1469" spans="1:16" s="219" customFormat="1" ht="45" hidden="1" x14ac:dyDescent="0.25">
      <c r="A1469" s="214"/>
      <c r="B1469" s="237">
        <v>1</v>
      </c>
      <c r="C1469" s="237">
        <v>3</v>
      </c>
      <c r="D1469" s="238" t="s">
        <v>2022</v>
      </c>
      <c r="E1469" s="238" t="s">
        <v>1836</v>
      </c>
      <c r="F1469" s="238" t="s">
        <v>2410</v>
      </c>
      <c r="G1469" s="238" t="s">
        <v>105</v>
      </c>
      <c r="H1469" s="239" t="s">
        <v>3323</v>
      </c>
      <c r="I1469" s="217"/>
      <c r="J1469" s="217"/>
      <c r="K1469" s="217"/>
      <c r="L1469" s="217"/>
      <c r="M1469" s="217"/>
      <c r="N1469" s="217"/>
      <c r="O1469" s="217"/>
      <c r="P1469" s="217"/>
    </row>
    <row r="1470" spans="1:16" s="219" customFormat="1" ht="45" hidden="1" x14ac:dyDescent="0.25">
      <c r="A1470" s="214"/>
      <c r="B1470" s="237">
        <v>1</v>
      </c>
      <c r="C1470" s="237">
        <v>3</v>
      </c>
      <c r="D1470" s="238" t="s">
        <v>2022</v>
      </c>
      <c r="E1470" s="238" t="s">
        <v>1836</v>
      </c>
      <c r="F1470" s="238" t="s">
        <v>2410</v>
      </c>
      <c r="G1470" s="238" t="s">
        <v>108</v>
      </c>
      <c r="H1470" s="239" t="s">
        <v>3324</v>
      </c>
      <c r="I1470" s="217"/>
      <c r="J1470" s="217"/>
      <c r="K1470" s="217"/>
      <c r="L1470" s="217"/>
      <c r="M1470" s="217"/>
      <c r="N1470" s="217"/>
      <c r="O1470" s="217"/>
      <c r="P1470" s="217"/>
    </row>
    <row r="1471" spans="1:16" s="219" customFormat="1" ht="45" hidden="1" x14ac:dyDescent="0.25">
      <c r="A1471" s="214"/>
      <c r="B1471" s="237">
        <v>1</v>
      </c>
      <c r="C1471" s="237">
        <v>3</v>
      </c>
      <c r="D1471" s="238" t="s">
        <v>2022</v>
      </c>
      <c r="E1471" s="238" t="s">
        <v>1836</v>
      </c>
      <c r="F1471" s="238" t="s">
        <v>2410</v>
      </c>
      <c r="G1471" s="238" t="s">
        <v>135</v>
      </c>
      <c r="H1471" s="239" t="s">
        <v>3325</v>
      </c>
      <c r="I1471" s="217"/>
      <c r="J1471" s="217"/>
      <c r="K1471" s="217"/>
      <c r="L1471" s="217"/>
      <c r="M1471" s="217"/>
      <c r="N1471" s="217"/>
      <c r="O1471" s="217"/>
      <c r="P1471" s="217"/>
    </row>
    <row r="1472" spans="1:16" s="219" customFormat="1" ht="60" hidden="1" x14ac:dyDescent="0.25">
      <c r="A1472" s="214"/>
      <c r="B1472" s="237">
        <v>1</v>
      </c>
      <c r="C1472" s="237">
        <v>3</v>
      </c>
      <c r="D1472" s="238" t="s">
        <v>2022</v>
      </c>
      <c r="E1472" s="238" t="s">
        <v>1836</v>
      </c>
      <c r="F1472" s="238" t="s">
        <v>2410</v>
      </c>
      <c r="G1472" s="238" t="s">
        <v>138</v>
      </c>
      <c r="H1472" s="239" t="s">
        <v>3326</v>
      </c>
      <c r="I1472" s="217"/>
      <c r="J1472" s="217"/>
      <c r="K1472" s="217"/>
      <c r="L1472" s="217"/>
      <c r="M1472" s="217"/>
      <c r="N1472" s="217"/>
      <c r="O1472" s="217"/>
      <c r="P1472" s="217"/>
    </row>
    <row r="1473" spans="1:16" s="219" customFormat="1" ht="45" hidden="1" x14ac:dyDescent="0.25">
      <c r="A1473" s="214"/>
      <c r="B1473" s="237">
        <v>1</v>
      </c>
      <c r="C1473" s="237">
        <v>3</v>
      </c>
      <c r="D1473" s="238" t="s">
        <v>2022</v>
      </c>
      <c r="E1473" s="238" t="s">
        <v>1836</v>
      </c>
      <c r="F1473" s="238" t="s">
        <v>2410</v>
      </c>
      <c r="G1473" s="238" t="s">
        <v>140</v>
      </c>
      <c r="H1473" s="239" t="s">
        <v>3327</v>
      </c>
      <c r="I1473" s="217"/>
      <c r="J1473" s="217"/>
      <c r="K1473" s="217"/>
      <c r="L1473" s="217"/>
      <c r="M1473" s="217"/>
      <c r="N1473" s="217"/>
      <c r="O1473" s="217"/>
      <c r="P1473" s="217"/>
    </row>
    <row r="1474" spans="1:16" s="219" customFormat="1" ht="45" hidden="1" x14ac:dyDescent="0.25">
      <c r="A1474" s="214"/>
      <c r="B1474" s="237">
        <v>1</v>
      </c>
      <c r="C1474" s="237">
        <v>3</v>
      </c>
      <c r="D1474" s="238" t="s">
        <v>2022</v>
      </c>
      <c r="E1474" s="238" t="s">
        <v>1836</v>
      </c>
      <c r="F1474" s="238" t="s">
        <v>2410</v>
      </c>
      <c r="G1474" s="238" t="s">
        <v>143</v>
      </c>
      <c r="H1474" s="239" t="s">
        <v>3328</v>
      </c>
      <c r="I1474" s="217"/>
      <c r="J1474" s="217"/>
      <c r="K1474" s="217"/>
      <c r="L1474" s="217"/>
      <c r="M1474" s="217"/>
      <c r="N1474" s="217"/>
      <c r="O1474" s="217"/>
      <c r="P1474" s="217"/>
    </row>
    <row r="1475" spans="1:16" s="219" customFormat="1" ht="45" hidden="1" x14ac:dyDescent="0.25">
      <c r="A1475" s="214"/>
      <c r="B1475" s="237">
        <v>1</v>
      </c>
      <c r="C1475" s="237">
        <v>3</v>
      </c>
      <c r="D1475" s="238" t="s">
        <v>2022</v>
      </c>
      <c r="E1475" s="238" t="s">
        <v>1836</v>
      </c>
      <c r="F1475" s="238" t="s">
        <v>2410</v>
      </c>
      <c r="G1475" s="238" t="s">
        <v>146</v>
      </c>
      <c r="H1475" s="239" t="s">
        <v>3329</v>
      </c>
      <c r="I1475" s="217"/>
      <c r="J1475" s="217"/>
      <c r="K1475" s="217"/>
      <c r="L1475" s="217"/>
      <c r="M1475" s="217"/>
      <c r="N1475" s="217"/>
      <c r="O1475" s="217"/>
      <c r="P1475" s="217"/>
    </row>
    <row r="1476" spans="1:16" s="219" customFormat="1" ht="45" hidden="1" x14ac:dyDescent="0.25">
      <c r="A1476" s="214"/>
      <c r="B1476" s="237">
        <v>1</v>
      </c>
      <c r="C1476" s="237">
        <v>3</v>
      </c>
      <c r="D1476" s="238" t="s">
        <v>2022</v>
      </c>
      <c r="E1476" s="238" t="s">
        <v>1836</v>
      </c>
      <c r="F1476" s="238" t="s">
        <v>2410</v>
      </c>
      <c r="G1476" s="238" t="s">
        <v>150</v>
      </c>
      <c r="H1476" s="239" t="s">
        <v>3330</v>
      </c>
      <c r="I1476" s="217"/>
      <c r="J1476" s="217"/>
      <c r="K1476" s="217"/>
      <c r="L1476" s="217"/>
      <c r="M1476" s="217"/>
      <c r="N1476" s="217"/>
      <c r="O1476" s="217"/>
      <c r="P1476" s="217"/>
    </row>
    <row r="1477" spans="1:16" s="219" customFormat="1" ht="45" hidden="1" x14ac:dyDescent="0.25">
      <c r="A1477" s="214"/>
      <c r="B1477" s="237">
        <v>1</v>
      </c>
      <c r="C1477" s="237">
        <v>3</v>
      </c>
      <c r="D1477" s="238" t="s">
        <v>2022</v>
      </c>
      <c r="E1477" s="238" t="s">
        <v>1836</v>
      </c>
      <c r="F1477" s="238" t="s">
        <v>2410</v>
      </c>
      <c r="G1477" s="238" t="s">
        <v>153</v>
      </c>
      <c r="H1477" s="239" t="s">
        <v>3331</v>
      </c>
      <c r="I1477" s="217"/>
      <c r="J1477" s="217"/>
      <c r="K1477" s="217"/>
      <c r="L1477" s="217"/>
      <c r="M1477" s="217"/>
      <c r="N1477" s="217"/>
      <c r="O1477" s="217"/>
      <c r="P1477" s="217"/>
    </row>
    <row r="1478" spans="1:16" s="219" customFormat="1" ht="45" hidden="1" x14ac:dyDescent="0.25">
      <c r="A1478" s="214"/>
      <c r="B1478" s="237">
        <v>1</v>
      </c>
      <c r="C1478" s="237">
        <v>3</v>
      </c>
      <c r="D1478" s="238" t="s">
        <v>2022</v>
      </c>
      <c r="E1478" s="238" t="s">
        <v>1836</v>
      </c>
      <c r="F1478" s="238" t="s">
        <v>2410</v>
      </c>
      <c r="G1478" s="238" t="s">
        <v>156</v>
      </c>
      <c r="H1478" s="239" t="s">
        <v>3332</v>
      </c>
      <c r="I1478" s="217"/>
      <c r="J1478" s="217"/>
      <c r="K1478" s="217"/>
      <c r="L1478" s="217"/>
      <c r="M1478" s="217"/>
      <c r="N1478" s="217"/>
      <c r="O1478" s="217"/>
      <c r="P1478" s="217"/>
    </row>
    <row r="1479" spans="1:16" s="219" customFormat="1" ht="45" hidden="1" x14ac:dyDescent="0.25">
      <c r="A1479" s="214"/>
      <c r="B1479" s="237">
        <v>1</v>
      </c>
      <c r="C1479" s="237">
        <v>3</v>
      </c>
      <c r="D1479" s="238" t="s">
        <v>2022</v>
      </c>
      <c r="E1479" s="238" t="s">
        <v>1836</v>
      </c>
      <c r="F1479" s="238" t="s">
        <v>2410</v>
      </c>
      <c r="G1479" s="238" t="s">
        <v>159</v>
      </c>
      <c r="H1479" s="239" t="s">
        <v>3333</v>
      </c>
      <c r="I1479" s="217"/>
      <c r="J1479" s="217"/>
      <c r="K1479" s="217"/>
      <c r="L1479" s="217"/>
      <c r="M1479" s="217"/>
      <c r="N1479" s="217"/>
      <c r="O1479" s="217"/>
      <c r="P1479" s="217"/>
    </row>
    <row r="1480" spans="1:16" s="219" customFormat="1" ht="45" hidden="1" x14ac:dyDescent="0.25">
      <c r="A1480" s="214"/>
      <c r="B1480" s="237">
        <v>1</v>
      </c>
      <c r="C1480" s="237">
        <v>3</v>
      </c>
      <c r="D1480" s="238" t="s">
        <v>2022</v>
      </c>
      <c r="E1480" s="238" t="s">
        <v>1836</v>
      </c>
      <c r="F1480" s="238" t="s">
        <v>2410</v>
      </c>
      <c r="G1480" s="238" t="s">
        <v>162</v>
      </c>
      <c r="H1480" s="239" t="s">
        <v>3334</v>
      </c>
      <c r="I1480" s="217"/>
      <c r="J1480" s="217"/>
      <c r="K1480" s="217"/>
      <c r="L1480" s="217"/>
      <c r="M1480" s="217"/>
      <c r="N1480" s="217"/>
      <c r="O1480" s="217"/>
      <c r="P1480" s="217"/>
    </row>
    <row r="1481" spans="1:16" s="219" customFormat="1" ht="60" hidden="1" x14ac:dyDescent="0.25">
      <c r="A1481" s="214"/>
      <c r="B1481" s="237">
        <v>1</v>
      </c>
      <c r="C1481" s="237">
        <v>3</v>
      </c>
      <c r="D1481" s="238" t="s">
        <v>2022</v>
      </c>
      <c r="E1481" s="238" t="s">
        <v>1836</v>
      </c>
      <c r="F1481" s="238" t="s">
        <v>2410</v>
      </c>
      <c r="G1481" s="238" t="s">
        <v>312</v>
      </c>
      <c r="H1481" s="239" t="s">
        <v>3335</v>
      </c>
      <c r="I1481" s="217"/>
      <c r="J1481" s="217"/>
      <c r="K1481" s="217"/>
      <c r="L1481" s="217"/>
      <c r="M1481" s="217"/>
      <c r="N1481" s="217"/>
      <c r="O1481" s="217"/>
      <c r="P1481" s="217"/>
    </row>
    <row r="1482" spans="1:16" s="219" customFormat="1" ht="45" hidden="1" x14ac:dyDescent="0.25">
      <c r="A1482" s="214"/>
      <c r="B1482" s="237">
        <v>1</v>
      </c>
      <c r="C1482" s="237">
        <v>3</v>
      </c>
      <c r="D1482" s="238" t="s">
        <v>2022</v>
      </c>
      <c r="E1482" s="238" t="s">
        <v>1836</v>
      </c>
      <c r="F1482" s="238" t="s">
        <v>2410</v>
      </c>
      <c r="G1482" s="238" t="s">
        <v>313</v>
      </c>
      <c r="H1482" s="239" t="s">
        <v>3336</v>
      </c>
      <c r="I1482" s="217"/>
      <c r="J1482" s="217"/>
      <c r="K1482" s="217"/>
      <c r="L1482" s="217"/>
      <c r="M1482" s="217"/>
      <c r="N1482" s="217"/>
      <c r="O1482" s="217"/>
      <c r="P1482" s="217"/>
    </row>
    <row r="1483" spans="1:16" s="219" customFormat="1" ht="45" hidden="1" x14ac:dyDescent="0.25">
      <c r="A1483" s="214"/>
      <c r="B1483" s="237">
        <v>1</v>
      </c>
      <c r="C1483" s="237">
        <v>3</v>
      </c>
      <c r="D1483" s="238" t="s">
        <v>2022</v>
      </c>
      <c r="E1483" s="238" t="s">
        <v>1836</v>
      </c>
      <c r="F1483" s="238" t="s">
        <v>2410</v>
      </c>
      <c r="G1483" s="238" t="s">
        <v>559</v>
      </c>
      <c r="H1483" s="239" t="s">
        <v>3337</v>
      </c>
      <c r="I1483" s="217"/>
      <c r="J1483" s="217"/>
      <c r="K1483" s="217"/>
      <c r="L1483" s="217"/>
      <c r="M1483" s="217"/>
      <c r="N1483" s="217"/>
      <c r="O1483" s="217"/>
      <c r="P1483" s="217"/>
    </row>
    <row r="1484" spans="1:16" s="219" customFormat="1" ht="45" hidden="1" x14ac:dyDescent="0.25">
      <c r="A1484" s="214"/>
      <c r="B1484" s="237">
        <v>1</v>
      </c>
      <c r="C1484" s="237">
        <v>3</v>
      </c>
      <c r="D1484" s="238" t="s">
        <v>2022</v>
      </c>
      <c r="E1484" s="238" t="s">
        <v>1836</v>
      </c>
      <c r="F1484" s="238" t="s">
        <v>2410</v>
      </c>
      <c r="G1484" s="238" t="s">
        <v>561</v>
      </c>
      <c r="H1484" s="239" t="s">
        <v>3338</v>
      </c>
      <c r="I1484" s="217"/>
      <c r="J1484" s="217"/>
      <c r="K1484" s="217"/>
      <c r="L1484" s="217"/>
      <c r="M1484" s="217"/>
      <c r="N1484" s="217"/>
      <c r="O1484" s="217"/>
      <c r="P1484" s="217"/>
    </row>
    <row r="1485" spans="1:16" s="219" customFormat="1" ht="45" hidden="1" x14ac:dyDescent="0.25">
      <c r="A1485" s="214"/>
      <c r="B1485" s="237">
        <v>1</v>
      </c>
      <c r="C1485" s="237">
        <v>3</v>
      </c>
      <c r="D1485" s="238" t="s">
        <v>2022</v>
      </c>
      <c r="E1485" s="238" t="s">
        <v>1836</v>
      </c>
      <c r="F1485" s="238" t="s">
        <v>2410</v>
      </c>
      <c r="G1485" s="238" t="s">
        <v>563</v>
      </c>
      <c r="H1485" s="239" t="s">
        <v>3339</v>
      </c>
      <c r="I1485" s="217"/>
      <c r="J1485" s="217"/>
      <c r="K1485" s="217"/>
      <c r="L1485" s="217"/>
      <c r="M1485" s="217"/>
      <c r="N1485" s="217"/>
      <c r="O1485" s="217"/>
      <c r="P1485" s="217"/>
    </row>
    <row r="1486" spans="1:16" s="219" customFormat="1" ht="45" hidden="1" x14ac:dyDescent="0.25">
      <c r="A1486" s="214"/>
      <c r="B1486" s="237">
        <v>1</v>
      </c>
      <c r="C1486" s="237">
        <v>3</v>
      </c>
      <c r="D1486" s="238" t="s">
        <v>2022</v>
      </c>
      <c r="E1486" s="238" t="s">
        <v>1836</v>
      </c>
      <c r="F1486" s="238" t="s">
        <v>2410</v>
      </c>
      <c r="G1486" s="238" t="s">
        <v>227</v>
      </c>
      <c r="H1486" s="239" t="s">
        <v>3340</v>
      </c>
      <c r="I1486" s="217"/>
      <c r="J1486" s="217"/>
      <c r="K1486" s="217"/>
      <c r="L1486" s="217"/>
      <c r="M1486" s="217"/>
      <c r="N1486" s="217"/>
      <c r="O1486" s="217"/>
      <c r="P1486" s="217"/>
    </row>
    <row r="1487" spans="1:16" s="213" customFormat="1" ht="30" hidden="1" x14ac:dyDescent="0.25">
      <c r="A1487" s="208" t="s">
        <v>263</v>
      </c>
      <c r="B1487" s="234">
        <v>1</v>
      </c>
      <c r="C1487" s="234">
        <v>3</v>
      </c>
      <c r="D1487" s="235" t="s">
        <v>2022</v>
      </c>
      <c r="E1487" s="235" t="s">
        <v>1836</v>
      </c>
      <c r="F1487" s="235" t="s">
        <v>2440</v>
      </c>
      <c r="G1487" s="234"/>
      <c r="H1487" s="236" t="s">
        <v>3341</v>
      </c>
      <c r="I1487" s="211">
        <f>SUM(I1488:I1499)</f>
        <v>0</v>
      </c>
      <c r="J1487" s="211">
        <f t="shared" ref="J1487:P1487" si="171">SUM(J1488:J1499)</f>
        <v>0</v>
      </c>
      <c r="K1487" s="211">
        <f t="shared" si="171"/>
        <v>0</v>
      </c>
      <c r="L1487" s="211">
        <f t="shared" si="171"/>
        <v>0</v>
      </c>
      <c r="M1487" s="211">
        <f t="shared" si="171"/>
        <v>0</v>
      </c>
      <c r="N1487" s="211">
        <f t="shared" si="171"/>
        <v>0</v>
      </c>
      <c r="O1487" s="211">
        <f t="shared" si="171"/>
        <v>0</v>
      </c>
      <c r="P1487" s="211">
        <f t="shared" si="171"/>
        <v>0</v>
      </c>
    </row>
    <row r="1488" spans="1:16" s="219" customFormat="1" ht="45" hidden="1" x14ac:dyDescent="0.25">
      <c r="A1488" s="214"/>
      <c r="B1488" s="237">
        <v>1</v>
      </c>
      <c r="C1488" s="237">
        <v>3</v>
      </c>
      <c r="D1488" s="238" t="s">
        <v>2022</v>
      </c>
      <c r="E1488" s="238" t="s">
        <v>1836</v>
      </c>
      <c r="F1488" s="238" t="s">
        <v>2440</v>
      </c>
      <c r="G1488" s="238" t="s">
        <v>58</v>
      </c>
      <c r="H1488" s="239" t="s">
        <v>3342</v>
      </c>
      <c r="I1488" s="217"/>
      <c r="J1488" s="217"/>
      <c r="K1488" s="217"/>
      <c r="L1488" s="217"/>
      <c r="M1488" s="217"/>
      <c r="N1488" s="217"/>
      <c r="O1488" s="217"/>
      <c r="P1488" s="217"/>
    </row>
    <row r="1489" spans="1:16" s="219" customFormat="1" ht="45" hidden="1" x14ac:dyDescent="0.25">
      <c r="A1489" s="214"/>
      <c r="B1489" s="237">
        <v>1</v>
      </c>
      <c r="C1489" s="237">
        <v>3</v>
      </c>
      <c r="D1489" s="238" t="s">
        <v>2022</v>
      </c>
      <c r="E1489" s="238" t="s">
        <v>1836</v>
      </c>
      <c r="F1489" s="238" t="s">
        <v>2440</v>
      </c>
      <c r="G1489" s="238" t="s">
        <v>75</v>
      </c>
      <c r="H1489" s="239" t="s">
        <v>3343</v>
      </c>
      <c r="I1489" s="217"/>
      <c r="J1489" s="217"/>
      <c r="K1489" s="217"/>
      <c r="L1489" s="217"/>
      <c r="M1489" s="217"/>
      <c r="N1489" s="217"/>
      <c r="O1489" s="217"/>
      <c r="P1489" s="217"/>
    </row>
    <row r="1490" spans="1:16" s="219" customFormat="1" ht="45" hidden="1" x14ac:dyDescent="0.25">
      <c r="A1490" s="214"/>
      <c r="B1490" s="237">
        <v>1</v>
      </c>
      <c r="C1490" s="237">
        <v>3</v>
      </c>
      <c r="D1490" s="238" t="s">
        <v>2022</v>
      </c>
      <c r="E1490" s="238" t="s">
        <v>1836</v>
      </c>
      <c r="F1490" s="238" t="s">
        <v>2440</v>
      </c>
      <c r="G1490" s="238" t="s">
        <v>79</v>
      </c>
      <c r="H1490" s="239" t="s">
        <v>3344</v>
      </c>
      <c r="I1490" s="217"/>
      <c r="J1490" s="217"/>
      <c r="K1490" s="217"/>
      <c r="L1490" s="217"/>
      <c r="M1490" s="217"/>
      <c r="N1490" s="217"/>
      <c r="O1490" s="217"/>
      <c r="P1490" s="217"/>
    </row>
    <row r="1491" spans="1:16" s="219" customFormat="1" ht="45" hidden="1" x14ac:dyDescent="0.25">
      <c r="A1491" s="214"/>
      <c r="B1491" s="237">
        <v>1</v>
      </c>
      <c r="C1491" s="237">
        <v>3</v>
      </c>
      <c r="D1491" s="238" t="s">
        <v>2022</v>
      </c>
      <c r="E1491" s="238" t="s">
        <v>1836</v>
      </c>
      <c r="F1491" s="238" t="s">
        <v>2440</v>
      </c>
      <c r="G1491" s="238" t="s">
        <v>84</v>
      </c>
      <c r="H1491" s="239" t="s">
        <v>3345</v>
      </c>
      <c r="I1491" s="217"/>
      <c r="J1491" s="217"/>
      <c r="K1491" s="217"/>
      <c r="L1491" s="217"/>
      <c r="M1491" s="217"/>
      <c r="N1491" s="217"/>
      <c r="O1491" s="217"/>
      <c r="P1491" s="217"/>
    </row>
    <row r="1492" spans="1:16" s="219" customFormat="1" ht="45" hidden="1" x14ac:dyDescent="0.25">
      <c r="A1492" s="214"/>
      <c r="B1492" s="237">
        <v>1</v>
      </c>
      <c r="C1492" s="237">
        <v>3</v>
      </c>
      <c r="D1492" s="238" t="s">
        <v>2022</v>
      </c>
      <c r="E1492" s="238" t="s">
        <v>1836</v>
      </c>
      <c r="F1492" s="238" t="s">
        <v>2440</v>
      </c>
      <c r="G1492" s="238" t="s">
        <v>88</v>
      </c>
      <c r="H1492" s="239" t="s">
        <v>3346</v>
      </c>
      <c r="I1492" s="217"/>
      <c r="J1492" s="217"/>
      <c r="K1492" s="217"/>
      <c r="L1492" s="217"/>
      <c r="M1492" s="217"/>
      <c r="N1492" s="217"/>
      <c r="O1492" s="217"/>
      <c r="P1492" s="217"/>
    </row>
    <row r="1493" spans="1:16" s="219" customFormat="1" ht="45" hidden="1" x14ac:dyDescent="0.25">
      <c r="A1493" s="214"/>
      <c r="B1493" s="237">
        <v>1</v>
      </c>
      <c r="C1493" s="237">
        <v>3</v>
      </c>
      <c r="D1493" s="238" t="s">
        <v>2022</v>
      </c>
      <c r="E1493" s="238" t="s">
        <v>1836</v>
      </c>
      <c r="F1493" s="238" t="s">
        <v>2440</v>
      </c>
      <c r="G1493" s="238" t="s">
        <v>92</v>
      </c>
      <c r="H1493" s="239" t="s">
        <v>3347</v>
      </c>
      <c r="I1493" s="217"/>
      <c r="J1493" s="217"/>
      <c r="K1493" s="217"/>
      <c r="L1493" s="217"/>
      <c r="M1493" s="217"/>
      <c r="N1493" s="217"/>
      <c r="O1493" s="217"/>
      <c r="P1493" s="217"/>
    </row>
    <row r="1494" spans="1:16" s="219" customFormat="1" ht="45" hidden="1" x14ac:dyDescent="0.25">
      <c r="A1494" s="214"/>
      <c r="B1494" s="237">
        <v>1</v>
      </c>
      <c r="C1494" s="237">
        <v>3</v>
      </c>
      <c r="D1494" s="238" t="s">
        <v>2022</v>
      </c>
      <c r="E1494" s="238" t="s">
        <v>1836</v>
      </c>
      <c r="F1494" s="238" t="s">
        <v>2440</v>
      </c>
      <c r="G1494" s="238" t="s">
        <v>96</v>
      </c>
      <c r="H1494" s="239" t="s">
        <v>3348</v>
      </c>
      <c r="I1494" s="217"/>
      <c r="J1494" s="217"/>
      <c r="K1494" s="217"/>
      <c r="L1494" s="217"/>
      <c r="M1494" s="217"/>
      <c r="N1494" s="217"/>
      <c r="O1494" s="217"/>
      <c r="P1494" s="217"/>
    </row>
    <row r="1495" spans="1:16" s="219" customFormat="1" ht="30" hidden="1" x14ac:dyDescent="0.25">
      <c r="A1495" s="214"/>
      <c r="B1495" s="237">
        <v>1</v>
      </c>
      <c r="C1495" s="237">
        <v>3</v>
      </c>
      <c r="D1495" s="238" t="s">
        <v>2022</v>
      </c>
      <c r="E1495" s="238" t="s">
        <v>1836</v>
      </c>
      <c r="F1495" s="238" t="s">
        <v>2440</v>
      </c>
      <c r="G1495" s="238" t="s">
        <v>100</v>
      </c>
      <c r="H1495" s="239" t="s">
        <v>3349</v>
      </c>
      <c r="I1495" s="217"/>
      <c r="J1495" s="217"/>
      <c r="K1495" s="217"/>
      <c r="L1495" s="217"/>
      <c r="M1495" s="217"/>
      <c r="N1495" s="217"/>
      <c r="O1495" s="217"/>
      <c r="P1495" s="217"/>
    </row>
    <row r="1496" spans="1:16" s="219" customFormat="1" ht="30" hidden="1" x14ac:dyDescent="0.25">
      <c r="A1496" s="214"/>
      <c r="B1496" s="237">
        <v>1</v>
      </c>
      <c r="C1496" s="237">
        <v>3</v>
      </c>
      <c r="D1496" s="238" t="s">
        <v>2022</v>
      </c>
      <c r="E1496" s="238" t="s">
        <v>1836</v>
      </c>
      <c r="F1496" s="238" t="s">
        <v>2440</v>
      </c>
      <c r="G1496" s="238" t="s">
        <v>105</v>
      </c>
      <c r="H1496" s="239" t="s">
        <v>3350</v>
      </c>
      <c r="I1496" s="217"/>
      <c r="J1496" s="217"/>
      <c r="K1496" s="217"/>
      <c r="L1496" s="217"/>
      <c r="M1496" s="217"/>
      <c r="N1496" s="217"/>
      <c r="O1496" s="217"/>
      <c r="P1496" s="217"/>
    </row>
    <row r="1497" spans="1:16" s="219" customFormat="1" ht="45" hidden="1" x14ac:dyDescent="0.25">
      <c r="A1497" s="214"/>
      <c r="B1497" s="237">
        <v>1</v>
      </c>
      <c r="C1497" s="237">
        <v>3</v>
      </c>
      <c r="D1497" s="238" t="s">
        <v>2022</v>
      </c>
      <c r="E1497" s="238" t="s">
        <v>1836</v>
      </c>
      <c r="F1497" s="238" t="s">
        <v>2440</v>
      </c>
      <c r="G1497" s="238" t="s">
        <v>108</v>
      </c>
      <c r="H1497" s="239" t="s">
        <v>3351</v>
      </c>
      <c r="I1497" s="217"/>
      <c r="J1497" s="217"/>
      <c r="K1497" s="217"/>
      <c r="L1497" s="217"/>
      <c r="M1497" s="217"/>
      <c r="N1497" s="217"/>
      <c r="O1497" s="217"/>
      <c r="P1497" s="217"/>
    </row>
    <row r="1498" spans="1:16" s="219" customFormat="1" ht="45" hidden="1" x14ac:dyDescent="0.25">
      <c r="A1498" s="214"/>
      <c r="B1498" s="237">
        <v>1</v>
      </c>
      <c r="C1498" s="237">
        <v>3</v>
      </c>
      <c r="D1498" s="238" t="s">
        <v>2022</v>
      </c>
      <c r="E1498" s="238" t="s">
        <v>1836</v>
      </c>
      <c r="F1498" s="238" t="s">
        <v>2440</v>
      </c>
      <c r="G1498" s="238" t="s">
        <v>135</v>
      </c>
      <c r="H1498" s="239" t="s">
        <v>3352</v>
      </c>
      <c r="I1498" s="217"/>
      <c r="J1498" s="217"/>
      <c r="K1498" s="217"/>
      <c r="L1498" s="217"/>
      <c r="M1498" s="217"/>
      <c r="N1498" s="217"/>
      <c r="O1498" s="217"/>
      <c r="P1498" s="217"/>
    </row>
    <row r="1499" spans="1:16" s="219" customFormat="1" ht="45" hidden="1" x14ac:dyDescent="0.25">
      <c r="A1499" s="214"/>
      <c r="B1499" s="237">
        <v>1</v>
      </c>
      <c r="C1499" s="237">
        <v>3</v>
      </c>
      <c r="D1499" s="238" t="s">
        <v>2022</v>
      </c>
      <c r="E1499" s="238" t="s">
        <v>1836</v>
      </c>
      <c r="F1499" s="238" t="s">
        <v>2440</v>
      </c>
      <c r="G1499" s="238" t="s">
        <v>138</v>
      </c>
      <c r="H1499" s="239" t="s">
        <v>3353</v>
      </c>
      <c r="I1499" s="217"/>
      <c r="J1499" s="217"/>
      <c r="K1499" s="217"/>
      <c r="L1499" s="217"/>
      <c r="M1499" s="217"/>
      <c r="N1499" s="217"/>
      <c r="O1499" s="217"/>
      <c r="P1499" s="217"/>
    </row>
    <row r="1500" spans="1:16" s="213" customFormat="1" ht="30" hidden="1" x14ac:dyDescent="0.25">
      <c r="A1500" s="208" t="s">
        <v>263</v>
      </c>
      <c r="B1500" s="234">
        <v>1</v>
      </c>
      <c r="C1500" s="234">
        <v>3</v>
      </c>
      <c r="D1500" s="235" t="s">
        <v>2022</v>
      </c>
      <c r="E1500" s="235" t="s">
        <v>1836</v>
      </c>
      <c r="F1500" s="235" t="s">
        <v>2458</v>
      </c>
      <c r="G1500" s="234"/>
      <c r="H1500" s="236" t="s">
        <v>3354</v>
      </c>
      <c r="I1500" s="211">
        <f>SUM(I1501:I1506)</f>
        <v>0</v>
      </c>
      <c r="J1500" s="211">
        <f t="shared" ref="J1500:P1500" si="172">SUM(J1501:J1506)</f>
        <v>0</v>
      </c>
      <c r="K1500" s="211">
        <f t="shared" si="172"/>
        <v>0</v>
      </c>
      <c r="L1500" s="211">
        <f t="shared" si="172"/>
        <v>0</v>
      </c>
      <c r="M1500" s="211">
        <f t="shared" si="172"/>
        <v>0</v>
      </c>
      <c r="N1500" s="211">
        <f t="shared" si="172"/>
        <v>0</v>
      </c>
      <c r="O1500" s="211">
        <f t="shared" si="172"/>
        <v>0</v>
      </c>
      <c r="P1500" s="211">
        <f t="shared" si="172"/>
        <v>0</v>
      </c>
    </row>
    <row r="1501" spans="1:16" s="219" customFormat="1" ht="45" hidden="1" x14ac:dyDescent="0.25">
      <c r="A1501" s="214"/>
      <c r="B1501" s="237">
        <v>1</v>
      </c>
      <c r="C1501" s="237">
        <v>3</v>
      </c>
      <c r="D1501" s="238" t="s">
        <v>2022</v>
      </c>
      <c r="E1501" s="238" t="s">
        <v>1836</v>
      </c>
      <c r="F1501" s="238" t="s">
        <v>2458</v>
      </c>
      <c r="G1501" s="238" t="s">
        <v>58</v>
      </c>
      <c r="H1501" s="239" t="s">
        <v>3355</v>
      </c>
      <c r="I1501" s="217"/>
      <c r="J1501" s="217"/>
      <c r="K1501" s="217"/>
      <c r="L1501" s="217"/>
      <c r="M1501" s="217"/>
      <c r="N1501" s="217"/>
      <c r="O1501" s="217"/>
      <c r="P1501" s="217"/>
    </row>
    <row r="1502" spans="1:16" s="219" customFormat="1" ht="45" hidden="1" x14ac:dyDescent="0.25">
      <c r="A1502" s="214"/>
      <c r="B1502" s="237">
        <v>1</v>
      </c>
      <c r="C1502" s="237">
        <v>3</v>
      </c>
      <c r="D1502" s="238" t="s">
        <v>2022</v>
      </c>
      <c r="E1502" s="238" t="s">
        <v>1836</v>
      </c>
      <c r="F1502" s="238" t="s">
        <v>2458</v>
      </c>
      <c r="G1502" s="238" t="s">
        <v>75</v>
      </c>
      <c r="H1502" s="239" t="s">
        <v>3356</v>
      </c>
      <c r="I1502" s="217"/>
      <c r="J1502" s="217"/>
      <c r="K1502" s="217"/>
      <c r="L1502" s="217"/>
      <c r="M1502" s="217"/>
      <c r="N1502" s="217"/>
      <c r="O1502" s="217"/>
      <c r="P1502" s="217"/>
    </row>
    <row r="1503" spans="1:16" s="219" customFormat="1" ht="30" hidden="1" x14ac:dyDescent="0.25">
      <c r="A1503" s="214"/>
      <c r="B1503" s="237">
        <v>1</v>
      </c>
      <c r="C1503" s="237">
        <v>3</v>
      </c>
      <c r="D1503" s="238" t="s">
        <v>2022</v>
      </c>
      <c r="E1503" s="238" t="s">
        <v>1836</v>
      </c>
      <c r="F1503" s="238" t="s">
        <v>2458</v>
      </c>
      <c r="G1503" s="238" t="s">
        <v>79</v>
      </c>
      <c r="H1503" s="239" t="s">
        <v>3357</v>
      </c>
      <c r="I1503" s="217"/>
      <c r="J1503" s="217"/>
      <c r="K1503" s="217"/>
      <c r="L1503" s="217"/>
      <c r="M1503" s="217"/>
      <c r="N1503" s="217"/>
      <c r="O1503" s="217"/>
      <c r="P1503" s="217"/>
    </row>
    <row r="1504" spans="1:16" s="219" customFormat="1" ht="45" hidden="1" x14ac:dyDescent="0.25">
      <c r="A1504" s="214"/>
      <c r="B1504" s="237">
        <v>1</v>
      </c>
      <c r="C1504" s="237">
        <v>3</v>
      </c>
      <c r="D1504" s="238" t="s">
        <v>2022</v>
      </c>
      <c r="E1504" s="238" t="s">
        <v>1836</v>
      </c>
      <c r="F1504" s="238" t="s">
        <v>2458</v>
      </c>
      <c r="G1504" s="238" t="s">
        <v>84</v>
      </c>
      <c r="H1504" s="239" t="s">
        <v>3358</v>
      </c>
      <c r="I1504" s="217"/>
      <c r="J1504" s="217"/>
      <c r="K1504" s="217"/>
      <c r="L1504" s="217"/>
      <c r="M1504" s="217"/>
      <c r="N1504" s="217"/>
      <c r="O1504" s="217"/>
      <c r="P1504" s="217"/>
    </row>
    <row r="1505" spans="1:16" s="219" customFormat="1" ht="45" hidden="1" x14ac:dyDescent="0.25">
      <c r="A1505" s="214"/>
      <c r="B1505" s="237">
        <v>1</v>
      </c>
      <c r="C1505" s="237">
        <v>3</v>
      </c>
      <c r="D1505" s="238" t="s">
        <v>2022</v>
      </c>
      <c r="E1505" s="238" t="s">
        <v>1836</v>
      </c>
      <c r="F1505" s="238" t="s">
        <v>2458</v>
      </c>
      <c r="G1505" s="238" t="s">
        <v>88</v>
      </c>
      <c r="H1505" s="239" t="s">
        <v>3359</v>
      </c>
      <c r="I1505" s="217"/>
      <c r="J1505" s="217"/>
      <c r="K1505" s="217"/>
      <c r="L1505" s="217"/>
      <c r="M1505" s="217"/>
      <c r="N1505" s="217"/>
      <c r="O1505" s="217"/>
      <c r="P1505" s="217"/>
    </row>
    <row r="1506" spans="1:16" s="219" customFormat="1" ht="45" hidden="1" x14ac:dyDescent="0.25">
      <c r="A1506" s="214"/>
      <c r="B1506" s="237">
        <v>1</v>
      </c>
      <c r="C1506" s="237">
        <v>3</v>
      </c>
      <c r="D1506" s="238" t="s">
        <v>2022</v>
      </c>
      <c r="E1506" s="238" t="s">
        <v>1836</v>
      </c>
      <c r="F1506" s="238" t="s">
        <v>2458</v>
      </c>
      <c r="G1506" s="238" t="s">
        <v>92</v>
      </c>
      <c r="H1506" s="239" t="s">
        <v>3360</v>
      </c>
      <c r="I1506" s="217"/>
      <c r="J1506" s="217"/>
      <c r="K1506" s="217"/>
      <c r="L1506" s="217"/>
      <c r="M1506" s="217"/>
      <c r="N1506" s="217"/>
      <c r="O1506" s="217"/>
      <c r="P1506" s="217"/>
    </row>
    <row r="1507" spans="1:16" s="213" customFormat="1" ht="30" hidden="1" x14ac:dyDescent="0.25">
      <c r="A1507" s="208" t="s">
        <v>1938</v>
      </c>
      <c r="B1507" s="234">
        <v>1</v>
      </c>
      <c r="C1507" s="234">
        <v>3</v>
      </c>
      <c r="D1507" s="235" t="s">
        <v>2022</v>
      </c>
      <c r="E1507" s="235" t="s">
        <v>1847</v>
      </c>
      <c r="F1507" s="234"/>
      <c r="G1507" s="234"/>
      <c r="H1507" s="236" t="s">
        <v>3361</v>
      </c>
      <c r="I1507" s="211">
        <f>SUM(I1508+I1559+I1564+I1570)</f>
        <v>0</v>
      </c>
      <c r="J1507" s="211">
        <f t="shared" ref="J1507:P1507" si="173">SUM(J1508+J1559+J1564+J1570)</f>
        <v>0</v>
      </c>
      <c r="K1507" s="211">
        <f t="shared" si="173"/>
        <v>0</v>
      </c>
      <c r="L1507" s="211">
        <f t="shared" si="173"/>
        <v>0</v>
      </c>
      <c r="M1507" s="211">
        <f t="shared" si="173"/>
        <v>0</v>
      </c>
      <c r="N1507" s="211">
        <f t="shared" si="173"/>
        <v>0</v>
      </c>
      <c r="O1507" s="211">
        <f t="shared" si="173"/>
        <v>0</v>
      </c>
      <c r="P1507" s="211">
        <f t="shared" si="173"/>
        <v>0</v>
      </c>
    </row>
    <row r="1508" spans="1:16" s="213" customFormat="1" ht="30" hidden="1" x14ac:dyDescent="0.25">
      <c r="A1508" s="208" t="s">
        <v>263</v>
      </c>
      <c r="B1508" s="234">
        <v>1</v>
      </c>
      <c r="C1508" s="234">
        <v>3</v>
      </c>
      <c r="D1508" s="235" t="s">
        <v>2022</v>
      </c>
      <c r="E1508" s="235" t="s">
        <v>1847</v>
      </c>
      <c r="F1508" s="235" t="s">
        <v>1825</v>
      </c>
      <c r="G1508" s="234"/>
      <c r="H1508" s="236" t="s">
        <v>3362</v>
      </c>
      <c r="I1508" s="211">
        <f>SUM(I1509:I1558)</f>
        <v>0</v>
      </c>
      <c r="J1508" s="211">
        <f t="shared" ref="J1508:P1508" si="174">SUM(J1509:J1558)</f>
        <v>0</v>
      </c>
      <c r="K1508" s="211">
        <f t="shared" si="174"/>
        <v>0</v>
      </c>
      <c r="L1508" s="211">
        <f t="shared" si="174"/>
        <v>0</v>
      </c>
      <c r="M1508" s="211">
        <f t="shared" si="174"/>
        <v>0</v>
      </c>
      <c r="N1508" s="211">
        <f t="shared" si="174"/>
        <v>0</v>
      </c>
      <c r="O1508" s="211">
        <f t="shared" si="174"/>
        <v>0</v>
      </c>
      <c r="P1508" s="211">
        <f t="shared" si="174"/>
        <v>0</v>
      </c>
    </row>
    <row r="1509" spans="1:16" s="219" customFormat="1" ht="45" hidden="1" x14ac:dyDescent="0.25">
      <c r="A1509" s="214"/>
      <c r="B1509" s="237">
        <v>1</v>
      </c>
      <c r="C1509" s="237">
        <v>3</v>
      </c>
      <c r="D1509" s="238" t="s">
        <v>2022</v>
      </c>
      <c r="E1509" s="238" t="s">
        <v>1847</v>
      </c>
      <c r="F1509" s="238" t="s">
        <v>1825</v>
      </c>
      <c r="G1509" s="238" t="s">
        <v>58</v>
      </c>
      <c r="H1509" s="239" t="s">
        <v>3363</v>
      </c>
      <c r="I1509" s="217"/>
      <c r="J1509" s="217"/>
      <c r="K1509" s="217"/>
      <c r="L1509" s="217"/>
      <c r="M1509" s="217"/>
      <c r="N1509" s="217"/>
      <c r="O1509" s="217"/>
      <c r="P1509" s="217"/>
    </row>
    <row r="1510" spans="1:16" s="219" customFormat="1" ht="45" hidden="1" x14ac:dyDescent="0.25">
      <c r="A1510" s="214"/>
      <c r="B1510" s="237">
        <v>1</v>
      </c>
      <c r="C1510" s="237">
        <v>3</v>
      </c>
      <c r="D1510" s="238" t="s">
        <v>2022</v>
      </c>
      <c r="E1510" s="238" t="s">
        <v>1847</v>
      </c>
      <c r="F1510" s="238" t="s">
        <v>1825</v>
      </c>
      <c r="G1510" s="238" t="s">
        <v>75</v>
      </c>
      <c r="H1510" s="239" t="s">
        <v>3364</v>
      </c>
      <c r="I1510" s="217"/>
      <c r="J1510" s="217"/>
      <c r="K1510" s="217"/>
      <c r="L1510" s="217"/>
      <c r="M1510" s="217"/>
      <c r="N1510" s="217"/>
      <c r="O1510" s="217"/>
      <c r="P1510" s="217"/>
    </row>
    <row r="1511" spans="1:16" s="219" customFormat="1" ht="60" hidden="1" x14ac:dyDescent="0.25">
      <c r="A1511" s="214"/>
      <c r="B1511" s="237">
        <v>1</v>
      </c>
      <c r="C1511" s="237">
        <v>3</v>
      </c>
      <c r="D1511" s="238" t="s">
        <v>2022</v>
      </c>
      <c r="E1511" s="238" t="s">
        <v>1847</v>
      </c>
      <c r="F1511" s="238" t="s">
        <v>1825</v>
      </c>
      <c r="G1511" s="238" t="s">
        <v>79</v>
      </c>
      <c r="H1511" s="239" t="s">
        <v>3365</v>
      </c>
      <c r="I1511" s="217"/>
      <c r="J1511" s="217"/>
      <c r="K1511" s="217"/>
      <c r="L1511" s="217"/>
      <c r="M1511" s="217"/>
      <c r="N1511" s="217"/>
      <c r="O1511" s="217"/>
      <c r="P1511" s="217"/>
    </row>
    <row r="1512" spans="1:16" s="219" customFormat="1" ht="45" hidden="1" x14ac:dyDescent="0.25">
      <c r="A1512" s="214"/>
      <c r="B1512" s="237">
        <v>1</v>
      </c>
      <c r="C1512" s="237">
        <v>3</v>
      </c>
      <c r="D1512" s="238" t="s">
        <v>2022</v>
      </c>
      <c r="E1512" s="238" t="s">
        <v>1847</v>
      </c>
      <c r="F1512" s="238" t="s">
        <v>1825</v>
      </c>
      <c r="G1512" s="238" t="s">
        <v>84</v>
      </c>
      <c r="H1512" s="239" t="s">
        <v>3366</v>
      </c>
      <c r="I1512" s="217"/>
      <c r="J1512" s="217"/>
      <c r="K1512" s="217"/>
      <c r="L1512" s="217"/>
      <c r="M1512" s="217"/>
      <c r="N1512" s="217"/>
      <c r="O1512" s="217"/>
      <c r="P1512" s="217"/>
    </row>
    <row r="1513" spans="1:16" s="219" customFormat="1" ht="45" hidden="1" x14ac:dyDescent="0.25">
      <c r="A1513" s="214"/>
      <c r="B1513" s="237">
        <v>1</v>
      </c>
      <c r="C1513" s="237">
        <v>3</v>
      </c>
      <c r="D1513" s="238" t="s">
        <v>2022</v>
      </c>
      <c r="E1513" s="238" t="s">
        <v>1847</v>
      </c>
      <c r="F1513" s="238" t="s">
        <v>1825</v>
      </c>
      <c r="G1513" s="238" t="s">
        <v>88</v>
      </c>
      <c r="H1513" s="239" t="s">
        <v>3367</v>
      </c>
      <c r="I1513" s="217"/>
      <c r="J1513" s="217"/>
      <c r="K1513" s="217"/>
      <c r="L1513" s="217"/>
      <c r="M1513" s="217"/>
      <c r="N1513" s="217"/>
      <c r="O1513" s="217"/>
      <c r="P1513" s="217"/>
    </row>
    <row r="1514" spans="1:16" s="219" customFormat="1" ht="45" hidden="1" x14ac:dyDescent="0.25">
      <c r="A1514" s="214"/>
      <c r="B1514" s="237">
        <v>1</v>
      </c>
      <c r="C1514" s="237">
        <v>3</v>
      </c>
      <c r="D1514" s="238" t="s">
        <v>2022</v>
      </c>
      <c r="E1514" s="238" t="s">
        <v>1847</v>
      </c>
      <c r="F1514" s="238" t="s">
        <v>1825</v>
      </c>
      <c r="G1514" s="238" t="s">
        <v>92</v>
      </c>
      <c r="H1514" s="239" t="s">
        <v>3368</v>
      </c>
      <c r="I1514" s="217"/>
      <c r="J1514" s="217"/>
      <c r="K1514" s="217"/>
      <c r="L1514" s="217"/>
      <c r="M1514" s="217"/>
      <c r="N1514" s="217"/>
      <c r="O1514" s="217"/>
      <c r="P1514" s="217"/>
    </row>
    <row r="1515" spans="1:16" s="219" customFormat="1" ht="60" hidden="1" x14ac:dyDescent="0.25">
      <c r="A1515" s="214"/>
      <c r="B1515" s="237">
        <v>1</v>
      </c>
      <c r="C1515" s="237">
        <v>3</v>
      </c>
      <c r="D1515" s="238" t="s">
        <v>2022</v>
      </c>
      <c r="E1515" s="238" t="s">
        <v>1847</v>
      </c>
      <c r="F1515" s="238" t="s">
        <v>1825</v>
      </c>
      <c r="G1515" s="238" t="s">
        <v>96</v>
      </c>
      <c r="H1515" s="239" t="s">
        <v>3369</v>
      </c>
      <c r="I1515" s="217"/>
      <c r="J1515" s="217"/>
      <c r="K1515" s="217"/>
      <c r="L1515" s="217"/>
      <c r="M1515" s="217"/>
      <c r="N1515" s="217"/>
      <c r="O1515" s="217"/>
      <c r="P1515" s="217"/>
    </row>
    <row r="1516" spans="1:16" s="219" customFormat="1" ht="45" hidden="1" x14ac:dyDescent="0.25">
      <c r="A1516" s="214"/>
      <c r="B1516" s="237">
        <v>1</v>
      </c>
      <c r="C1516" s="237">
        <v>3</v>
      </c>
      <c r="D1516" s="238" t="s">
        <v>2022</v>
      </c>
      <c r="E1516" s="238" t="s">
        <v>1847</v>
      </c>
      <c r="F1516" s="238" t="s">
        <v>1825</v>
      </c>
      <c r="G1516" s="238" t="s">
        <v>100</v>
      </c>
      <c r="H1516" s="239" t="s">
        <v>3370</v>
      </c>
      <c r="I1516" s="217"/>
      <c r="J1516" s="217"/>
      <c r="K1516" s="217"/>
      <c r="L1516" s="217"/>
      <c r="M1516" s="217"/>
      <c r="N1516" s="217"/>
      <c r="O1516" s="217"/>
      <c r="P1516" s="217"/>
    </row>
    <row r="1517" spans="1:16" s="219" customFormat="1" ht="45" hidden="1" x14ac:dyDescent="0.25">
      <c r="A1517" s="214"/>
      <c r="B1517" s="237">
        <v>1</v>
      </c>
      <c r="C1517" s="237">
        <v>3</v>
      </c>
      <c r="D1517" s="238" t="s">
        <v>2022</v>
      </c>
      <c r="E1517" s="238" t="s">
        <v>1847</v>
      </c>
      <c r="F1517" s="238" t="s">
        <v>1825</v>
      </c>
      <c r="G1517" s="238" t="s">
        <v>105</v>
      </c>
      <c r="H1517" s="239" t="s">
        <v>3371</v>
      </c>
      <c r="I1517" s="217"/>
      <c r="J1517" s="217"/>
      <c r="K1517" s="217"/>
      <c r="L1517" s="217"/>
      <c r="M1517" s="217"/>
      <c r="N1517" s="217"/>
      <c r="O1517" s="217"/>
      <c r="P1517" s="217"/>
    </row>
    <row r="1518" spans="1:16" s="219" customFormat="1" ht="60" hidden="1" x14ac:dyDescent="0.25">
      <c r="A1518" s="214"/>
      <c r="B1518" s="237">
        <v>1</v>
      </c>
      <c r="C1518" s="237">
        <v>3</v>
      </c>
      <c r="D1518" s="238" t="s">
        <v>2022</v>
      </c>
      <c r="E1518" s="238" t="s">
        <v>1847</v>
      </c>
      <c r="F1518" s="238" t="s">
        <v>1825</v>
      </c>
      <c r="G1518" s="238" t="s">
        <v>108</v>
      </c>
      <c r="H1518" s="239" t="s">
        <v>3372</v>
      </c>
      <c r="I1518" s="217"/>
      <c r="J1518" s="217"/>
      <c r="K1518" s="217"/>
      <c r="L1518" s="217"/>
      <c r="M1518" s="217"/>
      <c r="N1518" s="217"/>
      <c r="O1518" s="217"/>
      <c r="P1518" s="217"/>
    </row>
    <row r="1519" spans="1:16" s="219" customFormat="1" ht="45" hidden="1" x14ac:dyDescent="0.25">
      <c r="A1519" s="214"/>
      <c r="B1519" s="237">
        <v>1</v>
      </c>
      <c r="C1519" s="237">
        <v>3</v>
      </c>
      <c r="D1519" s="238" t="s">
        <v>2022</v>
      </c>
      <c r="E1519" s="238" t="s">
        <v>1847</v>
      </c>
      <c r="F1519" s="238" t="s">
        <v>1825</v>
      </c>
      <c r="G1519" s="238" t="s">
        <v>135</v>
      </c>
      <c r="H1519" s="239" t="s">
        <v>3373</v>
      </c>
      <c r="I1519" s="217"/>
      <c r="J1519" s="217"/>
      <c r="K1519" s="217"/>
      <c r="L1519" s="217"/>
      <c r="M1519" s="217"/>
      <c r="N1519" s="217"/>
      <c r="O1519" s="217"/>
      <c r="P1519" s="217"/>
    </row>
    <row r="1520" spans="1:16" s="219" customFormat="1" ht="60" hidden="1" x14ac:dyDescent="0.25">
      <c r="A1520" s="214"/>
      <c r="B1520" s="237">
        <v>1</v>
      </c>
      <c r="C1520" s="237">
        <v>3</v>
      </c>
      <c r="D1520" s="238" t="s">
        <v>2022</v>
      </c>
      <c r="E1520" s="238" t="s">
        <v>1847</v>
      </c>
      <c r="F1520" s="238" t="s">
        <v>1825</v>
      </c>
      <c r="G1520" s="238" t="s">
        <v>138</v>
      </c>
      <c r="H1520" s="239" t="s">
        <v>3374</v>
      </c>
      <c r="I1520" s="217"/>
      <c r="J1520" s="217"/>
      <c r="K1520" s="217"/>
      <c r="L1520" s="217"/>
      <c r="M1520" s="217"/>
      <c r="N1520" s="217"/>
      <c r="O1520" s="217"/>
      <c r="P1520" s="217"/>
    </row>
    <row r="1521" spans="1:16" s="219" customFormat="1" ht="45" hidden="1" x14ac:dyDescent="0.25">
      <c r="A1521" s="214"/>
      <c r="B1521" s="237">
        <v>1</v>
      </c>
      <c r="C1521" s="237">
        <v>3</v>
      </c>
      <c r="D1521" s="238" t="s">
        <v>2022</v>
      </c>
      <c r="E1521" s="238" t="s">
        <v>1847</v>
      </c>
      <c r="F1521" s="238" t="s">
        <v>1825</v>
      </c>
      <c r="G1521" s="238" t="s">
        <v>140</v>
      </c>
      <c r="H1521" s="239" t="s">
        <v>3375</v>
      </c>
      <c r="I1521" s="217"/>
      <c r="J1521" s="217"/>
      <c r="K1521" s="217"/>
      <c r="L1521" s="217"/>
      <c r="M1521" s="217"/>
      <c r="N1521" s="217"/>
      <c r="O1521" s="217"/>
      <c r="P1521" s="217"/>
    </row>
    <row r="1522" spans="1:16" s="219" customFormat="1" ht="45" hidden="1" x14ac:dyDescent="0.25">
      <c r="A1522" s="214"/>
      <c r="B1522" s="237">
        <v>1</v>
      </c>
      <c r="C1522" s="237">
        <v>3</v>
      </c>
      <c r="D1522" s="238" t="s">
        <v>2022</v>
      </c>
      <c r="E1522" s="238" t="s">
        <v>1847</v>
      </c>
      <c r="F1522" s="238" t="s">
        <v>1825</v>
      </c>
      <c r="G1522" s="238" t="s">
        <v>143</v>
      </c>
      <c r="H1522" s="239" t="s">
        <v>3376</v>
      </c>
      <c r="I1522" s="217"/>
      <c r="J1522" s="217"/>
      <c r="K1522" s="217"/>
      <c r="L1522" s="217"/>
      <c r="M1522" s="217"/>
      <c r="N1522" s="217"/>
      <c r="O1522" s="217"/>
      <c r="P1522" s="217"/>
    </row>
    <row r="1523" spans="1:16" s="219" customFormat="1" ht="45" hidden="1" x14ac:dyDescent="0.25">
      <c r="A1523" s="214"/>
      <c r="B1523" s="237">
        <v>1</v>
      </c>
      <c r="C1523" s="237">
        <v>3</v>
      </c>
      <c r="D1523" s="238" t="s">
        <v>2022</v>
      </c>
      <c r="E1523" s="238" t="s">
        <v>1847</v>
      </c>
      <c r="F1523" s="238" t="s">
        <v>1825</v>
      </c>
      <c r="G1523" s="238" t="s">
        <v>146</v>
      </c>
      <c r="H1523" s="239" t="s">
        <v>3377</v>
      </c>
      <c r="I1523" s="217"/>
      <c r="J1523" s="217"/>
      <c r="K1523" s="217"/>
      <c r="L1523" s="217"/>
      <c r="M1523" s="217"/>
      <c r="N1523" s="217"/>
      <c r="O1523" s="217"/>
      <c r="P1523" s="217"/>
    </row>
    <row r="1524" spans="1:16" s="219" customFormat="1" ht="45" hidden="1" x14ac:dyDescent="0.25">
      <c r="A1524" s="214"/>
      <c r="B1524" s="237">
        <v>1</v>
      </c>
      <c r="C1524" s="237">
        <v>3</v>
      </c>
      <c r="D1524" s="238" t="s">
        <v>2022</v>
      </c>
      <c r="E1524" s="238" t="s">
        <v>1847</v>
      </c>
      <c r="F1524" s="238" t="s">
        <v>1825</v>
      </c>
      <c r="G1524" s="238" t="s">
        <v>150</v>
      </c>
      <c r="H1524" s="239" t="s">
        <v>3378</v>
      </c>
      <c r="I1524" s="217"/>
      <c r="J1524" s="217"/>
      <c r="K1524" s="217"/>
      <c r="L1524" s="217"/>
      <c r="M1524" s="217"/>
      <c r="N1524" s="217"/>
      <c r="O1524" s="217"/>
      <c r="P1524" s="217"/>
    </row>
    <row r="1525" spans="1:16" s="219" customFormat="1" ht="45" hidden="1" x14ac:dyDescent="0.25">
      <c r="A1525" s="214"/>
      <c r="B1525" s="237">
        <v>1</v>
      </c>
      <c r="C1525" s="237">
        <v>3</v>
      </c>
      <c r="D1525" s="238" t="s">
        <v>2022</v>
      </c>
      <c r="E1525" s="238" t="s">
        <v>1847</v>
      </c>
      <c r="F1525" s="238" t="s">
        <v>1825</v>
      </c>
      <c r="G1525" s="238" t="s">
        <v>153</v>
      </c>
      <c r="H1525" s="239" t="s">
        <v>3379</v>
      </c>
      <c r="I1525" s="217"/>
      <c r="J1525" s="217"/>
      <c r="K1525" s="217"/>
      <c r="L1525" s="217"/>
      <c r="M1525" s="217"/>
      <c r="N1525" s="217"/>
      <c r="O1525" s="217"/>
      <c r="P1525" s="217"/>
    </row>
    <row r="1526" spans="1:16" s="219" customFormat="1" ht="60" hidden="1" x14ac:dyDescent="0.25">
      <c r="A1526" s="214"/>
      <c r="B1526" s="237">
        <v>1</v>
      </c>
      <c r="C1526" s="237">
        <v>3</v>
      </c>
      <c r="D1526" s="238" t="s">
        <v>2022</v>
      </c>
      <c r="E1526" s="238" t="s">
        <v>1847</v>
      </c>
      <c r="F1526" s="238" t="s">
        <v>1825</v>
      </c>
      <c r="G1526" s="238" t="s">
        <v>156</v>
      </c>
      <c r="H1526" s="239" t="s">
        <v>3380</v>
      </c>
      <c r="I1526" s="217"/>
      <c r="J1526" s="217"/>
      <c r="K1526" s="217"/>
      <c r="L1526" s="217"/>
      <c r="M1526" s="217"/>
      <c r="N1526" s="217"/>
      <c r="O1526" s="217"/>
      <c r="P1526" s="217"/>
    </row>
    <row r="1527" spans="1:16" s="219" customFormat="1" ht="45" hidden="1" x14ac:dyDescent="0.25">
      <c r="A1527" s="214"/>
      <c r="B1527" s="237">
        <v>1</v>
      </c>
      <c r="C1527" s="237">
        <v>3</v>
      </c>
      <c r="D1527" s="238" t="s">
        <v>2022</v>
      </c>
      <c r="E1527" s="238" t="s">
        <v>1847</v>
      </c>
      <c r="F1527" s="238" t="s">
        <v>1825</v>
      </c>
      <c r="G1527" s="238" t="s">
        <v>159</v>
      </c>
      <c r="H1527" s="239" t="s">
        <v>3381</v>
      </c>
      <c r="I1527" s="217"/>
      <c r="J1527" s="217"/>
      <c r="K1527" s="217"/>
      <c r="L1527" s="217"/>
      <c r="M1527" s="217"/>
      <c r="N1527" s="217"/>
      <c r="O1527" s="217"/>
      <c r="P1527" s="217"/>
    </row>
    <row r="1528" spans="1:16" s="219" customFormat="1" ht="60" hidden="1" x14ac:dyDescent="0.25">
      <c r="A1528" s="214"/>
      <c r="B1528" s="237">
        <v>1</v>
      </c>
      <c r="C1528" s="237">
        <v>3</v>
      </c>
      <c r="D1528" s="238" t="s">
        <v>2022</v>
      </c>
      <c r="E1528" s="238" t="s">
        <v>1847</v>
      </c>
      <c r="F1528" s="238" t="s">
        <v>1825</v>
      </c>
      <c r="G1528" s="238" t="s">
        <v>162</v>
      </c>
      <c r="H1528" s="239" t="s">
        <v>3382</v>
      </c>
      <c r="I1528" s="217"/>
      <c r="J1528" s="217"/>
      <c r="K1528" s="217"/>
      <c r="L1528" s="217"/>
      <c r="M1528" s="217"/>
      <c r="N1528" s="217"/>
      <c r="O1528" s="217"/>
      <c r="P1528" s="217"/>
    </row>
    <row r="1529" spans="1:16" s="219" customFormat="1" ht="45" hidden="1" x14ac:dyDescent="0.25">
      <c r="A1529" s="214"/>
      <c r="B1529" s="237">
        <v>1</v>
      </c>
      <c r="C1529" s="237">
        <v>3</v>
      </c>
      <c r="D1529" s="238" t="s">
        <v>2022</v>
      </c>
      <c r="E1529" s="238" t="s">
        <v>1847</v>
      </c>
      <c r="F1529" s="238" t="s">
        <v>1825</v>
      </c>
      <c r="G1529" s="238" t="s">
        <v>312</v>
      </c>
      <c r="H1529" s="239" t="s">
        <v>3383</v>
      </c>
      <c r="I1529" s="217"/>
      <c r="J1529" s="217"/>
      <c r="K1529" s="217"/>
      <c r="L1529" s="217"/>
      <c r="M1529" s="217"/>
      <c r="N1529" s="217"/>
      <c r="O1529" s="217"/>
      <c r="P1529" s="217"/>
    </row>
    <row r="1530" spans="1:16" s="219" customFormat="1" ht="45" hidden="1" x14ac:dyDescent="0.25">
      <c r="A1530" s="214"/>
      <c r="B1530" s="237">
        <v>1</v>
      </c>
      <c r="C1530" s="237">
        <v>3</v>
      </c>
      <c r="D1530" s="238" t="s">
        <v>2022</v>
      </c>
      <c r="E1530" s="238" t="s">
        <v>1847</v>
      </c>
      <c r="F1530" s="238" t="s">
        <v>1825</v>
      </c>
      <c r="G1530" s="238" t="s">
        <v>313</v>
      </c>
      <c r="H1530" s="239" t="s">
        <v>3384</v>
      </c>
      <c r="I1530" s="217"/>
      <c r="J1530" s="217"/>
      <c r="K1530" s="217"/>
      <c r="L1530" s="217"/>
      <c r="M1530" s="217"/>
      <c r="N1530" s="217"/>
      <c r="O1530" s="217"/>
      <c r="P1530" s="217"/>
    </row>
    <row r="1531" spans="1:16" s="219" customFormat="1" ht="60" hidden="1" x14ac:dyDescent="0.25">
      <c r="A1531" s="214"/>
      <c r="B1531" s="237">
        <v>1</v>
      </c>
      <c r="C1531" s="237">
        <v>3</v>
      </c>
      <c r="D1531" s="238" t="s">
        <v>2022</v>
      </c>
      <c r="E1531" s="238" t="s">
        <v>1847</v>
      </c>
      <c r="F1531" s="238" t="s">
        <v>1825</v>
      </c>
      <c r="G1531" s="238" t="s">
        <v>559</v>
      </c>
      <c r="H1531" s="239" t="s">
        <v>3385</v>
      </c>
      <c r="I1531" s="217"/>
      <c r="J1531" s="217"/>
      <c r="K1531" s="217"/>
      <c r="L1531" s="217"/>
      <c r="M1531" s="217"/>
      <c r="N1531" s="217"/>
      <c r="O1531" s="217"/>
      <c r="P1531" s="217"/>
    </row>
    <row r="1532" spans="1:16" s="219" customFormat="1" ht="45" hidden="1" x14ac:dyDescent="0.25">
      <c r="A1532" s="214"/>
      <c r="B1532" s="237">
        <v>1</v>
      </c>
      <c r="C1532" s="237">
        <v>3</v>
      </c>
      <c r="D1532" s="238" t="s">
        <v>2022</v>
      </c>
      <c r="E1532" s="238" t="s">
        <v>1847</v>
      </c>
      <c r="F1532" s="238" t="s">
        <v>1825</v>
      </c>
      <c r="G1532" s="238" t="s">
        <v>561</v>
      </c>
      <c r="H1532" s="239" t="s">
        <v>3386</v>
      </c>
      <c r="I1532" s="217"/>
      <c r="J1532" s="217"/>
      <c r="K1532" s="217"/>
      <c r="L1532" s="217"/>
      <c r="M1532" s="217"/>
      <c r="N1532" s="217"/>
      <c r="O1532" s="217"/>
      <c r="P1532" s="217"/>
    </row>
    <row r="1533" spans="1:16" s="219" customFormat="1" ht="45" hidden="1" x14ac:dyDescent="0.25">
      <c r="A1533" s="214"/>
      <c r="B1533" s="237">
        <v>1</v>
      </c>
      <c r="C1533" s="237">
        <v>3</v>
      </c>
      <c r="D1533" s="238" t="s">
        <v>2022</v>
      </c>
      <c r="E1533" s="238" t="s">
        <v>1847</v>
      </c>
      <c r="F1533" s="238" t="s">
        <v>1825</v>
      </c>
      <c r="G1533" s="238" t="s">
        <v>563</v>
      </c>
      <c r="H1533" s="239" t="s">
        <v>3387</v>
      </c>
      <c r="I1533" s="217"/>
      <c r="J1533" s="217"/>
      <c r="K1533" s="217"/>
      <c r="L1533" s="217"/>
      <c r="M1533" s="217"/>
      <c r="N1533" s="217"/>
      <c r="O1533" s="217"/>
      <c r="P1533" s="217"/>
    </row>
    <row r="1534" spans="1:16" s="219" customFormat="1" ht="45" hidden="1" x14ac:dyDescent="0.25">
      <c r="A1534" s="214"/>
      <c r="B1534" s="237">
        <v>1</v>
      </c>
      <c r="C1534" s="237">
        <v>3</v>
      </c>
      <c r="D1534" s="238" t="s">
        <v>2022</v>
      </c>
      <c r="E1534" s="238" t="s">
        <v>1847</v>
      </c>
      <c r="F1534" s="238" t="s">
        <v>1825</v>
      </c>
      <c r="G1534" s="238" t="s">
        <v>227</v>
      </c>
      <c r="H1534" s="239" t="s">
        <v>3388</v>
      </c>
      <c r="I1534" s="217"/>
      <c r="J1534" s="217"/>
      <c r="K1534" s="217"/>
      <c r="L1534" s="217"/>
      <c r="M1534" s="217"/>
      <c r="N1534" s="217"/>
      <c r="O1534" s="217"/>
      <c r="P1534" s="217"/>
    </row>
    <row r="1535" spans="1:16" s="219" customFormat="1" ht="60" hidden="1" x14ac:dyDescent="0.25">
      <c r="A1535" s="214"/>
      <c r="B1535" s="237">
        <v>1</v>
      </c>
      <c r="C1535" s="237">
        <v>3</v>
      </c>
      <c r="D1535" s="238" t="s">
        <v>2022</v>
      </c>
      <c r="E1535" s="238" t="s">
        <v>1847</v>
      </c>
      <c r="F1535" s="238" t="s">
        <v>1825</v>
      </c>
      <c r="G1535" s="238" t="s">
        <v>230</v>
      </c>
      <c r="H1535" s="239" t="s">
        <v>3389</v>
      </c>
      <c r="I1535" s="217"/>
      <c r="J1535" s="217"/>
      <c r="K1535" s="217"/>
      <c r="L1535" s="217"/>
      <c r="M1535" s="217"/>
      <c r="N1535" s="217"/>
      <c r="O1535" s="217"/>
      <c r="P1535" s="217"/>
    </row>
    <row r="1536" spans="1:16" s="219" customFormat="1" ht="45" hidden="1" x14ac:dyDescent="0.25">
      <c r="A1536" s="214"/>
      <c r="B1536" s="237">
        <v>1</v>
      </c>
      <c r="C1536" s="237">
        <v>3</v>
      </c>
      <c r="D1536" s="238" t="s">
        <v>2022</v>
      </c>
      <c r="E1536" s="238" t="s">
        <v>1847</v>
      </c>
      <c r="F1536" s="238" t="s">
        <v>1825</v>
      </c>
      <c r="G1536" s="238" t="s">
        <v>232</v>
      </c>
      <c r="H1536" s="239" t="s">
        <v>3390</v>
      </c>
      <c r="I1536" s="217"/>
      <c r="J1536" s="217"/>
      <c r="K1536" s="217"/>
      <c r="L1536" s="217"/>
      <c r="M1536" s="217"/>
      <c r="N1536" s="217"/>
      <c r="O1536" s="217"/>
      <c r="P1536" s="217"/>
    </row>
    <row r="1537" spans="1:16" s="219" customFormat="1" ht="45" hidden="1" x14ac:dyDescent="0.25">
      <c r="A1537" s="214"/>
      <c r="B1537" s="237">
        <v>1</v>
      </c>
      <c r="C1537" s="237">
        <v>3</v>
      </c>
      <c r="D1537" s="238" t="s">
        <v>2022</v>
      </c>
      <c r="E1537" s="238" t="s">
        <v>1847</v>
      </c>
      <c r="F1537" s="238" t="s">
        <v>1825</v>
      </c>
      <c r="G1537" s="238" t="s">
        <v>234</v>
      </c>
      <c r="H1537" s="239" t="s">
        <v>3391</v>
      </c>
      <c r="I1537" s="217"/>
      <c r="J1537" s="217"/>
      <c r="K1537" s="217"/>
      <c r="L1537" s="217"/>
      <c r="M1537" s="217"/>
      <c r="N1537" s="217"/>
      <c r="O1537" s="217"/>
      <c r="P1537" s="217"/>
    </row>
    <row r="1538" spans="1:16" s="219" customFormat="1" ht="60" hidden="1" x14ac:dyDescent="0.25">
      <c r="A1538" s="214"/>
      <c r="B1538" s="237">
        <v>1</v>
      </c>
      <c r="C1538" s="237">
        <v>3</v>
      </c>
      <c r="D1538" s="238" t="s">
        <v>2022</v>
      </c>
      <c r="E1538" s="238" t="s">
        <v>1847</v>
      </c>
      <c r="F1538" s="238" t="s">
        <v>1825</v>
      </c>
      <c r="G1538" s="238" t="s">
        <v>236</v>
      </c>
      <c r="H1538" s="239" t="s">
        <v>3392</v>
      </c>
      <c r="I1538" s="217"/>
      <c r="J1538" s="217"/>
      <c r="K1538" s="217"/>
      <c r="L1538" s="217"/>
      <c r="M1538" s="217"/>
      <c r="N1538" s="217"/>
      <c r="O1538" s="217"/>
      <c r="P1538" s="217"/>
    </row>
    <row r="1539" spans="1:16" s="219" customFormat="1" ht="45" hidden="1" x14ac:dyDescent="0.25">
      <c r="A1539" s="214"/>
      <c r="B1539" s="237">
        <v>1</v>
      </c>
      <c r="C1539" s="237">
        <v>3</v>
      </c>
      <c r="D1539" s="238" t="s">
        <v>2022</v>
      </c>
      <c r="E1539" s="238" t="s">
        <v>1847</v>
      </c>
      <c r="F1539" s="238" t="s">
        <v>1825</v>
      </c>
      <c r="G1539" s="238" t="s">
        <v>238</v>
      </c>
      <c r="H1539" s="239" t="s">
        <v>3393</v>
      </c>
      <c r="I1539" s="217"/>
      <c r="J1539" s="217"/>
      <c r="K1539" s="217"/>
      <c r="L1539" s="217"/>
      <c r="M1539" s="217"/>
      <c r="N1539" s="217"/>
      <c r="O1539" s="217"/>
      <c r="P1539" s="217"/>
    </row>
    <row r="1540" spans="1:16" s="219" customFormat="1" ht="45" hidden="1" x14ac:dyDescent="0.25">
      <c r="A1540" s="214"/>
      <c r="B1540" s="237">
        <v>1</v>
      </c>
      <c r="C1540" s="237">
        <v>3</v>
      </c>
      <c r="D1540" s="238" t="s">
        <v>2022</v>
      </c>
      <c r="E1540" s="238" t="s">
        <v>1847</v>
      </c>
      <c r="F1540" s="238" t="s">
        <v>1825</v>
      </c>
      <c r="G1540" s="238" t="s">
        <v>240</v>
      </c>
      <c r="H1540" s="239" t="s">
        <v>3394</v>
      </c>
      <c r="I1540" s="217"/>
      <c r="J1540" s="217"/>
      <c r="K1540" s="217"/>
      <c r="L1540" s="217"/>
      <c r="M1540" s="217"/>
      <c r="N1540" s="217"/>
      <c r="O1540" s="217"/>
      <c r="P1540" s="217"/>
    </row>
    <row r="1541" spans="1:16" s="219" customFormat="1" ht="45" hidden="1" x14ac:dyDescent="0.25">
      <c r="A1541" s="214"/>
      <c r="B1541" s="237">
        <v>1</v>
      </c>
      <c r="C1541" s="237">
        <v>3</v>
      </c>
      <c r="D1541" s="238" t="s">
        <v>2022</v>
      </c>
      <c r="E1541" s="238" t="s">
        <v>1847</v>
      </c>
      <c r="F1541" s="238" t="s">
        <v>1825</v>
      </c>
      <c r="G1541" s="238" t="s">
        <v>242</v>
      </c>
      <c r="H1541" s="239" t="s">
        <v>3395</v>
      </c>
      <c r="I1541" s="217"/>
      <c r="J1541" s="217"/>
      <c r="K1541" s="217"/>
      <c r="L1541" s="217"/>
      <c r="M1541" s="217"/>
      <c r="N1541" s="217"/>
      <c r="O1541" s="217"/>
      <c r="P1541" s="217"/>
    </row>
    <row r="1542" spans="1:16" s="219" customFormat="1" ht="45" hidden="1" x14ac:dyDescent="0.25">
      <c r="A1542" s="214"/>
      <c r="B1542" s="237">
        <v>1</v>
      </c>
      <c r="C1542" s="237">
        <v>3</v>
      </c>
      <c r="D1542" s="238" t="s">
        <v>2022</v>
      </c>
      <c r="E1542" s="238" t="s">
        <v>1847</v>
      </c>
      <c r="F1542" s="238" t="s">
        <v>1825</v>
      </c>
      <c r="G1542" s="238" t="s">
        <v>244</v>
      </c>
      <c r="H1542" s="239" t="s">
        <v>3396</v>
      </c>
      <c r="I1542" s="217"/>
      <c r="J1542" s="217"/>
      <c r="K1542" s="217"/>
      <c r="L1542" s="217"/>
      <c r="M1542" s="217"/>
      <c r="N1542" s="217"/>
      <c r="O1542" s="217"/>
      <c r="P1542" s="217"/>
    </row>
    <row r="1543" spans="1:16" s="219" customFormat="1" ht="45" hidden="1" x14ac:dyDescent="0.25">
      <c r="A1543" s="214"/>
      <c r="B1543" s="237">
        <v>1</v>
      </c>
      <c r="C1543" s="237">
        <v>3</v>
      </c>
      <c r="D1543" s="238" t="s">
        <v>2022</v>
      </c>
      <c r="E1543" s="238" t="s">
        <v>1847</v>
      </c>
      <c r="F1543" s="238" t="s">
        <v>1825</v>
      </c>
      <c r="G1543" s="238" t="s">
        <v>246</v>
      </c>
      <c r="H1543" s="239" t="s">
        <v>3397</v>
      </c>
      <c r="I1543" s="217"/>
      <c r="J1543" s="217"/>
      <c r="K1543" s="217"/>
      <c r="L1543" s="217"/>
      <c r="M1543" s="217"/>
      <c r="N1543" s="217"/>
      <c r="O1543" s="217"/>
      <c r="P1543" s="217"/>
    </row>
    <row r="1544" spans="1:16" s="219" customFormat="1" ht="45" hidden="1" x14ac:dyDescent="0.25">
      <c r="A1544" s="214"/>
      <c r="B1544" s="237">
        <v>1</v>
      </c>
      <c r="C1544" s="237">
        <v>3</v>
      </c>
      <c r="D1544" s="238" t="s">
        <v>2022</v>
      </c>
      <c r="E1544" s="238" t="s">
        <v>1847</v>
      </c>
      <c r="F1544" s="238" t="s">
        <v>1825</v>
      </c>
      <c r="G1544" s="238" t="s">
        <v>407</v>
      </c>
      <c r="H1544" s="239" t="s">
        <v>3398</v>
      </c>
      <c r="I1544" s="217"/>
      <c r="J1544" s="217"/>
      <c r="K1544" s="217"/>
      <c r="L1544" s="217"/>
      <c r="M1544" s="217"/>
      <c r="N1544" s="217"/>
      <c r="O1544" s="217"/>
      <c r="P1544" s="217"/>
    </row>
    <row r="1545" spans="1:16" s="219" customFormat="1" ht="60" hidden="1" x14ac:dyDescent="0.25">
      <c r="A1545" s="214"/>
      <c r="B1545" s="237">
        <v>1</v>
      </c>
      <c r="C1545" s="237">
        <v>3</v>
      </c>
      <c r="D1545" s="238" t="s">
        <v>2022</v>
      </c>
      <c r="E1545" s="238" t="s">
        <v>1847</v>
      </c>
      <c r="F1545" s="238" t="s">
        <v>1825</v>
      </c>
      <c r="G1545" s="238" t="s">
        <v>408</v>
      </c>
      <c r="H1545" s="239" t="s">
        <v>3392</v>
      </c>
      <c r="I1545" s="217"/>
      <c r="J1545" s="217"/>
      <c r="K1545" s="217"/>
      <c r="L1545" s="217"/>
      <c r="M1545" s="217"/>
      <c r="N1545" s="217"/>
      <c r="O1545" s="217"/>
      <c r="P1545" s="217"/>
    </row>
    <row r="1546" spans="1:16" s="219" customFormat="1" ht="45" hidden="1" x14ac:dyDescent="0.25">
      <c r="A1546" s="214"/>
      <c r="B1546" s="237">
        <v>1</v>
      </c>
      <c r="C1546" s="237">
        <v>3</v>
      </c>
      <c r="D1546" s="238" t="s">
        <v>2022</v>
      </c>
      <c r="E1546" s="238" t="s">
        <v>1847</v>
      </c>
      <c r="F1546" s="238" t="s">
        <v>1825</v>
      </c>
      <c r="G1546" s="238" t="s">
        <v>409</v>
      </c>
      <c r="H1546" s="239" t="s">
        <v>3399</v>
      </c>
      <c r="I1546" s="217"/>
      <c r="J1546" s="217"/>
      <c r="K1546" s="217"/>
      <c r="L1546" s="217"/>
      <c r="M1546" s="217"/>
      <c r="N1546" s="217"/>
      <c r="O1546" s="217"/>
      <c r="P1546" s="217"/>
    </row>
    <row r="1547" spans="1:16" s="219" customFormat="1" ht="45" hidden="1" x14ac:dyDescent="0.25">
      <c r="A1547" s="214"/>
      <c r="B1547" s="237">
        <v>1</v>
      </c>
      <c r="C1547" s="237">
        <v>3</v>
      </c>
      <c r="D1547" s="238" t="s">
        <v>2022</v>
      </c>
      <c r="E1547" s="238" t="s">
        <v>1847</v>
      </c>
      <c r="F1547" s="238" t="s">
        <v>1825</v>
      </c>
      <c r="G1547" s="238" t="s">
        <v>788</v>
      </c>
      <c r="H1547" s="239" t="s">
        <v>3400</v>
      </c>
      <c r="I1547" s="217"/>
      <c r="J1547" s="217"/>
      <c r="K1547" s="217"/>
      <c r="L1547" s="217"/>
      <c r="M1547" s="217"/>
      <c r="N1547" s="217"/>
      <c r="O1547" s="217"/>
      <c r="P1547" s="217"/>
    </row>
    <row r="1548" spans="1:16" s="219" customFormat="1" ht="45" hidden="1" x14ac:dyDescent="0.25">
      <c r="A1548" s="214"/>
      <c r="B1548" s="237">
        <v>1</v>
      </c>
      <c r="C1548" s="237">
        <v>3</v>
      </c>
      <c r="D1548" s="238" t="s">
        <v>2022</v>
      </c>
      <c r="E1548" s="238" t="s">
        <v>1847</v>
      </c>
      <c r="F1548" s="238" t="s">
        <v>1825</v>
      </c>
      <c r="G1548" s="238" t="s">
        <v>1017</v>
      </c>
      <c r="H1548" s="239" t="s">
        <v>3401</v>
      </c>
      <c r="I1548" s="217"/>
      <c r="J1548" s="217"/>
      <c r="K1548" s="217"/>
      <c r="L1548" s="217"/>
      <c r="M1548" s="217"/>
      <c r="N1548" s="217"/>
      <c r="O1548" s="217"/>
      <c r="P1548" s="217"/>
    </row>
    <row r="1549" spans="1:16" s="219" customFormat="1" ht="60" hidden="1" x14ac:dyDescent="0.25">
      <c r="A1549" s="214"/>
      <c r="B1549" s="237">
        <v>1</v>
      </c>
      <c r="C1549" s="237">
        <v>3</v>
      </c>
      <c r="D1549" s="238" t="s">
        <v>2022</v>
      </c>
      <c r="E1549" s="238" t="s">
        <v>1847</v>
      </c>
      <c r="F1549" s="238" t="s">
        <v>1825</v>
      </c>
      <c r="G1549" s="238" t="s">
        <v>411</v>
      </c>
      <c r="H1549" s="239" t="s">
        <v>3402</v>
      </c>
      <c r="I1549" s="217"/>
      <c r="J1549" s="217"/>
      <c r="K1549" s="217"/>
      <c r="L1549" s="217"/>
      <c r="M1549" s="217"/>
      <c r="N1549" s="217"/>
      <c r="O1549" s="217"/>
      <c r="P1549" s="217"/>
    </row>
    <row r="1550" spans="1:16" s="219" customFormat="1" ht="45" hidden="1" x14ac:dyDescent="0.25">
      <c r="A1550" s="214"/>
      <c r="B1550" s="237">
        <v>1</v>
      </c>
      <c r="C1550" s="237">
        <v>3</v>
      </c>
      <c r="D1550" s="238" t="s">
        <v>2022</v>
      </c>
      <c r="E1550" s="238" t="s">
        <v>1847</v>
      </c>
      <c r="F1550" s="238" t="s">
        <v>1825</v>
      </c>
      <c r="G1550" s="238" t="s">
        <v>247</v>
      </c>
      <c r="H1550" s="239" t="s">
        <v>3403</v>
      </c>
      <c r="I1550" s="217"/>
      <c r="J1550" s="217"/>
      <c r="K1550" s="217"/>
      <c r="L1550" s="217"/>
      <c r="M1550" s="217"/>
      <c r="N1550" s="217"/>
      <c r="O1550" s="217"/>
      <c r="P1550" s="217"/>
    </row>
    <row r="1551" spans="1:16" s="219" customFormat="1" ht="45" hidden="1" x14ac:dyDescent="0.25">
      <c r="A1551" s="214"/>
      <c r="B1551" s="237">
        <v>1</v>
      </c>
      <c r="C1551" s="237">
        <v>3</v>
      </c>
      <c r="D1551" s="238" t="s">
        <v>2022</v>
      </c>
      <c r="E1551" s="238" t="s">
        <v>1847</v>
      </c>
      <c r="F1551" s="238" t="s">
        <v>1825</v>
      </c>
      <c r="G1551" s="238" t="s">
        <v>1019</v>
      </c>
      <c r="H1551" s="239" t="s">
        <v>3404</v>
      </c>
      <c r="I1551" s="217"/>
      <c r="J1551" s="217"/>
      <c r="K1551" s="217"/>
      <c r="L1551" s="217"/>
      <c r="M1551" s="217"/>
      <c r="N1551" s="217"/>
      <c r="O1551" s="217"/>
      <c r="P1551" s="217"/>
    </row>
    <row r="1552" spans="1:16" s="219" customFormat="1" ht="45" hidden="1" x14ac:dyDescent="0.25">
      <c r="A1552" s="214"/>
      <c r="B1552" s="237">
        <v>1</v>
      </c>
      <c r="C1552" s="237">
        <v>3</v>
      </c>
      <c r="D1552" s="238" t="s">
        <v>2022</v>
      </c>
      <c r="E1552" s="238" t="s">
        <v>1847</v>
      </c>
      <c r="F1552" s="238" t="s">
        <v>1825</v>
      </c>
      <c r="G1552" s="238" t="s">
        <v>1022</v>
      </c>
      <c r="H1552" s="239" t="s">
        <v>3405</v>
      </c>
      <c r="I1552" s="217"/>
      <c r="J1552" s="217"/>
      <c r="K1552" s="217"/>
      <c r="L1552" s="217"/>
      <c r="M1552" s="217"/>
      <c r="N1552" s="217"/>
      <c r="O1552" s="217"/>
      <c r="P1552" s="217"/>
    </row>
    <row r="1553" spans="1:16" s="219" customFormat="1" ht="45" hidden="1" x14ac:dyDescent="0.25">
      <c r="A1553" s="214"/>
      <c r="B1553" s="237">
        <v>1</v>
      </c>
      <c r="C1553" s="237">
        <v>3</v>
      </c>
      <c r="D1553" s="238" t="s">
        <v>2022</v>
      </c>
      <c r="E1553" s="238" t="s">
        <v>1847</v>
      </c>
      <c r="F1553" s="238" t="s">
        <v>1825</v>
      </c>
      <c r="G1553" s="238" t="s">
        <v>1024</v>
      </c>
      <c r="H1553" s="239" t="s">
        <v>3406</v>
      </c>
      <c r="I1553" s="217"/>
      <c r="J1553" s="217"/>
      <c r="K1553" s="217"/>
      <c r="L1553" s="217"/>
      <c r="M1553" s="217"/>
      <c r="N1553" s="217"/>
      <c r="O1553" s="217"/>
      <c r="P1553" s="217"/>
    </row>
    <row r="1554" spans="1:16" s="219" customFormat="1" ht="60" hidden="1" x14ac:dyDescent="0.25">
      <c r="A1554" s="214"/>
      <c r="B1554" s="237">
        <v>1</v>
      </c>
      <c r="C1554" s="237">
        <v>3</v>
      </c>
      <c r="D1554" s="238" t="s">
        <v>2022</v>
      </c>
      <c r="E1554" s="238" t="s">
        <v>1847</v>
      </c>
      <c r="F1554" s="238" t="s">
        <v>1825</v>
      </c>
      <c r="G1554" s="238" t="s">
        <v>1026</v>
      </c>
      <c r="H1554" s="239" t="s">
        <v>3407</v>
      </c>
      <c r="I1554" s="217"/>
      <c r="J1554" s="217"/>
      <c r="K1554" s="217"/>
      <c r="L1554" s="217"/>
      <c r="M1554" s="217"/>
      <c r="N1554" s="217"/>
      <c r="O1554" s="217"/>
      <c r="P1554" s="217"/>
    </row>
    <row r="1555" spans="1:16" s="219" customFormat="1" ht="45" hidden="1" x14ac:dyDescent="0.25">
      <c r="A1555" s="214"/>
      <c r="B1555" s="237">
        <v>1</v>
      </c>
      <c r="C1555" s="237">
        <v>3</v>
      </c>
      <c r="D1555" s="238" t="s">
        <v>2022</v>
      </c>
      <c r="E1555" s="238" t="s">
        <v>1847</v>
      </c>
      <c r="F1555" s="238" t="s">
        <v>1825</v>
      </c>
      <c r="G1555" s="238" t="s">
        <v>416</v>
      </c>
      <c r="H1555" s="239" t="s">
        <v>3408</v>
      </c>
      <c r="I1555" s="217"/>
      <c r="J1555" s="217"/>
      <c r="K1555" s="217"/>
      <c r="L1555" s="217"/>
      <c r="M1555" s="217"/>
      <c r="N1555" s="217"/>
      <c r="O1555" s="217"/>
      <c r="P1555" s="217"/>
    </row>
    <row r="1556" spans="1:16" s="219" customFormat="1" ht="45" hidden="1" x14ac:dyDescent="0.25">
      <c r="A1556" s="214"/>
      <c r="B1556" s="237">
        <v>1</v>
      </c>
      <c r="C1556" s="237">
        <v>3</v>
      </c>
      <c r="D1556" s="238" t="s">
        <v>2022</v>
      </c>
      <c r="E1556" s="238" t="s">
        <v>1847</v>
      </c>
      <c r="F1556" s="238" t="s">
        <v>1825</v>
      </c>
      <c r="G1556" s="238" t="s">
        <v>417</v>
      </c>
      <c r="H1556" s="239" t="s">
        <v>3409</v>
      </c>
      <c r="I1556" s="217"/>
      <c r="J1556" s="217"/>
      <c r="K1556" s="217"/>
      <c r="L1556" s="217"/>
      <c r="M1556" s="217"/>
      <c r="N1556" s="217"/>
      <c r="O1556" s="217"/>
      <c r="P1556" s="217"/>
    </row>
    <row r="1557" spans="1:16" s="219" customFormat="1" ht="45" hidden="1" x14ac:dyDescent="0.25">
      <c r="A1557" s="214"/>
      <c r="B1557" s="237">
        <v>1</v>
      </c>
      <c r="C1557" s="237">
        <v>3</v>
      </c>
      <c r="D1557" s="238" t="s">
        <v>2022</v>
      </c>
      <c r="E1557" s="238" t="s">
        <v>1847</v>
      </c>
      <c r="F1557" s="238" t="s">
        <v>1825</v>
      </c>
      <c r="G1557" s="238" t="s">
        <v>1028</v>
      </c>
      <c r="H1557" s="239" t="s">
        <v>3410</v>
      </c>
      <c r="I1557" s="217"/>
      <c r="J1557" s="217"/>
      <c r="K1557" s="217"/>
      <c r="L1557" s="217"/>
      <c r="M1557" s="217"/>
      <c r="N1557" s="217"/>
      <c r="O1557" s="217"/>
      <c r="P1557" s="217"/>
    </row>
    <row r="1558" spans="1:16" s="219" customFormat="1" ht="60" hidden="1" x14ac:dyDescent="0.25">
      <c r="A1558" s="214"/>
      <c r="B1558" s="237">
        <v>1</v>
      </c>
      <c r="C1558" s="237">
        <v>3</v>
      </c>
      <c r="D1558" s="238" t="s">
        <v>2022</v>
      </c>
      <c r="E1558" s="238" t="s">
        <v>1847</v>
      </c>
      <c r="F1558" s="238" t="s">
        <v>1825</v>
      </c>
      <c r="G1558" s="238" t="s">
        <v>1029</v>
      </c>
      <c r="H1558" s="239" t="s">
        <v>3411</v>
      </c>
      <c r="I1558" s="217"/>
      <c r="J1558" s="217"/>
      <c r="K1558" s="217"/>
      <c r="L1558" s="217"/>
      <c r="M1558" s="217"/>
      <c r="N1558" s="217"/>
      <c r="O1558" s="217"/>
      <c r="P1558" s="217"/>
    </row>
    <row r="1559" spans="1:16" s="213" customFormat="1" ht="30" hidden="1" x14ac:dyDescent="0.25">
      <c r="A1559" s="208" t="s">
        <v>263</v>
      </c>
      <c r="B1559" s="234">
        <v>1</v>
      </c>
      <c r="C1559" s="234">
        <v>3</v>
      </c>
      <c r="D1559" s="235" t="s">
        <v>2022</v>
      </c>
      <c r="E1559" s="235" t="s">
        <v>1847</v>
      </c>
      <c r="F1559" s="235" t="s">
        <v>1836</v>
      </c>
      <c r="G1559" s="234"/>
      <c r="H1559" s="236" t="s">
        <v>3412</v>
      </c>
      <c r="I1559" s="211">
        <f>SUM(I1560:I1563)</f>
        <v>0</v>
      </c>
      <c r="J1559" s="211">
        <f t="shared" ref="J1559:P1559" si="175">SUM(J1560:J1563)</f>
        <v>0</v>
      </c>
      <c r="K1559" s="211">
        <f t="shared" si="175"/>
        <v>0</v>
      </c>
      <c r="L1559" s="211">
        <f t="shared" si="175"/>
        <v>0</v>
      </c>
      <c r="M1559" s="211">
        <f t="shared" si="175"/>
        <v>0</v>
      </c>
      <c r="N1559" s="211">
        <f t="shared" si="175"/>
        <v>0</v>
      </c>
      <c r="O1559" s="211">
        <f t="shared" si="175"/>
        <v>0</v>
      </c>
      <c r="P1559" s="211">
        <f t="shared" si="175"/>
        <v>0</v>
      </c>
    </row>
    <row r="1560" spans="1:16" s="219" customFormat="1" ht="45" hidden="1" x14ac:dyDescent="0.25">
      <c r="A1560" s="214"/>
      <c r="B1560" s="237">
        <v>1</v>
      </c>
      <c r="C1560" s="237">
        <v>3</v>
      </c>
      <c r="D1560" s="238" t="s">
        <v>2022</v>
      </c>
      <c r="E1560" s="238" t="s">
        <v>1847</v>
      </c>
      <c r="F1560" s="238" t="s">
        <v>1836</v>
      </c>
      <c r="G1560" s="238" t="s">
        <v>58</v>
      </c>
      <c r="H1560" s="239" t="s">
        <v>3413</v>
      </c>
      <c r="I1560" s="217"/>
      <c r="J1560" s="217"/>
      <c r="K1560" s="217"/>
      <c r="L1560" s="217"/>
      <c r="M1560" s="217"/>
      <c r="N1560" s="217"/>
      <c r="O1560" s="217"/>
      <c r="P1560" s="217"/>
    </row>
    <row r="1561" spans="1:16" s="219" customFormat="1" ht="45" hidden="1" x14ac:dyDescent="0.25">
      <c r="A1561" s="214"/>
      <c r="B1561" s="237">
        <v>1</v>
      </c>
      <c r="C1561" s="237">
        <v>3</v>
      </c>
      <c r="D1561" s="238" t="s">
        <v>2022</v>
      </c>
      <c r="E1561" s="238" t="s">
        <v>1847</v>
      </c>
      <c r="F1561" s="238" t="s">
        <v>1836</v>
      </c>
      <c r="G1561" s="238" t="s">
        <v>75</v>
      </c>
      <c r="H1561" s="239" t="s">
        <v>3414</v>
      </c>
      <c r="I1561" s="217"/>
      <c r="J1561" s="217"/>
      <c r="K1561" s="217"/>
      <c r="L1561" s="217"/>
      <c r="M1561" s="217"/>
      <c r="N1561" s="217"/>
      <c r="O1561" s="217"/>
      <c r="P1561" s="217"/>
    </row>
    <row r="1562" spans="1:16" s="219" customFormat="1" ht="45" hidden="1" x14ac:dyDescent="0.25">
      <c r="A1562" s="214"/>
      <c r="B1562" s="237">
        <v>1</v>
      </c>
      <c r="C1562" s="237">
        <v>3</v>
      </c>
      <c r="D1562" s="238" t="s">
        <v>2022</v>
      </c>
      <c r="E1562" s="238" t="s">
        <v>1847</v>
      </c>
      <c r="F1562" s="238" t="s">
        <v>1836</v>
      </c>
      <c r="G1562" s="238" t="s">
        <v>79</v>
      </c>
      <c r="H1562" s="239" t="s">
        <v>3415</v>
      </c>
      <c r="I1562" s="217"/>
      <c r="J1562" s="217"/>
      <c r="K1562" s="217"/>
      <c r="L1562" s="217"/>
      <c r="M1562" s="217"/>
      <c r="N1562" s="217"/>
      <c r="O1562" s="217"/>
      <c r="P1562" s="217"/>
    </row>
    <row r="1563" spans="1:16" s="219" customFormat="1" ht="60" hidden="1" x14ac:dyDescent="0.25">
      <c r="A1563" s="214"/>
      <c r="B1563" s="237">
        <v>1</v>
      </c>
      <c r="C1563" s="237">
        <v>3</v>
      </c>
      <c r="D1563" s="238" t="s">
        <v>2022</v>
      </c>
      <c r="E1563" s="238" t="s">
        <v>1847</v>
      </c>
      <c r="F1563" s="238" t="s">
        <v>1836</v>
      </c>
      <c r="G1563" s="238" t="s">
        <v>84</v>
      </c>
      <c r="H1563" s="239" t="s">
        <v>3416</v>
      </c>
      <c r="I1563" s="217"/>
      <c r="J1563" s="217"/>
      <c r="K1563" s="217"/>
      <c r="L1563" s="217"/>
      <c r="M1563" s="217"/>
      <c r="N1563" s="217"/>
      <c r="O1563" s="217"/>
      <c r="P1563" s="217"/>
    </row>
    <row r="1564" spans="1:16" s="213" customFormat="1" ht="30" hidden="1" x14ac:dyDescent="0.25">
      <c r="A1564" s="208"/>
      <c r="B1564" s="234">
        <v>1</v>
      </c>
      <c r="C1564" s="234">
        <v>3</v>
      </c>
      <c r="D1564" s="235" t="s">
        <v>2022</v>
      </c>
      <c r="E1564" s="235" t="s">
        <v>1847</v>
      </c>
      <c r="F1564" s="235" t="s">
        <v>1847</v>
      </c>
      <c r="G1564" s="234"/>
      <c r="H1564" s="236" t="s">
        <v>3417</v>
      </c>
      <c r="I1564" s="211">
        <f>SUM(I1565:I1569)</f>
        <v>0</v>
      </c>
      <c r="J1564" s="211">
        <f t="shared" ref="J1564:P1564" si="176">SUM(J1565:J1569)</f>
        <v>0</v>
      </c>
      <c r="K1564" s="211">
        <f t="shared" si="176"/>
        <v>0</v>
      </c>
      <c r="L1564" s="211">
        <f t="shared" si="176"/>
        <v>0</v>
      </c>
      <c r="M1564" s="211">
        <f t="shared" si="176"/>
        <v>0</v>
      </c>
      <c r="N1564" s="211">
        <f t="shared" si="176"/>
        <v>0</v>
      </c>
      <c r="O1564" s="211">
        <f t="shared" si="176"/>
        <v>0</v>
      </c>
      <c r="P1564" s="211">
        <f t="shared" si="176"/>
        <v>0</v>
      </c>
    </row>
    <row r="1565" spans="1:16" s="219" customFormat="1" ht="60" hidden="1" x14ac:dyDescent="0.25">
      <c r="A1565" s="214"/>
      <c r="B1565" s="237">
        <v>1</v>
      </c>
      <c r="C1565" s="237">
        <v>3</v>
      </c>
      <c r="D1565" s="238" t="s">
        <v>2022</v>
      </c>
      <c r="E1565" s="238" t="s">
        <v>1847</v>
      </c>
      <c r="F1565" s="238" t="s">
        <v>1847</v>
      </c>
      <c r="G1565" s="238" t="s">
        <v>58</v>
      </c>
      <c r="H1565" s="239" t="s">
        <v>3418</v>
      </c>
      <c r="I1565" s="217"/>
      <c r="J1565" s="217"/>
      <c r="K1565" s="217"/>
      <c r="L1565" s="217"/>
      <c r="M1565" s="217"/>
      <c r="N1565" s="217"/>
      <c r="O1565" s="217"/>
      <c r="P1565" s="217"/>
    </row>
    <row r="1566" spans="1:16" s="219" customFormat="1" ht="60" hidden="1" x14ac:dyDescent="0.25">
      <c r="A1566" s="214"/>
      <c r="B1566" s="237">
        <v>1</v>
      </c>
      <c r="C1566" s="237">
        <v>3</v>
      </c>
      <c r="D1566" s="238" t="s">
        <v>2022</v>
      </c>
      <c r="E1566" s="238" t="s">
        <v>1847</v>
      </c>
      <c r="F1566" s="238" t="s">
        <v>1847</v>
      </c>
      <c r="G1566" s="238" t="s">
        <v>75</v>
      </c>
      <c r="H1566" s="239" t="s">
        <v>3419</v>
      </c>
      <c r="I1566" s="217"/>
      <c r="J1566" s="217"/>
      <c r="K1566" s="217"/>
      <c r="L1566" s="217"/>
      <c r="M1566" s="217"/>
      <c r="N1566" s="217"/>
      <c r="O1566" s="217"/>
      <c r="P1566" s="217"/>
    </row>
    <row r="1567" spans="1:16" s="219" customFormat="1" ht="45" hidden="1" x14ac:dyDescent="0.25">
      <c r="A1567" s="214"/>
      <c r="B1567" s="237">
        <v>1</v>
      </c>
      <c r="C1567" s="237">
        <v>3</v>
      </c>
      <c r="D1567" s="238" t="s">
        <v>2022</v>
      </c>
      <c r="E1567" s="238" t="s">
        <v>1847</v>
      </c>
      <c r="F1567" s="238" t="s">
        <v>1847</v>
      </c>
      <c r="G1567" s="238" t="s">
        <v>79</v>
      </c>
      <c r="H1567" s="239" t="s">
        <v>3420</v>
      </c>
      <c r="I1567" s="217"/>
      <c r="J1567" s="217"/>
      <c r="K1567" s="217"/>
      <c r="L1567" s="217"/>
      <c r="M1567" s="217"/>
      <c r="N1567" s="217"/>
      <c r="O1567" s="217"/>
      <c r="P1567" s="217"/>
    </row>
    <row r="1568" spans="1:16" s="219" customFormat="1" ht="45" hidden="1" x14ac:dyDescent="0.25">
      <c r="A1568" s="214"/>
      <c r="B1568" s="237">
        <v>1</v>
      </c>
      <c r="C1568" s="237">
        <v>3</v>
      </c>
      <c r="D1568" s="238" t="s">
        <v>2022</v>
      </c>
      <c r="E1568" s="238" t="s">
        <v>1847</v>
      </c>
      <c r="F1568" s="238" t="s">
        <v>1847</v>
      </c>
      <c r="G1568" s="238" t="s">
        <v>84</v>
      </c>
      <c r="H1568" s="239" t="s">
        <v>3421</v>
      </c>
      <c r="I1568" s="217"/>
      <c r="J1568" s="217"/>
      <c r="K1568" s="217"/>
      <c r="L1568" s="217"/>
      <c r="M1568" s="217"/>
      <c r="N1568" s="217"/>
      <c r="O1568" s="217"/>
      <c r="P1568" s="217"/>
    </row>
    <row r="1569" spans="1:16" s="219" customFormat="1" ht="60" hidden="1" x14ac:dyDescent="0.25">
      <c r="A1569" s="214"/>
      <c r="B1569" s="237">
        <v>1</v>
      </c>
      <c r="C1569" s="237">
        <v>3</v>
      </c>
      <c r="D1569" s="238" t="s">
        <v>2022</v>
      </c>
      <c r="E1569" s="238" t="s">
        <v>1847</v>
      </c>
      <c r="F1569" s="238" t="s">
        <v>1847</v>
      </c>
      <c r="G1569" s="238" t="s">
        <v>88</v>
      </c>
      <c r="H1569" s="239" t="s">
        <v>3422</v>
      </c>
      <c r="I1569" s="217"/>
      <c r="J1569" s="217"/>
      <c r="K1569" s="217"/>
      <c r="L1569" s="217"/>
      <c r="M1569" s="217"/>
      <c r="N1569" s="217"/>
      <c r="O1569" s="217"/>
      <c r="P1569" s="217"/>
    </row>
    <row r="1570" spans="1:16" s="213" customFormat="1" ht="30" hidden="1" x14ac:dyDescent="0.25">
      <c r="A1570" s="208"/>
      <c r="B1570" s="234">
        <v>1</v>
      </c>
      <c r="C1570" s="234">
        <v>3</v>
      </c>
      <c r="D1570" s="235" t="s">
        <v>2022</v>
      </c>
      <c r="E1570" s="235" t="s">
        <v>1847</v>
      </c>
      <c r="F1570" s="235" t="s">
        <v>1928</v>
      </c>
      <c r="G1570" s="234"/>
      <c r="H1570" s="236" t="s">
        <v>3423</v>
      </c>
      <c r="I1570" s="211">
        <f>SUM(I1571:I1575)</f>
        <v>0</v>
      </c>
      <c r="J1570" s="211">
        <f t="shared" ref="J1570:P1570" si="177">SUM(J1571:J1575)</f>
        <v>0</v>
      </c>
      <c r="K1570" s="211">
        <f t="shared" si="177"/>
        <v>0</v>
      </c>
      <c r="L1570" s="211">
        <f t="shared" si="177"/>
        <v>0</v>
      </c>
      <c r="M1570" s="211">
        <f t="shared" si="177"/>
        <v>0</v>
      </c>
      <c r="N1570" s="211">
        <f t="shared" si="177"/>
        <v>0</v>
      </c>
      <c r="O1570" s="211">
        <f t="shared" si="177"/>
        <v>0</v>
      </c>
      <c r="P1570" s="211">
        <f t="shared" si="177"/>
        <v>0</v>
      </c>
    </row>
    <row r="1571" spans="1:16" s="219" customFormat="1" ht="45" hidden="1" x14ac:dyDescent="0.25">
      <c r="A1571" s="214"/>
      <c r="B1571" s="237">
        <v>1</v>
      </c>
      <c r="C1571" s="237">
        <v>3</v>
      </c>
      <c r="D1571" s="238" t="s">
        <v>2022</v>
      </c>
      <c r="E1571" s="238" t="s">
        <v>1847</v>
      </c>
      <c r="F1571" s="238" t="s">
        <v>1928</v>
      </c>
      <c r="G1571" s="238" t="s">
        <v>58</v>
      </c>
      <c r="H1571" s="239" t="s">
        <v>3424</v>
      </c>
      <c r="I1571" s="217"/>
      <c r="J1571" s="217"/>
      <c r="K1571" s="217"/>
      <c r="L1571" s="217"/>
      <c r="M1571" s="217"/>
      <c r="N1571" s="217"/>
      <c r="O1571" s="217"/>
      <c r="P1571" s="217"/>
    </row>
    <row r="1572" spans="1:16" s="219" customFormat="1" ht="45" hidden="1" x14ac:dyDescent="0.25">
      <c r="A1572" s="214"/>
      <c r="B1572" s="237">
        <v>1</v>
      </c>
      <c r="C1572" s="237">
        <v>3</v>
      </c>
      <c r="D1572" s="238" t="s">
        <v>2022</v>
      </c>
      <c r="E1572" s="238" t="s">
        <v>1847</v>
      </c>
      <c r="F1572" s="238" t="s">
        <v>1928</v>
      </c>
      <c r="G1572" s="238" t="s">
        <v>75</v>
      </c>
      <c r="H1572" s="239" t="s">
        <v>3425</v>
      </c>
      <c r="I1572" s="217"/>
      <c r="J1572" s="217"/>
      <c r="K1572" s="217"/>
      <c r="L1572" s="217"/>
      <c r="M1572" s="217"/>
      <c r="N1572" s="217"/>
      <c r="O1572" s="217"/>
      <c r="P1572" s="217"/>
    </row>
    <row r="1573" spans="1:16" s="219" customFormat="1" ht="45" hidden="1" x14ac:dyDescent="0.25">
      <c r="A1573" s="214"/>
      <c r="B1573" s="237">
        <v>1</v>
      </c>
      <c r="C1573" s="237">
        <v>3</v>
      </c>
      <c r="D1573" s="238" t="s">
        <v>2022</v>
      </c>
      <c r="E1573" s="238" t="s">
        <v>1847</v>
      </c>
      <c r="F1573" s="238" t="s">
        <v>1928</v>
      </c>
      <c r="G1573" s="238" t="s">
        <v>79</v>
      </c>
      <c r="H1573" s="239" t="s">
        <v>3426</v>
      </c>
      <c r="I1573" s="217"/>
      <c r="J1573" s="217"/>
      <c r="K1573" s="217"/>
      <c r="L1573" s="217"/>
      <c r="M1573" s="217"/>
      <c r="N1573" s="217"/>
      <c r="O1573" s="217"/>
      <c r="P1573" s="217"/>
    </row>
    <row r="1574" spans="1:16" s="219" customFormat="1" ht="30" hidden="1" x14ac:dyDescent="0.25">
      <c r="A1574" s="214"/>
      <c r="B1574" s="237">
        <v>1</v>
      </c>
      <c r="C1574" s="237">
        <v>3</v>
      </c>
      <c r="D1574" s="238" t="s">
        <v>2022</v>
      </c>
      <c r="E1574" s="238" t="s">
        <v>1847</v>
      </c>
      <c r="F1574" s="238" t="s">
        <v>1928</v>
      </c>
      <c r="G1574" s="238" t="s">
        <v>84</v>
      </c>
      <c r="H1574" s="239" t="s">
        <v>3427</v>
      </c>
      <c r="I1574" s="217"/>
      <c r="J1574" s="217"/>
      <c r="K1574" s="217"/>
      <c r="L1574" s="217"/>
      <c r="M1574" s="217"/>
      <c r="N1574" s="217"/>
      <c r="O1574" s="217"/>
      <c r="P1574" s="217"/>
    </row>
    <row r="1575" spans="1:16" s="219" customFormat="1" ht="45" hidden="1" x14ac:dyDescent="0.25">
      <c r="A1575" s="214"/>
      <c r="B1575" s="237">
        <v>1</v>
      </c>
      <c r="C1575" s="237">
        <v>3</v>
      </c>
      <c r="D1575" s="238" t="s">
        <v>2022</v>
      </c>
      <c r="E1575" s="238" t="s">
        <v>1847</v>
      </c>
      <c r="F1575" s="238" t="s">
        <v>1928</v>
      </c>
      <c r="G1575" s="238" t="s">
        <v>88</v>
      </c>
      <c r="H1575" s="239" t="s">
        <v>3428</v>
      </c>
      <c r="I1575" s="217"/>
      <c r="J1575" s="217"/>
      <c r="K1575" s="217"/>
      <c r="L1575" s="217"/>
      <c r="M1575" s="217"/>
      <c r="N1575" s="217"/>
      <c r="O1575" s="217"/>
      <c r="P1575" s="217"/>
    </row>
    <row r="1576" spans="1:16" s="213" customFormat="1" ht="30" hidden="1" x14ac:dyDescent="0.25">
      <c r="A1576" s="208" t="s">
        <v>1984</v>
      </c>
      <c r="B1576" s="234">
        <v>1</v>
      </c>
      <c r="C1576" s="234">
        <v>3</v>
      </c>
      <c r="D1576" s="235" t="s">
        <v>2022</v>
      </c>
      <c r="E1576" s="235" t="s">
        <v>1928</v>
      </c>
      <c r="F1576" s="234"/>
      <c r="G1576" s="234"/>
      <c r="H1576" s="236" t="s">
        <v>3429</v>
      </c>
      <c r="I1576" s="211">
        <f>SUM(I1577+I1601+I1653+I1698)</f>
        <v>0</v>
      </c>
      <c r="J1576" s="211">
        <f t="shared" ref="J1576:P1576" si="178">SUM(J1577+J1601+J1653+J1698)</f>
        <v>0</v>
      </c>
      <c r="K1576" s="211">
        <f t="shared" si="178"/>
        <v>0</v>
      </c>
      <c r="L1576" s="211">
        <f t="shared" si="178"/>
        <v>0</v>
      </c>
      <c r="M1576" s="211">
        <f t="shared" si="178"/>
        <v>0</v>
      </c>
      <c r="N1576" s="211">
        <f t="shared" si="178"/>
        <v>0</v>
      </c>
      <c r="O1576" s="211">
        <f t="shared" si="178"/>
        <v>0</v>
      </c>
      <c r="P1576" s="211">
        <f t="shared" si="178"/>
        <v>0</v>
      </c>
    </row>
    <row r="1577" spans="1:16" s="213" customFormat="1" ht="30" hidden="1" x14ac:dyDescent="0.25">
      <c r="A1577" s="208" t="s">
        <v>263</v>
      </c>
      <c r="B1577" s="234">
        <v>1</v>
      </c>
      <c r="C1577" s="234">
        <v>3</v>
      </c>
      <c r="D1577" s="235" t="s">
        <v>2022</v>
      </c>
      <c r="E1577" s="235" t="s">
        <v>1928</v>
      </c>
      <c r="F1577" s="235" t="s">
        <v>1825</v>
      </c>
      <c r="G1577" s="234"/>
      <c r="H1577" s="236" t="s">
        <v>3430</v>
      </c>
      <c r="I1577" s="211">
        <f>SUM(I1578:I1600)</f>
        <v>0</v>
      </c>
      <c r="J1577" s="211">
        <f t="shared" ref="J1577:P1577" si="179">SUM(J1578:J1600)</f>
        <v>0</v>
      </c>
      <c r="K1577" s="211">
        <f t="shared" si="179"/>
        <v>0</v>
      </c>
      <c r="L1577" s="211">
        <f t="shared" si="179"/>
        <v>0</v>
      </c>
      <c r="M1577" s="211">
        <f t="shared" si="179"/>
        <v>0</v>
      </c>
      <c r="N1577" s="211">
        <f t="shared" si="179"/>
        <v>0</v>
      </c>
      <c r="O1577" s="211">
        <f t="shared" si="179"/>
        <v>0</v>
      </c>
      <c r="P1577" s="211">
        <f t="shared" si="179"/>
        <v>0</v>
      </c>
    </row>
    <row r="1578" spans="1:16" s="219" customFormat="1" ht="30" hidden="1" x14ac:dyDescent="0.25">
      <c r="A1578" s="214"/>
      <c r="B1578" s="237">
        <v>1</v>
      </c>
      <c r="C1578" s="237">
        <v>3</v>
      </c>
      <c r="D1578" s="238" t="s">
        <v>2022</v>
      </c>
      <c r="E1578" s="238" t="s">
        <v>1928</v>
      </c>
      <c r="F1578" s="238" t="s">
        <v>1825</v>
      </c>
      <c r="G1578" s="238" t="s">
        <v>58</v>
      </c>
      <c r="H1578" s="239" t="s">
        <v>3431</v>
      </c>
      <c r="I1578" s="217"/>
      <c r="J1578" s="217"/>
      <c r="K1578" s="217"/>
      <c r="L1578" s="217"/>
      <c r="M1578" s="217"/>
      <c r="N1578" s="217"/>
      <c r="O1578" s="217"/>
      <c r="P1578" s="217"/>
    </row>
    <row r="1579" spans="1:16" s="219" customFormat="1" ht="30" hidden="1" x14ac:dyDescent="0.25">
      <c r="A1579" s="214"/>
      <c r="B1579" s="237">
        <v>1</v>
      </c>
      <c r="C1579" s="237">
        <v>3</v>
      </c>
      <c r="D1579" s="238" t="s">
        <v>2022</v>
      </c>
      <c r="E1579" s="238" t="s">
        <v>1928</v>
      </c>
      <c r="F1579" s="238" t="s">
        <v>1825</v>
      </c>
      <c r="G1579" s="238" t="s">
        <v>75</v>
      </c>
      <c r="H1579" s="239" t="s">
        <v>3432</v>
      </c>
      <c r="I1579" s="217"/>
      <c r="J1579" s="217"/>
      <c r="K1579" s="217"/>
      <c r="L1579" s="217"/>
      <c r="M1579" s="217"/>
      <c r="N1579" s="217"/>
      <c r="O1579" s="217"/>
      <c r="P1579" s="217"/>
    </row>
    <row r="1580" spans="1:16" s="219" customFormat="1" ht="30" hidden="1" x14ac:dyDescent="0.25">
      <c r="A1580" s="214"/>
      <c r="B1580" s="237">
        <v>1</v>
      </c>
      <c r="C1580" s="237">
        <v>3</v>
      </c>
      <c r="D1580" s="238" t="s">
        <v>2022</v>
      </c>
      <c r="E1580" s="238" t="s">
        <v>1928</v>
      </c>
      <c r="F1580" s="238" t="s">
        <v>1825</v>
      </c>
      <c r="G1580" s="238" t="s">
        <v>79</v>
      </c>
      <c r="H1580" s="239" t="s">
        <v>3433</v>
      </c>
      <c r="I1580" s="217"/>
      <c r="J1580" s="217"/>
      <c r="K1580" s="217"/>
      <c r="L1580" s="217"/>
      <c r="M1580" s="217"/>
      <c r="N1580" s="217"/>
      <c r="O1580" s="217"/>
      <c r="P1580" s="217"/>
    </row>
    <row r="1581" spans="1:16" s="219" customFormat="1" ht="30" hidden="1" x14ac:dyDescent="0.25">
      <c r="A1581" s="214"/>
      <c r="B1581" s="237">
        <v>1</v>
      </c>
      <c r="C1581" s="237">
        <v>3</v>
      </c>
      <c r="D1581" s="238" t="s">
        <v>2022</v>
      </c>
      <c r="E1581" s="238" t="s">
        <v>1928</v>
      </c>
      <c r="F1581" s="238" t="s">
        <v>1825</v>
      </c>
      <c r="G1581" s="238" t="s">
        <v>84</v>
      </c>
      <c r="H1581" s="239" t="s">
        <v>3434</v>
      </c>
      <c r="I1581" s="217"/>
      <c r="J1581" s="217"/>
      <c r="K1581" s="217"/>
      <c r="L1581" s="217"/>
      <c r="M1581" s="217"/>
      <c r="N1581" s="217"/>
      <c r="O1581" s="217"/>
      <c r="P1581" s="217"/>
    </row>
    <row r="1582" spans="1:16" s="219" customFormat="1" ht="30" hidden="1" x14ac:dyDescent="0.25">
      <c r="A1582" s="214"/>
      <c r="B1582" s="237">
        <v>1</v>
      </c>
      <c r="C1582" s="237">
        <v>3</v>
      </c>
      <c r="D1582" s="238" t="s">
        <v>2022</v>
      </c>
      <c r="E1582" s="238" t="s">
        <v>1928</v>
      </c>
      <c r="F1582" s="238" t="s">
        <v>1825</v>
      </c>
      <c r="G1582" s="238" t="s">
        <v>88</v>
      </c>
      <c r="H1582" s="239" t="s">
        <v>3435</v>
      </c>
      <c r="I1582" s="217"/>
      <c r="J1582" s="217"/>
      <c r="K1582" s="217"/>
      <c r="L1582" s="217"/>
      <c r="M1582" s="217"/>
      <c r="N1582" s="217"/>
      <c r="O1582" s="217"/>
      <c r="P1582" s="217"/>
    </row>
    <row r="1583" spans="1:16" s="219" customFormat="1" ht="30" hidden="1" x14ac:dyDescent="0.25">
      <c r="A1583" s="214"/>
      <c r="B1583" s="237">
        <v>1</v>
      </c>
      <c r="C1583" s="237">
        <v>3</v>
      </c>
      <c r="D1583" s="238" t="s">
        <v>2022</v>
      </c>
      <c r="E1583" s="238" t="s">
        <v>1928</v>
      </c>
      <c r="F1583" s="238" t="s">
        <v>1825</v>
      </c>
      <c r="G1583" s="238" t="s">
        <v>92</v>
      </c>
      <c r="H1583" s="239" t="s">
        <v>3436</v>
      </c>
      <c r="I1583" s="217"/>
      <c r="J1583" s="217"/>
      <c r="K1583" s="217"/>
      <c r="L1583" s="217"/>
      <c r="M1583" s="217"/>
      <c r="N1583" s="217"/>
      <c r="O1583" s="217"/>
      <c r="P1583" s="217"/>
    </row>
    <row r="1584" spans="1:16" s="219" customFormat="1" ht="30" hidden="1" x14ac:dyDescent="0.25">
      <c r="A1584" s="214"/>
      <c r="B1584" s="237">
        <v>1</v>
      </c>
      <c r="C1584" s="237">
        <v>3</v>
      </c>
      <c r="D1584" s="238" t="s">
        <v>2022</v>
      </c>
      <c r="E1584" s="238" t="s">
        <v>1928</v>
      </c>
      <c r="F1584" s="238" t="s">
        <v>1825</v>
      </c>
      <c r="G1584" s="238" t="s">
        <v>96</v>
      </c>
      <c r="H1584" s="239" t="s">
        <v>3437</v>
      </c>
      <c r="I1584" s="217"/>
      <c r="J1584" s="217"/>
      <c r="K1584" s="217"/>
      <c r="L1584" s="217"/>
      <c r="M1584" s="217"/>
      <c r="N1584" s="217"/>
      <c r="O1584" s="217"/>
      <c r="P1584" s="217"/>
    </row>
    <row r="1585" spans="1:16" s="219" customFormat="1" ht="30" hidden="1" x14ac:dyDescent="0.25">
      <c r="A1585" s="214"/>
      <c r="B1585" s="237">
        <v>1</v>
      </c>
      <c r="C1585" s="237">
        <v>3</v>
      </c>
      <c r="D1585" s="238" t="s">
        <v>2022</v>
      </c>
      <c r="E1585" s="238" t="s">
        <v>1928</v>
      </c>
      <c r="F1585" s="238" t="s">
        <v>1825</v>
      </c>
      <c r="G1585" s="238" t="s">
        <v>100</v>
      </c>
      <c r="H1585" s="239" t="s">
        <v>3438</v>
      </c>
      <c r="I1585" s="217"/>
      <c r="J1585" s="217"/>
      <c r="K1585" s="217"/>
      <c r="L1585" s="217"/>
      <c r="M1585" s="217"/>
      <c r="N1585" s="217"/>
      <c r="O1585" s="217"/>
      <c r="P1585" s="217"/>
    </row>
    <row r="1586" spans="1:16" s="219" customFormat="1" ht="30" hidden="1" x14ac:dyDescent="0.25">
      <c r="A1586" s="214"/>
      <c r="B1586" s="237">
        <v>1</v>
      </c>
      <c r="C1586" s="237">
        <v>3</v>
      </c>
      <c r="D1586" s="238" t="s">
        <v>2022</v>
      </c>
      <c r="E1586" s="238" t="s">
        <v>1928</v>
      </c>
      <c r="F1586" s="238" t="s">
        <v>1825</v>
      </c>
      <c r="G1586" s="238" t="s">
        <v>105</v>
      </c>
      <c r="H1586" s="239" t="s">
        <v>3439</v>
      </c>
      <c r="I1586" s="217"/>
      <c r="J1586" s="217"/>
      <c r="K1586" s="217"/>
      <c r="L1586" s="217"/>
      <c r="M1586" s="217"/>
      <c r="N1586" s="217"/>
      <c r="O1586" s="217"/>
      <c r="P1586" s="217"/>
    </row>
    <row r="1587" spans="1:16" s="219" customFormat="1" ht="30" hidden="1" x14ac:dyDescent="0.25">
      <c r="A1587" s="214"/>
      <c r="B1587" s="237">
        <v>1</v>
      </c>
      <c r="C1587" s="237">
        <v>3</v>
      </c>
      <c r="D1587" s="238" t="s">
        <v>2022</v>
      </c>
      <c r="E1587" s="238" t="s">
        <v>1928</v>
      </c>
      <c r="F1587" s="238" t="s">
        <v>1825</v>
      </c>
      <c r="G1587" s="238" t="s">
        <v>108</v>
      </c>
      <c r="H1587" s="239" t="s">
        <v>3440</v>
      </c>
      <c r="I1587" s="217"/>
      <c r="J1587" s="217"/>
      <c r="K1587" s="217"/>
      <c r="L1587" s="217"/>
      <c r="M1587" s="217"/>
      <c r="N1587" s="217"/>
      <c r="O1587" s="217"/>
      <c r="P1587" s="217"/>
    </row>
    <row r="1588" spans="1:16" s="219" customFormat="1" ht="45" hidden="1" x14ac:dyDescent="0.25">
      <c r="A1588" s="214"/>
      <c r="B1588" s="237">
        <v>1</v>
      </c>
      <c r="C1588" s="237">
        <v>3</v>
      </c>
      <c r="D1588" s="238" t="s">
        <v>2022</v>
      </c>
      <c r="E1588" s="238" t="s">
        <v>1928</v>
      </c>
      <c r="F1588" s="238" t="s">
        <v>1825</v>
      </c>
      <c r="G1588" s="238" t="s">
        <v>135</v>
      </c>
      <c r="H1588" s="239" t="s">
        <v>3441</v>
      </c>
      <c r="I1588" s="217"/>
      <c r="J1588" s="217"/>
      <c r="K1588" s="217"/>
      <c r="L1588" s="217"/>
      <c r="M1588" s="217"/>
      <c r="N1588" s="217"/>
      <c r="O1588" s="217"/>
      <c r="P1588" s="217"/>
    </row>
    <row r="1589" spans="1:16" s="219" customFormat="1" ht="45" hidden="1" x14ac:dyDescent="0.25">
      <c r="A1589" s="214"/>
      <c r="B1589" s="237">
        <v>1</v>
      </c>
      <c r="C1589" s="237">
        <v>3</v>
      </c>
      <c r="D1589" s="238" t="s">
        <v>2022</v>
      </c>
      <c r="E1589" s="238" t="s">
        <v>1928</v>
      </c>
      <c r="F1589" s="238" t="s">
        <v>1825</v>
      </c>
      <c r="G1589" s="238" t="s">
        <v>138</v>
      </c>
      <c r="H1589" s="239" t="s">
        <v>3442</v>
      </c>
      <c r="I1589" s="217"/>
      <c r="J1589" s="217"/>
      <c r="K1589" s="217"/>
      <c r="L1589" s="217"/>
      <c r="M1589" s="217"/>
      <c r="N1589" s="217"/>
      <c r="O1589" s="217"/>
      <c r="P1589" s="217"/>
    </row>
    <row r="1590" spans="1:16" s="219" customFormat="1" ht="45" hidden="1" x14ac:dyDescent="0.25">
      <c r="A1590" s="214"/>
      <c r="B1590" s="237">
        <v>1</v>
      </c>
      <c r="C1590" s="237">
        <v>3</v>
      </c>
      <c r="D1590" s="238" t="s">
        <v>2022</v>
      </c>
      <c r="E1590" s="238" t="s">
        <v>1928</v>
      </c>
      <c r="F1590" s="238" t="s">
        <v>1825</v>
      </c>
      <c r="G1590" s="238" t="s">
        <v>140</v>
      </c>
      <c r="H1590" s="239" t="s">
        <v>3443</v>
      </c>
      <c r="I1590" s="217"/>
      <c r="J1590" s="217"/>
      <c r="K1590" s="217"/>
      <c r="L1590" s="217"/>
      <c r="M1590" s="217"/>
      <c r="N1590" s="217"/>
      <c r="O1590" s="217"/>
      <c r="P1590" s="217"/>
    </row>
    <row r="1591" spans="1:16" s="219" customFormat="1" ht="30" hidden="1" x14ac:dyDescent="0.25">
      <c r="A1591" s="214"/>
      <c r="B1591" s="237">
        <v>1</v>
      </c>
      <c r="C1591" s="237">
        <v>3</v>
      </c>
      <c r="D1591" s="238" t="s">
        <v>2022</v>
      </c>
      <c r="E1591" s="238" t="s">
        <v>1928</v>
      </c>
      <c r="F1591" s="238" t="s">
        <v>1825</v>
      </c>
      <c r="G1591" s="238" t="s">
        <v>143</v>
      </c>
      <c r="H1591" s="239" t="s">
        <v>3444</v>
      </c>
      <c r="I1591" s="217"/>
      <c r="J1591" s="217"/>
      <c r="K1591" s="217"/>
      <c r="L1591" s="217"/>
      <c r="M1591" s="217"/>
      <c r="N1591" s="217"/>
      <c r="O1591" s="217"/>
      <c r="P1591" s="217"/>
    </row>
    <row r="1592" spans="1:16" s="219" customFormat="1" ht="30" hidden="1" x14ac:dyDescent="0.25">
      <c r="A1592" s="214"/>
      <c r="B1592" s="237">
        <v>1</v>
      </c>
      <c r="C1592" s="237">
        <v>3</v>
      </c>
      <c r="D1592" s="238" t="s">
        <v>2022</v>
      </c>
      <c r="E1592" s="238" t="s">
        <v>1928</v>
      </c>
      <c r="F1592" s="238" t="s">
        <v>1825</v>
      </c>
      <c r="G1592" s="238" t="s">
        <v>146</v>
      </c>
      <c r="H1592" s="239" t="s">
        <v>3445</v>
      </c>
      <c r="I1592" s="217"/>
      <c r="J1592" s="217"/>
      <c r="K1592" s="217"/>
      <c r="L1592" s="217"/>
      <c r="M1592" s="217"/>
      <c r="N1592" s="217"/>
      <c r="O1592" s="217"/>
      <c r="P1592" s="217"/>
    </row>
    <row r="1593" spans="1:16" s="219" customFormat="1" ht="30" hidden="1" x14ac:dyDescent="0.25">
      <c r="A1593" s="214"/>
      <c r="B1593" s="237">
        <v>1</v>
      </c>
      <c r="C1593" s="237">
        <v>3</v>
      </c>
      <c r="D1593" s="238" t="s">
        <v>2022</v>
      </c>
      <c r="E1593" s="238" t="s">
        <v>1928</v>
      </c>
      <c r="F1593" s="238" t="s">
        <v>1825</v>
      </c>
      <c r="G1593" s="238" t="s">
        <v>150</v>
      </c>
      <c r="H1593" s="239" t="s">
        <v>3446</v>
      </c>
      <c r="I1593" s="217"/>
      <c r="J1593" s="217"/>
      <c r="K1593" s="217"/>
      <c r="L1593" s="217"/>
      <c r="M1593" s="217"/>
      <c r="N1593" s="217"/>
      <c r="O1593" s="217"/>
      <c r="P1593" s="217"/>
    </row>
    <row r="1594" spans="1:16" s="219" customFormat="1" ht="45" hidden="1" x14ac:dyDescent="0.25">
      <c r="A1594" s="214"/>
      <c r="B1594" s="237">
        <v>1</v>
      </c>
      <c r="C1594" s="237">
        <v>3</v>
      </c>
      <c r="D1594" s="238" t="s">
        <v>2022</v>
      </c>
      <c r="E1594" s="238" t="s">
        <v>1928</v>
      </c>
      <c r="F1594" s="238" t="s">
        <v>1825</v>
      </c>
      <c r="G1594" s="238" t="s">
        <v>153</v>
      </c>
      <c r="H1594" s="239" t="s">
        <v>3447</v>
      </c>
      <c r="I1594" s="217"/>
      <c r="J1594" s="217"/>
      <c r="K1594" s="217"/>
      <c r="L1594" s="217"/>
      <c r="M1594" s="217"/>
      <c r="N1594" s="217"/>
      <c r="O1594" s="217"/>
      <c r="P1594" s="217"/>
    </row>
    <row r="1595" spans="1:16" s="219" customFormat="1" ht="45" hidden="1" x14ac:dyDescent="0.25">
      <c r="A1595" s="214"/>
      <c r="B1595" s="237">
        <v>1</v>
      </c>
      <c r="C1595" s="237">
        <v>3</v>
      </c>
      <c r="D1595" s="238" t="s">
        <v>2022</v>
      </c>
      <c r="E1595" s="238" t="s">
        <v>1928</v>
      </c>
      <c r="F1595" s="238" t="s">
        <v>1825</v>
      </c>
      <c r="G1595" s="238" t="s">
        <v>156</v>
      </c>
      <c r="H1595" s="239" t="s">
        <v>3448</v>
      </c>
      <c r="I1595" s="217"/>
      <c r="J1595" s="217"/>
      <c r="K1595" s="217"/>
      <c r="L1595" s="217"/>
      <c r="M1595" s="217"/>
      <c r="N1595" s="217"/>
      <c r="O1595" s="217"/>
      <c r="P1595" s="217"/>
    </row>
    <row r="1596" spans="1:16" s="219" customFormat="1" ht="45" hidden="1" x14ac:dyDescent="0.25">
      <c r="A1596" s="214"/>
      <c r="B1596" s="237">
        <v>1</v>
      </c>
      <c r="C1596" s="237">
        <v>3</v>
      </c>
      <c r="D1596" s="238" t="s">
        <v>2022</v>
      </c>
      <c r="E1596" s="238" t="s">
        <v>1928</v>
      </c>
      <c r="F1596" s="238" t="s">
        <v>1825</v>
      </c>
      <c r="G1596" s="238" t="s">
        <v>159</v>
      </c>
      <c r="H1596" s="239" t="s">
        <v>3449</v>
      </c>
      <c r="I1596" s="217"/>
      <c r="J1596" s="217"/>
      <c r="K1596" s="217"/>
      <c r="L1596" s="217"/>
      <c r="M1596" s="217"/>
      <c r="N1596" s="217"/>
      <c r="O1596" s="217"/>
      <c r="P1596" s="217"/>
    </row>
    <row r="1597" spans="1:16" s="219" customFormat="1" ht="30" hidden="1" x14ac:dyDescent="0.25">
      <c r="A1597" s="214"/>
      <c r="B1597" s="237">
        <v>1</v>
      </c>
      <c r="C1597" s="237">
        <v>3</v>
      </c>
      <c r="D1597" s="238" t="s">
        <v>2022</v>
      </c>
      <c r="E1597" s="238" t="s">
        <v>1928</v>
      </c>
      <c r="F1597" s="238" t="s">
        <v>1825</v>
      </c>
      <c r="G1597" s="238" t="s">
        <v>162</v>
      </c>
      <c r="H1597" s="239" t="s">
        <v>3450</v>
      </c>
      <c r="I1597" s="217"/>
      <c r="J1597" s="217"/>
      <c r="K1597" s="217"/>
      <c r="L1597" s="217"/>
      <c r="M1597" s="217"/>
      <c r="N1597" s="217"/>
      <c r="O1597" s="217"/>
      <c r="P1597" s="217"/>
    </row>
    <row r="1598" spans="1:16" s="219" customFormat="1" ht="45" hidden="1" x14ac:dyDescent="0.25">
      <c r="A1598" s="214"/>
      <c r="B1598" s="237">
        <v>1</v>
      </c>
      <c r="C1598" s="237">
        <v>3</v>
      </c>
      <c r="D1598" s="238" t="s">
        <v>2022</v>
      </c>
      <c r="E1598" s="238" t="s">
        <v>1928</v>
      </c>
      <c r="F1598" s="238" t="s">
        <v>1825</v>
      </c>
      <c r="G1598" s="238" t="s">
        <v>312</v>
      </c>
      <c r="H1598" s="239" t="s">
        <v>3451</v>
      </c>
      <c r="I1598" s="217"/>
      <c r="J1598" s="217"/>
      <c r="K1598" s="217"/>
      <c r="L1598" s="217"/>
      <c r="M1598" s="217"/>
      <c r="N1598" s="217"/>
      <c r="O1598" s="217"/>
      <c r="P1598" s="217"/>
    </row>
    <row r="1599" spans="1:16" s="219" customFormat="1" ht="30" hidden="1" x14ac:dyDescent="0.25">
      <c r="A1599" s="214"/>
      <c r="B1599" s="237">
        <v>1</v>
      </c>
      <c r="C1599" s="237">
        <v>3</v>
      </c>
      <c r="D1599" s="238" t="s">
        <v>2022</v>
      </c>
      <c r="E1599" s="238" t="s">
        <v>1928</v>
      </c>
      <c r="F1599" s="238" t="s">
        <v>1825</v>
      </c>
      <c r="G1599" s="238" t="s">
        <v>313</v>
      </c>
      <c r="H1599" s="239" t="s">
        <v>3452</v>
      </c>
      <c r="I1599" s="217"/>
      <c r="J1599" s="217"/>
      <c r="K1599" s="217"/>
      <c r="L1599" s="217"/>
      <c r="M1599" s="217"/>
      <c r="N1599" s="217"/>
      <c r="O1599" s="217"/>
      <c r="P1599" s="217"/>
    </row>
    <row r="1600" spans="1:16" s="219" customFormat="1" ht="30" hidden="1" x14ac:dyDescent="0.25">
      <c r="A1600" s="214"/>
      <c r="B1600" s="237">
        <v>1</v>
      </c>
      <c r="C1600" s="237">
        <v>3</v>
      </c>
      <c r="D1600" s="238" t="s">
        <v>2022</v>
      </c>
      <c r="E1600" s="238" t="s">
        <v>1928</v>
      </c>
      <c r="F1600" s="238" t="s">
        <v>1825</v>
      </c>
      <c r="G1600" s="238" t="s">
        <v>559</v>
      </c>
      <c r="H1600" s="239" t="s">
        <v>3453</v>
      </c>
      <c r="I1600" s="217"/>
      <c r="J1600" s="217"/>
      <c r="K1600" s="217"/>
      <c r="L1600" s="217"/>
      <c r="M1600" s="217"/>
      <c r="N1600" s="217"/>
      <c r="O1600" s="217"/>
      <c r="P1600" s="217"/>
    </row>
    <row r="1601" spans="1:16" s="213" customFormat="1" ht="30" hidden="1" x14ac:dyDescent="0.25">
      <c r="A1601" s="208" t="s">
        <v>263</v>
      </c>
      <c r="B1601" s="234">
        <v>1</v>
      </c>
      <c r="C1601" s="234">
        <v>3</v>
      </c>
      <c r="D1601" s="235" t="s">
        <v>2022</v>
      </c>
      <c r="E1601" s="235" t="s">
        <v>1928</v>
      </c>
      <c r="F1601" s="235" t="s">
        <v>1836</v>
      </c>
      <c r="G1601" s="234"/>
      <c r="H1601" s="236" t="s">
        <v>3454</v>
      </c>
      <c r="I1601" s="211">
        <f>SUM(I1602:I1652)</f>
        <v>0</v>
      </c>
      <c r="J1601" s="211">
        <f t="shared" ref="J1601:P1601" si="180">SUM(J1602:J1652)</f>
        <v>0</v>
      </c>
      <c r="K1601" s="211">
        <f t="shared" si="180"/>
        <v>0</v>
      </c>
      <c r="L1601" s="211">
        <f t="shared" si="180"/>
        <v>0</v>
      </c>
      <c r="M1601" s="211">
        <f t="shared" si="180"/>
        <v>0</v>
      </c>
      <c r="N1601" s="211">
        <f t="shared" si="180"/>
        <v>0</v>
      </c>
      <c r="O1601" s="211">
        <f t="shared" si="180"/>
        <v>0</v>
      </c>
      <c r="P1601" s="211">
        <f t="shared" si="180"/>
        <v>0</v>
      </c>
    </row>
    <row r="1602" spans="1:16" s="219" customFormat="1" ht="45" hidden="1" x14ac:dyDescent="0.25">
      <c r="A1602" s="214"/>
      <c r="B1602" s="237">
        <v>1</v>
      </c>
      <c r="C1602" s="237">
        <v>3</v>
      </c>
      <c r="D1602" s="238" t="s">
        <v>2022</v>
      </c>
      <c r="E1602" s="238" t="s">
        <v>1928</v>
      </c>
      <c r="F1602" s="238" t="s">
        <v>1836</v>
      </c>
      <c r="G1602" s="238" t="s">
        <v>58</v>
      </c>
      <c r="H1602" s="239" t="s">
        <v>3455</v>
      </c>
      <c r="I1602" s="217"/>
      <c r="J1602" s="217"/>
      <c r="K1602" s="217"/>
      <c r="L1602" s="217"/>
      <c r="M1602" s="217"/>
      <c r="N1602" s="217"/>
      <c r="O1602" s="217"/>
      <c r="P1602" s="217"/>
    </row>
    <row r="1603" spans="1:16" s="219" customFormat="1" ht="45" hidden="1" x14ac:dyDescent="0.25">
      <c r="A1603" s="214"/>
      <c r="B1603" s="237">
        <v>1</v>
      </c>
      <c r="C1603" s="237">
        <v>3</v>
      </c>
      <c r="D1603" s="238" t="s">
        <v>2022</v>
      </c>
      <c r="E1603" s="238" t="s">
        <v>1928</v>
      </c>
      <c r="F1603" s="238" t="s">
        <v>1836</v>
      </c>
      <c r="G1603" s="238" t="s">
        <v>75</v>
      </c>
      <c r="H1603" s="239" t="s">
        <v>3456</v>
      </c>
      <c r="I1603" s="217"/>
      <c r="J1603" s="217"/>
      <c r="K1603" s="217"/>
      <c r="L1603" s="217"/>
      <c r="M1603" s="217"/>
      <c r="N1603" s="217"/>
      <c r="O1603" s="217"/>
      <c r="P1603" s="217"/>
    </row>
    <row r="1604" spans="1:16" s="219" customFormat="1" ht="45" hidden="1" x14ac:dyDescent="0.25">
      <c r="A1604" s="214"/>
      <c r="B1604" s="237">
        <v>1</v>
      </c>
      <c r="C1604" s="237">
        <v>3</v>
      </c>
      <c r="D1604" s="238" t="s">
        <v>2022</v>
      </c>
      <c r="E1604" s="238" t="s">
        <v>1928</v>
      </c>
      <c r="F1604" s="238" t="s">
        <v>1836</v>
      </c>
      <c r="G1604" s="238" t="s">
        <v>79</v>
      </c>
      <c r="H1604" s="239" t="s">
        <v>3457</v>
      </c>
      <c r="I1604" s="217"/>
      <c r="J1604" s="217"/>
      <c r="K1604" s="217"/>
      <c r="L1604" s="217"/>
      <c r="M1604" s="217"/>
      <c r="N1604" s="217"/>
      <c r="O1604" s="217"/>
      <c r="P1604" s="217"/>
    </row>
    <row r="1605" spans="1:16" s="219" customFormat="1" ht="45" hidden="1" x14ac:dyDescent="0.25">
      <c r="A1605" s="214"/>
      <c r="B1605" s="237">
        <v>1</v>
      </c>
      <c r="C1605" s="237">
        <v>3</v>
      </c>
      <c r="D1605" s="238" t="s">
        <v>2022</v>
      </c>
      <c r="E1605" s="238" t="s">
        <v>1928</v>
      </c>
      <c r="F1605" s="238" t="s">
        <v>1836</v>
      </c>
      <c r="G1605" s="238" t="s">
        <v>84</v>
      </c>
      <c r="H1605" s="239" t="s">
        <v>3458</v>
      </c>
      <c r="I1605" s="217"/>
      <c r="J1605" s="217"/>
      <c r="K1605" s="217"/>
      <c r="L1605" s="217"/>
      <c r="M1605" s="217"/>
      <c r="N1605" s="217"/>
      <c r="O1605" s="217"/>
      <c r="P1605" s="217"/>
    </row>
    <row r="1606" spans="1:16" s="219" customFormat="1" ht="45" hidden="1" x14ac:dyDescent="0.25">
      <c r="A1606" s="214"/>
      <c r="B1606" s="237">
        <v>1</v>
      </c>
      <c r="C1606" s="237">
        <v>3</v>
      </c>
      <c r="D1606" s="238" t="s">
        <v>2022</v>
      </c>
      <c r="E1606" s="238" t="s">
        <v>1928</v>
      </c>
      <c r="F1606" s="238" t="s">
        <v>1836</v>
      </c>
      <c r="G1606" s="238" t="s">
        <v>88</v>
      </c>
      <c r="H1606" s="239" t="s">
        <v>3459</v>
      </c>
      <c r="I1606" s="217"/>
      <c r="J1606" s="217"/>
      <c r="K1606" s="217"/>
      <c r="L1606" s="217"/>
      <c r="M1606" s="217"/>
      <c r="N1606" s="217"/>
      <c r="O1606" s="217"/>
      <c r="P1606" s="217"/>
    </row>
    <row r="1607" spans="1:16" s="219" customFormat="1" ht="45" hidden="1" x14ac:dyDescent="0.25">
      <c r="A1607" s="214"/>
      <c r="B1607" s="237">
        <v>1</v>
      </c>
      <c r="C1607" s="237">
        <v>3</v>
      </c>
      <c r="D1607" s="238" t="s">
        <v>2022</v>
      </c>
      <c r="E1607" s="238" t="s">
        <v>1928</v>
      </c>
      <c r="F1607" s="238" t="s">
        <v>1836</v>
      </c>
      <c r="G1607" s="238" t="s">
        <v>92</v>
      </c>
      <c r="H1607" s="239" t="s">
        <v>3460</v>
      </c>
      <c r="I1607" s="217"/>
      <c r="J1607" s="217"/>
      <c r="K1607" s="217"/>
      <c r="L1607" s="217"/>
      <c r="M1607" s="217"/>
      <c r="N1607" s="217"/>
      <c r="O1607" s="217"/>
      <c r="P1607" s="217"/>
    </row>
    <row r="1608" spans="1:16" s="219" customFormat="1" ht="45" hidden="1" x14ac:dyDescent="0.25">
      <c r="A1608" s="214"/>
      <c r="B1608" s="237">
        <v>1</v>
      </c>
      <c r="C1608" s="237">
        <v>3</v>
      </c>
      <c r="D1608" s="238" t="s">
        <v>2022</v>
      </c>
      <c r="E1608" s="238" t="s">
        <v>1928</v>
      </c>
      <c r="F1608" s="238" t="s">
        <v>1836</v>
      </c>
      <c r="G1608" s="238" t="s">
        <v>96</v>
      </c>
      <c r="H1608" s="239" t="s">
        <v>3461</v>
      </c>
      <c r="I1608" s="217"/>
      <c r="J1608" s="217"/>
      <c r="K1608" s="217"/>
      <c r="L1608" s="217"/>
      <c r="M1608" s="217"/>
      <c r="N1608" s="217"/>
      <c r="O1608" s="217"/>
      <c r="P1608" s="217"/>
    </row>
    <row r="1609" spans="1:16" s="219" customFormat="1" ht="45" hidden="1" x14ac:dyDescent="0.25">
      <c r="A1609" s="214"/>
      <c r="B1609" s="237">
        <v>1</v>
      </c>
      <c r="C1609" s="237">
        <v>3</v>
      </c>
      <c r="D1609" s="238" t="s">
        <v>2022</v>
      </c>
      <c r="E1609" s="238" t="s">
        <v>1928</v>
      </c>
      <c r="F1609" s="238" t="s">
        <v>1836</v>
      </c>
      <c r="G1609" s="238" t="s">
        <v>100</v>
      </c>
      <c r="H1609" s="239" t="s">
        <v>3462</v>
      </c>
      <c r="I1609" s="217"/>
      <c r="J1609" s="217"/>
      <c r="K1609" s="217"/>
      <c r="L1609" s="217"/>
      <c r="M1609" s="217"/>
      <c r="N1609" s="217"/>
      <c r="O1609" s="217"/>
      <c r="P1609" s="217"/>
    </row>
    <row r="1610" spans="1:16" s="219" customFormat="1" ht="45" hidden="1" x14ac:dyDescent="0.25">
      <c r="A1610" s="214"/>
      <c r="B1610" s="237">
        <v>1</v>
      </c>
      <c r="C1610" s="237">
        <v>3</v>
      </c>
      <c r="D1610" s="238" t="s">
        <v>2022</v>
      </c>
      <c r="E1610" s="238" t="s">
        <v>1928</v>
      </c>
      <c r="F1610" s="238" t="s">
        <v>1836</v>
      </c>
      <c r="G1610" s="238" t="s">
        <v>105</v>
      </c>
      <c r="H1610" s="239" t="s">
        <v>3463</v>
      </c>
      <c r="I1610" s="217"/>
      <c r="J1610" s="217"/>
      <c r="K1610" s="217"/>
      <c r="L1610" s="217"/>
      <c r="M1610" s="217"/>
      <c r="N1610" s="217"/>
      <c r="O1610" s="217"/>
      <c r="P1610" s="217"/>
    </row>
    <row r="1611" spans="1:16" s="219" customFormat="1" ht="45" hidden="1" x14ac:dyDescent="0.25">
      <c r="A1611" s="214"/>
      <c r="B1611" s="237">
        <v>1</v>
      </c>
      <c r="C1611" s="237">
        <v>3</v>
      </c>
      <c r="D1611" s="238" t="s">
        <v>2022</v>
      </c>
      <c r="E1611" s="238" t="s">
        <v>1928</v>
      </c>
      <c r="F1611" s="238" t="s">
        <v>1836</v>
      </c>
      <c r="G1611" s="238" t="s">
        <v>108</v>
      </c>
      <c r="H1611" s="239" t="s">
        <v>3464</v>
      </c>
      <c r="I1611" s="217"/>
      <c r="J1611" s="217"/>
      <c r="K1611" s="217"/>
      <c r="L1611" s="217"/>
      <c r="M1611" s="217"/>
      <c r="N1611" s="217"/>
      <c r="O1611" s="217"/>
      <c r="P1611" s="217"/>
    </row>
    <row r="1612" spans="1:16" s="219" customFormat="1" ht="45" hidden="1" x14ac:dyDescent="0.25">
      <c r="A1612" s="214"/>
      <c r="B1612" s="237">
        <v>1</v>
      </c>
      <c r="C1612" s="237">
        <v>3</v>
      </c>
      <c r="D1612" s="238" t="s">
        <v>2022</v>
      </c>
      <c r="E1612" s="238" t="s">
        <v>1928</v>
      </c>
      <c r="F1612" s="238" t="s">
        <v>1836</v>
      </c>
      <c r="G1612" s="238" t="s">
        <v>135</v>
      </c>
      <c r="H1612" s="239" t="s">
        <v>3465</v>
      </c>
      <c r="I1612" s="217"/>
      <c r="J1612" s="217"/>
      <c r="K1612" s="217"/>
      <c r="L1612" s="217"/>
      <c r="M1612" s="217"/>
      <c r="N1612" s="217"/>
      <c r="O1612" s="217"/>
      <c r="P1612" s="217"/>
    </row>
    <row r="1613" spans="1:16" s="219" customFormat="1" ht="45" hidden="1" x14ac:dyDescent="0.25">
      <c r="A1613" s="214"/>
      <c r="B1613" s="237">
        <v>1</v>
      </c>
      <c r="C1613" s="237">
        <v>3</v>
      </c>
      <c r="D1613" s="238" t="s">
        <v>2022</v>
      </c>
      <c r="E1613" s="238" t="s">
        <v>1928</v>
      </c>
      <c r="F1613" s="238" t="s">
        <v>1836</v>
      </c>
      <c r="G1613" s="238" t="s">
        <v>138</v>
      </c>
      <c r="H1613" s="239" t="s">
        <v>3466</v>
      </c>
      <c r="I1613" s="217"/>
      <c r="J1613" s="217"/>
      <c r="K1613" s="217"/>
      <c r="L1613" s="217"/>
      <c r="M1613" s="217"/>
      <c r="N1613" s="217"/>
      <c r="O1613" s="217"/>
      <c r="P1613" s="217"/>
    </row>
    <row r="1614" spans="1:16" s="219" customFormat="1" ht="45" hidden="1" x14ac:dyDescent="0.25">
      <c r="A1614" s="214"/>
      <c r="B1614" s="237">
        <v>1</v>
      </c>
      <c r="C1614" s="237">
        <v>3</v>
      </c>
      <c r="D1614" s="238" t="s">
        <v>2022</v>
      </c>
      <c r="E1614" s="238" t="s">
        <v>1928</v>
      </c>
      <c r="F1614" s="238" t="s">
        <v>1836</v>
      </c>
      <c r="G1614" s="238" t="s">
        <v>140</v>
      </c>
      <c r="H1614" s="239" t="s">
        <v>3467</v>
      </c>
      <c r="I1614" s="217"/>
      <c r="J1614" s="217"/>
      <c r="K1614" s="217"/>
      <c r="L1614" s="217"/>
      <c r="M1614" s="217"/>
      <c r="N1614" s="217"/>
      <c r="O1614" s="217"/>
      <c r="P1614" s="217"/>
    </row>
    <row r="1615" spans="1:16" s="219" customFormat="1" ht="45" hidden="1" x14ac:dyDescent="0.25">
      <c r="A1615" s="214"/>
      <c r="B1615" s="237">
        <v>1</v>
      </c>
      <c r="C1615" s="237">
        <v>3</v>
      </c>
      <c r="D1615" s="238" t="s">
        <v>2022</v>
      </c>
      <c r="E1615" s="238" t="s">
        <v>1928</v>
      </c>
      <c r="F1615" s="238" t="s">
        <v>1836</v>
      </c>
      <c r="G1615" s="238" t="s">
        <v>143</v>
      </c>
      <c r="H1615" s="239" t="s">
        <v>3468</v>
      </c>
      <c r="I1615" s="217"/>
      <c r="J1615" s="217"/>
      <c r="K1615" s="217"/>
      <c r="L1615" s="217"/>
      <c r="M1615" s="217"/>
      <c r="N1615" s="217"/>
      <c r="O1615" s="217"/>
      <c r="P1615" s="217"/>
    </row>
    <row r="1616" spans="1:16" s="219" customFormat="1" ht="45" hidden="1" x14ac:dyDescent="0.25">
      <c r="A1616" s="214"/>
      <c r="B1616" s="237">
        <v>1</v>
      </c>
      <c r="C1616" s="237">
        <v>3</v>
      </c>
      <c r="D1616" s="238" t="s">
        <v>2022</v>
      </c>
      <c r="E1616" s="238" t="s">
        <v>1928</v>
      </c>
      <c r="F1616" s="238" t="s">
        <v>1836</v>
      </c>
      <c r="G1616" s="238" t="s">
        <v>146</v>
      </c>
      <c r="H1616" s="239" t="s">
        <v>3469</v>
      </c>
      <c r="I1616" s="217"/>
      <c r="J1616" s="217"/>
      <c r="K1616" s="217"/>
      <c r="L1616" s="217"/>
      <c r="M1616" s="217"/>
      <c r="N1616" s="217"/>
      <c r="O1616" s="217"/>
      <c r="P1616" s="217"/>
    </row>
    <row r="1617" spans="1:16" s="219" customFormat="1" ht="60" hidden="1" x14ac:dyDescent="0.25">
      <c r="A1617" s="214"/>
      <c r="B1617" s="237">
        <v>1</v>
      </c>
      <c r="C1617" s="237">
        <v>3</v>
      </c>
      <c r="D1617" s="238" t="s">
        <v>2022</v>
      </c>
      <c r="E1617" s="238" t="s">
        <v>1928</v>
      </c>
      <c r="F1617" s="238" t="s">
        <v>1836</v>
      </c>
      <c r="G1617" s="238" t="s">
        <v>150</v>
      </c>
      <c r="H1617" s="239" t="s">
        <v>3470</v>
      </c>
      <c r="I1617" s="217"/>
      <c r="J1617" s="217"/>
      <c r="K1617" s="217"/>
      <c r="L1617" s="217"/>
      <c r="M1617" s="217"/>
      <c r="N1617" s="217"/>
      <c r="O1617" s="217"/>
      <c r="P1617" s="217"/>
    </row>
    <row r="1618" spans="1:16" s="219" customFormat="1" ht="60" hidden="1" x14ac:dyDescent="0.25">
      <c r="A1618" s="214"/>
      <c r="B1618" s="237">
        <v>1</v>
      </c>
      <c r="C1618" s="237">
        <v>3</v>
      </c>
      <c r="D1618" s="238" t="s">
        <v>2022</v>
      </c>
      <c r="E1618" s="238" t="s">
        <v>1928</v>
      </c>
      <c r="F1618" s="238" t="s">
        <v>1836</v>
      </c>
      <c r="G1618" s="238" t="s">
        <v>153</v>
      </c>
      <c r="H1618" s="239" t="s">
        <v>3471</v>
      </c>
      <c r="I1618" s="217"/>
      <c r="J1618" s="217"/>
      <c r="K1618" s="217"/>
      <c r="L1618" s="217"/>
      <c r="M1618" s="217"/>
      <c r="N1618" s="217"/>
      <c r="O1618" s="217"/>
      <c r="P1618" s="217"/>
    </row>
    <row r="1619" spans="1:16" s="219" customFormat="1" ht="60" hidden="1" x14ac:dyDescent="0.25">
      <c r="A1619" s="214"/>
      <c r="B1619" s="237">
        <v>1</v>
      </c>
      <c r="C1619" s="237">
        <v>3</v>
      </c>
      <c r="D1619" s="238" t="s">
        <v>2022</v>
      </c>
      <c r="E1619" s="238" t="s">
        <v>1928</v>
      </c>
      <c r="F1619" s="238" t="s">
        <v>1836</v>
      </c>
      <c r="G1619" s="238" t="s">
        <v>156</v>
      </c>
      <c r="H1619" s="239" t="s">
        <v>3472</v>
      </c>
      <c r="I1619" s="217"/>
      <c r="J1619" s="217"/>
      <c r="K1619" s="217"/>
      <c r="L1619" s="217"/>
      <c r="M1619" s="217"/>
      <c r="N1619" s="217"/>
      <c r="O1619" s="217"/>
      <c r="P1619" s="217"/>
    </row>
    <row r="1620" spans="1:16" s="219" customFormat="1" ht="60" hidden="1" x14ac:dyDescent="0.25">
      <c r="A1620" s="214"/>
      <c r="B1620" s="237">
        <v>1</v>
      </c>
      <c r="C1620" s="237">
        <v>3</v>
      </c>
      <c r="D1620" s="238" t="s">
        <v>2022</v>
      </c>
      <c r="E1620" s="238" t="s">
        <v>1928</v>
      </c>
      <c r="F1620" s="238" t="s">
        <v>1836</v>
      </c>
      <c r="G1620" s="238" t="s">
        <v>159</v>
      </c>
      <c r="H1620" s="239" t="s">
        <v>3473</v>
      </c>
      <c r="I1620" s="217"/>
      <c r="J1620" s="217"/>
      <c r="K1620" s="217"/>
      <c r="L1620" s="217"/>
      <c r="M1620" s="217"/>
      <c r="N1620" s="217"/>
      <c r="O1620" s="217"/>
      <c r="P1620" s="217"/>
    </row>
    <row r="1621" spans="1:16" s="219" customFormat="1" ht="60" hidden="1" x14ac:dyDescent="0.25">
      <c r="A1621" s="214"/>
      <c r="B1621" s="237">
        <v>1</v>
      </c>
      <c r="C1621" s="237">
        <v>3</v>
      </c>
      <c r="D1621" s="238" t="s">
        <v>2022</v>
      </c>
      <c r="E1621" s="238" t="s">
        <v>1928</v>
      </c>
      <c r="F1621" s="238" t="s">
        <v>1836</v>
      </c>
      <c r="G1621" s="238" t="s">
        <v>162</v>
      </c>
      <c r="H1621" s="239" t="s">
        <v>3474</v>
      </c>
      <c r="I1621" s="217"/>
      <c r="J1621" s="217"/>
      <c r="K1621" s="217"/>
      <c r="L1621" s="217"/>
      <c r="M1621" s="217"/>
      <c r="N1621" s="217"/>
      <c r="O1621" s="217"/>
      <c r="P1621" s="217"/>
    </row>
    <row r="1622" spans="1:16" s="219" customFormat="1" ht="60" hidden="1" x14ac:dyDescent="0.25">
      <c r="A1622" s="214"/>
      <c r="B1622" s="237">
        <v>1</v>
      </c>
      <c r="C1622" s="237">
        <v>3</v>
      </c>
      <c r="D1622" s="238" t="s">
        <v>2022</v>
      </c>
      <c r="E1622" s="238" t="s">
        <v>1928</v>
      </c>
      <c r="F1622" s="238" t="s">
        <v>1836</v>
      </c>
      <c r="G1622" s="238" t="s">
        <v>312</v>
      </c>
      <c r="H1622" s="239" t="s">
        <v>3475</v>
      </c>
      <c r="I1622" s="217"/>
      <c r="J1622" s="217"/>
      <c r="K1622" s="217"/>
      <c r="L1622" s="217"/>
      <c r="M1622" s="217"/>
      <c r="N1622" s="217"/>
      <c r="O1622" s="217"/>
      <c r="P1622" s="217"/>
    </row>
    <row r="1623" spans="1:16" s="219" customFormat="1" ht="60" hidden="1" x14ac:dyDescent="0.25">
      <c r="A1623" s="214"/>
      <c r="B1623" s="237">
        <v>1</v>
      </c>
      <c r="C1623" s="237">
        <v>3</v>
      </c>
      <c r="D1623" s="238" t="s">
        <v>2022</v>
      </c>
      <c r="E1623" s="238" t="s">
        <v>1928</v>
      </c>
      <c r="F1623" s="238" t="s">
        <v>1836</v>
      </c>
      <c r="G1623" s="238" t="s">
        <v>313</v>
      </c>
      <c r="H1623" s="239" t="s">
        <v>3476</v>
      </c>
      <c r="I1623" s="217"/>
      <c r="J1623" s="217"/>
      <c r="K1623" s="217"/>
      <c r="L1623" s="217"/>
      <c r="M1623" s="217"/>
      <c r="N1623" s="217"/>
      <c r="O1623" s="217"/>
      <c r="P1623" s="217"/>
    </row>
    <row r="1624" spans="1:16" s="219" customFormat="1" ht="60" hidden="1" x14ac:dyDescent="0.25">
      <c r="A1624" s="214"/>
      <c r="B1624" s="237">
        <v>1</v>
      </c>
      <c r="C1624" s="237">
        <v>3</v>
      </c>
      <c r="D1624" s="238" t="s">
        <v>2022</v>
      </c>
      <c r="E1624" s="238" t="s">
        <v>1928</v>
      </c>
      <c r="F1624" s="238" t="s">
        <v>1836</v>
      </c>
      <c r="G1624" s="238" t="s">
        <v>559</v>
      </c>
      <c r="H1624" s="239" t="s">
        <v>3477</v>
      </c>
      <c r="I1624" s="217"/>
      <c r="J1624" s="217"/>
      <c r="K1624" s="217"/>
      <c r="L1624" s="217"/>
      <c r="M1624" s="217"/>
      <c r="N1624" s="217"/>
      <c r="O1624" s="217"/>
      <c r="P1624" s="217"/>
    </row>
    <row r="1625" spans="1:16" s="219" customFormat="1" ht="60" hidden="1" x14ac:dyDescent="0.25">
      <c r="A1625" s="214"/>
      <c r="B1625" s="237">
        <v>1</v>
      </c>
      <c r="C1625" s="237">
        <v>3</v>
      </c>
      <c r="D1625" s="238" t="s">
        <v>2022</v>
      </c>
      <c r="E1625" s="238" t="s">
        <v>1928</v>
      </c>
      <c r="F1625" s="238" t="s">
        <v>1836</v>
      </c>
      <c r="G1625" s="238" t="s">
        <v>561</v>
      </c>
      <c r="H1625" s="239" t="s">
        <v>3478</v>
      </c>
      <c r="I1625" s="217"/>
      <c r="J1625" s="217"/>
      <c r="K1625" s="217"/>
      <c r="L1625" s="217"/>
      <c r="M1625" s="217"/>
      <c r="N1625" s="217"/>
      <c r="O1625" s="217"/>
      <c r="P1625" s="217"/>
    </row>
    <row r="1626" spans="1:16" s="219" customFormat="1" ht="75" hidden="1" x14ac:dyDescent="0.25">
      <c r="A1626" s="214"/>
      <c r="B1626" s="237">
        <v>1</v>
      </c>
      <c r="C1626" s="237">
        <v>3</v>
      </c>
      <c r="D1626" s="238" t="s">
        <v>2022</v>
      </c>
      <c r="E1626" s="238" t="s">
        <v>1928</v>
      </c>
      <c r="F1626" s="238" t="s">
        <v>1836</v>
      </c>
      <c r="G1626" s="238" t="s">
        <v>563</v>
      </c>
      <c r="H1626" s="239" t="s">
        <v>3479</v>
      </c>
      <c r="I1626" s="217"/>
      <c r="J1626" s="217"/>
      <c r="K1626" s="217"/>
      <c r="L1626" s="217"/>
      <c r="M1626" s="217"/>
      <c r="N1626" s="217"/>
      <c r="O1626" s="217"/>
      <c r="P1626" s="217"/>
    </row>
    <row r="1627" spans="1:16" s="219" customFormat="1" ht="75" hidden="1" x14ac:dyDescent="0.25">
      <c r="A1627" s="214"/>
      <c r="B1627" s="237">
        <v>1</v>
      </c>
      <c r="C1627" s="237">
        <v>3</v>
      </c>
      <c r="D1627" s="238" t="s">
        <v>2022</v>
      </c>
      <c r="E1627" s="238" t="s">
        <v>1928</v>
      </c>
      <c r="F1627" s="238" t="s">
        <v>1836</v>
      </c>
      <c r="G1627" s="238" t="s">
        <v>227</v>
      </c>
      <c r="H1627" s="239" t="s">
        <v>3480</v>
      </c>
      <c r="I1627" s="217"/>
      <c r="J1627" s="217"/>
      <c r="K1627" s="217"/>
      <c r="L1627" s="217"/>
      <c r="M1627" s="217"/>
      <c r="N1627" s="217"/>
      <c r="O1627" s="217"/>
      <c r="P1627" s="217"/>
    </row>
    <row r="1628" spans="1:16" s="219" customFormat="1" ht="75" hidden="1" x14ac:dyDescent="0.25">
      <c r="A1628" s="214"/>
      <c r="B1628" s="237">
        <v>1</v>
      </c>
      <c r="C1628" s="237">
        <v>3</v>
      </c>
      <c r="D1628" s="238" t="s">
        <v>2022</v>
      </c>
      <c r="E1628" s="238" t="s">
        <v>1928</v>
      </c>
      <c r="F1628" s="238" t="s">
        <v>1836</v>
      </c>
      <c r="G1628" s="238" t="s">
        <v>230</v>
      </c>
      <c r="H1628" s="239" t="s">
        <v>3481</v>
      </c>
      <c r="I1628" s="217"/>
      <c r="J1628" s="217"/>
      <c r="K1628" s="217"/>
      <c r="L1628" s="217"/>
      <c r="M1628" s="217"/>
      <c r="N1628" s="217"/>
      <c r="O1628" s="217"/>
      <c r="P1628" s="217"/>
    </row>
    <row r="1629" spans="1:16" s="219" customFormat="1" ht="75" hidden="1" x14ac:dyDescent="0.25">
      <c r="A1629" s="214"/>
      <c r="B1629" s="237">
        <v>1</v>
      </c>
      <c r="C1629" s="237">
        <v>3</v>
      </c>
      <c r="D1629" s="238" t="s">
        <v>2022</v>
      </c>
      <c r="E1629" s="238" t="s">
        <v>1928</v>
      </c>
      <c r="F1629" s="238" t="s">
        <v>1836</v>
      </c>
      <c r="G1629" s="238" t="s">
        <v>232</v>
      </c>
      <c r="H1629" s="239" t="s">
        <v>3482</v>
      </c>
      <c r="I1629" s="217"/>
      <c r="J1629" s="217"/>
      <c r="K1629" s="217"/>
      <c r="L1629" s="217"/>
      <c r="M1629" s="217"/>
      <c r="N1629" s="217"/>
      <c r="O1629" s="217"/>
      <c r="P1629" s="217"/>
    </row>
    <row r="1630" spans="1:16" s="219" customFormat="1" ht="75" hidden="1" x14ac:dyDescent="0.25">
      <c r="A1630" s="214"/>
      <c r="B1630" s="237">
        <v>1</v>
      </c>
      <c r="C1630" s="237">
        <v>3</v>
      </c>
      <c r="D1630" s="238" t="s">
        <v>2022</v>
      </c>
      <c r="E1630" s="238" t="s">
        <v>1928</v>
      </c>
      <c r="F1630" s="238" t="s">
        <v>1836</v>
      </c>
      <c r="G1630" s="238" t="s">
        <v>234</v>
      </c>
      <c r="H1630" s="239" t="s">
        <v>3483</v>
      </c>
      <c r="I1630" s="217"/>
      <c r="J1630" s="217"/>
      <c r="K1630" s="217"/>
      <c r="L1630" s="217"/>
      <c r="M1630" s="217"/>
      <c r="N1630" s="217"/>
      <c r="O1630" s="217"/>
      <c r="P1630" s="217"/>
    </row>
    <row r="1631" spans="1:16" s="219" customFormat="1" ht="75" hidden="1" x14ac:dyDescent="0.25">
      <c r="A1631" s="214"/>
      <c r="B1631" s="237">
        <v>1</v>
      </c>
      <c r="C1631" s="237">
        <v>3</v>
      </c>
      <c r="D1631" s="238" t="s">
        <v>2022</v>
      </c>
      <c r="E1631" s="238" t="s">
        <v>1928</v>
      </c>
      <c r="F1631" s="238" t="s">
        <v>1836</v>
      </c>
      <c r="G1631" s="238" t="s">
        <v>236</v>
      </c>
      <c r="H1631" s="239" t="s">
        <v>3484</v>
      </c>
      <c r="I1631" s="217"/>
      <c r="J1631" s="217"/>
      <c r="K1631" s="217"/>
      <c r="L1631" s="217"/>
      <c r="M1631" s="217"/>
      <c r="N1631" s="217"/>
      <c r="O1631" s="217"/>
      <c r="P1631" s="217"/>
    </row>
    <row r="1632" spans="1:16" s="219" customFormat="1" ht="90" hidden="1" x14ac:dyDescent="0.25">
      <c r="A1632" s="214"/>
      <c r="B1632" s="237">
        <v>1</v>
      </c>
      <c r="C1632" s="237">
        <v>3</v>
      </c>
      <c r="D1632" s="238" t="s">
        <v>2022</v>
      </c>
      <c r="E1632" s="238" t="s">
        <v>1928</v>
      </c>
      <c r="F1632" s="238" t="s">
        <v>1836</v>
      </c>
      <c r="G1632" s="238" t="s">
        <v>238</v>
      </c>
      <c r="H1632" s="239" t="s">
        <v>3485</v>
      </c>
      <c r="I1632" s="217"/>
      <c r="J1632" s="217"/>
      <c r="K1632" s="217"/>
      <c r="L1632" s="217"/>
      <c r="M1632" s="217"/>
      <c r="N1632" s="217"/>
      <c r="O1632" s="217"/>
      <c r="P1632" s="217"/>
    </row>
    <row r="1633" spans="1:16" s="219" customFormat="1" ht="60" hidden="1" x14ac:dyDescent="0.25">
      <c r="A1633" s="214"/>
      <c r="B1633" s="237">
        <v>1</v>
      </c>
      <c r="C1633" s="237">
        <v>3</v>
      </c>
      <c r="D1633" s="238" t="s">
        <v>2022</v>
      </c>
      <c r="E1633" s="238" t="s">
        <v>1928</v>
      </c>
      <c r="F1633" s="238" t="s">
        <v>1836</v>
      </c>
      <c r="G1633" s="238" t="s">
        <v>240</v>
      </c>
      <c r="H1633" s="239" t="s">
        <v>3486</v>
      </c>
      <c r="I1633" s="217"/>
      <c r="J1633" s="217"/>
      <c r="K1633" s="217"/>
      <c r="L1633" s="217"/>
      <c r="M1633" s="217"/>
      <c r="N1633" s="217"/>
      <c r="O1633" s="217"/>
      <c r="P1633" s="217"/>
    </row>
    <row r="1634" spans="1:16" s="219" customFormat="1" ht="75" hidden="1" x14ac:dyDescent="0.25">
      <c r="A1634" s="214"/>
      <c r="B1634" s="237">
        <v>1</v>
      </c>
      <c r="C1634" s="237">
        <v>3</v>
      </c>
      <c r="D1634" s="238" t="s">
        <v>2022</v>
      </c>
      <c r="E1634" s="238" t="s">
        <v>1928</v>
      </c>
      <c r="F1634" s="238" t="s">
        <v>1836</v>
      </c>
      <c r="G1634" s="238" t="s">
        <v>242</v>
      </c>
      <c r="H1634" s="239" t="s">
        <v>3487</v>
      </c>
      <c r="I1634" s="217"/>
      <c r="J1634" s="217"/>
      <c r="K1634" s="217"/>
      <c r="L1634" s="217"/>
      <c r="M1634" s="217"/>
      <c r="N1634" s="217"/>
      <c r="O1634" s="217"/>
      <c r="P1634" s="217"/>
    </row>
    <row r="1635" spans="1:16" s="219" customFormat="1" ht="60" hidden="1" x14ac:dyDescent="0.25">
      <c r="A1635" s="214"/>
      <c r="B1635" s="237">
        <v>1</v>
      </c>
      <c r="C1635" s="237">
        <v>3</v>
      </c>
      <c r="D1635" s="238" t="s">
        <v>2022</v>
      </c>
      <c r="E1635" s="238" t="s">
        <v>1928</v>
      </c>
      <c r="F1635" s="238" t="s">
        <v>1836</v>
      </c>
      <c r="G1635" s="238" t="s">
        <v>244</v>
      </c>
      <c r="H1635" s="239" t="s">
        <v>3488</v>
      </c>
      <c r="I1635" s="217"/>
      <c r="J1635" s="217"/>
      <c r="K1635" s="217"/>
      <c r="L1635" s="217"/>
      <c r="M1635" s="217"/>
      <c r="N1635" s="217"/>
      <c r="O1635" s="217"/>
      <c r="P1635" s="217"/>
    </row>
    <row r="1636" spans="1:16" s="219" customFormat="1" ht="60" hidden="1" x14ac:dyDescent="0.25">
      <c r="A1636" s="214"/>
      <c r="B1636" s="237">
        <v>1</v>
      </c>
      <c r="C1636" s="237">
        <v>3</v>
      </c>
      <c r="D1636" s="238" t="s">
        <v>2022</v>
      </c>
      <c r="E1636" s="238" t="s">
        <v>1928</v>
      </c>
      <c r="F1636" s="238" t="s">
        <v>1836</v>
      </c>
      <c r="G1636" s="238" t="s">
        <v>246</v>
      </c>
      <c r="H1636" s="239" t="s">
        <v>3489</v>
      </c>
      <c r="I1636" s="217"/>
      <c r="J1636" s="217"/>
      <c r="K1636" s="217"/>
      <c r="L1636" s="217"/>
      <c r="M1636" s="217"/>
      <c r="N1636" s="217"/>
      <c r="O1636" s="217"/>
      <c r="P1636" s="217"/>
    </row>
    <row r="1637" spans="1:16" s="219" customFormat="1" ht="60" hidden="1" x14ac:dyDescent="0.25">
      <c r="A1637" s="214"/>
      <c r="B1637" s="237">
        <v>1</v>
      </c>
      <c r="C1637" s="237">
        <v>3</v>
      </c>
      <c r="D1637" s="238" t="s">
        <v>2022</v>
      </c>
      <c r="E1637" s="238" t="s">
        <v>1928</v>
      </c>
      <c r="F1637" s="238" t="s">
        <v>1836</v>
      </c>
      <c r="G1637" s="238" t="s">
        <v>407</v>
      </c>
      <c r="H1637" s="239" t="s">
        <v>3490</v>
      </c>
      <c r="I1637" s="217"/>
      <c r="J1637" s="217"/>
      <c r="K1637" s="217"/>
      <c r="L1637" s="217"/>
      <c r="M1637" s="217"/>
      <c r="N1637" s="217"/>
      <c r="O1637" s="217"/>
      <c r="P1637" s="217"/>
    </row>
    <row r="1638" spans="1:16" s="219" customFormat="1" ht="60" hidden="1" x14ac:dyDescent="0.25">
      <c r="A1638" s="214"/>
      <c r="B1638" s="237">
        <v>1</v>
      </c>
      <c r="C1638" s="237">
        <v>3</v>
      </c>
      <c r="D1638" s="238" t="s">
        <v>2022</v>
      </c>
      <c r="E1638" s="238" t="s">
        <v>1928</v>
      </c>
      <c r="F1638" s="238" t="s">
        <v>1836</v>
      </c>
      <c r="G1638" s="238" t="s">
        <v>408</v>
      </c>
      <c r="H1638" s="239" t="s">
        <v>3491</v>
      </c>
      <c r="I1638" s="217"/>
      <c r="J1638" s="217"/>
      <c r="K1638" s="217"/>
      <c r="L1638" s="217"/>
      <c r="M1638" s="217"/>
      <c r="N1638" s="217"/>
      <c r="O1638" s="217"/>
      <c r="P1638" s="217"/>
    </row>
    <row r="1639" spans="1:16" s="219" customFormat="1" ht="60" hidden="1" x14ac:dyDescent="0.25">
      <c r="A1639" s="214"/>
      <c r="B1639" s="237">
        <v>1</v>
      </c>
      <c r="C1639" s="237">
        <v>3</v>
      </c>
      <c r="D1639" s="238" t="s">
        <v>2022</v>
      </c>
      <c r="E1639" s="238" t="s">
        <v>1928</v>
      </c>
      <c r="F1639" s="238" t="s">
        <v>1836</v>
      </c>
      <c r="G1639" s="238" t="s">
        <v>409</v>
      </c>
      <c r="H1639" s="239" t="s">
        <v>3492</v>
      </c>
      <c r="I1639" s="217"/>
      <c r="J1639" s="217"/>
      <c r="K1639" s="217"/>
      <c r="L1639" s="217"/>
      <c r="M1639" s="217"/>
      <c r="N1639" s="217"/>
      <c r="O1639" s="217"/>
      <c r="P1639" s="217"/>
    </row>
    <row r="1640" spans="1:16" s="219" customFormat="1" ht="75" hidden="1" x14ac:dyDescent="0.25">
      <c r="A1640" s="214"/>
      <c r="B1640" s="237">
        <v>1</v>
      </c>
      <c r="C1640" s="237">
        <v>3</v>
      </c>
      <c r="D1640" s="238" t="s">
        <v>2022</v>
      </c>
      <c r="E1640" s="238" t="s">
        <v>1928</v>
      </c>
      <c r="F1640" s="238" t="s">
        <v>1836</v>
      </c>
      <c r="G1640" s="238" t="s">
        <v>788</v>
      </c>
      <c r="H1640" s="239" t="s">
        <v>3493</v>
      </c>
      <c r="I1640" s="217"/>
      <c r="J1640" s="217"/>
      <c r="K1640" s="217"/>
      <c r="L1640" s="217"/>
      <c r="M1640" s="217"/>
      <c r="N1640" s="217"/>
      <c r="O1640" s="217"/>
      <c r="P1640" s="217"/>
    </row>
    <row r="1641" spans="1:16" s="219" customFormat="1" ht="60" hidden="1" x14ac:dyDescent="0.25">
      <c r="A1641" s="214"/>
      <c r="B1641" s="237">
        <v>1</v>
      </c>
      <c r="C1641" s="237">
        <v>3</v>
      </c>
      <c r="D1641" s="238" t="s">
        <v>2022</v>
      </c>
      <c r="E1641" s="238" t="s">
        <v>1928</v>
      </c>
      <c r="F1641" s="238" t="s">
        <v>1836</v>
      </c>
      <c r="G1641" s="238" t="s">
        <v>1017</v>
      </c>
      <c r="H1641" s="239" t="s">
        <v>3494</v>
      </c>
      <c r="I1641" s="217"/>
      <c r="J1641" s="217"/>
      <c r="K1641" s="217"/>
      <c r="L1641" s="217"/>
      <c r="M1641" s="217"/>
      <c r="N1641" s="217"/>
      <c r="O1641" s="217"/>
      <c r="P1641" s="217"/>
    </row>
    <row r="1642" spans="1:16" s="219" customFormat="1" ht="60" hidden="1" x14ac:dyDescent="0.25">
      <c r="A1642" s="214"/>
      <c r="B1642" s="237">
        <v>1</v>
      </c>
      <c r="C1642" s="237">
        <v>3</v>
      </c>
      <c r="D1642" s="238" t="s">
        <v>2022</v>
      </c>
      <c r="E1642" s="238" t="s">
        <v>1928</v>
      </c>
      <c r="F1642" s="238" t="s">
        <v>1836</v>
      </c>
      <c r="G1642" s="238" t="s">
        <v>411</v>
      </c>
      <c r="H1642" s="239" t="s">
        <v>3495</v>
      </c>
      <c r="I1642" s="217"/>
      <c r="J1642" s="217"/>
      <c r="K1642" s="217"/>
      <c r="L1642" s="217"/>
      <c r="M1642" s="217"/>
      <c r="N1642" s="217"/>
      <c r="O1642" s="217"/>
      <c r="P1642" s="217"/>
    </row>
    <row r="1643" spans="1:16" s="219" customFormat="1" ht="60" hidden="1" x14ac:dyDescent="0.25">
      <c r="A1643" s="214"/>
      <c r="B1643" s="237">
        <v>1</v>
      </c>
      <c r="C1643" s="237">
        <v>3</v>
      </c>
      <c r="D1643" s="238" t="s">
        <v>2022</v>
      </c>
      <c r="E1643" s="238" t="s">
        <v>1928</v>
      </c>
      <c r="F1643" s="238" t="s">
        <v>1836</v>
      </c>
      <c r="G1643" s="238" t="s">
        <v>247</v>
      </c>
      <c r="H1643" s="239" t="s">
        <v>3496</v>
      </c>
      <c r="I1643" s="217"/>
      <c r="J1643" s="217"/>
      <c r="K1643" s="217"/>
      <c r="L1643" s="217"/>
      <c r="M1643" s="217"/>
      <c r="N1643" s="217"/>
      <c r="O1643" s="217"/>
      <c r="P1643" s="217"/>
    </row>
    <row r="1644" spans="1:16" s="219" customFormat="1" ht="60" hidden="1" x14ac:dyDescent="0.25">
      <c r="A1644" s="214"/>
      <c r="B1644" s="237">
        <v>1</v>
      </c>
      <c r="C1644" s="237">
        <v>3</v>
      </c>
      <c r="D1644" s="238" t="s">
        <v>2022</v>
      </c>
      <c r="E1644" s="238" t="s">
        <v>1928</v>
      </c>
      <c r="F1644" s="238" t="s">
        <v>1836</v>
      </c>
      <c r="G1644" s="238" t="s">
        <v>1019</v>
      </c>
      <c r="H1644" s="239" t="s">
        <v>3497</v>
      </c>
      <c r="I1644" s="217"/>
      <c r="J1644" s="217"/>
      <c r="K1644" s="217"/>
      <c r="L1644" s="217"/>
      <c r="M1644" s="217"/>
      <c r="N1644" s="217"/>
      <c r="O1644" s="217"/>
      <c r="P1644" s="217"/>
    </row>
    <row r="1645" spans="1:16" s="219" customFormat="1" ht="60" hidden="1" x14ac:dyDescent="0.25">
      <c r="A1645" s="214"/>
      <c r="B1645" s="237">
        <v>1</v>
      </c>
      <c r="C1645" s="237">
        <v>3</v>
      </c>
      <c r="D1645" s="238" t="s">
        <v>2022</v>
      </c>
      <c r="E1645" s="238" t="s">
        <v>1928</v>
      </c>
      <c r="F1645" s="238" t="s">
        <v>1836</v>
      </c>
      <c r="G1645" s="238" t="s">
        <v>1022</v>
      </c>
      <c r="H1645" s="239" t="s">
        <v>3498</v>
      </c>
      <c r="I1645" s="217"/>
      <c r="J1645" s="217"/>
      <c r="K1645" s="217"/>
      <c r="L1645" s="217"/>
      <c r="M1645" s="217"/>
      <c r="N1645" s="217"/>
      <c r="O1645" s="217"/>
      <c r="P1645" s="217"/>
    </row>
    <row r="1646" spans="1:16" s="219" customFormat="1" ht="60" hidden="1" x14ac:dyDescent="0.25">
      <c r="A1646" s="214"/>
      <c r="B1646" s="237">
        <v>1</v>
      </c>
      <c r="C1646" s="237">
        <v>3</v>
      </c>
      <c r="D1646" s="238" t="s">
        <v>2022</v>
      </c>
      <c r="E1646" s="238" t="s">
        <v>1928</v>
      </c>
      <c r="F1646" s="238" t="s">
        <v>1836</v>
      </c>
      <c r="G1646" s="238" t="s">
        <v>1024</v>
      </c>
      <c r="H1646" s="239" t="s">
        <v>3499</v>
      </c>
      <c r="I1646" s="217"/>
      <c r="J1646" s="217"/>
      <c r="K1646" s="217"/>
      <c r="L1646" s="217"/>
      <c r="M1646" s="217"/>
      <c r="N1646" s="217"/>
      <c r="O1646" s="217"/>
      <c r="P1646" s="217"/>
    </row>
    <row r="1647" spans="1:16" s="219" customFormat="1" ht="45" hidden="1" x14ac:dyDescent="0.25">
      <c r="A1647" s="214"/>
      <c r="B1647" s="237">
        <v>1</v>
      </c>
      <c r="C1647" s="237">
        <v>3</v>
      </c>
      <c r="D1647" s="238" t="s">
        <v>2022</v>
      </c>
      <c r="E1647" s="238" t="s">
        <v>1928</v>
      </c>
      <c r="F1647" s="238" t="s">
        <v>1836</v>
      </c>
      <c r="G1647" s="238" t="s">
        <v>1026</v>
      </c>
      <c r="H1647" s="239" t="s">
        <v>3500</v>
      </c>
      <c r="I1647" s="217"/>
      <c r="J1647" s="217"/>
      <c r="K1647" s="217"/>
      <c r="L1647" s="217"/>
      <c r="M1647" s="217"/>
      <c r="N1647" s="217"/>
      <c r="O1647" s="217"/>
      <c r="P1647" s="217"/>
    </row>
    <row r="1648" spans="1:16" s="219" customFormat="1" ht="45" hidden="1" x14ac:dyDescent="0.25">
      <c r="A1648" s="214"/>
      <c r="B1648" s="237">
        <v>1</v>
      </c>
      <c r="C1648" s="237">
        <v>3</v>
      </c>
      <c r="D1648" s="238" t="s">
        <v>2022</v>
      </c>
      <c r="E1648" s="238" t="s">
        <v>1928</v>
      </c>
      <c r="F1648" s="238" t="s">
        <v>1836</v>
      </c>
      <c r="G1648" s="238" t="s">
        <v>416</v>
      </c>
      <c r="H1648" s="239" t="s">
        <v>3501</v>
      </c>
      <c r="I1648" s="217"/>
      <c r="J1648" s="217"/>
      <c r="K1648" s="217"/>
      <c r="L1648" s="217"/>
      <c r="M1648" s="217"/>
      <c r="N1648" s="217"/>
      <c r="O1648" s="217"/>
      <c r="P1648" s="217"/>
    </row>
    <row r="1649" spans="1:16" s="219" customFormat="1" ht="45" hidden="1" x14ac:dyDescent="0.25">
      <c r="A1649" s="214"/>
      <c r="B1649" s="237">
        <v>1</v>
      </c>
      <c r="C1649" s="237">
        <v>3</v>
      </c>
      <c r="D1649" s="238" t="s">
        <v>2022</v>
      </c>
      <c r="E1649" s="238" t="s">
        <v>1928</v>
      </c>
      <c r="F1649" s="238" t="s">
        <v>1836</v>
      </c>
      <c r="G1649" s="238" t="s">
        <v>417</v>
      </c>
      <c r="H1649" s="239" t="s">
        <v>3502</v>
      </c>
      <c r="I1649" s="217"/>
      <c r="J1649" s="217"/>
      <c r="K1649" s="217"/>
      <c r="L1649" s="217"/>
      <c r="M1649" s="217"/>
      <c r="N1649" s="217"/>
      <c r="O1649" s="217"/>
      <c r="P1649" s="217"/>
    </row>
    <row r="1650" spans="1:16" s="219" customFormat="1" ht="45" hidden="1" x14ac:dyDescent="0.25">
      <c r="A1650" s="214"/>
      <c r="B1650" s="237">
        <v>1</v>
      </c>
      <c r="C1650" s="237">
        <v>3</v>
      </c>
      <c r="D1650" s="238" t="s">
        <v>2022</v>
      </c>
      <c r="E1650" s="238" t="s">
        <v>1928</v>
      </c>
      <c r="F1650" s="238" t="s">
        <v>1836</v>
      </c>
      <c r="G1650" s="238" t="s">
        <v>1028</v>
      </c>
      <c r="H1650" s="239" t="s">
        <v>3503</v>
      </c>
      <c r="I1650" s="217"/>
      <c r="J1650" s="217"/>
      <c r="K1650" s="217"/>
      <c r="L1650" s="217"/>
      <c r="M1650" s="217"/>
      <c r="N1650" s="217"/>
      <c r="O1650" s="217"/>
      <c r="P1650" s="217"/>
    </row>
    <row r="1651" spans="1:16" s="219" customFormat="1" ht="45" hidden="1" x14ac:dyDescent="0.25">
      <c r="A1651" s="214"/>
      <c r="B1651" s="237">
        <v>1</v>
      </c>
      <c r="C1651" s="237">
        <v>3</v>
      </c>
      <c r="D1651" s="238" t="s">
        <v>2022</v>
      </c>
      <c r="E1651" s="238" t="s">
        <v>1928</v>
      </c>
      <c r="F1651" s="238" t="s">
        <v>1836</v>
      </c>
      <c r="G1651" s="238" t="s">
        <v>1029</v>
      </c>
      <c r="H1651" s="239" t="s">
        <v>3504</v>
      </c>
      <c r="I1651" s="217"/>
      <c r="J1651" s="217"/>
      <c r="K1651" s="217"/>
      <c r="L1651" s="217"/>
      <c r="M1651" s="217"/>
      <c r="N1651" s="217"/>
      <c r="O1651" s="217"/>
      <c r="P1651" s="217"/>
    </row>
    <row r="1652" spans="1:16" s="219" customFormat="1" ht="45" hidden="1" x14ac:dyDescent="0.25">
      <c r="A1652" s="214"/>
      <c r="B1652" s="237">
        <v>1</v>
      </c>
      <c r="C1652" s="237">
        <v>3</v>
      </c>
      <c r="D1652" s="238" t="s">
        <v>2022</v>
      </c>
      <c r="E1652" s="238" t="s">
        <v>1928</v>
      </c>
      <c r="F1652" s="238" t="s">
        <v>1836</v>
      </c>
      <c r="G1652" s="238" t="s">
        <v>1030</v>
      </c>
      <c r="H1652" s="239" t="s">
        <v>3505</v>
      </c>
      <c r="I1652" s="217"/>
      <c r="J1652" s="217"/>
      <c r="K1652" s="217"/>
      <c r="L1652" s="217"/>
      <c r="M1652" s="217"/>
      <c r="N1652" s="217"/>
      <c r="O1652" s="217"/>
      <c r="P1652" s="217"/>
    </row>
    <row r="1653" spans="1:16" s="213" customFormat="1" ht="30" hidden="1" x14ac:dyDescent="0.25">
      <c r="A1653" s="208" t="s">
        <v>263</v>
      </c>
      <c r="B1653" s="234">
        <v>1</v>
      </c>
      <c r="C1653" s="234">
        <v>3</v>
      </c>
      <c r="D1653" s="235" t="s">
        <v>2022</v>
      </c>
      <c r="E1653" s="235" t="s">
        <v>1928</v>
      </c>
      <c r="F1653" s="235" t="s">
        <v>1847</v>
      </c>
      <c r="G1653" s="234"/>
      <c r="H1653" s="236" t="s">
        <v>3506</v>
      </c>
      <c r="I1653" s="211">
        <f>SUM(I1654:I1697)</f>
        <v>0</v>
      </c>
      <c r="J1653" s="211">
        <f t="shared" ref="J1653:P1653" si="181">SUM(J1654:J1697)</f>
        <v>0</v>
      </c>
      <c r="K1653" s="211">
        <f t="shared" si="181"/>
        <v>0</v>
      </c>
      <c r="L1653" s="211">
        <f t="shared" si="181"/>
        <v>0</v>
      </c>
      <c r="M1653" s="211">
        <f t="shared" si="181"/>
        <v>0</v>
      </c>
      <c r="N1653" s="211">
        <f t="shared" si="181"/>
        <v>0</v>
      </c>
      <c r="O1653" s="211">
        <f t="shared" si="181"/>
        <v>0</v>
      </c>
      <c r="P1653" s="211">
        <f t="shared" si="181"/>
        <v>0</v>
      </c>
    </row>
    <row r="1654" spans="1:16" s="219" customFormat="1" ht="45" hidden="1" x14ac:dyDescent="0.25">
      <c r="A1654" s="214"/>
      <c r="B1654" s="237">
        <v>1</v>
      </c>
      <c r="C1654" s="237">
        <v>3</v>
      </c>
      <c r="D1654" s="238" t="s">
        <v>2022</v>
      </c>
      <c r="E1654" s="238" t="s">
        <v>1928</v>
      </c>
      <c r="F1654" s="238" t="s">
        <v>1847</v>
      </c>
      <c r="G1654" s="238" t="s">
        <v>58</v>
      </c>
      <c r="H1654" s="239" t="s">
        <v>3507</v>
      </c>
      <c r="I1654" s="217"/>
      <c r="J1654" s="217"/>
      <c r="K1654" s="217"/>
      <c r="L1654" s="217"/>
      <c r="M1654" s="217"/>
      <c r="N1654" s="217"/>
      <c r="O1654" s="217"/>
      <c r="P1654" s="217"/>
    </row>
    <row r="1655" spans="1:16" s="219" customFormat="1" ht="45" hidden="1" x14ac:dyDescent="0.25">
      <c r="A1655" s="214"/>
      <c r="B1655" s="237">
        <v>1</v>
      </c>
      <c r="C1655" s="237">
        <v>3</v>
      </c>
      <c r="D1655" s="238" t="s">
        <v>2022</v>
      </c>
      <c r="E1655" s="238" t="s">
        <v>1928</v>
      </c>
      <c r="F1655" s="238" t="s">
        <v>1847</v>
      </c>
      <c r="G1655" s="238" t="s">
        <v>75</v>
      </c>
      <c r="H1655" s="239" t="s">
        <v>3508</v>
      </c>
      <c r="I1655" s="217"/>
      <c r="J1655" s="217"/>
      <c r="K1655" s="217"/>
      <c r="L1655" s="217"/>
      <c r="M1655" s="217"/>
      <c r="N1655" s="217"/>
      <c r="O1655" s="217"/>
      <c r="P1655" s="217"/>
    </row>
    <row r="1656" spans="1:16" s="219" customFormat="1" ht="45" hidden="1" x14ac:dyDescent="0.25">
      <c r="A1656" s="214"/>
      <c r="B1656" s="237">
        <v>1</v>
      </c>
      <c r="C1656" s="237">
        <v>3</v>
      </c>
      <c r="D1656" s="238" t="s">
        <v>2022</v>
      </c>
      <c r="E1656" s="238" t="s">
        <v>1928</v>
      </c>
      <c r="F1656" s="238" t="s">
        <v>1847</v>
      </c>
      <c r="G1656" s="238" t="s">
        <v>79</v>
      </c>
      <c r="H1656" s="239" t="s">
        <v>3509</v>
      </c>
      <c r="I1656" s="217"/>
      <c r="J1656" s="217"/>
      <c r="K1656" s="217"/>
      <c r="L1656" s="217"/>
      <c r="M1656" s="217"/>
      <c r="N1656" s="217"/>
      <c r="O1656" s="217"/>
      <c r="P1656" s="217"/>
    </row>
    <row r="1657" spans="1:16" s="219" customFormat="1" ht="45" hidden="1" x14ac:dyDescent="0.25">
      <c r="A1657" s="214"/>
      <c r="B1657" s="237">
        <v>1</v>
      </c>
      <c r="C1657" s="237">
        <v>3</v>
      </c>
      <c r="D1657" s="238" t="s">
        <v>2022</v>
      </c>
      <c r="E1657" s="238" t="s">
        <v>1928</v>
      </c>
      <c r="F1657" s="238" t="s">
        <v>1847</v>
      </c>
      <c r="G1657" s="238" t="s">
        <v>84</v>
      </c>
      <c r="H1657" s="239" t="s">
        <v>3510</v>
      </c>
      <c r="I1657" s="217"/>
      <c r="J1657" s="217"/>
      <c r="K1657" s="217"/>
      <c r="L1657" s="217"/>
      <c r="M1657" s="217"/>
      <c r="N1657" s="217"/>
      <c r="O1657" s="217"/>
      <c r="P1657" s="217"/>
    </row>
    <row r="1658" spans="1:16" s="219" customFormat="1" ht="45" hidden="1" x14ac:dyDescent="0.25">
      <c r="A1658" s="214"/>
      <c r="B1658" s="237">
        <v>1</v>
      </c>
      <c r="C1658" s="237">
        <v>3</v>
      </c>
      <c r="D1658" s="238" t="s">
        <v>2022</v>
      </c>
      <c r="E1658" s="238" t="s">
        <v>1928</v>
      </c>
      <c r="F1658" s="238" t="s">
        <v>1847</v>
      </c>
      <c r="G1658" s="238" t="s">
        <v>88</v>
      </c>
      <c r="H1658" s="239" t="s">
        <v>3511</v>
      </c>
      <c r="I1658" s="217"/>
      <c r="J1658" s="217"/>
      <c r="K1658" s="217"/>
      <c r="L1658" s="217"/>
      <c r="M1658" s="217"/>
      <c r="N1658" s="217"/>
      <c r="O1658" s="217"/>
      <c r="P1658" s="217"/>
    </row>
    <row r="1659" spans="1:16" s="219" customFormat="1" ht="45" hidden="1" x14ac:dyDescent="0.25">
      <c r="A1659" s="214"/>
      <c r="B1659" s="237">
        <v>1</v>
      </c>
      <c r="C1659" s="237">
        <v>3</v>
      </c>
      <c r="D1659" s="238" t="s">
        <v>2022</v>
      </c>
      <c r="E1659" s="238" t="s">
        <v>1928</v>
      </c>
      <c r="F1659" s="238" t="s">
        <v>1847</v>
      </c>
      <c r="G1659" s="238" t="s">
        <v>92</v>
      </c>
      <c r="H1659" s="239" t="s">
        <v>3512</v>
      </c>
      <c r="I1659" s="217"/>
      <c r="J1659" s="217"/>
      <c r="K1659" s="217"/>
      <c r="L1659" s="217"/>
      <c r="M1659" s="217"/>
      <c r="N1659" s="217"/>
      <c r="O1659" s="217"/>
      <c r="P1659" s="217"/>
    </row>
    <row r="1660" spans="1:16" s="219" customFormat="1" ht="45" hidden="1" x14ac:dyDescent="0.25">
      <c r="A1660" s="214"/>
      <c r="B1660" s="237">
        <v>1</v>
      </c>
      <c r="C1660" s="237">
        <v>3</v>
      </c>
      <c r="D1660" s="238" t="s">
        <v>2022</v>
      </c>
      <c r="E1660" s="238" t="s">
        <v>1928</v>
      </c>
      <c r="F1660" s="238" t="s">
        <v>1847</v>
      </c>
      <c r="G1660" s="238" t="s">
        <v>96</v>
      </c>
      <c r="H1660" s="239" t="s">
        <v>3513</v>
      </c>
      <c r="I1660" s="217"/>
      <c r="J1660" s="217"/>
      <c r="K1660" s="217"/>
      <c r="L1660" s="217"/>
      <c r="M1660" s="217"/>
      <c r="N1660" s="217"/>
      <c r="O1660" s="217"/>
      <c r="P1660" s="217"/>
    </row>
    <row r="1661" spans="1:16" s="219" customFormat="1" ht="45" hidden="1" x14ac:dyDescent="0.25">
      <c r="A1661" s="214"/>
      <c r="B1661" s="237">
        <v>1</v>
      </c>
      <c r="C1661" s="237">
        <v>3</v>
      </c>
      <c r="D1661" s="238" t="s">
        <v>2022</v>
      </c>
      <c r="E1661" s="238" t="s">
        <v>1928</v>
      </c>
      <c r="F1661" s="238" t="s">
        <v>1847</v>
      </c>
      <c r="G1661" s="238" t="s">
        <v>100</v>
      </c>
      <c r="H1661" s="239" t="s">
        <v>3514</v>
      </c>
      <c r="I1661" s="217"/>
      <c r="J1661" s="217"/>
      <c r="K1661" s="217"/>
      <c r="L1661" s="217"/>
      <c r="M1661" s="217"/>
      <c r="N1661" s="217"/>
      <c r="O1661" s="217"/>
      <c r="P1661" s="217"/>
    </row>
    <row r="1662" spans="1:16" s="219" customFormat="1" ht="45" hidden="1" x14ac:dyDescent="0.25">
      <c r="A1662" s="214"/>
      <c r="B1662" s="237">
        <v>1</v>
      </c>
      <c r="C1662" s="237">
        <v>3</v>
      </c>
      <c r="D1662" s="238" t="s">
        <v>2022</v>
      </c>
      <c r="E1662" s="238" t="s">
        <v>1928</v>
      </c>
      <c r="F1662" s="238" t="s">
        <v>1847</v>
      </c>
      <c r="G1662" s="238" t="s">
        <v>105</v>
      </c>
      <c r="H1662" s="239" t="s">
        <v>3515</v>
      </c>
      <c r="I1662" s="217"/>
      <c r="J1662" s="217"/>
      <c r="K1662" s="217"/>
      <c r="L1662" s="217"/>
      <c r="M1662" s="217"/>
      <c r="N1662" s="217"/>
      <c r="O1662" s="217"/>
      <c r="P1662" s="217"/>
    </row>
    <row r="1663" spans="1:16" s="219" customFormat="1" ht="45" hidden="1" x14ac:dyDescent="0.25">
      <c r="A1663" s="214"/>
      <c r="B1663" s="237">
        <v>1</v>
      </c>
      <c r="C1663" s="237">
        <v>3</v>
      </c>
      <c r="D1663" s="238" t="s">
        <v>2022</v>
      </c>
      <c r="E1663" s="238" t="s">
        <v>1928</v>
      </c>
      <c r="F1663" s="238" t="s">
        <v>1847</v>
      </c>
      <c r="G1663" s="238" t="s">
        <v>108</v>
      </c>
      <c r="H1663" s="239" t="s">
        <v>3516</v>
      </c>
      <c r="I1663" s="217"/>
      <c r="J1663" s="217"/>
      <c r="K1663" s="217"/>
      <c r="L1663" s="217"/>
      <c r="M1663" s="217"/>
      <c r="N1663" s="217"/>
      <c r="O1663" s="217"/>
      <c r="P1663" s="217"/>
    </row>
    <row r="1664" spans="1:16" s="219" customFormat="1" ht="60" hidden="1" x14ac:dyDescent="0.25">
      <c r="A1664" s="214"/>
      <c r="B1664" s="237">
        <v>1</v>
      </c>
      <c r="C1664" s="237">
        <v>3</v>
      </c>
      <c r="D1664" s="238" t="s">
        <v>2022</v>
      </c>
      <c r="E1664" s="238" t="s">
        <v>1928</v>
      </c>
      <c r="F1664" s="238" t="s">
        <v>1847</v>
      </c>
      <c r="G1664" s="238" t="s">
        <v>135</v>
      </c>
      <c r="H1664" s="239" t="s">
        <v>3517</v>
      </c>
      <c r="I1664" s="217"/>
      <c r="J1664" s="217"/>
      <c r="K1664" s="217"/>
      <c r="L1664" s="217"/>
      <c r="M1664" s="217"/>
      <c r="N1664" s="217"/>
      <c r="O1664" s="217"/>
      <c r="P1664" s="217"/>
    </row>
    <row r="1665" spans="1:16" s="219" customFormat="1" ht="45" hidden="1" x14ac:dyDescent="0.25">
      <c r="A1665" s="214"/>
      <c r="B1665" s="237">
        <v>1</v>
      </c>
      <c r="C1665" s="237">
        <v>3</v>
      </c>
      <c r="D1665" s="238" t="s">
        <v>2022</v>
      </c>
      <c r="E1665" s="238" t="s">
        <v>1928</v>
      </c>
      <c r="F1665" s="238" t="s">
        <v>1847</v>
      </c>
      <c r="G1665" s="238" t="s">
        <v>138</v>
      </c>
      <c r="H1665" s="239" t="s">
        <v>3518</v>
      </c>
      <c r="I1665" s="217"/>
      <c r="J1665" s="217"/>
      <c r="K1665" s="217"/>
      <c r="L1665" s="217"/>
      <c r="M1665" s="217"/>
      <c r="N1665" s="217"/>
      <c r="O1665" s="217"/>
      <c r="P1665" s="217"/>
    </row>
    <row r="1666" spans="1:16" s="219" customFormat="1" ht="45" hidden="1" x14ac:dyDescent="0.25">
      <c r="A1666" s="214"/>
      <c r="B1666" s="237">
        <v>1</v>
      </c>
      <c r="C1666" s="237">
        <v>3</v>
      </c>
      <c r="D1666" s="238" t="s">
        <v>2022</v>
      </c>
      <c r="E1666" s="238" t="s">
        <v>1928</v>
      </c>
      <c r="F1666" s="238" t="s">
        <v>1847</v>
      </c>
      <c r="G1666" s="238" t="s">
        <v>140</v>
      </c>
      <c r="H1666" s="239" t="s">
        <v>3519</v>
      </c>
      <c r="I1666" s="217"/>
      <c r="J1666" s="217"/>
      <c r="K1666" s="217"/>
      <c r="L1666" s="217"/>
      <c r="M1666" s="217"/>
      <c r="N1666" s="217"/>
      <c r="O1666" s="217"/>
      <c r="P1666" s="217"/>
    </row>
    <row r="1667" spans="1:16" s="219" customFormat="1" ht="60" hidden="1" x14ac:dyDescent="0.25">
      <c r="A1667" s="214"/>
      <c r="B1667" s="237">
        <v>1</v>
      </c>
      <c r="C1667" s="237">
        <v>3</v>
      </c>
      <c r="D1667" s="238" t="s">
        <v>2022</v>
      </c>
      <c r="E1667" s="238" t="s">
        <v>1928</v>
      </c>
      <c r="F1667" s="238" t="s">
        <v>1847</v>
      </c>
      <c r="G1667" s="238" t="s">
        <v>143</v>
      </c>
      <c r="H1667" s="239" t="s">
        <v>3520</v>
      </c>
      <c r="I1667" s="217"/>
      <c r="J1667" s="217"/>
      <c r="K1667" s="217"/>
      <c r="L1667" s="217"/>
      <c r="M1667" s="217"/>
      <c r="N1667" s="217"/>
      <c r="O1667" s="217"/>
      <c r="P1667" s="217"/>
    </row>
    <row r="1668" spans="1:16" s="219" customFormat="1" ht="60" hidden="1" x14ac:dyDescent="0.25">
      <c r="A1668" s="214"/>
      <c r="B1668" s="237">
        <v>1</v>
      </c>
      <c r="C1668" s="237">
        <v>3</v>
      </c>
      <c r="D1668" s="238" t="s">
        <v>2022</v>
      </c>
      <c r="E1668" s="238" t="s">
        <v>1928</v>
      </c>
      <c r="F1668" s="238" t="s">
        <v>1847</v>
      </c>
      <c r="G1668" s="238" t="s">
        <v>146</v>
      </c>
      <c r="H1668" s="239" t="s">
        <v>3521</v>
      </c>
      <c r="I1668" s="217"/>
      <c r="J1668" s="217"/>
      <c r="K1668" s="217"/>
      <c r="L1668" s="217"/>
      <c r="M1668" s="217"/>
      <c r="N1668" s="217"/>
      <c r="O1668" s="217"/>
      <c r="P1668" s="217"/>
    </row>
    <row r="1669" spans="1:16" s="219" customFormat="1" ht="60" hidden="1" x14ac:dyDescent="0.25">
      <c r="A1669" s="214"/>
      <c r="B1669" s="237">
        <v>1</v>
      </c>
      <c r="C1669" s="237">
        <v>3</v>
      </c>
      <c r="D1669" s="238" t="s">
        <v>2022</v>
      </c>
      <c r="E1669" s="238" t="s">
        <v>1928</v>
      </c>
      <c r="F1669" s="238" t="s">
        <v>1847</v>
      </c>
      <c r="G1669" s="238" t="s">
        <v>150</v>
      </c>
      <c r="H1669" s="239" t="s">
        <v>3522</v>
      </c>
      <c r="I1669" s="217"/>
      <c r="J1669" s="217"/>
      <c r="K1669" s="217"/>
      <c r="L1669" s="217"/>
      <c r="M1669" s="217"/>
      <c r="N1669" s="217"/>
      <c r="O1669" s="217"/>
      <c r="P1669" s="217"/>
    </row>
    <row r="1670" spans="1:16" s="219" customFormat="1" ht="60" hidden="1" x14ac:dyDescent="0.25">
      <c r="A1670" s="214"/>
      <c r="B1670" s="237">
        <v>1</v>
      </c>
      <c r="C1670" s="237">
        <v>3</v>
      </c>
      <c r="D1670" s="238" t="s">
        <v>2022</v>
      </c>
      <c r="E1670" s="238" t="s">
        <v>1928</v>
      </c>
      <c r="F1670" s="238" t="s">
        <v>1847</v>
      </c>
      <c r="G1670" s="238" t="s">
        <v>153</v>
      </c>
      <c r="H1670" s="239" t="s">
        <v>3523</v>
      </c>
      <c r="I1670" s="217"/>
      <c r="J1670" s="217"/>
      <c r="K1670" s="217"/>
      <c r="L1670" s="217"/>
      <c r="M1670" s="217"/>
      <c r="N1670" s="217"/>
      <c r="O1670" s="217"/>
      <c r="P1670" s="217"/>
    </row>
    <row r="1671" spans="1:16" s="219" customFormat="1" ht="45" hidden="1" x14ac:dyDescent="0.25">
      <c r="A1671" s="214"/>
      <c r="B1671" s="237">
        <v>1</v>
      </c>
      <c r="C1671" s="237">
        <v>3</v>
      </c>
      <c r="D1671" s="238" t="s">
        <v>2022</v>
      </c>
      <c r="E1671" s="238" t="s">
        <v>1928</v>
      </c>
      <c r="F1671" s="238" t="s">
        <v>1847</v>
      </c>
      <c r="G1671" s="238" t="s">
        <v>156</v>
      </c>
      <c r="H1671" s="239" t="s">
        <v>3524</v>
      </c>
      <c r="I1671" s="217"/>
      <c r="J1671" s="217"/>
      <c r="K1671" s="217"/>
      <c r="L1671" s="217"/>
      <c r="M1671" s="217"/>
      <c r="N1671" s="217"/>
      <c r="O1671" s="217"/>
      <c r="P1671" s="217"/>
    </row>
    <row r="1672" spans="1:16" s="219" customFormat="1" ht="60" hidden="1" x14ac:dyDescent="0.25">
      <c r="A1672" s="214"/>
      <c r="B1672" s="237">
        <v>1</v>
      </c>
      <c r="C1672" s="237">
        <v>3</v>
      </c>
      <c r="D1672" s="238" t="s">
        <v>2022</v>
      </c>
      <c r="E1672" s="238" t="s">
        <v>1928</v>
      </c>
      <c r="F1672" s="238" t="s">
        <v>1847</v>
      </c>
      <c r="G1672" s="238" t="s">
        <v>159</v>
      </c>
      <c r="H1672" s="239" t="s">
        <v>3525</v>
      </c>
      <c r="I1672" s="217"/>
      <c r="J1672" s="217"/>
      <c r="K1672" s="217"/>
      <c r="L1672" s="217"/>
      <c r="M1672" s="217"/>
      <c r="N1672" s="217"/>
      <c r="O1672" s="217"/>
      <c r="P1672" s="217"/>
    </row>
    <row r="1673" spans="1:16" s="219" customFormat="1" ht="60" hidden="1" x14ac:dyDescent="0.25">
      <c r="A1673" s="214"/>
      <c r="B1673" s="237">
        <v>1</v>
      </c>
      <c r="C1673" s="237">
        <v>3</v>
      </c>
      <c r="D1673" s="238" t="s">
        <v>2022</v>
      </c>
      <c r="E1673" s="238" t="s">
        <v>1928</v>
      </c>
      <c r="F1673" s="238" t="s">
        <v>1847</v>
      </c>
      <c r="G1673" s="238" t="s">
        <v>162</v>
      </c>
      <c r="H1673" s="239" t="s">
        <v>3526</v>
      </c>
      <c r="I1673" s="217"/>
      <c r="J1673" s="217"/>
      <c r="K1673" s="217"/>
      <c r="L1673" s="217"/>
      <c r="M1673" s="217"/>
      <c r="N1673" s="217"/>
      <c r="O1673" s="217"/>
      <c r="P1673" s="217"/>
    </row>
    <row r="1674" spans="1:16" s="219" customFormat="1" ht="60" hidden="1" x14ac:dyDescent="0.25">
      <c r="A1674" s="214"/>
      <c r="B1674" s="237">
        <v>1</v>
      </c>
      <c r="C1674" s="237">
        <v>3</v>
      </c>
      <c r="D1674" s="238" t="s">
        <v>2022</v>
      </c>
      <c r="E1674" s="238" t="s">
        <v>1928</v>
      </c>
      <c r="F1674" s="238" t="s">
        <v>1847</v>
      </c>
      <c r="G1674" s="238" t="s">
        <v>312</v>
      </c>
      <c r="H1674" s="239" t="s">
        <v>3527</v>
      </c>
      <c r="I1674" s="217"/>
      <c r="J1674" s="217"/>
      <c r="K1674" s="217"/>
      <c r="L1674" s="217"/>
      <c r="M1674" s="217"/>
      <c r="N1674" s="217"/>
      <c r="O1674" s="217"/>
      <c r="P1674" s="217"/>
    </row>
    <row r="1675" spans="1:16" s="219" customFormat="1" ht="45" hidden="1" x14ac:dyDescent="0.25">
      <c r="A1675" s="214"/>
      <c r="B1675" s="237">
        <v>1</v>
      </c>
      <c r="C1675" s="237">
        <v>3</v>
      </c>
      <c r="D1675" s="238" t="s">
        <v>2022</v>
      </c>
      <c r="E1675" s="238" t="s">
        <v>1928</v>
      </c>
      <c r="F1675" s="238" t="s">
        <v>1847</v>
      </c>
      <c r="G1675" s="238" t="s">
        <v>313</v>
      </c>
      <c r="H1675" s="239" t="s">
        <v>3528</v>
      </c>
      <c r="I1675" s="217"/>
      <c r="J1675" s="217"/>
      <c r="K1675" s="217"/>
      <c r="L1675" s="217"/>
      <c r="M1675" s="217"/>
      <c r="N1675" s="217"/>
      <c r="O1675" s="217"/>
      <c r="P1675" s="217"/>
    </row>
    <row r="1676" spans="1:16" s="219" customFormat="1" ht="60" hidden="1" x14ac:dyDescent="0.25">
      <c r="A1676" s="214"/>
      <c r="B1676" s="237">
        <v>1</v>
      </c>
      <c r="C1676" s="237">
        <v>3</v>
      </c>
      <c r="D1676" s="238" t="s">
        <v>2022</v>
      </c>
      <c r="E1676" s="238" t="s">
        <v>1928</v>
      </c>
      <c r="F1676" s="238" t="s">
        <v>1847</v>
      </c>
      <c r="G1676" s="238" t="s">
        <v>559</v>
      </c>
      <c r="H1676" s="239" t="s">
        <v>3529</v>
      </c>
      <c r="I1676" s="217"/>
      <c r="J1676" s="217"/>
      <c r="K1676" s="217"/>
      <c r="L1676" s="217"/>
      <c r="M1676" s="217"/>
      <c r="N1676" s="217"/>
      <c r="O1676" s="217"/>
      <c r="P1676" s="217"/>
    </row>
    <row r="1677" spans="1:16" s="219" customFormat="1" ht="45" hidden="1" x14ac:dyDescent="0.25">
      <c r="A1677" s="214"/>
      <c r="B1677" s="237">
        <v>1</v>
      </c>
      <c r="C1677" s="237">
        <v>3</v>
      </c>
      <c r="D1677" s="238" t="s">
        <v>2022</v>
      </c>
      <c r="E1677" s="238" t="s">
        <v>1928</v>
      </c>
      <c r="F1677" s="238" t="s">
        <v>1847</v>
      </c>
      <c r="G1677" s="238" t="s">
        <v>561</v>
      </c>
      <c r="H1677" s="239" t="s">
        <v>3530</v>
      </c>
      <c r="I1677" s="217"/>
      <c r="J1677" s="217"/>
      <c r="K1677" s="217"/>
      <c r="L1677" s="217"/>
      <c r="M1677" s="217"/>
      <c r="N1677" s="217"/>
      <c r="O1677" s="217"/>
      <c r="P1677" s="217"/>
    </row>
    <row r="1678" spans="1:16" s="219" customFormat="1" ht="60" hidden="1" x14ac:dyDescent="0.25">
      <c r="A1678" s="214"/>
      <c r="B1678" s="237">
        <v>1</v>
      </c>
      <c r="C1678" s="237">
        <v>3</v>
      </c>
      <c r="D1678" s="238" t="s">
        <v>2022</v>
      </c>
      <c r="E1678" s="238" t="s">
        <v>1928</v>
      </c>
      <c r="F1678" s="238" t="s">
        <v>1847</v>
      </c>
      <c r="G1678" s="238" t="s">
        <v>563</v>
      </c>
      <c r="H1678" s="239" t="s">
        <v>3531</v>
      </c>
      <c r="I1678" s="217"/>
      <c r="J1678" s="217"/>
      <c r="K1678" s="217"/>
      <c r="L1678" s="217"/>
      <c r="M1678" s="217"/>
      <c r="N1678" s="217"/>
      <c r="O1678" s="217"/>
      <c r="P1678" s="217"/>
    </row>
    <row r="1679" spans="1:16" s="219" customFormat="1" ht="60" hidden="1" x14ac:dyDescent="0.25">
      <c r="A1679" s="214"/>
      <c r="B1679" s="237">
        <v>1</v>
      </c>
      <c r="C1679" s="237">
        <v>3</v>
      </c>
      <c r="D1679" s="238" t="s">
        <v>2022</v>
      </c>
      <c r="E1679" s="238" t="s">
        <v>1928</v>
      </c>
      <c r="F1679" s="238" t="s">
        <v>1847</v>
      </c>
      <c r="G1679" s="238" t="s">
        <v>227</v>
      </c>
      <c r="H1679" s="239" t="s">
        <v>3532</v>
      </c>
      <c r="I1679" s="217"/>
      <c r="J1679" s="217"/>
      <c r="K1679" s="217"/>
      <c r="L1679" s="217"/>
      <c r="M1679" s="217"/>
      <c r="N1679" s="217"/>
      <c r="O1679" s="217"/>
      <c r="P1679" s="217"/>
    </row>
    <row r="1680" spans="1:16" s="219" customFormat="1" ht="60" hidden="1" x14ac:dyDescent="0.25">
      <c r="A1680" s="214"/>
      <c r="B1680" s="237">
        <v>1</v>
      </c>
      <c r="C1680" s="237">
        <v>3</v>
      </c>
      <c r="D1680" s="238" t="s">
        <v>2022</v>
      </c>
      <c r="E1680" s="238" t="s">
        <v>1928</v>
      </c>
      <c r="F1680" s="238" t="s">
        <v>1847</v>
      </c>
      <c r="G1680" s="238" t="s">
        <v>230</v>
      </c>
      <c r="H1680" s="239" t="s">
        <v>3533</v>
      </c>
      <c r="I1680" s="217"/>
      <c r="J1680" s="217"/>
      <c r="K1680" s="217"/>
      <c r="L1680" s="217"/>
      <c r="M1680" s="217"/>
      <c r="N1680" s="217"/>
      <c r="O1680" s="217"/>
      <c r="P1680" s="217"/>
    </row>
    <row r="1681" spans="1:16" s="219" customFormat="1" ht="60" hidden="1" x14ac:dyDescent="0.25">
      <c r="A1681" s="214"/>
      <c r="B1681" s="237">
        <v>1</v>
      </c>
      <c r="C1681" s="237">
        <v>3</v>
      </c>
      <c r="D1681" s="238" t="s">
        <v>2022</v>
      </c>
      <c r="E1681" s="238" t="s">
        <v>1928</v>
      </c>
      <c r="F1681" s="238" t="s">
        <v>1847</v>
      </c>
      <c r="G1681" s="238" t="s">
        <v>232</v>
      </c>
      <c r="H1681" s="239" t="s">
        <v>3534</v>
      </c>
      <c r="I1681" s="217"/>
      <c r="J1681" s="217"/>
      <c r="K1681" s="217"/>
      <c r="L1681" s="217"/>
      <c r="M1681" s="217"/>
      <c r="N1681" s="217"/>
      <c r="O1681" s="217"/>
      <c r="P1681" s="217"/>
    </row>
    <row r="1682" spans="1:16" s="219" customFormat="1" ht="45" hidden="1" x14ac:dyDescent="0.25">
      <c r="A1682" s="214"/>
      <c r="B1682" s="237">
        <v>1</v>
      </c>
      <c r="C1682" s="237">
        <v>3</v>
      </c>
      <c r="D1682" s="238" t="s">
        <v>2022</v>
      </c>
      <c r="E1682" s="238" t="s">
        <v>1928</v>
      </c>
      <c r="F1682" s="238" t="s">
        <v>1847</v>
      </c>
      <c r="G1682" s="238" t="s">
        <v>234</v>
      </c>
      <c r="H1682" s="239" t="s">
        <v>3535</v>
      </c>
      <c r="I1682" s="217"/>
      <c r="J1682" s="217"/>
      <c r="K1682" s="217"/>
      <c r="L1682" s="217"/>
      <c r="M1682" s="217"/>
      <c r="N1682" s="217"/>
      <c r="O1682" s="217"/>
      <c r="P1682" s="217"/>
    </row>
    <row r="1683" spans="1:16" s="219" customFormat="1" ht="45" hidden="1" x14ac:dyDescent="0.25">
      <c r="A1683" s="214"/>
      <c r="B1683" s="237">
        <v>1</v>
      </c>
      <c r="C1683" s="237">
        <v>3</v>
      </c>
      <c r="D1683" s="238" t="s">
        <v>2022</v>
      </c>
      <c r="E1683" s="238" t="s">
        <v>1928</v>
      </c>
      <c r="F1683" s="238" t="s">
        <v>1847</v>
      </c>
      <c r="G1683" s="238" t="s">
        <v>236</v>
      </c>
      <c r="H1683" s="239" t="s">
        <v>3536</v>
      </c>
      <c r="I1683" s="217"/>
      <c r="J1683" s="217"/>
      <c r="K1683" s="217"/>
      <c r="L1683" s="217"/>
      <c r="M1683" s="217"/>
      <c r="N1683" s="217"/>
      <c r="O1683" s="217"/>
      <c r="P1683" s="217"/>
    </row>
    <row r="1684" spans="1:16" s="219" customFormat="1" ht="45" hidden="1" x14ac:dyDescent="0.25">
      <c r="A1684" s="214"/>
      <c r="B1684" s="237">
        <v>1</v>
      </c>
      <c r="C1684" s="237">
        <v>3</v>
      </c>
      <c r="D1684" s="238" t="s">
        <v>2022</v>
      </c>
      <c r="E1684" s="238" t="s">
        <v>1928</v>
      </c>
      <c r="F1684" s="238" t="s">
        <v>1847</v>
      </c>
      <c r="G1684" s="238" t="s">
        <v>238</v>
      </c>
      <c r="H1684" s="239" t="s">
        <v>3537</v>
      </c>
      <c r="I1684" s="217"/>
      <c r="J1684" s="217"/>
      <c r="K1684" s="217"/>
      <c r="L1684" s="217"/>
      <c r="M1684" s="217"/>
      <c r="N1684" s="217"/>
      <c r="O1684" s="217"/>
      <c r="P1684" s="217"/>
    </row>
    <row r="1685" spans="1:16" s="219" customFormat="1" ht="45" hidden="1" x14ac:dyDescent="0.25">
      <c r="A1685" s="214"/>
      <c r="B1685" s="237">
        <v>1</v>
      </c>
      <c r="C1685" s="237">
        <v>3</v>
      </c>
      <c r="D1685" s="238" t="s">
        <v>2022</v>
      </c>
      <c r="E1685" s="238" t="s">
        <v>1928</v>
      </c>
      <c r="F1685" s="238" t="s">
        <v>1847</v>
      </c>
      <c r="G1685" s="238" t="s">
        <v>240</v>
      </c>
      <c r="H1685" s="239" t="s">
        <v>3538</v>
      </c>
      <c r="I1685" s="217"/>
      <c r="J1685" s="217"/>
      <c r="K1685" s="217"/>
      <c r="L1685" s="217"/>
      <c r="M1685" s="217"/>
      <c r="N1685" s="217"/>
      <c r="O1685" s="217"/>
      <c r="P1685" s="217"/>
    </row>
    <row r="1686" spans="1:16" s="219" customFormat="1" ht="45" hidden="1" x14ac:dyDescent="0.25">
      <c r="A1686" s="214"/>
      <c r="B1686" s="237">
        <v>1</v>
      </c>
      <c r="C1686" s="237">
        <v>3</v>
      </c>
      <c r="D1686" s="238" t="s">
        <v>2022</v>
      </c>
      <c r="E1686" s="238" t="s">
        <v>1928</v>
      </c>
      <c r="F1686" s="238" t="s">
        <v>1847</v>
      </c>
      <c r="G1686" s="238" t="s">
        <v>242</v>
      </c>
      <c r="H1686" s="239" t="s">
        <v>3539</v>
      </c>
      <c r="I1686" s="217"/>
      <c r="J1686" s="217"/>
      <c r="K1686" s="217"/>
      <c r="L1686" s="217"/>
      <c r="M1686" s="217"/>
      <c r="N1686" s="217"/>
      <c r="O1686" s="217"/>
      <c r="P1686" s="217"/>
    </row>
    <row r="1687" spans="1:16" s="219" customFormat="1" ht="45" hidden="1" x14ac:dyDescent="0.25">
      <c r="A1687" s="214"/>
      <c r="B1687" s="237">
        <v>1</v>
      </c>
      <c r="C1687" s="237">
        <v>3</v>
      </c>
      <c r="D1687" s="238" t="s">
        <v>2022</v>
      </c>
      <c r="E1687" s="238" t="s">
        <v>1928</v>
      </c>
      <c r="F1687" s="238" t="s">
        <v>1847</v>
      </c>
      <c r="G1687" s="238" t="s">
        <v>244</v>
      </c>
      <c r="H1687" s="239" t="s">
        <v>3540</v>
      </c>
      <c r="I1687" s="217"/>
      <c r="J1687" s="217"/>
      <c r="K1687" s="217"/>
      <c r="L1687" s="217"/>
      <c r="M1687" s="217"/>
      <c r="N1687" s="217"/>
      <c r="O1687" s="217"/>
      <c r="P1687" s="217"/>
    </row>
    <row r="1688" spans="1:16" s="219" customFormat="1" ht="45" hidden="1" x14ac:dyDescent="0.25">
      <c r="A1688" s="214"/>
      <c r="B1688" s="237">
        <v>1</v>
      </c>
      <c r="C1688" s="237">
        <v>3</v>
      </c>
      <c r="D1688" s="238" t="s">
        <v>2022</v>
      </c>
      <c r="E1688" s="238" t="s">
        <v>1928</v>
      </c>
      <c r="F1688" s="238" t="s">
        <v>1847</v>
      </c>
      <c r="G1688" s="238" t="s">
        <v>246</v>
      </c>
      <c r="H1688" s="239" t="s">
        <v>3541</v>
      </c>
      <c r="I1688" s="217"/>
      <c r="J1688" s="217"/>
      <c r="K1688" s="217"/>
      <c r="L1688" s="217"/>
      <c r="M1688" s="217"/>
      <c r="N1688" s="217"/>
      <c r="O1688" s="217"/>
      <c r="P1688" s="217"/>
    </row>
    <row r="1689" spans="1:16" s="219" customFormat="1" ht="30" hidden="1" x14ac:dyDescent="0.25">
      <c r="A1689" s="214"/>
      <c r="B1689" s="237">
        <v>1</v>
      </c>
      <c r="C1689" s="237">
        <v>3</v>
      </c>
      <c r="D1689" s="238" t="s">
        <v>2022</v>
      </c>
      <c r="E1689" s="238" t="s">
        <v>1928</v>
      </c>
      <c r="F1689" s="238" t="s">
        <v>1847</v>
      </c>
      <c r="G1689" s="238" t="s">
        <v>407</v>
      </c>
      <c r="H1689" s="239" t="s">
        <v>3542</v>
      </c>
      <c r="I1689" s="217"/>
      <c r="J1689" s="217"/>
      <c r="K1689" s="217"/>
      <c r="L1689" s="217"/>
      <c r="M1689" s="217"/>
      <c r="N1689" s="217"/>
      <c r="O1689" s="217"/>
      <c r="P1689" s="217"/>
    </row>
    <row r="1690" spans="1:16" s="219" customFormat="1" ht="45" hidden="1" x14ac:dyDescent="0.25">
      <c r="A1690" s="214"/>
      <c r="B1690" s="237">
        <v>1</v>
      </c>
      <c r="C1690" s="237">
        <v>3</v>
      </c>
      <c r="D1690" s="238" t="s">
        <v>2022</v>
      </c>
      <c r="E1690" s="238" t="s">
        <v>1928</v>
      </c>
      <c r="F1690" s="238" t="s">
        <v>1847</v>
      </c>
      <c r="G1690" s="238" t="s">
        <v>408</v>
      </c>
      <c r="H1690" s="239" t="s">
        <v>3543</v>
      </c>
      <c r="I1690" s="217"/>
      <c r="J1690" s="217"/>
      <c r="K1690" s="217"/>
      <c r="L1690" s="217"/>
      <c r="M1690" s="217"/>
      <c r="N1690" s="217"/>
      <c r="O1690" s="217"/>
      <c r="P1690" s="217"/>
    </row>
    <row r="1691" spans="1:16" s="219" customFormat="1" ht="45" hidden="1" x14ac:dyDescent="0.25">
      <c r="A1691" s="214"/>
      <c r="B1691" s="237">
        <v>1</v>
      </c>
      <c r="C1691" s="237">
        <v>3</v>
      </c>
      <c r="D1691" s="238" t="s">
        <v>2022</v>
      </c>
      <c r="E1691" s="238" t="s">
        <v>1928</v>
      </c>
      <c r="F1691" s="238" t="s">
        <v>1847</v>
      </c>
      <c r="G1691" s="238" t="s">
        <v>409</v>
      </c>
      <c r="H1691" s="239" t="s">
        <v>3544</v>
      </c>
      <c r="I1691" s="217"/>
      <c r="J1691" s="217"/>
      <c r="K1691" s="217"/>
      <c r="L1691" s="217"/>
      <c r="M1691" s="217"/>
      <c r="N1691" s="217"/>
      <c r="O1691" s="217"/>
      <c r="P1691" s="217"/>
    </row>
    <row r="1692" spans="1:16" s="219" customFormat="1" ht="30" hidden="1" x14ac:dyDescent="0.25">
      <c r="A1692" s="214"/>
      <c r="B1692" s="237">
        <v>1</v>
      </c>
      <c r="C1692" s="237">
        <v>3</v>
      </c>
      <c r="D1692" s="238" t="s">
        <v>2022</v>
      </c>
      <c r="E1692" s="238" t="s">
        <v>1928</v>
      </c>
      <c r="F1692" s="238" t="s">
        <v>1847</v>
      </c>
      <c r="G1692" s="238" t="s">
        <v>788</v>
      </c>
      <c r="H1692" s="239" t="s">
        <v>3545</v>
      </c>
      <c r="I1692" s="217"/>
      <c r="J1692" s="217"/>
      <c r="K1692" s="217"/>
      <c r="L1692" s="217"/>
      <c r="M1692" s="217"/>
      <c r="N1692" s="217"/>
      <c r="O1692" s="217"/>
      <c r="P1692" s="217"/>
    </row>
    <row r="1693" spans="1:16" s="219" customFormat="1" ht="45" hidden="1" x14ac:dyDescent="0.25">
      <c r="A1693" s="214"/>
      <c r="B1693" s="237">
        <v>1</v>
      </c>
      <c r="C1693" s="237">
        <v>3</v>
      </c>
      <c r="D1693" s="238" t="s">
        <v>2022</v>
      </c>
      <c r="E1693" s="238" t="s">
        <v>1928</v>
      </c>
      <c r="F1693" s="238" t="s">
        <v>1847</v>
      </c>
      <c r="G1693" s="238" t="s">
        <v>1017</v>
      </c>
      <c r="H1693" s="239" t="s">
        <v>3546</v>
      </c>
      <c r="I1693" s="217"/>
      <c r="J1693" s="217"/>
      <c r="K1693" s="217"/>
      <c r="L1693" s="217"/>
      <c r="M1693" s="217"/>
      <c r="N1693" s="217"/>
      <c r="O1693" s="217"/>
      <c r="P1693" s="217"/>
    </row>
    <row r="1694" spans="1:16" s="219" customFormat="1" ht="45" hidden="1" x14ac:dyDescent="0.25">
      <c r="A1694" s="214"/>
      <c r="B1694" s="237">
        <v>1</v>
      </c>
      <c r="C1694" s="237">
        <v>3</v>
      </c>
      <c r="D1694" s="238" t="s">
        <v>2022</v>
      </c>
      <c r="E1694" s="238" t="s">
        <v>1928</v>
      </c>
      <c r="F1694" s="238" t="s">
        <v>1847</v>
      </c>
      <c r="G1694" s="238" t="s">
        <v>411</v>
      </c>
      <c r="H1694" s="239" t="s">
        <v>3547</v>
      </c>
      <c r="I1694" s="217"/>
      <c r="J1694" s="217"/>
      <c r="K1694" s="217"/>
      <c r="L1694" s="217"/>
      <c r="M1694" s="217"/>
      <c r="N1694" s="217"/>
      <c r="O1694" s="217"/>
      <c r="P1694" s="217"/>
    </row>
    <row r="1695" spans="1:16" s="219" customFormat="1" ht="45" hidden="1" x14ac:dyDescent="0.25">
      <c r="A1695" s="214"/>
      <c r="B1695" s="237">
        <v>1</v>
      </c>
      <c r="C1695" s="237">
        <v>3</v>
      </c>
      <c r="D1695" s="238" t="s">
        <v>2022</v>
      </c>
      <c r="E1695" s="238" t="s">
        <v>1928</v>
      </c>
      <c r="F1695" s="238" t="s">
        <v>1847</v>
      </c>
      <c r="G1695" s="238" t="s">
        <v>247</v>
      </c>
      <c r="H1695" s="239" t="s">
        <v>3548</v>
      </c>
      <c r="I1695" s="217"/>
      <c r="J1695" s="217"/>
      <c r="K1695" s="217"/>
      <c r="L1695" s="217"/>
      <c r="M1695" s="217"/>
      <c r="N1695" s="217"/>
      <c r="O1695" s="217"/>
      <c r="P1695" s="217"/>
    </row>
    <row r="1696" spans="1:16" s="219" customFormat="1" ht="45" hidden="1" x14ac:dyDescent="0.25">
      <c r="A1696" s="214"/>
      <c r="B1696" s="237">
        <v>1</v>
      </c>
      <c r="C1696" s="237">
        <v>3</v>
      </c>
      <c r="D1696" s="238" t="s">
        <v>2022</v>
      </c>
      <c r="E1696" s="238" t="s">
        <v>1928</v>
      </c>
      <c r="F1696" s="238" t="s">
        <v>1847</v>
      </c>
      <c r="G1696" s="238" t="s">
        <v>1019</v>
      </c>
      <c r="H1696" s="239" t="s">
        <v>3549</v>
      </c>
      <c r="I1696" s="217"/>
      <c r="J1696" s="217"/>
      <c r="K1696" s="217"/>
      <c r="L1696" s="217"/>
      <c r="M1696" s="217"/>
      <c r="N1696" s="217"/>
      <c r="O1696" s="217"/>
      <c r="P1696" s="217"/>
    </row>
    <row r="1697" spans="1:16" s="219" customFormat="1" ht="30" hidden="1" x14ac:dyDescent="0.25">
      <c r="A1697" s="214"/>
      <c r="B1697" s="237">
        <v>1</v>
      </c>
      <c r="C1697" s="237">
        <v>3</v>
      </c>
      <c r="D1697" s="238" t="s">
        <v>2022</v>
      </c>
      <c r="E1697" s="238" t="s">
        <v>1928</v>
      </c>
      <c r="F1697" s="238" t="s">
        <v>1847</v>
      </c>
      <c r="G1697" s="238" t="s">
        <v>1022</v>
      </c>
      <c r="H1697" s="239" t="s">
        <v>3550</v>
      </c>
      <c r="I1697" s="217"/>
      <c r="J1697" s="217"/>
      <c r="K1697" s="217"/>
      <c r="L1697" s="217"/>
      <c r="M1697" s="217"/>
      <c r="N1697" s="217"/>
      <c r="O1697" s="217"/>
      <c r="P1697" s="217"/>
    </row>
    <row r="1698" spans="1:16" s="213" customFormat="1" ht="30" hidden="1" x14ac:dyDescent="0.25">
      <c r="A1698" s="208" t="s">
        <v>263</v>
      </c>
      <c r="B1698" s="234">
        <v>1</v>
      </c>
      <c r="C1698" s="234">
        <v>3</v>
      </c>
      <c r="D1698" s="235" t="s">
        <v>2022</v>
      </c>
      <c r="E1698" s="235" t="s">
        <v>1928</v>
      </c>
      <c r="F1698" s="235" t="s">
        <v>1928</v>
      </c>
      <c r="G1698" s="234"/>
      <c r="H1698" s="236" t="s">
        <v>3551</v>
      </c>
      <c r="I1698" s="211">
        <f>SUM(I1699:I1716)</f>
        <v>0</v>
      </c>
      <c r="J1698" s="211">
        <f t="shared" ref="J1698:P1698" si="182">SUM(J1699:J1716)</f>
        <v>0</v>
      </c>
      <c r="K1698" s="211">
        <f t="shared" si="182"/>
        <v>0</v>
      </c>
      <c r="L1698" s="211">
        <f t="shared" si="182"/>
        <v>0</v>
      </c>
      <c r="M1698" s="211">
        <f t="shared" si="182"/>
        <v>0</v>
      </c>
      <c r="N1698" s="211">
        <f t="shared" si="182"/>
        <v>0</v>
      </c>
      <c r="O1698" s="211">
        <f t="shared" si="182"/>
        <v>0</v>
      </c>
      <c r="P1698" s="211">
        <f t="shared" si="182"/>
        <v>0</v>
      </c>
    </row>
    <row r="1699" spans="1:16" s="219" customFormat="1" ht="45" hidden="1" x14ac:dyDescent="0.25">
      <c r="A1699" s="214"/>
      <c r="B1699" s="237">
        <v>1</v>
      </c>
      <c r="C1699" s="237">
        <v>3</v>
      </c>
      <c r="D1699" s="238" t="s">
        <v>2022</v>
      </c>
      <c r="E1699" s="238" t="s">
        <v>1928</v>
      </c>
      <c r="F1699" s="238" t="s">
        <v>1928</v>
      </c>
      <c r="G1699" s="238" t="s">
        <v>58</v>
      </c>
      <c r="H1699" s="239" t="s">
        <v>3552</v>
      </c>
      <c r="I1699" s="217"/>
      <c r="J1699" s="217"/>
      <c r="K1699" s="217"/>
      <c r="L1699" s="217"/>
      <c r="M1699" s="217"/>
      <c r="N1699" s="217"/>
      <c r="O1699" s="217"/>
      <c r="P1699" s="217"/>
    </row>
    <row r="1700" spans="1:16" s="219" customFormat="1" ht="45" hidden="1" x14ac:dyDescent="0.25">
      <c r="A1700" s="214"/>
      <c r="B1700" s="237">
        <v>1</v>
      </c>
      <c r="C1700" s="237">
        <v>3</v>
      </c>
      <c r="D1700" s="238" t="s">
        <v>2022</v>
      </c>
      <c r="E1700" s="238" t="s">
        <v>1928</v>
      </c>
      <c r="F1700" s="238" t="s">
        <v>1928</v>
      </c>
      <c r="G1700" s="238" t="s">
        <v>75</v>
      </c>
      <c r="H1700" s="239" t="s">
        <v>3553</v>
      </c>
      <c r="I1700" s="217"/>
      <c r="J1700" s="217"/>
      <c r="K1700" s="217"/>
      <c r="L1700" s="217"/>
      <c r="M1700" s="217"/>
      <c r="N1700" s="217"/>
      <c r="O1700" s="217"/>
      <c r="P1700" s="217"/>
    </row>
    <row r="1701" spans="1:16" s="219" customFormat="1" ht="45" hidden="1" x14ac:dyDescent="0.25">
      <c r="A1701" s="214"/>
      <c r="B1701" s="237">
        <v>1</v>
      </c>
      <c r="C1701" s="237">
        <v>3</v>
      </c>
      <c r="D1701" s="238" t="s">
        <v>2022</v>
      </c>
      <c r="E1701" s="238" t="s">
        <v>1928</v>
      </c>
      <c r="F1701" s="238" t="s">
        <v>1928</v>
      </c>
      <c r="G1701" s="238" t="s">
        <v>79</v>
      </c>
      <c r="H1701" s="239" t="s">
        <v>3554</v>
      </c>
      <c r="I1701" s="217"/>
      <c r="J1701" s="217"/>
      <c r="K1701" s="217"/>
      <c r="L1701" s="217"/>
      <c r="M1701" s="217"/>
      <c r="N1701" s="217"/>
      <c r="O1701" s="217"/>
      <c r="P1701" s="217"/>
    </row>
    <row r="1702" spans="1:16" s="219" customFormat="1" ht="45" hidden="1" x14ac:dyDescent="0.25">
      <c r="A1702" s="214"/>
      <c r="B1702" s="237">
        <v>1</v>
      </c>
      <c r="C1702" s="237">
        <v>3</v>
      </c>
      <c r="D1702" s="238" t="s">
        <v>2022</v>
      </c>
      <c r="E1702" s="238" t="s">
        <v>1928</v>
      </c>
      <c r="F1702" s="238" t="s">
        <v>1928</v>
      </c>
      <c r="G1702" s="238" t="s">
        <v>84</v>
      </c>
      <c r="H1702" s="239" t="s">
        <v>3555</v>
      </c>
      <c r="I1702" s="217"/>
      <c r="J1702" s="217"/>
      <c r="K1702" s="217"/>
      <c r="L1702" s="217"/>
      <c r="M1702" s="217"/>
      <c r="N1702" s="217"/>
      <c r="O1702" s="217"/>
      <c r="P1702" s="217"/>
    </row>
    <row r="1703" spans="1:16" s="219" customFormat="1" ht="45" hidden="1" x14ac:dyDescent="0.25">
      <c r="A1703" s="214"/>
      <c r="B1703" s="237">
        <v>1</v>
      </c>
      <c r="C1703" s="237">
        <v>3</v>
      </c>
      <c r="D1703" s="238" t="s">
        <v>2022</v>
      </c>
      <c r="E1703" s="238" t="s">
        <v>1928</v>
      </c>
      <c r="F1703" s="238" t="s">
        <v>1928</v>
      </c>
      <c r="G1703" s="238" t="s">
        <v>88</v>
      </c>
      <c r="H1703" s="239" t="s">
        <v>3556</v>
      </c>
      <c r="I1703" s="217"/>
      <c r="J1703" s="217"/>
      <c r="K1703" s="217"/>
      <c r="L1703" s="217"/>
      <c r="M1703" s="217"/>
      <c r="N1703" s="217"/>
      <c r="O1703" s="217"/>
      <c r="P1703" s="217"/>
    </row>
    <row r="1704" spans="1:16" s="219" customFormat="1" ht="30" hidden="1" x14ac:dyDescent="0.25">
      <c r="A1704" s="214"/>
      <c r="B1704" s="237">
        <v>1</v>
      </c>
      <c r="C1704" s="237">
        <v>3</v>
      </c>
      <c r="D1704" s="238" t="s">
        <v>2022</v>
      </c>
      <c r="E1704" s="238" t="s">
        <v>1928</v>
      </c>
      <c r="F1704" s="238" t="s">
        <v>1928</v>
      </c>
      <c r="G1704" s="238" t="s">
        <v>92</v>
      </c>
      <c r="H1704" s="239" t="s">
        <v>3557</v>
      </c>
      <c r="I1704" s="217"/>
      <c r="J1704" s="217"/>
      <c r="K1704" s="217"/>
      <c r="L1704" s="217"/>
      <c r="M1704" s="217"/>
      <c r="N1704" s="217"/>
      <c r="O1704" s="217"/>
      <c r="P1704" s="217"/>
    </row>
    <row r="1705" spans="1:16" s="219" customFormat="1" ht="30" hidden="1" x14ac:dyDescent="0.25">
      <c r="A1705" s="214"/>
      <c r="B1705" s="237">
        <v>1</v>
      </c>
      <c r="C1705" s="237">
        <v>3</v>
      </c>
      <c r="D1705" s="238" t="s">
        <v>2022</v>
      </c>
      <c r="E1705" s="238" t="s">
        <v>1928</v>
      </c>
      <c r="F1705" s="238" t="s">
        <v>1928</v>
      </c>
      <c r="G1705" s="238" t="s">
        <v>96</v>
      </c>
      <c r="H1705" s="239" t="s">
        <v>3558</v>
      </c>
      <c r="I1705" s="217"/>
      <c r="J1705" s="217"/>
      <c r="K1705" s="217"/>
      <c r="L1705" s="217"/>
      <c r="M1705" s="217"/>
      <c r="N1705" s="217"/>
      <c r="O1705" s="217"/>
      <c r="P1705" s="217"/>
    </row>
    <row r="1706" spans="1:16" s="219" customFormat="1" ht="45" hidden="1" x14ac:dyDescent="0.25">
      <c r="A1706" s="214"/>
      <c r="B1706" s="237">
        <v>1</v>
      </c>
      <c r="C1706" s="237">
        <v>3</v>
      </c>
      <c r="D1706" s="238" t="s">
        <v>2022</v>
      </c>
      <c r="E1706" s="238" t="s">
        <v>1928</v>
      </c>
      <c r="F1706" s="238" t="s">
        <v>1928</v>
      </c>
      <c r="G1706" s="238" t="s">
        <v>100</v>
      </c>
      <c r="H1706" s="239" t="s">
        <v>3559</v>
      </c>
      <c r="I1706" s="217"/>
      <c r="J1706" s="217"/>
      <c r="K1706" s="217"/>
      <c r="L1706" s="217"/>
      <c r="M1706" s="217"/>
      <c r="N1706" s="217"/>
      <c r="O1706" s="217"/>
      <c r="P1706" s="217"/>
    </row>
    <row r="1707" spans="1:16" s="219" customFormat="1" ht="45" hidden="1" x14ac:dyDescent="0.25">
      <c r="A1707" s="214"/>
      <c r="B1707" s="237">
        <v>1</v>
      </c>
      <c r="C1707" s="237">
        <v>3</v>
      </c>
      <c r="D1707" s="238" t="s">
        <v>2022</v>
      </c>
      <c r="E1707" s="238" t="s">
        <v>1928</v>
      </c>
      <c r="F1707" s="238" t="s">
        <v>1928</v>
      </c>
      <c r="G1707" s="238" t="s">
        <v>105</v>
      </c>
      <c r="H1707" s="239" t="s">
        <v>3560</v>
      </c>
      <c r="I1707" s="217"/>
      <c r="J1707" s="217"/>
      <c r="K1707" s="217"/>
      <c r="L1707" s="217"/>
      <c r="M1707" s="217"/>
      <c r="N1707" s="217"/>
      <c r="O1707" s="217"/>
      <c r="P1707" s="217"/>
    </row>
    <row r="1708" spans="1:16" s="219" customFormat="1" ht="45" hidden="1" x14ac:dyDescent="0.25">
      <c r="A1708" s="214"/>
      <c r="B1708" s="237">
        <v>1</v>
      </c>
      <c r="C1708" s="237">
        <v>3</v>
      </c>
      <c r="D1708" s="238" t="s">
        <v>2022</v>
      </c>
      <c r="E1708" s="238" t="s">
        <v>1928</v>
      </c>
      <c r="F1708" s="238" t="s">
        <v>1928</v>
      </c>
      <c r="G1708" s="238" t="s">
        <v>108</v>
      </c>
      <c r="H1708" s="239" t="s">
        <v>3561</v>
      </c>
      <c r="I1708" s="217"/>
      <c r="J1708" s="217"/>
      <c r="K1708" s="217"/>
      <c r="L1708" s="217"/>
      <c r="M1708" s="217"/>
      <c r="N1708" s="217"/>
      <c r="O1708" s="217"/>
      <c r="P1708" s="217"/>
    </row>
    <row r="1709" spans="1:16" s="219" customFormat="1" ht="45" hidden="1" x14ac:dyDescent="0.25">
      <c r="A1709" s="214"/>
      <c r="B1709" s="237">
        <v>1</v>
      </c>
      <c r="C1709" s="237">
        <v>3</v>
      </c>
      <c r="D1709" s="238" t="s">
        <v>2022</v>
      </c>
      <c r="E1709" s="238" t="s">
        <v>1928</v>
      </c>
      <c r="F1709" s="238" t="s">
        <v>1928</v>
      </c>
      <c r="G1709" s="238" t="s">
        <v>135</v>
      </c>
      <c r="H1709" s="239" t="s">
        <v>3562</v>
      </c>
      <c r="I1709" s="217"/>
      <c r="J1709" s="217"/>
      <c r="K1709" s="217"/>
      <c r="L1709" s="217"/>
      <c r="M1709" s="217"/>
      <c r="N1709" s="217"/>
      <c r="O1709" s="217"/>
      <c r="P1709" s="217"/>
    </row>
    <row r="1710" spans="1:16" s="219" customFormat="1" ht="45" hidden="1" x14ac:dyDescent="0.25">
      <c r="A1710" s="214"/>
      <c r="B1710" s="237">
        <v>1</v>
      </c>
      <c r="C1710" s="237">
        <v>3</v>
      </c>
      <c r="D1710" s="238" t="s">
        <v>2022</v>
      </c>
      <c r="E1710" s="238" t="s">
        <v>1928</v>
      </c>
      <c r="F1710" s="238" t="s">
        <v>1928</v>
      </c>
      <c r="G1710" s="238" t="s">
        <v>138</v>
      </c>
      <c r="H1710" s="239" t="s">
        <v>3563</v>
      </c>
      <c r="I1710" s="217"/>
      <c r="J1710" s="217"/>
      <c r="K1710" s="217"/>
      <c r="L1710" s="217"/>
      <c r="M1710" s="217"/>
      <c r="N1710" s="217"/>
      <c r="O1710" s="217"/>
      <c r="P1710" s="217"/>
    </row>
    <row r="1711" spans="1:16" s="219" customFormat="1" ht="45" hidden="1" x14ac:dyDescent="0.25">
      <c r="A1711" s="214"/>
      <c r="B1711" s="237">
        <v>1</v>
      </c>
      <c r="C1711" s="237">
        <v>3</v>
      </c>
      <c r="D1711" s="238" t="s">
        <v>2022</v>
      </c>
      <c r="E1711" s="238" t="s">
        <v>1928</v>
      </c>
      <c r="F1711" s="238" t="s">
        <v>1928</v>
      </c>
      <c r="G1711" s="238" t="s">
        <v>140</v>
      </c>
      <c r="H1711" s="239" t="s">
        <v>3564</v>
      </c>
      <c r="I1711" s="217"/>
      <c r="J1711" s="217"/>
      <c r="K1711" s="217"/>
      <c r="L1711" s="217"/>
      <c r="M1711" s="217"/>
      <c r="N1711" s="217"/>
      <c r="O1711" s="217"/>
      <c r="P1711" s="217"/>
    </row>
    <row r="1712" spans="1:16" s="219" customFormat="1" ht="45" hidden="1" x14ac:dyDescent="0.25">
      <c r="A1712" s="214"/>
      <c r="B1712" s="237">
        <v>1</v>
      </c>
      <c r="C1712" s="237">
        <v>3</v>
      </c>
      <c r="D1712" s="238" t="s">
        <v>2022</v>
      </c>
      <c r="E1712" s="238" t="s">
        <v>1928</v>
      </c>
      <c r="F1712" s="238" t="s">
        <v>1928</v>
      </c>
      <c r="G1712" s="238" t="s">
        <v>143</v>
      </c>
      <c r="H1712" s="239" t="s">
        <v>3565</v>
      </c>
      <c r="I1712" s="217"/>
      <c r="J1712" s="217"/>
      <c r="K1712" s="217"/>
      <c r="L1712" s="217"/>
      <c r="M1712" s="217"/>
      <c r="N1712" s="217"/>
      <c r="O1712" s="217"/>
      <c r="P1712" s="217"/>
    </row>
    <row r="1713" spans="1:16" s="219" customFormat="1" ht="45" hidden="1" x14ac:dyDescent="0.25">
      <c r="A1713" s="214"/>
      <c r="B1713" s="237">
        <v>1</v>
      </c>
      <c r="C1713" s="237">
        <v>3</v>
      </c>
      <c r="D1713" s="238" t="s">
        <v>2022</v>
      </c>
      <c r="E1713" s="238" t="s">
        <v>1928</v>
      </c>
      <c r="F1713" s="238" t="s">
        <v>1928</v>
      </c>
      <c r="G1713" s="238" t="s">
        <v>146</v>
      </c>
      <c r="H1713" s="239" t="s">
        <v>3566</v>
      </c>
      <c r="I1713" s="217"/>
      <c r="J1713" s="217"/>
      <c r="K1713" s="217"/>
      <c r="L1713" s="217"/>
      <c r="M1713" s="217"/>
      <c r="N1713" s="217"/>
      <c r="O1713" s="217"/>
      <c r="P1713" s="217"/>
    </row>
    <row r="1714" spans="1:16" s="219" customFormat="1" ht="30" hidden="1" x14ac:dyDescent="0.25">
      <c r="A1714" s="214"/>
      <c r="B1714" s="237">
        <v>1</v>
      </c>
      <c r="C1714" s="237">
        <v>3</v>
      </c>
      <c r="D1714" s="238" t="s">
        <v>2022</v>
      </c>
      <c r="E1714" s="238" t="s">
        <v>1928</v>
      </c>
      <c r="F1714" s="238" t="s">
        <v>1928</v>
      </c>
      <c r="G1714" s="238" t="s">
        <v>150</v>
      </c>
      <c r="H1714" s="239" t="s">
        <v>3567</v>
      </c>
      <c r="I1714" s="217"/>
      <c r="J1714" s="217"/>
      <c r="K1714" s="217"/>
      <c r="L1714" s="217"/>
      <c r="M1714" s="217"/>
      <c r="N1714" s="217"/>
      <c r="O1714" s="217"/>
      <c r="P1714" s="217"/>
    </row>
    <row r="1715" spans="1:16" s="219" customFormat="1" ht="30" hidden="1" x14ac:dyDescent="0.25">
      <c r="A1715" s="214"/>
      <c r="B1715" s="237">
        <v>1</v>
      </c>
      <c r="C1715" s="237">
        <v>3</v>
      </c>
      <c r="D1715" s="238" t="s">
        <v>2022</v>
      </c>
      <c r="E1715" s="238" t="s">
        <v>1928</v>
      </c>
      <c r="F1715" s="238" t="s">
        <v>1928</v>
      </c>
      <c r="G1715" s="238" t="s">
        <v>153</v>
      </c>
      <c r="H1715" s="239" t="s">
        <v>3568</v>
      </c>
      <c r="I1715" s="217"/>
      <c r="J1715" s="217"/>
      <c r="K1715" s="217"/>
      <c r="L1715" s="217"/>
      <c r="M1715" s="217"/>
      <c r="N1715" s="217"/>
      <c r="O1715" s="217"/>
      <c r="P1715" s="217"/>
    </row>
    <row r="1716" spans="1:16" s="219" customFormat="1" ht="30" hidden="1" x14ac:dyDescent="0.25">
      <c r="A1716" s="214"/>
      <c r="B1716" s="237">
        <v>1</v>
      </c>
      <c r="C1716" s="237">
        <v>3</v>
      </c>
      <c r="D1716" s="238" t="s">
        <v>2022</v>
      </c>
      <c r="E1716" s="238" t="s">
        <v>1928</v>
      </c>
      <c r="F1716" s="238" t="s">
        <v>1928</v>
      </c>
      <c r="G1716" s="238" t="s">
        <v>156</v>
      </c>
      <c r="H1716" s="239" t="s">
        <v>3569</v>
      </c>
      <c r="I1716" s="217"/>
      <c r="J1716" s="217"/>
      <c r="K1716" s="217"/>
      <c r="L1716" s="217"/>
      <c r="M1716" s="217"/>
      <c r="N1716" s="217"/>
      <c r="O1716" s="217"/>
      <c r="P1716" s="217"/>
    </row>
    <row r="1717" spans="1:16" s="213" customFormat="1" ht="30" hidden="1" x14ac:dyDescent="0.25">
      <c r="A1717" s="208" t="s">
        <v>1997</v>
      </c>
      <c r="B1717" s="234">
        <v>1</v>
      </c>
      <c r="C1717" s="234">
        <v>3</v>
      </c>
      <c r="D1717" s="235" t="s">
        <v>2022</v>
      </c>
      <c r="E1717" s="235" t="s">
        <v>1934</v>
      </c>
      <c r="F1717" s="234"/>
      <c r="G1717" s="234"/>
      <c r="H1717" s="236" t="s">
        <v>3570</v>
      </c>
      <c r="I1717" s="211">
        <f>SUM(I1718+I1746+I1757+I1767+I1778+I1780+I1788)</f>
        <v>0</v>
      </c>
      <c r="J1717" s="211">
        <f t="shared" ref="J1717:P1717" si="183">SUM(J1718+J1746+J1757+J1767+J1778+J1780+J1788)</f>
        <v>0</v>
      </c>
      <c r="K1717" s="211">
        <f t="shared" si="183"/>
        <v>0</v>
      </c>
      <c r="L1717" s="211">
        <f t="shared" si="183"/>
        <v>0</v>
      </c>
      <c r="M1717" s="211">
        <f t="shared" si="183"/>
        <v>0</v>
      </c>
      <c r="N1717" s="211">
        <f t="shared" si="183"/>
        <v>0</v>
      </c>
      <c r="O1717" s="211">
        <f t="shared" si="183"/>
        <v>0</v>
      </c>
      <c r="P1717" s="211">
        <f t="shared" si="183"/>
        <v>0</v>
      </c>
    </row>
    <row r="1718" spans="1:16" s="213" customFormat="1" ht="30" hidden="1" x14ac:dyDescent="0.25">
      <c r="A1718" s="208" t="s">
        <v>263</v>
      </c>
      <c r="B1718" s="234">
        <v>1</v>
      </c>
      <c r="C1718" s="234">
        <v>3</v>
      </c>
      <c r="D1718" s="235" t="s">
        <v>2022</v>
      </c>
      <c r="E1718" s="235" t="s">
        <v>1934</v>
      </c>
      <c r="F1718" s="235" t="s">
        <v>1825</v>
      </c>
      <c r="G1718" s="234"/>
      <c r="H1718" s="236" t="s">
        <v>3571</v>
      </c>
      <c r="I1718" s="211">
        <f>SUM(I1719:I1745)</f>
        <v>0</v>
      </c>
      <c r="J1718" s="211">
        <f t="shared" ref="J1718:P1718" si="184">SUM(J1719:J1745)</f>
        <v>0</v>
      </c>
      <c r="K1718" s="211">
        <f t="shared" si="184"/>
        <v>0</v>
      </c>
      <c r="L1718" s="211">
        <f t="shared" si="184"/>
        <v>0</v>
      </c>
      <c r="M1718" s="211">
        <f t="shared" si="184"/>
        <v>0</v>
      </c>
      <c r="N1718" s="211">
        <f t="shared" si="184"/>
        <v>0</v>
      </c>
      <c r="O1718" s="211">
        <f t="shared" si="184"/>
        <v>0</v>
      </c>
      <c r="P1718" s="211">
        <f t="shared" si="184"/>
        <v>0</v>
      </c>
    </row>
    <row r="1719" spans="1:16" s="219" customFormat="1" ht="30" hidden="1" x14ac:dyDescent="0.25">
      <c r="A1719" s="214"/>
      <c r="B1719" s="237">
        <v>1</v>
      </c>
      <c r="C1719" s="237">
        <v>3</v>
      </c>
      <c r="D1719" s="238" t="s">
        <v>2022</v>
      </c>
      <c r="E1719" s="238" t="s">
        <v>1934</v>
      </c>
      <c r="F1719" s="238" t="s">
        <v>1825</v>
      </c>
      <c r="G1719" s="238" t="s">
        <v>58</v>
      </c>
      <c r="H1719" s="239" t="s">
        <v>3572</v>
      </c>
      <c r="I1719" s="217"/>
      <c r="J1719" s="217"/>
      <c r="K1719" s="217"/>
      <c r="L1719" s="217"/>
      <c r="M1719" s="217"/>
      <c r="N1719" s="217"/>
      <c r="O1719" s="217"/>
      <c r="P1719" s="217"/>
    </row>
    <row r="1720" spans="1:16" s="219" customFormat="1" ht="30" hidden="1" x14ac:dyDescent="0.25">
      <c r="A1720" s="214"/>
      <c r="B1720" s="237">
        <v>1</v>
      </c>
      <c r="C1720" s="237">
        <v>3</v>
      </c>
      <c r="D1720" s="238" t="s">
        <v>2022</v>
      </c>
      <c r="E1720" s="238" t="s">
        <v>1934</v>
      </c>
      <c r="F1720" s="238" t="s">
        <v>1825</v>
      </c>
      <c r="G1720" s="238" t="s">
        <v>75</v>
      </c>
      <c r="H1720" s="239" t="s">
        <v>3573</v>
      </c>
      <c r="I1720" s="217"/>
      <c r="J1720" s="217"/>
      <c r="K1720" s="217"/>
      <c r="L1720" s="217"/>
      <c r="M1720" s="217"/>
      <c r="N1720" s="217"/>
      <c r="O1720" s="217"/>
      <c r="P1720" s="217"/>
    </row>
    <row r="1721" spans="1:16" s="219" customFormat="1" ht="30" hidden="1" x14ac:dyDescent="0.25">
      <c r="A1721" s="214"/>
      <c r="B1721" s="237">
        <v>1</v>
      </c>
      <c r="C1721" s="237">
        <v>3</v>
      </c>
      <c r="D1721" s="238" t="s">
        <v>2022</v>
      </c>
      <c r="E1721" s="238" t="s">
        <v>1934</v>
      </c>
      <c r="F1721" s="238" t="s">
        <v>1825</v>
      </c>
      <c r="G1721" s="238" t="s">
        <v>79</v>
      </c>
      <c r="H1721" s="239" t="s">
        <v>3574</v>
      </c>
      <c r="I1721" s="217"/>
      <c r="J1721" s="217"/>
      <c r="K1721" s="217"/>
      <c r="L1721" s="217"/>
      <c r="M1721" s="217"/>
      <c r="N1721" s="217"/>
      <c r="O1721" s="217"/>
      <c r="P1721" s="217"/>
    </row>
    <row r="1722" spans="1:16" s="219" customFormat="1" ht="45" hidden="1" x14ac:dyDescent="0.25">
      <c r="A1722" s="214"/>
      <c r="B1722" s="237">
        <v>1</v>
      </c>
      <c r="C1722" s="237">
        <v>3</v>
      </c>
      <c r="D1722" s="238" t="s">
        <v>2022</v>
      </c>
      <c r="E1722" s="238" t="s">
        <v>1934</v>
      </c>
      <c r="F1722" s="238" t="s">
        <v>1825</v>
      </c>
      <c r="G1722" s="238" t="s">
        <v>84</v>
      </c>
      <c r="H1722" s="239" t="s">
        <v>3575</v>
      </c>
      <c r="I1722" s="217"/>
      <c r="J1722" s="217"/>
      <c r="K1722" s="217"/>
      <c r="L1722" s="217"/>
      <c r="M1722" s="217"/>
      <c r="N1722" s="217"/>
      <c r="O1722" s="217"/>
      <c r="P1722" s="217"/>
    </row>
    <row r="1723" spans="1:16" s="219" customFormat="1" ht="45" hidden="1" x14ac:dyDescent="0.25">
      <c r="A1723" s="214"/>
      <c r="B1723" s="237">
        <v>1</v>
      </c>
      <c r="C1723" s="237">
        <v>3</v>
      </c>
      <c r="D1723" s="238" t="s">
        <v>2022</v>
      </c>
      <c r="E1723" s="238" t="s">
        <v>1934</v>
      </c>
      <c r="F1723" s="238" t="s">
        <v>1825</v>
      </c>
      <c r="G1723" s="238" t="s">
        <v>88</v>
      </c>
      <c r="H1723" s="239" t="s">
        <v>3576</v>
      </c>
      <c r="I1723" s="217"/>
      <c r="J1723" s="217"/>
      <c r="K1723" s="217"/>
      <c r="L1723" s="217"/>
      <c r="M1723" s="217"/>
      <c r="N1723" s="217"/>
      <c r="O1723" s="217"/>
      <c r="P1723" s="217"/>
    </row>
    <row r="1724" spans="1:16" s="219" customFormat="1" ht="45" hidden="1" x14ac:dyDescent="0.25">
      <c r="A1724" s="214"/>
      <c r="B1724" s="237">
        <v>1</v>
      </c>
      <c r="C1724" s="237">
        <v>3</v>
      </c>
      <c r="D1724" s="238" t="s">
        <v>2022</v>
      </c>
      <c r="E1724" s="238" t="s">
        <v>1934</v>
      </c>
      <c r="F1724" s="238" t="s">
        <v>1825</v>
      </c>
      <c r="G1724" s="238" t="s">
        <v>92</v>
      </c>
      <c r="H1724" s="239" t="s">
        <v>3577</v>
      </c>
      <c r="I1724" s="217"/>
      <c r="J1724" s="217"/>
      <c r="K1724" s="217"/>
      <c r="L1724" s="217"/>
      <c r="M1724" s="217"/>
      <c r="N1724" s="217"/>
      <c r="O1724" s="217"/>
      <c r="P1724" s="217"/>
    </row>
    <row r="1725" spans="1:16" s="219" customFormat="1" ht="45" hidden="1" x14ac:dyDescent="0.25">
      <c r="A1725" s="214"/>
      <c r="B1725" s="237">
        <v>1</v>
      </c>
      <c r="C1725" s="237">
        <v>3</v>
      </c>
      <c r="D1725" s="238" t="s">
        <v>2022</v>
      </c>
      <c r="E1725" s="238" t="s">
        <v>1934</v>
      </c>
      <c r="F1725" s="238" t="s">
        <v>1825</v>
      </c>
      <c r="G1725" s="238" t="s">
        <v>96</v>
      </c>
      <c r="H1725" s="239" t="s">
        <v>3578</v>
      </c>
      <c r="I1725" s="217"/>
      <c r="J1725" s="217"/>
      <c r="K1725" s="217"/>
      <c r="L1725" s="217"/>
      <c r="M1725" s="217"/>
      <c r="N1725" s="217"/>
      <c r="O1725" s="217"/>
      <c r="P1725" s="217"/>
    </row>
    <row r="1726" spans="1:16" s="219" customFormat="1" ht="45" hidden="1" x14ac:dyDescent="0.25">
      <c r="A1726" s="214"/>
      <c r="B1726" s="237">
        <v>1</v>
      </c>
      <c r="C1726" s="237">
        <v>3</v>
      </c>
      <c r="D1726" s="238" t="s">
        <v>2022</v>
      </c>
      <c r="E1726" s="238" t="s">
        <v>1934</v>
      </c>
      <c r="F1726" s="238" t="s">
        <v>1825</v>
      </c>
      <c r="G1726" s="238" t="s">
        <v>100</v>
      </c>
      <c r="H1726" s="239" t="s">
        <v>3579</v>
      </c>
      <c r="I1726" s="217"/>
      <c r="J1726" s="217"/>
      <c r="K1726" s="217"/>
      <c r="L1726" s="217"/>
      <c r="M1726" s="217"/>
      <c r="N1726" s="217"/>
      <c r="O1726" s="217"/>
      <c r="P1726" s="217"/>
    </row>
    <row r="1727" spans="1:16" s="219" customFormat="1" ht="45" hidden="1" x14ac:dyDescent="0.25">
      <c r="A1727" s="214"/>
      <c r="B1727" s="237">
        <v>1</v>
      </c>
      <c r="C1727" s="237">
        <v>3</v>
      </c>
      <c r="D1727" s="238" t="s">
        <v>2022</v>
      </c>
      <c r="E1727" s="238" t="s">
        <v>1934</v>
      </c>
      <c r="F1727" s="238" t="s">
        <v>1825</v>
      </c>
      <c r="G1727" s="238" t="s">
        <v>105</v>
      </c>
      <c r="H1727" s="239" t="s">
        <v>3580</v>
      </c>
      <c r="I1727" s="217"/>
      <c r="J1727" s="217"/>
      <c r="K1727" s="217"/>
      <c r="L1727" s="217"/>
      <c r="M1727" s="217"/>
      <c r="N1727" s="217"/>
      <c r="O1727" s="217"/>
      <c r="P1727" s="217"/>
    </row>
    <row r="1728" spans="1:16" s="219" customFormat="1" ht="30" hidden="1" x14ac:dyDescent="0.25">
      <c r="A1728" s="214"/>
      <c r="B1728" s="237">
        <v>1</v>
      </c>
      <c r="C1728" s="237">
        <v>3</v>
      </c>
      <c r="D1728" s="238" t="s">
        <v>2022</v>
      </c>
      <c r="E1728" s="238" t="s">
        <v>1934</v>
      </c>
      <c r="F1728" s="238" t="s">
        <v>1825</v>
      </c>
      <c r="G1728" s="238" t="s">
        <v>108</v>
      </c>
      <c r="H1728" s="239" t="s">
        <v>3581</v>
      </c>
      <c r="I1728" s="217"/>
      <c r="J1728" s="217"/>
      <c r="K1728" s="217"/>
      <c r="L1728" s="217"/>
      <c r="M1728" s="217"/>
      <c r="N1728" s="217"/>
      <c r="O1728" s="217"/>
      <c r="P1728" s="217"/>
    </row>
    <row r="1729" spans="1:16" s="219" customFormat="1" ht="30" hidden="1" x14ac:dyDescent="0.25">
      <c r="A1729" s="214"/>
      <c r="B1729" s="237">
        <v>1</v>
      </c>
      <c r="C1729" s="237">
        <v>3</v>
      </c>
      <c r="D1729" s="238" t="s">
        <v>2022</v>
      </c>
      <c r="E1729" s="238" t="s">
        <v>1934</v>
      </c>
      <c r="F1729" s="238" t="s">
        <v>1825</v>
      </c>
      <c r="G1729" s="238" t="s">
        <v>135</v>
      </c>
      <c r="H1729" s="239" t="s">
        <v>3582</v>
      </c>
      <c r="I1729" s="217"/>
      <c r="J1729" s="217"/>
      <c r="K1729" s="217"/>
      <c r="L1729" s="217"/>
      <c r="M1729" s="217"/>
      <c r="N1729" s="217"/>
      <c r="O1729" s="217"/>
      <c r="P1729" s="217"/>
    </row>
    <row r="1730" spans="1:16" s="219" customFormat="1" ht="45" hidden="1" x14ac:dyDescent="0.25">
      <c r="A1730" s="214"/>
      <c r="B1730" s="237">
        <v>1</v>
      </c>
      <c r="C1730" s="237">
        <v>3</v>
      </c>
      <c r="D1730" s="238" t="s">
        <v>2022</v>
      </c>
      <c r="E1730" s="238" t="s">
        <v>1934</v>
      </c>
      <c r="F1730" s="238" t="s">
        <v>1825</v>
      </c>
      <c r="G1730" s="238" t="s">
        <v>138</v>
      </c>
      <c r="H1730" s="239" t="s">
        <v>3583</v>
      </c>
      <c r="I1730" s="217"/>
      <c r="J1730" s="217"/>
      <c r="K1730" s="217"/>
      <c r="L1730" s="217"/>
      <c r="M1730" s="217"/>
      <c r="N1730" s="217"/>
      <c r="O1730" s="217"/>
      <c r="P1730" s="217"/>
    </row>
    <row r="1731" spans="1:16" s="219" customFormat="1" ht="45" hidden="1" x14ac:dyDescent="0.25">
      <c r="A1731" s="214"/>
      <c r="B1731" s="237">
        <v>1</v>
      </c>
      <c r="C1731" s="237">
        <v>3</v>
      </c>
      <c r="D1731" s="238" t="s">
        <v>2022</v>
      </c>
      <c r="E1731" s="238" t="s">
        <v>1934</v>
      </c>
      <c r="F1731" s="238" t="s">
        <v>1825</v>
      </c>
      <c r="G1731" s="238" t="s">
        <v>140</v>
      </c>
      <c r="H1731" s="239" t="s">
        <v>3584</v>
      </c>
      <c r="I1731" s="217"/>
      <c r="J1731" s="217"/>
      <c r="K1731" s="217"/>
      <c r="L1731" s="217"/>
      <c r="M1731" s="217"/>
      <c r="N1731" s="217"/>
      <c r="O1731" s="217"/>
      <c r="P1731" s="217"/>
    </row>
    <row r="1732" spans="1:16" s="219" customFormat="1" ht="45" hidden="1" x14ac:dyDescent="0.25">
      <c r="A1732" s="214"/>
      <c r="B1732" s="237">
        <v>1</v>
      </c>
      <c r="C1732" s="237">
        <v>3</v>
      </c>
      <c r="D1732" s="238" t="s">
        <v>2022</v>
      </c>
      <c r="E1732" s="238" t="s">
        <v>1934</v>
      </c>
      <c r="F1732" s="238" t="s">
        <v>1825</v>
      </c>
      <c r="G1732" s="238" t="s">
        <v>143</v>
      </c>
      <c r="H1732" s="239" t="s">
        <v>3585</v>
      </c>
      <c r="I1732" s="217"/>
      <c r="J1732" s="217"/>
      <c r="K1732" s="217"/>
      <c r="L1732" s="217"/>
      <c r="M1732" s="217"/>
      <c r="N1732" s="217"/>
      <c r="O1732" s="217"/>
      <c r="P1732" s="217"/>
    </row>
    <row r="1733" spans="1:16" s="219" customFormat="1" ht="60" hidden="1" x14ac:dyDescent="0.25">
      <c r="A1733" s="214"/>
      <c r="B1733" s="237">
        <v>1</v>
      </c>
      <c r="C1733" s="237">
        <v>3</v>
      </c>
      <c r="D1733" s="238" t="s">
        <v>2022</v>
      </c>
      <c r="E1733" s="238" t="s">
        <v>1934</v>
      </c>
      <c r="F1733" s="238" t="s">
        <v>1825</v>
      </c>
      <c r="G1733" s="238" t="s">
        <v>146</v>
      </c>
      <c r="H1733" s="239" t="s">
        <v>3586</v>
      </c>
      <c r="I1733" s="217"/>
      <c r="J1733" s="217"/>
      <c r="K1733" s="217"/>
      <c r="L1733" s="217"/>
      <c r="M1733" s="217"/>
      <c r="N1733" s="217"/>
      <c r="O1733" s="217"/>
      <c r="P1733" s="217"/>
    </row>
    <row r="1734" spans="1:16" s="219" customFormat="1" ht="45" hidden="1" x14ac:dyDescent="0.25">
      <c r="A1734" s="214"/>
      <c r="B1734" s="237">
        <v>1</v>
      </c>
      <c r="C1734" s="237">
        <v>3</v>
      </c>
      <c r="D1734" s="238" t="s">
        <v>2022</v>
      </c>
      <c r="E1734" s="238" t="s">
        <v>1934</v>
      </c>
      <c r="F1734" s="238" t="s">
        <v>1825</v>
      </c>
      <c r="G1734" s="238" t="s">
        <v>150</v>
      </c>
      <c r="H1734" s="239" t="s">
        <v>3587</v>
      </c>
      <c r="I1734" s="217"/>
      <c r="J1734" s="217"/>
      <c r="K1734" s="217"/>
      <c r="L1734" s="217"/>
      <c r="M1734" s="217"/>
      <c r="N1734" s="217"/>
      <c r="O1734" s="217"/>
      <c r="P1734" s="217"/>
    </row>
    <row r="1735" spans="1:16" s="219" customFormat="1" ht="45" hidden="1" x14ac:dyDescent="0.25">
      <c r="A1735" s="214"/>
      <c r="B1735" s="237">
        <v>1</v>
      </c>
      <c r="C1735" s="237">
        <v>3</v>
      </c>
      <c r="D1735" s="238" t="s">
        <v>2022</v>
      </c>
      <c r="E1735" s="238" t="s">
        <v>1934</v>
      </c>
      <c r="F1735" s="238" t="s">
        <v>1825</v>
      </c>
      <c r="G1735" s="238" t="s">
        <v>153</v>
      </c>
      <c r="H1735" s="239" t="s">
        <v>3588</v>
      </c>
      <c r="I1735" s="217"/>
      <c r="J1735" s="217"/>
      <c r="K1735" s="217"/>
      <c r="L1735" s="217"/>
      <c r="M1735" s="217"/>
      <c r="N1735" s="217"/>
      <c r="O1735" s="217"/>
      <c r="P1735" s="217"/>
    </row>
    <row r="1736" spans="1:16" s="219" customFormat="1" ht="45" hidden="1" x14ac:dyDescent="0.25">
      <c r="A1736" s="214"/>
      <c r="B1736" s="237">
        <v>1</v>
      </c>
      <c r="C1736" s="237">
        <v>3</v>
      </c>
      <c r="D1736" s="238" t="s">
        <v>2022</v>
      </c>
      <c r="E1736" s="238" t="s">
        <v>1934</v>
      </c>
      <c r="F1736" s="238" t="s">
        <v>1825</v>
      </c>
      <c r="G1736" s="238" t="s">
        <v>156</v>
      </c>
      <c r="H1736" s="239" t="s">
        <v>3589</v>
      </c>
      <c r="I1736" s="217"/>
      <c r="J1736" s="217"/>
      <c r="K1736" s="217"/>
      <c r="L1736" s="217"/>
      <c r="M1736" s="217"/>
      <c r="N1736" s="217"/>
      <c r="O1736" s="217"/>
      <c r="P1736" s="217"/>
    </row>
    <row r="1737" spans="1:16" s="219" customFormat="1" ht="60" hidden="1" x14ac:dyDescent="0.25">
      <c r="A1737" s="214"/>
      <c r="B1737" s="237">
        <v>1</v>
      </c>
      <c r="C1737" s="237">
        <v>3</v>
      </c>
      <c r="D1737" s="238" t="s">
        <v>2022</v>
      </c>
      <c r="E1737" s="238" t="s">
        <v>1934</v>
      </c>
      <c r="F1737" s="238" t="s">
        <v>1825</v>
      </c>
      <c r="G1737" s="238" t="s">
        <v>159</v>
      </c>
      <c r="H1737" s="239" t="s">
        <v>3590</v>
      </c>
      <c r="I1737" s="217"/>
      <c r="J1737" s="217"/>
      <c r="K1737" s="217"/>
      <c r="L1737" s="217"/>
      <c r="M1737" s="217"/>
      <c r="N1737" s="217"/>
      <c r="O1737" s="217"/>
      <c r="P1737" s="217"/>
    </row>
    <row r="1738" spans="1:16" s="219" customFormat="1" ht="30" hidden="1" x14ac:dyDescent="0.25">
      <c r="A1738" s="214"/>
      <c r="B1738" s="237">
        <v>1</v>
      </c>
      <c r="C1738" s="237">
        <v>3</v>
      </c>
      <c r="D1738" s="238" t="s">
        <v>2022</v>
      </c>
      <c r="E1738" s="238" t="s">
        <v>1934</v>
      </c>
      <c r="F1738" s="238" t="s">
        <v>1825</v>
      </c>
      <c r="G1738" s="238" t="s">
        <v>162</v>
      </c>
      <c r="H1738" s="239" t="s">
        <v>3591</v>
      </c>
      <c r="I1738" s="217"/>
      <c r="J1738" s="217"/>
      <c r="K1738" s="217"/>
      <c r="L1738" s="217"/>
      <c r="M1738" s="217"/>
      <c r="N1738" s="217"/>
      <c r="O1738" s="217"/>
      <c r="P1738" s="217"/>
    </row>
    <row r="1739" spans="1:16" s="219" customFormat="1" ht="30" hidden="1" x14ac:dyDescent="0.25">
      <c r="A1739" s="214"/>
      <c r="B1739" s="237">
        <v>1</v>
      </c>
      <c r="C1739" s="237">
        <v>3</v>
      </c>
      <c r="D1739" s="238" t="s">
        <v>2022</v>
      </c>
      <c r="E1739" s="238" t="s">
        <v>1934</v>
      </c>
      <c r="F1739" s="238" t="s">
        <v>1825</v>
      </c>
      <c r="G1739" s="238" t="s">
        <v>312</v>
      </c>
      <c r="H1739" s="239" t="s">
        <v>3592</v>
      </c>
      <c r="I1739" s="217"/>
      <c r="J1739" s="217"/>
      <c r="K1739" s="217"/>
      <c r="L1739" s="217"/>
      <c r="M1739" s="217"/>
      <c r="N1739" s="217"/>
      <c r="O1739" s="217"/>
      <c r="P1739" s="217"/>
    </row>
    <row r="1740" spans="1:16" s="219" customFormat="1" ht="45" hidden="1" x14ac:dyDescent="0.25">
      <c r="A1740" s="214"/>
      <c r="B1740" s="237">
        <v>1</v>
      </c>
      <c r="C1740" s="237">
        <v>3</v>
      </c>
      <c r="D1740" s="238" t="s">
        <v>2022</v>
      </c>
      <c r="E1740" s="238" t="s">
        <v>1934</v>
      </c>
      <c r="F1740" s="238" t="s">
        <v>1825</v>
      </c>
      <c r="G1740" s="238" t="s">
        <v>313</v>
      </c>
      <c r="H1740" s="239" t="s">
        <v>3593</v>
      </c>
      <c r="I1740" s="217"/>
      <c r="J1740" s="217"/>
      <c r="K1740" s="217"/>
      <c r="L1740" s="217"/>
      <c r="M1740" s="217"/>
      <c r="N1740" s="217"/>
      <c r="O1740" s="217"/>
      <c r="P1740" s="217"/>
    </row>
    <row r="1741" spans="1:16" s="219" customFormat="1" ht="45" hidden="1" x14ac:dyDescent="0.25">
      <c r="A1741" s="214"/>
      <c r="B1741" s="237">
        <v>1</v>
      </c>
      <c r="C1741" s="237">
        <v>3</v>
      </c>
      <c r="D1741" s="238" t="s">
        <v>2022</v>
      </c>
      <c r="E1741" s="238" t="s">
        <v>1934</v>
      </c>
      <c r="F1741" s="238" t="s">
        <v>1825</v>
      </c>
      <c r="G1741" s="238" t="s">
        <v>559</v>
      </c>
      <c r="H1741" s="239" t="s">
        <v>3594</v>
      </c>
      <c r="I1741" s="217"/>
      <c r="J1741" s="217"/>
      <c r="K1741" s="217"/>
      <c r="L1741" s="217"/>
      <c r="M1741" s="217"/>
      <c r="N1741" s="217"/>
      <c r="O1741" s="217"/>
      <c r="P1741" s="217"/>
    </row>
    <row r="1742" spans="1:16" s="219" customFormat="1" ht="60" hidden="1" x14ac:dyDescent="0.25">
      <c r="A1742" s="214"/>
      <c r="B1742" s="237">
        <v>1</v>
      </c>
      <c r="C1742" s="237">
        <v>3</v>
      </c>
      <c r="D1742" s="238" t="s">
        <v>2022</v>
      </c>
      <c r="E1742" s="238" t="s">
        <v>1934</v>
      </c>
      <c r="F1742" s="238" t="s">
        <v>1825</v>
      </c>
      <c r="G1742" s="238" t="s">
        <v>561</v>
      </c>
      <c r="H1742" s="239" t="s">
        <v>3595</v>
      </c>
      <c r="I1742" s="217"/>
      <c r="J1742" s="217"/>
      <c r="K1742" s="217"/>
      <c r="L1742" s="217"/>
      <c r="M1742" s="217"/>
      <c r="N1742" s="217"/>
      <c r="O1742" s="217"/>
      <c r="P1742" s="217"/>
    </row>
    <row r="1743" spans="1:16" s="219" customFormat="1" ht="60" hidden="1" x14ac:dyDescent="0.25">
      <c r="A1743" s="214"/>
      <c r="B1743" s="237">
        <v>1</v>
      </c>
      <c r="C1743" s="237">
        <v>3</v>
      </c>
      <c r="D1743" s="238" t="s">
        <v>2022</v>
      </c>
      <c r="E1743" s="238" t="s">
        <v>1934</v>
      </c>
      <c r="F1743" s="238" t="s">
        <v>1825</v>
      </c>
      <c r="G1743" s="238" t="s">
        <v>563</v>
      </c>
      <c r="H1743" s="239" t="s">
        <v>3596</v>
      </c>
      <c r="I1743" s="217"/>
      <c r="J1743" s="217"/>
      <c r="K1743" s="217"/>
      <c r="L1743" s="217"/>
      <c r="M1743" s="217"/>
      <c r="N1743" s="217"/>
      <c r="O1743" s="217"/>
      <c r="P1743" s="217"/>
    </row>
    <row r="1744" spans="1:16" s="219" customFormat="1" ht="30" hidden="1" x14ac:dyDescent="0.25">
      <c r="A1744" s="214"/>
      <c r="B1744" s="237">
        <v>1</v>
      </c>
      <c r="C1744" s="237">
        <v>3</v>
      </c>
      <c r="D1744" s="238" t="s">
        <v>2022</v>
      </c>
      <c r="E1744" s="238" t="s">
        <v>1934</v>
      </c>
      <c r="F1744" s="238" t="s">
        <v>1825</v>
      </c>
      <c r="G1744" s="238" t="s">
        <v>227</v>
      </c>
      <c r="H1744" s="239" t="s">
        <v>3597</v>
      </c>
      <c r="I1744" s="217"/>
      <c r="J1744" s="217"/>
      <c r="K1744" s="217"/>
      <c r="L1744" s="217"/>
      <c r="M1744" s="217"/>
      <c r="N1744" s="217"/>
      <c r="O1744" s="217"/>
      <c r="P1744" s="217"/>
    </row>
    <row r="1745" spans="1:16" s="219" customFormat="1" ht="30" hidden="1" x14ac:dyDescent="0.25">
      <c r="A1745" s="214"/>
      <c r="B1745" s="237">
        <v>1</v>
      </c>
      <c r="C1745" s="237">
        <v>3</v>
      </c>
      <c r="D1745" s="238" t="s">
        <v>2022</v>
      </c>
      <c r="E1745" s="238" t="s">
        <v>1934</v>
      </c>
      <c r="F1745" s="238" t="s">
        <v>1825</v>
      </c>
      <c r="G1745" s="238" t="s">
        <v>230</v>
      </c>
      <c r="H1745" s="239" t="s">
        <v>3598</v>
      </c>
      <c r="I1745" s="217"/>
      <c r="J1745" s="217"/>
      <c r="K1745" s="217"/>
      <c r="L1745" s="217"/>
      <c r="M1745" s="217"/>
      <c r="N1745" s="217"/>
      <c r="O1745" s="217"/>
      <c r="P1745" s="217"/>
    </row>
    <row r="1746" spans="1:16" s="213" customFormat="1" ht="45" hidden="1" x14ac:dyDescent="0.25">
      <c r="A1746" s="208" t="s">
        <v>263</v>
      </c>
      <c r="B1746" s="234">
        <v>1</v>
      </c>
      <c r="C1746" s="234">
        <v>3</v>
      </c>
      <c r="D1746" s="235" t="s">
        <v>2022</v>
      </c>
      <c r="E1746" s="235" t="s">
        <v>1934</v>
      </c>
      <c r="F1746" s="235" t="s">
        <v>1836</v>
      </c>
      <c r="G1746" s="234"/>
      <c r="H1746" s="236" t="s">
        <v>3599</v>
      </c>
      <c r="I1746" s="211">
        <f>SUM(I1747:I1756)</f>
        <v>0</v>
      </c>
      <c r="J1746" s="211">
        <f t="shared" ref="J1746:P1746" si="185">SUM(J1747:J1756)</f>
        <v>0</v>
      </c>
      <c r="K1746" s="211">
        <f t="shared" si="185"/>
        <v>0</v>
      </c>
      <c r="L1746" s="211">
        <f t="shared" si="185"/>
        <v>0</v>
      </c>
      <c r="M1746" s="211">
        <f t="shared" si="185"/>
        <v>0</v>
      </c>
      <c r="N1746" s="211">
        <f t="shared" si="185"/>
        <v>0</v>
      </c>
      <c r="O1746" s="211">
        <f t="shared" si="185"/>
        <v>0</v>
      </c>
      <c r="P1746" s="211">
        <f t="shared" si="185"/>
        <v>0</v>
      </c>
    </row>
    <row r="1747" spans="1:16" s="219" customFormat="1" ht="30" hidden="1" x14ac:dyDescent="0.25">
      <c r="A1747" s="214"/>
      <c r="B1747" s="237">
        <v>1</v>
      </c>
      <c r="C1747" s="237">
        <v>3</v>
      </c>
      <c r="D1747" s="238" t="s">
        <v>2022</v>
      </c>
      <c r="E1747" s="238" t="s">
        <v>1934</v>
      </c>
      <c r="F1747" s="238" t="s">
        <v>1836</v>
      </c>
      <c r="G1747" s="238" t="s">
        <v>58</v>
      </c>
      <c r="H1747" s="239" t="s">
        <v>3600</v>
      </c>
      <c r="I1747" s="217"/>
      <c r="J1747" s="217"/>
      <c r="K1747" s="217"/>
      <c r="L1747" s="217"/>
      <c r="M1747" s="217"/>
      <c r="N1747" s="217"/>
      <c r="O1747" s="217"/>
      <c r="P1747" s="217"/>
    </row>
    <row r="1748" spans="1:16" s="219" customFormat="1" ht="30" hidden="1" x14ac:dyDescent="0.25">
      <c r="A1748" s="214"/>
      <c r="B1748" s="237">
        <v>1</v>
      </c>
      <c r="C1748" s="237">
        <v>3</v>
      </c>
      <c r="D1748" s="238" t="s">
        <v>2022</v>
      </c>
      <c r="E1748" s="238" t="s">
        <v>1934</v>
      </c>
      <c r="F1748" s="238" t="s">
        <v>1836</v>
      </c>
      <c r="G1748" s="238" t="s">
        <v>75</v>
      </c>
      <c r="H1748" s="239" t="s">
        <v>3601</v>
      </c>
      <c r="I1748" s="217"/>
      <c r="J1748" s="217"/>
      <c r="K1748" s="217"/>
      <c r="L1748" s="217"/>
      <c r="M1748" s="217"/>
      <c r="N1748" s="217"/>
      <c r="O1748" s="217"/>
      <c r="P1748" s="217"/>
    </row>
    <row r="1749" spans="1:16" s="219" customFormat="1" ht="45" hidden="1" x14ac:dyDescent="0.25">
      <c r="A1749" s="214"/>
      <c r="B1749" s="237">
        <v>1</v>
      </c>
      <c r="C1749" s="237">
        <v>3</v>
      </c>
      <c r="D1749" s="238" t="s">
        <v>2022</v>
      </c>
      <c r="E1749" s="238" t="s">
        <v>1934</v>
      </c>
      <c r="F1749" s="238" t="s">
        <v>1836</v>
      </c>
      <c r="G1749" s="238" t="s">
        <v>79</v>
      </c>
      <c r="H1749" s="239" t="s">
        <v>3602</v>
      </c>
      <c r="I1749" s="217"/>
      <c r="J1749" s="217"/>
      <c r="K1749" s="217"/>
      <c r="L1749" s="217"/>
      <c r="M1749" s="217"/>
      <c r="N1749" s="217"/>
      <c r="O1749" s="217"/>
      <c r="P1749" s="217"/>
    </row>
    <row r="1750" spans="1:16" s="219" customFormat="1" ht="45" hidden="1" x14ac:dyDescent="0.25">
      <c r="A1750" s="214"/>
      <c r="B1750" s="237">
        <v>1</v>
      </c>
      <c r="C1750" s="237">
        <v>3</v>
      </c>
      <c r="D1750" s="238" t="s">
        <v>2022</v>
      </c>
      <c r="E1750" s="238" t="s">
        <v>1934</v>
      </c>
      <c r="F1750" s="238" t="s">
        <v>1836</v>
      </c>
      <c r="G1750" s="238" t="s">
        <v>84</v>
      </c>
      <c r="H1750" s="239" t="s">
        <v>3603</v>
      </c>
      <c r="I1750" s="217"/>
      <c r="J1750" s="217"/>
      <c r="K1750" s="217"/>
      <c r="L1750" s="217"/>
      <c r="M1750" s="217"/>
      <c r="N1750" s="217"/>
      <c r="O1750" s="217"/>
      <c r="P1750" s="217"/>
    </row>
    <row r="1751" spans="1:16" s="219" customFormat="1" ht="30" hidden="1" x14ac:dyDescent="0.25">
      <c r="A1751" s="214"/>
      <c r="B1751" s="237">
        <v>1</v>
      </c>
      <c r="C1751" s="237">
        <v>3</v>
      </c>
      <c r="D1751" s="238" t="s">
        <v>2022</v>
      </c>
      <c r="E1751" s="238" t="s">
        <v>1934</v>
      </c>
      <c r="F1751" s="238" t="s">
        <v>1836</v>
      </c>
      <c r="G1751" s="238" t="s">
        <v>88</v>
      </c>
      <c r="H1751" s="239" t="s">
        <v>3604</v>
      </c>
      <c r="I1751" s="217"/>
      <c r="J1751" s="217"/>
      <c r="K1751" s="217"/>
      <c r="L1751" s="217"/>
      <c r="M1751" s="217"/>
      <c r="N1751" s="217"/>
      <c r="O1751" s="217"/>
      <c r="P1751" s="217"/>
    </row>
    <row r="1752" spans="1:16" s="219" customFormat="1" ht="60" hidden="1" x14ac:dyDescent="0.25">
      <c r="A1752" s="214"/>
      <c r="B1752" s="237">
        <v>1</v>
      </c>
      <c r="C1752" s="237">
        <v>3</v>
      </c>
      <c r="D1752" s="238" t="s">
        <v>2022</v>
      </c>
      <c r="E1752" s="238" t="s">
        <v>1934</v>
      </c>
      <c r="F1752" s="238" t="s">
        <v>1836</v>
      </c>
      <c r="G1752" s="238" t="s">
        <v>92</v>
      </c>
      <c r="H1752" s="239" t="s">
        <v>3605</v>
      </c>
      <c r="I1752" s="217"/>
      <c r="J1752" s="217"/>
      <c r="K1752" s="217"/>
      <c r="L1752" s="217"/>
      <c r="M1752" s="217"/>
      <c r="N1752" s="217"/>
      <c r="O1752" s="217"/>
      <c r="P1752" s="217"/>
    </row>
    <row r="1753" spans="1:16" s="219" customFormat="1" ht="45" hidden="1" x14ac:dyDescent="0.25">
      <c r="A1753" s="214"/>
      <c r="B1753" s="237">
        <v>1</v>
      </c>
      <c r="C1753" s="237">
        <v>3</v>
      </c>
      <c r="D1753" s="238" t="s">
        <v>2022</v>
      </c>
      <c r="E1753" s="238" t="s">
        <v>1934</v>
      </c>
      <c r="F1753" s="238" t="s">
        <v>1836</v>
      </c>
      <c r="G1753" s="238" t="s">
        <v>96</v>
      </c>
      <c r="H1753" s="239" t="s">
        <v>3606</v>
      </c>
      <c r="I1753" s="217"/>
      <c r="J1753" s="217"/>
      <c r="K1753" s="217"/>
      <c r="L1753" s="217"/>
      <c r="M1753" s="217"/>
      <c r="N1753" s="217"/>
      <c r="O1753" s="217"/>
      <c r="P1753" s="217"/>
    </row>
    <row r="1754" spans="1:16" s="219" customFormat="1" ht="45" hidden="1" x14ac:dyDescent="0.25">
      <c r="A1754" s="214"/>
      <c r="B1754" s="237">
        <v>1</v>
      </c>
      <c r="C1754" s="237">
        <v>3</v>
      </c>
      <c r="D1754" s="238" t="s">
        <v>2022</v>
      </c>
      <c r="E1754" s="238" t="s">
        <v>1934</v>
      </c>
      <c r="F1754" s="238" t="s">
        <v>1836</v>
      </c>
      <c r="G1754" s="238" t="s">
        <v>100</v>
      </c>
      <c r="H1754" s="239" t="s">
        <v>3607</v>
      </c>
      <c r="I1754" s="217"/>
      <c r="J1754" s="217"/>
      <c r="K1754" s="217"/>
      <c r="L1754" s="217"/>
      <c r="M1754" s="217"/>
      <c r="N1754" s="217"/>
      <c r="O1754" s="217"/>
      <c r="P1754" s="217"/>
    </row>
    <row r="1755" spans="1:16" s="219" customFormat="1" ht="45" hidden="1" x14ac:dyDescent="0.25">
      <c r="A1755" s="214"/>
      <c r="B1755" s="237">
        <v>1</v>
      </c>
      <c r="C1755" s="237">
        <v>3</v>
      </c>
      <c r="D1755" s="238" t="s">
        <v>2022</v>
      </c>
      <c r="E1755" s="238" t="s">
        <v>1934</v>
      </c>
      <c r="F1755" s="238" t="s">
        <v>1836</v>
      </c>
      <c r="G1755" s="238" t="s">
        <v>105</v>
      </c>
      <c r="H1755" s="239" t="s">
        <v>3608</v>
      </c>
      <c r="I1755" s="217"/>
      <c r="J1755" s="217"/>
      <c r="K1755" s="217"/>
      <c r="L1755" s="217"/>
      <c r="M1755" s="217"/>
      <c r="N1755" s="217"/>
      <c r="O1755" s="217"/>
      <c r="P1755" s="217"/>
    </row>
    <row r="1756" spans="1:16" s="219" customFormat="1" ht="45" hidden="1" x14ac:dyDescent="0.25">
      <c r="A1756" s="214"/>
      <c r="B1756" s="237">
        <v>1</v>
      </c>
      <c r="C1756" s="237">
        <v>3</v>
      </c>
      <c r="D1756" s="238" t="s">
        <v>2022</v>
      </c>
      <c r="E1756" s="238" t="s">
        <v>1934</v>
      </c>
      <c r="F1756" s="238" t="s">
        <v>1836</v>
      </c>
      <c r="G1756" s="238" t="s">
        <v>108</v>
      </c>
      <c r="H1756" s="239" t="s">
        <v>3609</v>
      </c>
      <c r="I1756" s="217"/>
      <c r="J1756" s="217"/>
      <c r="K1756" s="217"/>
      <c r="L1756" s="217"/>
      <c r="M1756" s="217"/>
      <c r="N1756" s="217"/>
      <c r="O1756" s="217"/>
      <c r="P1756" s="217"/>
    </row>
    <row r="1757" spans="1:16" s="213" customFormat="1" ht="30" hidden="1" x14ac:dyDescent="0.25">
      <c r="A1757" s="208" t="s">
        <v>263</v>
      </c>
      <c r="B1757" s="234">
        <v>1</v>
      </c>
      <c r="C1757" s="234">
        <v>3</v>
      </c>
      <c r="D1757" s="235" t="s">
        <v>2022</v>
      </c>
      <c r="E1757" s="235" t="s">
        <v>1934</v>
      </c>
      <c r="F1757" s="235" t="s">
        <v>1847</v>
      </c>
      <c r="G1757" s="234"/>
      <c r="H1757" s="236" t="s">
        <v>3610</v>
      </c>
      <c r="I1757" s="211">
        <f>SUM(I1758:I1766)</f>
        <v>0</v>
      </c>
      <c r="J1757" s="211">
        <f t="shared" ref="J1757:P1757" si="186">SUM(J1758:J1766)</f>
        <v>0</v>
      </c>
      <c r="K1757" s="211">
        <f t="shared" si="186"/>
        <v>0</v>
      </c>
      <c r="L1757" s="211">
        <f t="shared" si="186"/>
        <v>0</v>
      </c>
      <c r="M1757" s="211">
        <f t="shared" si="186"/>
        <v>0</v>
      </c>
      <c r="N1757" s="211">
        <f t="shared" si="186"/>
        <v>0</v>
      </c>
      <c r="O1757" s="211">
        <f t="shared" si="186"/>
        <v>0</v>
      </c>
      <c r="P1757" s="211">
        <f t="shared" si="186"/>
        <v>0</v>
      </c>
    </row>
    <row r="1758" spans="1:16" s="219" customFormat="1" ht="30" hidden="1" x14ac:dyDescent="0.25">
      <c r="A1758" s="214"/>
      <c r="B1758" s="237">
        <v>1</v>
      </c>
      <c r="C1758" s="237">
        <v>3</v>
      </c>
      <c r="D1758" s="238" t="s">
        <v>2022</v>
      </c>
      <c r="E1758" s="238" t="s">
        <v>1934</v>
      </c>
      <c r="F1758" s="238" t="s">
        <v>1847</v>
      </c>
      <c r="G1758" s="238" t="s">
        <v>58</v>
      </c>
      <c r="H1758" s="239" t="s">
        <v>3611</v>
      </c>
      <c r="I1758" s="217"/>
      <c r="J1758" s="217"/>
      <c r="K1758" s="217"/>
      <c r="L1758" s="217"/>
      <c r="M1758" s="217"/>
      <c r="N1758" s="217"/>
      <c r="O1758" s="217"/>
      <c r="P1758" s="217"/>
    </row>
    <row r="1759" spans="1:16" s="219" customFormat="1" ht="30" hidden="1" x14ac:dyDescent="0.25">
      <c r="A1759" s="214"/>
      <c r="B1759" s="237">
        <v>1</v>
      </c>
      <c r="C1759" s="237">
        <v>3</v>
      </c>
      <c r="D1759" s="238" t="s">
        <v>2022</v>
      </c>
      <c r="E1759" s="238" t="s">
        <v>1934</v>
      </c>
      <c r="F1759" s="238" t="s">
        <v>1847</v>
      </c>
      <c r="G1759" s="238" t="s">
        <v>75</v>
      </c>
      <c r="H1759" s="239" t="s">
        <v>3612</v>
      </c>
      <c r="I1759" s="217"/>
      <c r="J1759" s="217"/>
      <c r="K1759" s="217"/>
      <c r="L1759" s="217"/>
      <c r="M1759" s="217"/>
      <c r="N1759" s="217"/>
      <c r="O1759" s="217"/>
      <c r="P1759" s="217"/>
    </row>
    <row r="1760" spans="1:16" s="219" customFormat="1" ht="30" hidden="1" x14ac:dyDescent="0.25">
      <c r="A1760" s="214"/>
      <c r="B1760" s="237">
        <v>1</v>
      </c>
      <c r="C1760" s="237">
        <v>3</v>
      </c>
      <c r="D1760" s="238" t="s">
        <v>2022</v>
      </c>
      <c r="E1760" s="238" t="s">
        <v>1934</v>
      </c>
      <c r="F1760" s="238" t="s">
        <v>1847</v>
      </c>
      <c r="G1760" s="238" t="s">
        <v>79</v>
      </c>
      <c r="H1760" s="239" t="s">
        <v>3613</v>
      </c>
      <c r="I1760" s="217"/>
      <c r="J1760" s="217"/>
      <c r="K1760" s="217"/>
      <c r="L1760" s="217"/>
      <c r="M1760" s="217"/>
      <c r="N1760" s="217"/>
      <c r="O1760" s="217"/>
      <c r="P1760" s="217"/>
    </row>
    <row r="1761" spans="1:16" s="219" customFormat="1" ht="30" hidden="1" x14ac:dyDescent="0.25">
      <c r="A1761" s="214"/>
      <c r="B1761" s="237">
        <v>1</v>
      </c>
      <c r="C1761" s="237">
        <v>3</v>
      </c>
      <c r="D1761" s="238" t="s">
        <v>2022</v>
      </c>
      <c r="E1761" s="238" t="s">
        <v>1934</v>
      </c>
      <c r="F1761" s="238" t="s">
        <v>1847</v>
      </c>
      <c r="G1761" s="238" t="s">
        <v>84</v>
      </c>
      <c r="H1761" s="239" t="s">
        <v>3614</v>
      </c>
      <c r="I1761" s="217"/>
      <c r="J1761" s="217"/>
      <c r="K1761" s="217"/>
      <c r="L1761" s="217"/>
      <c r="M1761" s="217"/>
      <c r="N1761" s="217"/>
      <c r="O1761" s="217"/>
      <c r="P1761" s="217"/>
    </row>
    <row r="1762" spans="1:16" s="219" customFormat="1" ht="30" hidden="1" x14ac:dyDescent="0.25">
      <c r="A1762" s="214"/>
      <c r="B1762" s="237">
        <v>1</v>
      </c>
      <c r="C1762" s="237">
        <v>3</v>
      </c>
      <c r="D1762" s="238" t="s">
        <v>2022</v>
      </c>
      <c r="E1762" s="238" t="s">
        <v>1934</v>
      </c>
      <c r="F1762" s="238" t="s">
        <v>1847</v>
      </c>
      <c r="G1762" s="238" t="s">
        <v>88</v>
      </c>
      <c r="H1762" s="239" t="s">
        <v>3615</v>
      </c>
      <c r="I1762" s="217"/>
      <c r="J1762" s="217"/>
      <c r="K1762" s="217"/>
      <c r="L1762" s="217"/>
      <c r="M1762" s="217"/>
      <c r="N1762" s="217"/>
      <c r="O1762" s="217"/>
      <c r="P1762" s="217"/>
    </row>
    <row r="1763" spans="1:16" s="219" customFormat="1" ht="30" hidden="1" x14ac:dyDescent="0.25">
      <c r="A1763" s="214"/>
      <c r="B1763" s="237">
        <v>1</v>
      </c>
      <c r="C1763" s="237">
        <v>3</v>
      </c>
      <c r="D1763" s="238" t="s">
        <v>2022</v>
      </c>
      <c r="E1763" s="238" t="s">
        <v>1934</v>
      </c>
      <c r="F1763" s="238" t="s">
        <v>1847</v>
      </c>
      <c r="G1763" s="238" t="s">
        <v>92</v>
      </c>
      <c r="H1763" s="239" t="s">
        <v>3616</v>
      </c>
      <c r="I1763" s="217"/>
      <c r="J1763" s="217"/>
      <c r="K1763" s="217"/>
      <c r="L1763" s="217"/>
      <c r="M1763" s="217"/>
      <c r="N1763" s="217"/>
      <c r="O1763" s="217"/>
      <c r="P1763" s="217"/>
    </row>
    <row r="1764" spans="1:16" s="219" customFormat="1" ht="30" hidden="1" x14ac:dyDescent="0.25">
      <c r="A1764" s="214"/>
      <c r="B1764" s="237">
        <v>1</v>
      </c>
      <c r="C1764" s="237">
        <v>3</v>
      </c>
      <c r="D1764" s="238" t="s">
        <v>2022</v>
      </c>
      <c r="E1764" s="238" t="s">
        <v>1934</v>
      </c>
      <c r="F1764" s="238" t="s">
        <v>1847</v>
      </c>
      <c r="G1764" s="238" t="s">
        <v>96</v>
      </c>
      <c r="H1764" s="239" t="s">
        <v>3617</v>
      </c>
      <c r="I1764" s="217"/>
      <c r="J1764" s="217"/>
      <c r="K1764" s="217"/>
      <c r="L1764" s="217"/>
      <c r="M1764" s="217"/>
      <c r="N1764" s="217"/>
      <c r="O1764" s="217"/>
      <c r="P1764" s="217"/>
    </row>
    <row r="1765" spans="1:16" s="219" customFormat="1" ht="30" hidden="1" x14ac:dyDescent="0.25">
      <c r="A1765" s="214"/>
      <c r="B1765" s="237">
        <v>1</v>
      </c>
      <c r="C1765" s="237">
        <v>3</v>
      </c>
      <c r="D1765" s="238" t="s">
        <v>2022</v>
      </c>
      <c r="E1765" s="238" t="s">
        <v>1934</v>
      </c>
      <c r="F1765" s="238" t="s">
        <v>1847</v>
      </c>
      <c r="G1765" s="238" t="s">
        <v>100</v>
      </c>
      <c r="H1765" s="239" t="s">
        <v>3618</v>
      </c>
      <c r="I1765" s="217"/>
      <c r="J1765" s="217"/>
      <c r="K1765" s="217"/>
      <c r="L1765" s="217"/>
      <c r="M1765" s="217"/>
      <c r="N1765" s="217"/>
      <c r="O1765" s="217"/>
      <c r="P1765" s="217"/>
    </row>
    <row r="1766" spans="1:16" s="219" customFormat="1" ht="30" hidden="1" x14ac:dyDescent="0.25">
      <c r="A1766" s="214"/>
      <c r="B1766" s="237">
        <v>1</v>
      </c>
      <c r="C1766" s="237">
        <v>3</v>
      </c>
      <c r="D1766" s="238" t="s">
        <v>2022</v>
      </c>
      <c r="E1766" s="238" t="s">
        <v>1934</v>
      </c>
      <c r="F1766" s="238" t="s">
        <v>1847</v>
      </c>
      <c r="G1766" s="238" t="s">
        <v>105</v>
      </c>
      <c r="H1766" s="239" t="s">
        <v>3619</v>
      </c>
      <c r="I1766" s="217"/>
      <c r="J1766" s="217"/>
      <c r="K1766" s="217"/>
      <c r="L1766" s="217"/>
      <c r="M1766" s="217"/>
      <c r="N1766" s="217"/>
      <c r="O1766" s="217"/>
      <c r="P1766" s="217"/>
    </row>
    <row r="1767" spans="1:16" s="213" customFormat="1" ht="30" hidden="1" x14ac:dyDescent="0.25">
      <c r="A1767" s="208" t="s">
        <v>263</v>
      </c>
      <c r="B1767" s="234">
        <v>1</v>
      </c>
      <c r="C1767" s="234">
        <v>3</v>
      </c>
      <c r="D1767" s="235" t="s">
        <v>2022</v>
      </c>
      <c r="E1767" s="235" t="s">
        <v>1934</v>
      </c>
      <c r="F1767" s="235" t="s">
        <v>1928</v>
      </c>
      <c r="G1767" s="234"/>
      <c r="H1767" s="236" t="s">
        <v>3620</v>
      </c>
      <c r="I1767" s="211">
        <f>SUM(I1768:I1777)</f>
        <v>0</v>
      </c>
      <c r="J1767" s="211">
        <f t="shared" ref="J1767:P1767" si="187">SUM(J1768:J1777)</f>
        <v>0</v>
      </c>
      <c r="K1767" s="211">
        <f t="shared" si="187"/>
        <v>0</v>
      </c>
      <c r="L1767" s="211">
        <f t="shared" si="187"/>
        <v>0</v>
      </c>
      <c r="M1767" s="211">
        <f t="shared" si="187"/>
        <v>0</v>
      </c>
      <c r="N1767" s="211">
        <f t="shared" si="187"/>
        <v>0</v>
      </c>
      <c r="O1767" s="211">
        <f t="shared" si="187"/>
        <v>0</v>
      </c>
      <c r="P1767" s="211">
        <f t="shared" si="187"/>
        <v>0</v>
      </c>
    </row>
    <row r="1768" spans="1:16" s="219" customFormat="1" ht="45" hidden="1" x14ac:dyDescent="0.25">
      <c r="A1768" s="214"/>
      <c r="B1768" s="237">
        <v>1</v>
      </c>
      <c r="C1768" s="237">
        <v>3</v>
      </c>
      <c r="D1768" s="238" t="s">
        <v>2022</v>
      </c>
      <c r="E1768" s="238" t="s">
        <v>1934</v>
      </c>
      <c r="F1768" s="238" t="s">
        <v>1928</v>
      </c>
      <c r="G1768" s="238" t="s">
        <v>58</v>
      </c>
      <c r="H1768" s="239" t="s">
        <v>3621</v>
      </c>
      <c r="I1768" s="217"/>
      <c r="J1768" s="217"/>
      <c r="K1768" s="217"/>
      <c r="L1768" s="217"/>
      <c r="M1768" s="217"/>
      <c r="N1768" s="217"/>
      <c r="O1768" s="217"/>
      <c r="P1768" s="217"/>
    </row>
    <row r="1769" spans="1:16" s="219" customFormat="1" ht="90" hidden="1" x14ac:dyDescent="0.25">
      <c r="A1769" s="214"/>
      <c r="B1769" s="237">
        <v>1</v>
      </c>
      <c r="C1769" s="237">
        <v>3</v>
      </c>
      <c r="D1769" s="238" t="s">
        <v>2022</v>
      </c>
      <c r="E1769" s="238" t="s">
        <v>1934</v>
      </c>
      <c r="F1769" s="238" t="s">
        <v>1928</v>
      </c>
      <c r="G1769" s="238" t="s">
        <v>75</v>
      </c>
      <c r="H1769" s="239" t="s">
        <v>3622</v>
      </c>
      <c r="I1769" s="217"/>
      <c r="J1769" s="217"/>
      <c r="K1769" s="217"/>
      <c r="L1769" s="217"/>
      <c r="M1769" s="217"/>
      <c r="N1769" s="217"/>
      <c r="O1769" s="217"/>
      <c r="P1769" s="217"/>
    </row>
    <row r="1770" spans="1:16" s="219" customFormat="1" ht="90" hidden="1" x14ac:dyDescent="0.25">
      <c r="A1770" s="214"/>
      <c r="B1770" s="237">
        <v>1</v>
      </c>
      <c r="C1770" s="237">
        <v>3</v>
      </c>
      <c r="D1770" s="238" t="s">
        <v>2022</v>
      </c>
      <c r="E1770" s="238" t="s">
        <v>1934</v>
      </c>
      <c r="F1770" s="238" t="s">
        <v>1928</v>
      </c>
      <c r="G1770" s="238" t="s">
        <v>79</v>
      </c>
      <c r="H1770" s="239" t="s">
        <v>3623</v>
      </c>
      <c r="I1770" s="217"/>
      <c r="J1770" s="217"/>
      <c r="K1770" s="217"/>
      <c r="L1770" s="217"/>
      <c r="M1770" s="217"/>
      <c r="N1770" s="217"/>
      <c r="O1770" s="217"/>
      <c r="P1770" s="217"/>
    </row>
    <row r="1771" spans="1:16" s="219" customFormat="1" ht="60" hidden="1" x14ac:dyDescent="0.25">
      <c r="A1771" s="214"/>
      <c r="B1771" s="237">
        <v>1</v>
      </c>
      <c r="C1771" s="237">
        <v>3</v>
      </c>
      <c r="D1771" s="238" t="s">
        <v>2022</v>
      </c>
      <c r="E1771" s="238" t="s">
        <v>1934</v>
      </c>
      <c r="F1771" s="238" t="s">
        <v>1928</v>
      </c>
      <c r="G1771" s="238" t="s">
        <v>84</v>
      </c>
      <c r="H1771" s="239" t="s">
        <v>3624</v>
      </c>
      <c r="I1771" s="217"/>
      <c r="J1771" s="217"/>
      <c r="K1771" s="217"/>
      <c r="L1771" s="217"/>
      <c r="M1771" s="217"/>
      <c r="N1771" s="217"/>
      <c r="O1771" s="217"/>
      <c r="P1771" s="217"/>
    </row>
    <row r="1772" spans="1:16" s="219" customFormat="1" ht="75" hidden="1" x14ac:dyDescent="0.25">
      <c r="A1772" s="214"/>
      <c r="B1772" s="237">
        <v>1</v>
      </c>
      <c r="C1772" s="237">
        <v>3</v>
      </c>
      <c r="D1772" s="238" t="s">
        <v>2022</v>
      </c>
      <c r="E1772" s="238" t="s">
        <v>1934</v>
      </c>
      <c r="F1772" s="238" t="s">
        <v>1928</v>
      </c>
      <c r="G1772" s="238" t="s">
        <v>88</v>
      </c>
      <c r="H1772" s="239" t="s">
        <v>3625</v>
      </c>
      <c r="I1772" s="217"/>
      <c r="J1772" s="217"/>
      <c r="K1772" s="217"/>
      <c r="L1772" s="217"/>
      <c r="M1772" s="217"/>
      <c r="N1772" s="217"/>
      <c r="O1772" s="217"/>
      <c r="P1772" s="217"/>
    </row>
    <row r="1773" spans="1:16" s="219" customFormat="1" ht="60" hidden="1" x14ac:dyDescent="0.25">
      <c r="A1773" s="214"/>
      <c r="B1773" s="237">
        <v>1</v>
      </c>
      <c r="C1773" s="237">
        <v>3</v>
      </c>
      <c r="D1773" s="238" t="s">
        <v>2022</v>
      </c>
      <c r="E1773" s="238" t="s">
        <v>1934</v>
      </c>
      <c r="F1773" s="238" t="s">
        <v>1928</v>
      </c>
      <c r="G1773" s="238" t="s">
        <v>92</v>
      </c>
      <c r="H1773" s="239" t="s">
        <v>3626</v>
      </c>
      <c r="I1773" s="217"/>
      <c r="J1773" s="217"/>
      <c r="K1773" s="217"/>
      <c r="L1773" s="217"/>
      <c r="M1773" s="217"/>
      <c r="N1773" s="217"/>
      <c r="O1773" s="217"/>
      <c r="P1773" s="217"/>
    </row>
    <row r="1774" spans="1:16" s="219" customFormat="1" ht="90" hidden="1" x14ac:dyDescent="0.25">
      <c r="A1774" s="214"/>
      <c r="B1774" s="237">
        <v>1</v>
      </c>
      <c r="C1774" s="237">
        <v>3</v>
      </c>
      <c r="D1774" s="238" t="s">
        <v>2022</v>
      </c>
      <c r="E1774" s="238" t="s">
        <v>1934</v>
      </c>
      <c r="F1774" s="238" t="s">
        <v>1928</v>
      </c>
      <c r="G1774" s="238" t="s">
        <v>96</v>
      </c>
      <c r="H1774" s="239" t="s">
        <v>3627</v>
      </c>
      <c r="I1774" s="217"/>
      <c r="J1774" s="217"/>
      <c r="K1774" s="217"/>
      <c r="L1774" s="217"/>
      <c r="M1774" s="217"/>
      <c r="N1774" s="217"/>
      <c r="O1774" s="217"/>
      <c r="P1774" s="217"/>
    </row>
    <row r="1775" spans="1:16" s="219" customFormat="1" ht="90" hidden="1" x14ac:dyDescent="0.25">
      <c r="A1775" s="214"/>
      <c r="B1775" s="237">
        <v>1</v>
      </c>
      <c r="C1775" s="237">
        <v>3</v>
      </c>
      <c r="D1775" s="238" t="s">
        <v>2022</v>
      </c>
      <c r="E1775" s="238" t="s">
        <v>1934</v>
      </c>
      <c r="F1775" s="238" t="s">
        <v>1928</v>
      </c>
      <c r="G1775" s="238" t="s">
        <v>100</v>
      </c>
      <c r="H1775" s="239" t="s">
        <v>3628</v>
      </c>
      <c r="I1775" s="217"/>
      <c r="J1775" s="217"/>
      <c r="K1775" s="217"/>
      <c r="L1775" s="217"/>
      <c r="M1775" s="217"/>
      <c r="N1775" s="217"/>
      <c r="O1775" s="217"/>
      <c r="P1775" s="217"/>
    </row>
    <row r="1776" spans="1:16" s="219" customFormat="1" ht="90" hidden="1" x14ac:dyDescent="0.25">
      <c r="A1776" s="214"/>
      <c r="B1776" s="237">
        <v>1</v>
      </c>
      <c r="C1776" s="237">
        <v>3</v>
      </c>
      <c r="D1776" s="238" t="s">
        <v>2022</v>
      </c>
      <c r="E1776" s="238" t="s">
        <v>1934</v>
      </c>
      <c r="F1776" s="238" t="s">
        <v>1928</v>
      </c>
      <c r="G1776" s="238" t="s">
        <v>105</v>
      </c>
      <c r="H1776" s="239" t="s">
        <v>3629</v>
      </c>
      <c r="I1776" s="217"/>
      <c r="J1776" s="217"/>
      <c r="K1776" s="217"/>
      <c r="L1776" s="217"/>
      <c r="M1776" s="217"/>
      <c r="N1776" s="217"/>
      <c r="O1776" s="217"/>
      <c r="P1776" s="217"/>
    </row>
    <row r="1777" spans="1:17" s="219" customFormat="1" ht="45" hidden="1" x14ac:dyDescent="0.25">
      <c r="A1777" s="214"/>
      <c r="B1777" s="237">
        <v>1</v>
      </c>
      <c r="C1777" s="237">
        <v>3</v>
      </c>
      <c r="D1777" s="238" t="s">
        <v>2022</v>
      </c>
      <c r="E1777" s="238" t="s">
        <v>1934</v>
      </c>
      <c r="F1777" s="238" t="s">
        <v>1928</v>
      </c>
      <c r="G1777" s="238" t="s">
        <v>108</v>
      </c>
      <c r="H1777" s="239" t="s">
        <v>3630</v>
      </c>
      <c r="I1777" s="217"/>
      <c r="J1777" s="217"/>
      <c r="K1777" s="217"/>
      <c r="L1777" s="217"/>
      <c r="M1777" s="217"/>
      <c r="N1777" s="217"/>
      <c r="O1777" s="217"/>
      <c r="P1777" s="217"/>
    </row>
    <row r="1778" spans="1:17" s="213" customFormat="1" ht="30" hidden="1" x14ac:dyDescent="0.25">
      <c r="A1778" s="208" t="s">
        <v>263</v>
      </c>
      <c r="B1778" s="234">
        <v>1</v>
      </c>
      <c r="C1778" s="234">
        <v>3</v>
      </c>
      <c r="D1778" s="235" t="s">
        <v>2022</v>
      </c>
      <c r="E1778" s="235" t="s">
        <v>1934</v>
      </c>
      <c r="F1778" s="235" t="s">
        <v>1934</v>
      </c>
      <c r="G1778" s="234"/>
      <c r="H1778" s="236" t="s">
        <v>3631</v>
      </c>
      <c r="I1778" s="211">
        <f>I1779</f>
        <v>0</v>
      </c>
      <c r="J1778" s="211">
        <f t="shared" ref="J1778:P1778" si="188">J1779</f>
        <v>0</v>
      </c>
      <c r="K1778" s="211">
        <f t="shared" si="188"/>
        <v>0</v>
      </c>
      <c r="L1778" s="211">
        <f t="shared" si="188"/>
        <v>0</v>
      </c>
      <c r="M1778" s="211">
        <f t="shared" si="188"/>
        <v>0</v>
      </c>
      <c r="N1778" s="211">
        <f t="shared" si="188"/>
        <v>0</v>
      </c>
      <c r="O1778" s="211">
        <f t="shared" si="188"/>
        <v>0</v>
      </c>
      <c r="P1778" s="211">
        <f t="shared" si="188"/>
        <v>0</v>
      </c>
    </row>
    <row r="1779" spans="1:17" s="219" customFormat="1" ht="30" hidden="1" x14ac:dyDescent="0.25">
      <c r="A1779" s="214"/>
      <c r="B1779" s="237">
        <v>1</v>
      </c>
      <c r="C1779" s="237">
        <v>3</v>
      </c>
      <c r="D1779" s="238" t="s">
        <v>2022</v>
      </c>
      <c r="E1779" s="238" t="s">
        <v>1934</v>
      </c>
      <c r="F1779" s="238" t="s">
        <v>1934</v>
      </c>
      <c r="G1779" s="238" t="s">
        <v>58</v>
      </c>
      <c r="H1779" s="239" t="s">
        <v>3632</v>
      </c>
      <c r="I1779" s="217"/>
      <c r="J1779" s="217"/>
      <c r="K1779" s="217"/>
      <c r="L1779" s="217"/>
      <c r="M1779" s="217"/>
      <c r="N1779" s="217"/>
      <c r="O1779" s="217"/>
      <c r="P1779" s="217"/>
    </row>
    <row r="1780" spans="1:17" s="213" customFormat="1" ht="30" hidden="1" x14ac:dyDescent="0.25">
      <c r="A1780" s="208" t="s">
        <v>263</v>
      </c>
      <c r="B1780" s="234">
        <v>1</v>
      </c>
      <c r="C1780" s="234">
        <v>3</v>
      </c>
      <c r="D1780" s="235" t="s">
        <v>2022</v>
      </c>
      <c r="E1780" s="235" t="s">
        <v>1934</v>
      </c>
      <c r="F1780" s="235" t="s">
        <v>2022</v>
      </c>
      <c r="G1780" s="234"/>
      <c r="H1780" s="236" t="s">
        <v>3633</v>
      </c>
      <c r="I1780" s="211">
        <f>SUM(I1781:I1787)</f>
        <v>0</v>
      </c>
      <c r="J1780" s="211">
        <f t="shared" ref="J1780:P1780" si="189">SUM(J1781:J1787)</f>
        <v>0</v>
      </c>
      <c r="K1780" s="211">
        <f t="shared" si="189"/>
        <v>0</v>
      </c>
      <c r="L1780" s="211">
        <f t="shared" si="189"/>
        <v>0</v>
      </c>
      <c r="M1780" s="211">
        <f t="shared" si="189"/>
        <v>0</v>
      </c>
      <c r="N1780" s="211">
        <f t="shared" si="189"/>
        <v>0</v>
      </c>
      <c r="O1780" s="211">
        <f t="shared" si="189"/>
        <v>0</v>
      </c>
      <c r="P1780" s="211">
        <f t="shared" si="189"/>
        <v>0</v>
      </c>
    </row>
    <row r="1781" spans="1:17" s="219" customFormat="1" ht="30" hidden="1" x14ac:dyDescent="0.25">
      <c r="A1781" s="214"/>
      <c r="B1781" s="237">
        <v>1</v>
      </c>
      <c r="C1781" s="237">
        <v>3</v>
      </c>
      <c r="D1781" s="238" t="s">
        <v>2022</v>
      </c>
      <c r="E1781" s="238" t="s">
        <v>1934</v>
      </c>
      <c r="F1781" s="238" t="s">
        <v>2022</v>
      </c>
      <c r="G1781" s="238" t="s">
        <v>58</v>
      </c>
      <c r="H1781" s="239" t="s">
        <v>3634</v>
      </c>
      <c r="I1781" s="217"/>
      <c r="J1781" s="217"/>
      <c r="K1781" s="217"/>
      <c r="L1781" s="217"/>
      <c r="M1781" s="217"/>
      <c r="N1781" s="217"/>
      <c r="O1781" s="217"/>
      <c r="P1781" s="217"/>
    </row>
    <row r="1782" spans="1:17" s="219" customFormat="1" ht="45" hidden="1" x14ac:dyDescent="0.25">
      <c r="A1782" s="214"/>
      <c r="B1782" s="237">
        <v>1</v>
      </c>
      <c r="C1782" s="237">
        <v>3</v>
      </c>
      <c r="D1782" s="238" t="s">
        <v>2022</v>
      </c>
      <c r="E1782" s="238" t="s">
        <v>1934</v>
      </c>
      <c r="F1782" s="238" t="s">
        <v>2022</v>
      </c>
      <c r="G1782" s="238" t="s">
        <v>75</v>
      </c>
      <c r="H1782" s="239" t="s">
        <v>3635</v>
      </c>
      <c r="I1782" s="217"/>
      <c r="J1782" s="217"/>
      <c r="K1782" s="217"/>
      <c r="L1782" s="217"/>
      <c r="M1782" s="217"/>
      <c r="N1782" s="217"/>
      <c r="O1782" s="217"/>
      <c r="P1782" s="217"/>
    </row>
    <row r="1783" spans="1:17" s="219" customFormat="1" ht="30" hidden="1" x14ac:dyDescent="0.25">
      <c r="A1783" s="214"/>
      <c r="B1783" s="237">
        <v>1</v>
      </c>
      <c r="C1783" s="237">
        <v>3</v>
      </c>
      <c r="D1783" s="238" t="s">
        <v>2022</v>
      </c>
      <c r="E1783" s="238" t="s">
        <v>1934</v>
      </c>
      <c r="F1783" s="238" t="s">
        <v>2022</v>
      </c>
      <c r="G1783" s="238" t="s">
        <v>79</v>
      </c>
      <c r="H1783" s="239" t="s">
        <v>3636</v>
      </c>
      <c r="I1783" s="217"/>
      <c r="J1783" s="217"/>
      <c r="K1783" s="217"/>
      <c r="L1783" s="217"/>
      <c r="M1783" s="217"/>
      <c r="N1783" s="217"/>
      <c r="O1783" s="217"/>
      <c r="P1783" s="217"/>
    </row>
    <row r="1784" spans="1:17" s="219" customFormat="1" ht="30" hidden="1" x14ac:dyDescent="0.25">
      <c r="A1784" s="214"/>
      <c r="B1784" s="237">
        <v>1</v>
      </c>
      <c r="C1784" s="237">
        <v>3</v>
      </c>
      <c r="D1784" s="238" t="s">
        <v>2022</v>
      </c>
      <c r="E1784" s="238" t="s">
        <v>1934</v>
      </c>
      <c r="F1784" s="238" t="s">
        <v>2022</v>
      </c>
      <c r="G1784" s="238" t="s">
        <v>84</v>
      </c>
      <c r="H1784" s="239" t="s">
        <v>3637</v>
      </c>
      <c r="I1784" s="217"/>
      <c r="J1784" s="217"/>
      <c r="K1784" s="217"/>
      <c r="L1784" s="217"/>
      <c r="M1784" s="217"/>
      <c r="N1784" s="217"/>
      <c r="O1784" s="217"/>
      <c r="P1784" s="217"/>
    </row>
    <row r="1785" spans="1:17" s="219" customFormat="1" ht="30" hidden="1" x14ac:dyDescent="0.25">
      <c r="A1785" s="214"/>
      <c r="B1785" s="237">
        <v>1</v>
      </c>
      <c r="C1785" s="237">
        <v>3</v>
      </c>
      <c r="D1785" s="238" t="s">
        <v>2022</v>
      </c>
      <c r="E1785" s="238" t="s">
        <v>1934</v>
      </c>
      <c r="F1785" s="238" t="s">
        <v>2022</v>
      </c>
      <c r="G1785" s="238" t="s">
        <v>88</v>
      </c>
      <c r="H1785" s="239" t="s">
        <v>3638</v>
      </c>
      <c r="I1785" s="217"/>
      <c r="J1785" s="217"/>
      <c r="K1785" s="217"/>
      <c r="L1785" s="217"/>
      <c r="M1785" s="217"/>
      <c r="N1785" s="217"/>
      <c r="O1785" s="217"/>
      <c r="P1785" s="217"/>
    </row>
    <row r="1786" spans="1:17" s="219" customFormat="1" ht="30" hidden="1" x14ac:dyDescent="0.25">
      <c r="A1786" s="214"/>
      <c r="B1786" s="237">
        <v>1</v>
      </c>
      <c r="C1786" s="237">
        <v>3</v>
      </c>
      <c r="D1786" s="238" t="s">
        <v>2022</v>
      </c>
      <c r="E1786" s="238" t="s">
        <v>1934</v>
      </c>
      <c r="F1786" s="238" t="s">
        <v>2022</v>
      </c>
      <c r="G1786" s="238" t="s">
        <v>92</v>
      </c>
      <c r="H1786" s="239" t="s">
        <v>3639</v>
      </c>
      <c r="I1786" s="217"/>
      <c r="J1786" s="217"/>
      <c r="K1786" s="217"/>
      <c r="L1786" s="217"/>
      <c r="M1786" s="217"/>
      <c r="N1786" s="217"/>
      <c r="O1786" s="217"/>
      <c r="P1786" s="217"/>
    </row>
    <row r="1787" spans="1:17" s="219" customFormat="1" ht="45" hidden="1" x14ac:dyDescent="0.25">
      <c r="A1787" s="214"/>
      <c r="B1787" s="237">
        <v>1</v>
      </c>
      <c r="C1787" s="237">
        <v>3</v>
      </c>
      <c r="D1787" s="238" t="s">
        <v>2022</v>
      </c>
      <c r="E1787" s="238" t="s">
        <v>1934</v>
      </c>
      <c r="F1787" s="238" t="s">
        <v>2022</v>
      </c>
      <c r="G1787" s="238" t="s">
        <v>96</v>
      </c>
      <c r="H1787" s="239" t="s">
        <v>3640</v>
      </c>
      <c r="I1787" s="217"/>
      <c r="J1787" s="217"/>
      <c r="K1787" s="217"/>
      <c r="L1787" s="217"/>
      <c r="M1787" s="217"/>
      <c r="N1787" s="217"/>
      <c r="O1787" s="217"/>
      <c r="P1787" s="217"/>
    </row>
    <row r="1788" spans="1:17" s="213" customFormat="1" ht="30" hidden="1" x14ac:dyDescent="0.25">
      <c r="A1788" s="208" t="s">
        <v>263</v>
      </c>
      <c r="B1788" s="234">
        <v>1</v>
      </c>
      <c r="C1788" s="234">
        <v>3</v>
      </c>
      <c r="D1788" s="235" t="s">
        <v>2022</v>
      </c>
      <c r="E1788" s="235" t="s">
        <v>1934</v>
      </c>
      <c r="F1788" s="235" t="s">
        <v>2100</v>
      </c>
      <c r="G1788" s="234"/>
      <c r="H1788" s="236" t="s">
        <v>3641</v>
      </c>
      <c r="I1788" s="211">
        <f>I1789</f>
        <v>0</v>
      </c>
      <c r="J1788" s="211">
        <f t="shared" ref="J1788:P1788" si="190">J1789</f>
        <v>0</v>
      </c>
      <c r="K1788" s="211">
        <f t="shared" si="190"/>
        <v>0</v>
      </c>
      <c r="L1788" s="211">
        <f t="shared" si="190"/>
        <v>0</v>
      </c>
      <c r="M1788" s="211">
        <f t="shared" si="190"/>
        <v>0</v>
      </c>
      <c r="N1788" s="211">
        <f t="shared" si="190"/>
        <v>0</v>
      </c>
      <c r="O1788" s="211">
        <f t="shared" si="190"/>
        <v>0</v>
      </c>
      <c r="P1788" s="211">
        <f t="shared" si="190"/>
        <v>0</v>
      </c>
    </row>
    <row r="1789" spans="1:17" s="219" customFormat="1" ht="30" hidden="1" x14ac:dyDescent="0.25">
      <c r="A1789" s="214"/>
      <c r="B1789" s="237">
        <v>1</v>
      </c>
      <c r="C1789" s="237">
        <v>3</v>
      </c>
      <c r="D1789" s="238" t="s">
        <v>2022</v>
      </c>
      <c r="E1789" s="238" t="s">
        <v>1934</v>
      </c>
      <c r="F1789" s="238" t="s">
        <v>2100</v>
      </c>
      <c r="G1789" s="238" t="s">
        <v>58</v>
      </c>
      <c r="H1789" s="239" t="s">
        <v>3641</v>
      </c>
      <c r="I1789" s="217"/>
      <c r="J1789" s="217"/>
      <c r="K1789" s="217"/>
      <c r="L1789" s="217"/>
      <c r="M1789" s="217"/>
      <c r="N1789" s="217"/>
      <c r="O1789" s="217"/>
      <c r="P1789" s="217"/>
    </row>
    <row r="1790" spans="1:17" s="336" customFormat="1" x14ac:dyDescent="0.25">
      <c r="A1790" s="331"/>
      <c r="B1790" s="332"/>
      <c r="C1790" s="334"/>
      <c r="D1790" s="334"/>
      <c r="E1790" s="334"/>
      <c r="F1790" s="334"/>
      <c r="G1790" s="334"/>
      <c r="H1790" s="341"/>
      <c r="I1790" s="241"/>
      <c r="J1790" s="241"/>
      <c r="K1790" s="241"/>
      <c r="L1790" s="241"/>
      <c r="M1790" s="241"/>
      <c r="N1790" s="241"/>
      <c r="O1790" s="241"/>
      <c r="P1790" s="241"/>
    </row>
    <row r="1791" spans="1:17" s="339" customFormat="1" x14ac:dyDescent="0.25">
      <c r="A1791" s="337">
        <v>7</v>
      </c>
      <c r="B1791" s="338">
        <v>7</v>
      </c>
      <c r="C1791" s="333" t="s">
        <v>2100</v>
      </c>
      <c r="D1791" s="333"/>
      <c r="E1791" s="333"/>
      <c r="F1791" s="333"/>
      <c r="G1791" s="333"/>
      <c r="H1791" s="335" t="s">
        <v>3642</v>
      </c>
      <c r="I1791" s="230">
        <f>SUM(I1792+I1803+I1810+I1822+I1827+I1835)</f>
        <v>25200000</v>
      </c>
      <c r="J1791" s="230">
        <f t="shared" ref="J1791:P1791" si="191">SUM(J1792+J1803+J1810+J1822+J1827+J1835)</f>
        <v>0</v>
      </c>
      <c r="K1791" s="230">
        <f t="shared" si="191"/>
        <v>0</v>
      </c>
      <c r="L1791" s="230">
        <f t="shared" si="191"/>
        <v>0</v>
      </c>
      <c r="M1791" s="230">
        <f t="shared" si="191"/>
        <v>0</v>
      </c>
      <c r="N1791" s="230">
        <f t="shared" si="191"/>
        <v>0</v>
      </c>
      <c r="O1791" s="230">
        <f t="shared" si="191"/>
        <v>25200000</v>
      </c>
      <c r="P1791" s="230">
        <f t="shared" si="191"/>
        <v>0</v>
      </c>
    </row>
    <row r="1792" spans="1:17" s="213" customFormat="1" x14ac:dyDescent="0.25">
      <c r="A1792" s="208" t="s">
        <v>1827</v>
      </c>
      <c r="B1792" s="209" t="s">
        <v>1822</v>
      </c>
      <c r="C1792" s="209" t="s">
        <v>3643</v>
      </c>
      <c r="D1792" s="209" t="s">
        <v>1825</v>
      </c>
      <c r="E1792" s="209"/>
      <c r="F1792" s="209"/>
      <c r="G1792" s="209"/>
      <c r="H1792" s="210" t="s">
        <v>3644</v>
      </c>
      <c r="I1792" s="211">
        <f>I1793+I1798</f>
        <v>0</v>
      </c>
      <c r="J1792" s="211">
        <f t="shared" ref="J1792:P1792" si="192">J1793+J1798</f>
        <v>0</v>
      </c>
      <c r="K1792" s="211">
        <f t="shared" si="192"/>
        <v>0</v>
      </c>
      <c r="L1792" s="211">
        <f t="shared" si="192"/>
        <v>0</v>
      </c>
      <c r="M1792" s="211">
        <f t="shared" si="192"/>
        <v>0</v>
      </c>
      <c r="N1792" s="211">
        <f t="shared" si="192"/>
        <v>0</v>
      </c>
      <c r="O1792" s="211">
        <f t="shared" si="192"/>
        <v>0</v>
      </c>
      <c r="P1792" s="211">
        <f t="shared" si="192"/>
        <v>0</v>
      </c>
      <c r="Q1792" s="212"/>
    </row>
    <row r="1793" spans="1:17" s="213" customFormat="1" hidden="1" x14ac:dyDescent="0.25">
      <c r="A1793" s="208"/>
      <c r="B1793" s="209" t="s">
        <v>1822</v>
      </c>
      <c r="C1793" s="209" t="s">
        <v>3643</v>
      </c>
      <c r="D1793" s="209" t="s">
        <v>1825</v>
      </c>
      <c r="E1793" s="209" t="s">
        <v>1825</v>
      </c>
      <c r="F1793" s="209"/>
      <c r="G1793" s="209"/>
      <c r="H1793" s="210" t="s">
        <v>3645</v>
      </c>
      <c r="I1793" s="211">
        <f>I1794</f>
        <v>0</v>
      </c>
      <c r="J1793" s="211">
        <f t="shared" ref="J1793:P1793" si="193">J1794</f>
        <v>0</v>
      </c>
      <c r="K1793" s="211">
        <f t="shared" si="193"/>
        <v>0</v>
      </c>
      <c r="L1793" s="211">
        <f t="shared" si="193"/>
        <v>0</v>
      </c>
      <c r="M1793" s="211">
        <f t="shared" si="193"/>
        <v>0</v>
      </c>
      <c r="N1793" s="211">
        <f t="shared" si="193"/>
        <v>0</v>
      </c>
      <c r="O1793" s="211">
        <f t="shared" si="193"/>
        <v>0</v>
      </c>
      <c r="P1793" s="211">
        <f t="shared" si="193"/>
        <v>0</v>
      </c>
      <c r="Q1793" s="212"/>
    </row>
    <row r="1794" spans="1:17" s="213" customFormat="1" ht="30" hidden="1" x14ac:dyDescent="0.25">
      <c r="A1794" s="208" t="s">
        <v>263</v>
      </c>
      <c r="B1794" s="209" t="s">
        <v>1822</v>
      </c>
      <c r="C1794" s="209" t="s">
        <v>3643</v>
      </c>
      <c r="D1794" s="209" t="s">
        <v>1825</v>
      </c>
      <c r="E1794" s="209" t="s">
        <v>1825</v>
      </c>
      <c r="F1794" s="209" t="s">
        <v>1825</v>
      </c>
      <c r="G1794" s="209"/>
      <c r="H1794" s="210" t="s">
        <v>3646</v>
      </c>
      <c r="I1794" s="211">
        <f>SUM(I1795:I1797)</f>
        <v>0</v>
      </c>
      <c r="J1794" s="211">
        <f t="shared" ref="J1794:P1794" si="194">SUM(J1795:J1797)</f>
        <v>0</v>
      </c>
      <c r="K1794" s="211">
        <f t="shared" si="194"/>
        <v>0</v>
      </c>
      <c r="L1794" s="211">
        <f t="shared" si="194"/>
        <v>0</v>
      </c>
      <c r="M1794" s="211">
        <f t="shared" si="194"/>
        <v>0</v>
      </c>
      <c r="N1794" s="211">
        <f t="shared" si="194"/>
        <v>0</v>
      </c>
      <c r="O1794" s="211">
        <f t="shared" si="194"/>
        <v>0</v>
      </c>
      <c r="P1794" s="211">
        <f t="shared" si="194"/>
        <v>0</v>
      </c>
      <c r="Q1794" s="212"/>
    </row>
    <row r="1795" spans="1:17" s="219" customFormat="1" ht="30" hidden="1" x14ac:dyDescent="0.25">
      <c r="A1795" s="214"/>
      <c r="B1795" s="215" t="s">
        <v>1822</v>
      </c>
      <c r="C1795" s="215" t="s">
        <v>3643</v>
      </c>
      <c r="D1795" s="215" t="s">
        <v>1825</v>
      </c>
      <c r="E1795" s="215" t="s">
        <v>1825</v>
      </c>
      <c r="F1795" s="215" t="s">
        <v>1825</v>
      </c>
      <c r="G1795" s="215" t="s">
        <v>58</v>
      </c>
      <c r="H1795" s="216" t="s">
        <v>3647</v>
      </c>
      <c r="I1795" s="217"/>
      <c r="J1795" s="217"/>
      <c r="K1795" s="217"/>
      <c r="L1795" s="217"/>
      <c r="M1795" s="217"/>
      <c r="N1795" s="217"/>
      <c r="O1795" s="217"/>
      <c r="P1795" s="217"/>
      <c r="Q1795" s="218"/>
    </row>
    <row r="1796" spans="1:17" s="219" customFormat="1" ht="30" hidden="1" x14ac:dyDescent="0.25">
      <c r="A1796" s="214"/>
      <c r="B1796" s="215" t="s">
        <v>1822</v>
      </c>
      <c r="C1796" s="215" t="s">
        <v>3643</v>
      </c>
      <c r="D1796" s="215" t="s">
        <v>1825</v>
      </c>
      <c r="E1796" s="215" t="s">
        <v>1825</v>
      </c>
      <c r="F1796" s="215" t="s">
        <v>1836</v>
      </c>
      <c r="G1796" s="215"/>
      <c r="H1796" s="216" t="s">
        <v>3648</v>
      </c>
      <c r="I1796" s="217"/>
      <c r="J1796" s="217"/>
      <c r="K1796" s="217"/>
      <c r="L1796" s="217"/>
      <c r="M1796" s="217"/>
      <c r="N1796" s="217"/>
      <c r="O1796" s="217"/>
      <c r="P1796" s="217"/>
      <c r="Q1796" s="218"/>
    </row>
    <row r="1797" spans="1:17" s="219" customFormat="1" ht="30" hidden="1" x14ac:dyDescent="0.25">
      <c r="A1797" s="214"/>
      <c r="B1797" s="215" t="s">
        <v>1822</v>
      </c>
      <c r="C1797" s="215" t="s">
        <v>3643</v>
      </c>
      <c r="D1797" s="215" t="s">
        <v>1825</v>
      </c>
      <c r="E1797" s="215" t="s">
        <v>1825</v>
      </c>
      <c r="F1797" s="215" t="s">
        <v>1836</v>
      </c>
      <c r="G1797" s="215" t="s">
        <v>58</v>
      </c>
      <c r="H1797" s="216" t="s">
        <v>3649</v>
      </c>
      <c r="I1797" s="217"/>
      <c r="J1797" s="217"/>
      <c r="K1797" s="217"/>
      <c r="L1797" s="217"/>
      <c r="M1797" s="217"/>
      <c r="N1797" s="217"/>
      <c r="O1797" s="217"/>
      <c r="P1797" s="217"/>
      <c r="Q1797" s="218"/>
    </row>
    <row r="1798" spans="1:17" s="213" customFormat="1" hidden="1" x14ac:dyDescent="0.25">
      <c r="A1798" s="208"/>
      <c r="B1798" s="209" t="s">
        <v>1822</v>
      </c>
      <c r="C1798" s="209" t="s">
        <v>3643</v>
      </c>
      <c r="D1798" s="209" t="s">
        <v>1825</v>
      </c>
      <c r="E1798" s="209" t="s">
        <v>1836</v>
      </c>
      <c r="F1798" s="209"/>
      <c r="G1798" s="209"/>
      <c r="H1798" s="210" t="s">
        <v>3650</v>
      </c>
      <c r="I1798" s="211">
        <f>I1799+I1801</f>
        <v>0</v>
      </c>
      <c r="J1798" s="211">
        <f t="shared" ref="J1798:P1798" si="195">J1799+J1801</f>
        <v>0</v>
      </c>
      <c r="K1798" s="211">
        <f t="shared" si="195"/>
        <v>0</v>
      </c>
      <c r="L1798" s="211">
        <f t="shared" si="195"/>
        <v>0</v>
      </c>
      <c r="M1798" s="211">
        <f t="shared" si="195"/>
        <v>0</v>
      </c>
      <c r="N1798" s="211">
        <f t="shared" si="195"/>
        <v>0</v>
      </c>
      <c r="O1798" s="211">
        <f t="shared" si="195"/>
        <v>0</v>
      </c>
      <c r="P1798" s="211">
        <f t="shared" si="195"/>
        <v>0</v>
      </c>
      <c r="Q1798" s="212"/>
    </row>
    <row r="1799" spans="1:17" s="213" customFormat="1" ht="30" hidden="1" x14ac:dyDescent="0.25">
      <c r="A1799" s="208" t="s">
        <v>263</v>
      </c>
      <c r="B1799" s="209" t="s">
        <v>1822</v>
      </c>
      <c r="C1799" s="209" t="s">
        <v>3643</v>
      </c>
      <c r="D1799" s="209" t="s">
        <v>1825</v>
      </c>
      <c r="E1799" s="209" t="s">
        <v>1836</v>
      </c>
      <c r="F1799" s="209" t="s">
        <v>1825</v>
      </c>
      <c r="G1799" s="209"/>
      <c r="H1799" s="210" t="s">
        <v>3651</v>
      </c>
      <c r="I1799" s="211">
        <f>I1800</f>
        <v>0</v>
      </c>
      <c r="J1799" s="211">
        <f t="shared" ref="J1799:P1799" si="196">J1800</f>
        <v>0</v>
      </c>
      <c r="K1799" s="211">
        <f t="shared" si="196"/>
        <v>0</v>
      </c>
      <c r="L1799" s="211">
        <f t="shared" si="196"/>
        <v>0</v>
      </c>
      <c r="M1799" s="211">
        <f t="shared" si="196"/>
        <v>0</v>
      </c>
      <c r="N1799" s="211">
        <f t="shared" si="196"/>
        <v>0</v>
      </c>
      <c r="O1799" s="211">
        <f t="shared" si="196"/>
        <v>0</v>
      </c>
      <c r="P1799" s="211">
        <f t="shared" si="196"/>
        <v>0</v>
      </c>
      <c r="Q1799" s="212"/>
    </row>
    <row r="1800" spans="1:17" s="219" customFormat="1" ht="30" hidden="1" x14ac:dyDescent="0.25">
      <c r="A1800" s="214"/>
      <c r="B1800" s="215" t="s">
        <v>1822</v>
      </c>
      <c r="C1800" s="215" t="s">
        <v>3643</v>
      </c>
      <c r="D1800" s="215" t="s">
        <v>1825</v>
      </c>
      <c r="E1800" s="215" t="s">
        <v>1836</v>
      </c>
      <c r="F1800" s="215" t="s">
        <v>1825</v>
      </c>
      <c r="G1800" s="215" t="s">
        <v>58</v>
      </c>
      <c r="H1800" s="216" t="s">
        <v>3652</v>
      </c>
      <c r="I1800" s="217"/>
      <c r="J1800" s="217"/>
      <c r="K1800" s="217"/>
      <c r="L1800" s="217"/>
      <c r="M1800" s="217"/>
      <c r="N1800" s="217"/>
      <c r="O1800" s="217"/>
      <c r="P1800" s="217"/>
      <c r="Q1800" s="218"/>
    </row>
    <row r="1801" spans="1:17" s="213" customFormat="1" ht="45" hidden="1" x14ac:dyDescent="0.25">
      <c r="A1801" s="208" t="s">
        <v>263</v>
      </c>
      <c r="B1801" s="209" t="s">
        <v>1822</v>
      </c>
      <c r="C1801" s="209" t="s">
        <v>3643</v>
      </c>
      <c r="D1801" s="209" t="s">
        <v>1825</v>
      </c>
      <c r="E1801" s="209" t="s">
        <v>1836</v>
      </c>
      <c r="F1801" s="209" t="s">
        <v>1836</v>
      </c>
      <c r="G1801" s="209"/>
      <c r="H1801" s="210" t="s">
        <v>3653</v>
      </c>
      <c r="I1801" s="211">
        <f>I1802</f>
        <v>0</v>
      </c>
      <c r="J1801" s="211">
        <f t="shared" ref="J1801:P1801" si="197">J1802</f>
        <v>0</v>
      </c>
      <c r="K1801" s="211">
        <f t="shared" si="197"/>
        <v>0</v>
      </c>
      <c r="L1801" s="211">
        <f t="shared" si="197"/>
        <v>0</v>
      </c>
      <c r="M1801" s="211">
        <f t="shared" si="197"/>
        <v>0</v>
      </c>
      <c r="N1801" s="211">
        <f t="shared" si="197"/>
        <v>0</v>
      </c>
      <c r="O1801" s="211">
        <f t="shared" si="197"/>
        <v>0</v>
      </c>
      <c r="P1801" s="211">
        <f t="shared" si="197"/>
        <v>0</v>
      </c>
      <c r="Q1801" s="212"/>
    </row>
    <row r="1802" spans="1:17" s="219" customFormat="1" ht="45" hidden="1" x14ac:dyDescent="0.25">
      <c r="A1802" s="214"/>
      <c r="B1802" s="215" t="s">
        <v>1822</v>
      </c>
      <c r="C1802" s="215" t="s">
        <v>3643</v>
      </c>
      <c r="D1802" s="215" t="s">
        <v>1825</v>
      </c>
      <c r="E1802" s="215" t="s">
        <v>1836</v>
      </c>
      <c r="F1802" s="215" t="s">
        <v>1836</v>
      </c>
      <c r="G1802" s="215" t="s">
        <v>58</v>
      </c>
      <c r="H1802" s="216" t="s">
        <v>3653</v>
      </c>
      <c r="I1802" s="217"/>
      <c r="J1802" s="217"/>
      <c r="K1802" s="217"/>
      <c r="L1802" s="217"/>
      <c r="M1802" s="217"/>
      <c r="N1802" s="217"/>
      <c r="O1802" s="217"/>
      <c r="P1802" s="217"/>
      <c r="Q1802" s="218"/>
    </row>
    <row r="1803" spans="1:17" s="213" customFormat="1" hidden="1" x14ac:dyDescent="0.25">
      <c r="A1803" s="208" t="s">
        <v>1905</v>
      </c>
      <c r="B1803" s="209" t="s">
        <v>1822</v>
      </c>
      <c r="C1803" s="209" t="s">
        <v>3643</v>
      </c>
      <c r="D1803" s="209" t="s">
        <v>1836</v>
      </c>
      <c r="E1803" s="209"/>
      <c r="F1803" s="209"/>
      <c r="G1803" s="209"/>
      <c r="H1803" s="210" t="s">
        <v>3654</v>
      </c>
      <c r="I1803" s="211">
        <f>I1804</f>
        <v>0</v>
      </c>
      <c r="J1803" s="211">
        <f t="shared" ref="J1803:P1804" si="198">J1804</f>
        <v>0</v>
      </c>
      <c r="K1803" s="211">
        <f t="shared" si="198"/>
        <v>0</v>
      </c>
      <c r="L1803" s="211">
        <f t="shared" si="198"/>
        <v>0</v>
      </c>
      <c r="M1803" s="211">
        <f t="shared" si="198"/>
        <v>0</v>
      </c>
      <c r="N1803" s="211">
        <f t="shared" si="198"/>
        <v>0</v>
      </c>
      <c r="O1803" s="211">
        <f t="shared" si="198"/>
        <v>0</v>
      </c>
      <c r="P1803" s="211">
        <f t="shared" si="198"/>
        <v>0</v>
      </c>
      <c r="Q1803" s="212"/>
    </row>
    <row r="1804" spans="1:17" s="213" customFormat="1" hidden="1" x14ac:dyDescent="0.25">
      <c r="A1804" s="208" t="s">
        <v>263</v>
      </c>
      <c r="B1804" s="209" t="s">
        <v>1822</v>
      </c>
      <c r="C1804" s="209" t="s">
        <v>3643</v>
      </c>
      <c r="D1804" s="209" t="s">
        <v>1836</v>
      </c>
      <c r="E1804" s="209" t="s">
        <v>1825</v>
      </c>
      <c r="F1804" s="209"/>
      <c r="G1804" s="209"/>
      <c r="H1804" s="210" t="s">
        <v>3654</v>
      </c>
      <c r="I1804" s="211">
        <f>I1805</f>
        <v>0</v>
      </c>
      <c r="J1804" s="211">
        <f t="shared" si="198"/>
        <v>0</v>
      </c>
      <c r="K1804" s="211">
        <f t="shared" si="198"/>
        <v>0</v>
      </c>
      <c r="L1804" s="211">
        <f t="shared" si="198"/>
        <v>0</v>
      </c>
      <c r="M1804" s="211">
        <f t="shared" si="198"/>
        <v>0</v>
      </c>
      <c r="N1804" s="211">
        <f t="shared" si="198"/>
        <v>0</v>
      </c>
      <c r="O1804" s="211">
        <f t="shared" si="198"/>
        <v>0</v>
      </c>
      <c r="P1804" s="211">
        <f t="shared" si="198"/>
        <v>0</v>
      </c>
      <c r="Q1804" s="212"/>
    </row>
    <row r="1805" spans="1:17" s="213" customFormat="1" hidden="1" x14ac:dyDescent="0.25">
      <c r="A1805" s="208" t="s">
        <v>263</v>
      </c>
      <c r="B1805" s="209" t="s">
        <v>1822</v>
      </c>
      <c r="C1805" s="209" t="s">
        <v>3643</v>
      </c>
      <c r="D1805" s="209" t="s">
        <v>1836</v>
      </c>
      <c r="E1805" s="209" t="s">
        <v>1825</v>
      </c>
      <c r="F1805" s="209" t="s">
        <v>1825</v>
      </c>
      <c r="G1805" s="209"/>
      <c r="H1805" s="210" t="s">
        <v>3654</v>
      </c>
      <c r="I1805" s="211">
        <f>SUM(I1806:I1809)</f>
        <v>0</v>
      </c>
      <c r="J1805" s="211">
        <f t="shared" ref="J1805:P1805" si="199">SUM(J1806:J1809)</f>
        <v>0</v>
      </c>
      <c r="K1805" s="211">
        <f t="shared" si="199"/>
        <v>0</v>
      </c>
      <c r="L1805" s="211">
        <f t="shared" si="199"/>
        <v>0</v>
      </c>
      <c r="M1805" s="211">
        <f t="shared" si="199"/>
        <v>0</v>
      </c>
      <c r="N1805" s="211">
        <f t="shared" si="199"/>
        <v>0</v>
      </c>
      <c r="O1805" s="211">
        <f t="shared" si="199"/>
        <v>0</v>
      </c>
      <c r="P1805" s="211">
        <f t="shared" si="199"/>
        <v>0</v>
      </c>
      <c r="Q1805" s="212"/>
    </row>
    <row r="1806" spans="1:17" s="219" customFormat="1" hidden="1" x14ac:dyDescent="0.25">
      <c r="A1806" s="214"/>
      <c r="B1806" s="215" t="s">
        <v>1822</v>
      </c>
      <c r="C1806" s="215" t="s">
        <v>3643</v>
      </c>
      <c r="D1806" s="215" t="s">
        <v>1836</v>
      </c>
      <c r="E1806" s="215" t="s">
        <v>1825</v>
      </c>
      <c r="F1806" s="215" t="s">
        <v>1825</v>
      </c>
      <c r="G1806" s="215" t="s">
        <v>58</v>
      </c>
      <c r="H1806" s="216" t="s">
        <v>3655</v>
      </c>
      <c r="I1806" s="217"/>
      <c r="J1806" s="217"/>
      <c r="K1806" s="217"/>
      <c r="L1806" s="217"/>
      <c r="M1806" s="217"/>
      <c r="N1806" s="217"/>
      <c r="O1806" s="217"/>
      <c r="P1806" s="217"/>
      <c r="Q1806" s="218"/>
    </row>
    <row r="1807" spans="1:17" s="219" customFormat="1" hidden="1" x14ac:dyDescent="0.25">
      <c r="A1807" s="214"/>
      <c r="B1807" s="215" t="s">
        <v>1822</v>
      </c>
      <c r="C1807" s="215" t="s">
        <v>3643</v>
      </c>
      <c r="D1807" s="215" t="s">
        <v>1836</v>
      </c>
      <c r="E1807" s="215" t="s">
        <v>1825</v>
      </c>
      <c r="F1807" s="215" t="s">
        <v>1825</v>
      </c>
      <c r="G1807" s="215" t="s">
        <v>75</v>
      </c>
      <c r="H1807" s="216" t="s">
        <v>3656</v>
      </c>
      <c r="I1807" s="217"/>
      <c r="J1807" s="217"/>
      <c r="K1807" s="217"/>
      <c r="L1807" s="217"/>
      <c r="M1807" s="217"/>
      <c r="N1807" s="217"/>
      <c r="O1807" s="217"/>
      <c r="P1807" s="217"/>
      <c r="Q1807" s="218"/>
    </row>
    <row r="1808" spans="1:17" s="219" customFormat="1" ht="30" hidden="1" x14ac:dyDescent="0.25">
      <c r="A1808" s="214"/>
      <c r="B1808" s="215" t="s">
        <v>1822</v>
      </c>
      <c r="C1808" s="215" t="s">
        <v>3643</v>
      </c>
      <c r="D1808" s="215" t="s">
        <v>1836</v>
      </c>
      <c r="E1808" s="215" t="s">
        <v>1825</v>
      </c>
      <c r="F1808" s="215" t="s">
        <v>1825</v>
      </c>
      <c r="G1808" s="215" t="s">
        <v>79</v>
      </c>
      <c r="H1808" s="216" t="s">
        <v>3657</v>
      </c>
      <c r="I1808" s="217"/>
      <c r="J1808" s="217"/>
      <c r="K1808" s="217"/>
      <c r="L1808" s="217"/>
      <c r="M1808" s="217"/>
      <c r="N1808" s="217"/>
      <c r="O1808" s="217"/>
      <c r="P1808" s="217"/>
      <c r="Q1808" s="218"/>
    </row>
    <row r="1809" spans="1:17" s="219" customFormat="1" hidden="1" x14ac:dyDescent="0.25">
      <c r="A1809" s="214"/>
      <c r="B1809" s="215" t="s">
        <v>1822</v>
      </c>
      <c r="C1809" s="215" t="s">
        <v>3643</v>
      </c>
      <c r="D1809" s="215" t="s">
        <v>1836</v>
      </c>
      <c r="E1809" s="215" t="s">
        <v>1825</v>
      </c>
      <c r="F1809" s="215" t="s">
        <v>1825</v>
      </c>
      <c r="G1809" s="215" t="s">
        <v>84</v>
      </c>
      <c r="H1809" s="216" t="s">
        <v>3658</v>
      </c>
      <c r="I1809" s="217"/>
      <c r="J1809" s="217"/>
      <c r="K1809" s="217"/>
      <c r="L1809" s="217"/>
      <c r="M1809" s="217"/>
      <c r="N1809" s="217"/>
      <c r="O1809" s="217"/>
      <c r="P1809" s="217"/>
      <c r="Q1809" s="218"/>
    </row>
    <row r="1810" spans="1:17" s="213" customFormat="1" hidden="1" x14ac:dyDescent="0.25">
      <c r="A1810" s="208" t="s">
        <v>1938</v>
      </c>
      <c r="B1810" s="209" t="s">
        <v>1822</v>
      </c>
      <c r="C1810" s="209" t="s">
        <v>3643</v>
      </c>
      <c r="D1810" s="209" t="s">
        <v>1847</v>
      </c>
      <c r="E1810" s="209"/>
      <c r="F1810" s="209"/>
      <c r="G1810" s="209"/>
      <c r="H1810" s="210" t="s">
        <v>3659</v>
      </c>
      <c r="I1810" s="211">
        <f>I1811</f>
        <v>0</v>
      </c>
      <c r="J1810" s="211">
        <f t="shared" ref="J1810:P1811" si="200">J1811</f>
        <v>0</v>
      </c>
      <c r="K1810" s="211">
        <f t="shared" si="200"/>
        <v>0</v>
      </c>
      <c r="L1810" s="211">
        <f t="shared" si="200"/>
        <v>0</v>
      </c>
      <c r="M1810" s="211">
        <f t="shared" si="200"/>
        <v>0</v>
      </c>
      <c r="N1810" s="211">
        <f t="shared" si="200"/>
        <v>0</v>
      </c>
      <c r="O1810" s="211">
        <f t="shared" si="200"/>
        <v>0</v>
      </c>
      <c r="P1810" s="211">
        <f t="shared" si="200"/>
        <v>0</v>
      </c>
      <c r="Q1810" s="212"/>
    </row>
    <row r="1811" spans="1:17" s="213" customFormat="1" hidden="1" x14ac:dyDescent="0.25">
      <c r="A1811" s="208" t="s">
        <v>263</v>
      </c>
      <c r="B1811" s="209" t="s">
        <v>1822</v>
      </c>
      <c r="C1811" s="209" t="s">
        <v>3643</v>
      </c>
      <c r="D1811" s="209" t="s">
        <v>1847</v>
      </c>
      <c r="E1811" s="209" t="s">
        <v>1825</v>
      </c>
      <c r="F1811" s="209"/>
      <c r="G1811" s="209"/>
      <c r="H1811" s="210" t="s">
        <v>3659</v>
      </c>
      <c r="I1811" s="211">
        <f>I1812</f>
        <v>0</v>
      </c>
      <c r="J1811" s="211">
        <f t="shared" si="200"/>
        <v>0</v>
      </c>
      <c r="K1811" s="211">
        <f t="shared" si="200"/>
        <v>0</v>
      </c>
      <c r="L1811" s="211">
        <f t="shared" si="200"/>
        <v>0</v>
      </c>
      <c r="M1811" s="211">
        <f t="shared" si="200"/>
        <v>0</v>
      </c>
      <c r="N1811" s="211">
        <f t="shared" si="200"/>
        <v>0</v>
      </c>
      <c r="O1811" s="211">
        <f t="shared" si="200"/>
        <v>0</v>
      </c>
      <c r="P1811" s="211">
        <f t="shared" si="200"/>
        <v>0</v>
      </c>
      <c r="Q1811" s="212"/>
    </row>
    <row r="1812" spans="1:17" s="213" customFormat="1" hidden="1" x14ac:dyDescent="0.25">
      <c r="A1812" s="208" t="s">
        <v>263</v>
      </c>
      <c r="B1812" s="209" t="s">
        <v>1822</v>
      </c>
      <c r="C1812" s="209" t="s">
        <v>3643</v>
      </c>
      <c r="D1812" s="209" t="s">
        <v>1847</v>
      </c>
      <c r="E1812" s="209" t="s">
        <v>1825</v>
      </c>
      <c r="F1812" s="209" t="s">
        <v>1825</v>
      </c>
      <c r="G1812" s="209"/>
      <c r="H1812" s="210" t="s">
        <v>3659</v>
      </c>
      <c r="I1812" s="211">
        <f>SUM(I1813:I1821)</f>
        <v>0</v>
      </c>
      <c r="J1812" s="211">
        <f t="shared" ref="J1812:P1812" si="201">SUM(J1813:J1821)</f>
        <v>0</v>
      </c>
      <c r="K1812" s="211">
        <f t="shared" si="201"/>
        <v>0</v>
      </c>
      <c r="L1812" s="211">
        <f t="shared" si="201"/>
        <v>0</v>
      </c>
      <c r="M1812" s="211">
        <f t="shared" si="201"/>
        <v>0</v>
      </c>
      <c r="N1812" s="211">
        <f t="shared" si="201"/>
        <v>0</v>
      </c>
      <c r="O1812" s="211">
        <f t="shared" si="201"/>
        <v>0</v>
      </c>
      <c r="P1812" s="211">
        <f t="shared" si="201"/>
        <v>0</v>
      </c>
      <c r="Q1812" s="212"/>
    </row>
    <row r="1813" spans="1:17" s="219" customFormat="1" hidden="1" x14ac:dyDescent="0.25">
      <c r="A1813" s="214"/>
      <c r="B1813" s="215" t="s">
        <v>1822</v>
      </c>
      <c r="C1813" s="215" t="s">
        <v>3643</v>
      </c>
      <c r="D1813" s="215" t="s">
        <v>1847</v>
      </c>
      <c r="E1813" s="215" t="s">
        <v>1825</v>
      </c>
      <c r="F1813" s="215" t="s">
        <v>1825</v>
      </c>
      <c r="G1813" s="215" t="s">
        <v>58</v>
      </c>
      <c r="H1813" s="216" t="s">
        <v>3660</v>
      </c>
      <c r="I1813" s="217"/>
      <c r="J1813" s="217"/>
      <c r="K1813" s="217"/>
      <c r="L1813" s="217"/>
      <c r="M1813" s="217"/>
      <c r="N1813" s="217"/>
      <c r="O1813" s="217"/>
      <c r="P1813" s="217"/>
      <c r="Q1813" s="218"/>
    </row>
    <row r="1814" spans="1:17" s="219" customFormat="1" hidden="1" x14ac:dyDescent="0.25">
      <c r="A1814" s="214"/>
      <c r="B1814" s="215" t="s">
        <v>1822</v>
      </c>
      <c r="C1814" s="215" t="s">
        <v>3643</v>
      </c>
      <c r="D1814" s="215" t="s">
        <v>1847</v>
      </c>
      <c r="E1814" s="215" t="s">
        <v>1825</v>
      </c>
      <c r="F1814" s="215" t="s">
        <v>1825</v>
      </c>
      <c r="G1814" s="215" t="s">
        <v>75</v>
      </c>
      <c r="H1814" s="216" t="s">
        <v>3661</v>
      </c>
      <c r="I1814" s="217"/>
      <c r="J1814" s="217"/>
      <c r="K1814" s="217"/>
      <c r="L1814" s="217"/>
      <c r="M1814" s="217"/>
      <c r="N1814" s="217"/>
      <c r="O1814" s="217"/>
      <c r="P1814" s="217"/>
      <c r="Q1814" s="218"/>
    </row>
    <row r="1815" spans="1:17" s="219" customFormat="1" hidden="1" x14ac:dyDescent="0.25">
      <c r="A1815" s="214"/>
      <c r="B1815" s="215" t="s">
        <v>1822</v>
      </c>
      <c r="C1815" s="215" t="s">
        <v>3643</v>
      </c>
      <c r="D1815" s="215" t="s">
        <v>1847</v>
      </c>
      <c r="E1815" s="215" t="s">
        <v>1825</v>
      </c>
      <c r="F1815" s="215" t="s">
        <v>1825</v>
      </c>
      <c r="G1815" s="215" t="s">
        <v>79</v>
      </c>
      <c r="H1815" s="216" t="s">
        <v>3662</v>
      </c>
      <c r="I1815" s="217"/>
      <c r="J1815" s="217"/>
      <c r="K1815" s="217"/>
      <c r="L1815" s="217"/>
      <c r="M1815" s="217"/>
      <c r="N1815" s="217"/>
      <c r="O1815" s="217"/>
      <c r="P1815" s="217"/>
      <c r="Q1815" s="218"/>
    </row>
    <row r="1816" spans="1:17" s="219" customFormat="1" hidden="1" x14ac:dyDescent="0.25">
      <c r="A1816" s="214"/>
      <c r="B1816" s="215" t="s">
        <v>1822</v>
      </c>
      <c r="C1816" s="215" t="s">
        <v>3643</v>
      </c>
      <c r="D1816" s="215" t="s">
        <v>1847</v>
      </c>
      <c r="E1816" s="215" t="s">
        <v>1825</v>
      </c>
      <c r="F1816" s="215" t="s">
        <v>1825</v>
      </c>
      <c r="G1816" s="215" t="s">
        <v>84</v>
      </c>
      <c r="H1816" s="216" t="s">
        <v>3663</v>
      </c>
      <c r="I1816" s="217"/>
      <c r="J1816" s="217"/>
      <c r="K1816" s="217"/>
      <c r="L1816" s="217"/>
      <c r="M1816" s="217"/>
      <c r="N1816" s="217"/>
      <c r="O1816" s="217"/>
      <c r="P1816" s="217"/>
      <c r="Q1816" s="218"/>
    </row>
    <row r="1817" spans="1:17" s="219" customFormat="1" hidden="1" x14ac:dyDescent="0.25">
      <c r="A1817" s="214"/>
      <c r="B1817" s="215" t="s">
        <v>1822</v>
      </c>
      <c r="C1817" s="215" t="s">
        <v>3643</v>
      </c>
      <c r="D1817" s="215" t="s">
        <v>1847</v>
      </c>
      <c r="E1817" s="215" t="s">
        <v>1825</v>
      </c>
      <c r="F1817" s="215" t="s">
        <v>1825</v>
      </c>
      <c r="G1817" s="215" t="s">
        <v>88</v>
      </c>
      <c r="H1817" s="216" t="s">
        <v>3664</v>
      </c>
      <c r="I1817" s="217"/>
      <c r="J1817" s="217"/>
      <c r="K1817" s="217"/>
      <c r="L1817" s="217"/>
      <c r="M1817" s="217"/>
      <c r="N1817" s="217"/>
      <c r="O1817" s="217"/>
      <c r="P1817" s="217"/>
      <c r="Q1817" s="218"/>
    </row>
    <row r="1818" spans="1:17" s="219" customFormat="1" hidden="1" x14ac:dyDescent="0.25">
      <c r="A1818" s="214"/>
      <c r="B1818" s="215" t="s">
        <v>1822</v>
      </c>
      <c r="C1818" s="215" t="s">
        <v>3643</v>
      </c>
      <c r="D1818" s="215" t="s">
        <v>1847</v>
      </c>
      <c r="E1818" s="215" t="s">
        <v>1825</v>
      </c>
      <c r="F1818" s="215" t="s">
        <v>1825</v>
      </c>
      <c r="G1818" s="215" t="s">
        <v>92</v>
      </c>
      <c r="H1818" s="216" t="s">
        <v>3665</v>
      </c>
      <c r="I1818" s="217"/>
      <c r="J1818" s="217"/>
      <c r="K1818" s="217"/>
      <c r="L1818" s="217"/>
      <c r="M1818" s="217"/>
      <c r="N1818" s="217"/>
      <c r="O1818" s="217"/>
      <c r="P1818" s="217"/>
      <c r="Q1818" s="218"/>
    </row>
    <row r="1819" spans="1:17" s="219" customFormat="1" ht="30" hidden="1" x14ac:dyDescent="0.25">
      <c r="A1819" s="214"/>
      <c r="B1819" s="215" t="s">
        <v>1822</v>
      </c>
      <c r="C1819" s="215" t="s">
        <v>3643</v>
      </c>
      <c r="D1819" s="215" t="s">
        <v>1847</v>
      </c>
      <c r="E1819" s="215" t="s">
        <v>1825</v>
      </c>
      <c r="F1819" s="215" t="s">
        <v>1825</v>
      </c>
      <c r="G1819" s="215" t="s">
        <v>96</v>
      </c>
      <c r="H1819" s="216" t="s">
        <v>3666</v>
      </c>
      <c r="I1819" s="217"/>
      <c r="J1819" s="217"/>
      <c r="K1819" s="217"/>
      <c r="L1819" s="217"/>
      <c r="M1819" s="217"/>
      <c r="N1819" s="217"/>
      <c r="O1819" s="217"/>
      <c r="P1819" s="217"/>
      <c r="Q1819" s="218"/>
    </row>
    <row r="1820" spans="1:17" s="219" customFormat="1" ht="30" hidden="1" x14ac:dyDescent="0.25">
      <c r="A1820" s="214"/>
      <c r="B1820" s="215" t="s">
        <v>1822</v>
      </c>
      <c r="C1820" s="215" t="s">
        <v>3643</v>
      </c>
      <c r="D1820" s="215" t="s">
        <v>1847</v>
      </c>
      <c r="E1820" s="215" t="s">
        <v>1825</v>
      </c>
      <c r="F1820" s="215" t="s">
        <v>1825</v>
      </c>
      <c r="G1820" s="215" t="s">
        <v>100</v>
      </c>
      <c r="H1820" s="216" t="s">
        <v>3667</v>
      </c>
      <c r="I1820" s="217"/>
      <c r="J1820" s="217"/>
      <c r="K1820" s="217"/>
      <c r="L1820" s="217"/>
      <c r="M1820" s="217"/>
      <c r="N1820" s="217"/>
      <c r="O1820" s="217"/>
      <c r="P1820" s="217"/>
      <c r="Q1820" s="218"/>
    </row>
    <row r="1821" spans="1:17" s="219" customFormat="1" hidden="1" x14ac:dyDescent="0.25">
      <c r="A1821" s="214"/>
      <c r="B1821" s="215" t="s">
        <v>1822</v>
      </c>
      <c r="C1821" s="215" t="s">
        <v>3643</v>
      </c>
      <c r="D1821" s="215" t="s">
        <v>1847</v>
      </c>
      <c r="E1821" s="215" t="s">
        <v>1825</v>
      </c>
      <c r="F1821" s="215" t="s">
        <v>1825</v>
      </c>
      <c r="G1821" s="215" t="s">
        <v>105</v>
      </c>
      <c r="H1821" s="216" t="s">
        <v>3668</v>
      </c>
      <c r="I1821" s="217"/>
      <c r="J1821" s="217"/>
      <c r="K1821" s="217"/>
      <c r="L1821" s="217"/>
      <c r="M1821" s="217"/>
      <c r="N1821" s="217"/>
      <c r="O1821" s="217"/>
      <c r="P1821" s="217"/>
      <c r="Q1821" s="218"/>
    </row>
    <row r="1822" spans="1:17" s="213" customFormat="1" x14ac:dyDescent="0.25">
      <c r="A1822" s="208" t="s">
        <v>1984</v>
      </c>
      <c r="B1822" s="209" t="s">
        <v>1822</v>
      </c>
      <c r="C1822" s="209" t="s">
        <v>3643</v>
      </c>
      <c r="D1822" s="209" t="s">
        <v>1928</v>
      </c>
      <c r="E1822" s="209"/>
      <c r="F1822" s="209"/>
      <c r="G1822" s="209"/>
      <c r="H1822" s="210" t="s">
        <v>3669</v>
      </c>
      <c r="I1822" s="211">
        <f>I1823</f>
        <v>25200000</v>
      </c>
      <c r="J1822" s="211">
        <f t="shared" ref="J1822:P1823" si="202">J1823</f>
        <v>0</v>
      </c>
      <c r="K1822" s="211">
        <f t="shared" si="202"/>
        <v>0</v>
      </c>
      <c r="L1822" s="211">
        <f t="shared" si="202"/>
        <v>0</v>
      </c>
      <c r="M1822" s="211">
        <f t="shared" si="202"/>
        <v>0</v>
      </c>
      <c r="N1822" s="211">
        <f t="shared" si="202"/>
        <v>0</v>
      </c>
      <c r="O1822" s="211">
        <f t="shared" si="202"/>
        <v>25200000</v>
      </c>
      <c r="P1822" s="211">
        <f t="shared" si="202"/>
        <v>0</v>
      </c>
      <c r="Q1822" s="212"/>
    </row>
    <row r="1823" spans="1:17" s="213" customFormat="1" x14ac:dyDescent="0.25">
      <c r="A1823" s="208" t="s">
        <v>263</v>
      </c>
      <c r="B1823" s="209" t="s">
        <v>1822</v>
      </c>
      <c r="C1823" s="209" t="s">
        <v>3643</v>
      </c>
      <c r="D1823" s="209" t="s">
        <v>1928</v>
      </c>
      <c r="E1823" s="209" t="s">
        <v>1825</v>
      </c>
      <c r="F1823" s="209"/>
      <c r="G1823" s="209"/>
      <c r="H1823" s="210" t="s">
        <v>3669</v>
      </c>
      <c r="I1823" s="211">
        <f>I1824</f>
        <v>25200000</v>
      </c>
      <c r="J1823" s="211">
        <f t="shared" si="202"/>
        <v>0</v>
      </c>
      <c r="K1823" s="211">
        <f t="shared" si="202"/>
        <v>0</v>
      </c>
      <c r="L1823" s="211">
        <f t="shared" si="202"/>
        <v>0</v>
      </c>
      <c r="M1823" s="211">
        <f t="shared" si="202"/>
        <v>0</v>
      </c>
      <c r="N1823" s="211">
        <f t="shared" si="202"/>
        <v>0</v>
      </c>
      <c r="O1823" s="211">
        <f t="shared" si="202"/>
        <v>25200000</v>
      </c>
      <c r="P1823" s="211">
        <f t="shared" si="202"/>
        <v>0</v>
      </c>
      <c r="Q1823" s="212"/>
    </row>
    <row r="1824" spans="1:17" s="213" customFormat="1" x14ac:dyDescent="0.25">
      <c r="A1824" s="208" t="s">
        <v>263</v>
      </c>
      <c r="B1824" s="209" t="s">
        <v>1822</v>
      </c>
      <c r="C1824" s="209" t="s">
        <v>3643</v>
      </c>
      <c r="D1824" s="209" t="s">
        <v>1928</v>
      </c>
      <c r="E1824" s="209" t="s">
        <v>1825</v>
      </c>
      <c r="F1824" s="209" t="s">
        <v>1825</v>
      </c>
      <c r="G1824" s="209"/>
      <c r="H1824" s="210" t="s">
        <v>3669</v>
      </c>
      <c r="I1824" s="211">
        <f>SUM(I1825:I1826)</f>
        <v>25200000</v>
      </c>
      <c r="J1824" s="211">
        <f t="shared" ref="J1824:P1824" si="203">SUM(J1825:J1826)</f>
        <v>0</v>
      </c>
      <c r="K1824" s="211">
        <f t="shared" si="203"/>
        <v>0</v>
      </c>
      <c r="L1824" s="211">
        <f t="shared" si="203"/>
        <v>0</v>
      </c>
      <c r="M1824" s="211">
        <f t="shared" si="203"/>
        <v>0</v>
      </c>
      <c r="N1824" s="211">
        <f t="shared" si="203"/>
        <v>0</v>
      </c>
      <c r="O1824" s="211">
        <f t="shared" si="203"/>
        <v>25200000</v>
      </c>
      <c r="P1824" s="211">
        <f t="shared" si="203"/>
        <v>0</v>
      </c>
      <c r="Q1824" s="212"/>
    </row>
    <row r="1825" spans="1:20" s="219" customFormat="1" x14ac:dyDescent="0.25">
      <c r="A1825" s="214"/>
      <c r="B1825" s="215" t="s">
        <v>1822</v>
      </c>
      <c r="C1825" s="215" t="s">
        <v>3643</v>
      </c>
      <c r="D1825" s="215" t="s">
        <v>1928</v>
      </c>
      <c r="E1825" s="215" t="s">
        <v>1825</v>
      </c>
      <c r="F1825" s="215" t="s">
        <v>1825</v>
      </c>
      <c r="G1825" s="215" t="s">
        <v>58</v>
      </c>
      <c r="H1825" s="216" t="s">
        <v>3670</v>
      </c>
      <c r="I1825" s="217">
        <v>25200000</v>
      </c>
      <c r="J1825" s="217"/>
      <c r="K1825" s="217"/>
      <c r="L1825" s="217"/>
      <c r="M1825" s="217"/>
      <c r="N1825" s="217"/>
      <c r="O1825" s="217">
        <v>25200000</v>
      </c>
      <c r="P1825" s="217"/>
      <c r="Q1825" s="218"/>
    </row>
    <row r="1826" spans="1:20" s="219" customFormat="1" ht="30" x14ac:dyDescent="0.25">
      <c r="A1826" s="214"/>
      <c r="B1826" s="215" t="s">
        <v>1822</v>
      </c>
      <c r="C1826" s="215" t="s">
        <v>3643</v>
      </c>
      <c r="D1826" s="215" t="s">
        <v>1928</v>
      </c>
      <c r="E1826" s="215" t="s">
        <v>1825</v>
      </c>
      <c r="F1826" s="215" t="s">
        <v>1825</v>
      </c>
      <c r="G1826" s="215" t="s">
        <v>75</v>
      </c>
      <c r="H1826" s="216" t="s">
        <v>3671</v>
      </c>
      <c r="I1826" s="217"/>
      <c r="J1826" s="217"/>
      <c r="K1826" s="217"/>
      <c r="L1826" s="217"/>
      <c r="M1826" s="217"/>
      <c r="N1826" s="217"/>
      <c r="O1826" s="217"/>
      <c r="P1826" s="217"/>
      <c r="Q1826" s="218"/>
    </row>
    <row r="1827" spans="1:20" s="213" customFormat="1" ht="30" hidden="1" x14ac:dyDescent="0.25">
      <c r="A1827" s="208" t="s">
        <v>1997</v>
      </c>
      <c r="B1827" s="209" t="s">
        <v>1822</v>
      </c>
      <c r="C1827" s="209" t="s">
        <v>3643</v>
      </c>
      <c r="D1827" s="209" t="s">
        <v>1934</v>
      </c>
      <c r="E1827" s="209"/>
      <c r="F1827" s="209"/>
      <c r="G1827" s="209"/>
      <c r="H1827" s="210" t="s">
        <v>3672</v>
      </c>
      <c r="I1827" s="211">
        <f>I1828</f>
        <v>0</v>
      </c>
      <c r="J1827" s="211">
        <f t="shared" ref="J1827:P1828" si="204">J1828</f>
        <v>0</v>
      </c>
      <c r="K1827" s="211">
        <f t="shared" si="204"/>
        <v>0</v>
      </c>
      <c r="L1827" s="211">
        <f t="shared" si="204"/>
        <v>0</v>
      </c>
      <c r="M1827" s="211">
        <f t="shared" si="204"/>
        <v>0</v>
      </c>
      <c r="N1827" s="211">
        <f t="shared" si="204"/>
        <v>0</v>
      </c>
      <c r="O1827" s="211">
        <f t="shared" si="204"/>
        <v>0</v>
      </c>
      <c r="P1827" s="211">
        <f t="shared" si="204"/>
        <v>0</v>
      </c>
      <c r="Q1827" s="212"/>
    </row>
    <row r="1828" spans="1:20" s="213" customFormat="1" ht="30" hidden="1" x14ac:dyDescent="0.25">
      <c r="A1828" s="208" t="s">
        <v>263</v>
      </c>
      <c r="B1828" s="209" t="s">
        <v>1822</v>
      </c>
      <c r="C1828" s="209" t="s">
        <v>3643</v>
      </c>
      <c r="D1828" s="209" t="s">
        <v>1934</v>
      </c>
      <c r="E1828" s="209" t="s">
        <v>1825</v>
      </c>
      <c r="F1828" s="209"/>
      <c r="G1828" s="209"/>
      <c r="H1828" s="210" t="s">
        <v>3672</v>
      </c>
      <c r="I1828" s="211">
        <f>I1829</f>
        <v>0</v>
      </c>
      <c r="J1828" s="211">
        <f t="shared" si="204"/>
        <v>0</v>
      </c>
      <c r="K1828" s="211">
        <f t="shared" si="204"/>
        <v>0</v>
      </c>
      <c r="L1828" s="211">
        <f t="shared" si="204"/>
        <v>0</v>
      </c>
      <c r="M1828" s="211">
        <f t="shared" si="204"/>
        <v>0</v>
      </c>
      <c r="N1828" s="211">
        <f t="shared" si="204"/>
        <v>0</v>
      </c>
      <c r="O1828" s="211">
        <f t="shared" si="204"/>
        <v>0</v>
      </c>
      <c r="P1828" s="211">
        <f t="shared" si="204"/>
        <v>0</v>
      </c>
      <c r="Q1828" s="212"/>
    </row>
    <row r="1829" spans="1:20" s="213" customFormat="1" ht="30" hidden="1" x14ac:dyDescent="0.25">
      <c r="A1829" s="208" t="s">
        <v>263</v>
      </c>
      <c r="B1829" s="209" t="s">
        <v>1822</v>
      </c>
      <c r="C1829" s="209" t="s">
        <v>3643</v>
      </c>
      <c r="D1829" s="209" t="s">
        <v>1934</v>
      </c>
      <c r="E1829" s="209" t="s">
        <v>1825</v>
      </c>
      <c r="F1829" s="209" t="s">
        <v>1825</v>
      </c>
      <c r="G1829" s="209"/>
      <c r="H1829" s="210" t="s">
        <v>3672</v>
      </c>
      <c r="I1829" s="211">
        <f>SUM(I1830:I1834)</f>
        <v>0</v>
      </c>
      <c r="J1829" s="211">
        <f t="shared" ref="J1829:P1829" si="205">SUM(J1830:J1834)</f>
        <v>0</v>
      </c>
      <c r="K1829" s="211">
        <f t="shared" si="205"/>
        <v>0</v>
      </c>
      <c r="L1829" s="211">
        <f t="shared" si="205"/>
        <v>0</v>
      </c>
      <c r="M1829" s="211">
        <f t="shared" si="205"/>
        <v>0</v>
      </c>
      <c r="N1829" s="211">
        <f t="shared" si="205"/>
        <v>0</v>
      </c>
      <c r="O1829" s="211">
        <f t="shared" si="205"/>
        <v>0</v>
      </c>
      <c r="P1829" s="211">
        <f t="shared" si="205"/>
        <v>0</v>
      </c>
      <c r="Q1829" s="212"/>
    </row>
    <row r="1830" spans="1:20" s="219" customFormat="1" ht="30" hidden="1" x14ac:dyDescent="0.25">
      <c r="A1830" s="214"/>
      <c r="B1830" s="215" t="s">
        <v>1822</v>
      </c>
      <c r="C1830" s="215" t="s">
        <v>3643</v>
      </c>
      <c r="D1830" s="215" t="s">
        <v>1934</v>
      </c>
      <c r="E1830" s="215" t="s">
        <v>1825</v>
      </c>
      <c r="F1830" s="215" t="s">
        <v>1825</v>
      </c>
      <c r="G1830" s="215" t="s">
        <v>58</v>
      </c>
      <c r="H1830" s="216" t="s">
        <v>3673</v>
      </c>
      <c r="I1830" s="217"/>
      <c r="J1830" s="217"/>
      <c r="K1830" s="217"/>
      <c r="L1830" s="217"/>
      <c r="M1830" s="217"/>
      <c r="N1830" s="217"/>
      <c r="O1830" s="217"/>
      <c r="P1830" s="217"/>
      <c r="Q1830" s="218"/>
    </row>
    <row r="1831" spans="1:20" s="219" customFormat="1" ht="30" hidden="1" x14ac:dyDescent="0.25">
      <c r="A1831" s="214"/>
      <c r="B1831" s="215" t="s">
        <v>1822</v>
      </c>
      <c r="C1831" s="215" t="s">
        <v>3643</v>
      </c>
      <c r="D1831" s="215" t="s">
        <v>1934</v>
      </c>
      <c r="E1831" s="215" t="s">
        <v>1825</v>
      </c>
      <c r="F1831" s="215" t="s">
        <v>1825</v>
      </c>
      <c r="G1831" s="215" t="s">
        <v>75</v>
      </c>
      <c r="H1831" s="216" t="s">
        <v>3674</v>
      </c>
      <c r="I1831" s="217"/>
      <c r="J1831" s="217"/>
      <c r="K1831" s="217"/>
      <c r="L1831" s="217"/>
      <c r="M1831" s="217"/>
      <c r="N1831" s="217"/>
      <c r="O1831" s="217"/>
      <c r="P1831" s="217"/>
      <c r="Q1831" s="218"/>
    </row>
    <row r="1832" spans="1:20" s="219" customFormat="1" ht="30" hidden="1" x14ac:dyDescent="0.25">
      <c r="A1832" s="214"/>
      <c r="B1832" s="215" t="s">
        <v>1822</v>
      </c>
      <c r="C1832" s="215" t="s">
        <v>3643</v>
      </c>
      <c r="D1832" s="215" t="s">
        <v>1934</v>
      </c>
      <c r="E1832" s="215" t="s">
        <v>1825</v>
      </c>
      <c r="F1832" s="215" t="s">
        <v>1825</v>
      </c>
      <c r="G1832" s="215" t="s">
        <v>79</v>
      </c>
      <c r="H1832" s="216" t="s">
        <v>3675</v>
      </c>
      <c r="I1832" s="217"/>
      <c r="J1832" s="217"/>
      <c r="K1832" s="217"/>
      <c r="L1832" s="217"/>
      <c r="M1832" s="217"/>
      <c r="N1832" s="217"/>
      <c r="O1832" s="217"/>
      <c r="P1832" s="217"/>
      <c r="Q1832" s="218"/>
    </row>
    <row r="1833" spans="1:20" s="219" customFormat="1" ht="30" hidden="1" x14ac:dyDescent="0.25">
      <c r="A1833" s="214"/>
      <c r="B1833" s="215" t="s">
        <v>1822</v>
      </c>
      <c r="C1833" s="215" t="s">
        <v>3643</v>
      </c>
      <c r="D1833" s="215" t="s">
        <v>1934</v>
      </c>
      <c r="E1833" s="215" t="s">
        <v>1825</v>
      </c>
      <c r="F1833" s="215" t="s">
        <v>1825</v>
      </c>
      <c r="G1833" s="215" t="s">
        <v>84</v>
      </c>
      <c r="H1833" s="216" t="s">
        <v>3676</v>
      </c>
      <c r="I1833" s="217"/>
      <c r="J1833" s="217"/>
      <c r="K1833" s="217"/>
      <c r="L1833" s="217"/>
      <c r="M1833" s="217"/>
      <c r="N1833" s="217"/>
      <c r="O1833" s="217"/>
      <c r="P1833" s="217"/>
      <c r="Q1833" s="218"/>
    </row>
    <row r="1834" spans="1:20" s="219" customFormat="1" ht="30" hidden="1" x14ac:dyDescent="0.25">
      <c r="A1834" s="214"/>
      <c r="B1834" s="215" t="s">
        <v>1822</v>
      </c>
      <c r="C1834" s="215" t="s">
        <v>3643</v>
      </c>
      <c r="D1834" s="215" t="s">
        <v>1934</v>
      </c>
      <c r="E1834" s="215" t="s">
        <v>1825</v>
      </c>
      <c r="F1834" s="215" t="s">
        <v>1825</v>
      </c>
      <c r="G1834" s="215" t="s">
        <v>88</v>
      </c>
      <c r="H1834" s="216" t="s">
        <v>3677</v>
      </c>
      <c r="I1834" s="217"/>
      <c r="J1834" s="217"/>
      <c r="K1834" s="217"/>
      <c r="L1834" s="217"/>
      <c r="M1834" s="217"/>
      <c r="N1834" s="217"/>
      <c r="O1834" s="217"/>
      <c r="P1834" s="217"/>
      <c r="Q1834" s="218"/>
    </row>
    <row r="1835" spans="1:20" s="213" customFormat="1" hidden="1" x14ac:dyDescent="0.25">
      <c r="A1835" s="208" t="s">
        <v>2021</v>
      </c>
      <c r="B1835" s="209" t="s">
        <v>1822</v>
      </c>
      <c r="C1835" s="209" t="s">
        <v>3643</v>
      </c>
      <c r="D1835" s="209" t="s">
        <v>2022</v>
      </c>
      <c r="E1835" s="209"/>
      <c r="F1835" s="209"/>
      <c r="G1835" s="209"/>
      <c r="H1835" s="210" t="s">
        <v>3678</v>
      </c>
      <c r="I1835" s="211">
        <f>I1836</f>
        <v>0</v>
      </c>
      <c r="J1835" s="211">
        <f t="shared" ref="J1835:P1836" si="206">J1836</f>
        <v>0</v>
      </c>
      <c r="K1835" s="211">
        <f t="shared" si="206"/>
        <v>0</v>
      </c>
      <c r="L1835" s="211">
        <f t="shared" si="206"/>
        <v>0</v>
      </c>
      <c r="M1835" s="211">
        <f t="shared" si="206"/>
        <v>0</v>
      </c>
      <c r="N1835" s="211">
        <f t="shared" si="206"/>
        <v>0</v>
      </c>
      <c r="O1835" s="211">
        <f t="shared" si="206"/>
        <v>0</v>
      </c>
      <c r="P1835" s="211">
        <f t="shared" si="206"/>
        <v>0</v>
      </c>
      <c r="Q1835" s="212"/>
    </row>
    <row r="1836" spans="1:20" s="213" customFormat="1" hidden="1" x14ac:dyDescent="0.25">
      <c r="A1836" s="208" t="s">
        <v>263</v>
      </c>
      <c r="B1836" s="209" t="s">
        <v>1822</v>
      </c>
      <c r="C1836" s="209" t="s">
        <v>3643</v>
      </c>
      <c r="D1836" s="209" t="s">
        <v>2022</v>
      </c>
      <c r="E1836" s="209" t="s">
        <v>1825</v>
      </c>
      <c r="F1836" s="209"/>
      <c r="G1836" s="209"/>
      <c r="H1836" s="210" t="s">
        <v>3678</v>
      </c>
      <c r="I1836" s="211">
        <f>I1837</f>
        <v>0</v>
      </c>
      <c r="J1836" s="211">
        <f t="shared" si="206"/>
        <v>0</v>
      </c>
      <c r="K1836" s="211">
        <f t="shared" si="206"/>
        <v>0</v>
      </c>
      <c r="L1836" s="211">
        <f t="shared" si="206"/>
        <v>0</v>
      </c>
      <c r="M1836" s="211">
        <f t="shared" si="206"/>
        <v>0</v>
      </c>
      <c r="N1836" s="211">
        <f t="shared" si="206"/>
        <v>0</v>
      </c>
      <c r="O1836" s="211">
        <f t="shared" si="206"/>
        <v>0</v>
      </c>
      <c r="P1836" s="211">
        <f t="shared" si="206"/>
        <v>0</v>
      </c>
      <c r="Q1836" s="212"/>
    </row>
    <row r="1837" spans="1:20" s="213" customFormat="1" ht="30" hidden="1" x14ac:dyDescent="0.25">
      <c r="A1837" s="208" t="s">
        <v>263</v>
      </c>
      <c r="B1837" s="209" t="s">
        <v>1822</v>
      </c>
      <c r="C1837" s="209" t="s">
        <v>3643</v>
      </c>
      <c r="D1837" s="209" t="s">
        <v>2022</v>
      </c>
      <c r="E1837" s="209" t="s">
        <v>1825</v>
      </c>
      <c r="F1837" s="209" t="s">
        <v>1825</v>
      </c>
      <c r="G1837" s="209"/>
      <c r="H1837" s="210" t="s">
        <v>3679</v>
      </c>
      <c r="I1837" s="211">
        <f>SUM(I1838:I1841)</f>
        <v>0</v>
      </c>
      <c r="J1837" s="211">
        <f t="shared" ref="J1837:P1837" si="207">SUM(J1838:J1841)</f>
        <v>0</v>
      </c>
      <c r="K1837" s="211">
        <f t="shared" si="207"/>
        <v>0</v>
      </c>
      <c r="L1837" s="211">
        <f t="shared" si="207"/>
        <v>0</v>
      </c>
      <c r="M1837" s="211">
        <f t="shared" si="207"/>
        <v>0</v>
      </c>
      <c r="N1837" s="211">
        <f t="shared" si="207"/>
        <v>0</v>
      </c>
      <c r="O1837" s="211">
        <f t="shared" si="207"/>
        <v>0</v>
      </c>
      <c r="P1837" s="211">
        <f t="shared" si="207"/>
        <v>0</v>
      </c>
      <c r="Q1837" s="212"/>
    </row>
    <row r="1838" spans="1:20" s="219" customFormat="1" ht="30" hidden="1" x14ac:dyDescent="0.25">
      <c r="A1838" s="214"/>
      <c r="B1838" s="215" t="s">
        <v>1822</v>
      </c>
      <c r="C1838" s="215" t="s">
        <v>3643</v>
      </c>
      <c r="D1838" s="215" t="s">
        <v>2022</v>
      </c>
      <c r="E1838" s="215" t="s">
        <v>1825</v>
      </c>
      <c r="F1838" s="215" t="s">
        <v>1825</v>
      </c>
      <c r="G1838" s="215" t="s">
        <v>58</v>
      </c>
      <c r="H1838" s="216" t="s">
        <v>3680</v>
      </c>
      <c r="I1838" s="217"/>
      <c r="J1838" s="242"/>
      <c r="K1838" s="242"/>
      <c r="L1838" s="243"/>
      <c r="M1838" s="244"/>
      <c r="N1838" s="244"/>
      <c r="O1838" s="244"/>
      <c r="P1838" s="244"/>
      <c r="Q1838" s="245"/>
      <c r="R1838" s="245"/>
      <c r="S1838" s="218"/>
      <c r="T1838" s="246"/>
    </row>
    <row r="1839" spans="1:20" s="219" customFormat="1" ht="45" hidden="1" x14ac:dyDescent="0.25">
      <c r="A1839" s="214"/>
      <c r="B1839" s="215" t="s">
        <v>1822</v>
      </c>
      <c r="C1839" s="215" t="s">
        <v>3643</v>
      </c>
      <c r="D1839" s="215" t="s">
        <v>2022</v>
      </c>
      <c r="E1839" s="215" t="s">
        <v>1825</v>
      </c>
      <c r="F1839" s="215" t="s">
        <v>1825</v>
      </c>
      <c r="G1839" s="215" t="s">
        <v>75</v>
      </c>
      <c r="H1839" s="216" t="s">
        <v>3681</v>
      </c>
      <c r="I1839" s="217"/>
      <c r="J1839" s="242"/>
      <c r="K1839" s="242"/>
      <c r="L1839" s="242"/>
      <c r="M1839" s="242"/>
      <c r="N1839" s="242"/>
      <c r="O1839" s="242"/>
      <c r="P1839" s="242"/>
      <c r="Q1839" s="218"/>
    </row>
    <row r="1840" spans="1:20" s="219" customFormat="1" ht="60" hidden="1" x14ac:dyDescent="0.25">
      <c r="A1840" s="214"/>
      <c r="B1840" s="215" t="s">
        <v>1822</v>
      </c>
      <c r="C1840" s="215" t="s">
        <v>3643</v>
      </c>
      <c r="D1840" s="215" t="s">
        <v>2022</v>
      </c>
      <c r="E1840" s="215" t="s">
        <v>1825</v>
      </c>
      <c r="F1840" s="215" t="s">
        <v>1825</v>
      </c>
      <c r="G1840" s="215" t="s">
        <v>79</v>
      </c>
      <c r="H1840" s="216" t="s">
        <v>3682</v>
      </c>
      <c r="I1840" s="217"/>
      <c r="J1840" s="242"/>
      <c r="K1840" s="242"/>
      <c r="L1840" s="247"/>
      <c r="M1840" s="248"/>
      <c r="N1840" s="242"/>
      <c r="O1840" s="242"/>
      <c r="P1840" s="242"/>
      <c r="Q1840" s="218"/>
    </row>
    <row r="1841" spans="1:38" s="219" customFormat="1" ht="45" hidden="1" x14ac:dyDescent="0.25">
      <c r="A1841" s="214"/>
      <c r="B1841" s="215" t="s">
        <v>1822</v>
      </c>
      <c r="C1841" s="215" t="s">
        <v>3643</v>
      </c>
      <c r="D1841" s="215" t="s">
        <v>2022</v>
      </c>
      <c r="E1841" s="215" t="s">
        <v>1825</v>
      </c>
      <c r="F1841" s="215" t="s">
        <v>1825</v>
      </c>
      <c r="G1841" s="215" t="s">
        <v>84</v>
      </c>
      <c r="H1841" s="216" t="s">
        <v>3683</v>
      </c>
      <c r="I1841" s="217"/>
      <c r="J1841" s="242"/>
      <c r="K1841" s="242"/>
      <c r="L1841" s="247"/>
      <c r="M1841" s="248"/>
      <c r="N1841" s="242"/>
      <c r="O1841" s="242"/>
      <c r="P1841" s="242"/>
      <c r="Q1841" s="218"/>
    </row>
    <row r="1842" spans="1:38" s="320" customFormat="1" ht="15" hidden="1" customHeight="1" x14ac:dyDescent="0.25">
      <c r="A1842" s="319"/>
      <c r="B1842" s="342"/>
      <c r="C1842" s="343"/>
      <c r="D1842" s="343"/>
      <c r="E1842" s="343"/>
      <c r="F1842" s="343"/>
      <c r="G1842" s="343"/>
      <c r="H1842" s="344"/>
      <c r="I1842" s="252"/>
      <c r="J1842" s="252"/>
      <c r="K1842" s="252"/>
      <c r="L1842" s="252"/>
      <c r="M1842" s="252"/>
      <c r="N1842" s="253"/>
      <c r="O1842" s="253"/>
      <c r="P1842" s="254"/>
    </row>
    <row r="1843" spans="1:38" s="325" customFormat="1" ht="12.75" customHeight="1" x14ac:dyDescent="0.25">
      <c r="A1843" s="323"/>
      <c r="B1843" s="345"/>
      <c r="C1843" s="346"/>
      <c r="D1843" s="346"/>
      <c r="E1843" s="346"/>
      <c r="F1843" s="346"/>
      <c r="G1843" s="347"/>
      <c r="H1843" s="348"/>
      <c r="I1843" s="259"/>
      <c r="J1843" s="230"/>
      <c r="K1843" s="230"/>
      <c r="L1843" s="230"/>
      <c r="M1843" s="230"/>
      <c r="N1843" s="260"/>
      <c r="O1843" s="260"/>
      <c r="P1843" s="230"/>
    </row>
    <row r="1844" spans="1:38" s="325" customFormat="1" x14ac:dyDescent="0.25">
      <c r="A1844" s="323"/>
      <c r="B1844" s="464" t="s">
        <v>3684</v>
      </c>
      <c r="C1844" s="464"/>
      <c r="D1844" s="464"/>
      <c r="E1844" s="464"/>
      <c r="F1844" s="464"/>
      <c r="G1844" s="464"/>
      <c r="H1844" s="464"/>
      <c r="I1844" s="261">
        <f>SUM(I1791+I11)</f>
        <v>37918781718.004616</v>
      </c>
      <c r="J1844" s="261">
        <f t="shared" ref="J1844:P1844" si="208">SUM(J1791+J11)</f>
        <v>2119017743.8317714</v>
      </c>
      <c r="K1844" s="261">
        <f t="shared" si="208"/>
        <v>574060949.75224078</v>
      </c>
      <c r="L1844" s="261">
        <f t="shared" si="208"/>
        <v>0</v>
      </c>
      <c r="M1844" s="261">
        <f t="shared" si="208"/>
        <v>574060949.75224078</v>
      </c>
      <c r="N1844" s="261">
        <f>SUM(N1791+N11)</f>
        <v>21107060085.415359</v>
      </c>
      <c r="O1844" s="261">
        <f t="shared" si="208"/>
        <v>16878391466.79878</v>
      </c>
      <c r="P1844" s="261">
        <f t="shared" si="208"/>
        <v>0</v>
      </c>
    </row>
    <row r="1845" spans="1:38" s="320" customFormat="1" ht="15" customHeight="1" x14ac:dyDescent="0.25">
      <c r="A1845" s="319"/>
      <c r="B1845" s="349"/>
      <c r="C1845" s="349"/>
      <c r="D1845" s="349"/>
      <c r="E1845" s="349"/>
      <c r="F1845" s="349"/>
      <c r="G1845" s="349"/>
      <c r="H1845" s="349"/>
      <c r="I1845" s="326"/>
      <c r="J1845" s="350"/>
      <c r="K1845" s="382"/>
      <c r="L1845" s="350"/>
      <c r="M1845" s="350"/>
      <c r="N1845" s="465"/>
      <c r="O1845" s="465"/>
    </row>
    <row r="1846" spans="1:38" s="273" customFormat="1" ht="18" customHeight="1" x14ac:dyDescent="0.25">
      <c r="A1846" s="265"/>
      <c r="B1846" s="266"/>
      <c r="C1846" s="266"/>
      <c r="D1846" s="266"/>
      <c r="E1846" s="266"/>
      <c r="F1846" s="266"/>
      <c r="G1846" s="266"/>
      <c r="H1846" s="267" t="s">
        <v>3685</v>
      </c>
      <c r="I1846" s="306"/>
      <c r="J1846" s="268"/>
      <c r="K1846" s="373"/>
      <c r="L1846" s="269"/>
      <c r="M1846" s="360"/>
      <c r="N1846" s="450" t="s">
        <v>3706</v>
      </c>
      <c r="O1846" s="450"/>
      <c r="P1846" s="374"/>
      <c r="Q1846" s="269"/>
      <c r="R1846" s="269"/>
      <c r="S1846" s="270"/>
      <c r="T1846" s="270"/>
      <c r="U1846" s="270"/>
      <c r="V1846" s="269"/>
      <c r="W1846" s="271"/>
      <c r="X1846" s="266"/>
      <c r="Y1846" s="272"/>
      <c r="Z1846" s="266"/>
      <c r="AA1846" s="272"/>
      <c r="AB1846" s="272"/>
      <c r="AC1846" s="266"/>
      <c r="AD1846" s="450"/>
      <c r="AE1846" s="450"/>
      <c r="AF1846" s="266"/>
      <c r="AG1846" s="270"/>
      <c r="AH1846" s="270"/>
      <c r="AI1846" s="266"/>
    </row>
    <row r="1847" spans="1:38" s="273" customFormat="1" ht="16.5" customHeight="1" x14ac:dyDescent="0.25">
      <c r="A1847" s="265"/>
      <c r="B1847" s="266"/>
      <c r="C1847" s="266"/>
      <c r="D1847" s="266"/>
      <c r="E1847" s="266"/>
      <c r="F1847" s="266"/>
      <c r="G1847" s="269"/>
      <c r="H1847" s="274" t="s">
        <v>3686</v>
      </c>
      <c r="I1847" s="268"/>
      <c r="J1847" s="268"/>
      <c r="K1847" s="269"/>
      <c r="L1847" s="393"/>
      <c r="M1847" s="392"/>
      <c r="N1847" s="449" t="s">
        <v>3687</v>
      </c>
      <c r="O1847" s="449"/>
      <c r="P1847" s="373"/>
      <c r="Q1847" s="269"/>
      <c r="R1847" s="269"/>
      <c r="S1847" s="270"/>
      <c r="T1847" s="270"/>
      <c r="U1847" s="270"/>
      <c r="V1847" s="276"/>
      <c r="W1847" s="271"/>
      <c r="X1847" s="271"/>
      <c r="Y1847" s="271"/>
      <c r="Z1847" s="271"/>
      <c r="AA1847" s="271"/>
      <c r="AB1847" s="271"/>
      <c r="AC1847" s="266"/>
      <c r="AD1847" s="450"/>
      <c r="AE1847" s="450"/>
      <c r="AF1847" s="269"/>
      <c r="AG1847" s="277"/>
      <c r="AH1847" s="277"/>
      <c r="AI1847" s="266"/>
    </row>
    <row r="1848" spans="1:38" s="273" customFormat="1" ht="11.25" customHeight="1" x14ac:dyDescent="0.25">
      <c r="A1848" s="265"/>
      <c r="B1848" s="266"/>
      <c r="C1848" s="266"/>
      <c r="D1848" s="266"/>
      <c r="E1848" s="266"/>
      <c r="F1848" s="266"/>
      <c r="G1848" s="269"/>
      <c r="H1848" s="274" t="s">
        <v>3688</v>
      </c>
      <c r="I1848" s="268"/>
      <c r="J1848" s="268"/>
      <c r="K1848" s="269"/>
      <c r="L1848" s="269"/>
      <c r="M1848" s="266"/>
      <c r="N1848" s="266"/>
      <c r="O1848" s="266"/>
      <c r="P1848" s="269"/>
      <c r="Q1848" s="269"/>
      <c r="R1848" s="269"/>
      <c r="S1848" s="270"/>
      <c r="T1848" s="270"/>
      <c r="U1848" s="270"/>
      <c r="V1848" s="269"/>
      <c r="W1848" s="272"/>
      <c r="X1848" s="272"/>
      <c r="Y1848" s="272"/>
      <c r="Z1848" s="272"/>
      <c r="AA1848" s="272"/>
      <c r="AB1848" s="272"/>
      <c r="AC1848" s="266"/>
      <c r="AD1848" s="272"/>
      <c r="AE1848" s="272"/>
      <c r="AF1848" s="269"/>
      <c r="AG1848" s="277"/>
      <c r="AH1848" s="277"/>
      <c r="AI1848" s="266"/>
    </row>
    <row r="1849" spans="1:38" s="273" customFormat="1" ht="18" customHeight="1" x14ac:dyDescent="0.25">
      <c r="A1849" s="265"/>
      <c r="B1849" s="201"/>
      <c r="C1849" s="201"/>
      <c r="D1849" s="201"/>
      <c r="E1849" s="201"/>
      <c r="F1849" s="201"/>
      <c r="G1849" s="201"/>
      <c r="I1849" s="306"/>
      <c r="J1849" s="278"/>
      <c r="K1849" s="269"/>
      <c r="L1849" s="269"/>
      <c r="M1849" s="266"/>
      <c r="N1849" s="361"/>
      <c r="O1849" s="279"/>
      <c r="P1849" s="269"/>
      <c r="Q1849" s="269"/>
      <c r="R1849" s="269"/>
      <c r="S1849" s="270"/>
      <c r="T1849" s="270"/>
      <c r="U1849" s="270"/>
      <c r="V1849" s="269"/>
      <c r="W1849" s="270"/>
      <c r="X1849" s="266"/>
      <c r="Y1849" s="270"/>
      <c r="Z1849" s="266"/>
      <c r="AA1849" s="270"/>
      <c r="AB1849" s="270"/>
      <c r="AC1849" s="266"/>
      <c r="AD1849" s="270"/>
      <c r="AE1849" s="270"/>
      <c r="AF1849" s="201"/>
      <c r="AG1849" s="280"/>
      <c r="AH1849" s="280"/>
      <c r="AI1849" s="266"/>
    </row>
    <row r="1850" spans="1:38" s="273" customFormat="1" ht="17.25" customHeight="1" x14ac:dyDescent="0.25">
      <c r="A1850" s="265"/>
      <c r="B1850" s="281"/>
      <c r="C1850" s="281"/>
      <c r="D1850" s="281"/>
      <c r="E1850" s="281"/>
      <c r="F1850" s="281"/>
      <c r="G1850" s="281"/>
      <c r="H1850" s="274"/>
      <c r="I1850" s="268"/>
      <c r="J1850" s="282"/>
      <c r="K1850" s="269"/>
      <c r="L1850" s="269"/>
      <c r="M1850" s="266"/>
      <c r="N1850" s="449"/>
      <c r="O1850" s="449"/>
      <c r="P1850" s="280"/>
      <c r="Q1850" s="283"/>
      <c r="R1850" s="283"/>
      <c r="S1850" s="272"/>
      <c r="T1850" s="272"/>
      <c r="U1850" s="272"/>
      <c r="V1850" s="269"/>
      <c r="W1850" s="266"/>
      <c r="X1850" s="266"/>
      <c r="Y1850" s="266"/>
      <c r="Z1850" s="266"/>
      <c r="AA1850" s="266"/>
      <c r="AB1850" s="266"/>
      <c r="AC1850" s="266"/>
      <c r="AD1850" s="449"/>
      <c r="AE1850" s="449"/>
      <c r="AF1850" s="266"/>
      <c r="AG1850" s="266"/>
      <c r="AH1850" s="266"/>
      <c r="AI1850" s="266"/>
    </row>
    <row r="1851" spans="1:38" s="273" customFormat="1" ht="16.5" customHeight="1" x14ac:dyDescent="0.25">
      <c r="A1851" s="265"/>
      <c r="B1851" s="281"/>
      <c r="C1851" s="281"/>
      <c r="D1851" s="281"/>
      <c r="E1851" s="281"/>
      <c r="F1851" s="281"/>
      <c r="G1851" s="281"/>
      <c r="H1851" s="265"/>
      <c r="I1851" s="306">
        <f>I1849-I1850</f>
        <v>0</v>
      </c>
      <c r="J1851" s="282"/>
      <c r="K1851" s="269"/>
      <c r="L1851" s="373"/>
      <c r="M1851" s="266"/>
      <c r="N1851" s="450"/>
      <c r="O1851" s="450"/>
      <c r="P1851" s="269"/>
      <c r="Q1851" s="269"/>
      <c r="R1851" s="269"/>
      <c r="S1851" s="266"/>
      <c r="T1851" s="266"/>
      <c r="U1851" s="266"/>
      <c r="V1851" s="269"/>
      <c r="W1851" s="266"/>
      <c r="X1851" s="266"/>
      <c r="Y1851" s="266"/>
      <c r="Z1851" s="266"/>
      <c r="AA1851" s="266"/>
      <c r="AB1851" s="266"/>
      <c r="AC1851" s="266"/>
      <c r="AD1851" s="451"/>
      <c r="AE1851" s="451"/>
      <c r="AF1851" s="269"/>
      <c r="AG1851" s="276"/>
      <c r="AH1851" s="276"/>
      <c r="AI1851" s="270"/>
    </row>
    <row r="1852" spans="1:38" s="288" customFormat="1" ht="18" customHeight="1" x14ac:dyDescent="0.25">
      <c r="A1852" s="284"/>
      <c r="B1852" s="285"/>
      <c r="C1852" s="285"/>
      <c r="D1852" s="285"/>
      <c r="E1852" s="285"/>
      <c r="F1852" s="285"/>
      <c r="G1852" s="285"/>
      <c r="H1852" s="286" t="s">
        <v>3689</v>
      </c>
      <c r="I1852" s="268"/>
      <c r="J1852" s="282"/>
      <c r="K1852" s="269"/>
      <c r="L1852" s="269"/>
      <c r="M1852" s="266"/>
      <c r="N1852" s="454" t="s">
        <v>3690</v>
      </c>
      <c r="O1852" s="454"/>
      <c r="P1852" s="269"/>
      <c r="Q1852" s="287"/>
      <c r="R1852" s="287"/>
      <c r="S1852" s="285"/>
      <c r="T1852" s="285"/>
      <c r="U1852" s="285"/>
      <c r="V1852" s="287"/>
      <c r="W1852" s="285"/>
      <c r="X1852" s="285"/>
      <c r="Y1852" s="285"/>
      <c r="Z1852" s="285"/>
      <c r="AA1852" s="285"/>
      <c r="AB1852" s="285"/>
      <c r="AC1852" s="285"/>
      <c r="AE1852" s="285"/>
      <c r="AF1852" s="285"/>
      <c r="AG1852" s="285"/>
      <c r="AH1852" s="285"/>
      <c r="AI1852" s="285"/>
      <c r="AJ1852" s="289"/>
      <c r="AK1852" s="289"/>
      <c r="AL1852" s="289"/>
    </row>
    <row r="1853" spans="1:38" x14ac:dyDescent="0.25">
      <c r="B1853" s="352"/>
      <c r="C1853" s="352"/>
      <c r="D1853" s="352"/>
      <c r="E1853" s="352"/>
      <c r="F1853" s="352"/>
      <c r="G1853" s="352"/>
      <c r="H1853" s="353" t="s">
        <v>3691</v>
      </c>
      <c r="J1853" s="355"/>
      <c r="K1853" s="355"/>
      <c r="L1853" s="355"/>
      <c r="M1853" s="355"/>
      <c r="N1853" s="463" t="s">
        <v>3692</v>
      </c>
      <c r="O1853" s="463"/>
    </row>
    <row r="1854" spans="1:38" x14ac:dyDescent="0.25">
      <c r="H1854" s="358" t="s">
        <v>3693</v>
      </c>
      <c r="J1854" s="354"/>
      <c r="K1854" s="354"/>
      <c r="L1854" s="354"/>
      <c r="M1854" s="354"/>
      <c r="N1854" s="463" t="s">
        <v>3694</v>
      </c>
      <c r="O1854" s="463"/>
    </row>
    <row r="1855" spans="1:38" x14ac:dyDescent="0.25">
      <c r="J1855" s="354"/>
      <c r="K1855" s="354"/>
      <c r="L1855" s="354"/>
      <c r="M1855" s="354"/>
    </row>
    <row r="1856" spans="1:38" x14ac:dyDescent="0.25">
      <c r="J1856" s="359"/>
    </row>
    <row r="1857" spans="8:8" x14ac:dyDescent="0.25">
      <c r="H1857" s="274"/>
    </row>
    <row r="1858" spans="8:8" x14ac:dyDescent="0.25">
      <c r="H1858" s="265"/>
    </row>
    <row r="1873" spans="10:11" x14ac:dyDescent="0.25">
      <c r="J1873" s="299"/>
      <c r="K1873" s="300"/>
    </row>
    <row r="1874" spans="10:11" x14ac:dyDescent="0.25">
      <c r="J1874" s="300"/>
      <c r="K1874" s="300"/>
    </row>
  </sheetData>
  <mergeCells count="31">
    <mergeCell ref="B1:P1"/>
    <mergeCell ref="B2:P2"/>
    <mergeCell ref="B3:P3"/>
    <mergeCell ref="B7:B9"/>
    <mergeCell ref="C7:C9"/>
    <mergeCell ref="D7:D9"/>
    <mergeCell ref="E7:E9"/>
    <mergeCell ref="F7:F9"/>
    <mergeCell ref="G7:G9"/>
    <mergeCell ref="H7:H9"/>
    <mergeCell ref="AD1846:AE1846"/>
    <mergeCell ref="I7:I9"/>
    <mergeCell ref="J7:J9"/>
    <mergeCell ref="K7:K9"/>
    <mergeCell ref="L7:L9"/>
    <mergeCell ref="M7:M9"/>
    <mergeCell ref="N7:N9"/>
    <mergeCell ref="O7:O9"/>
    <mergeCell ref="P7:P9"/>
    <mergeCell ref="B1844:H1844"/>
    <mergeCell ref="N1845:O1845"/>
    <mergeCell ref="N1846:O1846"/>
    <mergeCell ref="N1852:O1852"/>
    <mergeCell ref="N1853:O1853"/>
    <mergeCell ref="N1854:O1854"/>
    <mergeCell ref="N1847:O1847"/>
    <mergeCell ref="AD1847:AE1847"/>
    <mergeCell ref="N1850:O1850"/>
    <mergeCell ref="AD1850:AE1850"/>
    <mergeCell ref="N1851:O1851"/>
    <mergeCell ref="AD1851:AE1851"/>
  </mergeCells>
  <printOptions horizontalCentered="1"/>
  <pageMargins left="0" right="0" top="0.35433070866141736" bottom="3.937007874015748E-2" header="0.31496062992125984" footer="0.31496062992125984"/>
  <pageSetup paperSize="5" scale="56" orientation="landscape" horizontalDpi="360" verticalDpi="360" r:id="rId1"/>
  <rowBreaks count="1" manualBreakCount="1">
    <brk id="49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A8A7E-2B55-4424-B3CF-D7F92CD545DC}">
  <dimension ref="A1:AI1593"/>
  <sheetViews>
    <sheetView view="pageBreakPreview" zoomScaleNormal="40" zoomScaleSheetLayoutView="100" workbookViewId="0">
      <pane xSplit="25" ySplit="7" topLeftCell="Z1564" activePane="bottomRight" state="frozen"/>
      <selection pane="topRight" activeCell="Z1" sqref="Z1"/>
      <selection pane="bottomLeft" activeCell="A8" sqref="A8"/>
      <selection pane="bottomRight" activeCell="AC1583" sqref="AC1583"/>
    </sheetView>
  </sheetViews>
  <sheetFormatPr defaultColWidth="9.140625" defaultRowHeight="12.75" x14ac:dyDescent="0.25"/>
  <cols>
    <col min="1" max="1" width="5.7109375" style="2" customWidth="1"/>
    <col min="2" max="2" width="16.5703125" style="3" customWidth="1"/>
    <col min="3" max="3" width="9.85546875" style="3" customWidth="1"/>
    <col min="4" max="4" width="33.42578125" style="4" customWidth="1"/>
    <col min="5" max="5" width="9.7109375" style="3" customWidth="1"/>
    <col min="6" max="6" width="20" style="3" hidden="1" customWidth="1"/>
    <col min="7" max="7" width="8.85546875" style="3" hidden="1" customWidth="1"/>
    <col min="8" max="8" width="10.140625" style="3" hidden="1" customWidth="1"/>
    <col min="9" max="9" width="9.28515625" style="3" hidden="1" customWidth="1"/>
    <col min="10" max="10" width="9.5703125" style="3" hidden="1" customWidth="1"/>
    <col min="11" max="11" width="6.28515625" style="3" hidden="1" customWidth="1"/>
    <col min="12" max="12" width="8.7109375" style="3" hidden="1" customWidth="1"/>
    <col min="13" max="13" width="8.7109375" style="3" customWidth="1"/>
    <col min="14" max="14" width="17.42578125" style="3" hidden="1" customWidth="1"/>
    <col min="15" max="15" width="21" style="3" customWidth="1"/>
    <col min="16" max="16" width="19.28515625" style="3" hidden="1" customWidth="1"/>
    <col min="17" max="17" width="18.28515625" style="3" hidden="1" customWidth="1"/>
    <col min="18" max="18" width="12.85546875" style="3" hidden="1" customWidth="1"/>
    <col min="19" max="19" width="20.42578125" style="3" hidden="1" customWidth="1"/>
    <col min="20" max="20" width="10.140625" style="3" customWidth="1"/>
    <col min="21" max="21" width="20" style="3" customWidth="1"/>
    <col min="22" max="22" width="6.140625" style="3" customWidth="1"/>
    <col min="23" max="23" width="16.28515625" style="3" customWidth="1"/>
    <col min="24" max="24" width="6.140625" style="3" customWidth="1"/>
    <col min="25" max="25" width="17.42578125" style="3" customWidth="1"/>
    <col min="26" max="26" width="17.7109375" style="3" customWidth="1"/>
    <col min="27" max="27" width="9" style="3" customWidth="1"/>
    <col min="28" max="28" width="20.5703125" style="3" customWidth="1"/>
    <col min="29" max="29" width="19.5703125" style="3" customWidth="1"/>
    <col min="30" max="30" width="8.5703125" style="3" customWidth="1"/>
    <col min="31" max="31" width="9.85546875" style="3" customWidth="1"/>
    <col min="32" max="32" width="22.140625" style="3" customWidth="1"/>
    <col min="33" max="33" width="25" style="3" customWidth="1"/>
    <col min="34" max="34" width="16.7109375" style="3" customWidth="1"/>
    <col min="35" max="35" width="18.42578125" style="3" customWidth="1"/>
    <col min="36" max="16384" width="9.140625" style="3"/>
  </cols>
  <sheetData>
    <row r="1" spans="1:33" s="1" customFormat="1" ht="15" customHeight="1" x14ac:dyDescent="0.25">
      <c r="A1" s="443" t="s">
        <v>0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</row>
    <row r="2" spans="1:33" s="1" customFormat="1" x14ac:dyDescent="0.25">
      <c r="A2" s="443" t="s">
        <v>3715</v>
      </c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</row>
    <row r="3" spans="1:33" s="1" customFormat="1" x14ac:dyDescent="0.25">
      <c r="A3" s="444" t="s">
        <v>1622</v>
      </c>
      <c r="B3" s="444"/>
      <c r="C3" s="444"/>
      <c r="D3" s="444"/>
      <c r="E3" s="444"/>
      <c r="F3" s="444"/>
      <c r="G3" s="444"/>
      <c r="H3" s="444"/>
      <c r="I3" s="444"/>
      <c r="J3" s="444"/>
      <c r="K3" s="444"/>
      <c r="L3" s="444"/>
      <c r="M3" s="444"/>
      <c r="N3" s="444"/>
      <c r="O3" s="444"/>
      <c r="P3" s="444"/>
      <c r="Q3" s="444"/>
      <c r="R3" s="444"/>
      <c r="S3" s="444"/>
      <c r="T3" s="444"/>
      <c r="U3" s="444"/>
      <c r="V3" s="444"/>
      <c r="W3" s="444"/>
      <c r="X3" s="444"/>
      <c r="Y3" s="444"/>
      <c r="Z3" s="444"/>
      <c r="AA3" s="444"/>
      <c r="AB3" s="444"/>
      <c r="AC3" s="444"/>
      <c r="AD3" s="444"/>
      <c r="AE3" s="444"/>
    </row>
    <row r="4" spans="1:33" s="1" customFormat="1" x14ac:dyDescent="0.25">
      <c r="A4" s="437" t="s">
        <v>1</v>
      </c>
      <c r="B4" s="445"/>
      <c r="C4" s="438"/>
      <c r="D4" s="431" t="s">
        <v>2</v>
      </c>
      <c r="E4" s="432"/>
      <c r="F4" s="433"/>
      <c r="G4" s="422" t="s">
        <v>3</v>
      </c>
      <c r="H4" s="422" t="s">
        <v>4</v>
      </c>
      <c r="I4" s="422" t="s">
        <v>5</v>
      </c>
      <c r="J4" s="422" t="s">
        <v>6</v>
      </c>
      <c r="K4" s="422" t="s">
        <v>7</v>
      </c>
      <c r="L4" s="422" t="s">
        <v>8</v>
      </c>
      <c r="M4" s="437" t="s">
        <v>9</v>
      </c>
      <c r="N4" s="445"/>
      <c r="O4" s="438"/>
      <c r="P4" s="422" t="s">
        <v>10</v>
      </c>
      <c r="Q4" s="437" t="s">
        <v>11</v>
      </c>
      <c r="R4" s="438"/>
      <c r="S4" s="422" t="s">
        <v>12</v>
      </c>
      <c r="T4" s="422" t="s">
        <v>13</v>
      </c>
      <c r="U4" s="422" t="s">
        <v>14</v>
      </c>
      <c r="V4" s="431" t="s">
        <v>15</v>
      </c>
      <c r="W4" s="432"/>
      <c r="X4" s="432"/>
      <c r="Y4" s="433"/>
      <c r="Z4" s="434" t="s">
        <v>16</v>
      </c>
      <c r="AA4" s="422" t="s">
        <v>17</v>
      </c>
      <c r="AB4" s="422" t="s">
        <v>18</v>
      </c>
      <c r="AC4" s="422" t="s">
        <v>19</v>
      </c>
      <c r="AD4" s="422" t="s">
        <v>20</v>
      </c>
      <c r="AE4" s="422" t="s">
        <v>21</v>
      </c>
    </row>
    <row r="5" spans="1:33" s="1" customFormat="1" ht="24" customHeight="1" x14ac:dyDescent="0.25">
      <c r="A5" s="422" t="s">
        <v>22</v>
      </c>
      <c r="B5" s="422" t="s">
        <v>23</v>
      </c>
      <c r="C5" s="426" t="s">
        <v>24</v>
      </c>
      <c r="D5" s="422" t="s">
        <v>25</v>
      </c>
      <c r="E5" s="422" t="s">
        <v>26</v>
      </c>
      <c r="F5" s="422" t="s">
        <v>27</v>
      </c>
      <c r="G5" s="430"/>
      <c r="H5" s="430"/>
      <c r="I5" s="430"/>
      <c r="J5" s="430"/>
      <c r="K5" s="430"/>
      <c r="L5" s="430"/>
      <c r="M5" s="428" t="s">
        <v>28</v>
      </c>
      <c r="N5" s="428" t="s">
        <v>29</v>
      </c>
      <c r="O5" s="439" t="s">
        <v>30</v>
      </c>
      <c r="P5" s="430"/>
      <c r="Q5" s="441" t="s">
        <v>31</v>
      </c>
      <c r="R5" s="441" t="s">
        <v>32</v>
      </c>
      <c r="S5" s="430"/>
      <c r="T5" s="430"/>
      <c r="U5" s="430"/>
      <c r="V5" s="446" t="s">
        <v>33</v>
      </c>
      <c r="W5" s="447"/>
      <c r="X5" s="446" t="s">
        <v>34</v>
      </c>
      <c r="Y5" s="447"/>
      <c r="Z5" s="435"/>
      <c r="AA5" s="430"/>
      <c r="AB5" s="430"/>
      <c r="AC5" s="430"/>
      <c r="AD5" s="423"/>
      <c r="AE5" s="423"/>
      <c r="AF5" s="5"/>
      <c r="AG5" s="5"/>
    </row>
    <row r="6" spans="1:33" s="1" customFormat="1" ht="37.5" customHeight="1" x14ac:dyDescent="0.25">
      <c r="A6" s="425"/>
      <c r="B6" s="425"/>
      <c r="C6" s="427"/>
      <c r="D6" s="425"/>
      <c r="E6" s="425"/>
      <c r="F6" s="425"/>
      <c r="G6" s="425"/>
      <c r="H6" s="425"/>
      <c r="I6" s="425"/>
      <c r="J6" s="425"/>
      <c r="K6" s="425"/>
      <c r="L6" s="6" t="s">
        <v>35</v>
      </c>
      <c r="M6" s="429"/>
      <c r="N6" s="429"/>
      <c r="O6" s="440"/>
      <c r="P6" s="425"/>
      <c r="Q6" s="442"/>
      <c r="R6" s="442"/>
      <c r="S6" s="425"/>
      <c r="T6" s="425"/>
      <c r="U6" s="425"/>
      <c r="V6" s="7" t="s">
        <v>36</v>
      </c>
      <c r="W6" s="7" t="s">
        <v>37</v>
      </c>
      <c r="X6" s="7" t="s">
        <v>36</v>
      </c>
      <c r="Y6" s="7" t="s">
        <v>37</v>
      </c>
      <c r="Z6" s="436"/>
      <c r="AA6" s="425"/>
      <c r="AB6" s="425"/>
      <c r="AC6" s="425"/>
      <c r="AD6" s="424"/>
      <c r="AE6" s="424"/>
      <c r="AF6" s="8"/>
    </row>
    <row r="7" spans="1:33" s="1" customFormat="1" x14ac:dyDescent="0.25">
      <c r="A7" s="9">
        <v>1</v>
      </c>
      <c r="B7" s="9">
        <v>2</v>
      </c>
      <c r="C7" s="9">
        <v>3</v>
      </c>
      <c r="D7" s="10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  <c r="L7" s="9">
        <v>12</v>
      </c>
      <c r="M7" s="9">
        <v>13</v>
      </c>
      <c r="N7" s="9">
        <v>14</v>
      </c>
      <c r="O7" s="9">
        <v>15</v>
      </c>
      <c r="P7" s="9">
        <v>16</v>
      </c>
      <c r="Q7" s="9">
        <v>17</v>
      </c>
      <c r="R7" s="9">
        <v>18</v>
      </c>
      <c r="S7" s="9">
        <v>19</v>
      </c>
      <c r="T7" s="9">
        <v>20</v>
      </c>
      <c r="U7" s="9">
        <v>21</v>
      </c>
      <c r="V7" s="9">
        <v>22</v>
      </c>
      <c r="W7" s="9">
        <v>23</v>
      </c>
      <c r="X7" s="9">
        <v>24</v>
      </c>
      <c r="Y7" s="9">
        <v>25</v>
      </c>
      <c r="Z7" s="9">
        <v>26</v>
      </c>
      <c r="AA7" s="9">
        <v>27</v>
      </c>
      <c r="AB7" s="9">
        <v>28</v>
      </c>
      <c r="AC7" s="9">
        <v>29</v>
      </c>
      <c r="AD7" s="9">
        <v>30</v>
      </c>
      <c r="AE7" s="9">
        <v>31</v>
      </c>
      <c r="AF7" s="8">
        <v>11577219500.430571</v>
      </c>
      <c r="AG7" s="5">
        <f>SUM(AF7+W30+Y30-AB30)</f>
        <v>-0.51999664306640625</v>
      </c>
    </row>
    <row r="8" spans="1:33" s="16" customFormat="1" ht="23.25" customHeight="1" x14ac:dyDescent="0.25">
      <c r="A8" s="11">
        <v>1</v>
      </c>
      <c r="B8" s="12" t="s">
        <v>38</v>
      </c>
      <c r="C8" s="12"/>
      <c r="D8" s="13" t="s">
        <v>39</v>
      </c>
      <c r="E8" s="14"/>
      <c r="F8" s="14"/>
      <c r="G8" s="14"/>
      <c r="H8" s="14"/>
      <c r="I8" s="14"/>
      <c r="J8" s="14"/>
      <c r="K8" s="14"/>
      <c r="L8" s="14"/>
      <c r="M8" s="14">
        <f>M9+M14+M19+M24</f>
        <v>0</v>
      </c>
      <c r="N8" s="14"/>
      <c r="O8" s="15">
        <f t="shared" ref="O8:AC8" si="0">O9+O14+O19+O24</f>
        <v>0</v>
      </c>
      <c r="P8" s="15">
        <f t="shared" si="0"/>
        <v>0</v>
      </c>
      <c r="Q8" s="15">
        <f t="shared" si="0"/>
        <v>0</v>
      </c>
      <c r="R8" s="15">
        <f t="shared" si="0"/>
        <v>0</v>
      </c>
      <c r="S8" s="15">
        <f t="shared" si="0"/>
        <v>0</v>
      </c>
      <c r="T8" s="15"/>
      <c r="U8" s="15">
        <f t="shared" si="0"/>
        <v>0</v>
      </c>
      <c r="V8" s="15"/>
      <c r="W8" s="15">
        <f t="shared" si="0"/>
        <v>0</v>
      </c>
      <c r="X8" s="15"/>
      <c r="Y8" s="15">
        <f t="shared" si="0"/>
        <v>0</v>
      </c>
      <c r="Z8" s="15">
        <f t="shared" si="0"/>
        <v>0</v>
      </c>
      <c r="AA8" s="15"/>
      <c r="AB8" s="15">
        <f t="shared" si="0"/>
        <v>0</v>
      </c>
      <c r="AC8" s="15">
        <f t="shared" si="0"/>
        <v>0</v>
      </c>
      <c r="AD8" s="14"/>
      <c r="AE8" s="14"/>
      <c r="AF8" s="16">
        <v>11798701148.506283</v>
      </c>
      <c r="AG8" s="36">
        <f>SUM(AF8+Y30-AB30)</f>
        <v>3.0000686645507813E-2</v>
      </c>
    </row>
    <row r="9" spans="1:33" s="1" customFormat="1" hidden="1" x14ac:dyDescent="0.25">
      <c r="A9" s="17"/>
      <c r="B9" s="18" t="s">
        <v>40</v>
      </c>
      <c r="C9" s="18"/>
      <c r="D9" s="19" t="s">
        <v>39</v>
      </c>
      <c r="E9" s="20"/>
      <c r="F9" s="20"/>
      <c r="G9" s="20"/>
      <c r="H9" s="20"/>
      <c r="I9" s="20"/>
      <c r="J9" s="20"/>
      <c r="K9" s="20"/>
      <c r="L9" s="20"/>
      <c r="M9" s="20">
        <f>SUM(M10:M13)</f>
        <v>0</v>
      </c>
      <c r="N9" s="20"/>
      <c r="O9" s="20">
        <f>SUM(O10:O13)</f>
        <v>0</v>
      </c>
      <c r="P9" s="20">
        <f t="shared" ref="P9:U9" si="1">SUM(P10:P13)</f>
        <v>0</v>
      </c>
      <c r="Q9" s="20">
        <f t="shared" si="1"/>
        <v>0</v>
      </c>
      <c r="R9" s="20">
        <f t="shared" si="1"/>
        <v>0</v>
      </c>
      <c r="S9" s="20">
        <f t="shared" si="1"/>
        <v>0</v>
      </c>
      <c r="T9" s="20"/>
      <c r="U9" s="20">
        <f t="shared" si="1"/>
        <v>0</v>
      </c>
      <c r="V9" s="20"/>
      <c r="W9" s="20">
        <f>SUM(W10:W13)</f>
        <v>0</v>
      </c>
      <c r="X9" s="20"/>
      <c r="Y9" s="20">
        <f>SUM(Y10:Y13)</f>
        <v>0</v>
      </c>
      <c r="Z9" s="20">
        <f>SUM(Z10:Z13)</f>
        <v>0</v>
      </c>
      <c r="AA9" s="20"/>
      <c r="AB9" s="20">
        <f>SUM(AB10:AB13)</f>
        <v>0</v>
      </c>
      <c r="AC9" s="20">
        <f>SUM(AC10:AC13)</f>
        <v>0</v>
      </c>
      <c r="AD9" s="20"/>
      <c r="AE9" s="20"/>
    </row>
    <row r="10" spans="1:33" s="1" customFormat="1" hidden="1" x14ac:dyDescent="0.25">
      <c r="A10" s="21"/>
      <c r="B10" s="22"/>
      <c r="C10" s="22"/>
      <c r="D10" s="23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</row>
    <row r="11" spans="1:33" s="1" customFormat="1" hidden="1" x14ac:dyDescent="0.25">
      <c r="A11" s="21"/>
      <c r="B11" s="22"/>
      <c r="C11" s="22"/>
      <c r="D11" s="23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</row>
    <row r="12" spans="1:33" s="1" customFormat="1" hidden="1" x14ac:dyDescent="0.25">
      <c r="A12" s="21"/>
      <c r="B12" s="22"/>
      <c r="C12" s="22"/>
      <c r="D12" s="23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</row>
    <row r="13" spans="1:33" s="1" customFormat="1" hidden="1" x14ac:dyDescent="0.25">
      <c r="A13" s="21"/>
      <c r="B13" s="22"/>
      <c r="C13" s="22"/>
      <c r="D13" s="23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</row>
    <row r="14" spans="1:33" s="1" customFormat="1" hidden="1" x14ac:dyDescent="0.25">
      <c r="A14" s="25"/>
      <c r="B14" s="26" t="s">
        <v>41</v>
      </c>
      <c r="C14" s="26"/>
      <c r="D14" s="27" t="s">
        <v>42</v>
      </c>
      <c r="E14" s="28"/>
      <c r="F14" s="28"/>
      <c r="G14" s="28"/>
      <c r="H14" s="28"/>
      <c r="I14" s="28"/>
      <c r="J14" s="28"/>
      <c r="K14" s="28"/>
      <c r="L14" s="28"/>
      <c r="M14" s="28">
        <f>SUM(M15:M18)</f>
        <v>0</v>
      </c>
      <c r="N14" s="28"/>
      <c r="O14" s="28">
        <f t="shared" ref="O14:AC14" si="2">SUM(O15:O18)</f>
        <v>0</v>
      </c>
      <c r="P14" s="28">
        <f t="shared" si="2"/>
        <v>0</v>
      </c>
      <c r="Q14" s="28">
        <f t="shared" si="2"/>
        <v>0</v>
      </c>
      <c r="R14" s="28">
        <f t="shared" si="2"/>
        <v>0</v>
      </c>
      <c r="S14" s="28">
        <f t="shared" si="2"/>
        <v>0</v>
      </c>
      <c r="T14" s="28"/>
      <c r="U14" s="28">
        <f t="shared" si="2"/>
        <v>0</v>
      </c>
      <c r="V14" s="28"/>
      <c r="W14" s="28">
        <f t="shared" si="2"/>
        <v>0</v>
      </c>
      <c r="X14" s="28"/>
      <c r="Y14" s="28">
        <f t="shared" si="2"/>
        <v>0</v>
      </c>
      <c r="Z14" s="28">
        <f t="shared" si="2"/>
        <v>0</v>
      </c>
      <c r="AA14" s="28"/>
      <c r="AB14" s="28">
        <f t="shared" si="2"/>
        <v>0</v>
      </c>
      <c r="AC14" s="28">
        <f t="shared" si="2"/>
        <v>0</v>
      </c>
      <c r="AD14" s="28"/>
      <c r="AE14" s="28"/>
    </row>
    <row r="15" spans="1:33" s="1" customFormat="1" hidden="1" x14ac:dyDescent="0.25">
      <c r="A15" s="21"/>
      <c r="B15" s="22"/>
      <c r="C15" s="22"/>
      <c r="D15" s="23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</row>
    <row r="16" spans="1:33" s="1" customFormat="1" hidden="1" x14ac:dyDescent="0.25">
      <c r="A16" s="21"/>
      <c r="B16" s="22"/>
      <c r="C16" s="22"/>
      <c r="D16" s="2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</row>
    <row r="17" spans="1:34" s="1" customFormat="1" hidden="1" x14ac:dyDescent="0.25">
      <c r="A17" s="21"/>
      <c r="B17" s="22"/>
      <c r="C17" s="22"/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</row>
    <row r="18" spans="1:34" s="1" customFormat="1" hidden="1" x14ac:dyDescent="0.25">
      <c r="A18" s="21"/>
      <c r="B18" s="22"/>
      <c r="C18" s="22"/>
      <c r="D18" s="23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</row>
    <row r="19" spans="1:34" s="1" customFormat="1" hidden="1" x14ac:dyDescent="0.25">
      <c r="A19" s="25"/>
      <c r="B19" s="26" t="s">
        <v>43</v>
      </c>
      <c r="C19" s="26"/>
      <c r="D19" s="27" t="s">
        <v>44</v>
      </c>
      <c r="E19" s="28"/>
      <c r="F19" s="28"/>
      <c r="G19" s="28"/>
      <c r="H19" s="28"/>
      <c r="I19" s="28"/>
      <c r="J19" s="28"/>
      <c r="K19" s="28"/>
      <c r="L19" s="28"/>
      <c r="M19" s="28">
        <f>SUM(M20:M23)</f>
        <v>0</v>
      </c>
      <c r="N19" s="28"/>
      <c r="O19" s="28">
        <f t="shared" ref="O19:AC19" si="3">SUM(O20:O23)</f>
        <v>0</v>
      </c>
      <c r="P19" s="28">
        <f t="shared" si="3"/>
        <v>0</v>
      </c>
      <c r="Q19" s="28">
        <f t="shared" si="3"/>
        <v>0</v>
      </c>
      <c r="R19" s="28">
        <f t="shared" si="3"/>
        <v>0</v>
      </c>
      <c r="S19" s="28">
        <f t="shared" si="3"/>
        <v>0</v>
      </c>
      <c r="T19" s="28"/>
      <c r="U19" s="28">
        <f t="shared" si="3"/>
        <v>0</v>
      </c>
      <c r="V19" s="28"/>
      <c r="W19" s="28">
        <f t="shared" si="3"/>
        <v>0</v>
      </c>
      <c r="X19" s="28"/>
      <c r="Y19" s="28">
        <f t="shared" si="3"/>
        <v>0</v>
      </c>
      <c r="Z19" s="28">
        <f t="shared" si="3"/>
        <v>0</v>
      </c>
      <c r="AA19" s="28"/>
      <c r="AB19" s="28">
        <f t="shared" si="3"/>
        <v>0</v>
      </c>
      <c r="AC19" s="28">
        <f t="shared" si="3"/>
        <v>0</v>
      </c>
      <c r="AD19" s="28"/>
      <c r="AE19" s="28"/>
    </row>
    <row r="20" spans="1:34" s="1" customFormat="1" hidden="1" x14ac:dyDescent="0.25">
      <c r="A20" s="21"/>
      <c r="B20" s="22"/>
      <c r="C20" s="22"/>
      <c r="D20" s="23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</row>
    <row r="21" spans="1:34" s="1" customFormat="1" hidden="1" x14ac:dyDescent="0.25">
      <c r="A21" s="21"/>
      <c r="B21" s="22"/>
      <c r="C21" s="22"/>
      <c r="D21" s="23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</row>
    <row r="22" spans="1:34" s="1" customFormat="1" hidden="1" x14ac:dyDescent="0.25">
      <c r="A22" s="21"/>
      <c r="B22" s="22"/>
      <c r="C22" s="22"/>
      <c r="D22" s="2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</row>
    <row r="23" spans="1:34" s="1" customFormat="1" hidden="1" x14ac:dyDescent="0.25">
      <c r="A23" s="21"/>
      <c r="B23" s="22"/>
      <c r="C23" s="22"/>
      <c r="D23" s="23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</row>
    <row r="24" spans="1:34" s="1" customFormat="1" hidden="1" x14ac:dyDescent="0.25">
      <c r="A24" s="25"/>
      <c r="B24" s="26" t="s">
        <v>45</v>
      </c>
      <c r="C24" s="26"/>
      <c r="D24" s="27" t="s">
        <v>46</v>
      </c>
      <c r="E24" s="28"/>
      <c r="F24" s="28"/>
      <c r="G24" s="28"/>
      <c r="H24" s="28"/>
      <c r="I24" s="28"/>
      <c r="J24" s="28"/>
      <c r="K24" s="28"/>
      <c r="L24" s="28"/>
      <c r="M24" s="28">
        <f>SUM(M25:M28)</f>
        <v>0</v>
      </c>
      <c r="N24" s="28"/>
      <c r="O24" s="28">
        <f>SUM(O25:O28)</f>
        <v>0</v>
      </c>
      <c r="P24" s="28">
        <f t="shared" ref="P24:AC24" si="4">SUM(P25:P28)</f>
        <v>0</v>
      </c>
      <c r="Q24" s="28">
        <f t="shared" si="4"/>
        <v>0</v>
      </c>
      <c r="R24" s="28">
        <f t="shared" si="4"/>
        <v>0</v>
      </c>
      <c r="S24" s="28">
        <f t="shared" si="4"/>
        <v>0</v>
      </c>
      <c r="T24" s="28"/>
      <c r="U24" s="28">
        <f t="shared" si="4"/>
        <v>0</v>
      </c>
      <c r="V24" s="28"/>
      <c r="W24" s="28">
        <f t="shared" si="4"/>
        <v>0</v>
      </c>
      <c r="X24" s="28"/>
      <c r="Y24" s="28">
        <f t="shared" si="4"/>
        <v>0</v>
      </c>
      <c r="Z24" s="28">
        <f t="shared" si="4"/>
        <v>0</v>
      </c>
      <c r="AA24" s="28"/>
      <c r="AB24" s="28">
        <f t="shared" si="4"/>
        <v>0</v>
      </c>
      <c r="AC24" s="28">
        <f t="shared" si="4"/>
        <v>0</v>
      </c>
      <c r="AD24" s="28"/>
      <c r="AE24" s="28"/>
    </row>
    <row r="25" spans="1:34" s="1" customFormat="1" hidden="1" x14ac:dyDescent="0.25">
      <c r="A25" s="21"/>
      <c r="B25" s="22"/>
      <c r="C25" s="22"/>
      <c r="D25" s="23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</row>
    <row r="26" spans="1:34" s="1" customFormat="1" hidden="1" x14ac:dyDescent="0.25">
      <c r="A26" s="21"/>
      <c r="B26" s="22"/>
      <c r="C26" s="22"/>
      <c r="D26" s="23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</row>
    <row r="27" spans="1:34" s="1" customFormat="1" hidden="1" x14ac:dyDescent="0.25">
      <c r="A27" s="21"/>
      <c r="B27" s="22"/>
      <c r="C27" s="22"/>
      <c r="D27" s="23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</row>
    <row r="28" spans="1:34" s="1" customFormat="1" hidden="1" x14ac:dyDescent="0.25">
      <c r="A28" s="21"/>
      <c r="B28" s="22"/>
      <c r="C28" s="22"/>
      <c r="D28" s="23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</row>
    <row r="29" spans="1:34" s="1" customFormat="1" hidden="1" x14ac:dyDescent="0.25">
      <c r="A29" s="21"/>
      <c r="B29" s="22"/>
      <c r="C29" s="22"/>
      <c r="D29" s="23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</row>
    <row r="30" spans="1:34" s="16" customFormat="1" ht="19.5" customHeight="1" x14ac:dyDescent="0.25">
      <c r="A30" s="29">
        <v>2</v>
      </c>
      <c r="B30" s="30" t="s">
        <v>47</v>
      </c>
      <c r="C30" s="30"/>
      <c r="D30" s="31" t="s">
        <v>48</v>
      </c>
      <c r="E30" s="32"/>
      <c r="F30" s="32"/>
      <c r="G30" s="32"/>
      <c r="H30" s="32"/>
      <c r="I30" s="32"/>
      <c r="J30" s="32"/>
      <c r="K30" s="32"/>
      <c r="L30" s="32"/>
      <c r="M30" s="33">
        <f>SUM(M31+M44+M101+M786+M808+M846+M1062)</f>
        <v>5058</v>
      </c>
      <c r="N30" s="136"/>
      <c r="O30" s="34">
        <f>SUM(O31+O44+O101+O786+O808+O846+O1062)</f>
        <v>12973162158.004616</v>
      </c>
      <c r="P30" s="32">
        <f>P31+P44+P89+P96+P101+P786+P808+P816+P837+P846+P1014+P1019+P1024+P1033+P1040+P1049+P1052+P1055+P1062</f>
        <v>0</v>
      </c>
      <c r="Q30" s="32">
        <f>Q31+Q44+Q89+Q96+Q101+Q786+Q808+Q816+Q837+Q846+Q1014+Q1019+Q1024+Q1033+Q1040+Q1049+Q1052+Q1055+Q1062</f>
        <v>0</v>
      </c>
      <c r="R30" s="32">
        <f>R31+R44+R89+R96+R101+R786+R808+R816+R837+R846+R1014+R1019+R1024+R1033+R1040+R1049+R1052+R1055+R1062</f>
        <v>0</v>
      </c>
      <c r="S30" s="34">
        <f>SUM(S31+S44+S101+S786+S808+S846+S1062)</f>
        <v>12816679158.004616</v>
      </c>
      <c r="T30" s="34"/>
      <c r="U30" s="34">
        <f>SUM(U31+U44+U101+U786+U808+U816+U837+U846+U1014+U1019+U1024+U1033+U1040+U1049+U1052+U1055+U1062)</f>
        <v>957925979.52857149</v>
      </c>
      <c r="V30" s="34"/>
      <c r="W30" s="34">
        <f>SUM(W31+W44+W101+W786+W808+W816+W837+W846+W1014+W1019+W1024+W1033+W1040+W1049+W1052+W1055+W1062)</f>
        <v>221481647.52571425</v>
      </c>
      <c r="X30" s="34"/>
      <c r="Y30" s="34">
        <f>SUM(Y31+Y44+Y101+Y786+Y808+Y816+Y837+Y846+Y1014+Y1019+Y1024+Y1033+Y1040+Y1049+Y1052+Y1055+Y1062)</f>
        <v>194665413.23238093</v>
      </c>
      <c r="Z30" s="34">
        <f>SUM(Z31+Z44+Z101+Z786+Z808+Z816+Z837+Z846+Z1014+Z1019+Z1024+Z1033+Z1040+Z1049+Z1052+Z1055+Z1062)</f>
        <v>416147060.75809526</v>
      </c>
      <c r="AA30" s="34"/>
      <c r="AB30" s="34">
        <f>SUM(AB31+AB44+AB101+AB786+AB808+AB816+AB837+AB846+AB1014+AB1019+AB1024+AB1033+AB1040+AB1049+AB1052+AB1055+AB1062)</f>
        <v>11993366561.708664</v>
      </c>
      <c r="AC30" s="34">
        <f>SUM(AC31+AC44+AC101+AC786+AC808+AC846+AC1062)</f>
        <v>979795596.55595255</v>
      </c>
      <c r="AD30" s="32"/>
      <c r="AE30" s="32"/>
      <c r="AF30" s="36">
        <v>11577219500.430569</v>
      </c>
      <c r="AG30" s="137">
        <f>SUM(AF30+W30+Y30-AB30)</f>
        <v>-0.51999855041503906</v>
      </c>
      <c r="AH30" s="36"/>
    </row>
    <row r="31" spans="1:34" s="1" customFormat="1" x14ac:dyDescent="0.25">
      <c r="A31" s="17"/>
      <c r="B31" s="18" t="s">
        <v>49</v>
      </c>
      <c r="C31" s="18"/>
      <c r="D31" s="19" t="s">
        <v>50</v>
      </c>
      <c r="E31" s="20"/>
      <c r="F31" s="20"/>
      <c r="G31" s="20"/>
      <c r="H31" s="20"/>
      <c r="I31" s="20"/>
      <c r="J31" s="20"/>
      <c r="K31" s="20"/>
      <c r="L31" s="20"/>
      <c r="M31" s="20">
        <f>SUM(M40)</f>
        <v>1</v>
      </c>
      <c r="N31" s="20"/>
      <c r="O31" s="37">
        <f>SUM(O40)</f>
        <v>509600000</v>
      </c>
      <c r="P31" s="20">
        <f t="shared" ref="P31:AC31" si="5">P32+P36+P40</f>
        <v>0</v>
      </c>
      <c r="Q31" s="20">
        <f t="shared" si="5"/>
        <v>0</v>
      </c>
      <c r="R31" s="20">
        <f t="shared" si="5"/>
        <v>0</v>
      </c>
      <c r="S31" s="37">
        <f>SUM(S40)</f>
        <v>509600000</v>
      </c>
      <c r="T31" s="37"/>
      <c r="U31" s="37">
        <f t="shared" si="5"/>
        <v>50960000</v>
      </c>
      <c r="V31" s="37"/>
      <c r="W31" s="37">
        <f t="shared" si="5"/>
        <v>0</v>
      </c>
      <c r="X31" s="37"/>
      <c r="Y31" s="37">
        <f t="shared" si="5"/>
        <v>0</v>
      </c>
      <c r="Z31" s="37">
        <f t="shared" si="5"/>
        <v>0</v>
      </c>
      <c r="AA31" s="37"/>
      <c r="AB31" s="37">
        <f>SUM(AB40)</f>
        <v>509600000</v>
      </c>
      <c r="AC31" s="37">
        <f t="shared" si="5"/>
        <v>0</v>
      </c>
      <c r="AD31" s="20"/>
      <c r="AE31" s="38"/>
      <c r="AF31" s="39">
        <v>11817728862.791998</v>
      </c>
      <c r="AG31" s="35"/>
    </row>
    <row r="32" spans="1:34" s="1" customFormat="1" hidden="1" x14ac:dyDescent="0.25">
      <c r="A32" s="25"/>
      <c r="B32" s="26" t="s">
        <v>51</v>
      </c>
      <c r="C32" s="26"/>
      <c r="D32" s="27" t="s">
        <v>52</v>
      </c>
      <c r="E32" s="28"/>
      <c r="F32" s="28"/>
      <c r="G32" s="28"/>
      <c r="H32" s="28"/>
      <c r="I32" s="28"/>
      <c r="J32" s="28"/>
      <c r="K32" s="28"/>
      <c r="L32" s="28"/>
      <c r="M32" s="28">
        <f>SUM(M33:M35)</f>
        <v>0</v>
      </c>
      <c r="N32" s="28"/>
      <c r="O32" s="40">
        <f>SUM(O33:O35)</f>
        <v>0</v>
      </c>
      <c r="P32" s="28">
        <f t="shared" ref="P32:AC32" si="6">SUM(P33:P35)</f>
        <v>0</v>
      </c>
      <c r="Q32" s="28">
        <f t="shared" si="6"/>
        <v>0</v>
      </c>
      <c r="R32" s="28">
        <f t="shared" si="6"/>
        <v>0</v>
      </c>
      <c r="S32" s="40">
        <f t="shared" si="6"/>
        <v>0</v>
      </c>
      <c r="T32" s="40"/>
      <c r="U32" s="40">
        <f t="shared" si="6"/>
        <v>0</v>
      </c>
      <c r="V32" s="40"/>
      <c r="W32" s="40">
        <f t="shared" si="6"/>
        <v>0</v>
      </c>
      <c r="X32" s="40"/>
      <c r="Y32" s="40">
        <f t="shared" si="6"/>
        <v>0</v>
      </c>
      <c r="Z32" s="40">
        <f t="shared" si="6"/>
        <v>0</v>
      </c>
      <c r="AA32" s="40"/>
      <c r="AB32" s="40">
        <f t="shared" si="6"/>
        <v>0</v>
      </c>
      <c r="AC32" s="40">
        <f t="shared" si="6"/>
        <v>0</v>
      </c>
      <c r="AD32" s="28"/>
      <c r="AE32" s="28"/>
      <c r="AG32" s="36"/>
    </row>
    <row r="33" spans="1:34" s="1" customFormat="1" hidden="1" x14ac:dyDescent="0.25">
      <c r="A33" s="21"/>
      <c r="B33" s="22"/>
      <c r="C33" s="22"/>
      <c r="D33" s="23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41"/>
      <c r="P33" s="24"/>
      <c r="Q33" s="24"/>
      <c r="R33" s="24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24"/>
      <c r="AE33" s="24"/>
      <c r="AG33" s="36"/>
    </row>
    <row r="34" spans="1:34" s="1" customFormat="1" hidden="1" x14ac:dyDescent="0.25">
      <c r="A34" s="21"/>
      <c r="B34" s="22"/>
      <c r="C34" s="22"/>
      <c r="D34" s="23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41"/>
      <c r="P34" s="24"/>
      <c r="Q34" s="24"/>
      <c r="R34" s="24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24"/>
      <c r="AE34" s="24"/>
      <c r="AG34" s="36"/>
    </row>
    <row r="35" spans="1:34" s="1" customFormat="1" hidden="1" x14ac:dyDescent="0.25">
      <c r="A35" s="21"/>
      <c r="B35" s="22"/>
      <c r="C35" s="22"/>
      <c r="D35" s="23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41"/>
      <c r="P35" s="24"/>
      <c r="Q35" s="24"/>
      <c r="R35" s="24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24"/>
      <c r="AE35" s="24"/>
      <c r="AG35" s="36"/>
    </row>
    <row r="36" spans="1:34" s="1" customFormat="1" hidden="1" x14ac:dyDescent="0.25">
      <c r="A36" s="25"/>
      <c r="B36" s="26" t="s">
        <v>53</v>
      </c>
      <c r="C36" s="26"/>
      <c r="D36" s="27" t="s">
        <v>54</v>
      </c>
      <c r="E36" s="28"/>
      <c r="F36" s="28"/>
      <c r="G36" s="28"/>
      <c r="H36" s="28"/>
      <c r="I36" s="28"/>
      <c r="J36" s="28"/>
      <c r="K36" s="28"/>
      <c r="L36" s="28"/>
      <c r="M36" s="28">
        <f>SUM(M37:M39)</f>
        <v>0</v>
      </c>
      <c r="N36" s="28"/>
      <c r="O36" s="40">
        <f t="shared" ref="O36:AC36" si="7">SUM(O37:O39)</f>
        <v>0</v>
      </c>
      <c r="P36" s="28">
        <f t="shared" si="7"/>
        <v>0</v>
      </c>
      <c r="Q36" s="28">
        <f t="shared" si="7"/>
        <v>0</v>
      </c>
      <c r="R36" s="28">
        <f t="shared" si="7"/>
        <v>0</v>
      </c>
      <c r="S36" s="40">
        <f t="shared" si="7"/>
        <v>0</v>
      </c>
      <c r="T36" s="40"/>
      <c r="U36" s="40">
        <f t="shared" si="7"/>
        <v>0</v>
      </c>
      <c r="V36" s="40"/>
      <c r="W36" s="40">
        <f t="shared" si="7"/>
        <v>0</v>
      </c>
      <c r="X36" s="40"/>
      <c r="Y36" s="40">
        <f t="shared" si="7"/>
        <v>0</v>
      </c>
      <c r="Z36" s="40">
        <f t="shared" si="7"/>
        <v>0</v>
      </c>
      <c r="AA36" s="40"/>
      <c r="AB36" s="40">
        <f t="shared" si="7"/>
        <v>0</v>
      </c>
      <c r="AC36" s="40">
        <f t="shared" si="7"/>
        <v>0</v>
      </c>
      <c r="AD36" s="28"/>
      <c r="AE36" s="28"/>
      <c r="AG36" s="36"/>
    </row>
    <row r="37" spans="1:34" s="1" customFormat="1" hidden="1" x14ac:dyDescent="0.25">
      <c r="A37" s="21"/>
      <c r="B37" s="22"/>
      <c r="C37" s="22"/>
      <c r="D37" s="23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41"/>
      <c r="P37" s="24"/>
      <c r="Q37" s="24"/>
      <c r="R37" s="24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24"/>
      <c r="AE37" s="24"/>
      <c r="AG37" s="36"/>
    </row>
    <row r="38" spans="1:34" s="1" customFormat="1" hidden="1" x14ac:dyDescent="0.25">
      <c r="A38" s="21"/>
      <c r="B38" s="22"/>
      <c r="C38" s="22"/>
      <c r="D38" s="23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41"/>
      <c r="P38" s="24"/>
      <c r="Q38" s="24"/>
      <c r="R38" s="24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24"/>
      <c r="AE38" s="24"/>
      <c r="AG38" s="36"/>
    </row>
    <row r="39" spans="1:34" s="1" customFormat="1" hidden="1" x14ac:dyDescent="0.25">
      <c r="A39" s="21"/>
      <c r="B39" s="22"/>
      <c r="C39" s="22"/>
      <c r="D39" s="23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41"/>
      <c r="P39" s="24"/>
      <c r="Q39" s="24"/>
      <c r="R39" s="24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24"/>
      <c r="AE39" s="24"/>
      <c r="AG39" s="36"/>
    </row>
    <row r="40" spans="1:34" s="1" customFormat="1" x14ac:dyDescent="0.25">
      <c r="A40" s="138"/>
      <c r="B40" s="139" t="s">
        <v>55</v>
      </c>
      <c r="C40" s="139"/>
      <c r="D40" s="140" t="s">
        <v>56</v>
      </c>
      <c r="E40" s="141"/>
      <c r="F40" s="141"/>
      <c r="G40" s="141"/>
      <c r="H40" s="141"/>
      <c r="I40" s="141"/>
      <c r="J40" s="141"/>
      <c r="K40" s="141"/>
      <c r="L40" s="141"/>
      <c r="M40" s="141">
        <f>SUM(M41)</f>
        <v>1</v>
      </c>
      <c r="N40" s="141"/>
      <c r="O40" s="142">
        <f>O41</f>
        <v>509600000</v>
      </c>
      <c r="P40" s="141">
        <f>SUM(P42:P43)</f>
        <v>0</v>
      </c>
      <c r="Q40" s="141">
        <f>SUM(Q42:Q43)</f>
        <v>0</v>
      </c>
      <c r="R40" s="141">
        <f>SUM(R42:R43)</f>
        <v>0</v>
      </c>
      <c r="S40" s="142">
        <f>S41</f>
        <v>509600000</v>
      </c>
      <c r="T40" s="142"/>
      <c r="U40" s="142">
        <f>U41</f>
        <v>50960000</v>
      </c>
      <c r="V40" s="142"/>
      <c r="W40" s="141">
        <f>W41</f>
        <v>0</v>
      </c>
      <c r="X40" s="142"/>
      <c r="Y40" s="141">
        <f>Y41</f>
        <v>0</v>
      </c>
      <c r="Z40" s="141">
        <f>Z41</f>
        <v>0</v>
      </c>
      <c r="AA40" s="142"/>
      <c r="AB40" s="142">
        <f>AB41</f>
        <v>509600000</v>
      </c>
      <c r="AC40" s="141">
        <f>AC41</f>
        <v>0</v>
      </c>
      <c r="AD40" s="141"/>
      <c r="AE40" s="141"/>
      <c r="AF40" s="8"/>
      <c r="AG40" s="5">
        <f>AF31-AB30</f>
        <v>-175637698.91666603</v>
      </c>
    </row>
    <row r="41" spans="1:34" s="1" customFormat="1" x14ac:dyDescent="0.25">
      <c r="A41" s="25"/>
      <c r="B41" s="26" t="s">
        <v>1623</v>
      </c>
      <c r="C41" s="26"/>
      <c r="D41" s="27" t="s">
        <v>1624</v>
      </c>
      <c r="E41" s="28"/>
      <c r="F41" s="28"/>
      <c r="G41" s="28"/>
      <c r="H41" s="28"/>
      <c r="I41" s="28"/>
      <c r="J41" s="28"/>
      <c r="K41" s="28"/>
      <c r="L41" s="28"/>
      <c r="M41" s="28">
        <f>SUM(M42)</f>
        <v>1</v>
      </c>
      <c r="N41" s="28"/>
      <c r="O41" s="40">
        <f>SUM(O42)</f>
        <v>509600000</v>
      </c>
      <c r="P41" s="28"/>
      <c r="Q41" s="28"/>
      <c r="R41" s="28"/>
      <c r="S41" s="40">
        <f>SUM(S42)</f>
        <v>509600000</v>
      </c>
      <c r="T41" s="40"/>
      <c r="U41" s="40">
        <f>SUM(U42)</f>
        <v>50960000</v>
      </c>
      <c r="V41" s="40"/>
      <c r="W41" s="28">
        <f>SUM(W42)</f>
        <v>0</v>
      </c>
      <c r="X41" s="40"/>
      <c r="Y41" s="40"/>
      <c r="Z41" s="28">
        <f>SUM(Z42)</f>
        <v>0</v>
      </c>
      <c r="AA41" s="40"/>
      <c r="AB41" s="40">
        <f>SUM(AB42)</f>
        <v>509600000</v>
      </c>
      <c r="AC41" s="28">
        <f>SUM(AC42)</f>
        <v>0</v>
      </c>
      <c r="AD41" s="28"/>
      <c r="AE41" s="28"/>
      <c r="AF41" s="8"/>
      <c r="AG41" s="5"/>
    </row>
    <row r="42" spans="1:34" s="1" customFormat="1" x14ac:dyDescent="0.25">
      <c r="A42" s="21">
        <v>1</v>
      </c>
      <c r="B42" s="22" t="s">
        <v>57</v>
      </c>
      <c r="C42" s="42" t="s">
        <v>58</v>
      </c>
      <c r="D42" s="23" t="s">
        <v>59</v>
      </c>
      <c r="E42" s="24" t="s">
        <v>60</v>
      </c>
      <c r="F42" s="24"/>
      <c r="G42" s="24" t="s">
        <v>61</v>
      </c>
      <c r="H42" s="24" t="s">
        <v>62</v>
      </c>
      <c r="I42" s="24">
        <v>2013</v>
      </c>
      <c r="J42" s="24"/>
      <c r="K42" s="24" t="s">
        <v>63</v>
      </c>
      <c r="L42" s="24" t="s">
        <v>64</v>
      </c>
      <c r="M42" s="24">
        <v>1</v>
      </c>
      <c r="N42" s="41">
        <v>509600000</v>
      </c>
      <c r="O42" s="41">
        <v>509600000</v>
      </c>
      <c r="P42" s="24"/>
      <c r="Q42" s="24"/>
      <c r="R42" s="24"/>
      <c r="S42" s="43">
        <f>SUM(N42-R42)</f>
        <v>509600000</v>
      </c>
      <c r="T42" s="24">
        <v>10</v>
      </c>
      <c r="U42" s="43">
        <f>SUM(S42/T42)</f>
        <v>50960000</v>
      </c>
      <c r="V42" s="44"/>
      <c r="W42" s="43">
        <f t="shared" ref="W42" si="8">SUM(U42*V42)</f>
        <v>0</v>
      </c>
      <c r="X42" s="44"/>
      <c r="Y42" s="43">
        <f t="shared" ref="Y42" si="9">SUM(U42*X42)</f>
        <v>0</v>
      </c>
      <c r="Z42" s="43">
        <f>SUM(W42+Y42)</f>
        <v>0</v>
      </c>
      <c r="AA42" s="69">
        <v>10</v>
      </c>
      <c r="AB42" s="43">
        <f>SUM(U42*AA42)</f>
        <v>509600000</v>
      </c>
      <c r="AC42" s="43">
        <f>SUM(O42-AB42)</f>
        <v>0</v>
      </c>
      <c r="AD42" s="24" t="s">
        <v>65</v>
      </c>
      <c r="AE42" s="24"/>
      <c r="AF42" s="8">
        <v>1127642295.4726191</v>
      </c>
      <c r="AG42" s="143">
        <f>AC30-AF42</f>
        <v>-147846698.91666651</v>
      </c>
    </row>
    <row r="43" spans="1:34" s="1" customFormat="1" x14ac:dyDescent="0.25">
      <c r="A43" s="21"/>
      <c r="B43" s="22"/>
      <c r="C43" s="22"/>
      <c r="D43" s="23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44"/>
      <c r="Y43" s="44"/>
      <c r="Z43" s="24"/>
      <c r="AA43" s="24"/>
      <c r="AB43" s="24"/>
      <c r="AC43" s="24"/>
      <c r="AD43" s="24"/>
      <c r="AE43" s="24"/>
      <c r="AF43" s="8"/>
      <c r="AG43" s="5"/>
    </row>
    <row r="44" spans="1:34" s="1" customFormat="1" x14ac:dyDescent="0.25">
      <c r="A44" s="17"/>
      <c r="B44" s="18" t="s">
        <v>66</v>
      </c>
      <c r="C44" s="18"/>
      <c r="D44" s="19" t="s">
        <v>67</v>
      </c>
      <c r="E44" s="20"/>
      <c r="F44" s="20"/>
      <c r="G44" s="20"/>
      <c r="H44" s="20"/>
      <c r="I44" s="20"/>
      <c r="J44" s="20"/>
      <c r="K44" s="20"/>
      <c r="L44" s="20"/>
      <c r="M44" s="20">
        <f>SUM(M46+M56+M58+M79)</f>
        <v>32</v>
      </c>
      <c r="N44" s="20"/>
      <c r="O44" s="37">
        <f>SUM(O46+O56+O58+O79)</f>
        <v>2493984900</v>
      </c>
      <c r="P44" s="20">
        <f>P45+P79+P83+P85+P87</f>
        <v>0</v>
      </c>
      <c r="Q44" s="20">
        <f>Q45+Q79+Q83+Q85+Q87</f>
        <v>0</v>
      </c>
      <c r="R44" s="20">
        <f>R45+R79+R83+R85+R87</f>
        <v>0</v>
      </c>
      <c r="S44" s="37">
        <f>SUM(S46+S56+S58+S79)</f>
        <v>2493984900</v>
      </c>
      <c r="T44" s="20"/>
      <c r="U44" s="37">
        <f>SUM(U46+U56+U58+U79)</f>
        <v>227918571.42857143</v>
      </c>
      <c r="V44" s="20"/>
      <c r="W44" s="37">
        <f>SUM(W46+W56+W58+W79)</f>
        <v>29385714.285714284</v>
      </c>
      <c r="X44" s="46"/>
      <c r="Y44" s="37">
        <f>Y45+Y79+Y83+Y85+Y87</f>
        <v>29385714.285714284</v>
      </c>
      <c r="Z44" s="37">
        <f>SUM(Z46+Z56+Z58+Z79)</f>
        <v>58771428.571428567</v>
      </c>
      <c r="AA44" s="20"/>
      <c r="AB44" s="37">
        <f>SUM(AB46+AB56+AB58+AB79)</f>
        <v>2345503947.6190476</v>
      </c>
      <c r="AC44" s="37">
        <f>SUM(AC46+AC56+AC58+AC79)</f>
        <v>148480952.38095242</v>
      </c>
      <c r="AD44" s="20"/>
      <c r="AE44" s="20"/>
      <c r="AF44" s="8"/>
      <c r="AG44" s="144"/>
      <c r="AH44" s="5"/>
    </row>
    <row r="45" spans="1:34" s="1" customFormat="1" x14ac:dyDescent="0.25">
      <c r="A45" s="25"/>
      <c r="B45" s="139" t="s">
        <v>68</v>
      </c>
      <c r="C45" s="139"/>
      <c r="D45" s="140" t="s">
        <v>69</v>
      </c>
      <c r="E45" s="141"/>
      <c r="F45" s="141"/>
      <c r="G45" s="141"/>
      <c r="H45" s="141"/>
      <c r="I45" s="141"/>
      <c r="J45" s="141"/>
      <c r="K45" s="141"/>
      <c r="L45" s="141"/>
      <c r="M45" s="141">
        <f>SUM(M46+M56+M58)</f>
        <v>30</v>
      </c>
      <c r="N45" s="141"/>
      <c r="O45" s="145">
        <f>SUM(O46+O56+O58)</f>
        <v>2481994900</v>
      </c>
      <c r="P45" s="141">
        <f>SUM(P76:P78)</f>
        <v>0</v>
      </c>
      <c r="Q45" s="141">
        <f>SUM(Q76:Q78)</f>
        <v>0</v>
      </c>
      <c r="R45" s="141">
        <f>SUM(R76:R78)</f>
        <v>0</v>
      </c>
      <c r="S45" s="142">
        <f>SUM(S46+S56+S58)</f>
        <v>2481994900</v>
      </c>
      <c r="T45" s="141"/>
      <c r="U45" s="142">
        <f>SUM(U46+U56+U58)</f>
        <v>227918571.42857143</v>
      </c>
      <c r="V45" s="141"/>
      <c r="W45" s="142">
        <f>SUM(W46+W56+W58)</f>
        <v>29385714.285714284</v>
      </c>
      <c r="X45" s="146"/>
      <c r="Y45" s="142">
        <f>SUM(Y46+Y56+Y58)</f>
        <v>29385714.285714284</v>
      </c>
      <c r="Z45" s="142">
        <f>SUM(Z46+Z56+Z58)</f>
        <v>58771428.571428567</v>
      </c>
      <c r="AA45" s="141"/>
      <c r="AB45" s="142">
        <f>SUM(AB46+AB56+AB58)</f>
        <v>2333513947.6190476</v>
      </c>
      <c r="AC45" s="142">
        <f>SUM(AC46+AC56+AC58)</f>
        <v>148480952.38095242</v>
      </c>
      <c r="AD45" s="141"/>
      <c r="AE45" s="141"/>
      <c r="AF45" s="5"/>
      <c r="AG45" s="5"/>
    </row>
    <row r="46" spans="1:34" s="152" customFormat="1" ht="25.5" x14ac:dyDescent="0.25">
      <c r="A46" s="147"/>
      <c r="B46" s="148" t="s">
        <v>1625</v>
      </c>
      <c r="C46" s="148"/>
      <c r="D46" s="27" t="s">
        <v>1626</v>
      </c>
      <c r="E46" s="149"/>
      <c r="F46" s="149"/>
      <c r="G46" s="149"/>
      <c r="H46" s="149"/>
      <c r="I46" s="149"/>
      <c r="J46" s="149"/>
      <c r="K46" s="149"/>
      <c r="L46" s="149"/>
      <c r="M46" s="28">
        <f>SUM(M47:M55)</f>
        <v>9</v>
      </c>
      <c r="N46" s="149"/>
      <c r="O46" s="47">
        <f>SUM(O47:O55)</f>
        <v>1963604900</v>
      </c>
      <c r="P46" s="149"/>
      <c r="Q46" s="149"/>
      <c r="R46" s="149"/>
      <c r="S46" s="40">
        <f>SUM(S47:S55)</f>
        <v>1963604900</v>
      </c>
      <c r="T46" s="149"/>
      <c r="U46" s="40">
        <f>SUM(U47:U55)</f>
        <v>162104285.71428573</v>
      </c>
      <c r="V46" s="149"/>
      <c r="W46" s="40">
        <f>SUM(W47:W55)</f>
        <v>22142857.142857142</v>
      </c>
      <c r="X46" s="150"/>
      <c r="Y46" s="40">
        <f>SUM(Y47:Y55)</f>
        <v>22142857.142857142</v>
      </c>
      <c r="Z46" s="40">
        <f>SUM(Z47:Z55)</f>
        <v>44285714.285714284</v>
      </c>
      <c r="AA46" s="149"/>
      <c r="AB46" s="40">
        <f>SUM(AB47:AB55)</f>
        <v>1834438233.3333333</v>
      </c>
      <c r="AC46" s="40">
        <f>SUM(AC47:AC55)</f>
        <v>129166666.66666669</v>
      </c>
      <c r="AD46" s="149"/>
      <c r="AE46" s="149"/>
      <c r="AF46" s="151"/>
      <c r="AG46" s="151"/>
    </row>
    <row r="47" spans="1:34" s="1" customFormat="1" x14ac:dyDescent="0.25">
      <c r="A47" s="49">
        <v>1</v>
      </c>
      <c r="B47" s="50" t="s">
        <v>70</v>
      </c>
      <c r="C47" s="50" t="s">
        <v>58</v>
      </c>
      <c r="D47" s="51" t="s">
        <v>71</v>
      </c>
      <c r="E47" s="52" t="s">
        <v>72</v>
      </c>
      <c r="F47" s="52" t="s">
        <v>73</v>
      </c>
      <c r="G47" s="52" t="s">
        <v>61</v>
      </c>
      <c r="H47" s="52" t="s">
        <v>62</v>
      </c>
      <c r="I47" s="52">
        <v>2009</v>
      </c>
      <c r="J47" s="52"/>
      <c r="K47" s="52" t="s">
        <v>63</v>
      </c>
      <c r="L47" s="52" t="s">
        <v>64</v>
      </c>
      <c r="M47" s="52">
        <v>1</v>
      </c>
      <c r="N47" s="53">
        <v>209255500</v>
      </c>
      <c r="O47" s="53">
        <v>209255500</v>
      </c>
      <c r="P47" s="52"/>
      <c r="Q47" s="52"/>
      <c r="R47" s="52"/>
      <c r="S47" s="53">
        <f t="shared" ref="S47:S55" si="10">SUM(O47-R47)</f>
        <v>209255500</v>
      </c>
      <c r="T47" s="52">
        <v>7</v>
      </c>
      <c r="U47" s="53">
        <v>0</v>
      </c>
      <c r="V47" s="54">
        <v>0.5</v>
      </c>
      <c r="W47" s="52">
        <f t="shared" ref="W47:W62" si="11">SUM(U47*V47)</f>
        <v>0</v>
      </c>
      <c r="X47" s="54"/>
      <c r="Y47" s="52">
        <f t="shared" ref="Y47:Y78" si="12">SUM(U47*X47)</f>
        <v>0</v>
      </c>
      <c r="Z47" s="52">
        <f t="shared" ref="Z47:Z78" si="13">SUM(W47+Y47)</f>
        <v>0</v>
      </c>
      <c r="AA47" s="52">
        <v>7</v>
      </c>
      <c r="AB47" s="53">
        <v>209255500</v>
      </c>
      <c r="AC47" s="53">
        <f>SUM(O47-AB47)</f>
        <v>0</v>
      </c>
      <c r="AD47" s="52" t="s">
        <v>74</v>
      </c>
      <c r="AE47" s="52"/>
      <c r="AG47" s="5"/>
    </row>
    <row r="48" spans="1:34" s="1" customFormat="1" x14ac:dyDescent="0.25">
      <c r="A48" s="49">
        <v>2</v>
      </c>
      <c r="B48" s="50" t="s">
        <v>70</v>
      </c>
      <c r="C48" s="50" t="s">
        <v>75</v>
      </c>
      <c r="D48" s="51" t="s">
        <v>71</v>
      </c>
      <c r="E48" s="52" t="s">
        <v>76</v>
      </c>
      <c r="F48" s="52" t="s">
        <v>77</v>
      </c>
      <c r="G48" s="52" t="s">
        <v>61</v>
      </c>
      <c r="H48" s="52" t="s">
        <v>62</v>
      </c>
      <c r="I48" s="52">
        <v>2011</v>
      </c>
      <c r="J48" s="52"/>
      <c r="K48" s="52" t="s">
        <v>63</v>
      </c>
      <c r="L48" s="52" t="s">
        <v>64</v>
      </c>
      <c r="M48" s="52">
        <v>1</v>
      </c>
      <c r="N48" s="53">
        <v>174500000</v>
      </c>
      <c r="O48" s="53">
        <v>174500000</v>
      </c>
      <c r="P48" s="52"/>
      <c r="Q48" s="52"/>
      <c r="R48" s="52"/>
      <c r="S48" s="53">
        <f t="shared" si="10"/>
        <v>174500000</v>
      </c>
      <c r="T48" s="52">
        <v>7</v>
      </c>
      <c r="U48" s="53">
        <v>0</v>
      </c>
      <c r="V48" s="54">
        <v>0.5</v>
      </c>
      <c r="W48" s="52">
        <f t="shared" si="11"/>
        <v>0</v>
      </c>
      <c r="X48" s="54"/>
      <c r="Y48" s="52">
        <f t="shared" si="12"/>
        <v>0</v>
      </c>
      <c r="Z48" s="52">
        <f t="shared" si="13"/>
        <v>0</v>
      </c>
      <c r="AA48" s="52">
        <v>7</v>
      </c>
      <c r="AB48" s="53">
        <v>174500000</v>
      </c>
      <c r="AC48" s="53">
        <f>SUM(O48-AB48)</f>
        <v>0</v>
      </c>
      <c r="AD48" s="52" t="s">
        <v>78</v>
      </c>
      <c r="AE48" s="52"/>
      <c r="AF48" s="55"/>
      <c r="AG48" s="5"/>
    </row>
    <row r="49" spans="1:33" s="1" customFormat="1" x14ac:dyDescent="0.25">
      <c r="A49" s="49">
        <v>3</v>
      </c>
      <c r="B49" s="50" t="s">
        <v>70</v>
      </c>
      <c r="C49" s="50" t="s">
        <v>79</v>
      </c>
      <c r="D49" s="51" t="s">
        <v>71</v>
      </c>
      <c r="E49" s="52" t="s">
        <v>80</v>
      </c>
      <c r="F49" s="52" t="s">
        <v>81</v>
      </c>
      <c r="G49" s="52"/>
      <c r="H49" s="52" t="s">
        <v>62</v>
      </c>
      <c r="I49" s="52">
        <v>2011</v>
      </c>
      <c r="J49" s="52"/>
      <c r="K49" s="52" t="s">
        <v>63</v>
      </c>
      <c r="L49" s="52" t="s">
        <v>64</v>
      </c>
      <c r="M49" s="52">
        <v>1</v>
      </c>
      <c r="N49" s="53">
        <v>255650000</v>
      </c>
      <c r="O49" s="53">
        <v>255650000</v>
      </c>
      <c r="P49" s="52"/>
      <c r="Q49" s="52"/>
      <c r="R49" s="52"/>
      <c r="S49" s="53">
        <f t="shared" si="10"/>
        <v>255650000</v>
      </c>
      <c r="T49" s="52">
        <v>7</v>
      </c>
      <c r="U49" s="53">
        <f>SUM(S49/T49)</f>
        <v>36521428.571428575</v>
      </c>
      <c r="V49" s="54"/>
      <c r="W49" s="52"/>
      <c r="X49" s="54"/>
      <c r="Y49" s="53"/>
      <c r="Z49" s="53"/>
      <c r="AA49" s="52">
        <v>7</v>
      </c>
      <c r="AB49" s="53">
        <v>255650000.00000003</v>
      </c>
      <c r="AC49" s="53"/>
      <c r="AD49" s="52" t="s">
        <v>82</v>
      </c>
      <c r="AE49" s="52" t="s">
        <v>83</v>
      </c>
      <c r="AF49" s="5"/>
      <c r="AG49" s="5"/>
    </row>
    <row r="50" spans="1:33" s="1" customFormat="1" x14ac:dyDescent="0.25">
      <c r="A50" s="49">
        <v>4</v>
      </c>
      <c r="B50" s="50" t="s">
        <v>70</v>
      </c>
      <c r="C50" s="50" t="s">
        <v>84</v>
      </c>
      <c r="D50" s="51" t="s">
        <v>71</v>
      </c>
      <c r="E50" s="52" t="s">
        <v>85</v>
      </c>
      <c r="F50" s="52" t="s">
        <v>86</v>
      </c>
      <c r="G50" s="52" t="s">
        <v>61</v>
      </c>
      <c r="H50" s="52" t="s">
        <v>62</v>
      </c>
      <c r="I50" s="52">
        <v>2012</v>
      </c>
      <c r="J50" s="52"/>
      <c r="K50" s="52" t="s">
        <v>63</v>
      </c>
      <c r="L50" s="52" t="s">
        <v>64</v>
      </c>
      <c r="M50" s="52">
        <v>1</v>
      </c>
      <c r="N50" s="53">
        <v>264119400</v>
      </c>
      <c r="O50" s="53">
        <v>264119400</v>
      </c>
      <c r="P50" s="56"/>
      <c r="Q50" s="52"/>
      <c r="R50" s="52"/>
      <c r="S50" s="53">
        <f t="shared" si="10"/>
        <v>264119400</v>
      </c>
      <c r="T50" s="52">
        <v>7</v>
      </c>
      <c r="U50" s="53">
        <v>0</v>
      </c>
      <c r="V50" s="54">
        <v>0.5</v>
      </c>
      <c r="W50" s="52">
        <f t="shared" si="11"/>
        <v>0</v>
      </c>
      <c r="X50" s="54"/>
      <c r="Y50" s="52">
        <f t="shared" si="12"/>
        <v>0</v>
      </c>
      <c r="Z50" s="52">
        <f t="shared" si="13"/>
        <v>0</v>
      </c>
      <c r="AA50" s="52">
        <v>7</v>
      </c>
      <c r="AB50" s="53">
        <v>264119400</v>
      </c>
      <c r="AC50" s="53">
        <f t="shared" ref="AC50:AC55" si="14">SUM(O50-AB50)</f>
        <v>0</v>
      </c>
      <c r="AD50" s="52" t="s">
        <v>87</v>
      </c>
      <c r="AE50" s="52"/>
      <c r="AF50" s="55"/>
      <c r="AG50" s="5"/>
    </row>
    <row r="51" spans="1:33" s="1" customFormat="1" x14ac:dyDescent="0.25">
      <c r="A51" s="49">
        <v>5</v>
      </c>
      <c r="B51" s="50" t="s">
        <v>70</v>
      </c>
      <c r="C51" s="50" t="s">
        <v>88</v>
      </c>
      <c r="D51" s="51" t="s">
        <v>71</v>
      </c>
      <c r="E51" s="52" t="s">
        <v>89</v>
      </c>
      <c r="F51" s="52" t="s">
        <v>90</v>
      </c>
      <c r="G51" s="52" t="s">
        <v>61</v>
      </c>
      <c r="H51" s="52" t="s">
        <v>62</v>
      </c>
      <c r="I51" s="52">
        <v>2012</v>
      </c>
      <c r="J51" s="52"/>
      <c r="K51" s="52" t="s">
        <v>63</v>
      </c>
      <c r="L51" s="52" t="s">
        <v>64</v>
      </c>
      <c r="M51" s="52">
        <v>1</v>
      </c>
      <c r="N51" s="53">
        <v>181000000</v>
      </c>
      <c r="O51" s="53">
        <v>181000000</v>
      </c>
      <c r="P51" s="52"/>
      <c r="Q51" s="52"/>
      <c r="R51" s="52"/>
      <c r="S51" s="53">
        <f t="shared" si="10"/>
        <v>181000000</v>
      </c>
      <c r="T51" s="52">
        <v>7</v>
      </c>
      <c r="U51" s="53">
        <v>0</v>
      </c>
      <c r="V51" s="54">
        <v>0.5</v>
      </c>
      <c r="W51" s="52">
        <f t="shared" si="11"/>
        <v>0</v>
      </c>
      <c r="X51" s="54"/>
      <c r="Y51" s="52">
        <f t="shared" si="12"/>
        <v>0</v>
      </c>
      <c r="Z51" s="52">
        <f t="shared" si="13"/>
        <v>0</v>
      </c>
      <c r="AA51" s="52">
        <v>7</v>
      </c>
      <c r="AB51" s="53">
        <v>181000000</v>
      </c>
      <c r="AC51" s="53">
        <f t="shared" si="14"/>
        <v>0</v>
      </c>
      <c r="AD51" s="52" t="s">
        <v>91</v>
      </c>
      <c r="AE51" s="52"/>
      <c r="AG51" s="5"/>
    </row>
    <row r="52" spans="1:33" s="1" customFormat="1" x14ac:dyDescent="0.25">
      <c r="A52" s="49">
        <v>6</v>
      </c>
      <c r="B52" s="50" t="s">
        <v>70</v>
      </c>
      <c r="C52" s="50" t="s">
        <v>92</v>
      </c>
      <c r="D52" s="51" t="s">
        <v>71</v>
      </c>
      <c r="E52" s="52" t="s">
        <v>93</v>
      </c>
      <c r="F52" s="52" t="s">
        <v>94</v>
      </c>
      <c r="G52" s="52" t="s">
        <v>61</v>
      </c>
      <c r="H52" s="52" t="s">
        <v>62</v>
      </c>
      <c r="I52" s="52">
        <v>2014</v>
      </c>
      <c r="J52" s="52"/>
      <c r="K52" s="52" t="s">
        <v>63</v>
      </c>
      <c r="L52" s="52" t="s">
        <v>64</v>
      </c>
      <c r="M52" s="52">
        <v>1</v>
      </c>
      <c r="N52" s="53">
        <v>183670000</v>
      </c>
      <c r="O52" s="53">
        <v>183670000</v>
      </c>
      <c r="P52" s="52"/>
      <c r="Q52" s="52"/>
      <c r="R52" s="52"/>
      <c r="S52" s="53">
        <f t="shared" si="10"/>
        <v>183670000</v>
      </c>
      <c r="T52" s="52">
        <v>7</v>
      </c>
      <c r="U52" s="53">
        <f t="shared" ref="U52:U78" si="15">SUM(S52/T52)</f>
        <v>26238571.428571429</v>
      </c>
      <c r="V52" s="54">
        <v>0.5</v>
      </c>
      <c r="W52" s="53"/>
      <c r="X52" s="54"/>
      <c r="Y52" s="53">
        <f>SUM(U52*X52)</f>
        <v>0</v>
      </c>
      <c r="Z52" s="53"/>
      <c r="AA52" s="52">
        <v>7</v>
      </c>
      <c r="AB52" s="53">
        <f>SUM(U52*AA52)</f>
        <v>183670000</v>
      </c>
      <c r="AC52" s="53">
        <f t="shared" si="14"/>
        <v>0</v>
      </c>
      <c r="AD52" s="52" t="s">
        <v>95</v>
      </c>
      <c r="AE52" s="52"/>
      <c r="AG52" s="5"/>
    </row>
    <row r="53" spans="1:33" s="1" customFormat="1" x14ac:dyDescent="0.25">
      <c r="A53" s="49">
        <v>7</v>
      </c>
      <c r="B53" s="50" t="s">
        <v>70</v>
      </c>
      <c r="C53" s="50" t="s">
        <v>96</v>
      </c>
      <c r="D53" s="51" t="s">
        <v>71</v>
      </c>
      <c r="E53" s="52" t="s">
        <v>97</v>
      </c>
      <c r="F53" s="52" t="s">
        <v>98</v>
      </c>
      <c r="G53" s="52" t="s">
        <v>61</v>
      </c>
      <c r="H53" s="52" t="s">
        <v>62</v>
      </c>
      <c r="I53" s="52">
        <v>2014</v>
      </c>
      <c r="J53" s="52"/>
      <c r="K53" s="52" t="s">
        <v>63</v>
      </c>
      <c r="L53" s="52" t="s">
        <v>64</v>
      </c>
      <c r="M53" s="52">
        <v>1</v>
      </c>
      <c r="N53" s="53">
        <v>183670000</v>
      </c>
      <c r="O53" s="53">
        <v>183670000</v>
      </c>
      <c r="P53" s="52"/>
      <c r="Q53" s="52"/>
      <c r="R53" s="52"/>
      <c r="S53" s="53">
        <f t="shared" si="10"/>
        <v>183670000</v>
      </c>
      <c r="T53" s="52">
        <v>7</v>
      </c>
      <c r="U53" s="53">
        <f t="shared" si="15"/>
        <v>26238571.428571429</v>
      </c>
      <c r="V53" s="54">
        <v>0.5</v>
      </c>
      <c r="W53" s="53"/>
      <c r="X53" s="54"/>
      <c r="Y53" s="53">
        <f t="shared" ref="Y53:Y54" si="16">SUM(U53*X53)</f>
        <v>0</v>
      </c>
      <c r="Z53" s="53"/>
      <c r="AA53" s="52">
        <v>7</v>
      </c>
      <c r="AB53" s="53">
        <f>SUM(U53*AA53)</f>
        <v>183670000</v>
      </c>
      <c r="AC53" s="53">
        <f t="shared" si="14"/>
        <v>0</v>
      </c>
      <c r="AD53" s="52" t="s">
        <v>99</v>
      </c>
      <c r="AE53" s="52"/>
      <c r="AG53" s="5"/>
    </row>
    <row r="54" spans="1:33" s="1" customFormat="1" x14ac:dyDescent="0.25">
      <c r="A54" s="49">
        <v>8</v>
      </c>
      <c r="B54" s="50" t="s">
        <v>70</v>
      </c>
      <c r="C54" s="50" t="s">
        <v>100</v>
      </c>
      <c r="D54" s="51" t="s">
        <v>71</v>
      </c>
      <c r="E54" s="52" t="s">
        <v>101</v>
      </c>
      <c r="F54" s="52" t="s">
        <v>102</v>
      </c>
      <c r="G54" s="52" t="s">
        <v>61</v>
      </c>
      <c r="H54" s="52" t="s">
        <v>62</v>
      </c>
      <c r="I54" s="52">
        <v>2014</v>
      </c>
      <c r="J54" s="52"/>
      <c r="K54" s="52" t="s">
        <v>63</v>
      </c>
      <c r="L54" s="52" t="s">
        <v>64</v>
      </c>
      <c r="M54" s="52">
        <v>1</v>
      </c>
      <c r="N54" s="53">
        <v>201740000</v>
      </c>
      <c r="O54" s="53">
        <v>201740000</v>
      </c>
      <c r="P54" s="52"/>
      <c r="Q54" s="52"/>
      <c r="R54" s="52"/>
      <c r="S54" s="53">
        <f t="shared" si="10"/>
        <v>201740000</v>
      </c>
      <c r="T54" s="52">
        <v>7</v>
      </c>
      <c r="U54" s="53">
        <f t="shared" si="15"/>
        <v>28820000</v>
      </c>
      <c r="V54" s="54">
        <v>0.5</v>
      </c>
      <c r="W54" s="53"/>
      <c r="X54" s="54"/>
      <c r="Y54" s="53">
        <f t="shared" si="16"/>
        <v>0</v>
      </c>
      <c r="Z54" s="53"/>
      <c r="AA54" s="52">
        <v>7</v>
      </c>
      <c r="AB54" s="53">
        <f>SUM(U54*AA54)</f>
        <v>201740000</v>
      </c>
      <c r="AC54" s="53">
        <f t="shared" si="14"/>
        <v>0</v>
      </c>
      <c r="AD54" s="52" t="s">
        <v>103</v>
      </c>
      <c r="AE54" s="52"/>
      <c r="AG54" s="5"/>
    </row>
    <row r="55" spans="1:33" s="1" customFormat="1" x14ac:dyDescent="0.25">
      <c r="A55" s="49">
        <v>10</v>
      </c>
      <c r="B55" s="50" t="s">
        <v>70</v>
      </c>
      <c r="C55" s="50" t="s">
        <v>108</v>
      </c>
      <c r="D55" s="51" t="s">
        <v>71</v>
      </c>
      <c r="E55" s="52" t="s">
        <v>80</v>
      </c>
      <c r="F55" s="52" t="s">
        <v>109</v>
      </c>
      <c r="G55" s="52" t="s">
        <v>61</v>
      </c>
      <c r="H55" s="52" t="s">
        <v>62</v>
      </c>
      <c r="I55" s="52">
        <v>2019</v>
      </c>
      <c r="J55" s="52"/>
      <c r="K55" s="52" t="s">
        <v>63</v>
      </c>
      <c r="L55" s="52" t="s">
        <v>64</v>
      </c>
      <c r="M55" s="52">
        <v>1</v>
      </c>
      <c r="N55" s="53">
        <v>310000000</v>
      </c>
      <c r="O55" s="53">
        <v>310000000</v>
      </c>
      <c r="P55" s="52"/>
      <c r="Q55" s="52"/>
      <c r="R55" s="52"/>
      <c r="S55" s="53">
        <f t="shared" si="10"/>
        <v>310000000</v>
      </c>
      <c r="T55" s="52">
        <v>7</v>
      </c>
      <c r="U55" s="53">
        <f>SUM(S55/T55)</f>
        <v>44285714.285714284</v>
      </c>
      <c r="V55" s="54">
        <v>0.5</v>
      </c>
      <c r="W55" s="53">
        <f>SUM(U55*V55)</f>
        <v>22142857.142857142</v>
      </c>
      <c r="X55" s="54">
        <v>0.5</v>
      </c>
      <c r="Y55" s="53">
        <f>U55*X55</f>
        <v>22142857.142857142</v>
      </c>
      <c r="Z55" s="53">
        <f>SUM(W55+Y55)</f>
        <v>44285714.285714284</v>
      </c>
      <c r="AA55" s="57">
        <f>2023-I55+V55+X55-11/12</f>
        <v>4.083333333333333</v>
      </c>
      <c r="AB55" s="53">
        <f>SUM(U55*AA55)</f>
        <v>180833333.33333331</v>
      </c>
      <c r="AC55" s="53">
        <f t="shared" si="14"/>
        <v>129166666.66666669</v>
      </c>
      <c r="AD55" s="52" t="s">
        <v>110</v>
      </c>
      <c r="AE55" s="52" t="s">
        <v>111</v>
      </c>
      <c r="AG55" s="5"/>
    </row>
    <row r="56" spans="1:33" s="154" customFormat="1" x14ac:dyDescent="0.25">
      <c r="A56" s="25"/>
      <c r="B56" s="26" t="s">
        <v>1627</v>
      </c>
      <c r="C56" s="26"/>
      <c r="D56" s="26" t="s">
        <v>1628</v>
      </c>
      <c r="E56" s="28"/>
      <c r="F56" s="28"/>
      <c r="G56" s="28"/>
      <c r="H56" s="28"/>
      <c r="I56" s="28"/>
      <c r="J56" s="28"/>
      <c r="K56" s="28"/>
      <c r="L56" s="28"/>
      <c r="M56" s="28">
        <f>SUM(M57)</f>
        <v>1</v>
      </c>
      <c r="N56" s="40"/>
      <c r="O56" s="40">
        <f>SUM(O57)</f>
        <v>195300000</v>
      </c>
      <c r="P56" s="28"/>
      <c r="Q56" s="28"/>
      <c r="R56" s="28"/>
      <c r="S56" s="40">
        <f>SUM(S57)</f>
        <v>195300000</v>
      </c>
      <c r="T56" s="28"/>
      <c r="U56" s="40">
        <f>SUM(U57)</f>
        <v>27900000</v>
      </c>
      <c r="V56" s="48"/>
      <c r="W56" s="40">
        <f>SUM(W57)</f>
        <v>0</v>
      </c>
      <c r="X56" s="48"/>
      <c r="Y56" s="40"/>
      <c r="Z56" s="40">
        <f>SUM(Z57)</f>
        <v>0</v>
      </c>
      <c r="AA56" s="153"/>
      <c r="AB56" s="40">
        <f>SUM(AB57)</f>
        <v>195300000</v>
      </c>
      <c r="AC56" s="40">
        <f>SUM(AC57)</f>
        <v>0</v>
      </c>
      <c r="AD56" s="28"/>
      <c r="AE56" s="28"/>
      <c r="AG56" s="155"/>
    </row>
    <row r="57" spans="1:33" s="1" customFormat="1" x14ac:dyDescent="0.25">
      <c r="A57" s="49">
        <v>9</v>
      </c>
      <c r="B57" s="50" t="s">
        <v>104</v>
      </c>
      <c r="C57" s="50" t="s">
        <v>105</v>
      </c>
      <c r="D57" s="51" t="s">
        <v>106</v>
      </c>
      <c r="E57" s="52" t="s">
        <v>107</v>
      </c>
      <c r="F57" s="52"/>
      <c r="G57" s="52" t="s">
        <v>61</v>
      </c>
      <c r="H57" s="52" t="s">
        <v>62</v>
      </c>
      <c r="I57" s="52">
        <v>2015</v>
      </c>
      <c r="J57" s="52"/>
      <c r="K57" s="52" t="s">
        <v>63</v>
      </c>
      <c r="L57" s="52" t="s">
        <v>64</v>
      </c>
      <c r="M57" s="52">
        <v>1</v>
      </c>
      <c r="N57" s="53">
        <v>195300000</v>
      </c>
      <c r="O57" s="53">
        <v>195300000</v>
      </c>
      <c r="P57" s="52"/>
      <c r="Q57" s="52"/>
      <c r="R57" s="52"/>
      <c r="S57" s="53">
        <f>SUM(O57-R57)</f>
        <v>195300000</v>
      </c>
      <c r="T57" s="52">
        <v>7</v>
      </c>
      <c r="U57" s="53">
        <f t="shared" si="15"/>
        <v>27900000</v>
      </c>
      <c r="V57" s="54"/>
      <c r="W57" s="53">
        <f t="shared" si="11"/>
        <v>0</v>
      </c>
      <c r="X57" s="54"/>
      <c r="Y57" s="53">
        <f>U57*X57</f>
        <v>0</v>
      </c>
      <c r="Z57" s="53">
        <f t="shared" si="13"/>
        <v>0</v>
      </c>
      <c r="AA57" s="169">
        <v>7</v>
      </c>
      <c r="AB57" s="53">
        <f>SUM(U57*AA57)</f>
        <v>195300000</v>
      </c>
      <c r="AC57" s="53">
        <f>SUM(O57-AB57)</f>
        <v>0</v>
      </c>
      <c r="AD57" s="52" t="s">
        <v>82</v>
      </c>
      <c r="AE57" s="52"/>
      <c r="AG57" s="5"/>
    </row>
    <row r="58" spans="1:33" s="154" customFormat="1" ht="25.5" x14ac:dyDescent="0.25">
      <c r="A58" s="25"/>
      <c r="B58" s="26" t="s">
        <v>1629</v>
      </c>
      <c r="C58" s="26"/>
      <c r="D58" s="27" t="s">
        <v>1630</v>
      </c>
      <c r="E58" s="28"/>
      <c r="F58" s="28"/>
      <c r="G58" s="28"/>
      <c r="H58" s="28"/>
      <c r="I58" s="28"/>
      <c r="J58" s="28"/>
      <c r="K58" s="28"/>
      <c r="L58" s="28"/>
      <c r="M58" s="28">
        <f>SUM(M59:M78)</f>
        <v>20</v>
      </c>
      <c r="N58" s="40"/>
      <c r="O58" s="40">
        <f>SUM(O59:O78)</f>
        <v>323090000</v>
      </c>
      <c r="P58" s="156"/>
      <c r="Q58" s="28"/>
      <c r="R58" s="28"/>
      <c r="S58" s="40">
        <f>SUM(S59:S78)</f>
        <v>323090000</v>
      </c>
      <c r="T58" s="28"/>
      <c r="U58" s="40">
        <f>SUM(U59:U78)</f>
        <v>37914285.714285702</v>
      </c>
      <c r="V58" s="48"/>
      <c r="W58" s="40">
        <f>SUM(W59:W78)</f>
        <v>7242857.1428571427</v>
      </c>
      <c r="X58" s="48"/>
      <c r="Y58" s="40">
        <f>SUM(Y59:Y78)</f>
        <v>7242857.1428571427</v>
      </c>
      <c r="Z58" s="40">
        <f>SUM(Z59:Z78)</f>
        <v>14485714.285714285</v>
      </c>
      <c r="AA58" s="153"/>
      <c r="AB58" s="40">
        <f>SUM(AB59:AB78)</f>
        <v>303775714.28571427</v>
      </c>
      <c r="AC58" s="40">
        <f>SUM(AC59:AC78)</f>
        <v>19314285.714285716</v>
      </c>
      <c r="AD58" s="28"/>
      <c r="AE58" s="28"/>
      <c r="AG58" s="155"/>
    </row>
    <row r="59" spans="1:33" s="1" customFormat="1" ht="13.5" x14ac:dyDescent="0.25">
      <c r="A59" s="49">
        <v>11</v>
      </c>
      <c r="B59" s="50" t="s">
        <v>112</v>
      </c>
      <c r="C59" s="50" t="s">
        <v>58</v>
      </c>
      <c r="D59" s="51" t="s">
        <v>113</v>
      </c>
      <c r="E59" s="52" t="s">
        <v>114</v>
      </c>
      <c r="F59" s="52" t="s">
        <v>115</v>
      </c>
      <c r="G59" s="52" t="s">
        <v>61</v>
      </c>
      <c r="H59" s="52" t="s">
        <v>62</v>
      </c>
      <c r="I59" s="52">
        <v>2009</v>
      </c>
      <c r="J59" s="52"/>
      <c r="K59" s="52" t="s">
        <v>63</v>
      </c>
      <c r="L59" s="52" t="s">
        <v>64</v>
      </c>
      <c r="M59" s="52">
        <v>1</v>
      </c>
      <c r="N59" s="53">
        <v>14150000</v>
      </c>
      <c r="O59" s="53">
        <v>14150000</v>
      </c>
      <c r="P59" s="58"/>
      <c r="Q59" s="59"/>
      <c r="R59" s="52"/>
      <c r="S59" s="53">
        <f t="shared" ref="S59:S78" si="17">SUM(O59-R59)</f>
        <v>14150000</v>
      </c>
      <c r="T59" s="52">
        <v>7</v>
      </c>
      <c r="U59" s="53"/>
      <c r="V59" s="54"/>
      <c r="W59" s="53">
        <f t="shared" si="11"/>
        <v>0</v>
      </c>
      <c r="X59" s="54"/>
      <c r="Y59" s="53"/>
      <c r="Z59" s="53">
        <f t="shared" si="13"/>
        <v>0</v>
      </c>
      <c r="AA59" s="52">
        <v>7</v>
      </c>
      <c r="AB59" s="53">
        <v>14150000</v>
      </c>
      <c r="AC59" s="53">
        <f t="shared" ref="AC59:AC78" si="18">SUM(O59-AB59)</f>
        <v>0</v>
      </c>
      <c r="AD59" s="52" t="s">
        <v>116</v>
      </c>
      <c r="AE59" s="52"/>
      <c r="AG59" s="5"/>
    </row>
    <row r="60" spans="1:33" s="1" customFormat="1" ht="13.5" x14ac:dyDescent="0.25">
      <c r="A60" s="49">
        <v>12</v>
      </c>
      <c r="B60" s="50" t="s">
        <v>112</v>
      </c>
      <c r="C60" s="50" t="s">
        <v>75</v>
      </c>
      <c r="D60" s="51" t="s">
        <v>113</v>
      </c>
      <c r="E60" s="52" t="s">
        <v>114</v>
      </c>
      <c r="F60" s="52" t="s">
        <v>117</v>
      </c>
      <c r="G60" s="52" t="s">
        <v>61</v>
      </c>
      <c r="H60" s="52" t="s">
        <v>62</v>
      </c>
      <c r="I60" s="52">
        <v>2009</v>
      </c>
      <c r="J60" s="52"/>
      <c r="K60" s="52" t="s">
        <v>63</v>
      </c>
      <c r="L60" s="52" t="s">
        <v>64</v>
      </c>
      <c r="M60" s="52">
        <v>1</v>
      </c>
      <c r="N60" s="53">
        <v>14150000</v>
      </c>
      <c r="O60" s="53">
        <v>14150000</v>
      </c>
      <c r="P60" s="60"/>
      <c r="Q60" s="59"/>
      <c r="R60" s="52"/>
      <c r="S60" s="53">
        <f t="shared" si="17"/>
        <v>14150000</v>
      </c>
      <c r="T60" s="52">
        <v>7</v>
      </c>
      <c r="U60" s="53"/>
      <c r="V60" s="54"/>
      <c r="W60" s="53">
        <f t="shared" si="11"/>
        <v>0</v>
      </c>
      <c r="X60" s="54"/>
      <c r="Y60" s="53">
        <f t="shared" si="12"/>
        <v>0</v>
      </c>
      <c r="Z60" s="53">
        <f t="shared" si="13"/>
        <v>0</v>
      </c>
      <c r="AA60" s="52">
        <v>7</v>
      </c>
      <c r="AB60" s="53">
        <v>14150000</v>
      </c>
      <c r="AC60" s="53">
        <f t="shared" si="18"/>
        <v>0</v>
      </c>
      <c r="AD60" s="52" t="s">
        <v>116</v>
      </c>
      <c r="AE60" s="52"/>
      <c r="AG60" s="5"/>
    </row>
    <row r="61" spans="1:33" s="1" customFormat="1" ht="15" customHeight="1" x14ac:dyDescent="0.25">
      <c r="A61" s="49">
        <v>13</v>
      </c>
      <c r="B61" s="50" t="s">
        <v>112</v>
      </c>
      <c r="C61" s="50" t="s">
        <v>79</v>
      </c>
      <c r="D61" s="51" t="s">
        <v>113</v>
      </c>
      <c r="E61" s="52" t="s">
        <v>118</v>
      </c>
      <c r="F61" s="52" t="s">
        <v>119</v>
      </c>
      <c r="G61" s="52" t="s">
        <v>61</v>
      </c>
      <c r="H61" s="52" t="s">
        <v>62</v>
      </c>
      <c r="I61" s="52">
        <v>2011</v>
      </c>
      <c r="J61" s="52"/>
      <c r="K61" s="52" t="s">
        <v>63</v>
      </c>
      <c r="L61" s="52" t="s">
        <v>64</v>
      </c>
      <c r="M61" s="52">
        <v>1</v>
      </c>
      <c r="N61" s="53">
        <v>14695000</v>
      </c>
      <c r="O61" s="53">
        <v>14695000</v>
      </c>
      <c r="P61" s="60"/>
      <c r="Q61" s="59"/>
      <c r="R61" s="52"/>
      <c r="S61" s="53">
        <f t="shared" si="17"/>
        <v>14695000</v>
      </c>
      <c r="T61" s="52">
        <v>7</v>
      </c>
      <c r="U61" s="53"/>
      <c r="V61" s="54"/>
      <c r="W61" s="53">
        <f t="shared" si="11"/>
        <v>0</v>
      </c>
      <c r="X61" s="54"/>
      <c r="Y61" s="53">
        <f t="shared" si="12"/>
        <v>0</v>
      </c>
      <c r="Z61" s="53">
        <f t="shared" si="13"/>
        <v>0</v>
      </c>
      <c r="AA61" s="52">
        <v>7</v>
      </c>
      <c r="AB61" s="53">
        <v>14695000</v>
      </c>
      <c r="AC61" s="53">
        <f t="shared" si="18"/>
        <v>0</v>
      </c>
      <c r="AD61" s="61" t="s">
        <v>120</v>
      </c>
      <c r="AE61" s="62"/>
      <c r="AG61" s="5"/>
    </row>
    <row r="62" spans="1:33" s="1" customFormat="1" ht="13.5" x14ac:dyDescent="0.25">
      <c r="A62" s="49">
        <v>14</v>
      </c>
      <c r="B62" s="50" t="s">
        <v>112</v>
      </c>
      <c r="C62" s="50" t="s">
        <v>84</v>
      </c>
      <c r="D62" s="51" t="s">
        <v>113</v>
      </c>
      <c r="E62" s="52" t="s">
        <v>118</v>
      </c>
      <c r="F62" s="52" t="s">
        <v>121</v>
      </c>
      <c r="G62" s="52" t="s">
        <v>61</v>
      </c>
      <c r="H62" s="52" t="s">
        <v>62</v>
      </c>
      <c r="I62" s="52">
        <v>2011</v>
      </c>
      <c r="J62" s="52"/>
      <c r="K62" s="52" t="s">
        <v>63</v>
      </c>
      <c r="L62" s="52" t="s">
        <v>64</v>
      </c>
      <c r="M62" s="52">
        <v>1</v>
      </c>
      <c r="N62" s="53">
        <v>14695000</v>
      </c>
      <c r="O62" s="53">
        <v>14695000</v>
      </c>
      <c r="P62" s="60"/>
      <c r="Q62" s="59"/>
      <c r="R62" s="52"/>
      <c r="S62" s="53">
        <f t="shared" si="17"/>
        <v>14695000</v>
      </c>
      <c r="T62" s="52">
        <v>7</v>
      </c>
      <c r="U62" s="53"/>
      <c r="V62" s="54"/>
      <c r="W62" s="53">
        <f t="shared" si="11"/>
        <v>0</v>
      </c>
      <c r="X62" s="54"/>
      <c r="Y62" s="53">
        <f t="shared" si="12"/>
        <v>0</v>
      </c>
      <c r="Z62" s="53">
        <f t="shared" si="13"/>
        <v>0</v>
      </c>
      <c r="AA62" s="52">
        <v>7</v>
      </c>
      <c r="AB62" s="53">
        <v>14695000</v>
      </c>
      <c r="AC62" s="53">
        <f t="shared" si="18"/>
        <v>0</v>
      </c>
      <c r="AD62" s="52" t="s">
        <v>116</v>
      </c>
      <c r="AE62" s="52"/>
      <c r="AG62" s="5"/>
    </row>
    <row r="63" spans="1:33" s="1" customFormat="1" ht="15" customHeight="1" x14ac:dyDescent="0.25">
      <c r="A63" s="49">
        <v>15</v>
      </c>
      <c r="B63" s="50" t="s">
        <v>112</v>
      </c>
      <c r="C63" s="50" t="s">
        <v>88</v>
      </c>
      <c r="D63" s="51" t="s">
        <v>113</v>
      </c>
      <c r="E63" s="52" t="s">
        <v>122</v>
      </c>
      <c r="F63" s="52" t="s">
        <v>123</v>
      </c>
      <c r="G63" s="52" t="s">
        <v>61</v>
      </c>
      <c r="H63" s="52" t="s">
        <v>62</v>
      </c>
      <c r="I63" s="52">
        <v>2014</v>
      </c>
      <c r="J63" s="52"/>
      <c r="K63" s="52" t="s">
        <v>63</v>
      </c>
      <c r="L63" s="52" t="s">
        <v>64</v>
      </c>
      <c r="M63" s="52">
        <v>1</v>
      </c>
      <c r="N63" s="53">
        <v>16400000</v>
      </c>
      <c r="O63" s="53">
        <v>16400000</v>
      </c>
      <c r="P63" s="60"/>
      <c r="Q63" s="59"/>
      <c r="R63" s="52"/>
      <c r="S63" s="53">
        <f t="shared" si="17"/>
        <v>16400000</v>
      </c>
      <c r="T63" s="52">
        <v>7</v>
      </c>
      <c r="U63" s="53">
        <f t="shared" si="15"/>
        <v>2342857.1428571427</v>
      </c>
      <c r="V63" s="54">
        <v>0.5</v>
      </c>
      <c r="W63" s="53"/>
      <c r="X63" s="54"/>
      <c r="Y63" s="53">
        <f t="shared" si="12"/>
        <v>0</v>
      </c>
      <c r="Z63" s="53"/>
      <c r="AA63" s="52">
        <v>7</v>
      </c>
      <c r="AB63" s="53">
        <f t="shared" ref="AB63:AB78" si="19">SUM(U63*AA63)</f>
        <v>16400000</v>
      </c>
      <c r="AC63" s="53">
        <f t="shared" si="18"/>
        <v>0</v>
      </c>
      <c r="AD63" s="418" t="s">
        <v>124</v>
      </c>
      <c r="AE63" s="419"/>
      <c r="AG63" s="5"/>
    </row>
    <row r="64" spans="1:33" s="1" customFormat="1" ht="15" customHeight="1" x14ac:dyDescent="0.25">
      <c r="A64" s="49">
        <v>16</v>
      </c>
      <c r="B64" s="50" t="s">
        <v>112</v>
      </c>
      <c r="C64" s="50" t="s">
        <v>92</v>
      </c>
      <c r="D64" s="51" t="s">
        <v>113</v>
      </c>
      <c r="E64" s="52" t="s">
        <v>122</v>
      </c>
      <c r="F64" s="52" t="s">
        <v>125</v>
      </c>
      <c r="G64" s="52" t="s">
        <v>61</v>
      </c>
      <c r="H64" s="52" t="s">
        <v>62</v>
      </c>
      <c r="I64" s="52">
        <v>2014</v>
      </c>
      <c r="J64" s="52"/>
      <c r="K64" s="52" t="s">
        <v>63</v>
      </c>
      <c r="L64" s="52" t="s">
        <v>64</v>
      </c>
      <c r="M64" s="52">
        <v>1</v>
      </c>
      <c r="N64" s="53">
        <v>16400000</v>
      </c>
      <c r="O64" s="53">
        <v>16400000</v>
      </c>
      <c r="P64" s="60"/>
      <c r="Q64" s="59"/>
      <c r="R64" s="52"/>
      <c r="S64" s="53">
        <f t="shared" si="17"/>
        <v>16400000</v>
      </c>
      <c r="T64" s="52">
        <v>7</v>
      </c>
      <c r="U64" s="53">
        <f t="shared" si="15"/>
        <v>2342857.1428571427</v>
      </c>
      <c r="V64" s="54">
        <v>0.5</v>
      </c>
      <c r="W64" s="53"/>
      <c r="X64" s="54"/>
      <c r="Y64" s="53">
        <f t="shared" si="12"/>
        <v>0</v>
      </c>
      <c r="Z64" s="53"/>
      <c r="AA64" s="52">
        <v>7</v>
      </c>
      <c r="AB64" s="53">
        <f t="shared" si="19"/>
        <v>16400000</v>
      </c>
      <c r="AC64" s="53">
        <f t="shared" si="18"/>
        <v>0</v>
      </c>
      <c r="AD64" s="420" t="s">
        <v>126</v>
      </c>
      <c r="AE64" s="421"/>
      <c r="AG64" s="5"/>
    </row>
    <row r="65" spans="1:33" s="1" customFormat="1" ht="15" customHeight="1" x14ac:dyDescent="0.25">
      <c r="A65" s="49">
        <v>17</v>
      </c>
      <c r="B65" s="50" t="s">
        <v>112</v>
      </c>
      <c r="C65" s="50" t="s">
        <v>96</v>
      </c>
      <c r="D65" s="51" t="s">
        <v>113</v>
      </c>
      <c r="E65" s="52" t="s">
        <v>122</v>
      </c>
      <c r="F65" s="52" t="s">
        <v>127</v>
      </c>
      <c r="G65" s="52" t="s">
        <v>61</v>
      </c>
      <c r="H65" s="52" t="s">
        <v>62</v>
      </c>
      <c r="I65" s="52">
        <v>2014</v>
      </c>
      <c r="J65" s="52"/>
      <c r="K65" s="52" t="s">
        <v>63</v>
      </c>
      <c r="L65" s="52" t="s">
        <v>64</v>
      </c>
      <c r="M65" s="52">
        <v>1</v>
      </c>
      <c r="N65" s="53">
        <v>16400000</v>
      </c>
      <c r="O65" s="53">
        <v>16400000</v>
      </c>
      <c r="P65" s="60"/>
      <c r="Q65" s="59"/>
      <c r="R65" s="52"/>
      <c r="S65" s="53">
        <f t="shared" si="17"/>
        <v>16400000</v>
      </c>
      <c r="T65" s="52">
        <v>7</v>
      </c>
      <c r="U65" s="53">
        <f t="shared" si="15"/>
        <v>2342857.1428571427</v>
      </c>
      <c r="V65" s="54">
        <v>0.5</v>
      </c>
      <c r="W65" s="53"/>
      <c r="X65" s="54"/>
      <c r="Y65" s="53">
        <f t="shared" si="12"/>
        <v>0</v>
      </c>
      <c r="Z65" s="53"/>
      <c r="AA65" s="52">
        <v>7</v>
      </c>
      <c r="AB65" s="53">
        <f t="shared" si="19"/>
        <v>16400000</v>
      </c>
      <c r="AC65" s="53">
        <f t="shared" si="18"/>
        <v>0</v>
      </c>
      <c r="AD65" s="420" t="s">
        <v>128</v>
      </c>
      <c r="AE65" s="421"/>
      <c r="AG65" s="5"/>
    </row>
    <row r="66" spans="1:33" s="1" customFormat="1" ht="15" customHeight="1" x14ac:dyDescent="0.25">
      <c r="A66" s="49">
        <v>18</v>
      </c>
      <c r="B66" s="50" t="s">
        <v>112</v>
      </c>
      <c r="C66" s="50" t="s">
        <v>100</v>
      </c>
      <c r="D66" s="51" t="s">
        <v>113</v>
      </c>
      <c r="E66" s="52" t="s">
        <v>122</v>
      </c>
      <c r="F66" s="52" t="s">
        <v>129</v>
      </c>
      <c r="G66" s="52" t="s">
        <v>61</v>
      </c>
      <c r="H66" s="52" t="s">
        <v>62</v>
      </c>
      <c r="I66" s="52">
        <v>2014</v>
      </c>
      <c r="J66" s="52"/>
      <c r="K66" s="52" t="s">
        <v>63</v>
      </c>
      <c r="L66" s="52" t="s">
        <v>64</v>
      </c>
      <c r="M66" s="52">
        <v>1</v>
      </c>
      <c r="N66" s="53">
        <v>16400000</v>
      </c>
      <c r="O66" s="53">
        <v>16400000</v>
      </c>
      <c r="P66" s="60"/>
      <c r="Q66" s="59"/>
      <c r="R66" s="52"/>
      <c r="S66" s="53">
        <f t="shared" si="17"/>
        <v>16400000</v>
      </c>
      <c r="T66" s="52">
        <v>7</v>
      </c>
      <c r="U66" s="53">
        <f t="shared" si="15"/>
        <v>2342857.1428571427</v>
      </c>
      <c r="V66" s="54">
        <v>0.5</v>
      </c>
      <c r="W66" s="53"/>
      <c r="X66" s="54"/>
      <c r="Y66" s="53">
        <f t="shared" si="12"/>
        <v>0</v>
      </c>
      <c r="Z66" s="53"/>
      <c r="AA66" s="52">
        <v>7</v>
      </c>
      <c r="AB66" s="53">
        <f t="shared" si="19"/>
        <v>16400000</v>
      </c>
      <c r="AC66" s="53">
        <f t="shared" si="18"/>
        <v>0</v>
      </c>
      <c r="AD66" s="418" t="s">
        <v>130</v>
      </c>
      <c r="AE66" s="419"/>
      <c r="AG66" s="5"/>
    </row>
    <row r="67" spans="1:33" s="1" customFormat="1" ht="13.5" x14ac:dyDescent="0.25">
      <c r="A67" s="49">
        <v>19</v>
      </c>
      <c r="B67" s="50" t="s">
        <v>112</v>
      </c>
      <c r="C67" s="50" t="s">
        <v>105</v>
      </c>
      <c r="D67" s="51" t="s">
        <v>113</v>
      </c>
      <c r="E67" s="52" t="s">
        <v>122</v>
      </c>
      <c r="F67" s="52" t="s">
        <v>131</v>
      </c>
      <c r="G67" s="52" t="s">
        <v>61</v>
      </c>
      <c r="H67" s="52" t="s">
        <v>62</v>
      </c>
      <c r="I67" s="52">
        <v>2014</v>
      </c>
      <c r="J67" s="52"/>
      <c r="K67" s="52" t="s">
        <v>63</v>
      </c>
      <c r="L67" s="52" t="s">
        <v>64</v>
      </c>
      <c r="M67" s="52">
        <v>1</v>
      </c>
      <c r="N67" s="53">
        <v>16400000</v>
      </c>
      <c r="O67" s="53">
        <v>16400000</v>
      </c>
      <c r="P67" s="60"/>
      <c r="Q67" s="59"/>
      <c r="R67" s="52"/>
      <c r="S67" s="53">
        <f t="shared" si="17"/>
        <v>16400000</v>
      </c>
      <c r="T67" s="52">
        <v>7</v>
      </c>
      <c r="U67" s="53">
        <f t="shared" si="15"/>
        <v>2342857.1428571427</v>
      </c>
      <c r="V67" s="54">
        <v>0.5</v>
      </c>
      <c r="W67" s="53"/>
      <c r="X67" s="54"/>
      <c r="Y67" s="53">
        <f t="shared" si="12"/>
        <v>0</v>
      </c>
      <c r="Z67" s="53"/>
      <c r="AA67" s="52">
        <v>7</v>
      </c>
      <c r="AB67" s="53">
        <f t="shared" si="19"/>
        <v>16400000</v>
      </c>
      <c r="AC67" s="53">
        <f t="shared" si="18"/>
        <v>0</v>
      </c>
      <c r="AD67" s="52" t="s">
        <v>132</v>
      </c>
      <c r="AE67" s="52"/>
      <c r="AG67" s="5"/>
    </row>
    <row r="68" spans="1:33" s="1" customFormat="1" ht="15" customHeight="1" x14ac:dyDescent="0.25">
      <c r="A68" s="49">
        <v>20</v>
      </c>
      <c r="B68" s="50" t="s">
        <v>112</v>
      </c>
      <c r="C68" s="50" t="s">
        <v>108</v>
      </c>
      <c r="D68" s="51" t="s">
        <v>113</v>
      </c>
      <c r="E68" s="52" t="s">
        <v>122</v>
      </c>
      <c r="F68" s="52" t="s">
        <v>133</v>
      </c>
      <c r="G68" s="52" t="s">
        <v>61</v>
      </c>
      <c r="H68" s="52" t="s">
        <v>62</v>
      </c>
      <c r="I68" s="52">
        <v>2014</v>
      </c>
      <c r="J68" s="52"/>
      <c r="K68" s="52" t="s">
        <v>63</v>
      </c>
      <c r="L68" s="52" t="s">
        <v>64</v>
      </c>
      <c r="M68" s="52">
        <v>1</v>
      </c>
      <c r="N68" s="53">
        <v>16400000</v>
      </c>
      <c r="O68" s="53">
        <v>16400000</v>
      </c>
      <c r="P68" s="60"/>
      <c r="Q68" s="59"/>
      <c r="R68" s="52"/>
      <c r="S68" s="53">
        <f t="shared" si="17"/>
        <v>16400000</v>
      </c>
      <c r="T68" s="52">
        <v>7</v>
      </c>
      <c r="U68" s="53">
        <f t="shared" si="15"/>
        <v>2342857.1428571427</v>
      </c>
      <c r="V68" s="54">
        <v>0.5</v>
      </c>
      <c r="W68" s="53"/>
      <c r="X68" s="54"/>
      <c r="Y68" s="53">
        <f t="shared" si="12"/>
        <v>0</v>
      </c>
      <c r="Z68" s="53"/>
      <c r="AA68" s="52">
        <v>7</v>
      </c>
      <c r="AB68" s="53">
        <f t="shared" si="19"/>
        <v>16400000</v>
      </c>
      <c r="AC68" s="53">
        <f t="shared" si="18"/>
        <v>0</v>
      </c>
      <c r="AD68" s="418" t="s">
        <v>134</v>
      </c>
      <c r="AE68" s="419"/>
      <c r="AG68" s="5"/>
    </row>
    <row r="69" spans="1:33" s="1" customFormat="1" ht="13.5" x14ac:dyDescent="0.25">
      <c r="A69" s="49">
        <v>21</v>
      </c>
      <c r="B69" s="50" t="s">
        <v>112</v>
      </c>
      <c r="C69" s="50" t="s">
        <v>135</v>
      </c>
      <c r="D69" s="51" t="s">
        <v>113</v>
      </c>
      <c r="E69" s="52" t="s">
        <v>122</v>
      </c>
      <c r="F69" s="52" t="s">
        <v>136</v>
      </c>
      <c r="G69" s="52" t="s">
        <v>61</v>
      </c>
      <c r="H69" s="52" t="s">
        <v>62</v>
      </c>
      <c r="I69" s="52">
        <v>2014</v>
      </c>
      <c r="J69" s="52"/>
      <c r="K69" s="52" t="s">
        <v>63</v>
      </c>
      <c r="L69" s="52" t="s">
        <v>64</v>
      </c>
      <c r="M69" s="52">
        <v>1</v>
      </c>
      <c r="N69" s="53">
        <v>16400000</v>
      </c>
      <c r="O69" s="53">
        <v>16400000</v>
      </c>
      <c r="P69" s="60"/>
      <c r="Q69" s="59"/>
      <c r="R69" s="52"/>
      <c r="S69" s="53">
        <f t="shared" si="17"/>
        <v>16400000</v>
      </c>
      <c r="T69" s="52">
        <v>7</v>
      </c>
      <c r="U69" s="53">
        <f t="shared" si="15"/>
        <v>2342857.1428571427</v>
      </c>
      <c r="V69" s="54">
        <v>0.5</v>
      </c>
      <c r="W69" s="53"/>
      <c r="X69" s="54"/>
      <c r="Y69" s="53">
        <f t="shared" si="12"/>
        <v>0</v>
      </c>
      <c r="Z69" s="53"/>
      <c r="AA69" s="52">
        <v>7</v>
      </c>
      <c r="AB69" s="53">
        <f t="shared" si="19"/>
        <v>16400000</v>
      </c>
      <c r="AC69" s="53">
        <f t="shared" si="18"/>
        <v>0</v>
      </c>
      <c r="AD69" s="52" t="s">
        <v>137</v>
      </c>
      <c r="AE69" s="52"/>
      <c r="AG69" s="5"/>
    </row>
    <row r="70" spans="1:33" s="1" customFormat="1" ht="15" customHeight="1" x14ac:dyDescent="0.25">
      <c r="A70" s="49">
        <v>22</v>
      </c>
      <c r="B70" s="50" t="s">
        <v>112</v>
      </c>
      <c r="C70" s="50" t="s">
        <v>138</v>
      </c>
      <c r="D70" s="51" t="s">
        <v>113</v>
      </c>
      <c r="E70" s="52" t="s">
        <v>122</v>
      </c>
      <c r="F70" s="52" t="s">
        <v>139</v>
      </c>
      <c r="G70" s="52" t="s">
        <v>61</v>
      </c>
      <c r="H70" s="52" t="s">
        <v>62</v>
      </c>
      <c r="I70" s="52">
        <v>2014</v>
      </c>
      <c r="J70" s="52"/>
      <c r="K70" s="52" t="s">
        <v>63</v>
      </c>
      <c r="L70" s="52" t="s">
        <v>64</v>
      </c>
      <c r="M70" s="52">
        <v>1</v>
      </c>
      <c r="N70" s="53">
        <v>16400000</v>
      </c>
      <c r="O70" s="53">
        <v>16400000</v>
      </c>
      <c r="P70" s="60"/>
      <c r="Q70" s="59"/>
      <c r="R70" s="52"/>
      <c r="S70" s="53">
        <f t="shared" si="17"/>
        <v>16400000</v>
      </c>
      <c r="T70" s="52">
        <v>7</v>
      </c>
      <c r="U70" s="53">
        <f t="shared" si="15"/>
        <v>2342857.1428571427</v>
      </c>
      <c r="V70" s="54">
        <v>0.5</v>
      </c>
      <c r="W70" s="53"/>
      <c r="X70" s="54"/>
      <c r="Y70" s="53">
        <f t="shared" si="12"/>
        <v>0</v>
      </c>
      <c r="Z70" s="53"/>
      <c r="AA70" s="52">
        <v>7</v>
      </c>
      <c r="AB70" s="53">
        <f t="shared" si="19"/>
        <v>16400000</v>
      </c>
      <c r="AC70" s="53">
        <f t="shared" si="18"/>
        <v>0</v>
      </c>
      <c r="AD70" s="418" t="s">
        <v>134</v>
      </c>
      <c r="AE70" s="419"/>
      <c r="AF70" s="63"/>
      <c r="AG70" s="5"/>
    </row>
    <row r="71" spans="1:33" s="1" customFormat="1" ht="15" customHeight="1" x14ac:dyDescent="0.25">
      <c r="A71" s="49">
        <v>23</v>
      </c>
      <c r="B71" s="50" t="s">
        <v>112</v>
      </c>
      <c r="C71" s="50" t="s">
        <v>140</v>
      </c>
      <c r="D71" s="51" t="s">
        <v>113</v>
      </c>
      <c r="E71" s="52" t="s">
        <v>122</v>
      </c>
      <c r="F71" s="52" t="s">
        <v>141</v>
      </c>
      <c r="G71" s="52" t="s">
        <v>61</v>
      </c>
      <c r="H71" s="52" t="s">
        <v>62</v>
      </c>
      <c r="I71" s="52">
        <v>2014</v>
      </c>
      <c r="J71" s="52"/>
      <c r="K71" s="52" t="s">
        <v>63</v>
      </c>
      <c r="L71" s="52" t="s">
        <v>64</v>
      </c>
      <c r="M71" s="52">
        <v>1</v>
      </c>
      <c r="N71" s="53">
        <v>16400000</v>
      </c>
      <c r="O71" s="53">
        <v>16400000</v>
      </c>
      <c r="P71" s="60"/>
      <c r="Q71" s="59"/>
      <c r="R71" s="52"/>
      <c r="S71" s="53">
        <f t="shared" si="17"/>
        <v>16400000</v>
      </c>
      <c r="T71" s="52">
        <v>7</v>
      </c>
      <c r="U71" s="53">
        <f t="shared" si="15"/>
        <v>2342857.1428571427</v>
      </c>
      <c r="V71" s="54">
        <v>0.5</v>
      </c>
      <c r="W71" s="53"/>
      <c r="X71" s="54"/>
      <c r="Y71" s="53">
        <f t="shared" si="12"/>
        <v>0</v>
      </c>
      <c r="Z71" s="53"/>
      <c r="AA71" s="52">
        <v>7</v>
      </c>
      <c r="AB71" s="53">
        <f t="shared" si="19"/>
        <v>16400000</v>
      </c>
      <c r="AC71" s="53">
        <f t="shared" si="18"/>
        <v>0</v>
      </c>
      <c r="AD71" s="420" t="s">
        <v>142</v>
      </c>
      <c r="AE71" s="421"/>
      <c r="AG71" s="5"/>
    </row>
    <row r="72" spans="1:33" s="1" customFormat="1" ht="15" customHeight="1" x14ac:dyDescent="0.25">
      <c r="A72" s="49">
        <v>24</v>
      </c>
      <c r="B72" s="50" t="s">
        <v>112</v>
      </c>
      <c r="C72" s="50" t="s">
        <v>143</v>
      </c>
      <c r="D72" s="51" t="s">
        <v>113</v>
      </c>
      <c r="E72" s="52" t="s">
        <v>122</v>
      </c>
      <c r="F72" s="52" t="s">
        <v>144</v>
      </c>
      <c r="G72" s="52" t="s">
        <v>61</v>
      </c>
      <c r="H72" s="52" t="s">
        <v>62</v>
      </c>
      <c r="I72" s="52">
        <v>2014</v>
      </c>
      <c r="J72" s="52"/>
      <c r="K72" s="52" t="s">
        <v>63</v>
      </c>
      <c r="L72" s="52" t="s">
        <v>64</v>
      </c>
      <c r="M72" s="52">
        <v>1</v>
      </c>
      <c r="N72" s="53">
        <v>16400000</v>
      </c>
      <c r="O72" s="53">
        <v>16400000</v>
      </c>
      <c r="P72" s="60"/>
      <c r="Q72" s="59"/>
      <c r="R72" s="52"/>
      <c r="S72" s="53">
        <f t="shared" si="17"/>
        <v>16400000</v>
      </c>
      <c r="T72" s="52">
        <v>7</v>
      </c>
      <c r="U72" s="53">
        <f t="shared" si="15"/>
        <v>2342857.1428571427</v>
      </c>
      <c r="V72" s="54">
        <v>0.5</v>
      </c>
      <c r="W72" s="53"/>
      <c r="X72" s="54"/>
      <c r="Y72" s="53"/>
      <c r="Z72" s="53"/>
      <c r="AA72" s="52">
        <v>7</v>
      </c>
      <c r="AB72" s="53">
        <f t="shared" si="19"/>
        <v>16400000</v>
      </c>
      <c r="AC72" s="53">
        <f t="shared" si="18"/>
        <v>0</v>
      </c>
      <c r="AD72" s="418" t="s">
        <v>145</v>
      </c>
      <c r="AE72" s="419"/>
      <c r="AG72" s="5"/>
    </row>
    <row r="73" spans="1:33" s="1" customFormat="1" ht="15" customHeight="1" x14ac:dyDescent="0.25">
      <c r="A73" s="49">
        <v>25</v>
      </c>
      <c r="B73" s="50" t="s">
        <v>112</v>
      </c>
      <c r="C73" s="50" t="s">
        <v>146</v>
      </c>
      <c r="D73" s="51" t="s">
        <v>113</v>
      </c>
      <c r="E73" s="52" t="s">
        <v>147</v>
      </c>
      <c r="F73" s="52" t="s">
        <v>148</v>
      </c>
      <c r="G73" s="52" t="s">
        <v>61</v>
      </c>
      <c r="H73" s="52" t="s">
        <v>62</v>
      </c>
      <c r="I73" s="52">
        <v>2018</v>
      </c>
      <c r="J73" s="52"/>
      <c r="K73" s="52" t="s">
        <v>63</v>
      </c>
      <c r="L73" s="52" t="s">
        <v>64</v>
      </c>
      <c r="M73" s="52">
        <v>1</v>
      </c>
      <c r="N73" s="53">
        <v>16900000</v>
      </c>
      <c r="O73" s="53">
        <v>16900000</v>
      </c>
      <c r="P73" s="60"/>
      <c r="Q73" s="59"/>
      <c r="R73" s="52"/>
      <c r="S73" s="53">
        <f t="shared" si="17"/>
        <v>16900000</v>
      </c>
      <c r="T73" s="52">
        <v>7</v>
      </c>
      <c r="U73" s="53">
        <f t="shared" si="15"/>
        <v>2414285.7142857141</v>
      </c>
      <c r="V73" s="54">
        <v>0.5</v>
      </c>
      <c r="W73" s="53">
        <f>SUM(U73*V73)</f>
        <v>1207142.857142857</v>
      </c>
      <c r="X73" s="54">
        <v>0.5</v>
      </c>
      <c r="Y73" s="53">
        <f t="shared" si="12"/>
        <v>1207142.857142857</v>
      </c>
      <c r="Z73" s="53">
        <f t="shared" si="13"/>
        <v>2414285.7142857141</v>
      </c>
      <c r="AA73" s="57">
        <f>2023-I73+V73+X73-4/12</f>
        <v>5.666666666666667</v>
      </c>
      <c r="AB73" s="53">
        <f t="shared" si="19"/>
        <v>13680952.380952381</v>
      </c>
      <c r="AC73" s="53">
        <f t="shared" si="18"/>
        <v>3219047.6190476194</v>
      </c>
      <c r="AD73" s="418" t="s">
        <v>149</v>
      </c>
      <c r="AE73" s="419"/>
      <c r="AG73" s="157"/>
    </row>
    <row r="74" spans="1:33" s="1" customFormat="1" ht="15" customHeight="1" x14ac:dyDescent="0.25">
      <c r="A74" s="49">
        <v>26</v>
      </c>
      <c r="B74" s="50" t="s">
        <v>112</v>
      </c>
      <c r="C74" s="50" t="s">
        <v>150</v>
      </c>
      <c r="D74" s="51" t="s">
        <v>113</v>
      </c>
      <c r="E74" s="52" t="s">
        <v>147</v>
      </c>
      <c r="F74" s="52" t="s">
        <v>151</v>
      </c>
      <c r="G74" s="52" t="s">
        <v>61</v>
      </c>
      <c r="H74" s="52" t="s">
        <v>62</v>
      </c>
      <c r="I74" s="52">
        <v>2018</v>
      </c>
      <c r="J74" s="52"/>
      <c r="K74" s="52" t="s">
        <v>63</v>
      </c>
      <c r="L74" s="52" t="s">
        <v>64</v>
      </c>
      <c r="M74" s="52">
        <v>1</v>
      </c>
      <c r="N74" s="53">
        <v>16900000</v>
      </c>
      <c r="O74" s="53">
        <v>16900000</v>
      </c>
      <c r="P74" s="60"/>
      <c r="Q74" s="59"/>
      <c r="R74" s="52"/>
      <c r="S74" s="53">
        <f t="shared" si="17"/>
        <v>16900000</v>
      </c>
      <c r="T74" s="52">
        <v>7</v>
      </c>
      <c r="U74" s="53">
        <f t="shared" si="15"/>
        <v>2414285.7142857141</v>
      </c>
      <c r="V74" s="54">
        <v>0.5</v>
      </c>
      <c r="W74" s="53">
        <f>SUM(U74*V74)</f>
        <v>1207142.857142857</v>
      </c>
      <c r="X74" s="54">
        <v>0.5</v>
      </c>
      <c r="Y74" s="53">
        <f t="shared" si="12"/>
        <v>1207142.857142857</v>
      </c>
      <c r="Z74" s="53">
        <f t="shared" si="13"/>
        <v>2414285.7142857141</v>
      </c>
      <c r="AA74" s="57">
        <f t="shared" ref="AA74:AA78" si="20">2023-I74+V74+X74-4/12</f>
        <v>5.666666666666667</v>
      </c>
      <c r="AB74" s="53">
        <f t="shared" si="19"/>
        <v>13680952.380952381</v>
      </c>
      <c r="AC74" s="53">
        <f t="shared" si="18"/>
        <v>3219047.6190476194</v>
      </c>
      <c r="AD74" s="418" t="s">
        <v>152</v>
      </c>
      <c r="AE74" s="419"/>
      <c r="AG74" s="144"/>
    </row>
    <row r="75" spans="1:33" s="1" customFormat="1" ht="15" customHeight="1" x14ac:dyDescent="0.25">
      <c r="A75" s="49">
        <v>27</v>
      </c>
      <c r="B75" s="50" t="s">
        <v>112</v>
      </c>
      <c r="C75" s="50" t="s">
        <v>153</v>
      </c>
      <c r="D75" s="51" t="s">
        <v>113</v>
      </c>
      <c r="E75" s="52" t="s">
        <v>147</v>
      </c>
      <c r="F75" s="52" t="s">
        <v>154</v>
      </c>
      <c r="G75" s="52" t="s">
        <v>61</v>
      </c>
      <c r="H75" s="52" t="s">
        <v>62</v>
      </c>
      <c r="I75" s="52">
        <v>2018</v>
      </c>
      <c r="J75" s="52"/>
      <c r="K75" s="52" t="s">
        <v>63</v>
      </c>
      <c r="L75" s="52" t="s">
        <v>64</v>
      </c>
      <c r="M75" s="52">
        <v>1</v>
      </c>
      <c r="N75" s="53">
        <v>16900000</v>
      </c>
      <c r="O75" s="53">
        <v>16900000</v>
      </c>
      <c r="P75" s="60"/>
      <c r="Q75" s="59"/>
      <c r="R75" s="52"/>
      <c r="S75" s="53">
        <f t="shared" si="17"/>
        <v>16900000</v>
      </c>
      <c r="T75" s="52">
        <v>7</v>
      </c>
      <c r="U75" s="53">
        <f t="shared" si="15"/>
        <v>2414285.7142857141</v>
      </c>
      <c r="V75" s="54">
        <v>0.5</v>
      </c>
      <c r="W75" s="53">
        <f t="shared" ref="W75:W78" si="21">SUM(U75*V75)</f>
        <v>1207142.857142857</v>
      </c>
      <c r="X75" s="54">
        <v>0.5</v>
      </c>
      <c r="Y75" s="53">
        <f t="shared" si="12"/>
        <v>1207142.857142857</v>
      </c>
      <c r="Z75" s="53">
        <f t="shared" si="13"/>
        <v>2414285.7142857141</v>
      </c>
      <c r="AA75" s="57">
        <f t="shared" si="20"/>
        <v>5.666666666666667</v>
      </c>
      <c r="AB75" s="53">
        <f t="shared" si="19"/>
        <v>13680952.380952381</v>
      </c>
      <c r="AC75" s="53">
        <f t="shared" si="18"/>
        <v>3219047.6190476194</v>
      </c>
      <c r="AD75" s="418" t="s">
        <v>155</v>
      </c>
      <c r="AE75" s="419"/>
      <c r="AG75" s="5"/>
    </row>
    <row r="76" spans="1:33" s="1" customFormat="1" ht="13.5" x14ac:dyDescent="0.25">
      <c r="A76" s="49">
        <v>28</v>
      </c>
      <c r="B76" s="22" t="s">
        <v>112</v>
      </c>
      <c r="C76" s="22" t="s">
        <v>156</v>
      </c>
      <c r="D76" s="23" t="s">
        <v>113</v>
      </c>
      <c r="E76" s="24" t="s">
        <v>147</v>
      </c>
      <c r="F76" s="24" t="s">
        <v>157</v>
      </c>
      <c r="G76" s="24" t="s">
        <v>61</v>
      </c>
      <c r="H76" s="24" t="s">
        <v>62</v>
      </c>
      <c r="I76" s="24">
        <v>2018</v>
      </c>
      <c r="J76" s="24"/>
      <c r="K76" s="24" t="s">
        <v>63</v>
      </c>
      <c r="L76" s="24" t="s">
        <v>64</v>
      </c>
      <c r="M76" s="24">
        <v>1</v>
      </c>
      <c r="N76" s="41">
        <v>16900000</v>
      </c>
      <c r="O76" s="41">
        <v>16900000</v>
      </c>
      <c r="P76" s="60"/>
      <c r="Q76" s="59"/>
      <c r="R76" s="24"/>
      <c r="S76" s="53">
        <f t="shared" si="17"/>
        <v>16900000</v>
      </c>
      <c r="T76" s="52">
        <v>7</v>
      </c>
      <c r="U76" s="53">
        <f t="shared" si="15"/>
        <v>2414285.7142857141</v>
      </c>
      <c r="V76" s="54">
        <v>0.5</v>
      </c>
      <c r="W76" s="53">
        <f t="shared" si="21"/>
        <v>1207142.857142857</v>
      </c>
      <c r="X76" s="54">
        <v>0.5</v>
      </c>
      <c r="Y76" s="53">
        <f t="shared" si="12"/>
        <v>1207142.857142857</v>
      </c>
      <c r="Z76" s="53">
        <f t="shared" si="13"/>
        <v>2414285.7142857141</v>
      </c>
      <c r="AA76" s="57">
        <f t="shared" si="20"/>
        <v>5.666666666666667</v>
      </c>
      <c r="AB76" s="53">
        <f t="shared" si="19"/>
        <v>13680952.380952381</v>
      </c>
      <c r="AC76" s="53">
        <f t="shared" si="18"/>
        <v>3219047.6190476194</v>
      </c>
      <c r="AD76" s="24" t="s">
        <v>158</v>
      </c>
      <c r="AE76" s="24"/>
      <c r="AG76" s="5"/>
    </row>
    <row r="77" spans="1:33" s="1" customFormat="1" ht="15" customHeight="1" x14ac:dyDescent="0.25">
      <c r="A77" s="49">
        <v>29</v>
      </c>
      <c r="B77" s="22" t="s">
        <v>112</v>
      </c>
      <c r="C77" s="22" t="s">
        <v>159</v>
      </c>
      <c r="D77" s="23" t="s">
        <v>113</v>
      </c>
      <c r="E77" s="24" t="s">
        <v>147</v>
      </c>
      <c r="F77" s="24" t="s">
        <v>160</v>
      </c>
      <c r="G77" s="24" t="s">
        <v>61</v>
      </c>
      <c r="H77" s="24" t="s">
        <v>62</v>
      </c>
      <c r="I77" s="24">
        <v>2018</v>
      </c>
      <c r="J77" s="24"/>
      <c r="K77" s="24" t="s">
        <v>63</v>
      </c>
      <c r="L77" s="24" t="s">
        <v>64</v>
      </c>
      <c r="M77" s="24">
        <v>1</v>
      </c>
      <c r="N77" s="41">
        <v>16900000</v>
      </c>
      <c r="O77" s="41">
        <v>16900000</v>
      </c>
      <c r="P77" s="60"/>
      <c r="Q77" s="59"/>
      <c r="R77" s="24"/>
      <c r="S77" s="53">
        <f t="shared" si="17"/>
        <v>16900000</v>
      </c>
      <c r="T77" s="52">
        <v>7</v>
      </c>
      <c r="U77" s="53">
        <f t="shared" si="15"/>
        <v>2414285.7142857141</v>
      </c>
      <c r="V77" s="54">
        <v>0.5</v>
      </c>
      <c r="W77" s="53">
        <f t="shared" si="21"/>
        <v>1207142.857142857</v>
      </c>
      <c r="X77" s="54">
        <v>0.5</v>
      </c>
      <c r="Y77" s="53">
        <f t="shared" si="12"/>
        <v>1207142.857142857</v>
      </c>
      <c r="Z77" s="53">
        <f t="shared" si="13"/>
        <v>2414285.7142857141</v>
      </c>
      <c r="AA77" s="57">
        <f t="shared" si="20"/>
        <v>5.666666666666667</v>
      </c>
      <c r="AB77" s="53">
        <f t="shared" si="19"/>
        <v>13680952.380952381</v>
      </c>
      <c r="AC77" s="53">
        <f t="shared" si="18"/>
        <v>3219047.6190476194</v>
      </c>
      <c r="AD77" s="416" t="s">
        <v>161</v>
      </c>
      <c r="AE77" s="417"/>
      <c r="AG77" s="5"/>
    </row>
    <row r="78" spans="1:33" s="1" customFormat="1" ht="13.5" x14ac:dyDescent="0.25">
      <c r="A78" s="49">
        <v>30</v>
      </c>
      <c r="B78" s="22" t="s">
        <v>112</v>
      </c>
      <c r="C78" s="22" t="s">
        <v>162</v>
      </c>
      <c r="D78" s="23" t="s">
        <v>113</v>
      </c>
      <c r="E78" s="24" t="s">
        <v>147</v>
      </c>
      <c r="F78" s="24" t="s">
        <v>163</v>
      </c>
      <c r="G78" s="24" t="s">
        <v>61</v>
      </c>
      <c r="H78" s="24" t="s">
        <v>62</v>
      </c>
      <c r="I78" s="24">
        <v>2018</v>
      </c>
      <c r="J78" s="24"/>
      <c r="K78" s="24" t="s">
        <v>63</v>
      </c>
      <c r="L78" s="24" t="s">
        <v>64</v>
      </c>
      <c r="M78" s="24">
        <v>1</v>
      </c>
      <c r="N78" s="41">
        <v>16900000</v>
      </c>
      <c r="O78" s="41">
        <v>16900000</v>
      </c>
      <c r="P78" s="60"/>
      <c r="Q78" s="59"/>
      <c r="R78" s="24"/>
      <c r="S78" s="53">
        <f t="shared" si="17"/>
        <v>16900000</v>
      </c>
      <c r="T78" s="52">
        <v>7</v>
      </c>
      <c r="U78" s="53">
        <f t="shared" si="15"/>
        <v>2414285.7142857141</v>
      </c>
      <c r="V78" s="54">
        <v>0.5</v>
      </c>
      <c r="W78" s="53">
        <f t="shared" si="21"/>
        <v>1207142.857142857</v>
      </c>
      <c r="X78" s="54">
        <v>0.5</v>
      </c>
      <c r="Y78" s="53">
        <f t="shared" si="12"/>
        <v>1207142.857142857</v>
      </c>
      <c r="Z78" s="53">
        <f t="shared" si="13"/>
        <v>2414285.7142857141</v>
      </c>
      <c r="AA78" s="57">
        <f t="shared" si="20"/>
        <v>5.666666666666667</v>
      </c>
      <c r="AB78" s="53">
        <f t="shared" si="19"/>
        <v>13680952.380952381</v>
      </c>
      <c r="AC78" s="53">
        <f t="shared" si="18"/>
        <v>3219047.6190476194</v>
      </c>
      <c r="AD78" s="24" t="s">
        <v>164</v>
      </c>
      <c r="AE78" s="24"/>
      <c r="AG78" s="5"/>
    </row>
    <row r="79" spans="1:33" s="160" customFormat="1" ht="25.5" x14ac:dyDescent="0.25">
      <c r="A79" s="138"/>
      <c r="B79" s="139" t="s">
        <v>169</v>
      </c>
      <c r="C79" s="139"/>
      <c r="D79" s="140" t="s">
        <v>170</v>
      </c>
      <c r="E79" s="141"/>
      <c r="F79" s="141"/>
      <c r="G79" s="141"/>
      <c r="H79" s="141"/>
      <c r="I79" s="141"/>
      <c r="J79" s="141"/>
      <c r="K79" s="141"/>
      <c r="L79" s="141"/>
      <c r="M79" s="141">
        <f>SUM(M81:M82)</f>
        <v>2</v>
      </c>
      <c r="N79" s="141"/>
      <c r="O79" s="142">
        <f>SUM(O81:O82)</f>
        <v>11990000</v>
      </c>
      <c r="P79" s="158">
        <f>SUM(P81:P82)</f>
        <v>0</v>
      </c>
      <c r="Q79" s="145"/>
      <c r="R79" s="141">
        <f>SUM(R81:R82)</f>
        <v>0</v>
      </c>
      <c r="S79" s="159">
        <f>SUM(S81:S82)</f>
        <v>11990000</v>
      </c>
      <c r="T79" s="141"/>
      <c r="U79" s="141">
        <f>SUM(U81:U82)</f>
        <v>0</v>
      </c>
      <c r="V79" s="146"/>
      <c r="W79" s="141">
        <f>SUM(W81:W82)</f>
        <v>0</v>
      </c>
      <c r="X79" s="141"/>
      <c r="Y79" s="141">
        <f>SUM(Y81:Y82)</f>
        <v>0</v>
      </c>
      <c r="Z79" s="141">
        <f>SUM(Z81:Z82)</f>
        <v>0</v>
      </c>
      <c r="AA79" s="141"/>
      <c r="AB79" s="159">
        <f>SUM(AB80)</f>
        <v>11990000</v>
      </c>
      <c r="AC79" s="141">
        <f>SUM(AC81:AC82)</f>
        <v>0</v>
      </c>
      <c r="AD79" s="141"/>
      <c r="AE79" s="141"/>
      <c r="AG79" s="161"/>
    </row>
    <row r="80" spans="1:33" s="152" customFormat="1" ht="25.5" x14ac:dyDescent="0.25">
      <c r="A80" s="147"/>
      <c r="B80" s="148" t="s">
        <v>1631</v>
      </c>
      <c r="C80" s="148"/>
      <c r="D80" s="27" t="s">
        <v>1632</v>
      </c>
      <c r="E80" s="149"/>
      <c r="F80" s="149"/>
      <c r="G80" s="149"/>
      <c r="H80" s="149"/>
      <c r="I80" s="149"/>
      <c r="J80" s="149"/>
      <c r="K80" s="149"/>
      <c r="L80" s="149"/>
      <c r="M80" s="28">
        <f>SUM(M81)</f>
        <v>2</v>
      </c>
      <c r="N80" s="149"/>
      <c r="O80" s="40">
        <f>O81</f>
        <v>11990000</v>
      </c>
      <c r="P80" s="162"/>
      <c r="Q80" s="163"/>
      <c r="R80" s="149"/>
      <c r="S80" s="86">
        <f>SUM(S81)</f>
        <v>11990000</v>
      </c>
      <c r="T80" s="149"/>
      <c r="U80" s="40">
        <f>SUM(U81)</f>
        <v>0</v>
      </c>
      <c r="V80" s="150"/>
      <c r="W80" s="149"/>
      <c r="X80" s="149"/>
      <c r="Y80" s="149"/>
      <c r="Z80" s="149"/>
      <c r="AA80" s="149"/>
      <c r="AB80" s="86">
        <f>SUM(AB81)</f>
        <v>11990000</v>
      </c>
      <c r="AC80" s="149"/>
      <c r="AD80" s="149"/>
      <c r="AE80" s="149"/>
      <c r="AG80" s="151"/>
    </row>
    <row r="81" spans="1:33" s="1" customFormat="1" x14ac:dyDescent="0.25">
      <c r="A81" s="21"/>
      <c r="B81" s="22" t="s">
        <v>1633</v>
      </c>
      <c r="C81" s="22" t="s">
        <v>58</v>
      </c>
      <c r="D81" s="23" t="s">
        <v>3697</v>
      </c>
      <c r="E81" s="24" t="s">
        <v>166</v>
      </c>
      <c r="F81" s="24"/>
      <c r="G81" s="24" t="s">
        <v>61</v>
      </c>
      <c r="H81" s="24" t="s">
        <v>62</v>
      </c>
      <c r="I81" s="24">
        <v>2014</v>
      </c>
      <c r="J81" s="24"/>
      <c r="K81" s="24" t="s">
        <v>63</v>
      </c>
      <c r="L81" s="24" t="s">
        <v>167</v>
      </c>
      <c r="M81" s="24">
        <v>2</v>
      </c>
      <c r="N81" s="79">
        <v>5995000</v>
      </c>
      <c r="O81" s="41">
        <v>11990000</v>
      </c>
      <c r="P81" s="24"/>
      <c r="Q81" s="59"/>
      <c r="R81" s="24"/>
      <c r="S81" s="79">
        <v>11990000</v>
      </c>
      <c r="T81" s="24">
        <v>2</v>
      </c>
      <c r="U81" s="41"/>
      <c r="V81" s="44">
        <v>0.5</v>
      </c>
      <c r="W81" s="24">
        <v>0</v>
      </c>
      <c r="X81" s="24">
        <v>0.5</v>
      </c>
      <c r="Y81" s="24">
        <v>0</v>
      </c>
      <c r="Z81" s="24">
        <v>0</v>
      </c>
      <c r="AA81" s="24">
        <v>2</v>
      </c>
      <c r="AB81" s="79">
        <v>11990000</v>
      </c>
      <c r="AC81" s="24">
        <v>0</v>
      </c>
      <c r="AD81" s="24" t="s">
        <v>168</v>
      </c>
      <c r="AE81" s="24"/>
      <c r="AG81" s="5"/>
    </row>
    <row r="82" spans="1:33" s="1" customFormat="1" x14ac:dyDescent="0.25">
      <c r="A82" s="21"/>
      <c r="B82" s="22"/>
      <c r="C82" s="22"/>
      <c r="D82" s="23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41"/>
      <c r="P82" s="24"/>
      <c r="Q82" s="59">
        <f t="shared" ref="Q82:Q100" si="22">P82-O82</f>
        <v>0</v>
      </c>
      <c r="R82" s="24"/>
      <c r="S82" s="24"/>
      <c r="T82" s="24"/>
      <c r="U82" s="24"/>
      <c r="V82" s="44"/>
      <c r="W82" s="24"/>
      <c r="X82" s="24"/>
      <c r="Y82" s="24"/>
      <c r="Z82" s="24"/>
      <c r="AA82" s="24"/>
      <c r="AB82" s="24"/>
      <c r="AC82" s="24"/>
      <c r="AD82" s="24"/>
      <c r="AE82" s="24"/>
      <c r="AG82" s="5"/>
    </row>
    <row r="83" spans="1:33" s="1" customFormat="1" x14ac:dyDescent="0.25">
      <c r="A83" s="25"/>
      <c r="B83" s="26" t="s">
        <v>171</v>
      </c>
      <c r="C83" s="26"/>
      <c r="D83" s="27" t="s">
        <v>172</v>
      </c>
      <c r="E83" s="28"/>
      <c r="F83" s="28"/>
      <c r="G83" s="28"/>
      <c r="H83" s="28"/>
      <c r="I83" s="28"/>
      <c r="J83" s="28"/>
      <c r="K83" s="28"/>
      <c r="L83" s="28"/>
      <c r="M83" s="28">
        <f>SUM(M84:M84)</f>
        <v>0</v>
      </c>
      <c r="N83" s="28"/>
      <c r="O83" s="40">
        <f>SUM(O84:O84)</f>
        <v>0</v>
      </c>
      <c r="P83" s="28">
        <f>SUM(P84:P84)</f>
        <v>0</v>
      </c>
      <c r="Q83" s="59">
        <f t="shared" si="22"/>
        <v>0</v>
      </c>
      <c r="R83" s="28">
        <f>SUM(R84:R84)</f>
        <v>0</v>
      </c>
      <c r="S83" s="28">
        <f>SUM(S84:S84)</f>
        <v>0</v>
      </c>
      <c r="T83" s="28"/>
      <c r="U83" s="28">
        <f>SUM(U84:U84)</f>
        <v>0</v>
      </c>
      <c r="V83" s="48"/>
      <c r="W83" s="28">
        <f>SUM(W84:W84)</f>
        <v>0</v>
      </c>
      <c r="X83" s="28"/>
      <c r="Y83" s="28">
        <f>SUM(Y84:Y84)</f>
        <v>0</v>
      </c>
      <c r="Z83" s="28">
        <f>SUM(Z84:Z84)</f>
        <v>0</v>
      </c>
      <c r="AA83" s="28"/>
      <c r="AB83" s="28">
        <f>SUM(AB84:AB84)</f>
        <v>0</v>
      </c>
      <c r="AC83" s="28">
        <f>SUM(AC84:AC84)</f>
        <v>0</v>
      </c>
      <c r="AD83" s="28"/>
      <c r="AE83" s="28"/>
      <c r="AG83" s="5"/>
    </row>
    <row r="84" spans="1:33" s="1" customFormat="1" x14ac:dyDescent="0.25">
      <c r="A84" s="21"/>
      <c r="B84" s="22"/>
      <c r="C84" s="22"/>
      <c r="D84" s="23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41"/>
      <c r="P84" s="24"/>
      <c r="Q84" s="59">
        <f t="shared" si="22"/>
        <v>0</v>
      </c>
      <c r="R84" s="24"/>
      <c r="S84" s="24"/>
      <c r="T84" s="24"/>
      <c r="U84" s="24"/>
      <c r="V84" s="44"/>
      <c r="W84" s="24"/>
      <c r="X84" s="24"/>
      <c r="Y84" s="24"/>
      <c r="Z84" s="24"/>
      <c r="AA84" s="24"/>
      <c r="AB84" s="24"/>
      <c r="AC84" s="24"/>
      <c r="AD84" s="24"/>
      <c r="AE84" s="24"/>
      <c r="AG84" s="5"/>
    </row>
    <row r="85" spans="1:33" s="1" customFormat="1" ht="25.5" x14ac:dyDescent="0.25">
      <c r="A85" s="25"/>
      <c r="B85" s="26" t="s">
        <v>173</v>
      </c>
      <c r="C85" s="26"/>
      <c r="D85" s="27" t="s">
        <v>174</v>
      </c>
      <c r="E85" s="28"/>
      <c r="F85" s="28"/>
      <c r="G85" s="28"/>
      <c r="H85" s="28"/>
      <c r="I85" s="28"/>
      <c r="J85" s="28"/>
      <c r="K85" s="28"/>
      <c r="L85" s="28"/>
      <c r="M85" s="28">
        <f>SUM(M86:M86)</f>
        <v>0</v>
      </c>
      <c r="N85" s="28"/>
      <c r="O85" s="40">
        <f>SUM(O86:O86)</f>
        <v>0</v>
      </c>
      <c r="P85" s="28">
        <f>SUM(P86:P86)</f>
        <v>0</v>
      </c>
      <c r="Q85" s="59">
        <f t="shared" si="22"/>
        <v>0</v>
      </c>
      <c r="R85" s="28">
        <f>SUM(R86:R86)</f>
        <v>0</v>
      </c>
      <c r="S85" s="28">
        <f>SUM(S86:S86)</f>
        <v>0</v>
      </c>
      <c r="T85" s="28"/>
      <c r="U85" s="28">
        <f>SUM(U86:U86)</f>
        <v>0</v>
      </c>
      <c r="V85" s="48"/>
      <c r="W85" s="28">
        <f>SUM(W86:W86)</f>
        <v>0</v>
      </c>
      <c r="X85" s="28"/>
      <c r="Y85" s="28">
        <f>SUM(Y86:Y86)</f>
        <v>0</v>
      </c>
      <c r="Z85" s="28">
        <f>SUM(Z86:Z86)</f>
        <v>0</v>
      </c>
      <c r="AA85" s="28"/>
      <c r="AB85" s="28">
        <f>SUM(AB86:AB86)</f>
        <v>0</v>
      </c>
      <c r="AC85" s="28">
        <f>SUM(AC86:AC86)</f>
        <v>0</v>
      </c>
      <c r="AD85" s="28"/>
      <c r="AE85" s="28"/>
      <c r="AG85" s="5"/>
    </row>
    <row r="86" spans="1:33" s="1" customFormat="1" x14ac:dyDescent="0.25">
      <c r="A86" s="21"/>
      <c r="B86" s="22"/>
      <c r="C86" s="22"/>
      <c r="D86" s="23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41"/>
      <c r="P86" s="24"/>
      <c r="Q86" s="59">
        <f t="shared" si="22"/>
        <v>0</v>
      </c>
      <c r="R86" s="24"/>
      <c r="S86" s="24"/>
      <c r="T86" s="24"/>
      <c r="U86" s="24"/>
      <c r="V86" s="44"/>
      <c r="W86" s="24"/>
      <c r="X86" s="24"/>
      <c r="Y86" s="24"/>
      <c r="Z86" s="24"/>
      <c r="AA86" s="24"/>
      <c r="AB86" s="24"/>
      <c r="AC86" s="24"/>
      <c r="AD86" s="24"/>
      <c r="AE86" s="24"/>
      <c r="AG86" s="5"/>
    </row>
    <row r="87" spans="1:33" s="1" customFormat="1" x14ac:dyDescent="0.25">
      <c r="A87" s="25"/>
      <c r="B87" s="26" t="s">
        <v>175</v>
      </c>
      <c r="C87" s="26"/>
      <c r="D87" s="64" t="s">
        <v>176</v>
      </c>
      <c r="E87" s="28"/>
      <c r="F87" s="28"/>
      <c r="G87" s="28"/>
      <c r="H87" s="28"/>
      <c r="I87" s="28"/>
      <c r="J87" s="28"/>
      <c r="K87" s="28"/>
      <c r="L87" s="28"/>
      <c r="M87" s="28">
        <f>SUM(M88:M88)</f>
        <v>0</v>
      </c>
      <c r="N87" s="28"/>
      <c r="O87" s="40">
        <f>SUM(O88:O88)</f>
        <v>0</v>
      </c>
      <c r="P87" s="28">
        <f>SUM(P88:P88)</f>
        <v>0</v>
      </c>
      <c r="Q87" s="59">
        <f t="shared" si="22"/>
        <v>0</v>
      </c>
      <c r="R87" s="28">
        <f>SUM(R88:R88)</f>
        <v>0</v>
      </c>
      <c r="S87" s="28">
        <f>SUM(S88:S88)</f>
        <v>0</v>
      </c>
      <c r="T87" s="28"/>
      <c r="U87" s="28">
        <f>SUM(U88:U88)</f>
        <v>0</v>
      </c>
      <c r="V87" s="48"/>
      <c r="W87" s="28">
        <f>SUM(W88:W88)</f>
        <v>0</v>
      </c>
      <c r="X87" s="28"/>
      <c r="Y87" s="28">
        <f>SUM(Y88:Y88)</f>
        <v>0</v>
      </c>
      <c r="Z87" s="28">
        <f>SUM(Z88:Z88)</f>
        <v>0</v>
      </c>
      <c r="AA87" s="28"/>
      <c r="AB87" s="28">
        <f>SUM(AB88:AB88)</f>
        <v>0</v>
      </c>
      <c r="AC87" s="28">
        <f>SUM(AC88:AC88)</f>
        <v>0</v>
      </c>
      <c r="AD87" s="28"/>
      <c r="AE87" s="28"/>
      <c r="AG87" s="5"/>
    </row>
    <row r="88" spans="1:33" s="1" customFormat="1" x14ac:dyDescent="0.25">
      <c r="A88" s="21"/>
      <c r="B88" s="22"/>
      <c r="C88" s="22"/>
      <c r="D88" s="65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41"/>
      <c r="P88" s="24"/>
      <c r="Q88" s="59">
        <f t="shared" si="22"/>
        <v>0</v>
      </c>
      <c r="R88" s="24"/>
      <c r="S88" s="24"/>
      <c r="T88" s="24"/>
      <c r="U88" s="24"/>
      <c r="V88" s="44"/>
      <c r="W88" s="24"/>
      <c r="X88" s="24"/>
      <c r="Y88" s="24"/>
      <c r="Z88" s="24"/>
      <c r="AA88" s="24"/>
      <c r="AB88" s="24"/>
      <c r="AC88" s="24"/>
      <c r="AD88" s="24"/>
      <c r="AE88" s="24"/>
      <c r="AG88" s="5"/>
    </row>
    <row r="89" spans="1:33" s="1" customFormat="1" x14ac:dyDescent="0.25">
      <c r="A89" s="17"/>
      <c r="B89" s="18" t="s">
        <v>177</v>
      </c>
      <c r="C89" s="18"/>
      <c r="D89" s="19" t="s">
        <v>178</v>
      </c>
      <c r="E89" s="20"/>
      <c r="F89" s="20"/>
      <c r="G89" s="20"/>
      <c r="H89" s="20"/>
      <c r="I89" s="20"/>
      <c r="J89" s="20"/>
      <c r="K89" s="20"/>
      <c r="L89" s="20"/>
      <c r="M89" s="20">
        <f>M90+M92+M94</f>
        <v>0</v>
      </c>
      <c r="N89" s="20"/>
      <c r="O89" s="37">
        <f>O90+O92+O94</f>
        <v>0</v>
      </c>
      <c r="P89" s="20">
        <f>P90+P92+P94</f>
        <v>0</v>
      </c>
      <c r="Q89" s="59">
        <f t="shared" si="22"/>
        <v>0</v>
      </c>
      <c r="R89" s="20">
        <f>R90+R92+R94</f>
        <v>0</v>
      </c>
      <c r="S89" s="20">
        <f>S90+S92+S94</f>
        <v>0</v>
      </c>
      <c r="T89" s="20"/>
      <c r="U89" s="20">
        <f>U90+U92+U94</f>
        <v>0</v>
      </c>
      <c r="V89" s="46"/>
      <c r="W89" s="20">
        <f>W90+W92+W94</f>
        <v>0</v>
      </c>
      <c r="X89" s="20"/>
      <c r="Y89" s="20">
        <f>Y90+Y92+Y94</f>
        <v>0</v>
      </c>
      <c r="Z89" s="20">
        <f>Z90+Z92+Z94</f>
        <v>0</v>
      </c>
      <c r="AA89" s="20"/>
      <c r="AB89" s="20">
        <f>AB90+AB92+AB94</f>
        <v>0</v>
      </c>
      <c r="AC89" s="20">
        <f>AC90+AC92+AC94</f>
        <v>0</v>
      </c>
      <c r="AD89" s="20"/>
      <c r="AE89" s="20"/>
      <c r="AG89" s="5"/>
    </row>
    <row r="90" spans="1:33" s="1" customFormat="1" x14ac:dyDescent="0.25">
      <c r="A90" s="25"/>
      <c r="B90" s="26" t="s">
        <v>179</v>
      </c>
      <c r="C90" s="26"/>
      <c r="D90" s="64" t="s">
        <v>180</v>
      </c>
      <c r="E90" s="28"/>
      <c r="F90" s="28"/>
      <c r="G90" s="28"/>
      <c r="H90" s="28"/>
      <c r="I90" s="28"/>
      <c r="J90" s="28"/>
      <c r="K90" s="28"/>
      <c r="L90" s="28"/>
      <c r="M90" s="28">
        <f>SUM(M91:M91)</f>
        <v>0</v>
      </c>
      <c r="N90" s="28"/>
      <c r="O90" s="40">
        <f>SUM(O91:O91)</f>
        <v>0</v>
      </c>
      <c r="P90" s="28">
        <f>SUM(P91:P91)</f>
        <v>0</v>
      </c>
      <c r="Q90" s="59">
        <f t="shared" si="22"/>
        <v>0</v>
      </c>
      <c r="R90" s="28">
        <f>SUM(R91:R91)</f>
        <v>0</v>
      </c>
      <c r="S90" s="28">
        <f>SUM(S91:S91)</f>
        <v>0</v>
      </c>
      <c r="T90" s="28"/>
      <c r="U90" s="28">
        <f>SUM(U91:U91)</f>
        <v>0</v>
      </c>
      <c r="V90" s="48"/>
      <c r="W90" s="28">
        <f>SUM(W91:W91)</f>
        <v>0</v>
      </c>
      <c r="X90" s="28"/>
      <c r="Y90" s="28">
        <f>SUM(Y91:Y91)</f>
        <v>0</v>
      </c>
      <c r="Z90" s="28">
        <f>SUM(Z91:Z91)</f>
        <v>0</v>
      </c>
      <c r="AA90" s="28"/>
      <c r="AB90" s="28">
        <f>SUM(AB91:AB91)</f>
        <v>0</v>
      </c>
      <c r="AC90" s="28">
        <f>SUM(AC91:AC91)</f>
        <v>0</v>
      </c>
      <c r="AD90" s="28"/>
      <c r="AE90" s="28"/>
      <c r="AG90" s="5"/>
    </row>
    <row r="91" spans="1:33" s="1" customFormat="1" x14ac:dyDescent="0.25">
      <c r="A91" s="21"/>
      <c r="B91" s="22"/>
      <c r="C91" s="22"/>
      <c r="D91" s="65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41"/>
      <c r="P91" s="24"/>
      <c r="Q91" s="59">
        <f t="shared" si="22"/>
        <v>0</v>
      </c>
      <c r="R91" s="24"/>
      <c r="S91" s="24"/>
      <c r="T91" s="24"/>
      <c r="U91" s="24"/>
      <c r="V91" s="44"/>
      <c r="W91" s="24"/>
      <c r="X91" s="24"/>
      <c r="Y91" s="24"/>
      <c r="Z91" s="24"/>
      <c r="AA91" s="24"/>
      <c r="AB91" s="24"/>
      <c r="AC91" s="24"/>
      <c r="AD91" s="24"/>
      <c r="AE91" s="24"/>
      <c r="AG91" s="5"/>
    </row>
    <row r="92" spans="1:33" s="1" customFormat="1" x14ac:dyDescent="0.25">
      <c r="A92" s="25"/>
      <c r="B92" s="26" t="s">
        <v>181</v>
      </c>
      <c r="C92" s="26"/>
      <c r="D92" s="64" t="s">
        <v>182</v>
      </c>
      <c r="E92" s="28"/>
      <c r="F92" s="28"/>
      <c r="G92" s="28"/>
      <c r="H92" s="28"/>
      <c r="I92" s="28"/>
      <c r="J92" s="28"/>
      <c r="K92" s="28"/>
      <c r="L92" s="28"/>
      <c r="M92" s="28">
        <f>SUM(M93:M93)</f>
        <v>0</v>
      </c>
      <c r="N92" s="28"/>
      <c r="O92" s="40">
        <f>SUM(O93:O93)</f>
        <v>0</v>
      </c>
      <c r="P92" s="28">
        <f>SUM(P93:P93)</f>
        <v>0</v>
      </c>
      <c r="Q92" s="59">
        <f t="shared" si="22"/>
        <v>0</v>
      </c>
      <c r="R92" s="28">
        <f>SUM(R93:R93)</f>
        <v>0</v>
      </c>
      <c r="S92" s="28">
        <f>SUM(S93:S93)</f>
        <v>0</v>
      </c>
      <c r="T92" s="28"/>
      <c r="U92" s="28">
        <f>SUM(U93:U93)</f>
        <v>0</v>
      </c>
      <c r="V92" s="48"/>
      <c r="W92" s="28">
        <f>SUM(W93:W93)</f>
        <v>0</v>
      </c>
      <c r="X92" s="28"/>
      <c r="Y92" s="28">
        <f>SUM(Y93:Y93)</f>
        <v>0</v>
      </c>
      <c r="Z92" s="28">
        <f>SUM(Z93:Z93)</f>
        <v>0</v>
      </c>
      <c r="AA92" s="28"/>
      <c r="AB92" s="28">
        <f>SUM(AB93:AB93)</f>
        <v>0</v>
      </c>
      <c r="AC92" s="28">
        <f>SUM(AC93:AC93)</f>
        <v>0</v>
      </c>
      <c r="AD92" s="28"/>
      <c r="AE92" s="28"/>
      <c r="AG92" s="5"/>
    </row>
    <row r="93" spans="1:33" s="1" customFormat="1" x14ac:dyDescent="0.25">
      <c r="A93" s="21"/>
      <c r="B93" s="22"/>
      <c r="C93" s="22"/>
      <c r="D93" s="65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41"/>
      <c r="P93" s="24"/>
      <c r="Q93" s="59">
        <f t="shared" si="22"/>
        <v>0</v>
      </c>
      <c r="R93" s="24"/>
      <c r="S93" s="24"/>
      <c r="T93" s="24"/>
      <c r="U93" s="24"/>
      <c r="V93" s="44"/>
      <c r="W93" s="24"/>
      <c r="X93" s="24"/>
      <c r="Y93" s="24"/>
      <c r="Z93" s="24"/>
      <c r="AA93" s="24"/>
      <c r="AB93" s="24"/>
      <c r="AC93" s="24"/>
      <c r="AD93" s="24"/>
      <c r="AE93" s="24"/>
      <c r="AG93" s="5"/>
    </row>
    <row r="94" spans="1:33" s="1" customFormat="1" x14ac:dyDescent="0.25">
      <c r="A94" s="25"/>
      <c r="B94" s="26" t="s">
        <v>183</v>
      </c>
      <c r="C94" s="26"/>
      <c r="D94" s="64" t="s">
        <v>184</v>
      </c>
      <c r="E94" s="28"/>
      <c r="F94" s="28"/>
      <c r="G94" s="28"/>
      <c r="H94" s="28"/>
      <c r="I94" s="28"/>
      <c r="J94" s="28"/>
      <c r="K94" s="28"/>
      <c r="L94" s="28"/>
      <c r="M94" s="28">
        <f>SUM(M95:M95)</f>
        <v>0</v>
      </c>
      <c r="N94" s="28"/>
      <c r="O94" s="40">
        <f>SUM(O95:O95)</f>
        <v>0</v>
      </c>
      <c r="P94" s="28">
        <f>SUM(P95:P95)</f>
        <v>0</v>
      </c>
      <c r="Q94" s="59">
        <f t="shared" si="22"/>
        <v>0</v>
      </c>
      <c r="R94" s="28">
        <f>SUM(R95:R95)</f>
        <v>0</v>
      </c>
      <c r="S94" s="28">
        <f>SUM(S95:S95)</f>
        <v>0</v>
      </c>
      <c r="T94" s="28"/>
      <c r="U94" s="28">
        <f>SUM(U95:U95)</f>
        <v>0</v>
      </c>
      <c r="V94" s="48"/>
      <c r="W94" s="28">
        <f>SUM(W95:W95)</f>
        <v>0</v>
      </c>
      <c r="X94" s="28"/>
      <c r="Y94" s="28">
        <f>SUM(Y95:Y95)</f>
        <v>0</v>
      </c>
      <c r="Z94" s="28">
        <f>SUM(Z95:Z95)</f>
        <v>0</v>
      </c>
      <c r="AA94" s="28"/>
      <c r="AB94" s="28">
        <f>SUM(AB95:AB95)</f>
        <v>0</v>
      </c>
      <c r="AC94" s="28">
        <f>SUM(AC95:AC95)</f>
        <v>0</v>
      </c>
      <c r="AD94" s="28"/>
      <c r="AE94" s="28"/>
      <c r="AG94" s="5"/>
    </row>
    <row r="95" spans="1:33" s="1" customFormat="1" x14ac:dyDescent="0.25">
      <c r="A95" s="21"/>
      <c r="B95" s="22"/>
      <c r="C95" s="22"/>
      <c r="D95" s="65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41"/>
      <c r="P95" s="24"/>
      <c r="Q95" s="59">
        <f t="shared" si="22"/>
        <v>0</v>
      </c>
      <c r="R95" s="24"/>
      <c r="S95" s="24"/>
      <c r="T95" s="24"/>
      <c r="U95" s="24"/>
      <c r="V95" s="44"/>
      <c r="W95" s="24"/>
      <c r="X95" s="24"/>
      <c r="Y95" s="24"/>
      <c r="Z95" s="24"/>
      <c r="AA95" s="24"/>
      <c r="AB95" s="24"/>
      <c r="AC95" s="24"/>
      <c r="AD95" s="24"/>
      <c r="AE95" s="24"/>
      <c r="AG95" s="5"/>
    </row>
    <row r="96" spans="1:33" s="1" customFormat="1" x14ac:dyDescent="0.25">
      <c r="A96" s="17"/>
      <c r="B96" s="18" t="s">
        <v>185</v>
      </c>
      <c r="C96" s="18"/>
      <c r="D96" s="19" t="s">
        <v>186</v>
      </c>
      <c r="E96" s="20"/>
      <c r="F96" s="20"/>
      <c r="G96" s="20"/>
      <c r="H96" s="20"/>
      <c r="I96" s="20"/>
      <c r="J96" s="20"/>
      <c r="K96" s="20"/>
      <c r="L96" s="20"/>
      <c r="M96" s="20">
        <f>M97</f>
        <v>0</v>
      </c>
      <c r="N96" s="20"/>
      <c r="O96" s="37">
        <f t="shared" ref="O96:AC96" si="23">O97</f>
        <v>0</v>
      </c>
      <c r="P96" s="20">
        <f t="shared" si="23"/>
        <v>0</v>
      </c>
      <c r="Q96" s="59">
        <f t="shared" si="22"/>
        <v>0</v>
      </c>
      <c r="R96" s="20">
        <f t="shared" si="23"/>
        <v>0</v>
      </c>
      <c r="S96" s="20">
        <f t="shared" si="23"/>
        <v>0</v>
      </c>
      <c r="T96" s="20"/>
      <c r="U96" s="20">
        <f t="shared" si="23"/>
        <v>0</v>
      </c>
      <c r="V96" s="46"/>
      <c r="W96" s="20">
        <f t="shared" si="23"/>
        <v>0</v>
      </c>
      <c r="X96" s="20"/>
      <c r="Y96" s="20"/>
      <c r="Z96" s="20"/>
      <c r="AA96" s="20"/>
      <c r="AB96" s="20">
        <f t="shared" si="23"/>
        <v>0</v>
      </c>
      <c r="AC96" s="20">
        <f t="shared" si="23"/>
        <v>0</v>
      </c>
      <c r="AD96" s="20"/>
      <c r="AE96" s="20"/>
      <c r="AG96" s="5"/>
    </row>
    <row r="97" spans="1:35" s="1" customFormat="1" x14ac:dyDescent="0.25">
      <c r="A97" s="25"/>
      <c r="B97" s="26" t="s">
        <v>187</v>
      </c>
      <c r="C97" s="26"/>
      <c r="D97" s="27" t="s">
        <v>188</v>
      </c>
      <c r="E97" s="28"/>
      <c r="F97" s="28"/>
      <c r="G97" s="28"/>
      <c r="H97" s="28"/>
      <c r="I97" s="28"/>
      <c r="J97" s="28"/>
      <c r="K97" s="28"/>
      <c r="L97" s="28"/>
      <c r="M97" s="28">
        <f>SUM(M98:M100)</f>
        <v>0</v>
      </c>
      <c r="N97" s="28"/>
      <c r="O97" s="40">
        <f t="shared" ref="O97:AC97" si="24">SUM(O98:O100)</f>
        <v>0</v>
      </c>
      <c r="P97" s="28">
        <f t="shared" si="24"/>
        <v>0</v>
      </c>
      <c r="Q97" s="59">
        <f t="shared" si="22"/>
        <v>0</v>
      </c>
      <c r="R97" s="28">
        <f t="shared" si="24"/>
        <v>0</v>
      </c>
      <c r="S97" s="28">
        <f t="shared" si="24"/>
        <v>0</v>
      </c>
      <c r="T97" s="28"/>
      <c r="U97" s="28">
        <f t="shared" si="24"/>
        <v>0</v>
      </c>
      <c r="V97" s="48"/>
      <c r="W97" s="28">
        <f t="shared" si="24"/>
        <v>0</v>
      </c>
      <c r="X97" s="28"/>
      <c r="Y97" s="28"/>
      <c r="Z97" s="28"/>
      <c r="AA97" s="28"/>
      <c r="AB97" s="28">
        <f t="shared" si="24"/>
        <v>0</v>
      </c>
      <c r="AC97" s="28">
        <f t="shared" si="24"/>
        <v>0</v>
      </c>
      <c r="AD97" s="28"/>
      <c r="AE97" s="28"/>
      <c r="AG97" s="5"/>
    </row>
    <row r="98" spans="1:35" s="1" customFormat="1" x14ac:dyDescent="0.25">
      <c r="A98" s="21"/>
      <c r="B98" s="22"/>
      <c r="C98" s="22"/>
      <c r="D98" s="23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41"/>
      <c r="P98" s="24"/>
      <c r="Q98" s="59">
        <f t="shared" si="22"/>
        <v>0</v>
      </c>
      <c r="R98" s="24"/>
      <c r="S98" s="24"/>
      <c r="T98" s="24"/>
      <c r="U98" s="24"/>
      <c r="V98" s="44"/>
      <c r="W98" s="24"/>
      <c r="X98" s="24"/>
      <c r="Y98" s="24"/>
      <c r="Z98" s="24"/>
      <c r="AA98" s="24"/>
      <c r="AB98" s="24"/>
      <c r="AC98" s="24"/>
      <c r="AD98" s="24"/>
      <c r="AE98" s="24"/>
      <c r="AG98" s="5"/>
    </row>
    <row r="99" spans="1:35" s="1" customFormat="1" x14ac:dyDescent="0.25">
      <c r="A99" s="21"/>
      <c r="B99" s="22"/>
      <c r="C99" s="22"/>
      <c r="D99" s="23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41"/>
      <c r="P99" s="24"/>
      <c r="Q99" s="59">
        <f t="shared" si="22"/>
        <v>0</v>
      </c>
      <c r="R99" s="24"/>
      <c r="S99" s="24"/>
      <c r="T99" s="24"/>
      <c r="U99" s="24"/>
      <c r="V99" s="44"/>
      <c r="W99" s="24"/>
      <c r="X99" s="24"/>
      <c r="Y99" s="24"/>
      <c r="Z99" s="24"/>
      <c r="AA99" s="24"/>
      <c r="AB99" s="24"/>
      <c r="AC99" s="24"/>
      <c r="AD99" s="24"/>
      <c r="AE99" s="24"/>
      <c r="AG99" s="5"/>
    </row>
    <row r="100" spans="1:35" s="1" customFormat="1" x14ac:dyDescent="0.25">
      <c r="A100" s="21"/>
      <c r="B100" s="22"/>
      <c r="C100" s="22"/>
      <c r="D100" s="23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41"/>
      <c r="P100" s="24"/>
      <c r="Q100" s="59">
        <f t="shared" si="22"/>
        <v>0</v>
      </c>
      <c r="R100" s="24"/>
      <c r="S100" s="24"/>
      <c r="T100" s="24"/>
      <c r="U100" s="24"/>
      <c r="V100" s="44"/>
      <c r="W100" s="24"/>
      <c r="X100" s="24"/>
      <c r="Y100" s="24"/>
      <c r="Z100" s="43"/>
      <c r="AA100" s="24"/>
      <c r="AB100" s="24"/>
      <c r="AC100" s="24"/>
      <c r="AD100" s="24"/>
      <c r="AE100" s="24"/>
      <c r="AF100" s="5">
        <v>7061160995.514616</v>
      </c>
      <c r="AG100" s="5">
        <f>AF100+Y101-AB101</f>
        <v>2.9999732971191406E-2</v>
      </c>
    </row>
    <row r="101" spans="1:35" s="1" customFormat="1" x14ac:dyDescent="0.25">
      <c r="A101" s="17"/>
      <c r="B101" s="18" t="s">
        <v>189</v>
      </c>
      <c r="C101" s="18"/>
      <c r="D101" s="19" t="s">
        <v>190</v>
      </c>
      <c r="E101" s="20"/>
      <c r="F101" s="20"/>
      <c r="G101" s="20"/>
      <c r="H101" s="20"/>
      <c r="I101" s="20"/>
      <c r="J101" s="20"/>
      <c r="K101" s="20"/>
      <c r="L101" s="20"/>
      <c r="M101" s="66">
        <f>SUM(M102+M237+M713)</f>
        <v>4576</v>
      </c>
      <c r="N101" s="20"/>
      <c r="O101" s="37">
        <f>SUM(O102+O237+O713)</f>
        <v>7534339671.0046158</v>
      </c>
      <c r="P101" s="20">
        <f>P102+P237+P713</f>
        <v>0</v>
      </c>
      <c r="Q101" s="20">
        <f>Q102+Q237+Q713</f>
        <v>0</v>
      </c>
      <c r="R101" s="20">
        <f>R102+R237+R713</f>
        <v>0</v>
      </c>
      <c r="S101" s="37">
        <f>SUM(S102+S237+S713)</f>
        <v>7534339671.0046158</v>
      </c>
      <c r="T101" s="20"/>
      <c r="U101" s="37">
        <f>SUM(U102+U237+U713)</f>
        <v>504048308.20000005</v>
      </c>
      <c r="V101" s="37"/>
      <c r="W101" s="37">
        <f>SUM(W102+W237+W713)</f>
        <v>121002783.29666664</v>
      </c>
      <c r="X101" s="37"/>
      <c r="Y101" s="37">
        <f>SUM(Y102+Y237+Y713)</f>
        <v>97071073.329999998</v>
      </c>
      <c r="Z101" s="37">
        <f>SUM(Z102+Z237+Z713)</f>
        <v>218073856.62666669</v>
      </c>
      <c r="AA101" s="37"/>
      <c r="AB101" s="37">
        <f>SUM(AB102+AB237+AB713)</f>
        <v>7158232068.8146162</v>
      </c>
      <c r="AC101" s="37">
        <f>SUM(AC102+AC237+AC713)</f>
        <v>376107602.45000005</v>
      </c>
      <c r="AD101" s="20"/>
      <c r="AE101" s="20"/>
      <c r="AF101" s="75">
        <v>6940158212.2146168</v>
      </c>
      <c r="AG101" s="5">
        <f>SUM(AF101+W101+Y101-AB101)</f>
        <v>2.6667594909667969E-2</v>
      </c>
      <c r="AH101" s="5"/>
    </row>
    <row r="102" spans="1:35" s="1" customFormat="1" x14ac:dyDescent="0.25">
      <c r="A102" s="138"/>
      <c r="B102" s="139" t="s">
        <v>191</v>
      </c>
      <c r="C102" s="139"/>
      <c r="D102" s="140" t="s">
        <v>192</v>
      </c>
      <c r="E102" s="141"/>
      <c r="F102" s="141"/>
      <c r="G102" s="141"/>
      <c r="H102" s="141"/>
      <c r="I102" s="141"/>
      <c r="J102" s="141"/>
      <c r="K102" s="141"/>
      <c r="L102" s="141"/>
      <c r="M102" s="164">
        <f>SUM(M103+M110+M113+M115+M172)</f>
        <v>314</v>
      </c>
      <c r="N102" s="164"/>
      <c r="O102" s="142">
        <f>SUM(O103+O110+O113+O115+O172)</f>
        <v>1201247400</v>
      </c>
      <c r="P102" s="164">
        <f>SUM(P104:P981)</f>
        <v>0</v>
      </c>
      <c r="Q102" s="164">
        <f>SUM(Q104:Q981)</f>
        <v>0</v>
      </c>
      <c r="R102" s="164">
        <f>SUM(R104:R981)</f>
        <v>0</v>
      </c>
      <c r="S102" s="142">
        <f>SUM(S103+S110+S113+S115+S172)</f>
        <v>1201247400</v>
      </c>
      <c r="T102" s="164"/>
      <c r="U102" s="142">
        <f>SUM(U103+U110+U113+U115+U172)</f>
        <v>91436320</v>
      </c>
      <c r="V102" s="164"/>
      <c r="W102" s="142">
        <f>SUM(W103+W110+W113+W115+W172)</f>
        <v>13622793.333333334</v>
      </c>
      <c r="X102" s="164"/>
      <c r="Y102" s="142">
        <f>SUM(Y103+Y110+Y113+Y115+Y172)</f>
        <v>4281443.33</v>
      </c>
      <c r="Z102" s="142">
        <f>SUM(Z103+Z110+Z113+Z115+Z172)</f>
        <v>17904236.663333334</v>
      </c>
      <c r="AA102" s="164"/>
      <c r="AB102" s="142">
        <f>SUM(AB103+AB110+AB113+AB115+AB172)</f>
        <v>1189024033.3333333</v>
      </c>
      <c r="AC102" s="142">
        <f>SUM(AC103+AC110+AC115+AC172)</f>
        <v>12223366.666666666</v>
      </c>
      <c r="AD102" s="141"/>
      <c r="AE102" s="141"/>
      <c r="AF102" s="68"/>
      <c r="AG102" s="5"/>
      <c r="AH102" s="5"/>
    </row>
    <row r="103" spans="1:35" s="1" customFormat="1" x14ac:dyDescent="0.25">
      <c r="A103" s="25"/>
      <c r="B103" s="26" t="s">
        <v>1634</v>
      </c>
      <c r="C103" s="26"/>
      <c r="D103" s="27" t="s">
        <v>1635</v>
      </c>
      <c r="E103" s="28"/>
      <c r="F103" s="28"/>
      <c r="G103" s="28"/>
      <c r="H103" s="28"/>
      <c r="I103" s="28"/>
      <c r="J103" s="28"/>
      <c r="K103" s="28"/>
      <c r="L103" s="28"/>
      <c r="M103" s="67">
        <f>SUM(M104:M109)</f>
        <v>6</v>
      </c>
      <c r="N103" s="67"/>
      <c r="O103" s="40">
        <f>SUM(O104:O109)</f>
        <v>9950000</v>
      </c>
      <c r="P103" s="67"/>
      <c r="Q103" s="67"/>
      <c r="R103" s="67"/>
      <c r="S103" s="40">
        <f>SUM(S104:S109)</f>
        <v>9950000</v>
      </c>
      <c r="T103" s="67"/>
      <c r="U103" s="40">
        <f>SUM(U104:U109)</f>
        <v>0</v>
      </c>
      <c r="V103" s="67"/>
      <c r="W103" s="40">
        <f>SUM(W104:W109)</f>
        <v>0</v>
      </c>
      <c r="X103" s="67"/>
      <c r="Y103" s="40">
        <f>SUM(Y104:Y109)</f>
        <v>0</v>
      </c>
      <c r="Z103" s="40">
        <f>SUM(Z104:Z109)</f>
        <v>0</v>
      </c>
      <c r="AA103" s="67"/>
      <c r="AB103" s="40">
        <f>SUM(AB104:AB109)</f>
        <v>9950000</v>
      </c>
      <c r="AC103" s="40">
        <f>SUM(AC104:AC109)</f>
        <v>0</v>
      </c>
      <c r="AD103" s="28"/>
      <c r="AE103" s="28"/>
      <c r="AF103" s="165"/>
      <c r="AG103" s="5"/>
      <c r="AH103" s="5"/>
    </row>
    <row r="104" spans="1:35" s="1" customFormat="1" x14ac:dyDescent="0.25">
      <c r="A104" s="21">
        <v>2</v>
      </c>
      <c r="B104" s="22" t="s">
        <v>1636</v>
      </c>
      <c r="C104" s="50" t="s">
        <v>96</v>
      </c>
      <c r="D104" s="51" t="s">
        <v>384</v>
      </c>
      <c r="E104" s="52" t="s">
        <v>383</v>
      </c>
      <c r="F104" s="24"/>
      <c r="G104" s="24" t="s">
        <v>61</v>
      </c>
      <c r="H104" s="24" t="s">
        <v>62</v>
      </c>
      <c r="I104" s="24">
        <v>2011</v>
      </c>
      <c r="J104" s="24"/>
      <c r="K104" s="24" t="s">
        <v>63</v>
      </c>
      <c r="L104" s="24" t="s">
        <v>64</v>
      </c>
      <c r="M104" s="24">
        <v>1</v>
      </c>
      <c r="N104" s="41">
        <f t="shared" ref="N104:N108" si="25">SUM(O104/M104)</f>
        <v>1232500</v>
      </c>
      <c r="O104" s="41">
        <v>1232500</v>
      </c>
      <c r="P104" s="24"/>
      <c r="Q104" s="24"/>
      <c r="R104" s="24"/>
      <c r="S104" s="41">
        <f t="shared" ref="S104:S109" si="26">SUM(O104-R104)</f>
        <v>1232500</v>
      </c>
      <c r="T104" s="24">
        <v>5</v>
      </c>
      <c r="U104" s="41"/>
      <c r="V104" s="24">
        <v>0.5</v>
      </c>
      <c r="W104" s="41">
        <f t="shared" ref="W104:W108" si="27">SUM(U104*V104)</f>
        <v>0</v>
      </c>
      <c r="X104" s="24"/>
      <c r="Y104" s="41">
        <f t="shared" ref="Y104:Y108" si="28">SUM(U104*X104)</f>
        <v>0</v>
      </c>
      <c r="Z104" s="41">
        <f t="shared" ref="Z104:Z108" si="29">SUM(W104+Y104)</f>
        <v>0</v>
      </c>
      <c r="AA104" s="69">
        <v>5</v>
      </c>
      <c r="AB104" s="41">
        <v>1232500</v>
      </c>
      <c r="AC104" s="41">
        <f t="shared" ref="AC104:AC109" si="30">SUM(O104-AB104)</f>
        <v>0</v>
      </c>
      <c r="AD104" s="70" t="s">
        <v>385</v>
      </c>
      <c r="AE104" s="70"/>
      <c r="AF104" s="1">
        <v>1232500</v>
      </c>
      <c r="AG104" s="5">
        <f t="shared" ref="AG104:AG108" si="31">AB104+Z104-AB104</f>
        <v>0</v>
      </c>
      <c r="AH104" s="5"/>
      <c r="AI104" s="5"/>
    </row>
    <row r="105" spans="1:35" s="1" customFormat="1" x14ac:dyDescent="0.25">
      <c r="A105" s="21">
        <v>3</v>
      </c>
      <c r="B105" s="22" t="s">
        <v>1636</v>
      </c>
      <c r="C105" s="50" t="s">
        <v>100</v>
      </c>
      <c r="D105" s="51" t="s">
        <v>384</v>
      </c>
      <c r="E105" s="52" t="s">
        <v>383</v>
      </c>
      <c r="F105" s="52"/>
      <c r="G105" s="52" t="s">
        <v>61</v>
      </c>
      <c r="H105" s="52" t="s">
        <v>62</v>
      </c>
      <c r="I105" s="52">
        <v>2011</v>
      </c>
      <c r="J105" s="52"/>
      <c r="K105" s="52" t="s">
        <v>63</v>
      </c>
      <c r="L105" s="52" t="s">
        <v>64</v>
      </c>
      <c r="M105" s="52">
        <v>1</v>
      </c>
      <c r="N105" s="53">
        <f t="shared" si="25"/>
        <v>1232500</v>
      </c>
      <c r="O105" s="53">
        <v>1232500</v>
      </c>
      <c r="P105" s="52"/>
      <c r="Q105" s="52"/>
      <c r="R105" s="52"/>
      <c r="S105" s="53">
        <f t="shared" si="26"/>
        <v>1232500</v>
      </c>
      <c r="T105" s="52">
        <v>5</v>
      </c>
      <c r="U105" s="53"/>
      <c r="V105" s="52">
        <v>0.5</v>
      </c>
      <c r="W105" s="53">
        <f t="shared" si="27"/>
        <v>0</v>
      </c>
      <c r="X105" s="24"/>
      <c r="Y105" s="53">
        <f t="shared" si="28"/>
        <v>0</v>
      </c>
      <c r="Z105" s="53">
        <f t="shared" si="29"/>
        <v>0</v>
      </c>
      <c r="AA105" s="69">
        <v>5</v>
      </c>
      <c r="AB105" s="53">
        <v>1232500</v>
      </c>
      <c r="AC105" s="53">
        <f t="shared" si="30"/>
        <v>0</v>
      </c>
      <c r="AD105" s="56" t="s">
        <v>386</v>
      </c>
      <c r="AE105" s="56"/>
      <c r="AF105" s="1">
        <v>1232500</v>
      </c>
      <c r="AG105" s="5">
        <f t="shared" si="31"/>
        <v>0</v>
      </c>
      <c r="AH105" s="5"/>
      <c r="AI105" s="5"/>
    </row>
    <row r="106" spans="1:35" s="1" customFormat="1" x14ac:dyDescent="0.25">
      <c r="A106" s="21">
        <v>4</v>
      </c>
      <c r="B106" s="22" t="s">
        <v>1636</v>
      </c>
      <c r="C106" s="50" t="s">
        <v>105</v>
      </c>
      <c r="D106" s="51" t="s">
        <v>384</v>
      </c>
      <c r="E106" s="52" t="s">
        <v>383</v>
      </c>
      <c r="F106" s="52"/>
      <c r="G106" s="52" t="s">
        <v>61</v>
      </c>
      <c r="H106" s="52" t="s">
        <v>62</v>
      </c>
      <c r="I106" s="52">
        <v>2011</v>
      </c>
      <c r="J106" s="52"/>
      <c r="K106" s="52" t="s">
        <v>63</v>
      </c>
      <c r="L106" s="52" t="s">
        <v>64</v>
      </c>
      <c r="M106" s="52">
        <v>1</v>
      </c>
      <c r="N106" s="53">
        <f t="shared" si="25"/>
        <v>1232500</v>
      </c>
      <c r="O106" s="53">
        <v>1232500</v>
      </c>
      <c r="P106" s="52"/>
      <c r="Q106" s="52"/>
      <c r="R106" s="52"/>
      <c r="S106" s="53">
        <f t="shared" si="26"/>
        <v>1232500</v>
      </c>
      <c r="T106" s="52">
        <v>5</v>
      </c>
      <c r="U106" s="53"/>
      <c r="V106" s="52">
        <v>0.5</v>
      </c>
      <c r="W106" s="53">
        <f t="shared" si="27"/>
        <v>0</v>
      </c>
      <c r="X106" s="52"/>
      <c r="Y106" s="53">
        <f t="shared" si="28"/>
        <v>0</v>
      </c>
      <c r="Z106" s="53">
        <f t="shared" si="29"/>
        <v>0</v>
      </c>
      <c r="AA106" s="169">
        <v>5</v>
      </c>
      <c r="AB106" s="53">
        <v>1232500</v>
      </c>
      <c r="AC106" s="53">
        <f t="shared" si="30"/>
        <v>0</v>
      </c>
      <c r="AD106" s="56" t="s">
        <v>387</v>
      </c>
      <c r="AE106" s="56"/>
      <c r="AF106" s="1">
        <v>1232500</v>
      </c>
      <c r="AG106" s="5">
        <f t="shared" si="31"/>
        <v>0</v>
      </c>
      <c r="AH106" s="5"/>
      <c r="AI106" s="5"/>
    </row>
    <row r="107" spans="1:35" s="1" customFormat="1" x14ac:dyDescent="0.25">
      <c r="A107" s="21">
        <v>5</v>
      </c>
      <c r="B107" s="22" t="s">
        <v>1636</v>
      </c>
      <c r="C107" s="50" t="s">
        <v>108</v>
      </c>
      <c r="D107" s="51" t="s">
        <v>384</v>
      </c>
      <c r="E107" s="52" t="s">
        <v>383</v>
      </c>
      <c r="F107" s="52"/>
      <c r="G107" s="52" t="s">
        <v>61</v>
      </c>
      <c r="H107" s="52" t="s">
        <v>62</v>
      </c>
      <c r="I107" s="52">
        <v>2011</v>
      </c>
      <c r="J107" s="52"/>
      <c r="K107" s="52" t="s">
        <v>63</v>
      </c>
      <c r="L107" s="52" t="s">
        <v>64</v>
      </c>
      <c r="M107" s="52">
        <v>1</v>
      </c>
      <c r="N107" s="53">
        <f t="shared" si="25"/>
        <v>1232500</v>
      </c>
      <c r="O107" s="53">
        <v>1232500</v>
      </c>
      <c r="P107" s="52"/>
      <c r="Q107" s="52"/>
      <c r="R107" s="52"/>
      <c r="S107" s="53">
        <f t="shared" si="26"/>
        <v>1232500</v>
      </c>
      <c r="T107" s="52">
        <v>5</v>
      </c>
      <c r="U107" s="53"/>
      <c r="V107" s="52">
        <v>0.5</v>
      </c>
      <c r="W107" s="53">
        <f t="shared" si="27"/>
        <v>0</v>
      </c>
      <c r="X107" s="52"/>
      <c r="Y107" s="53">
        <f t="shared" si="28"/>
        <v>0</v>
      </c>
      <c r="Z107" s="53">
        <f t="shared" si="29"/>
        <v>0</v>
      </c>
      <c r="AA107" s="169">
        <v>5</v>
      </c>
      <c r="AB107" s="53">
        <v>1232500</v>
      </c>
      <c r="AC107" s="53">
        <f t="shared" si="30"/>
        <v>0</v>
      </c>
      <c r="AD107" s="56" t="s">
        <v>388</v>
      </c>
      <c r="AE107" s="56"/>
      <c r="AF107" s="74">
        <v>1232500</v>
      </c>
      <c r="AG107" s="5">
        <f t="shared" si="31"/>
        <v>0</v>
      </c>
      <c r="AH107" s="5"/>
      <c r="AI107" s="5"/>
    </row>
    <row r="108" spans="1:35" s="1" customFormat="1" x14ac:dyDescent="0.25">
      <c r="A108" s="21">
        <v>6</v>
      </c>
      <c r="B108" s="22" t="s">
        <v>1637</v>
      </c>
      <c r="C108" s="50" t="s">
        <v>135</v>
      </c>
      <c r="D108" s="51" t="s">
        <v>389</v>
      </c>
      <c r="E108" s="52" t="s">
        <v>383</v>
      </c>
      <c r="F108" s="52"/>
      <c r="G108" s="52" t="s">
        <v>61</v>
      </c>
      <c r="H108" s="52" t="s">
        <v>62</v>
      </c>
      <c r="I108" s="52">
        <v>2011</v>
      </c>
      <c r="J108" s="52"/>
      <c r="K108" s="52" t="s">
        <v>63</v>
      </c>
      <c r="L108" s="52" t="s">
        <v>64</v>
      </c>
      <c r="M108" s="52">
        <v>1</v>
      </c>
      <c r="N108" s="53">
        <f t="shared" si="25"/>
        <v>3345000</v>
      </c>
      <c r="O108" s="53">
        <v>3345000</v>
      </c>
      <c r="P108" s="52"/>
      <c r="Q108" s="52"/>
      <c r="R108" s="52"/>
      <c r="S108" s="53">
        <f t="shared" si="26"/>
        <v>3345000</v>
      </c>
      <c r="T108" s="52">
        <v>5</v>
      </c>
      <c r="U108" s="53"/>
      <c r="V108" s="52">
        <v>0.5</v>
      </c>
      <c r="W108" s="53">
        <f t="shared" si="27"/>
        <v>0</v>
      </c>
      <c r="X108" s="52"/>
      <c r="Y108" s="53">
        <f t="shared" si="28"/>
        <v>0</v>
      </c>
      <c r="Z108" s="53">
        <f t="shared" si="29"/>
        <v>0</v>
      </c>
      <c r="AA108" s="169">
        <v>5</v>
      </c>
      <c r="AB108" s="53">
        <v>3345000</v>
      </c>
      <c r="AC108" s="53">
        <f t="shared" si="30"/>
        <v>0</v>
      </c>
      <c r="AD108" s="56" t="s">
        <v>276</v>
      </c>
      <c r="AE108" s="56"/>
      <c r="AF108" s="1">
        <v>3345000</v>
      </c>
      <c r="AG108" s="5">
        <f t="shared" si="31"/>
        <v>0</v>
      </c>
      <c r="AH108" s="5"/>
      <c r="AI108" s="5"/>
    </row>
    <row r="109" spans="1:35" s="1" customFormat="1" x14ac:dyDescent="0.25">
      <c r="A109" s="21"/>
      <c r="B109" s="22" t="s">
        <v>1638</v>
      </c>
      <c r="C109" s="50" t="s">
        <v>92</v>
      </c>
      <c r="D109" s="51" t="s">
        <v>382</v>
      </c>
      <c r="E109" s="52" t="s">
        <v>383</v>
      </c>
      <c r="F109" s="52"/>
      <c r="G109" s="52" t="s">
        <v>61</v>
      </c>
      <c r="H109" s="52" t="s">
        <v>62</v>
      </c>
      <c r="I109" s="52">
        <v>2011</v>
      </c>
      <c r="J109" s="52"/>
      <c r="K109" s="52" t="s">
        <v>63</v>
      </c>
      <c r="L109" s="52" t="s">
        <v>64</v>
      </c>
      <c r="M109" s="166">
        <v>1</v>
      </c>
      <c r="N109" s="166">
        <f>SUM(O109/M109)</f>
        <v>1675000</v>
      </c>
      <c r="O109" s="53">
        <v>1675000</v>
      </c>
      <c r="P109" s="166"/>
      <c r="Q109" s="166"/>
      <c r="R109" s="166"/>
      <c r="S109" s="53">
        <f t="shared" si="26"/>
        <v>1675000</v>
      </c>
      <c r="T109" s="166">
        <v>5</v>
      </c>
      <c r="U109" s="53"/>
      <c r="V109" s="166">
        <v>0.5</v>
      </c>
      <c r="W109" s="53">
        <f>SUM(U109*V109)</f>
        <v>0</v>
      </c>
      <c r="X109" s="166"/>
      <c r="Y109" s="53">
        <f>SUM(U109*X109)</f>
        <v>0</v>
      </c>
      <c r="Z109" s="53">
        <f>SUM(W109+Y109)</f>
        <v>0</v>
      </c>
      <c r="AA109" s="390">
        <v>5</v>
      </c>
      <c r="AB109" s="53">
        <v>1675000</v>
      </c>
      <c r="AC109" s="53">
        <f t="shared" si="30"/>
        <v>0</v>
      </c>
      <c r="AD109" s="52" t="s">
        <v>259</v>
      </c>
      <c r="AE109" s="52"/>
      <c r="AG109" s="5"/>
      <c r="AH109" s="5"/>
      <c r="AI109" s="5"/>
    </row>
    <row r="110" spans="1:35" s="1" customFormat="1" x14ac:dyDescent="0.25">
      <c r="A110" s="21">
        <v>7</v>
      </c>
      <c r="B110" s="26" t="s">
        <v>1639</v>
      </c>
      <c r="C110" s="26"/>
      <c r="D110" s="27" t="s">
        <v>1640</v>
      </c>
      <c r="E110" s="28"/>
      <c r="F110" s="28"/>
      <c r="G110" s="28"/>
      <c r="H110" s="28"/>
      <c r="I110" s="28"/>
      <c r="J110" s="28"/>
      <c r="K110" s="28"/>
      <c r="L110" s="28"/>
      <c r="M110" s="28">
        <f>SUM(M111:M112)</f>
        <v>6</v>
      </c>
      <c r="N110" s="40"/>
      <c r="O110" s="40">
        <f>SUM(O111:O112)</f>
        <v>4625600</v>
      </c>
      <c r="P110" s="28"/>
      <c r="Q110" s="28"/>
      <c r="R110" s="28"/>
      <c r="S110" s="40">
        <f>SUM(S111:S112)</f>
        <v>4625600</v>
      </c>
      <c r="T110" s="28"/>
      <c r="U110" s="40">
        <f>SUM(U111:U112)</f>
        <v>791120</v>
      </c>
      <c r="V110" s="28"/>
      <c r="W110" s="40">
        <f>SUM(W111:W112)</f>
        <v>395560</v>
      </c>
      <c r="X110" s="28"/>
      <c r="Y110" s="40">
        <f>SUM(Y111:Y112)</f>
        <v>131853.33000000002</v>
      </c>
      <c r="Z110" s="40">
        <f>SUM(Z111:Z112)</f>
        <v>527413.33000000007</v>
      </c>
      <c r="AA110" s="176"/>
      <c r="AB110" s="40">
        <f>SUM(AB111:AB112)</f>
        <v>4625600</v>
      </c>
      <c r="AC110" s="40">
        <f>SUM(AC111:AC112)</f>
        <v>0</v>
      </c>
      <c r="AD110" s="167"/>
      <c r="AE110" s="167"/>
      <c r="AG110" s="168"/>
      <c r="AH110" s="5"/>
      <c r="AI110" s="5"/>
    </row>
    <row r="111" spans="1:35" s="1" customFormat="1" x14ac:dyDescent="0.25">
      <c r="A111" s="21">
        <v>8</v>
      </c>
      <c r="B111" s="22" t="s">
        <v>1641</v>
      </c>
      <c r="C111" s="50" t="s">
        <v>274</v>
      </c>
      <c r="D111" s="51" t="s">
        <v>3698</v>
      </c>
      <c r="E111" s="52" t="s">
        <v>265</v>
      </c>
      <c r="F111" s="52"/>
      <c r="G111" s="52" t="s">
        <v>194</v>
      </c>
      <c r="H111" s="52" t="s">
        <v>62</v>
      </c>
      <c r="I111" s="52">
        <v>2008</v>
      </c>
      <c r="J111" s="52"/>
      <c r="K111" s="52" t="s">
        <v>63</v>
      </c>
      <c r="L111" s="52" t="s">
        <v>64</v>
      </c>
      <c r="M111" s="52">
        <v>5</v>
      </c>
      <c r="N111" s="53">
        <f t="shared" ref="N111:N112" si="32">SUM(O111/M111)</f>
        <v>134000</v>
      </c>
      <c r="O111" s="53">
        <v>670000</v>
      </c>
      <c r="P111" s="52"/>
      <c r="Q111" s="52"/>
      <c r="R111" s="52"/>
      <c r="S111" s="53">
        <f>SUM(O111-R111)</f>
        <v>670000</v>
      </c>
      <c r="T111" s="52">
        <v>5</v>
      </c>
      <c r="U111" s="53"/>
      <c r="V111" s="52">
        <v>0.5</v>
      </c>
      <c r="W111" s="53">
        <f t="shared" ref="W111" si="33">SUM(U111*V111)</f>
        <v>0</v>
      </c>
      <c r="X111" s="52"/>
      <c r="Y111" s="53">
        <f t="shared" ref="Y111" si="34">SUM(U111*X111)</f>
        <v>0</v>
      </c>
      <c r="Z111" s="53">
        <f t="shared" ref="Z111:Z112" si="35">SUM(W111+Y111)</f>
        <v>0</v>
      </c>
      <c r="AA111" s="169">
        <v>5</v>
      </c>
      <c r="AB111" s="53">
        <v>670000</v>
      </c>
      <c r="AC111" s="53">
        <f>SUM(O111-AB111)</f>
        <v>0</v>
      </c>
      <c r="AD111" s="56" t="s">
        <v>276</v>
      </c>
      <c r="AE111" s="56"/>
      <c r="AF111" s="1">
        <v>670000</v>
      </c>
      <c r="AG111" s="168">
        <f t="shared" ref="AG111" si="36">AB111+Z111-AB111</f>
        <v>0</v>
      </c>
      <c r="AH111" s="5"/>
      <c r="AI111" s="5"/>
    </row>
    <row r="112" spans="1:35" s="1" customFormat="1" x14ac:dyDescent="0.25">
      <c r="A112" s="21">
        <v>9</v>
      </c>
      <c r="B112" s="22" t="s">
        <v>1642</v>
      </c>
      <c r="C112" s="50" t="s">
        <v>58</v>
      </c>
      <c r="D112" s="51" t="s">
        <v>396</v>
      </c>
      <c r="E112" s="52" t="s">
        <v>397</v>
      </c>
      <c r="F112" s="52"/>
      <c r="G112" s="52" t="s">
        <v>194</v>
      </c>
      <c r="H112" s="52" t="s">
        <v>62</v>
      </c>
      <c r="I112" s="52">
        <v>2018</v>
      </c>
      <c r="J112" s="52"/>
      <c r="K112" s="52" t="s">
        <v>63</v>
      </c>
      <c r="L112" s="52" t="s">
        <v>64</v>
      </c>
      <c r="M112" s="52">
        <v>1</v>
      </c>
      <c r="N112" s="53">
        <f t="shared" si="32"/>
        <v>3955600</v>
      </c>
      <c r="O112" s="53">
        <v>3955600</v>
      </c>
      <c r="P112" s="52"/>
      <c r="Q112" s="52"/>
      <c r="R112" s="52"/>
      <c r="S112" s="53">
        <f>SUM(O112-R112)</f>
        <v>3955600</v>
      </c>
      <c r="T112" s="52">
        <v>5</v>
      </c>
      <c r="U112" s="53">
        <f>SUM(S112/T112)</f>
        <v>791120</v>
      </c>
      <c r="V112" s="52">
        <v>0.5</v>
      </c>
      <c r="W112" s="53">
        <f>SUM(U112*V112)</f>
        <v>395560</v>
      </c>
      <c r="X112" s="52">
        <v>0.5</v>
      </c>
      <c r="Y112" s="53">
        <f>SUM(U112*X112)-263706.67</f>
        <v>131853.33000000002</v>
      </c>
      <c r="Z112" s="53">
        <f t="shared" si="35"/>
        <v>527413.33000000007</v>
      </c>
      <c r="AA112" s="169">
        <v>5</v>
      </c>
      <c r="AB112" s="53">
        <f>SUM(U112*AA112)</f>
        <v>3955600</v>
      </c>
      <c r="AC112" s="53">
        <f>SUM(O112-AB112)</f>
        <v>0</v>
      </c>
      <c r="AD112" s="56" t="s">
        <v>398</v>
      </c>
      <c r="AE112" s="56"/>
      <c r="AG112" s="168"/>
      <c r="AH112" s="5"/>
      <c r="AI112" s="5"/>
    </row>
    <row r="113" spans="1:35" s="1" customFormat="1" x14ac:dyDescent="0.25">
      <c r="A113" s="21">
        <v>10</v>
      </c>
      <c r="B113" s="26" t="s">
        <v>1643</v>
      </c>
      <c r="C113" s="26"/>
      <c r="D113" s="27" t="s">
        <v>1644</v>
      </c>
      <c r="E113" s="28"/>
      <c r="F113" s="28"/>
      <c r="G113" s="28"/>
      <c r="H113" s="28"/>
      <c r="I113" s="28"/>
      <c r="J113" s="28"/>
      <c r="K113" s="28"/>
      <c r="L113" s="28"/>
      <c r="M113" s="28">
        <f>SUM(M114)</f>
        <v>1</v>
      </c>
      <c r="N113" s="40"/>
      <c r="O113" s="40">
        <f>SUM(O114)</f>
        <v>39240300</v>
      </c>
      <c r="P113" s="28"/>
      <c r="Q113" s="28"/>
      <c r="R113" s="28"/>
      <c r="S113" s="40">
        <f>SUM(S114)</f>
        <v>39240300</v>
      </c>
      <c r="T113" s="28"/>
      <c r="U113" s="40">
        <f>SUM(U114)</f>
        <v>0</v>
      </c>
      <c r="V113" s="28"/>
      <c r="W113" s="40"/>
      <c r="X113" s="28"/>
      <c r="Y113" s="40"/>
      <c r="Z113" s="40"/>
      <c r="AA113" s="176"/>
      <c r="AB113" s="40">
        <f>SUM(AB114)</f>
        <v>39240300</v>
      </c>
      <c r="AC113" s="40">
        <f>SUM(AC114)</f>
        <v>0</v>
      </c>
      <c r="AD113" s="167"/>
      <c r="AE113" s="167"/>
      <c r="AG113" s="168"/>
      <c r="AH113" s="5"/>
      <c r="AI113" s="5"/>
    </row>
    <row r="114" spans="1:35" s="1" customFormat="1" x14ac:dyDescent="0.25">
      <c r="A114" s="21">
        <v>11</v>
      </c>
      <c r="B114" s="22" t="s">
        <v>1645</v>
      </c>
      <c r="C114" s="50" t="s">
        <v>58</v>
      </c>
      <c r="D114" s="51" t="s">
        <v>380</v>
      </c>
      <c r="E114" s="52" t="s">
        <v>381</v>
      </c>
      <c r="F114" s="52"/>
      <c r="G114" s="52" t="s">
        <v>194</v>
      </c>
      <c r="H114" s="52" t="s">
        <v>62</v>
      </c>
      <c r="I114" s="52">
        <v>2014</v>
      </c>
      <c r="J114" s="52"/>
      <c r="K114" s="52" t="s">
        <v>63</v>
      </c>
      <c r="L114" s="52" t="s">
        <v>64</v>
      </c>
      <c r="M114" s="52">
        <v>1</v>
      </c>
      <c r="N114" s="53">
        <f t="shared" ref="N114" si="37">SUM(O114/M114)</f>
        <v>39240300</v>
      </c>
      <c r="O114" s="53">
        <v>39240300</v>
      </c>
      <c r="P114" s="52"/>
      <c r="Q114" s="52"/>
      <c r="R114" s="52"/>
      <c r="S114" s="53">
        <f>SUM(O114-R114)</f>
        <v>39240300</v>
      </c>
      <c r="T114" s="52">
        <v>5</v>
      </c>
      <c r="U114" s="53"/>
      <c r="V114" s="52">
        <v>0.5</v>
      </c>
      <c r="W114" s="53">
        <f t="shared" ref="W114" si="38">SUM(U114*V114)</f>
        <v>0</v>
      </c>
      <c r="X114" s="52"/>
      <c r="Y114" s="53">
        <f t="shared" ref="Y114" si="39">SUM(U114*X114)</f>
        <v>0</v>
      </c>
      <c r="Z114" s="53">
        <f t="shared" ref="Z114" si="40">SUM(W114+Y114)</f>
        <v>0</v>
      </c>
      <c r="AA114" s="169">
        <v>5</v>
      </c>
      <c r="AB114" s="53">
        <v>39240300</v>
      </c>
      <c r="AC114" s="53">
        <f>SUM(O114-AB114)</f>
        <v>0</v>
      </c>
      <c r="AD114" s="56" t="s">
        <v>239</v>
      </c>
      <c r="AE114" s="56"/>
      <c r="AG114" s="168"/>
      <c r="AH114" s="5"/>
      <c r="AI114" s="5"/>
    </row>
    <row r="115" spans="1:35" s="1" customFormat="1" ht="10.5" customHeight="1" x14ac:dyDescent="0.25">
      <c r="A115" s="21">
        <v>12</v>
      </c>
      <c r="B115" s="26" t="s">
        <v>1646</v>
      </c>
      <c r="C115" s="26"/>
      <c r="D115" s="27" t="s">
        <v>1647</v>
      </c>
      <c r="E115" s="28"/>
      <c r="F115" s="28"/>
      <c r="G115" s="28"/>
      <c r="H115" s="28"/>
      <c r="I115" s="28"/>
      <c r="J115" s="28"/>
      <c r="K115" s="28"/>
      <c r="L115" s="28"/>
      <c r="M115" s="28">
        <f>SUM(M116:M170)</f>
        <v>201</v>
      </c>
      <c r="N115" s="40"/>
      <c r="O115" s="40">
        <f>SUM(O116:O170)</f>
        <v>464964000</v>
      </c>
      <c r="P115" s="28"/>
      <c r="Q115" s="28"/>
      <c r="R115" s="28"/>
      <c r="S115" s="40">
        <f>SUM(S116:S170)</f>
        <v>464964000</v>
      </c>
      <c r="T115" s="28"/>
      <c r="U115" s="40">
        <f>SUM(U116:U170)</f>
        <v>17057100</v>
      </c>
      <c r="V115" s="28"/>
      <c r="W115" s="40">
        <f>SUM(W116:W170)</f>
        <v>3478333.3333333335</v>
      </c>
      <c r="X115" s="28"/>
      <c r="Y115" s="40">
        <f>SUM(Y116:Y170)</f>
        <v>1070000</v>
      </c>
      <c r="Z115" s="40">
        <f>SUM(Z116:Z170)</f>
        <v>4548333.333333333</v>
      </c>
      <c r="AA115" s="176"/>
      <c r="AB115" s="40">
        <f>SUM(AB116:AB170)</f>
        <v>455512333.33333331</v>
      </c>
      <c r="AC115" s="40">
        <f>SUM(AC116:AC170)</f>
        <v>9451666.666666666</v>
      </c>
      <c r="AD115" s="167"/>
      <c r="AE115" s="167"/>
      <c r="AG115" s="168"/>
      <c r="AH115" s="5"/>
      <c r="AI115" s="5"/>
    </row>
    <row r="116" spans="1:35" s="1" customFormat="1" x14ac:dyDescent="0.25">
      <c r="A116" s="21">
        <v>1</v>
      </c>
      <c r="B116" s="22" t="s">
        <v>1648</v>
      </c>
      <c r="C116" s="22" t="s">
        <v>788</v>
      </c>
      <c r="D116" s="51" t="s">
        <v>789</v>
      </c>
      <c r="E116" s="24" t="s">
        <v>166</v>
      </c>
      <c r="F116" s="52"/>
      <c r="G116" s="52" t="s">
        <v>319</v>
      </c>
      <c r="H116" s="52" t="s">
        <v>62</v>
      </c>
      <c r="I116" s="52">
        <v>2012</v>
      </c>
      <c r="J116" s="52"/>
      <c r="K116" s="52" t="s">
        <v>63</v>
      </c>
      <c r="L116" s="52" t="s">
        <v>64</v>
      </c>
      <c r="M116" s="52">
        <v>1</v>
      </c>
      <c r="N116" s="53">
        <f t="shared" ref="N116:N122" si="41">SUM(O116/M116)</f>
        <v>1485000</v>
      </c>
      <c r="O116" s="53">
        <v>1485000</v>
      </c>
      <c r="P116" s="52"/>
      <c r="Q116" s="52"/>
      <c r="R116" s="52"/>
      <c r="S116" s="53">
        <f t="shared" ref="S116:S142" si="42">SUM(O116-R116)</f>
        <v>1485000</v>
      </c>
      <c r="T116" s="52">
        <v>5</v>
      </c>
      <c r="U116" s="53"/>
      <c r="V116" s="52">
        <v>0.5</v>
      </c>
      <c r="W116" s="53">
        <f t="shared" ref="W116:W120" si="43">SUM(U116*V116)</f>
        <v>0</v>
      </c>
      <c r="X116" s="52"/>
      <c r="Y116" s="53">
        <f t="shared" ref="Y116:Y122" si="44">SUM(U116*X116)</f>
        <v>0</v>
      </c>
      <c r="Z116" s="53">
        <f t="shared" ref="Z116:Z122" si="45">SUM(W116+Y116)</f>
        <v>0</v>
      </c>
      <c r="AA116" s="169">
        <v>5</v>
      </c>
      <c r="AB116" s="53">
        <v>1485000</v>
      </c>
      <c r="AC116" s="53">
        <f t="shared" ref="AC116:AC142" si="46">SUM(O116-AB116)</f>
        <v>0</v>
      </c>
      <c r="AD116" s="56" t="s">
        <v>348</v>
      </c>
      <c r="AE116" s="56"/>
      <c r="AF116" s="1">
        <v>3080000</v>
      </c>
      <c r="AG116" s="168">
        <f t="shared" ref="AG116:AG120" si="47">AB116+Z116-AB116</f>
        <v>0</v>
      </c>
      <c r="AH116" s="5"/>
      <c r="AI116" s="5"/>
    </row>
    <row r="117" spans="1:35" s="1" customFormat="1" x14ac:dyDescent="0.25">
      <c r="A117" s="21">
        <v>2</v>
      </c>
      <c r="B117" s="22" t="s">
        <v>1648</v>
      </c>
      <c r="C117" s="22" t="s">
        <v>790</v>
      </c>
      <c r="D117" s="51" t="s">
        <v>789</v>
      </c>
      <c r="E117" s="24" t="s">
        <v>166</v>
      </c>
      <c r="F117" s="52"/>
      <c r="G117" s="52" t="s">
        <v>319</v>
      </c>
      <c r="H117" s="52" t="s">
        <v>62</v>
      </c>
      <c r="I117" s="52">
        <v>2012</v>
      </c>
      <c r="J117" s="52"/>
      <c r="K117" s="52" t="s">
        <v>63</v>
      </c>
      <c r="L117" s="52" t="s">
        <v>64</v>
      </c>
      <c r="M117" s="52">
        <v>14</v>
      </c>
      <c r="N117" s="53">
        <f t="shared" si="41"/>
        <v>1485000</v>
      </c>
      <c r="O117" s="53">
        <v>20790000</v>
      </c>
      <c r="P117" s="52"/>
      <c r="Q117" s="52"/>
      <c r="R117" s="52"/>
      <c r="S117" s="53">
        <f t="shared" si="42"/>
        <v>20790000</v>
      </c>
      <c r="T117" s="52">
        <v>5</v>
      </c>
      <c r="U117" s="53"/>
      <c r="V117" s="52">
        <v>0.5</v>
      </c>
      <c r="W117" s="53">
        <f t="shared" si="43"/>
        <v>0</v>
      </c>
      <c r="X117" s="52"/>
      <c r="Y117" s="53">
        <f t="shared" si="44"/>
        <v>0</v>
      </c>
      <c r="Z117" s="53">
        <f t="shared" si="45"/>
        <v>0</v>
      </c>
      <c r="AA117" s="169">
        <v>5</v>
      </c>
      <c r="AB117" s="53">
        <v>20790000</v>
      </c>
      <c r="AC117" s="53">
        <f t="shared" si="46"/>
        <v>0</v>
      </c>
      <c r="AD117" s="56" t="s">
        <v>350</v>
      </c>
      <c r="AE117" s="56"/>
      <c r="AF117" s="1">
        <v>3080000</v>
      </c>
      <c r="AG117" s="168">
        <f t="shared" si="47"/>
        <v>0</v>
      </c>
      <c r="AH117" s="5"/>
      <c r="AI117" s="5"/>
    </row>
    <row r="118" spans="1:35" s="1" customFormat="1" x14ac:dyDescent="0.25">
      <c r="A118" s="21">
        <v>3</v>
      </c>
      <c r="B118" s="22" t="s">
        <v>1648</v>
      </c>
      <c r="C118" s="22" t="s">
        <v>791</v>
      </c>
      <c r="D118" s="51" t="s">
        <v>789</v>
      </c>
      <c r="E118" s="24" t="s">
        <v>166</v>
      </c>
      <c r="F118" s="52"/>
      <c r="G118" s="52" t="s">
        <v>319</v>
      </c>
      <c r="H118" s="52" t="s">
        <v>62</v>
      </c>
      <c r="I118" s="52">
        <v>2012</v>
      </c>
      <c r="J118" s="52"/>
      <c r="K118" s="52" t="s">
        <v>63</v>
      </c>
      <c r="L118" s="52" t="s">
        <v>64</v>
      </c>
      <c r="M118" s="52">
        <v>1</v>
      </c>
      <c r="N118" s="53">
        <f t="shared" si="41"/>
        <v>1485000</v>
      </c>
      <c r="O118" s="53">
        <v>1485000</v>
      </c>
      <c r="P118" s="52"/>
      <c r="Q118" s="52"/>
      <c r="R118" s="52"/>
      <c r="S118" s="53">
        <f t="shared" si="42"/>
        <v>1485000</v>
      </c>
      <c r="T118" s="52">
        <v>5</v>
      </c>
      <c r="U118" s="53"/>
      <c r="V118" s="52">
        <v>0.5</v>
      </c>
      <c r="W118" s="53">
        <f t="shared" si="43"/>
        <v>0</v>
      </c>
      <c r="X118" s="52"/>
      <c r="Y118" s="53">
        <f t="shared" si="44"/>
        <v>0</v>
      </c>
      <c r="Z118" s="53">
        <f t="shared" si="45"/>
        <v>0</v>
      </c>
      <c r="AA118" s="169">
        <v>5</v>
      </c>
      <c r="AB118" s="53">
        <v>1485000</v>
      </c>
      <c r="AC118" s="53">
        <f t="shared" si="46"/>
        <v>0</v>
      </c>
      <c r="AD118" s="56" t="s">
        <v>351</v>
      </c>
      <c r="AE118" s="56"/>
      <c r="AF118" s="1">
        <v>1485000</v>
      </c>
      <c r="AG118" s="168">
        <f t="shared" si="47"/>
        <v>0</v>
      </c>
      <c r="AH118" s="5"/>
      <c r="AI118" s="5"/>
    </row>
    <row r="119" spans="1:35" s="1" customFormat="1" x14ac:dyDescent="0.25">
      <c r="A119" s="21">
        <v>4</v>
      </c>
      <c r="B119" s="22" t="s">
        <v>1648</v>
      </c>
      <c r="C119" s="22" t="s">
        <v>792</v>
      </c>
      <c r="D119" s="51" t="s">
        <v>789</v>
      </c>
      <c r="E119" s="24" t="s">
        <v>166</v>
      </c>
      <c r="F119" s="52"/>
      <c r="G119" s="52" t="s">
        <v>319</v>
      </c>
      <c r="H119" s="52" t="s">
        <v>62</v>
      </c>
      <c r="I119" s="52">
        <v>2012</v>
      </c>
      <c r="J119" s="52"/>
      <c r="K119" s="52" t="s">
        <v>63</v>
      </c>
      <c r="L119" s="52" t="s">
        <v>64</v>
      </c>
      <c r="M119" s="52">
        <v>17</v>
      </c>
      <c r="N119" s="53">
        <f t="shared" si="41"/>
        <v>1485000</v>
      </c>
      <c r="O119" s="53">
        <v>25245000</v>
      </c>
      <c r="P119" s="52"/>
      <c r="Q119" s="52"/>
      <c r="R119" s="52"/>
      <c r="S119" s="53">
        <f t="shared" si="42"/>
        <v>25245000</v>
      </c>
      <c r="T119" s="52">
        <v>5</v>
      </c>
      <c r="U119" s="53"/>
      <c r="V119" s="52">
        <v>0.5</v>
      </c>
      <c r="W119" s="53">
        <f t="shared" si="43"/>
        <v>0</v>
      </c>
      <c r="X119" s="52"/>
      <c r="Y119" s="53">
        <f t="shared" si="44"/>
        <v>0</v>
      </c>
      <c r="Z119" s="53">
        <f t="shared" si="45"/>
        <v>0</v>
      </c>
      <c r="AA119" s="169">
        <v>5</v>
      </c>
      <c r="AB119" s="53">
        <v>25245000</v>
      </c>
      <c r="AC119" s="53">
        <f t="shared" si="46"/>
        <v>0</v>
      </c>
      <c r="AD119" s="56" t="s">
        <v>354</v>
      </c>
      <c r="AE119" s="56"/>
      <c r="AF119" s="1">
        <v>25245000</v>
      </c>
      <c r="AG119" s="168">
        <f t="shared" si="47"/>
        <v>0</v>
      </c>
      <c r="AH119" s="5"/>
      <c r="AI119" s="5"/>
    </row>
    <row r="120" spans="1:35" s="1" customFormat="1" x14ac:dyDescent="0.25">
      <c r="A120" s="21">
        <v>5</v>
      </c>
      <c r="B120" s="22" t="s">
        <v>1648</v>
      </c>
      <c r="C120" s="22" t="s">
        <v>436</v>
      </c>
      <c r="D120" s="51" t="s">
        <v>789</v>
      </c>
      <c r="E120" s="24" t="s">
        <v>166</v>
      </c>
      <c r="F120" s="52"/>
      <c r="G120" s="52" t="s">
        <v>319</v>
      </c>
      <c r="H120" s="52" t="s">
        <v>62</v>
      </c>
      <c r="I120" s="52">
        <v>2012</v>
      </c>
      <c r="J120" s="52"/>
      <c r="K120" s="52" t="s">
        <v>63</v>
      </c>
      <c r="L120" s="52" t="s">
        <v>64</v>
      </c>
      <c r="M120" s="52">
        <v>1</v>
      </c>
      <c r="N120" s="53">
        <f t="shared" si="41"/>
        <v>1485000</v>
      </c>
      <c r="O120" s="53">
        <v>1485000</v>
      </c>
      <c r="P120" s="52"/>
      <c r="Q120" s="52"/>
      <c r="R120" s="52"/>
      <c r="S120" s="53">
        <f t="shared" si="42"/>
        <v>1485000</v>
      </c>
      <c r="T120" s="52">
        <v>5</v>
      </c>
      <c r="U120" s="53"/>
      <c r="V120" s="52">
        <v>0.5</v>
      </c>
      <c r="W120" s="53">
        <f t="shared" si="43"/>
        <v>0</v>
      </c>
      <c r="X120" s="52"/>
      <c r="Y120" s="53">
        <f t="shared" si="44"/>
        <v>0</v>
      </c>
      <c r="Z120" s="53">
        <f t="shared" si="45"/>
        <v>0</v>
      </c>
      <c r="AA120" s="169">
        <v>5</v>
      </c>
      <c r="AB120" s="53">
        <v>1485000</v>
      </c>
      <c r="AC120" s="53">
        <f t="shared" si="46"/>
        <v>0</v>
      </c>
      <c r="AD120" s="56" t="s">
        <v>480</v>
      </c>
      <c r="AE120" s="56"/>
      <c r="AF120" s="1">
        <v>1485000</v>
      </c>
      <c r="AG120" s="168">
        <f t="shared" si="47"/>
        <v>0</v>
      </c>
      <c r="AH120" s="5"/>
      <c r="AI120" s="5"/>
    </row>
    <row r="121" spans="1:35" s="1" customFormat="1" x14ac:dyDescent="0.25">
      <c r="A121" s="21">
        <v>6</v>
      </c>
      <c r="B121" s="22" t="s">
        <v>1648</v>
      </c>
      <c r="C121" s="22" t="s">
        <v>793</v>
      </c>
      <c r="D121" s="51" t="s">
        <v>789</v>
      </c>
      <c r="E121" s="24" t="s">
        <v>166</v>
      </c>
      <c r="F121" s="52"/>
      <c r="G121" s="52" t="s">
        <v>319</v>
      </c>
      <c r="H121" s="52" t="s">
        <v>62</v>
      </c>
      <c r="I121" s="52">
        <v>2018</v>
      </c>
      <c r="J121" s="52"/>
      <c r="K121" s="52" t="s">
        <v>63</v>
      </c>
      <c r="L121" s="52" t="s">
        <v>64</v>
      </c>
      <c r="M121" s="52">
        <v>8</v>
      </c>
      <c r="N121" s="53">
        <f t="shared" si="41"/>
        <v>2475000</v>
      </c>
      <c r="O121" s="53">
        <v>19800000</v>
      </c>
      <c r="P121" s="52"/>
      <c r="Q121" s="52"/>
      <c r="R121" s="52"/>
      <c r="S121" s="53">
        <f t="shared" si="42"/>
        <v>19800000</v>
      </c>
      <c r="T121" s="52">
        <v>5</v>
      </c>
      <c r="U121" s="53">
        <f>SUM(S121/T121)</f>
        <v>3960000</v>
      </c>
      <c r="V121" s="52">
        <v>0.5</v>
      </c>
      <c r="W121" s="53">
        <f>SUM(U121*V121)-330000</f>
        <v>1650000</v>
      </c>
      <c r="X121" s="52"/>
      <c r="Y121" s="53">
        <f t="shared" si="44"/>
        <v>0</v>
      </c>
      <c r="Z121" s="53">
        <f t="shared" si="45"/>
        <v>1650000</v>
      </c>
      <c r="AA121" s="169">
        <v>5</v>
      </c>
      <c r="AB121" s="53">
        <v>19800000</v>
      </c>
      <c r="AC121" s="53">
        <f t="shared" si="46"/>
        <v>0</v>
      </c>
      <c r="AD121" s="56" t="s">
        <v>367</v>
      </c>
      <c r="AE121" s="56"/>
      <c r="AF121" s="1">
        <v>18150000</v>
      </c>
      <c r="AG121" s="168">
        <f>AF121+Z121-AB121</f>
        <v>0</v>
      </c>
      <c r="AH121" s="5"/>
      <c r="AI121" s="5"/>
    </row>
    <row r="122" spans="1:35" s="1" customFormat="1" x14ac:dyDescent="0.25">
      <c r="A122" s="21">
        <v>7</v>
      </c>
      <c r="B122" s="22" t="s">
        <v>1648</v>
      </c>
      <c r="C122" s="22" t="s">
        <v>794</v>
      </c>
      <c r="D122" s="51" t="s">
        <v>789</v>
      </c>
      <c r="E122" s="24" t="s">
        <v>166</v>
      </c>
      <c r="F122" s="52"/>
      <c r="G122" s="52" t="s">
        <v>319</v>
      </c>
      <c r="H122" s="52" t="s">
        <v>62</v>
      </c>
      <c r="I122" s="52">
        <v>2018</v>
      </c>
      <c r="J122" s="52"/>
      <c r="K122" s="52" t="s">
        <v>63</v>
      </c>
      <c r="L122" s="52" t="s">
        <v>64</v>
      </c>
      <c r="M122" s="52">
        <v>8</v>
      </c>
      <c r="N122" s="53">
        <f t="shared" si="41"/>
        <v>2475000</v>
      </c>
      <c r="O122" s="53">
        <v>19800000</v>
      </c>
      <c r="P122" s="52"/>
      <c r="Q122" s="52"/>
      <c r="R122" s="52"/>
      <c r="S122" s="53">
        <f t="shared" si="42"/>
        <v>19800000</v>
      </c>
      <c r="T122" s="52">
        <v>5</v>
      </c>
      <c r="U122" s="53">
        <f>SUM(S122/T122)</f>
        <v>3960000</v>
      </c>
      <c r="V122" s="52">
        <v>0.5</v>
      </c>
      <c r="W122" s="53">
        <f>SUM(U122*V122)-330000</f>
        <v>1650000</v>
      </c>
      <c r="X122" s="52"/>
      <c r="Y122" s="53">
        <f t="shared" si="44"/>
        <v>0</v>
      </c>
      <c r="Z122" s="53">
        <f t="shared" si="45"/>
        <v>1650000</v>
      </c>
      <c r="AA122" s="169">
        <v>5</v>
      </c>
      <c r="AB122" s="53">
        <v>19800000</v>
      </c>
      <c r="AC122" s="53">
        <f t="shared" si="46"/>
        <v>0</v>
      </c>
      <c r="AD122" s="56" t="s">
        <v>370</v>
      </c>
      <c r="AE122" s="56"/>
      <c r="AF122" s="1">
        <v>18150000</v>
      </c>
      <c r="AG122" s="168">
        <f>AF122+Z122-AB122</f>
        <v>0</v>
      </c>
      <c r="AH122" s="5"/>
      <c r="AI122" s="5"/>
    </row>
    <row r="123" spans="1:35" s="1" customFormat="1" x14ac:dyDescent="0.25">
      <c r="A123" s="21">
        <v>13</v>
      </c>
      <c r="B123" s="22" t="s">
        <v>1648</v>
      </c>
      <c r="C123" s="22" t="s">
        <v>58</v>
      </c>
      <c r="D123" s="51" t="s">
        <v>795</v>
      </c>
      <c r="E123" s="24" t="s">
        <v>166</v>
      </c>
      <c r="F123" s="52"/>
      <c r="G123" s="52" t="s">
        <v>319</v>
      </c>
      <c r="H123" s="52" t="s">
        <v>62</v>
      </c>
      <c r="I123" s="52">
        <v>2012</v>
      </c>
      <c r="J123" s="52"/>
      <c r="K123" s="52" t="s">
        <v>63</v>
      </c>
      <c r="L123" s="52" t="s">
        <v>64</v>
      </c>
      <c r="M123" s="52">
        <v>1</v>
      </c>
      <c r="N123" s="53">
        <f t="shared" ref="N123:N168" si="48">SUM(O123/M123)</f>
        <v>5126500</v>
      </c>
      <c r="O123" s="53">
        <v>5126500</v>
      </c>
      <c r="P123" s="52"/>
      <c r="Q123" s="52"/>
      <c r="R123" s="52"/>
      <c r="S123" s="53">
        <f t="shared" si="42"/>
        <v>5126500</v>
      </c>
      <c r="T123" s="52">
        <v>5</v>
      </c>
      <c r="U123" s="53"/>
      <c r="V123" s="52">
        <v>0.5</v>
      </c>
      <c r="W123" s="53">
        <f t="shared" ref="W123:W138" si="49">SUM(U123*V123)</f>
        <v>0</v>
      </c>
      <c r="X123" s="52"/>
      <c r="Y123" s="53">
        <f t="shared" ref="Y123:Y138" si="50">SUM(U123*X123)</f>
        <v>0</v>
      </c>
      <c r="Z123" s="53">
        <f t="shared" ref="Z123:Z138" si="51">SUM(W123+Y123)</f>
        <v>0</v>
      </c>
      <c r="AA123" s="169">
        <v>5</v>
      </c>
      <c r="AB123" s="53">
        <v>5126500</v>
      </c>
      <c r="AC123" s="53">
        <f t="shared" si="46"/>
        <v>0</v>
      </c>
      <c r="AD123" s="56" t="s">
        <v>746</v>
      </c>
      <c r="AE123" s="56"/>
      <c r="AF123" s="1">
        <v>5126500</v>
      </c>
      <c r="AG123" s="168">
        <f t="shared" ref="AG123:AG170" si="52">AB123+Z123-AB123</f>
        <v>0</v>
      </c>
      <c r="AH123" s="5"/>
      <c r="AI123" s="5"/>
    </row>
    <row r="124" spans="1:35" s="1" customFormat="1" x14ac:dyDescent="0.25">
      <c r="A124" s="21">
        <v>14</v>
      </c>
      <c r="B124" s="22" t="s">
        <v>1648</v>
      </c>
      <c r="C124" s="50" t="s">
        <v>726</v>
      </c>
      <c r="D124" s="51" t="s">
        <v>796</v>
      </c>
      <c r="E124" s="52" t="s">
        <v>166</v>
      </c>
      <c r="F124" s="52"/>
      <c r="G124" s="52" t="s">
        <v>319</v>
      </c>
      <c r="H124" s="52" t="s">
        <v>62</v>
      </c>
      <c r="I124" s="52">
        <v>2012</v>
      </c>
      <c r="J124" s="52"/>
      <c r="K124" s="52" t="s">
        <v>63</v>
      </c>
      <c r="L124" s="52" t="s">
        <v>64</v>
      </c>
      <c r="M124" s="52">
        <v>40</v>
      </c>
      <c r="N124" s="53">
        <f t="shared" si="48"/>
        <v>1217075</v>
      </c>
      <c r="O124" s="53">
        <v>48683000</v>
      </c>
      <c r="P124" s="52"/>
      <c r="Q124" s="52"/>
      <c r="R124" s="52"/>
      <c r="S124" s="53">
        <f t="shared" si="42"/>
        <v>48683000</v>
      </c>
      <c r="T124" s="52">
        <v>5</v>
      </c>
      <c r="U124" s="53"/>
      <c r="V124" s="52">
        <v>0.5</v>
      </c>
      <c r="W124" s="53">
        <f t="shared" si="49"/>
        <v>0</v>
      </c>
      <c r="X124" s="52"/>
      <c r="Y124" s="53">
        <f t="shared" si="50"/>
        <v>0</v>
      </c>
      <c r="Z124" s="53">
        <f t="shared" si="51"/>
        <v>0</v>
      </c>
      <c r="AA124" s="169">
        <v>5</v>
      </c>
      <c r="AB124" s="53">
        <v>48683000</v>
      </c>
      <c r="AC124" s="53">
        <f t="shared" si="46"/>
        <v>0</v>
      </c>
      <c r="AD124" s="56" t="s">
        <v>357</v>
      </c>
      <c r="AE124" s="56"/>
      <c r="AF124" s="1">
        <v>48683000</v>
      </c>
      <c r="AG124" s="168">
        <f t="shared" si="52"/>
        <v>0</v>
      </c>
      <c r="AH124" s="5"/>
      <c r="AI124" s="5"/>
    </row>
    <row r="125" spans="1:35" s="1" customFormat="1" x14ac:dyDescent="0.25">
      <c r="A125" s="21">
        <v>15</v>
      </c>
      <c r="B125" s="22" t="s">
        <v>1648</v>
      </c>
      <c r="C125" s="50" t="s">
        <v>407</v>
      </c>
      <c r="D125" s="51" t="s">
        <v>797</v>
      </c>
      <c r="E125" s="52" t="s">
        <v>166</v>
      </c>
      <c r="F125" s="52"/>
      <c r="G125" s="52" t="s">
        <v>319</v>
      </c>
      <c r="H125" s="52" t="s">
        <v>62</v>
      </c>
      <c r="I125" s="52">
        <v>2004</v>
      </c>
      <c r="J125" s="52"/>
      <c r="K125" s="52" t="s">
        <v>63</v>
      </c>
      <c r="L125" s="52" t="s">
        <v>212</v>
      </c>
      <c r="M125" s="52">
        <v>1</v>
      </c>
      <c r="N125" s="53">
        <f t="shared" si="48"/>
        <v>1750000</v>
      </c>
      <c r="O125" s="53">
        <v>1750000</v>
      </c>
      <c r="P125" s="52"/>
      <c r="Q125" s="52"/>
      <c r="R125" s="52"/>
      <c r="S125" s="53">
        <f t="shared" si="42"/>
        <v>1750000</v>
      </c>
      <c r="T125" s="52">
        <v>5</v>
      </c>
      <c r="U125" s="53"/>
      <c r="V125" s="52">
        <v>0.5</v>
      </c>
      <c r="W125" s="53">
        <f t="shared" si="49"/>
        <v>0</v>
      </c>
      <c r="X125" s="52"/>
      <c r="Y125" s="53">
        <f t="shared" si="50"/>
        <v>0</v>
      </c>
      <c r="Z125" s="53">
        <f t="shared" si="51"/>
        <v>0</v>
      </c>
      <c r="AA125" s="169">
        <v>5</v>
      </c>
      <c r="AB125" s="53">
        <v>1750000</v>
      </c>
      <c r="AC125" s="53">
        <f t="shared" si="46"/>
        <v>0</v>
      </c>
      <c r="AD125" s="56" t="s">
        <v>351</v>
      </c>
      <c r="AE125" s="56"/>
      <c r="AF125" s="1">
        <v>1750000</v>
      </c>
      <c r="AG125" s="168">
        <f t="shared" si="52"/>
        <v>0</v>
      </c>
      <c r="AH125" s="5"/>
      <c r="AI125" s="5"/>
    </row>
    <row r="126" spans="1:35" s="1" customFormat="1" x14ac:dyDescent="0.25">
      <c r="A126" s="21">
        <v>16</v>
      </c>
      <c r="B126" s="22" t="s">
        <v>1648</v>
      </c>
      <c r="C126" s="50" t="s">
        <v>408</v>
      </c>
      <c r="D126" s="51" t="s">
        <v>797</v>
      </c>
      <c r="E126" s="52" t="s">
        <v>166</v>
      </c>
      <c r="F126" s="24"/>
      <c r="G126" s="24" t="s">
        <v>319</v>
      </c>
      <c r="H126" s="24" t="s">
        <v>62</v>
      </c>
      <c r="I126" s="24">
        <v>2004</v>
      </c>
      <c r="J126" s="24"/>
      <c r="K126" s="24" t="s">
        <v>63</v>
      </c>
      <c r="L126" s="24" t="s">
        <v>212</v>
      </c>
      <c r="M126" s="24">
        <v>1</v>
      </c>
      <c r="N126" s="41">
        <f t="shared" si="48"/>
        <v>4150000</v>
      </c>
      <c r="O126" s="41">
        <v>4150000</v>
      </c>
      <c r="P126" s="24"/>
      <c r="Q126" s="24"/>
      <c r="R126" s="24"/>
      <c r="S126" s="41">
        <f t="shared" si="42"/>
        <v>4150000</v>
      </c>
      <c r="T126" s="24">
        <v>5</v>
      </c>
      <c r="U126" s="41"/>
      <c r="V126" s="24">
        <v>0.5</v>
      </c>
      <c r="W126" s="41">
        <f t="shared" si="49"/>
        <v>0</v>
      </c>
      <c r="X126" s="24"/>
      <c r="Y126" s="41">
        <f t="shared" si="50"/>
        <v>0</v>
      </c>
      <c r="Z126" s="41">
        <f t="shared" si="51"/>
        <v>0</v>
      </c>
      <c r="AA126" s="69">
        <v>5</v>
      </c>
      <c r="AB126" s="41">
        <v>4150000</v>
      </c>
      <c r="AC126" s="41">
        <f t="shared" si="46"/>
        <v>0</v>
      </c>
      <c r="AD126" s="70" t="s">
        <v>616</v>
      </c>
      <c r="AE126" s="56"/>
      <c r="AF126" s="1">
        <v>4150000</v>
      </c>
      <c r="AG126" s="168">
        <f t="shared" si="52"/>
        <v>0</v>
      </c>
      <c r="AH126" s="5"/>
      <c r="AI126" s="5"/>
    </row>
    <row r="127" spans="1:35" s="1" customFormat="1" x14ac:dyDescent="0.25">
      <c r="A127" s="21">
        <v>17</v>
      </c>
      <c r="B127" s="22" t="s">
        <v>1648</v>
      </c>
      <c r="C127" s="50" t="s">
        <v>409</v>
      </c>
      <c r="D127" s="51" t="s">
        <v>797</v>
      </c>
      <c r="E127" s="52" t="s">
        <v>166</v>
      </c>
      <c r="F127" s="24"/>
      <c r="G127" s="24" t="s">
        <v>319</v>
      </c>
      <c r="H127" s="24" t="s">
        <v>62</v>
      </c>
      <c r="I127" s="24">
        <v>2004</v>
      </c>
      <c r="J127" s="24"/>
      <c r="K127" s="24" t="s">
        <v>63</v>
      </c>
      <c r="L127" s="24" t="s">
        <v>212</v>
      </c>
      <c r="M127" s="24">
        <v>1</v>
      </c>
      <c r="N127" s="41">
        <f t="shared" si="48"/>
        <v>2960000</v>
      </c>
      <c r="O127" s="41">
        <v>2960000</v>
      </c>
      <c r="P127" s="24"/>
      <c r="Q127" s="24"/>
      <c r="R127" s="24"/>
      <c r="S127" s="41">
        <f t="shared" si="42"/>
        <v>2960000</v>
      </c>
      <c r="T127" s="24">
        <v>5</v>
      </c>
      <c r="U127" s="41"/>
      <c r="V127" s="24">
        <v>0.5</v>
      </c>
      <c r="W127" s="41">
        <f t="shared" si="49"/>
        <v>0</v>
      </c>
      <c r="X127" s="24"/>
      <c r="Y127" s="41">
        <f t="shared" si="50"/>
        <v>0</v>
      </c>
      <c r="Z127" s="41">
        <f t="shared" si="51"/>
        <v>0</v>
      </c>
      <c r="AA127" s="69">
        <v>5</v>
      </c>
      <c r="AB127" s="41">
        <v>2960000</v>
      </c>
      <c r="AC127" s="41">
        <f t="shared" si="46"/>
        <v>0</v>
      </c>
      <c r="AD127" s="70" t="s">
        <v>540</v>
      </c>
      <c r="AE127" s="56"/>
      <c r="AF127" s="1">
        <v>2960000</v>
      </c>
      <c r="AG127" s="168">
        <f t="shared" si="52"/>
        <v>0</v>
      </c>
      <c r="AH127" s="5"/>
      <c r="AI127" s="5"/>
    </row>
    <row r="128" spans="1:35" s="1" customFormat="1" x14ac:dyDescent="0.25">
      <c r="A128" s="21">
        <v>18</v>
      </c>
      <c r="B128" s="22" t="s">
        <v>1648</v>
      </c>
      <c r="C128" s="50" t="s">
        <v>726</v>
      </c>
      <c r="D128" s="51" t="s">
        <v>798</v>
      </c>
      <c r="E128" s="52" t="s">
        <v>166</v>
      </c>
      <c r="F128" s="24"/>
      <c r="G128" s="24" t="s">
        <v>319</v>
      </c>
      <c r="H128" s="24" t="s">
        <v>62</v>
      </c>
      <c r="I128" s="24">
        <v>2012</v>
      </c>
      <c r="J128" s="24"/>
      <c r="K128" s="24" t="s">
        <v>63</v>
      </c>
      <c r="L128" s="24" t="s">
        <v>64</v>
      </c>
      <c r="M128" s="24">
        <v>40</v>
      </c>
      <c r="N128" s="41">
        <f t="shared" si="48"/>
        <v>2359475</v>
      </c>
      <c r="O128" s="41">
        <v>94379000</v>
      </c>
      <c r="P128" s="24"/>
      <c r="Q128" s="24"/>
      <c r="R128" s="24"/>
      <c r="S128" s="41">
        <f t="shared" si="42"/>
        <v>94379000</v>
      </c>
      <c r="T128" s="24">
        <v>5</v>
      </c>
      <c r="U128" s="41"/>
      <c r="V128" s="24">
        <v>0.5</v>
      </c>
      <c r="W128" s="41">
        <f t="shared" si="49"/>
        <v>0</v>
      </c>
      <c r="X128" s="24"/>
      <c r="Y128" s="41">
        <f t="shared" si="50"/>
        <v>0</v>
      </c>
      <c r="Z128" s="41">
        <f t="shared" si="51"/>
        <v>0</v>
      </c>
      <c r="AA128" s="69">
        <v>5</v>
      </c>
      <c r="AB128" s="41">
        <v>94379000</v>
      </c>
      <c r="AC128" s="41">
        <f t="shared" si="46"/>
        <v>0</v>
      </c>
      <c r="AD128" s="70" t="s">
        <v>357</v>
      </c>
      <c r="AE128" s="56"/>
      <c r="AF128" s="1">
        <v>94379000</v>
      </c>
      <c r="AG128" s="168">
        <f t="shared" si="52"/>
        <v>0</v>
      </c>
      <c r="AH128" s="5"/>
      <c r="AI128" s="5"/>
    </row>
    <row r="129" spans="1:35" s="1" customFormat="1" x14ac:dyDescent="0.25">
      <c r="A129" s="21">
        <v>19</v>
      </c>
      <c r="B129" s="22" t="s">
        <v>1649</v>
      </c>
      <c r="C129" s="50" t="s">
        <v>214</v>
      </c>
      <c r="D129" s="51" t="s">
        <v>215</v>
      </c>
      <c r="E129" s="52" t="s">
        <v>216</v>
      </c>
      <c r="F129" s="24"/>
      <c r="G129" s="24" t="s">
        <v>61</v>
      </c>
      <c r="H129" s="24" t="s">
        <v>62</v>
      </c>
      <c r="I129" s="24">
        <v>2014</v>
      </c>
      <c r="J129" s="24"/>
      <c r="K129" s="24" t="s">
        <v>63</v>
      </c>
      <c r="L129" s="24" t="s">
        <v>64</v>
      </c>
      <c r="M129" s="24">
        <v>2</v>
      </c>
      <c r="N129" s="41">
        <f t="shared" si="48"/>
        <v>3080000</v>
      </c>
      <c r="O129" s="41">
        <v>6160000</v>
      </c>
      <c r="P129" s="24"/>
      <c r="Q129" s="24"/>
      <c r="R129" s="24"/>
      <c r="S129" s="41">
        <f t="shared" si="42"/>
        <v>6160000</v>
      </c>
      <c r="T129" s="24">
        <v>5</v>
      </c>
      <c r="U129" s="41"/>
      <c r="V129" s="24">
        <v>0.5</v>
      </c>
      <c r="W129" s="41">
        <f t="shared" si="49"/>
        <v>0</v>
      </c>
      <c r="X129" s="24"/>
      <c r="Y129" s="41">
        <f t="shared" si="50"/>
        <v>0</v>
      </c>
      <c r="Z129" s="41">
        <f t="shared" si="51"/>
        <v>0</v>
      </c>
      <c r="AA129" s="69">
        <v>5</v>
      </c>
      <c r="AB129" s="41">
        <v>6160000</v>
      </c>
      <c r="AC129" s="41">
        <f t="shared" si="46"/>
        <v>0</v>
      </c>
      <c r="AD129" s="70" t="s">
        <v>217</v>
      </c>
      <c r="AE129" s="56"/>
      <c r="AF129" s="1">
        <v>6160000</v>
      </c>
      <c r="AG129" s="168">
        <f t="shared" si="52"/>
        <v>0</v>
      </c>
      <c r="AH129" s="5"/>
      <c r="AI129" s="5"/>
    </row>
    <row r="130" spans="1:35" s="1" customFormat="1" x14ac:dyDescent="0.25">
      <c r="A130" s="21">
        <v>20</v>
      </c>
      <c r="B130" s="22" t="s">
        <v>1649</v>
      </c>
      <c r="C130" s="50" t="s">
        <v>214</v>
      </c>
      <c r="D130" s="51" t="s">
        <v>215</v>
      </c>
      <c r="E130" s="52" t="s">
        <v>216</v>
      </c>
      <c r="F130" s="24"/>
      <c r="G130" s="24" t="s">
        <v>61</v>
      </c>
      <c r="H130" s="24" t="s">
        <v>62</v>
      </c>
      <c r="I130" s="24">
        <v>2014</v>
      </c>
      <c r="J130" s="24"/>
      <c r="K130" s="24" t="s">
        <v>63</v>
      </c>
      <c r="L130" s="24" t="s">
        <v>64</v>
      </c>
      <c r="M130" s="24">
        <v>2</v>
      </c>
      <c r="N130" s="41">
        <f t="shared" si="48"/>
        <v>3080000</v>
      </c>
      <c r="O130" s="41">
        <v>6160000</v>
      </c>
      <c r="P130" s="24"/>
      <c r="Q130" s="24"/>
      <c r="R130" s="24"/>
      <c r="S130" s="41">
        <f t="shared" si="42"/>
        <v>6160000</v>
      </c>
      <c r="T130" s="24">
        <v>5</v>
      </c>
      <c r="U130" s="41"/>
      <c r="V130" s="24">
        <v>0.5</v>
      </c>
      <c r="W130" s="41">
        <f t="shared" si="49"/>
        <v>0</v>
      </c>
      <c r="X130" s="24"/>
      <c r="Y130" s="41">
        <f t="shared" si="50"/>
        <v>0</v>
      </c>
      <c r="Z130" s="41">
        <f t="shared" si="51"/>
        <v>0</v>
      </c>
      <c r="AA130" s="69">
        <v>5</v>
      </c>
      <c r="AB130" s="41">
        <v>6160000</v>
      </c>
      <c r="AC130" s="41">
        <f t="shared" si="46"/>
        <v>0</v>
      </c>
      <c r="AD130" s="70" t="s">
        <v>218</v>
      </c>
      <c r="AE130" s="56"/>
      <c r="AF130" s="1">
        <v>6160000</v>
      </c>
      <c r="AG130" s="168">
        <f t="shared" si="52"/>
        <v>0</v>
      </c>
      <c r="AH130" s="5"/>
      <c r="AI130" s="5"/>
    </row>
    <row r="131" spans="1:35" s="1" customFormat="1" x14ac:dyDescent="0.25">
      <c r="A131" s="21">
        <v>21</v>
      </c>
      <c r="B131" s="22" t="s">
        <v>1649</v>
      </c>
      <c r="C131" s="50" t="s">
        <v>214</v>
      </c>
      <c r="D131" s="51" t="s">
        <v>215</v>
      </c>
      <c r="E131" s="52" t="s">
        <v>216</v>
      </c>
      <c r="F131" s="24"/>
      <c r="G131" s="24" t="s">
        <v>61</v>
      </c>
      <c r="H131" s="24" t="s">
        <v>62</v>
      </c>
      <c r="I131" s="24">
        <v>2014</v>
      </c>
      <c r="J131" s="24"/>
      <c r="K131" s="24" t="s">
        <v>63</v>
      </c>
      <c r="L131" s="24" t="s">
        <v>64</v>
      </c>
      <c r="M131" s="24">
        <v>2</v>
      </c>
      <c r="N131" s="41">
        <f t="shared" si="48"/>
        <v>3080000</v>
      </c>
      <c r="O131" s="41">
        <v>6160000</v>
      </c>
      <c r="P131" s="24"/>
      <c r="Q131" s="24"/>
      <c r="R131" s="24"/>
      <c r="S131" s="41">
        <f t="shared" si="42"/>
        <v>6160000</v>
      </c>
      <c r="T131" s="24">
        <v>5</v>
      </c>
      <c r="U131" s="41"/>
      <c r="V131" s="24">
        <v>0.5</v>
      </c>
      <c r="W131" s="41">
        <f t="shared" si="49"/>
        <v>0</v>
      </c>
      <c r="X131" s="24"/>
      <c r="Y131" s="41">
        <f t="shared" si="50"/>
        <v>0</v>
      </c>
      <c r="Z131" s="41">
        <f t="shared" si="51"/>
        <v>0</v>
      </c>
      <c r="AA131" s="69">
        <v>5</v>
      </c>
      <c r="AB131" s="41">
        <v>6160000</v>
      </c>
      <c r="AC131" s="41">
        <f t="shared" si="46"/>
        <v>0</v>
      </c>
      <c r="AD131" s="70" t="s">
        <v>219</v>
      </c>
      <c r="AE131" s="56"/>
      <c r="AF131" s="1">
        <v>6160000</v>
      </c>
      <c r="AG131" s="168">
        <f t="shared" si="52"/>
        <v>0</v>
      </c>
      <c r="AH131" s="5"/>
      <c r="AI131" s="5"/>
    </row>
    <row r="132" spans="1:35" s="1" customFormat="1" x14ac:dyDescent="0.25">
      <c r="A132" s="21">
        <v>22</v>
      </c>
      <c r="B132" s="22" t="s">
        <v>1649</v>
      </c>
      <c r="C132" s="50" t="s">
        <v>214</v>
      </c>
      <c r="D132" s="51" t="s">
        <v>215</v>
      </c>
      <c r="E132" s="52" t="s">
        <v>216</v>
      </c>
      <c r="F132" s="24"/>
      <c r="G132" s="24" t="s">
        <v>61</v>
      </c>
      <c r="H132" s="24" t="s">
        <v>62</v>
      </c>
      <c r="I132" s="24">
        <v>2014</v>
      </c>
      <c r="J132" s="24"/>
      <c r="K132" s="24" t="s">
        <v>63</v>
      </c>
      <c r="L132" s="24" t="s">
        <v>64</v>
      </c>
      <c r="M132" s="24">
        <v>2</v>
      </c>
      <c r="N132" s="41">
        <f t="shared" si="48"/>
        <v>3080000</v>
      </c>
      <c r="O132" s="41">
        <v>6160000</v>
      </c>
      <c r="P132" s="24"/>
      <c r="Q132" s="24"/>
      <c r="R132" s="24"/>
      <c r="S132" s="41">
        <f t="shared" si="42"/>
        <v>6160000</v>
      </c>
      <c r="T132" s="24">
        <v>5</v>
      </c>
      <c r="U132" s="41"/>
      <c r="V132" s="24">
        <v>0.5</v>
      </c>
      <c r="W132" s="41">
        <f t="shared" si="49"/>
        <v>0</v>
      </c>
      <c r="X132" s="24"/>
      <c r="Y132" s="41">
        <f t="shared" si="50"/>
        <v>0</v>
      </c>
      <c r="Z132" s="41">
        <f t="shared" si="51"/>
        <v>0</v>
      </c>
      <c r="AA132" s="69">
        <v>5</v>
      </c>
      <c r="AB132" s="41">
        <v>6160000</v>
      </c>
      <c r="AC132" s="41">
        <f t="shared" si="46"/>
        <v>0</v>
      </c>
      <c r="AD132" s="70" t="s">
        <v>220</v>
      </c>
      <c r="AE132" s="56"/>
      <c r="AF132" s="1">
        <v>6160000</v>
      </c>
      <c r="AG132" s="168">
        <f t="shared" si="52"/>
        <v>0</v>
      </c>
      <c r="AH132" s="5"/>
      <c r="AI132" s="5"/>
    </row>
    <row r="133" spans="1:35" s="1" customFormat="1" x14ac:dyDescent="0.25">
      <c r="A133" s="21">
        <v>23</v>
      </c>
      <c r="B133" s="22" t="s">
        <v>1649</v>
      </c>
      <c r="C133" s="50" t="s">
        <v>214</v>
      </c>
      <c r="D133" s="51" t="s">
        <v>215</v>
      </c>
      <c r="E133" s="52" t="s">
        <v>216</v>
      </c>
      <c r="F133" s="24"/>
      <c r="G133" s="24" t="s">
        <v>61</v>
      </c>
      <c r="H133" s="24" t="s">
        <v>62</v>
      </c>
      <c r="I133" s="24">
        <v>2014</v>
      </c>
      <c r="J133" s="24"/>
      <c r="K133" s="24" t="s">
        <v>63</v>
      </c>
      <c r="L133" s="24" t="s">
        <v>64</v>
      </c>
      <c r="M133" s="24">
        <v>2</v>
      </c>
      <c r="N133" s="41">
        <f t="shared" si="48"/>
        <v>3080000</v>
      </c>
      <c r="O133" s="41">
        <v>6160000</v>
      </c>
      <c r="P133" s="24"/>
      <c r="Q133" s="24"/>
      <c r="R133" s="24"/>
      <c r="S133" s="41">
        <f t="shared" si="42"/>
        <v>6160000</v>
      </c>
      <c r="T133" s="24">
        <v>5</v>
      </c>
      <c r="U133" s="41"/>
      <c r="V133" s="24">
        <v>0.5</v>
      </c>
      <c r="W133" s="41">
        <f t="shared" si="49"/>
        <v>0</v>
      </c>
      <c r="X133" s="24"/>
      <c r="Y133" s="41">
        <f t="shared" si="50"/>
        <v>0</v>
      </c>
      <c r="Z133" s="41">
        <f t="shared" si="51"/>
        <v>0</v>
      </c>
      <c r="AA133" s="69">
        <v>5</v>
      </c>
      <c r="AB133" s="41">
        <v>6160000</v>
      </c>
      <c r="AC133" s="41">
        <f t="shared" si="46"/>
        <v>0</v>
      </c>
      <c r="AD133" s="70" t="s">
        <v>221</v>
      </c>
      <c r="AE133" s="56"/>
      <c r="AF133" s="1">
        <v>6160000</v>
      </c>
      <c r="AG133" s="168">
        <f t="shared" si="52"/>
        <v>0</v>
      </c>
      <c r="AH133" s="5"/>
      <c r="AI133" s="5"/>
    </row>
    <row r="134" spans="1:35" s="1" customFormat="1" x14ac:dyDescent="0.25">
      <c r="A134" s="21">
        <v>24</v>
      </c>
      <c r="B134" s="22" t="s">
        <v>1649</v>
      </c>
      <c r="C134" s="50" t="s">
        <v>214</v>
      </c>
      <c r="D134" s="51" t="s">
        <v>215</v>
      </c>
      <c r="E134" s="52" t="s">
        <v>216</v>
      </c>
      <c r="F134" s="24"/>
      <c r="G134" s="24" t="s">
        <v>61</v>
      </c>
      <c r="H134" s="24" t="s">
        <v>62</v>
      </c>
      <c r="I134" s="24">
        <v>2014</v>
      </c>
      <c r="J134" s="24"/>
      <c r="K134" s="24" t="s">
        <v>63</v>
      </c>
      <c r="L134" s="24" t="s">
        <v>64</v>
      </c>
      <c r="M134" s="24">
        <v>1</v>
      </c>
      <c r="N134" s="41">
        <f t="shared" si="48"/>
        <v>3080000</v>
      </c>
      <c r="O134" s="41">
        <v>3080000</v>
      </c>
      <c r="P134" s="24"/>
      <c r="Q134" s="24"/>
      <c r="R134" s="24"/>
      <c r="S134" s="41">
        <f t="shared" si="42"/>
        <v>3080000</v>
      </c>
      <c r="T134" s="24">
        <v>5</v>
      </c>
      <c r="U134" s="41"/>
      <c r="V134" s="24">
        <v>0.5</v>
      </c>
      <c r="W134" s="41">
        <f t="shared" si="49"/>
        <v>0</v>
      </c>
      <c r="X134" s="24"/>
      <c r="Y134" s="41">
        <f t="shared" si="50"/>
        <v>0</v>
      </c>
      <c r="Z134" s="41">
        <f t="shared" si="51"/>
        <v>0</v>
      </c>
      <c r="AA134" s="69">
        <v>5</v>
      </c>
      <c r="AB134" s="41">
        <v>3080000</v>
      </c>
      <c r="AC134" s="41">
        <f t="shared" si="46"/>
        <v>0</v>
      </c>
      <c r="AD134" s="70" t="s">
        <v>222</v>
      </c>
      <c r="AE134" s="56"/>
      <c r="AF134" s="1">
        <v>3080000</v>
      </c>
      <c r="AG134" s="168">
        <f t="shared" si="52"/>
        <v>0</v>
      </c>
      <c r="AH134" s="5"/>
      <c r="AI134" s="5"/>
    </row>
    <row r="135" spans="1:35" s="1" customFormat="1" x14ac:dyDescent="0.25">
      <c r="A135" s="21">
        <v>25</v>
      </c>
      <c r="B135" s="22" t="s">
        <v>1649</v>
      </c>
      <c r="C135" s="50" t="s">
        <v>214</v>
      </c>
      <c r="D135" s="51" t="s">
        <v>215</v>
      </c>
      <c r="E135" s="52" t="s">
        <v>216</v>
      </c>
      <c r="F135" s="24"/>
      <c r="G135" s="24" t="s">
        <v>61</v>
      </c>
      <c r="H135" s="24" t="s">
        <v>62</v>
      </c>
      <c r="I135" s="24">
        <v>2014</v>
      </c>
      <c r="J135" s="24"/>
      <c r="K135" s="24" t="s">
        <v>63</v>
      </c>
      <c r="L135" s="24" t="s">
        <v>64</v>
      </c>
      <c r="M135" s="24">
        <v>1</v>
      </c>
      <c r="N135" s="41">
        <f t="shared" si="48"/>
        <v>3080000</v>
      </c>
      <c r="O135" s="41">
        <v>3080000</v>
      </c>
      <c r="P135" s="24"/>
      <c r="Q135" s="24"/>
      <c r="R135" s="24"/>
      <c r="S135" s="41">
        <f t="shared" si="42"/>
        <v>3080000</v>
      </c>
      <c r="T135" s="24">
        <v>5</v>
      </c>
      <c r="U135" s="41"/>
      <c r="V135" s="24">
        <v>0.5</v>
      </c>
      <c r="W135" s="41">
        <f t="shared" si="49"/>
        <v>0</v>
      </c>
      <c r="X135" s="24"/>
      <c r="Y135" s="41">
        <f t="shared" si="50"/>
        <v>0</v>
      </c>
      <c r="Z135" s="41">
        <f t="shared" si="51"/>
        <v>0</v>
      </c>
      <c r="AA135" s="69">
        <v>5</v>
      </c>
      <c r="AB135" s="41">
        <v>3080000</v>
      </c>
      <c r="AC135" s="41">
        <f t="shared" si="46"/>
        <v>0</v>
      </c>
      <c r="AD135" s="70" t="s">
        <v>223</v>
      </c>
      <c r="AE135" s="56"/>
      <c r="AF135" s="1">
        <v>3080000</v>
      </c>
      <c r="AG135" s="168">
        <f t="shared" si="52"/>
        <v>0</v>
      </c>
      <c r="AH135" s="5"/>
      <c r="AI135" s="5"/>
    </row>
    <row r="136" spans="1:35" s="1" customFormat="1" x14ac:dyDescent="0.25">
      <c r="A136" s="21">
        <v>26</v>
      </c>
      <c r="B136" s="22" t="s">
        <v>1649</v>
      </c>
      <c r="C136" s="50" t="s">
        <v>214</v>
      </c>
      <c r="D136" s="51" t="s">
        <v>215</v>
      </c>
      <c r="E136" s="52" t="s">
        <v>216</v>
      </c>
      <c r="F136" s="24"/>
      <c r="G136" s="24" t="s">
        <v>61</v>
      </c>
      <c r="H136" s="24" t="s">
        <v>62</v>
      </c>
      <c r="I136" s="24">
        <v>2014</v>
      </c>
      <c r="J136" s="24"/>
      <c r="K136" s="24" t="s">
        <v>63</v>
      </c>
      <c r="L136" s="24" t="s">
        <v>64</v>
      </c>
      <c r="M136" s="24">
        <v>1</v>
      </c>
      <c r="N136" s="41">
        <f t="shared" si="48"/>
        <v>3080000</v>
      </c>
      <c r="O136" s="41">
        <v>3080000</v>
      </c>
      <c r="P136" s="24"/>
      <c r="Q136" s="24"/>
      <c r="R136" s="24"/>
      <c r="S136" s="41">
        <f t="shared" si="42"/>
        <v>3080000</v>
      </c>
      <c r="T136" s="24">
        <v>5</v>
      </c>
      <c r="U136" s="41"/>
      <c r="V136" s="24">
        <v>0.5</v>
      </c>
      <c r="W136" s="41">
        <f t="shared" si="49"/>
        <v>0</v>
      </c>
      <c r="X136" s="24"/>
      <c r="Y136" s="41">
        <f t="shared" si="50"/>
        <v>0</v>
      </c>
      <c r="Z136" s="41">
        <f t="shared" si="51"/>
        <v>0</v>
      </c>
      <c r="AA136" s="69">
        <v>5</v>
      </c>
      <c r="AB136" s="41">
        <v>3080000</v>
      </c>
      <c r="AC136" s="41">
        <f t="shared" si="46"/>
        <v>0</v>
      </c>
      <c r="AD136" s="70" t="s">
        <v>224</v>
      </c>
      <c r="AE136" s="56"/>
      <c r="AF136" s="1">
        <v>3080000</v>
      </c>
      <c r="AG136" s="168">
        <f t="shared" si="52"/>
        <v>0</v>
      </c>
      <c r="AH136" s="5"/>
      <c r="AI136" s="5"/>
    </row>
    <row r="137" spans="1:35" s="1" customFormat="1" x14ac:dyDescent="0.25">
      <c r="A137" s="21">
        <v>27</v>
      </c>
      <c r="B137" s="22" t="s">
        <v>1649</v>
      </c>
      <c r="C137" s="50" t="s">
        <v>214</v>
      </c>
      <c r="D137" s="51" t="s">
        <v>215</v>
      </c>
      <c r="E137" s="52" t="s">
        <v>216</v>
      </c>
      <c r="F137" s="24"/>
      <c r="G137" s="24" t="s">
        <v>61</v>
      </c>
      <c r="H137" s="24" t="s">
        <v>62</v>
      </c>
      <c r="I137" s="24">
        <v>2014</v>
      </c>
      <c r="J137" s="24"/>
      <c r="K137" s="24" t="s">
        <v>63</v>
      </c>
      <c r="L137" s="24" t="s">
        <v>64</v>
      </c>
      <c r="M137" s="24">
        <v>1</v>
      </c>
      <c r="N137" s="41">
        <f t="shared" si="48"/>
        <v>3080000</v>
      </c>
      <c r="O137" s="41">
        <v>3080000</v>
      </c>
      <c r="P137" s="24"/>
      <c r="Q137" s="24"/>
      <c r="R137" s="24"/>
      <c r="S137" s="41">
        <f t="shared" si="42"/>
        <v>3080000</v>
      </c>
      <c r="T137" s="24">
        <v>5</v>
      </c>
      <c r="U137" s="41"/>
      <c r="V137" s="24">
        <v>0.5</v>
      </c>
      <c r="W137" s="41">
        <f t="shared" si="49"/>
        <v>0</v>
      </c>
      <c r="X137" s="24"/>
      <c r="Y137" s="41">
        <f>SUM(U137*X137)</f>
        <v>0</v>
      </c>
      <c r="Z137" s="41">
        <f t="shared" si="51"/>
        <v>0</v>
      </c>
      <c r="AA137" s="69">
        <v>5</v>
      </c>
      <c r="AB137" s="41">
        <v>3080000</v>
      </c>
      <c r="AC137" s="41">
        <f t="shared" si="46"/>
        <v>0</v>
      </c>
      <c r="AD137" s="70" t="s">
        <v>225</v>
      </c>
      <c r="AE137" s="56"/>
      <c r="AF137" s="1">
        <v>3080000</v>
      </c>
      <c r="AG137" s="168">
        <f t="shared" si="52"/>
        <v>0</v>
      </c>
      <c r="AH137" s="5"/>
      <c r="AI137" s="5"/>
    </row>
    <row r="138" spans="1:35" s="1" customFormat="1" x14ac:dyDescent="0.25">
      <c r="A138" s="21">
        <v>28</v>
      </c>
      <c r="B138" s="22" t="s">
        <v>1649</v>
      </c>
      <c r="C138" s="50" t="s">
        <v>214</v>
      </c>
      <c r="D138" s="51" t="s">
        <v>215</v>
      </c>
      <c r="E138" s="52" t="s">
        <v>216</v>
      </c>
      <c r="F138" s="24"/>
      <c r="G138" s="24" t="s">
        <v>61</v>
      </c>
      <c r="H138" s="24" t="s">
        <v>62</v>
      </c>
      <c r="I138" s="24">
        <v>2014</v>
      </c>
      <c r="J138" s="24"/>
      <c r="K138" s="24" t="s">
        <v>63</v>
      </c>
      <c r="L138" s="24" t="s">
        <v>64</v>
      </c>
      <c r="M138" s="24">
        <v>1</v>
      </c>
      <c r="N138" s="41">
        <f t="shared" si="48"/>
        <v>3080000</v>
      </c>
      <c r="O138" s="41">
        <v>3080000</v>
      </c>
      <c r="P138" s="24"/>
      <c r="Q138" s="24"/>
      <c r="R138" s="24"/>
      <c r="S138" s="41">
        <f t="shared" si="42"/>
        <v>3080000</v>
      </c>
      <c r="T138" s="24">
        <v>5</v>
      </c>
      <c r="U138" s="41"/>
      <c r="V138" s="24">
        <v>0.5</v>
      </c>
      <c r="W138" s="41">
        <f t="shared" si="49"/>
        <v>0</v>
      </c>
      <c r="X138" s="24"/>
      <c r="Y138" s="41">
        <f t="shared" si="50"/>
        <v>0</v>
      </c>
      <c r="Z138" s="41">
        <f t="shared" si="51"/>
        <v>0</v>
      </c>
      <c r="AA138" s="69">
        <v>5</v>
      </c>
      <c r="AB138" s="41">
        <v>3080000</v>
      </c>
      <c r="AC138" s="41">
        <f t="shared" si="46"/>
        <v>0</v>
      </c>
      <c r="AD138" s="70" t="s">
        <v>226</v>
      </c>
      <c r="AE138" s="56"/>
      <c r="AF138" s="1">
        <v>3080000</v>
      </c>
      <c r="AG138" s="168">
        <f t="shared" si="52"/>
        <v>0</v>
      </c>
      <c r="AH138" s="5"/>
      <c r="AI138" s="5"/>
    </row>
    <row r="139" spans="1:35" s="1" customFormat="1" x14ac:dyDescent="0.25">
      <c r="A139" s="21">
        <v>29</v>
      </c>
      <c r="B139" s="22" t="s">
        <v>1649</v>
      </c>
      <c r="C139" s="50" t="s">
        <v>227</v>
      </c>
      <c r="D139" s="51" t="s">
        <v>215</v>
      </c>
      <c r="E139" s="52" t="s">
        <v>228</v>
      </c>
      <c r="F139" s="52"/>
      <c r="G139" s="52" t="s">
        <v>61</v>
      </c>
      <c r="H139" s="52" t="s">
        <v>62</v>
      </c>
      <c r="I139" s="52">
        <v>2015</v>
      </c>
      <c r="J139" s="52"/>
      <c r="K139" s="52" t="s">
        <v>63</v>
      </c>
      <c r="L139" s="52" t="s">
        <v>64</v>
      </c>
      <c r="M139" s="52">
        <v>1</v>
      </c>
      <c r="N139" s="53">
        <f t="shared" si="48"/>
        <v>1999800</v>
      </c>
      <c r="O139" s="53">
        <v>1999800</v>
      </c>
      <c r="P139" s="52"/>
      <c r="Q139" s="52"/>
      <c r="R139" s="52"/>
      <c r="S139" s="53">
        <f t="shared" si="42"/>
        <v>1999800</v>
      </c>
      <c r="T139" s="52">
        <v>5</v>
      </c>
      <c r="U139" s="53">
        <f t="shared" ref="U139:U148" si="53">SUM(S139/T139)</f>
        <v>399960</v>
      </c>
      <c r="V139" s="52">
        <v>0.5</v>
      </c>
      <c r="W139" s="53"/>
      <c r="X139" s="52"/>
      <c r="Y139" s="53">
        <f>SUM(U139*X139)</f>
        <v>0</v>
      </c>
      <c r="Z139" s="53"/>
      <c r="AA139" s="169">
        <v>5</v>
      </c>
      <c r="AB139" s="53">
        <f t="shared" ref="AB139:AB148" si="54">SUM(U139*AA139)</f>
        <v>1999800</v>
      </c>
      <c r="AC139" s="53">
        <f t="shared" si="46"/>
        <v>0</v>
      </c>
      <c r="AD139" s="56" t="s">
        <v>229</v>
      </c>
      <c r="AE139" s="56"/>
      <c r="AF139" s="1">
        <v>1999800</v>
      </c>
      <c r="AG139" s="168">
        <f t="shared" si="52"/>
        <v>0</v>
      </c>
      <c r="AH139" s="5"/>
      <c r="AI139" s="5"/>
    </row>
    <row r="140" spans="1:35" s="1" customFormat="1" x14ac:dyDescent="0.25">
      <c r="A140" s="21">
        <v>30</v>
      </c>
      <c r="B140" s="22" t="s">
        <v>1649</v>
      </c>
      <c r="C140" s="50" t="s">
        <v>230</v>
      </c>
      <c r="D140" s="51" t="s">
        <v>215</v>
      </c>
      <c r="E140" s="52" t="s">
        <v>228</v>
      </c>
      <c r="F140" s="52"/>
      <c r="G140" s="52" t="s">
        <v>61</v>
      </c>
      <c r="H140" s="52" t="s">
        <v>62</v>
      </c>
      <c r="I140" s="52">
        <v>2015</v>
      </c>
      <c r="J140" s="52"/>
      <c r="K140" s="52" t="s">
        <v>63</v>
      </c>
      <c r="L140" s="52" t="s">
        <v>64</v>
      </c>
      <c r="M140" s="52">
        <v>1</v>
      </c>
      <c r="N140" s="53">
        <f t="shared" si="48"/>
        <v>1999800</v>
      </c>
      <c r="O140" s="53">
        <v>1999800</v>
      </c>
      <c r="P140" s="52"/>
      <c r="Q140" s="52"/>
      <c r="R140" s="52"/>
      <c r="S140" s="53">
        <f t="shared" si="42"/>
        <v>1999800</v>
      </c>
      <c r="T140" s="52">
        <v>5</v>
      </c>
      <c r="U140" s="53">
        <f t="shared" si="53"/>
        <v>399960</v>
      </c>
      <c r="V140" s="52">
        <v>0.5</v>
      </c>
      <c r="W140" s="53"/>
      <c r="X140" s="52"/>
      <c r="Y140" s="53">
        <f t="shared" ref="Y140:Y168" si="55">SUM(U140*X140)</f>
        <v>0</v>
      </c>
      <c r="Z140" s="53"/>
      <c r="AA140" s="169">
        <v>5</v>
      </c>
      <c r="AB140" s="53">
        <f t="shared" si="54"/>
        <v>1999800</v>
      </c>
      <c r="AC140" s="53">
        <f t="shared" si="46"/>
        <v>0</v>
      </c>
      <c r="AD140" s="56" t="s">
        <v>231</v>
      </c>
      <c r="AE140" s="56"/>
      <c r="AF140" s="1">
        <v>1999800</v>
      </c>
      <c r="AG140" s="168">
        <f t="shared" si="52"/>
        <v>0</v>
      </c>
      <c r="AH140" s="5"/>
      <c r="AI140" s="5"/>
    </row>
    <row r="141" spans="1:35" s="1" customFormat="1" x14ac:dyDescent="0.25">
      <c r="A141" s="21">
        <v>31</v>
      </c>
      <c r="B141" s="22" t="s">
        <v>1649</v>
      </c>
      <c r="C141" s="50" t="s">
        <v>232</v>
      </c>
      <c r="D141" s="51" t="s">
        <v>215</v>
      </c>
      <c r="E141" s="52" t="s">
        <v>228</v>
      </c>
      <c r="F141" s="52"/>
      <c r="G141" s="52" t="s">
        <v>61</v>
      </c>
      <c r="H141" s="52" t="s">
        <v>62</v>
      </c>
      <c r="I141" s="52">
        <v>2015</v>
      </c>
      <c r="J141" s="52"/>
      <c r="K141" s="52" t="s">
        <v>63</v>
      </c>
      <c r="L141" s="52" t="s">
        <v>64</v>
      </c>
      <c r="M141" s="52">
        <v>1</v>
      </c>
      <c r="N141" s="53">
        <f t="shared" si="48"/>
        <v>1999800</v>
      </c>
      <c r="O141" s="53">
        <v>1999800</v>
      </c>
      <c r="P141" s="52"/>
      <c r="Q141" s="52"/>
      <c r="R141" s="52"/>
      <c r="S141" s="53">
        <f t="shared" si="42"/>
        <v>1999800</v>
      </c>
      <c r="T141" s="52">
        <v>5</v>
      </c>
      <c r="U141" s="53">
        <f t="shared" si="53"/>
        <v>399960</v>
      </c>
      <c r="V141" s="52">
        <v>0.5</v>
      </c>
      <c r="W141" s="53"/>
      <c r="X141" s="52"/>
      <c r="Y141" s="53">
        <f t="shared" si="55"/>
        <v>0</v>
      </c>
      <c r="Z141" s="53"/>
      <c r="AA141" s="169">
        <v>5</v>
      </c>
      <c r="AB141" s="53">
        <f t="shared" si="54"/>
        <v>1999800</v>
      </c>
      <c r="AC141" s="53">
        <f t="shared" si="46"/>
        <v>0</v>
      </c>
      <c r="AD141" s="56" t="s">
        <v>233</v>
      </c>
      <c r="AE141" s="56"/>
      <c r="AF141" s="1">
        <v>1999800</v>
      </c>
      <c r="AG141" s="168">
        <f t="shared" si="52"/>
        <v>0</v>
      </c>
      <c r="AH141" s="5"/>
      <c r="AI141" s="5"/>
    </row>
    <row r="142" spans="1:35" s="1" customFormat="1" x14ac:dyDescent="0.25">
      <c r="A142" s="21">
        <v>32</v>
      </c>
      <c r="B142" s="22" t="s">
        <v>1649</v>
      </c>
      <c r="C142" s="50" t="s">
        <v>234</v>
      </c>
      <c r="D142" s="51" t="s">
        <v>215</v>
      </c>
      <c r="E142" s="52" t="s">
        <v>228</v>
      </c>
      <c r="F142" s="52"/>
      <c r="G142" s="52" t="s">
        <v>61</v>
      </c>
      <c r="H142" s="52" t="s">
        <v>62</v>
      </c>
      <c r="I142" s="52">
        <v>2015</v>
      </c>
      <c r="J142" s="52"/>
      <c r="K142" s="52" t="s">
        <v>63</v>
      </c>
      <c r="L142" s="52" t="s">
        <v>64</v>
      </c>
      <c r="M142" s="52">
        <v>1</v>
      </c>
      <c r="N142" s="53">
        <f t="shared" si="48"/>
        <v>1999800</v>
      </c>
      <c r="O142" s="53">
        <v>1999800</v>
      </c>
      <c r="P142" s="52"/>
      <c r="Q142" s="52"/>
      <c r="R142" s="52"/>
      <c r="S142" s="53">
        <f t="shared" si="42"/>
        <v>1999800</v>
      </c>
      <c r="T142" s="52">
        <v>5</v>
      </c>
      <c r="U142" s="53">
        <f t="shared" si="53"/>
        <v>399960</v>
      </c>
      <c r="V142" s="52">
        <v>0.5</v>
      </c>
      <c r="W142" s="53"/>
      <c r="X142" s="52"/>
      <c r="Y142" s="53">
        <f t="shared" si="55"/>
        <v>0</v>
      </c>
      <c r="Z142" s="53"/>
      <c r="AA142" s="169">
        <v>5</v>
      </c>
      <c r="AB142" s="53">
        <f t="shared" si="54"/>
        <v>1999800</v>
      </c>
      <c r="AC142" s="53">
        <f t="shared" si="46"/>
        <v>0</v>
      </c>
      <c r="AD142" s="56" t="s">
        <v>235</v>
      </c>
      <c r="AE142" s="56"/>
      <c r="AF142" s="1">
        <v>1999800</v>
      </c>
      <c r="AG142" s="168">
        <f t="shared" si="52"/>
        <v>0</v>
      </c>
      <c r="AH142" s="5"/>
      <c r="AI142" s="5"/>
    </row>
    <row r="143" spans="1:35" s="1" customFormat="1" x14ac:dyDescent="0.25">
      <c r="A143" s="21">
        <v>33</v>
      </c>
      <c r="B143" s="22" t="s">
        <v>1649</v>
      </c>
      <c r="C143" s="50" t="s">
        <v>236</v>
      </c>
      <c r="D143" s="51" t="s">
        <v>215</v>
      </c>
      <c r="E143" s="52" t="s">
        <v>228</v>
      </c>
      <c r="F143" s="52"/>
      <c r="G143" s="52" t="s">
        <v>61</v>
      </c>
      <c r="H143" s="52" t="s">
        <v>62</v>
      </c>
      <c r="I143" s="52">
        <v>2015</v>
      </c>
      <c r="J143" s="52"/>
      <c r="K143" s="52" t="s">
        <v>63</v>
      </c>
      <c r="L143" s="52" t="s">
        <v>64</v>
      </c>
      <c r="M143" s="52">
        <v>1</v>
      </c>
      <c r="N143" s="53">
        <f t="shared" si="48"/>
        <v>1999800</v>
      </c>
      <c r="O143" s="53">
        <v>1999800</v>
      </c>
      <c r="P143" s="52"/>
      <c r="Q143" s="52"/>
      <c r="R143" s="52"/>
      <c r="S143" s="53">
        <f t="shared" ref="S143:S170" si="56">SUM(O143-R143)</f>
        <v>1999800</v>
      </c>
      <c r="T143" s="52">
        <v>5</v>
      </c>
      <c r="U143" s="53">
        <f t="shared" si="53"/>
        <v>399960</v>
      </c>
      <c r="V143" s="52">
        <v>0.5</v>
      </c>
      <c r="W143" s="53"/>
      <c r="X143" s="52"/>
      <c r="Y143" s="53">
        <f t="shared" si="55"/>
        <v>0</v>
      </c>
      <c r="Z143" s="53"/>
      <c r="AA143" s="169">
        <v>5</v>
      </c>
      <c r="AB143" s="53">
        <f t="shared" si="54"/>
        <v>1999800</v>
      </c>
      <c r="AC143" s="53">
        <f t="shared" ref="AC143:AC170" si="57">SUM(O143-AB143)</f>
        <v>0</v>
      </c>
      <c r="AD143" s="56" t="s">
        <v>237</v>
      </c>
      <c r="AE143" s="56"/>
      <c r="AF143" s="1">
        <v>1999800</v>
      </c>
      <c r="AG143" s="168">
        <f t="shared" si="52"/>
        <v>0</v>
      </c>
      <c r="AH143" s="5"/>
      <c r="AI143" s="5"/>
    </row>
    <row r="144" spans="1:35" s="1" customFormat="1" x14ac:dyDescent="0.25">
      <c r="A144" s="21">
        <v>34</v>
      </c>
      <c r="B144" s="22" t="s">
        <v>1649</v>
      </c>
      <c r="C144" s="50" t="s">
        <v>238</v>
      </c>
      <c r="D144" s="51" t="s">
        <v>215</v>
      </c>
      <c r="E144" s="52" t="s">
        <v>228</v>
      </c>
      <c r="F144" s="52"/>
      <c r="G144" s="52" t="s">
        <v>61</v>
      </c>
      <c r="H144" s="52" t="s">
        <v>62</v>
      </c>
      <c r="I144" s="52">
        <v>2015</v>
      </c>
      <c r="J144" s="52"/>
      <c r="K144" s="52" t="s">
        <v>63</v>
      </c>
      <c r="L144" s="52" t="s">
        <v>64</v>
      </c>
      <c r="M144" s="52">
        <v>1</v>
      </c>
      <c r="N144" s="53">
        <f t="shared" si="48"/>
        <v>1999800</v>
      </c>
      <c r="O144" s="53">
        <v>1999800</v>
      </c>
      <c r="P144" s="52"/>
      <c r="Q144" s="52"/>
      <c r="R144" s="52"/>
      <c r="S144" s="53">
        <f t="shared" si="56"/>
        <v>1999800</v>
      </c>
      <c r="T144" s="52">
        <v>5</v>
      </c>
      <c r="U144" s="53">
        <f t="shared" si="53"/>
        <v>399960</v>
      </c>
      <c r="V144" s="52">
        <v>0.5</v>
      </c>
      <c r="W144" s="53"/>
      <c r="X144" s="52"/>
      <c r="Y144" s="53">
        <f t="shared" si="55"/>
        <v>0</v>
      </c>
      <c r="Z144" s="53"/>
      <c r="AA144" s="169">
        <v>5</v>
      </c>
      <c r="AB144" s="53">
        <f t="shared" si="54"/>
        <v>1999800</v>
      </c>
      <c r="AC144" s="53">
        <f t="shared" si="57"/>
        <v>0</v>
      </c>
      <c r="AD144" s="56" t="s">
        <v>239</v>
      </c>
      <c r="AE144" s="56"/>
      <c r="AF144" s="1">
        <v>1999800</v>
      </c>
      <c r="AG144" s="168">
        <f t="shared" si="52"/>
        <v>0</v>
      </c>
      <c r="AH144" s="5"/>
      <c r="AI144" s="5"/>
    </row>
    <row r="145" spans="1:35" s="1" customFormat="1" x14ac:dyDescent="0.25">
      <c r="A145" s="21">
        <v>35</v>
      </c>
      <c r="B145" s="22" t="s">
        <v>1649</v>
      </c>
      <c r="C145" s="50" t="s">
        <v>240</v>
      </c>
      <c r="D145" s="51" t="s">
        <v>215</v>
      </c>
      <c r="E145" s="52" t="s">
        <v>228</v>
      </c>
      <c r="F145" s="52"/>
      <c r="G145" s="52" t="s">
        <v>61</v>
      </c>
      <c r="H145" s="52" t="s">
        <v>62</v>
      </c>
      <c r="I145" s="52">
        <v>2015</v>
      </c>
      <c r="J145" s="52"/>
      <c r="K145" s="52" t="s">
        <v>63</v>
      </c>
      <c r="L145" s="52" t="s">
        <v>64</v>
      </c>
      <c r="M145" s="52">
        <v>1</v>
      </c>
      <c r="N145" s="53">
        <f t="shared" si="48"/>
        <v>1999800</v>
      </c>
      <c r="O145" s="53">
        <v>1999800</v>
      </c>
      <c r="P145" s="52"/>
      <c r="Q145" s="52"/>
      <c r="R145" s="52"/>
      <c r="S145" s="53">
        <f t="shared" si="56"/>
        <v>1999800</v>
      </c>
      <c r="T145" s="52">
        <v>5</v>
      </c>
      <c r="U145" s="53">
        <f t="shared" si="53"/>
        <v>399960</v>
      </c>
      <c r="V145" s="52">
        <v>0.5</v>
      </c>
      <c r="W145" s="53"/>
      <c r="X145" s="52"/>
      <c r="Y145" s="53">
        <f t="shared" si="55"/>
        <v>0</v>
      </c>
      <c r="Z145" s="53"/>
      <c r="AA145" s="169">
        <v>5</v>
      </c>
      <c r="AB145" s="53">
        <f t="shared" si="54"/>
        <v>1999800</v>
      </c>
      <c r="AC145" s="53">
        <f t="shared" si="57"/>
        <v>0</v>
      </c>
      <c r="AD145" s="56" t="s">
        <v>241</v>
      </c>
      <c r="AE145" s="56"/>
      <c r="AF145" s="1">
        <v>1999800</v>
      </c>
      <c r="AG145" s="168">
        <f t="shared" si="52"/>
        <v>0</v>
      </c>
      <c r="AH145" s="5"/>
      <c r="AI145" s="5"/>
    </row>
    <row r="146" spans="1:35" s="1" customFormat="1" x14ac:dyDescent="0.25">
      <c r="A146" s="21">
        <v>36</v>
      </c>
      <c r="B146" s="22" t="s">
        <v>1649</v>
      </c>
      <c r="C146" s="50" t="s">
        <v>242</v>
      </c>
      <c r="D146" s="51" t="s">
        <v>215</v>
      </c>
      <c r="E146" s="52" t="s">
        <v>228</v>
      </c>
      <c r="F146" s="52"/>
      <c r="G146" s="52" t="s">
        <v>61</v>
      </c>
      <c r="H146" s="52" t="s">
        <v>62</v>
      </c>
      <c r="I146" s="52">
        <v>2015</v>
      </c>
      <c r="J146" s="52"/>
      <c r="K146" s="52" t="s">
        <v>63</v>
      </c>
      <c r="L146" s="52" t="s">
        <v>64</v>
      </c>
      <c r="M146" s="52">
        <v>1</v>
      </c>
      <c r="N146" s="53">
        <f t="shared" si="48"/>
        <v>1999800</v>
      </c>
      <c r="O146" s="53">
        <v>1999800</v>
      </c>
      <c r="P146" s="52"/>
      <c r="Q146" s="52"/>
      <c r="R146" s="52"/>
      <c r="S146" s="53">
        <f t="shared" si="56"/>
        <v>1999800</v>
      </c>
      <c r="T146" s="52">
        <v>5</v>
      </c>
      <c r="U146" s="53">
        <f t="shared" si="53"/>
        <v>399960</v>
      </c>
      <c r="V146" s="52">
        <v>0.5</v>
      </c>
      <c r="W146" s="53"/>
      <c r="X146" s="52"/>
      <c r="Y146" s="53">
        <f t="shared" si="55"/>
        <v>0</v>
      </c>
      <c r="Z146" s="53"/>
      <c r="AA146" s="169">
        <v>5</v>
      </c>
      <c r="AB146" s="53">
        <f t="shared" si="54"/>
        <v>1999800</v>
      </c>
      <c r="AC146" s="53">
        <f t="shared" si="57"/>
        <v>0</v>
      </c>
      <c r="AD146" s="56" t="s">
        <v>243</v>
      </c>
      <c r="AE146" s="56"/>
      <c r="AF146" s="1">
        <v>1999800</v>
      </c>
      <c r="AG146" s="168">
        <f t="shared" si="52"/>
        <v>0</v>
      </c>
      <c r="AH146" s="5"/>
      <c r="AI146" s="5"/>
    </row>
    <row r="147" spans="1:35" s="1" customFormat="1" x14ac:dyDescent="0.25">
      <c r="A147" s="21">
        <v>37</v>
      </c>
      <c r="B147" s="22" t="s">
        <v>1649</v>
      </c>
      <c r="C147" s="50" t="s">
        <v>244</v>
      </c>
      <c r="D147" s="51" t="s">
        <v>215</v>
      </c>
      <c r="E147" s="52" t="s">
        <v>228</v>
      </c>
      <c r="F147" s="52"/>
      <c r="G147" s="52" t="s">
        <v>61</v>
      </c>
      <c r="H147" s="52" t="s">
        <v>62</v>
      </c>
      <c r="I147" s="52">
        <v>2015</v>
      </c>
      <c r="J147" s="52"/>
      <c r="K147" s="52" t="s">
        <v>63</v>
      </c>
      <c r="L147" s="52" t="s">
        <v>64</v>
      </c>
      <c r="M147" s="52">
        <v>1</v>
      </c>
      <c r="N147" s="53">
        <f t="shared" si="48"/>
        <v>1999800</v>
      </c>
      <c r="O147" s="53">
        <v>1999800</v>
      </c>
      <c r="P147" s="52"/>
      <c r="Q147" s="52"/>
      <c r="R147" s="52"/>
      <c r="S147" s="53">
        <f t="shared" si="56"/>
        <v>1999800</v>
      </c>
      <c r="T147" s="52">
        <v>5</v>
      </c>
      <c r="U147" s="53">
        <f t="shared" si="53"/>
        <v>399960</v>
      </c>
      <c r="V147" s="52">
        <v>0.5</v>
      </c>
      <c r="W147" s="53"/>
      <c r="X147" s="52"/>
      <c r="Y147" s="53">
        <f t="shared" si="55"/>
        <v>0</v>
      </c>
      <c r="Z147" s="53"/>
      <c r="AA147" s="169">
        <v>5</v>
      </c>
      <c r="AB147" s="53">
        <f t="shared" si="54"/>
        <v>1999800</v>
      </c>
      <c r="AC147" s="53">
        <f t="shared" si="57"/>
        <v>0</v>
      </c>
      <c r="AD147" s="56" t="s">
        <v>245</v>
      </c>
      <c r="AE147" s="56"/>
      <c r="AF147" s="1">
        <v>1999800</v>
      </c>
      <c r="AG147" s="168">
        <f t="shared" si="52"/>
        <v>0</v>
      </c>
      <c r="AH147" s="5"/>
      <c r="AI147" s="5"/>
    </row>
    <row r="148" spans="1:35" s="1" customFormat="1" x14ac:dyDescent="0.25">
      <c r="A148" s="21">
        <v>38</v>
      </c>
      <c r="B148" s="22" t="s">
        <v>1649</v>
      </c>
      <c r="C148" s="50" t="s">
        <v>246</v>
      </c>
      <c r="D148" s="51" t="s">
        <v>215</v>
      </c>
      <c r="E148" s="52" t="s">
        <v>228</v>
      </c>
      <c r="F148" s="52"/>
      <c r="G148" s="52" t="s">
        <v>61</v>
      </c>
      <c r="H148" s="52" t="s">
        <v>62</v>
      </c>
      <c r="I148" s="52">
        <v>2015</v>
      </c>
      <c r="J148" s="52"/>
      <c r="K148" s="52" t="s">
        <v>63</v>
      </c>
      <c r="L148" s="52" t="s">
        <v>64</v>
      </c>
      <c r="M148" s="52">
        <v>1</v>
      </c>
      <c r="N148" s="53">
        <f t="shared" si="48"/>
        <v>1999800</v>
      </c>
      <c r="O148" s="53">
        <v>1999800</v>
      </c>
      <c r="P148" s="52"/>
      <c r="Q148" s="52"/>
      <c r="R148" s="52"/>
      <c r="S148" s="53">
        <f t="shared" si="56"/>
        <v>1999800</v>
      </c>
      <c r="T148" s="52">
        <v>5</v>
      </c>
      <c r="U148" s="53">
        <f t="shared" si="53"/>
        <v>399960</v>
      </c>
      <c r="V148" s="52">
        <v>0.5</v>
      </c>
      <c r="W148" s="53"/>
      <c r="X148" s="52"/>
      <c r="Y148" s="53">
        <f t="shared" si="55"/>
        <v>0</v>
      </c>
      <c r="Z148" s="53"/>
      <c r="AA148" s="169">
        <v>5</v>
      </c>
      <c r="AB148" s="53">
        <f t="shared" si="54"/>
        <v>1999800</v>
      </c>
      <c r="AC148" s="53">
        <f t="shared" si="57"/>
        <v>0</v>
      </c>
      <c r="AD148" s="56" t="s">
        <v>245</v>
      </c>
      <c r="AE148" s="56"/>
      <c r="AF148" s="1">
        <v>1999800</v>
      </c>
      <c r="AG148" s="168">
        <f t="shared" si="52"/>
        <v>0</v>
      </c>
      <c r="AH148" s="5"/>
      <c r="AI148" s="5"/>
    </row>
    <row r="149" spans="1:35" s="1" customFormat="1" x14ac:dyDescent="0.25">
      <c r="A149" s="21">
        <v>39</v>
      </c>
      <c r="B149" s="22" t="s">
        <v>1650</v>
      </c>
      <c r="C149" s="50" t="s">
        <v>317</v>
      </c>
      <c r="D149" s="51" t="s">
        <v>318</v>
      </c>
      <c r="E149" s="52" t="s">
        <v>166</v>
      </c>
      <c r="F149" s="52"/>
      <c r="G149" s="52" t="s">
        <v>319</v>
      </c>
      <c r="H149" s="52" t="s">
        <v>62</v>
      </c>
      <c r="I149" s="52">
        <v>2014</v>
      </c>
      <c r="J149" s="52"/>
      <c r="K149" s="52" t="s">
        <v>63</v>
      </c>
      <c r="L149" s="52" t="s">
        <v>64</v>
      </c>
      <c r="M149" s="52">
        <v>3</v>
      </c>
      <c r="N149" s="53">
        <f t="shared" si="48"/>
        <v>2640000</v>
      </c>
      <c r="O149" s="53">
        <v>7920000</v>
      </c>
      <c r="P149" s="52"/>
      <c r="Q149" s="52"/>
      <c r="R149" s="52"/>
      <c r="S149" s="53">
        <f t="shared" si="56"/>
        <v>7920000</v>
      </c>
      <c r="T149" s="52">
        <v>5</v>
      </c>
      <c r="U149" s="53"/>
      <c r="V149" s="52">
        <v>0.5</v>
      </c>
      <c r="W149" s="53">
        <f t="shared" ref="W149:W167" si="58">SUM(U149*V149)</f>
        <v>0</v>
      </c>
      <c r="X149" s="52"/>
      <c r="Y149" s="53">
        <f t="shared" si="55"/>
        <v>0</v>
      </c>
      <c r="Z149" s="53">
        <f t="shared" ref="Z149:Z167" si="59">SUM(W149+Y149)</f>
        <v>0</v>
      </c>
      <c r="AA149" s="169">
        <v>5</v>
      </c>
      <c r="AB149" s="53">
        <v>7920000</v>
      </c>
      <c r="AC149" s="53">
        <f t="shared" si="57"/>
        <v>0</v>
      </c>
      <c r="AD149" s="56" t="s">
        <v>320</v>
      </c>
      <c r="AE149" s="56"/>
      <c r="AF149" s="1">
        <v>7920000</v>
      </c>
      <c r="AG149" s="168">
        <f t="shared" si="52"/>
        <v>0</v>
      </c>
      <c r="AH149" s="5"/>
      <c r="AI149" s="5"/>
    </row>
    <row r="150" spans="1:35" s="1" customFormat="1" x14ac:dyDescent="0.25">
      <c r="A150" s="21">
        <v>40</v>
      </c>
      <c r="B150" s="22" t="s">
        <v>1650</v>
      </c>
      <c r="C150" s="50" t="s">
        <v>321</v>
      </c>
      <c r="D150" s="51" t="s">
        <v>318</v>
      </c>
      <c r="E150" s="52" t="s">
        <v>166</v>
      </c>
      <c r="F150" s="52"/>
      <c r="G150" s="52" t="s">
        <v>319</v>
      </c>
      <c r="H150" s="52" t="s">
        <v>62</v>
      </c>
      <c r="I150" s="52">
        <v>2014</v>
      </c>
      <c r="J150" s="52"/>
      <c r="K150" s="52" t="s">
        <v>63</v>
      </c>
      <c r="L150" s="52" t="s">
        <v>64</v>
      </c>
      <c r="M150" s="52">
        <v>3</v>
      </c>
      <c r="N150" s="53">
        <f t="shared" si="48"/>
        <v>2640000</v>
      </c>
      <c r="O150" s="53">
        <v>7920000</v>
      </c>
      <c r="P150" s="52"/>
      <c r="Q150" s="52"/>
      <c r="R150" s="52"/>
      <c r="S150" s="53">
        <f t="shared" si="56"/>
        <v>7920000</v>
      </c>
      <c r="T150" s="52">
        <v>5</v>
      </c>
      <c r="U150" s="53"/>
      <c r="V150" s="52">
        <v>0.5</v>
      </c>
      <c r="W150" s="53">
        <f t="shared" si="58"/>
        <v>0</v>
      </c>
      <c r="X150" s="52"/>
      <c r="Y150" s="53">
        <f t="shared" si="55"/>
        <v>0</v>
      </c>
      <c r="Z150" s="53">
        <f t="shared" si="59"/>
        <v>0</v>
      </c>
      <c r="AA150" s="169">
        <v>5</v>
      </c>
      <c r="AB150" s="53">
        <v>7920000</v>
      </c>
      <c r="AC150" s="53">
        <f t="shared" si="57"/>
        <v>0</v>
      </c>
      <c r="AD150" s="56" t="s">
        <v>322</v>
      </c>
      <c r="AE150" s="56"/>
      <c r="AF150" s="1">
        <v>7920000</v>
      </c>
      <c r="AG150" s="168">
        <f t="shared" si="52"/>
        <v>0</v>
      </c>
      <c r="AH150" s="5"/>
      <c r="AI150" s="5"/>
    </row>
    <row r="151" spans="1:35" s="1" customFormat="1" x14ac:dyDescent="0.25">
      <c r="A151" s="21">
        <v>41</v>
      </c>
      <c r="B151" s="22" t="s">
        <v>1650</v>
      </c>
      <c r="C151" s="50" t="s">
        <v>323</v>
      </c>
      <c r="D151" s="51" t="s">
        <v>318</v>
      </c>
      <c r="E151" s="52" t="s">
        <v>166</v>
      </c>
      <c r="F151" s="52"/>
      <c r="G151" s="52" t="s">
        <v>319</v>
      </c>
      <c r="H151" s="52" t="s">
        <v>62</v>
      </c>
      <c r="I151" s="52">
        <v>2014</v>
      </c>
      <c r="J151" s="52"/>
      <c r="K151" s="52" t="s">
        <v>63</v>
      </c>
      <c r="L151" s="52" t="s">
        <v>64</v>
      </c>
      <c r="M151" s="52">
        <v>3</v>
      </c>
      <c r="N151" s="53">
        <f t="shared" si="48"/>
        <v>2640000</v>
      </c>
      <c r="O151" s="53">
        <v>7920000</v>
      </c>
      <c r="P151" s="52"/>
      <c r="Q151" s="52"/>
      <c r="R151" s="52"/>
      <c r="S151" s="53">
        <f t="shared" si="56"/>
        <v>7920000</v>
      </c>
      <c r="T151" s="52">
        <v>5</v>
      </c>
      <c r="U151" s="53"/>
      <c r="V151" s="52">
        <v>0.5</v>
      </c>
      <c r="W151" s="53">
        <f t="shared" si="58"/>
        <v>0</v>
      </c>
      <c r="X151" s="52"/>
      <c r="Y151" s="53">
        <f t="shared" si="55"/>
        <v>0</v>
      </c>
      <c r="Z151" s="53">
        <f t="shared" si="59"/>
        <v>0</v>
      </c>
      <c r="AA151" s="169">
        <v>5</v>
      </c>
      <c r="AB151" s="53">
        <v>7920000</v>
      </c>
      <c r="AC151" s="53">
        <f t="shared" si="57"/>
        <v>0</v>
      </c>
      <c r="AD151" s="56" t="s">
        <v>324</v>
      </c>
      <c r="AE151" s="56"/>
      <c r="AF151" s="1">
        <v>7920000</v>
      </c>
      <c r="AG151" s="168">
        <f t="shared" si="52"/>
        <v>0</v>
      </c>
      <c r="AH151" s="5"/>
      <c r="AI151" s="5"/>
    </row>
    <row r="152" spans="1:35" s="1" customFormat="1" x14ac:dyDescent="0.25">
      <c r="A152" s="21">
        <v>42</v>
      </c>
      <c r="B152" s="22" t="s">
        <v>1650</v>
      </c>
      <c r="C152" s="50" t="s">
        <v>325</v>
      </c>
      <c r="D152" s="51" t="s">
        <v>318</v>
      </c>
      <c r="E152" s="52" t="s">
        <v>166</v>
      </c>
      <c r="F152" s="52"/>
      <c r="G152" s="52" t="s">
        <v>319</v>
      </c>
      <c r="H152" s="52" t="s">
        <v>62</v>
      </c>
      <c r="I152" s="52">
        <v>2014</v>
      </c>
      <c r="J152" s="52"/>
      <c r="K152" s="52" t="s">
        <v>63</v>
      </c>
      <c r="L152" s="52" t="s">
        <v>64</v>
      </c>
      <c r="M152" s="52">
        <v>3</v>
      </c>
      <c r="N152" s="53">
        <f t="shared" si="48"/>
        <v>2640000</v>
      </c>
      <c r="O152" s="53">
        <v>7920000</v>
      </c>
      <c r="P152" s="52"/>
      <c r="Q152" s="52"/>
      <c r="R152" s="52"/>
      <c r="S152" s="53">
        <f t="shared" si="56"/>
        <v>7920000</v>
      </c>
      <c r="T152" s="52">
        <v>5</v>
      </c>
      <c r="U152" s="53"/>
      <c r="V152" s="52">
        <v>0.5</v>
      </c>
      <c r="W152" s="53">
        <f t="shared" si="58"/>
        <v>0</v>
      </c>
      <c r="X152" s="52"/>
      <c r="Y152" s="53">
        <f t="shared" si="55"/>
        <v>0</v>
      </c>
      <c r="Z152" s="53">
        <f t="shared" si="59"/>
        <v>0</v>
      </c>
      <c r="AA152" s="169">
        <v>5</v>
      </c>
      <c r="AB152" s="53">
        <v>7920000</v>
      </c>
      <c r="AC152" s="53">
        <f t="shared" si="57"/>
        <v>0</v>
      </c>
      <c r="AD152" s="56" t="s">
        <v>326</v>
      </c>
      <c r="AE152" s="56"/>
      <c r="AF152" s="1">
        <v>7920000</v>
      </c>
      <c r="AG152" s="168">
        <f t="shared" si="52"/>
        <v>0</v>
      </c>
      <c r="AH152" s="5"/>
      <c r="AI152" s="5"/>
    </row>
    <row r="153" spans="1:35" s="1" customFormat="1" x14ac:dyDescent="0.25">
      <c r="A153" s="21">
        <v>43</v>
      </c>
      <c r="B153" s="22" t="s">
        <v>1650</v>
      </c>
      <c r="C153" s="50" t="s">
        <v>327</v>
      </c>
      <c r="D153" s="51" t="s">
        <v>318</v>
      </c>
      <c r="E153" s="52" t="s">
        <v>166</v>
      </c>
      <c r="F153" s="52"/>
      <c r="G153" s="52" t="s">
        <v>319</v>
      </c>
      <c r="H153" s="52" t="s">
        <v>62</v>
      </c>
      <c r="I153" s="52">
        <v>2014</v>
      </c>
      <c r="J153" s="52"/>
      <c r="K153" s="52" t="s">
        <v>63</v>
      </c>
      <c r="L153" s="52" t="s">
        <v>64</v>
      </c>
      <c r="M153" s="52">
        <v>1</v>
      </c>
      <c r="N153" s="53">
        <f t="shared" si="48"/>
        <v>2640000</v>
      </c>
      <c r="O153" s="53">
        <v>2640000</v>
      </c>
      <c r="P153" s="52"/>
      <c r="Q153" s="52"/>
      <c r="R153" s="52"/>
      <c r="S153" s="53">
        <f t="shared" si="56"/>
        <v>2640000</v>
      </c>
      <c r="T153" s="52">
        <v>5</v>
      </c>
      <c r="U153" s="53"/>
      <c r="V153" s="52">
        <v>0.5</v>
      </c>
      <c r="W153" s="53">
        <f t="shared" si="58"/>
        <v>0</v>
      </c>
      <c r="X153" s="52"/>
      <c r="Y153" s="53">
        <f t="shared" si="55"/>
        <v>0</v>
      </c>
      <c r="Z153" s="53">
        <f t="shared" si="59"/>
        <v>0</v>
      </c>
      <c r="AA153" s="169">
        <v>5</v>
      </c>
      <c r="AB153" s="53">
        <v>2640000</v>
      </c>
      <c r="AC153" s="53">
        <f t="shared" si="57"/>
        <v>0</v>
      </c>
      <c r="AD153" s="56" t="s">
        <v>328</v>
      </c>
      <c r="AE153" s="56"/>
      <c r="AF153" s="1">
        <v>2640000</v>
      </c>
      <c r="AG153" s="168">
        <f t="shared" si="52"/>
        <v>0</v>
      </c>
      <c r="AH153" s="5"/>
      <c r="AI153" s="5"/>
    </row>
    <row r="154" spans="1:35" s="1" customFormat="1" x14ac:dyDescent="0.25">
      <c r="A154" s="21">
        <v>44</v>
      </c>
      <c r="B154" s="22" t="s">
        <v>1650</v>
      </c>
      <c r="C154" s="50" t="s">
        <v>329</v>
      </c>
      <c r="D154" s="51" t="s">
        <v>318</v>
      </c>
      <c r="E154" s="52" t="s">
        <v>166</v>
      </c>
      <c r="F154" s="52"/>
      <c r="G154" s="52" t="s">
        <v>319</v>
      </c>
      <c r="H154" s="52" t="s">
        <v>62</v>
      </c>
      <c r="I154" s="52">
        <v>2014</v>
      </c>
      <c r="J154" s="52"/>
      <c r="K154" s="52" t="s">
        <v>63</v>
      </c>
      <c r="L154" s="52" t="s">
        <v>64</v>
      </c>
      <c r="M154" s="52">
        <v>1</v>
      </c>
      <c r="N154" s="53">
        <f t="shared" si="48"/>
        <v>2640000</v>
      </c>
      <c r="O154" s="53">
        <v>2640000</v>
      </c>
      <c r="P154" s="52"/>
      <c r="Q154" s="52"/>
      <c r="R154" s="52"/>
      <c r="S154" s="53">
        <f t="shared" si="56"/>
        <v>2640000</v>
      </c>
      <c r="T154" s="52">
        <v>5</v>
      </c>
      <c r="U154" s="53"/>
      <c r="V154" s="52">
        <v>0.5</v>
      </c>
      <c r="W154" s="53">
        <f t="shared" si="58"/>
        <v>0</v>
      </c>
      <c r="X154" s="52"/>
      <c r="Y154" s="53">
        <f t="shared" si="55"/>
        <v>0</v>
      </c>
      <c r="Z154" s="53">
        <f t="shared" si="59"/>
        <v>0</v>
      </c>
      <c r="AA154" s="169">
        <v>5</v>
      </c>
      <c r="AB154" s="53">
        <v>2640000</v>
      </c>
      <c r="AC154" s="53">
        <f t="shared" si="57"/>
        <v>0</v>
      </c>
      <c r="AD154" s="56" t="s">
        <v>276</v>
      </c>
      <c r="AE154" s="56"/>
      <c r="AF154" s="1">
        <v>2640000</v>
      </c>
      <c r="AG154" s="168">
        <f t="shared" si="52"/>
        <v>0</v>
      </c>
      <c r="AH154" s="5"/>
      <c r="AI154" s="5"/>
    </row>
    <row r="155" spans="1:35" s="1" customFormat="1" x14ac:dyDescent="0.25">
      <c r="A155" s="21">
        <v>45</v>
      </c>
      <c r="B155" s="22" t="s">
        <v>1650</v>
      </c>
      <c r="C155" s="50" t="s">
        <v>330</v>
      </c>
      <c r="D155" s="51" t="s">
        <v>318</v>
      </c>
      <c r="E155" s="52" t="s">
        <v>166</v>
      </c>
      <c r="F155" s="52"/>
      <c r="G155" s="52" t="s">
        <v>319</v>
      </c>
      <c r="H155" s="52" t="s">
        <v>62</v>
      </c>
      <c r="I155" s="52">
        <v>2014</v>
      </c>
      <c r="J155" s="52"/>
      <c r="K155" s="52" t="s">
        <v>63</v>
      </c>
      <c r="L155" s="52" t="s">
        <v>64</v>
      </c>
      <c r="M155" s="52">
        <v>1</v>
      </c>
      <c r="N155" s="53">
        <f t="shared" si="48"/>
        <v>2640000</v>
      </c>
      <c r="O155" s="53">
        <v>2640000</v>
      </c>
      <c r="P155" s="52"/>
      <c r="Q155" s="52"/>
      <c r="R155" s="52"/>
      <c r="S155" s="53">
        <f t="shared" si="56"/>
        <v>2640000</v>
      </c>
      <c r="T155" s="52">
        <v>5</v>
      </c>
      <c r="U155" s="53"/>
      <c r="V155" s="52">
        <v>0.5</v>
      </c>
      <c r="W155" s="53">
        <f t="shared" si="58"/>
        <v>0</v>
      </c>
      <c r="X155" s="52"/>
      <c r="Y155" s="53">
        <f t="shared" si="55"/>
        <v>0</v>
      </c>
      <c r="Z155" s="53">
        <f t="shared" si="59"/>
        <v>0</v>
      </c>
      <c r="AA155" s="169">
        <v>5</v>
      </c>
      <c r="AB155" s="53">
        <v>2640000</v>
      </c>
      <c r="AC155" s="53">
        <f t="shared" si="57"/>
        <v>0</v>
      </c>
      <c r="AD155" s="56" t="s">
        <v>331</v>
      </c>
      <c r="AE155" s="56"/>
      <c r="AF155" s="1">
        <v>2640000</v>
      </c>
      <c r="AG155" s="168">
        <f t="shared" si="52"/>
        <v>0</v>
      </c>
      <c r="AH155" s="5"/>
      <c r="AI155" s="5"/>
    </row>
    <row r="156" spans="1:35" s="1" customFormat="1" x14ac:dyDescent="0.25">
      <c r="A156" s="21">
        <v>46</v>
      </c>
      <c r="B156" s="22" t="s">
        <v>1650</v>
      </c>
      <c r="C156" s="50" t="s">
        <v>332</v>
      </c>
      <c r="D156" s="51" t="s">
        <v>318</v>
      </c>
      <c r="E156" s="52" t="s">
        <v>166</v>
      </c>
      <c r="F156" s="52"/>
      <c r="G156" s="52" t="s">
        <v>319</v>
      </c>
      <c r="H156" s="52" t="s">
        <v>62</v>
      </c>
      <c r="I156" s="52">
        <v>2014</v>
      </c>
      <c r="J156" s="52"/>
      <c r="K156" s="52" t="s">
        <v>63</v>
      </c>
      <c r="L156" s="52" t="s">
        <v>64</v>
      </c>
      <c r="M156" s="52">
        <v>1</v>
      </c>
      <c r="N156" s="53">
        <f t="shared" si="48"/>
        <v>2640000</v>
      </c>
      <c r="O156" s="53">
        <v>2640000</v>
      </c>
      <c r="P156" s="52"/>
      <c r="Q156" s="52"/>
      <c r="R156" s="52"/>
      <c r="S156" s="53">
        <f t="shared" si="56"/>
        <v>2640000</v>
      </c>
      <c r="T156" s="52">
        <v>5</v>
      </c>
      <c r="U156" s="53"/>
      <c r="V156" s="52">
        <v>0.5</v>
      </c>
      <c r="W156" s="53">
        <f t="shared" si="58"/>
        <v>0</v>
      </c>
      <c r="X156" s="52"/>
      <c r="Y156" s="53">
        <f t="shared" si="55"/>
        <v>0</v>
      </c>
      <c r="Z156" s="53">
        <f t="shared" si="59"/>
        <v>0</v>
      </c>
      <c r="AA156" s="169">
        <v>5</v>
      </c>
      <c r="AB156" s="53">
        <v>2640000</v>
      </c>
      <c r="AC156" s="53">
        <f t="shared" si="57"/>
        <v>0</v>
      </c>
      <c r="AD156" s="56" t="s">
        <v>333</v>
      </c>
      <c r="AE156" s="56"/>
      <c r="AF156" s="1">
        <v>2640000</v>
      </c>
      <c r="AG156" s="168">
        <f t="shared" si="52"/>
        <v>0</v>
      </c>
      <c r="AH156" s="5"/>
      <c r="AI156" s="5"/>
    </row>
    <row r="157" spans="1:35" s="1" customFormat="1" x14ac:dyDescent="0.25">
      <c r="A157" s="21">
        <v>47</v>
      </c>
      <c r="B157" s="22" t="s">
        <v>1650</v>
      </c>
      <c r="C157" s="50" t="s">
        <v>75</v>
      </c>
      <c r="D157" s="51" t="s">
        <v>334</v>
      </c>
      <c r="E157" s="52" t="s">
        <v>166</v>
      </c>
      <c r="F157" s="52"/>
      <c r="G157" s="52" t="s">
        <v>319</v>
      </c>
      <c r="H157" s="52" t="s">
        <v>62</v>
      </c>
      <c r="I157" s="52">
        <v>2010</v>
      </c>
      <c r="J157" s="52"/>
      <c r="K157" s="52" t="s">
        <v>63</v>
      </c>
      <c r="L157" s="52" t="s">
        <v>64</v>
      </c>
      <c r="M157" s="52">
        <v>1</v>
      </c>
      <c r="N157" s="53">
        <f t="shared" si="48"/>
        <v>9350000</v>
      </c>
      <c r="O157" s="53">
        <v>9350000</v>
      </c>
      <c r="P157" s="52"/>
      <c r="Q157" s="52"/>
      <c r="R157" s="52"/>
      <c r="S157" s="53">
        <f t="shared" si="56"/>
        <v>9350000</v>
      </c>
      <c r="T157" s="52">
        <v>5</v>
      </c>
      <c r="U157" s="53"/>
      <c r="V157" s="52">
        <v>0.5</v>
      </c>
      <c r="W157" s="53">
        <f t="shared" si="58"/>
        <v>0</v>
      </c>
      <c r="X157" s="52"/>
      <c r="Y157" s="53">
        <f t="shared" si="55"/>
        <v>0</v>
      </c>
      <c r="Z157" s="53">
        <f t="shared" si="59"/>
        <v>0</v>
      </c>
      <c r="AA157" s="169">
        <v>5</v>
      </c>
      <c r="AB157" s="53">
        <v>9350000</v>
      </c>
      <c r="AC157" s="53">
        <f t="shared" si="57"/>
        <v>0</v>
      </c>
      <c r="AD157" s="56" t="s">
        <v>259</v>
      </c>
      <c r="AE157" s="56"/>
      <c r="AF157" s="1">
        <v>9350000</v>
      </c>
      <c r="AG157" s="168">
        <f t="shared" si="52"/>
        <v>0</v>
      </c>
      <c r="AH157" s="5"/>
      <c r="AI157" s="5"/>
    </row>
    <row r="158" spans="1:35" s="1" customFormat="1" x14ac:dyDescent="0.25">
      <c r="A158" s="21">
        <v>48</v>
      </c>
      <c r="B158" s="22" t="s">
        <v>1650</v>
      </c>
      <c r="C158" s="50" t="s">
        <v>79</v>
      </c>
      <c r="D158" s="51" t="s">
        <v>334</v>
      </c>
      <c r="E158" s="52" t="s">
        <v>166</v>
      </c>
      <c r="F158" s="52"/>
      <c r="G158" s="52" t="s">
        <v>319</v>
      </c>
      <c r="H158" s="52" t="s">
        <v>62</v>
      </c>
      <c r="I158" s="52">
        <v>2011</v>
      </c>
      <c r="J158" s="52"/>
      <c r="K158" s="52" t="s">
        <v>63</v>
      </c>
      <c r="L158" s="52" t="s">
        <v>64</v>
      </c>
      <c r="M158" s="52">
        <v>1</v>
      </c>
      <c r="N158" s="53">
        <f t="shared" si="48"/>
        <v>5000000</v>
      </c>
      <c r="O158" s="53">
        <v>5000000</v>
      </c>
      <c r="P158" s="52"/>
      <c r="Q158" s="52"/>
      <c r="R158" s="52"/>
      <c r="S158" s="53">
        <f t="shared" si="56"/>
        <v>5000000</v>
      </c>
      <c r="T158" s="52">
        <v>5</v>
      </c>
      <c r="U158" s="53"/>
      <c r="V158" s="52">
        <v>0.5</v>
      </c>
      <c r="W158" s="53">
        <f t="shared" si="58"/>
        <v>0</v>
      </c>
      <c r="X158" s="52"/>
      <c r="Y158" s="53">
        <f t="shared" si="55"/>
        <v>0</v>
      </c>
      <c r="Z158" s="53">
        <f t="shared" si="59"/>
        <v>0</v>
      </c>
      <c r="AA158" s="169">
        <v>5</v>
      </c>
      <c r="AB158" s="53">
        <v>5000000</v>
      </c>
      <c r="AC158" s="53">
        <f t="shared" si="57"/>
        <v>0</v>
      </c>
      <c r="AD158" s="56" t="s">
        <v>335</v>
      </c>
      <c r="AE158" s="56"/>
      <c r="AF158" s="1">
        <v>5000000</v>
      </c>
      <c r="AG158" s="168">
        <f t="shared" si="52"/>
        <v>0</v>
      </c>
      <c r="AH158" s="5"/>
      <c r="AI158" s="5"/>
    </row>
    <row r="159" spans="1:35" s="1" customFormat="1" x14ac:dyDescent="0.25">
      <c r="A159" s="21">
        <v>49</v>
      </c>
      <c r="B159" s="22" t="s">
        <v>1650</v>
      </c>
      <c r="C159" s="50" t="s">
        <v>336</v>
      </c>
      <c r="D159" s="51" t="s">
        <v>334</v>
      </c>
      <c r="E159" s="52" t="s">
        <v>166</v>
      </c>
      <c r="F159" s="52"/>
      <c r="G159" s="52" t="s">
        <v>319</v>
      </c>
      <c r="H159" s="52" t="s">
        <v>62</v>
      </c>
      <c r="I159" s="52">
        <v>2014</v>
      </c>
      <c r="J159" s="52"/>
      <c r="K159" s="52" t="s">
        <v>63</v>
      </c>
      <c r="L159" s="52" t="s">
        <v>64</v>
      </c>
      <c r="M159" s="52">
        <v>2</v>
      </c>
      <c r="N159" s="53">
        <f t="shared" si="48"/>
        <v>4290000</v>
      </c>
      <c r="O159" s="53">
        <v>8580000</v>
      </c>
      <c r="P159" s="52"/>
      <c r="Q159" s="52"/>
      <c r="R159" s="52"/>
      <c r="S159" s="53">
        <f t="shared" si="56"/>
        <v>8580000</v>
      </c>
      <c r="T159" s="52">
        <v>5</v>
      </c>
      <c r="U159" s="53"/>
      <c r="V159" s="52">
        <v>0.5</v>
      </c>
      <c r="W159" s="53">
        <f t="shared" si="58"/>
        <v>0</v>
      </c>
      <c r="X159" s="52"/>
      <c r="Y159" s="53">
        <f t="shared" si="55"/>
        <v>0</v>
      </c>
      <c r="Z159" s="53">
        <f t="shared" si="59"/>
        <v>0</v>
      </c>
      <c r="AA159" s="169">
        <v>5</v>
      </c>
      <c r="AB159" s="53">
        <v>8580000</v>
      </c>
      <c r="AC159" s="53">
        <f t="shared" si="57"/>
        <v>0</v>
      </c>
      <c r="AD159" s="56" t="s">
        <v>320</v>
      </c>
      <c r="AE159" s="56"/>
      <c r="AF159" s="1">
        <v>8580000</v>
      </c>
      <c r="AG159" s="168">
        <f t="shared" si="52"/>
        <v>0</v>
      </c>
      <c r="AH159" s="5"/>
      <c r="AI159" s="5"/>
    </row>
    <row r="160" spans="1:35" s="1" customFormat="1" x14ac:dyDescent="0.25">
      <c r="A160" s="21">
        <v>50</v>
      </c>
      <c r="B160" s="22" t="s">
        <v>1650</v>
      </c>
      <c r="C160" s="50" t="s">
        <v>337</v>
      </c>
      <c r="D160" s="51" t="s">
        <v>334</v>
      </c>
      <c r="E160" s="52" t="s">
        <v>166</v>
      </c>
      <c r="F160" s="52"/>
      <c r="G160" s="52" t="s">
        <v>319</v>
      </c>
      <c r="H160" s="52" t="s">
        <v>62</v>
      </c>
      <c r="I160" s="52">
        <v>2014</v>
      </c>
      <c r="J160" s="52"/>
      <c r="K160" s="52" t="s">
        <v>63</v>
      </c>
      <c r="L160" s="52" t="s">
        <v>64</v>
      </c>
      <c r="M160" s="52">
        <v>2</v>
      </c>
      <c r="N160" s="53">
        <f t="shared" si="48"/>
        <v>4290000</v>
      </c>
      <c r="O160" s="53">
        <v>8580000</v>
      </c>
      <c r="P160" s="52"/>
      <c r="Q160" s="52"/>
      <c r="R160" s="52"/>
      <c r="S160" s="53">
        <f t="shared" si="56"/>
        <v>8580000</v>
      </c>
      <c r="T160" s="52">
        <v>5</v>
      </c>
      <c r="U160" s="53"/>
      <c r="V160" s="52">
        <v>0.5</v>
      </c>
      <c r="W160" s="53">
        <f t="shared" si="58"/>
        <v>0</v>
      </c>
      <c r="X160" s="52"/>
      <c r="Y160" s="53">
        <f t="shared" si="55"/>
        <v>0</v>
      </c>
      <c r="Z160" s="53">
        <f t="shared" si="59"/>
        <v>0</v>
      </c>
      <c r="AA160" s="169">
        <v>5</v>
      </c>
      <c r="AB160" s="53">
        <v>8580000</v>
      </c>
      <c r="AC160" s="53">
        <f t="shared" si="57"/>
        <v>0</v>
      </c>
      <c r="AD160" s="56" t="s">
        <v>322</v>
      </c>
      <c r="AE160" s="56"/>
      <c r="AF160" s="1">
        <v>8580000</v>
      </c>
      <c r="AG160" s="168">
        <f t="shared" si="52"/>
        <v>0</v>
      </c>
      <c r="AH160" s="5"/>
      <c r="AI160" s="5"/>
    </row>
    <row r="161" spans="1:35" s="1" customFormat="1" x14ac:dyDescent="0.25">
      <c r="A161" s="21">
        <v>51</v>
      </c>
      <c r="B161" s="22" t="s">
        <v>1650</v>
      </c>
      <c r="C161" s="50" t="s">
        <v>338</v>
      </c>
      <c r="D161" s="51" t="s">
        <v>334</v>
      </c>
      <c r="E161" s="52" t="s">
        <v>166</v>
      </c>
      <c r="F161" s="52"/>
      <c r="G161" s="52" t="s">
        <v>319</v>
      </c>
      <c r="H161" s="52" t="s">
        <v>62</v>
      </c>
      <c r="I161" s="52">
        <v>2014</v>
      </c>
      <c r="J161" s="52"/>
      <c r="K161" s="52" t="s">
        <v>63</v>
      </c>
      <c r="L161" s="52" t="s">
        <v>64</v>
      </c>
      <c r="M161" s="52">
        <v>2</v>
      </c>
      <c r="N161" s="53">
        <f t="shared" si="48"/>
        <v>4290000</v>
      </c>
      <c r="O161" s="53">
        <v>8580000</v>
      </c>
      <c r="P161" s="52"/>
      <c r="Q161" s="52"/>
      <c r="R161" s="52"/>
      <c r="S161" s="53">
        <f t="shared" si="56"/>
        <v>8580000</v>
      </c>
      <c r="T161" s="52">
        <v>5</v>
      </c>
      <c r="U161" s="53"/>
      <c r="V161" s="52">
        <v>0.5</v>
      </c>
      <c r="W161" s="53">
        <f t="shared" si="58"/>
        <v>0</v>
      </c>
      <c r="X161" s="52"/>
      <c r="Y161" s="53">
        <f t="shared" si="55"/>
        <v>0</v>
      </c>
      <c r="Z161" s="53">
        <f t="shared" si="59"/>
        <v>0</v>
      </c>
      <c r="AA161" s="169">
        <v>5</v>
      </c>
      <c r="AB161" s="53">
        <v>8580000</v>
      </c>
      <c r="AC161" s="53">
        <f t="shared" si="57"/>
        <v>0</v>
      </c>
      <c r="AD161" s="56" t="s">
        <v>326</v>
      </c>
      <c r="AE161" s="56"/>
      <c r="AF161" s="1">
        <v>8580000</v>
      </c>
      <c r="AG161" s="168">
        <f t="shared" si="52"/>
        <v>0</v>
      </c>
      <c r="AH161" s="5"/>
      <c r="AI161" s="5"/>
    </row>
    <row r="162" spans="1:35" s="1" customFormat="1" x14ac:dyDescent="0.25">
      <c r="A162" s="21">
        <v>52</v>
      </c>
      <c r="B162" s="50" t="s">
        <v>1650</v>
      </c>
      <c r="C162" s="73" t="s">
        <v>339</v>
      </c>
      <c r="D162" s="51" t="s">
        <v>334</v>
      </c>
      <c r="E162" s="52" t="s">
        <v>166</v>
      </c>
      <c r="F162" s="52"/>
      <c r="G162" s="52" t="s">
        <v>319</v>
      </c>
      <c r="H162" s="52" t="s">
        <v>62</v>
      </c>
      <c r="I162" s="52">
        <v>2014</v>
      </c>
      <c r="J162" s="52"/>
      <c r="K162" s="52" t="s">
        <v>63</v>
      </c>
      <c r="L162" s="52" t="s">
        <v>64</v>
      </c>
      <c r="M162" s="52">
        <v>2</v>
      </c>
      <c r="N162" s="53">
        <f t="shared" si="48"/>
        <v>4290000</v>
      </c>
      <c r="O162" s="53">
        <v>8580000</v>
      </c>
      <c r="P162" s="52"/>
      <c r="Q162" s="52"/>
      <c r="R162" s="52"/>
      <c r="S162" s="53">
        <f t="shared" si="56"/>
        <v>8580000</v>
      </c>
      <c r="T162" s="52">
        <v>5</v>
      </c>
      <c r="U162" s="53"/>
      <c r="V162" s="52">
        <v>0.5</v>
      </c>
      <c r="W162" s="53">
        <f t="shared" si="58"/>
        <v>0</v>
      </c>
      <c r="X162" s="52"/>
      <c r="Y162" s="53">
        <f t="shared" si="55"/>
        <v>0</v>
      </c>
      <c r="Z162" s="53">
        <f t="shared" si="59"/>
        <v>0</v>
      </c>
      <c r="AA162" s="169">
        <v>5</v>
      </c>
      <c r="AB162" s="53">
        <v>8580000</v>
      </c>
      <c r="AC162" s="53">
        <f t="shared" si="57"/>
        <v>0</v>
      </c>
      <c r="AD162" s="56" t="s">
        <v>324</v>
      </c>
      <c r="AE162" s="56"/>
      <c r="AF162" s="1">
        <v>8580000</v>
      </c>
      <c r="AG162" s="168">
        <f t="shared" si="52"/>
        <v>0</v>
      </c>
      <c r="AH162" s="5"/>
      <c r="AI162" s="5"/>
    </row>
    <row r="163" spans="1:35" s="1" customFormat="1" x14ac:dyDescent="0.25">
      <c r="A163" s="21">
        <v>53</v>
      </c>
      <c r="B163" s="22" t="s">
        <v>1650</v>
      </c>
      <c r="C163" s="22" t="s">
        <v>340</v>
      </c>
      <c r="D163" s="51" t="s">
        <v>334</v>
      </c>
      <c r="E163" s="24" t="s">
        <v>166</v>
      </c>
      <c r="F163" s="52"/>
      <c r="G163" s="52" t="s">
        <v>319</v>
      </c>
      <c r="H163" s="52" t="s">
        <v>62</v>
      </c>
      <c r="I163" s="52">
        <v>2014</v>
      </c>
      <c r="J163" s="52"/>
      <c r="K163" s="52" t="s">
        <v>63</v>
      </c>
      <c r="L163" s="52" t="s">
        <v>64</v>
      </c>
      <c r="M163" s="52">
        <v>2</v>
      </c>
      <c r="N163" s="53">
        <f t="shared" si="48"/>
        <v>4290000</v>
      </c>
      <c r="O163" s="53">
        <v>8580000</v>
      </c>
      <c r="P163" s="52"/>
      <c r="Q163" s="52"/>
      <c r="R163" s="52"/>
      <c r="S163" s="53">
        <f t="shared" si="56"/>
        <v>8580000</v>
      </c>
      <c r="T163" s="52">
        <v>5</v>
      </c>
      <c r="U163" s="53"/>
      <c r="V163" s="52">
        <v>0.5</v>
      </c>
      <c r="W163" s="53">
        <f t="shared" si="58"/>
        <v>0</v>
      </c>
      <c r="X163" s="52"/>
      <c r="Y163" s="53">
        <f t="shared" si="55"/>
        <v>0</v>
      </c>
      <c r="Z163" s="53">
        <f t="shared" si="59"/>
        <v>0</v>
      </c>
      <c r="AA163" s="169">
        <v>5</v>
      </c>
      <c r="AB163" s="53">
        <v>8580000</v>
      </c>
      <c r="AC163" s="53">
        <f t="shared" si="57"/>
        <v>0</v>
      </c>
      <c r="AD163" s="56" t="s">
        <v>328</v>
      </c>
      <c r="AE163" s="56"/>
      <c r="AF163" s="1">
        <v>8580000</v>
      </c>
      <c r="AG163" s="168">
        <f t="shared" si="52"/>
        <v>0</v>
      </c>
      <c r="AH163" s="5"/>
      <c r="AI163" s="5"/>
    </row>
    <row r="164" spans="1:35" s="1" customFormat="1" x14ac:dyDescent="0.25">
      <c r="A164" s="21">
        <v>54</v>
      </c>
      <c r="B164" s="22" t="s">
        <v>1650</v>
      </c>
      <c r="C164" s="22" t="s">
        <v>143</v>
      </c>
      <c r="D164" s="51" t="s">
        <v>334</v>
      </c>
      <c r="E164" s="24" t="s">
        <v>166</v>
      </c>
      <c r="F164" s="52"/>
      <c r="G164" s="52" t="s">
        <v>319</v>
      </c>
      <c r="H164" s="52" t="s">
        <v>62</v>
      </c>
      <c r="I164" s="52">
        <v>2014</v>
      </c>
      <c r="J164" s="52"/>
      <c r="K164" s="52" t="s">
        <v>63</v>
      </c>
      <c r="L164" s="52" t="s">
        <v>64</v>
      </c>
      <c r="M164" s="52">
        <v>1</v>
      </c>
      <c r="N164" s="53">
        <f t="shared" si="48"/>
        <v>4290000</v>
      </c>
      <c r="O164" s="53">
        <v>4290000</v>
      </c>
      <c r="P164" s="52"/>
      <c r="Q164" s="52"/>
      <c r="R164" s="52"/>
      <c r="S164" s="53">
        <f t="shared" si="56"/>
        <v>4290000</v>
      </c>
      <c r="T164" s="52">
        <v>5</v>
      </c>
      <c r="U164" s="53"/>
      <c r="V164" s="52">
        <v>0.5</v>
      </c>
      <c r="W164" s="53">
        <f t="shared" si="58"/>
        <v>0</v>
      </c>
      <c r="X164" s="52"/>
      <c r="Y164" s="53">
        <f t="shared" si="55"/>
        <v>0</v>
      </c>
      <c r="Z164" s="53">
        <f t="shared" si="59"/>
        <v>0</v>
      </c>
      <c r="AA164" s="169">
        <v>5</v>
      </c>
      <c r="AB164" s="53">
        <v>4290000</v>
      </c>
      <c r="AC164" s="53">
        <f t="shared" si="57"/>
        <v>0</v>
      </c>
      <c r="AD164" s="56" t="s">
        <v>333</v>
      </c>
      <c r="AE164" s="56"/>
      <c r="AF164" s="1">
        <v>4290000</v>
      </c>
      <c r="AG164" s="168">
        <f t="shared" si="52"/>
        <v>0</v>
      </c>
      <c r="AH164" s="5"/>
      <c r="AI164" s="5"/>
    </row>
    <row r="165" spans="1:35" s="1" customFormat="1" x14ac:dyDescent="0.25">
      <c r="A165" s="21">
        <v>55</v>
      </c>
      <c r="B165" s="22" t="s">
        <v>1650</v>
      </c>
      <c r="C165" s="22" t="s">
        <v>341</v>
      </c>
      <c r="D165" s="51" t="s">
        <v>334</v>
      </c>
      <c r="E165" s="24" t="s">
        <v>166</v>
      </c>
      <c r="F165" s="52"/>
      <c r="G165" s="52" t="s">
        <v>319</v>
      </c>
      <c r="H165" s="52" t="s">
        <v>62</v>
      </c>
      <c r="I165" s="52">
        <v>2014</v>
      </c>
      <c r="J165" s="52"/>
      <c r="K165" s="52" t="s">
        <v>63</v>
      </c>
      <c r="L165" s="52" t="s">
        <v>64</v>
      </c>
      <c r="M165" s="52">
        <v>2</v>
      </c>
      <c r="N165" s="53">
        <f t="shared" si="48"/>
        <v>4290000</v>
      </c>
      <c r="O165" s="53">
        <v>8580000</v>
      </c>
      <c r="P165" s="52"/>
      <c r="Q165" s="52"/>
      <c r="R165" s="52"/>
      <c r="S165" s="53">
        <f t="shared" si="56"/>
        <v>8580000</v>
      </c>
      <c r="T165" s="52">
        <v>5</v>
      </c>
      <c r="U165" s="53"/>
      <c r="V165" s="52">
        <v>0.5</v>
      </c>
      <c r="W165" s="53">
        <f t="shared" si="58"/>
        <v>0</v>
      </c>
      <c r="X165" s="52"/>
      <c r="Y165" s="53">
        <f t="shared" si="55"/>
        <v>0</v>
      </c>
      <c r="Z165" s="53">
        <f t="shared" si="59"/>
        <v>0</v>
      </c>
      <c r="AA165" s="169">
        <v>5</v>
      </c>
      <c r="AB165" s="53">
        <v>8580000</v>
      </c>
      <c r="AC165" s="53">
        <f t="shared" si="57"/>
        <v>0</v>
      </c>
      <c r="AD165" s="56" t="s">
        <v>331</v>
      </c>
      <c r="AE165" s="56"/>
      <c r="AF165" s="1">
        <v>8580000</v>
      </c>
      <c r="AG165" s="168">
        <f t="shared" si="52"/>
        <v>0</v>
      </c>
      <c r="AH165" s="5"/>
      <c r="AI165" s="5"/>
    </row>
    <row r="166" spans="1:35" s="1" customFormat="1" x14ac:dyDescent="0.25">
      <c r="A166" s="21">
        <v>56</v>
      </c>
      <c r="B166" s="22" t="s">
        <v>1650</v>
      </c>
      <c r="C166" s="22" t="s">
        <v>342</v>
      </c>
      <c r="D166" s="51" t="s">
        <v>334</v>
      </c>
      <c r="E166" s="24" t="s">
        <v>166</v>
      </c>
      <c r="F166" s="52"/>
      <c r="G166" s="52" t="s">
        <v>319</v>
      </c>
      <c r="H166" s="52" t="s">
        <v>62</v>
      </c>
      <c r="I166" s="52">
        <v>2014</v>
      </c>
      <c r="J166" s="52"/>
      <c r="K166" s="52" t="s">
        <v>63</v>
      </c>
      <c r="L166" s="52" t="s">
        <v>64</v>
      </c>
      <c r="M166" s="52">
        <v>2</v>
      </c>
      <c r="N166" s="53">
        <f t="shared" si="48"/>
        <v>4290000</v>
      </c>
      <c r="O166" s="53">
        <v>8580000</v>
      </c>
      <c r="P166" s="52"/>
      <c r="Q166" s="52"/>
      <c r="R166" s="52"/>
      <c r="S166" s="53">
        <f t="shared" si="56"/>
        <v>8580000</v>
      </c>
      <c r="T166" s="52">
        <v>5</v>
      </c>
      <c r="U166" s="53"/>
      <c r="V166" s="52">
        <v>0.5</v>
      </c>
      <c r="W166" s="53">
        <f t="shared" si="58"/>
        <v>0</v>
      </c>
      <c r="X166" s="52"/>
      <c r="Y166" s="53">
        <f t="shared" si="55"/>
        <v>0</v>
      </c>
      <c r="Z166" s="53">
        <f t="shared" si="59"/>
        <v>0</v>
      </c>
      <c r="AA166" s="169">
        <v>5</v>
      </c>
      <c r="AB166" s="53">
        <v>8580000</v>
      </c>
      <c r="AC166" s="53">
        <f t="shared" si="57"/>
        <v>0</v>
      </c>
      <c r="AD166" s="56" t="s">
        <v>276</v>
      </c>
      <c r="AE166" s="56"/>
      <c r="AF166" s="1">
        <v>8580000</v>
      </c>
      <c r="AG166" s="168">
        <f t="shared" si="52"/>
        <v>0</v>
      </c>
      <c r="AH166" s="5"/>
      <c r="AI166" s="5"/>
    </row>
    <row r="167" spans="1:35" s="1" customFormat="1" x14ac:dyDescent="0.25">
      <c r="A167" s="21">
        <v>57</v>
      </c>
      <c r="B167" s="308" t="s">
        <v>1650</v>
      </c>
      <c r="C167" s="308" t="s">
        <v>159</v>
      </c>
      <c r="D167" s="309" t="s">
        <v>334</v>
      </c>
      <c r="E167" s="310"/>
      <c r="F167" s="310"/>
      <c r="G167" s="310" t="s">
        <v>61</v>
      </c>
      <c r="H167" s="310" t="s">
        <v>62</v>
      </c>
      <c r="I167" s="310">
        <v>2023</v>
      </c>
      <c r="J167" s="310"/>
      <c r="K167" s="310" t="s">
        <v>63</v>
      </c>
      <c r="L167" s="310" t="s">
        <v>64</v>
      </c>
      <c r="M167" s="310">
        <v>1</v>
      </c>
      <c r="N167" s="311">
        <f t="shared" si="48"/>
        <v>10700000</v>
      </c>
      <c r="O167" s="311">
        <v>10700000</v>
      </c>
      <c r="P167" s="310"/>
      <c r="Q167" s="310"/>
      <c r="R167" s="310"/>
      <c r="S167" s="311">
        <f t="shared" si="56"/>
        <v>10700000</v>
      </c>
      <c r="T167" s="310">
        <v>5</v>
      </c>
      <c r="U167" s="311">
        <f t="shared" ref="U167:U168" si="60">SUM(S167/T167)</f>
        <v>2140000</v>
      </c>
      <c r="V167" s="312">
        <f>1/12</f>
        <v>8.3333333333333329E-2</v>
      </c>
      <c r="W167" s="311">
        <f t="shared" si="58"/>
        <v>178333.33333333331</v>
      </c>
      <c r="X167" s="310">
        <v>0.5</v>
      </c>
      <c r="Y167" s="311">
        <f>SUM(U167*X167)</f>
        <v>1070000</v>
      </c>
      <c r="Z167" s="311">
        <f t="shared" si="59"/>
        <v>1248333.3333333333</v>
      </c>
      <c r="AA167" s="312">
        <f>1/12+0.5</f>
        <v>0.58333333333333337</v>
      </c>
      <c r="AB167" s="311">
        <f t="shared" ref="AB167:AB168" si="61">SUM(U167*AA167)</f>
        <v>1248333.3333333335</v>
      </c>
      <c r="AC167" s="311">
        <f t="shared" si="57"/>
        <v>9451666.666666666</v>
      </c>
      <c r="AD167" s="313"/>
      <c r="AE167" s="313"/>
      <c r="AF167" s="75">
        <v>178333.33333333331</v>
      </c>
      <c r="AG167" s="371">
        <f>SUM(AE167+X167-AA167)</f>
        <v>-8.333333333333337E-2</v>
      </c>
      <c r="AH167" s="5">
        <f>SUM(AF167+Y167-AB167)</f>
        <v>-2.3283064365386963E-10</v>
      </c>
      <c r="AI167" s="5"/>
    </row>
    <row r="168" spans="1:35" s="1" customFormat="1" x14ac:dyDescent="0.25">
      <c r="A168" s="21">
        <v>58</v>
      </c>
      <c r="B168" s="22" t="s">
        <v>1650</v>
      </c>
      <c r="C168" s="22" t="s">
        <v>58</v>
      </c>
      <c r="D168" s="51" t="s">
        <v>454</v>
      </c>
      <c r="E168" s="24" t="s">
        <v>455</v>
      </c>
      <c r="F168" s="52"/>
      <c r="G168" s="52" t="s">
        <v>61</v>
      </c>
      <c r="H168" s="52" t="s">
        <v>62</v>
      </c>
      <c r="I168" s="52">
        <v>2015</v>
      </c>
      <c r="J168" s="52"/>
      <c r="K168" s="52" t="s">
        <v>63</v>
      </c>
      <c r="L168" s="52" t="s">
        <v>64</v>
      </c>
      <c r="M168" s="52">
        <v>1</v>
      </c>
      <c r="N168" s="53">
        <f t="shared" si="48"/>
        <v>4999500</v>
      </c>
      <c r="O168" s="53">
        <v>4999500</v>
      </c>
      <c r="P168" s="52"/>
      <c r="Q168" s="52"/>
      <c r="R168" s="52"/>
      <c r="S168" s="53">
        <f t="shared" si="56"/>
        <v>4999500</v>
      </c>
      <c r="T168" s="52">
        <v>5</v>
      </c>
      <c r="U168" s="53">
        <f t="shared" si="60"/>
        <v>999900</v>
      </c>
      <c r="V168" s="52">
        <v>0.5</v>
      </c>
      <c r="W168" s="53"/>
      <c r="X168" s="52"/>
      <c r="Y168" s="53">
        <f t="shared" si="55"/>
        <v>0</v>
      </c>
      <c r="Z168" s="53"/>
      <c r="AA168" s="52">
        <v>5</v>
      </c>
      <c r="AB168" s="53">
        <f t="shared" si="61"/>
        <v>4999500</v>
      </c>
      <c r="AC168" s="53">
        <f t="shared" si="57"/>
        <v>0</v>
      </c>
      <c r="AD168" s="56"/>
      <c r="AE168" s="56"/>
      <c r="AF168" s="1">
        <v>4999500</v>
      </c>
      <c r="AG168" s="168">
        <f t="shared" si="52"/>
        <v>0</v>
      </c>
      <c r="AH168" s="5"/>
      <c r="AI168" s="5"/>
    </row>
    <row r="169" spans="1:35" s="1" customFormat="1" x14ac:dyDescent="0.25">
      <c r="A169" s="21">
        <v>59</v>
      </c>
      <c r="B169" s="22" t="s">
        <v>1651</v>
      </c>
      <c r="C169" s="22" t="s">
        <v>209</v>
      </c>
      <c r="D169" s="51" t="s">
        <v>934</v>
      </c>
      <c r="E169" s="24"/>
      <c r="F169" s="52"/>
      <c r="G169" s="52" t="s">
        <v>61</v>
      </c>
      <c r="H169" s="52" t="s">
        <v>62</v>
      </c>
      <c r="I169" s="52">
        <v>2017</v>
      </c>
      <c r="J169" s="52"/>
      <c r="K169" s="52" t="s">
        <v>63</v>
      </c>
      <c r="L169" s="52" t="s">
        <v>64</v>
      </c>
      <c r="M169" s="52">
        <v>2</v>
      </c>
      <c r="N169" s="53">
        <f>SUM(O169/M169)</f>
        <v>4994000</v>
      </c>
      <c r="O169" s="53">
        <v>9988000</v>
      </c>
      <c r="P169" s="52"/>
      <c r="Q169" s="52"/>
      <c r="R169" s="52"/>
      <c r="S169" s="53">
        <f t="shared" si="56"/>
        <v>9988000</v>
      </c>
      <c r="T169" s="52">
        <v>5</v>
      </c>
      <c r="U169" s="53">
        <f>SUM(S169/T169)</f>
        <v>1997600</v>
      </c>
      <c r="V169" s="52"/>
      <c r="W169" s="53">
        <f>SUM(U169*V169)</f>
        <v>0</v>
      </c>
      <c r="X169" s="52"/>
      <c r="Y169" s="53"/>
      <c r="Z169" s="53">
        <f>SUM(W169+Y169)</f>
        <v>0</v>
      </c>
      <c r="AA169" s="52">
        <v>5</v>
      </c>
      <c r="AB169" s="53">
        <v>9988000</v>
      </c>
      <c r="AC169" s="53">
        <f t="shared" si="57"/>
        <v>0</v>
      </c>
      <c r="AD169" s="56" t="s">
        <v>226</v>
      </c>
      <c r="AE169" s="56"/>
      <c r="AF169" s="1">
        <v>9988000</v>
      </c>
      <c r="AG169" s="168">
        <f t="shared" si="52"/>
        <v>0</v>
      </c>
      <c r="AH169" s="5"/>
      <c r="AI169" s="5"/>
    </row>
    <row r="170" spans="1:35" s="1" customFormat="1" x14ac:dyDescent="0.25">
      <c r="A170" s="21">
        <v>60</v>
      </c>
      <c r="B170" s="22" t="s">
        <v>1651</v>
      </c>
      <c r="C170" s="22" t="s">
        <v>274</v>
      </c>
      <c r="D170" s="51" t="s">
        <v>660</v>
      </c>
      <c r="E170" s="24" t="s">
        <v>166</v>
      </c>
      <c r="F170" s="52"/>
      <c r="G170" s="52" t="s">
        <v>661</v>
      </c>
      <c r="H170" s="52" t="s">
        <v>62</v>
      </c>
      <c r="I170" s="52">
        <v>2004</v>
      </c>
      <c r="J170" s="52"/>
      <c r="K170" s="52" t="s">
        <v>63</v>
      </c>
      <c r="L170" s="52" t="s">
        <v>212</v>
      </c>
      <c r="M170" s="52">
        <v>5</v>
      </c>
      <c r="N170" s="53">
        <f>SUM(O170/M170)</f>
        <v>1000000</v>
      </c>
      <c r="O170" s="53">
        <v>5000000</v>
      </c>
      <c r="P170" s="52"/>
      <c r="Q170" s="52"/>
      <c r="R170" s="52"/>
      <c r="S170" s="53">
        <f t="shared" si="56"/>
        <v>5000000</v>
      </c>
      <c r="T170" s="52">
        <v>5</v>
      </c>
      <c r="U170" s="53"/>
      <c r="V170" s="52">
        <v>0.5</v>
      </c>
      <c r="W170" s="53">
        <f>SUM(U170*V170)</f>
        <v>0</v>
      </c>
      <c r="X170" s="52"/>
      <c r="Y170" s="53">
        <f>SUM(U170*X170)</f>
        <v>0</v>
      </c>
      <c r="Z170" s="53">
        <f>SUM(W170+Y170)</f>
        <v>0</v>
      </c>
      <c r="AA170" s="52">
        <v>5</v>
      </c>
      <c r="AB170" s="53">
        <v>5000000</v>
      </c>
      <c r="AC170" s="53">
        <f t="shared" si="57"/>
        <v>0</v>
      </c>
      <c r="AD170" s="56" t="s">
        <v>616</v>
      </c>
      <c r="AE170" s="56"/>
      <c r="AF170" s="1">
        <v>5000000</v>
      </c>
      <c r="AG170" s="168">
        <f t="shared" si="52"/>
        <v>0</v>
      </c>
      <c r="AH170" s="5"/>
      <c r="AI170" s="5"/>
    </row>
    <row r="171" spans="1:35" s="1" customFormat="1" x14ac:dyDescent="0.25">
      <c r="A171" s="21"/>
      <c r="B171" s="22"/>
      <c r="C171" s="22"/>
      <c r="D171" s="51"/>
      <c r="E171" s="24"/>
      <c r="F171" s="52"/>
      <c r="G171" s="52"/>
      <c r="H171" s="52"/>
      <c r="I171" s="52"/>
      <c r="J171" s="52"/>
      <c r="K171" s="52"/>
      <c r="L171" s="52"/>
      <c r="M171" s="52"/>
      <c r="N171" s="53"/>
      <c r="O171" s="53"/>
      <c r="P171" s="52"/>
      <c r="Q171" s="52"/>
      <c r="R171" s="52"/>
      <c r="S171" s="53"/>
      <c r="T171" s="52"/>
      <c r="U171" s="53"/>
      <c r="V171" s="52"/>
      <c r="W171" s="53"/>
      <c r="X171" s="52"/>
      <c r="Y171" s="53"/>
      <c r="Z171" s="53"/>
      <c r="AA171" s="52"/>
      <c r="AB171" s="53"/>
      <c r="AC171" s="53"/>
      <c r="AD171" s="56"/>
      <c r="AE171" s="56"/>
      <c r="AG171" s="168"/>
      <c r="AH171" s="5"/>
      <c r="AI171" s="5"/>
    </row>
    <row r="172" spans="1:35" s="1" customFormat="1" x14ac:dyDescent="0.25">
      <c r="A172" s="21"/>
      <c r="B172" s="26" t="s">
        <v>1652</v>
      </c>
      <c r="C172" s="26"/>
      <c r="D172" s="27" t="s">
        <v>1653</v>
      </c>
      <c r="E172" s="28"/>
      <c r="F172" s="28"/>
      <c r="G172" s="28"/>
      <c r="H172" s="28"/>
      <c r="I172" s="28"/>
      <c r="J172" s="28"/>
      <c r="K172" s="28"/>
      <c r="L172" s="28"/>
      <c r="M172" s="28">
        <f>SUM(M173:M235)</f>
        <v>100</v>
      </c>
      <c r="N172" s="40"/>
      <c r="O172" s="40">
        <f>SUM(O173:O235)</f>
        <v>682467500</v>
      </c>
      <c r="P172" s="28"/>
      <c r="Q172" s="28"/>
      <c r="R172" s="28"/>
      <c r="S172" s="40">
        <f>SUM(S173:S235)</f>
        <v>682467500</v>
      </c>
      <c r="T172" s="28"/>
      <c r="U172" s="40">
        <f>SUM(U173:U235)</f>
        <v>73588100</v>
      </c>
      <c r="V172" s="28"/>
      <c r="W172" s="40">
        <f>SUM(W173:W235)</f>
        <v>9748900</v>
      </c>
      <c r="X172" s="28"/>
      <c r="Y172" s="40">
        <f>SUM(Y173:Y235)</f>
        <v>3079590</v>
      </c>
      <c r="Z172" s="40">
        <f>SUM(Z173:Z235)</f>
        <v>12828490</v>
      </c>
      <c r="AA172" s="28"/>
      <c r="AB172" s="40">
        <f>SUM(AB173:AB235)</f>
        <v>679695800</v>
      </c>
      <c r="AC172" s="40">
        <f>SUM(AC173:AC235)</f>
        <v>2771700</v>
      </c>
      <c r="AD172" s="167"/>
      <c r="AE172" s="167"/>
      <c r="AG172" s="168"/>
      <c r="AH172" s="5"/>
      <c r="AI172" s="5"/>
    </row>
    <row r="173" spans="1:35" s="1" customFormat="1" x14ac:dyDescent="0.25">
      <c r="A173" s="21">
        <v>1</v>
      </c>
      <c r="B173" s="22" t="s">
        <v>1654</v>
      </c>
      <c r="C173" s="50" t="s">
        <v>58</v>
      </c>
      <c r="D173" s="51" t="s">
        <v>206</v>
      </c>
      <c r="E173" s="52" t="s">
        <v>207</v>
      </c>
      <c r="F173" s="52"/>
      <c r="G173" s="52" t="s">
        <v>194</v>
      </c>
      <c r="H173" s="52" t="s">
        <v>62</v>
      </c>
      <c r="I173" s="52">
        <v>2012</v>
      </c>
      <c r="J173" s="52"/>
      <c r="K173" s="52" t="s">
        <v>202</v>
      </c>
      <c r="L173" s="52" t="s">
        <v>64</v>
      </c>
      <c r="M173" s="52">
        <v>1</v>
      </c>
      <c r="N173" s="53">
        <f t="shared" ref="N173:N181" si="62">SUM(O173/M173)</f>
        <v>17050000</v>
      </c>
      <c r="O173" s="53">
        <v>17050000</v>
      </c>
      <c r="P173" s="52"/>
      <c r="Q173" s="52"/>
      <c r="R173" s="52"/>
      <c r="S173" s="53">
        <f t="shared" ref="S173:S235" si="63">SUM(O173-R173)</f>
        <v>17050000</v>
      </c>
      <c r="T173" s="52">
        <v>5</v>
      </c>
      <c r="U173" s="53"/>
      <c r="V173" s="52">
        <v>0.5</v>
      </c>
      <c r="W173" s="53">
        <f t="shared" ref="W173" si="64">SUM(U173*V173)</f>
        <v>0</v>
      </c>
      <c r="X173" s="52"/>
      <c r="Y173" s="53">
        <f t="shared" ref="Y173:Y230" si="65">SUM(U173*X173)</f>
        <v>0</v>
      </c>
      <c r="Z173" s="53">
        <f t="shared" ref="Z173" si="66">SUM(W173+Y173)</f>
        <v>0</v>
      </c>
      <c r="AA173" s="52">
        <v>5</v>
      </c>
      <c r="AB173" s="53">
        <v>17050000</v>
      </c>
      <c r="AC173" s="53">
        <f t="shared" ref="AC173:AC235" si="67">SUM(O173-AB173)</f>
        <v>0</v>
      </c>
      <c r="AD173" s="56" t="s">
        <v>208</v>
      </c>
      <c r="AE173" s="56"/>
      <c r="AF173" s="1">
        <v>17050000</v>
      </c>
      <c r="AG173" s="168">
        <f t="shared" ref="AG173:AG235" si="68">AB173+Z173-AB173</f>
        <v>0</v>
      </c>
      <c r="AH173" s="5"/>
      <c r="AI173" s="5"/>
    </row>
    <row r="174" spans="1:35" s="1" customFormat="1" x14ac:dyDescent="0.25">
      <c r="A174" s="21">
        <v>2</v>
      </c>
      <c r="B174" s="22" t="s">
        <v>1654</v>
      </c>
      <c r="C174" s="73" t="s">
        <v>58</v>
      </c>
      <c r="D174" s="51" t="s">
        <v>272</v>
      </c>
      <c r="E174" s="52" t="s">
        <v>273</v>
      </c>
      <c r="F174" s="52"/>
      <c r="G174" s="52" t="s">
        <v>194</v>
      </c>
      <c r="H174" s="52" t="s">
        <v>62</v>
      </c>
      <c r="I174" s="52">
        <v>2015</v>
      </c>
      <c r="J174" s="52"/>
      <c r="K174" s="52" t="s">
        <v>261</v>
      </c>
      <c r="L174" s="52" t="s">
        <v>64</v>
      </c>
      <c r="M174" s="52">
        <v>1</v>
      </c>
      <c r="N174" s="53">
        <f t="shared" si="62"/>
        <v>85239000</v>
      </c>
      <c r="O174" s="53">
        <v>85239000</v>
      </c>
      <c r="P174" s="52"/>
      <c r="Q174" s="52"/>
      <c r="R174" s="52"/>
      <c r="S174" s="53">
        <f t="shared" si="63"/>
        <v>85239000</v>
      </c>
      <c r="T174" s="52">
        <v>5</v>
      </c>
      <c r="U174" s="53">
        <f>SUM(S174/T174)</f>
        <v>17047800</v>
      </c>
      <c r="V174" s="52">
        <v>0.5</v>
      </c>
      <c r="W174" s="53"/>
      <c r="X174" s="52"/>
      <c r="Y174" s="53">
        <f t="shared" si="65"/>
        <v>0</v>
      </c>
      <c r="Z174" s="53"/>
      <c r="AA174" s="52">
        <f>4.5+0.5</f>
        <v>5</v>
      </c>
      <c r="AB174" s="53">
        <f>SUM(U174*AA174)</f>
        <v>85239000</v>
      </c>
      <c r="AC174" s="53">
        <f t="shared" si="67"/>
        <v>0</v>
      </c>
      <c r="AD174" s="56" t="s">
        <v>195</v>
      </c>
      <c r="AE174" s="56"/>
      <c r="AF174" s="1">
        <v>85239000</v>
      </c>
      <c r="AG174" s="168">
        <f t="shared" si="68"/>
        <v>0</v>
      </c>
      <c r="AH174" s="5"/>
      <c r="AI174" s="5"/>
    </row>
    <row r="175" spans="1:35" s="1" customFormat="1" x14ac:dyDescent="0.25">
      <c r="A175" s="21">
        <v>3</v>
      </c>
      <c r="B175" s="22" t="s">
        <v>1655</v>
      </c>
      <c r="C175" s="22" t="s">
        <v>58</v>
      </c>
      <c r="D175" s="51" t="s">
        <v>458</v>
      </c>
      <c r="E175" s="24" t="s">
        <v>166</v>
      </c>
      <c r="F175" s="52"/>
      <c r="G175" s="52" t="s">
        <v>319</v>
      </c>
      <c r="H175" s="52" t="s">
        <v>62</v>
      </c>
      <c r="I175" s="52">
        <v>2015</v>
      </c>
      <c r="J175" s="52"/>
      <c r="K175" s="52" t="s">
        <v>63</v>
      </c>
      <c r="L175" s="52" t="s">
        <v>64</v>
      </c>
      <c r="M175" s="52">
        <v>1</v>
      </c>
      <c r="N175" s="53">
        <f t="shared" si="62"/>
        <v>3500000</v>
      </c>
      <c r="O175" s="53">
        <v>3500000</v>
      </c>
      <c r="P175" s="52"/>
      <c r="Q175" s="52"/>
      <c r="R175" s="52"/>
      <c r="S175" s="53">
        <f t="shared" si="63"/>
        <v>3500000</v>
      </c>
      <c r="T175" s="52">
        <v>5</v>
      </c>
      <c r="U175" s="53">
        <f t="shared" ref="U175" si="69">SUM(S175/T175)</f>
        <v>700000</v>
      </c>
      <c r="V175" s="52">
        <v>0.5</v>
      </c>
      <c r="W175" s="53"/>
      <c r="X175" s="52"/>
      <c r="Y175" s="53">
        <f t="shared" si="65"/>
        <v>0</v>
      </c>
      <c r="Z175" s="53"/>
      <c r="AA175" s="52">
        <v>5</v>
      </c>
      <c r="AB175" s="53">
        <f t="shared" ref="AB175" si="70">SUM(U175*AA175)</f>
        <v>3500000</v>
      </c>
      <c r="AC175" s="53">
        <f t="shared" si="67"/>
        <v>0</v>
      </c>
      <c r="AD175" s="56" t="s">
        <v>195</v>
      </c>
      <c r="AE175" s="56"/>
      <c r="AF175" s="1">
        <v>3500000</v>
      </c>
      <c r="AG175" s="168">
        <f t="shared" si="68"/>
        <v>0</v>
      </c>
      <c r="AH175" s="5"/>
      <c r="AI175" s="5"/>
    </row>
    <row r="176" spans="1:35" s="1" customFormat="1" x14ac:dyDescent="0.25">
      <c r="A176" s="21">
        <v>4</v>
      </c>
      <c r="B176" s="22" t="s">
        <v>1656</v>
      </c>
      <c r="C176" s="22" t="s">
        <v>58</v>
      </c>
      <c r="D176" s="51" t="s">
        <v>1051</v>
      </c>
      <c r="E176" s="24" t="s">
        <v>1052</v>
      </c>
      <c r="F176" s="52"/>
      <c r="G176" s="52" t="s">
        <v>319</v>
      </c>
      <c r="H176" s="52" t="s">
        <v>62</v>
      </c>
      <c r="I176" s="52">
        <v>2014</v>
      </c>
      <c r="J176" s="52"/>
      <c r="K176" s="52" t="s">
        <v>63</v>
      </c>
      <c r="L176" s="52" t="s">
        <v>64</v>
      </c>
      <c r="M176" s="52">
        <v>1</v>
      </c>
      <c r="N176" s="53">
        <f t="shared" si="62"/>
        <v>998800</v>
      </c>
      <c r="O176" s="53">
        <v>998800</v>
      </c>
      <c r="P176" s="52"/>
      <c r="Q176" s="52"/>
      <c r="R176" s="52"/>
      <c r="S176" s="53">
        <f t="shared" si="63"/>
        <v>998800</v>
      </c>
      <c r="T176" s="52">
        <v>5</v>
      </c>
      <c r="U176" s="53"/>
      <c r="V176" s="52">
        <v>0.5</v>
      </c>
      <c r="W176" s="53">
        <f t="shared" ref="W176:W194" si="71">SUM(U176*V176)</f>
        <v>0</v>
      </c>
      <c r="X176" s="52"/>
      <c r="Y176" s="53">
        <f t="shared" si="65"/>
        <v>0</v>
      </c>
      <c r="Z176" s="53">
        <f t="shared" ref="Z176:Z229" si="72">SUM(W176+Y176)</f>
        <v>0</v>
      </c>
      <c r="AA176" s="52">
        <v>5</v>
      </c>
      <c r="AB176" s="53">
        <v>998800</v>
      </c>
      <c r="AC176" s="53">
        <f t="shared" si="67"/>
        <v>0</v>
      </c>
      <c r="AD176" s="56" t="s">
        <v>297</v>
      </c>
      <c r="AE176" s="56"/>
      <c r="AF176" s="1">
        <v>998800</v>
      </c>
      <c r="AG176" s="168">
        <f t="shared" si="68"/>
        <v>0</v>
      </c>
      <c r="AH176" s="5"/>
      <c r="AI176" s="5"/>
    </row>
    <row r="177" spans="1:35" s="1" customFormat="1" x14ac:dyDescent="0.25">
      <c r="A177" s="21">
        <v>5</v>
      </c>
      <c r="B177" s="22" t="s">
        <v>1656</v>
      </c>
      <c r="C177" s="22" t="s">
        <v>75</v>
      </c>
      <c r="D177" s="51" t="s">
        <v>1051</v>
      </c>
      <c r="E177" s="24" t="s">
        <v>1053</v>
      </c>
      <c r="F177" s="52"/>
      <c r="G177" s="52" t="s">
        <v>319</v>
      </c>
      <c r="H177" s="52" t="s">
        <v>62</v>
      </c>
      <c r="I177" s="52">
        <v>2014</v>
      </c>
      <c r="J177" s="52"/>
      <c r="K177" s="52" t="s">
        <v>63</v>
      </c>
      <c r="L177" s="52" t="s">
        <v>64</v>
      </c>
      <c r="M177" s="52">
        <v>1</v>
      </c>
      <c r="N177" s="53">
        <f t="shared" si="62"/>
        <v>998800</v>
      </c>
      <c r="O177" s="53">
        <v>998800</v>
      </c>
      <c r="P177" s="52"/>
      <c r="Q177" s="52"/>
      <c r="R177" s="52"/>
      <c r="S177" s="53">
        <f t="shared" si="63"/>
        <v>998800</v>
      </c>
      <c r="T177" s="52">
        <v>5</v>
      </c>
      <c r="U177" s="53"/>
      <c r="V177" s="52">
        <v>0.5</v>
      </c>
      <c r="W177" s="53">
        <f t="shared" si="71"/>
        <v>0</v>
      </c>
      <c r="X177" s="52"/>
      <c r="Y177" s="53">
        <f t="shared" si="65"/>
        <v>0</v>
      </c>
      <c r="Z177" s="53">
        <f t="shared" si="72"/>
        <v>0</v>
      </c>
      <c r="AA177" s="52">
        <v>5</v>
      </c>
      <c r="AB177" s="53">
        <v>998800</v>
      </c>
      <c r="AC177" s="53">
        <f t="shared" si="67"/>
        <v>0</v>
      </c>
      <c r="AD177" s="56" t="s">
        <v>287</v>
      </c>
      <c r="AE177" s="56"/>
      <c r="AF177" s="1">
        <v>998800</v>
      </c>
      <c r="AG177" s="168">
        <f t="shared" si="68"/>
        <v>0</v>
      </c>
      <c r="AH177" s="5"/>
      <c r="AI177" s="5"/>
    </row>
    <row r="178" spans="1:35" s="1" customFormat="1" x14ac:dyDescent="0.25">
      <c r="A178" s="21">
        <v>6</v>
      </c>
      <c r="B178" s="22" t="s">
        <v>1656</v>
      </c>
      <c r="C178" s="22" t="s">
        <v>79</v>
      </c>
      <c r="D178" s="51" t="s">
        <v>1051</v>
      </c>
      <c r="E178" s="24" t="s">
        <v>1054</v>
      </c>
      <c r="F178" s="52"/>
      <c r="G178" s="52" t="s">
        <v>319</v>
      </c>
      <c r="H178" s="52" t="s">
        <v>62</v>
      </c>
      <c r="I178" s="52">
        <v>2014</v>
      </c>
      <c r="J178" s="52"/>
      <c r="K178" s="52" t="s">
        <v>63</v>
      </c>
      <c r="L178" s="52" t="s">
        <v>64</v>
      </c>
      <c r="M178" s="52">
        <v>1</v>
      </c>
      <c r="N178" s="53">
        <f t="shared" si="62"/>
        <v>998800</v>
      </c>
      <c r="O178" s="53">
        <v>998800</v>
      </c>
      <c r="P178" s="52"/>
      <c r="Q178" s="52"/>
      <c r="R178" s="52"/>
      <c r="S178" s="53">
        <f t="shared" si="63"/>
        <v>998800</v>
      </c>
      <c r="T178" s="52">
        <v>5</v>
      </c>
      <c r="U178" s="53"/>
      <c r="V178" s="52">
        <v>0.5</v>
      </c>
      <c r="W178" s="53">
        <f t="shared" si="71"/>
        <v>0</v>
      </c>
      <c r="X178" s="52"/>
      <c r="Y178" s="53">
        <f t="shared" si="65"/>
        <v>0</v>
      </c>
      <c r="Z178" s="53">
        <f t="shared" si="72"/>
        <v>0</v>
      </c>
      <c r="AA178" s="52">
        <v>5</v>
      </c>
      <c r="AB178" s="53">
        <v>998800</v>
      </c>
      <c r="AC178" s="53">
        <f t="shared" si="67"/>
        <v>0</v>
      </c>
      <c r="AD178" s="56" t="s">
        <v>303</v>
      </c>
      <c r="AE178" s="56"/>
      <c r="AF178" s="1">
        <v>998800</v>
      </c>
      <c r="AG178" s="168">
        <f t="shared" si="68"/>
        <v>0</v>
      </c>
      <c r="AH178" s="5"/>
      <c r="AI178" s="5"/>
    </row>
    <row r="179" spans="1:35" s="1" customFormat="1" x14ac:dyDescent="0.25">
      <c r="A179" s="21">
        <v>7</v>
      </c>
      <c r="B179" s="22" t="s">
        <v>1656</v>
      </c>
      <c r="C179" s="22" t="s">
        <v>84</v>
      </c>
      <c r="D179" s="51" t="s">
        <v>1051</v>
      </c>
      <c r="E179" s="24" t="s">
        <v>1055</v>
      </c>
      <c r="F179" s="52"/>
      <c r="G179" s="52" t="s">
        <v>319</v>
      </c>
      <c r="H179" s="52" t="s">
        <v>62</v>
      </c>
      <c r="I179" s="52">
        <v>2014</v>
      </c>
      <c r="J179" s="52"/>
      <c r="K179" s="52" t="s">
        <v>63</v>
      </c>
      <c r="L179" s="52" t="s">
        <v>64</v>
      </c>
      <c r="M179" s="52">
        <v>1</v>
      </c>
      <c r="N179" s="53">
        <f t="shared" si="62"/>
        <v>998800</v>
      </c>
      <c r="O179" s="53">
        <v>998800</v>
      </c>
      <c r="P179" s="52"/>
      <c r="Q179" s="52"/>
      <c r="R179" s="52"/>
      <c r="S179" s="53">
        <f t="shared" si="63"/>
        <v>998800</v>
      </c>
      <c r="T179" s="52">
        <v>5</v>
      </c>
      <c r="U179" s="53"/>
      <c r="V179" s="52">
        <v>0.5</v>
      </c>
      <c r="W179" s="53">
        <f t="shared" si="71"/>
        <v>0</v>
      </c>
      <c r="X179" s="52"/>
      <c r="Y179" s="53">
        <f t="shared" si="65"/>
        <v>0</v>
      </c>
      <c r="Z179" s="53">
        <f t="shared" si="72"/>
        <v>0</v>
      </c>
      <c r="AA179" s="52">
        <v>5</v>
      </c>
      <c r="AB179" s="53">
        <v>998800</v>
      </c>
      <c r="AC179" s="53">
        <f t="shared" si="67"/>
        <v>0</v>
      </c>
      <c r="AD179" s="56" t="s">
        <v>909</v>
      </c>
      <c r="AE179" s="56"/>
      <c r="AF179" s="1">
        <v>998800</v>
      </c>
      <c r="AG179" s="168">
        <f t="shared" si="68"/>
        <v>0</v>
      </c>
      <c r="AH179" s="5"/>
      <c r="AI179" s="5"/>
    </row>
    <row r="180" spans="1:35" s="1" customFormat="1" x14ac:dyDescent="0.25">
      <c r="A180" s="21">
        <v>8</v>
      </c>
      <c r="B180" s="22" t="s">
        <v>1656</v>
      </c>
      <c r="C180" s="22" t="s">
        <v>88</v>
      </c>
      <c r="D180" s="51" t="s">
        <v>1051</v>
      </c>
      <c r="E180" s="24" t="s">
        <v>1056</v>
      </c>
      <c r="F180" s="52"/>
      <c r="G180" s="52" t="s">
        <v>319</v>
      </c>
      <c r="H180" s="52" t="s">
        <v>62</v>
      </c>
      <c r="I180" s="52">
        <v>2014</v>
      </c>
      <c r="J180" s="52"/>
      <c r="K180" s="52" t="s">
        <v>63</v>
      </c>
      <c r="L180" s="52" t="s">
        <v>64</v>
      </c>
      <c r="M180" s="52">
        <v>1</v>
      </c>
      <c r="N180" s="53">
        <f t="shared" si="62"/>
        <v>998800</v>
      </c>
      <c r="O180" s="53">
        <v>998800</v>
      </c>
      <c r="P180" s="52"/>
      <c r="Q180" s="52"/>
      <c r="R180" s="52"/>
      <c r="S180" s="53">
        <f t="shared" si="63"/>
        <v>998800</v>
      </c>
      <c r="T180" s="52">
        <v>5</v>
      </c>
      <c r="U180" s="53"/>
      <c r="V180" s="52">
        <v>0.5</v>
      </c>
      <c r="W180" s="53">
        <f t="shared" si="71"/>
        <v>0</v>
      </c>
      <c r="X180" s="52"/>
      <c r="Y180" s="53">
        <f t="shared" si="65"/>
        <v>0</v>
      </c>
      <c r="Z180" s="53">
        <f t="shared" si="72"/>
        <v>0</v>
      </c>
      <c r="AA180" s="52">
        <v>5</v>
      </c>
      <c r="AB180" s="53">
        <v>998800</v>
      </c>
      <c r="AC180" s="53">
        <f t="shared" si="67"/>
        <v>0</v>
      </c>
      <c r="AD180" s="56" t="s">
        <v>907</v>
      </c>
      <c r="AE180" s="56"/>
      <c r="AF180" s="1">
        <v>998800</v>
      </c>
      <c r="AG180" s="168">
        <f t="shared" si="68"/>
        <v>0</v>
      </c>
      <c r="AH180" s="5"/>
      <c r="AI180" s="5"/>
    </row>
    <row r="181" spans="1:35" s="1" customFormat="1" x14ac:dyDescent="0.25">
      <c r="A181" s="21">
        <v>9</v>
      </c>
      <c r="B181" s="22" t="s">
        <v>1656</v>
      </c>
      <c r="C181" s="22" t="s">
        <v>92</v>
      </c>
      <c r="D181" s="51" t="s">
        <v>1051</v>
      </c>
      <c r="E181" s="24" t="s">
        <v>1057</v>
      </c>
      <c r="F181" s="52"/>
      <c r="G181" s="52" t="s">
        <v>319</v>
      </c>
      <c r="H181" s="52" t="s">
        <v>62</v>
      </c>
      <c r="I181" s="52">
        <v>2014</v>
      </c>
      <c r="J181" s="52"/>
      <c r="K181" s="52" t="s">
        <v>63</v>
      </c>
      <c r="L181" s="52" t="s">
        <v>64</v>
      </c>
      <c r="M181" s="52">
        <v>1</v>
      </c>
      <c r="N181" s="53">
        <f t="shared" si="62"/>
        <v>998800</v>
      </c>
      <c r="O181" s="53">
        <v>998800</v>
      </c>
      <c r="P181" s="52"/>
      <c r="Q181" s="52"/>
      <c r="R181" s="52"/>
      <c r="S181" s="53">
        <f t="shared" si="63"/>
        <v>998800</v>
      </c>
      <c r="T181" s="52">
        <v>5</v>
      </c>
      <c r="U181" s="53"/>
      <c r="V181" s="52">
        <v>0.5</v>
      </c>
      <c r="W181" s="53">
        <f t="shared" si="71"/>
        <v>0</v>
      </c>
      <c r="X181" s="52"/>
      <c r="Y181" s="53">
        <f t="shared" si="65"/>
        <v>0</v>
      </c>
      <c r="Z181" s="53">
        <f t="shared" si="72"/>
        <v>0</v>
      </c>
      <c r="AA181" s="52">
        <v>5</v>
      </c>
      <c r="AB181" s="53">
        <v>998800</v>
      </c>
      <c r="AC181" s="53">
        <f t="shared" si="67"/>
        <v>0</v>
      </c>
      <c r="AD181" s="56" t="s">
        <v>909</v>
      </c>
      <c r="AE181" s="56"/>
      <c r="AF181" s="1">
        <v>998800</v>
      </c>
      <c r="AG181" s="168">
        <f t="shared" si="68"/>
        <v>0</v>
      </c>
      <c r="AH181" s="5"/>
      <c r="AI181" s="5"/>
    </row>
    <row r="182" spans="1:35" s="1" customFormat="1" x14ac:dyDescent="0.25">
      <c r="A182" s="21">
        <v>10</v>
      </c>
      <c r="B182" s="22" t="s">
        <v>1657</v>
      </c>
      <c r="C182" s="73" t="s">
        <v>58</v>
      </c>
      <c r="D182" s="51" t="s">
        <v>204</v>
      </c>
      <c r="E182" s="52" t="s">
        <v>205</v>
      </c>
      <c r="F182" s="52"/>
      <c r="G182" s="52" t="s">
        <v>61</v>
      </c>
      <c r="H182" s="52" t="s">
        <v>62</v>
      </c>
      <c r="I182" s="52">
        <v>2019</v>
      </c>
      <c r="J182" s="52"/>
      <c r="K182" s="52" t="s">
        <v>63</v>
      </c>
      <c r="L182" s="52" t="s">
        <v>64</v>
      </c>
      <c r="M182" s="52">
        <v>1</v>
      </c>
      <c r="N182" s="53">
        <v>18478000</v>
      </c>
      <c r="O182" s="53">
        <v>18478000</v>
      </c>
      <c r="P182" s="52"/>
      <c r="Q182" s="52"/>
      <c r="R182" s="52"/>
      <c r="S182" s="53">
        <f t="shared" si="63"/>
        <v>18478000</v>
      </c>
      <c r="T182" s="52">
        <v>5</v>
      </c>
      <c r="U182" s="53">
        <f>SUM(S182/T182)</f>
        <v>3695600</v>
      </c>
      <c r="V182" s="52">
        <v>0.5</v>
      </c>
      <c r="W182" s="53">
        <f t="shared" si="71"/>
        <v>1847800</v>
      </c>
      <c r="X182" s="52">
        <v>0.5</v>
      </c>
      <c r="Y182" s="53">
        <f t="shared" si="65"/>
        <v>1847800</v>
      </c>
      <c r="Z182" s="53">
        <f t="shared" si="72"/>
        <v>3695600</v>
      </c>
      <c r="AA182" s="52">
        <f>2023-I182+V182+X182-9/12</f>
        <v>4.25</v>
      </c>
      <c r="AB182" s="53">
        <f>SUM(U182*AA182)</f>
        <v>15706300</v>
      </c>
      <c r="AC182" s="53">
        <f t="shared" si="67"/>
        <v>2771700</v>
      </c>
      <c r="AD182" s="56"/>
      <c r="AE182" s="56"/>
      <c r="AF182" s="1">
        <v>12010700</v>
      </c>
      <c r="AG182" s="168">
        <f>AF182+Z182-AB182</f>
        <v>0</v>
      </c>
      <c r="AH182" s="5"/>
      <c r="AI182" s="5"/>
    </row>
    <row r="183" spans="1:35" s="1" customFormat="1" x14ac:dyDescent="0.25">
      <c r="A183" s="21">
        <v>11</v>
      </c>
      <c r="B183" s="22" t="s">
        <v>1658</v>
      </c>
      <c r="C183" s="50" t="s">
        <v>58</v>
      </c>
      <c r="D183" s="51" t="s">
        <v>390</v>
      </c>
      <c r="E183" s="52" t="s">
        <v>166</v>
      </c>
      <c r="F183" s="52"/>
      <c r="G183" s="52" t="s">
        <v>61</v>
      </c>
      <c r="H183" s="52" t="s">
        <v>62</v>
      </c>
      <c r="I183" s="52">
        <v>2014</v>
      </c>
      <c r="J183" s="52"/>
      <c r="K183" s="52" t="s">
        <v>63</v>
      </c>
      <c r="L183" s="52" t="s">
        <v>64</v>
      </c>
      <c r="M183" s="52">
        <v>1</v>
      </c>
      <c r="N183" s="53">
        <f t="shared" ref="N183:N230" si="73">SUM(O183/M183)</f>
        <v>1669800</v>
      </c>
      <c r="O183" s="53">
        <v>1669800</v>
      </c>
      <c r="P183" s="52"/>
      <c r="Q183" s="52"/>
      <c r="R183" s="52"/>
      <c r="S183" s="53">
        <f t="shared" si="63"/>
        <v>1669800</v>
      </c>
      <c r="T183" s="52">
        <v>5</v>
      </c>
      <c r="U183" s="53"/>
      <c r="V183" s="52">
        <v>0.5</v>
      </c>
      <c r="W183" s="53">
        <f t="shared" si="71"/>
        <v>0</v>
      </c>
      <c r="X183" s="52"/>
      <c r="Y183" s="53">
        <f t="shared" si="65"/>
        <v>0</v>
      </c>
      <c r="Z183" s="53">
        <f t="shared" si="72"/>
        <v>0</v>
      </c>
      <c r="AA183" s="52">
        <v>5</v>
      </c>
      <c r="AB183" s="53">
        <v>1669800</v>
      </c>
      <c r="AC183" s="53">
        <f t="shared" si="67"/>
        <v>0</v>
      </c>
      <c r="AD183" s="56" t="s">
        <v>331</v>
      </c>
      <c r="AE183" s="56"/>
      <c r="AF183" s="1">
        <v>1669800</v>
      </c>
      <c r="AG183" s="168">
        <f t="shared" si="68"/>
        <v>0</v>
      </c>
      <c r="AH183" s="5"/>
      <c r="AI183" s="5"/>
    </row>
    <row r="184" spans="1:35" s="170" customFormat="1" x14ac:dyDescent="0.25">
      <c r="A184" s="21">
        <v>12</v>
      </c>
      <c r="B184" s="22" t="s">
        <v>1658</v>
      </c>
      <c r="C184" s="50" t="s">
        <v>75</v>
      </c>
      <c r="D184" s="51" t="s">
        <v>390</v>
      </c>
      <c r="E184" s="52" t="s">
        <v>166</v>
      </c>
      <c r="F184" s="52"/>
      <c r="G184" s="52" t="s">
        <v>61</v>
      </c>
      <c r="H184" s="52" t="s">
        <v>62</v>
      </c>
      <c r="I184" s="52">
        <v>2014</v>
      </c>
      <c r="J184" s="52"/>
      <c r="K184" s="52" t="s">
        <v>63</v>
      </c>
      <c r="L184" s="52" t="s">
        <v>64</v>
      </c>
      <c r="M184" s="52">
        <v>1</v>
      </c>
      <c r="N184" s="53">
        <f t="shared" si="73"/>
        <v>1669800</v>
      </c>
      <c r="O184" s="53">
        <v>1669800</v>
      </c>
      <c r="P184" s="52"/>
      <c r="Q184" s="52"/>
      <c r="R184" s="52"/>
      <c r="S184" s="53">
        <f t="shared" si="63"/>
        <v>1669800</v>
      </c>
      <c r="T184" s="52">
        <v>5</v>
      </c>
      <c r="U184" s="53"/>
      <c r="V184" s="52">
        <v>0.5</v>
      </c>
      <c r="W184" s="53">
        <f t="shared" si="71"/>
        <v>0</v>
      </c>
      <c r="X184" s="52"/>
      <c r="Y184" s="53">
        <f t="shared" si="65"/>
        <v>0</v>
      </c>
      <c r="Z184" s="53">
        <f t="shared" si="72"/>
        <v>0</v>
      </c>
      <c r="AA184" s="52">
        <v>5</v>
      </c>
      <c r="AB184" s="53">
        <v>1669800</v>
      </c>
      <c r="AC184" s="53">
        <f t="shared" si="67"/>
        <v>0</v>
      </c>
      <c r="AD184" s="56" t="s">
        <v>328</v>
      </c>
      <c r="AE184" s="56"/>
      <c r="AF184" s="170">
        <v>1669800</v>
      </c>
      <c r="AG184" s="171">
        <f t="shared" si="68"/>
        <v>0</v>
      </c>
      <c r="AH184" s="172"/>
      <c r="AI184" s="172"/>
    </row>
    <row r="185" spans="1:35" s="1" customFormat="1" x14ac:dyDescent="0.25">
      <c r="A185" s="21">
        <v>13</v>
      </c>
      <c r="B185" s="22" t="s">
        <v>1658</v>
      </c>
      <c r="C185" s="50" t="s">
        <v>391</v>
      </c>
      <c r="D185" s="51" t="s">
        <v>390</v>
      </c>
      <c r="E185" s="52" t="s">
        <v>392</v>
      </c>
      <c r="F185" s="24"/>
      <c r="G185" s="24" t="s">
        <v>194</v>
      </c>
      <c r="H185" s="24" t="s">
        <v>62</v>
      </c>
      <c r="I185" s="24">
        <v>2018</v>
      </c>
      <c r="J185" s="24"/>
      <c r="K185" s="24" t="s">
        <v>63</v>
      </c>
      <c r="L185" s="24" t="s">
        <v>64</v>
      </c>
      <c r="M185" s="24">
        <v>7</v>
      </c>
      <c r="N185" s="41">
        <f t="shared" si="73"/>
        <v>2089371.4285714286</v>
      </c>
      <c r="O185" s="41">
        <v>14625600</v>
      </c>
      <c r="P185" s="24"/>
      <c r="Q185" s="24"/>
      <c r="R185" s="24"/>
      <c r="S185" s="41">
        <f t="shared" si="63"/>
        <v>14625600</v>
      </c>
      <c r="T185" s="24">
        <v>5</v>
      </c>
      <c r="U185" s="41">
        <f>SUM(S185/T185)</f>
        <v>2925120</v>
      </c>
      <c r="V185" s="24">
        <v>0.5</v>
      </c>
      <c r="W185" s="41">
        <f>SUM(U185*V185)</f>
        <v>1462560</v>
      </c>
      <c r="X185" s="24">
        <v>0.5</v>
      </c>
      <c r="Y185" s="41">
        <f>SUM(U185*X185)-975040</f>
        <v>487520</v>
      </c>
      <c r="Z185" s="41">
        <f t="shared" si="72"/>
        <v>1950080</v>
      </c>
      <c r="AA185" s="69">
        <v>5</v>
      </c>
      <c r="AB185" s="41">
        <f>SUM(U185*AA185)</f>
        <v>14625600</v>
      </c>
      <c r="AC185" s="41">
        <f t="shared" si="67"/>
        <v>0</v>
      </c>
      <c r="AD185" s="70"/>
      <c r="AE185" s="70"/>
      <c r="AF185" s="1">
        <v>12675520</v>
      </c>
      <c r="AG185" s="168">
        <f>AF185+Z185-AB185</f>
        <v>0</v>
      </c>
      <c r="AH185" s="5"/>
      <c r="AI185" s="5"/>
    </row>
    <row r="186" spans="1:35" s="1" customFormat="1" x14ac:dyDescent="0.25">
      <c r="A186" s="21">
        <v>14</v>
      </c>
      <c r="B186" s="22" t="s">
        <v>1659</v>
      </c>
      <c r="C186" s="50" t="s">
        <v>58</v>
      </c>
      <c r="D186" s="51" t="s">
        <v>378</v>
      </c>
      <c r="E186" s="52" t="s">
        <v>379</v>
      </c>
      <c r="F186" s="24"/>
      <c r="G186" s="24" t="s">
        <v>194</v>
      </c>
      <c r="H186" s="24" t="s">
        <v>62</v>
      </c>
      <c r="I186" s="24">
        <v>2008</v>
      </c>
      <c r="J186" s="24"/>
      <c r="K186" s="24" t="s">
        <v>63</v>
      </c>
      <c r="L186" s="24" t="s">
        <v>212</v>
      </c>
      <c r="M186" s="24">
        <v>1</v>
      </c>
      <c r="N186" s="41">
        <f t="shared" si="73"/>
        <v>17500000</v>
      </c>
      <c r="O186" s="41">
        <v>17500000</v>
      </c>
      <c r="P186" s="24"/>
      <c r="Q186" s="24"/>
      <c r="R186" s="24"/>
      <c r="S186" s="41">
        <f t="shared" si="63"/>
        <v>17500000</v>
      </c>
      <c r="T186" s="24">
        <v>5</v>
      </c>
      <c r="U186" s="41"/>
      <c r="V186" s="24">
        <v>0.5</v>
      </c>
      <c r="W186" s="41">
        <f t="shared" si="71"/>
        <v>0</v>
      </c>
      <c r="X186" s="24"/>
      <c r="Y186" s="41">
        <f t="shared" si="65"/>
        <v>0</v>
      </c>
      <c r="Z186" s="41">
        <f t="shared" si="72"/>
        <v>0</v>
      </c>
      <c r="AA186" s="69">
        <v>5</v>
      </c>
      <c r="AB186" s="41">
        <v>17500000</v>
      </c>
      <c r="AC186" s="41">
        <f t="shared" si="67"/>
        <v>0</v>
      </c>
      <c r="AD186" s="70" t="s">
        <v>217</v>
      </c>
      <c r="AE186" s="70"/>
      <c r="AF186" s="1">
        <v>17500000</v>
      </c>
      <c r="AG186" s="168">
        <f t="shared" si="68"/>
        <v>0</v>
      </c>
      <c r="AH186" s="5"/>
      <c r="AI186" s="5"/>
    </row>
    <row r="187" spans="1:35" s="1" customFormat="1" x14ac:dyDescent="0.25">
      <c r="A187" s="21">
        <v>15</v>
      </c>
      <c r="B187" s="22" t="s">
        <v>1660</v>
      </c>
      <c r="C187" s="50" t="s">
        <v>58</v>
      </c>
      <c r="D187" s="51" t="s">
        <v>289</v>
      </c>
      <c r="E187" s="52" t="s">
        <v>290</v>
      </c>
      <c r="F187" s="24"/>
      <c r="G187" s="24" t="s">
        <v>194</v>
      </c>
      <c r="H187" s="24" t="s">
        <v>62</v>
      </c>
      <c r="I187" s="24">
        <v>2012</v>
      </c>
      <c r="J187" s="24"/>
      <c r="K187" s="24" t="s">
        <v>63</v>
      </c>
      <c r="L187" s="24" t="s">
        <v>167</v>
      </c>
      <c r="M187" s="24">
        <v>1</v>
      </c>
      <c r="N187" s="41">
        <f t="shared" si="73"/>
        <v>29260000</v>
      </c>
      <c r="O187" s="41">
        <v>29260000</v>
      </c>
      <c r="P187" s="24"/>
      <c r="Q187" s="24"/>
      <c r="R187" s="24"/>
      <c r="S187" s="41">
        <f t="shared" si="63"/>
        <v>29260000</v>
      </c>
      <c r="T187" s="24">
        <v>5</v>
      </c>
      <c r="U187" s="41"/>
      <c r="V187" s="24">
        <v>0.5</v>
      </c>
      <c r="W187" s="41">
        <f t="shared" si="71"/>
        <v>0</v>
      </c>
      <c r="X187" s="24"/>
      <c r="Y187" s="41">
        <f t="shared" si="65"/>
        <v>0</v>
      </c>
      <c r="Z187" s="41">
        <f t="shared" si="72"/>
        <v>0</v>
      </c>
      <c r="AA187" s="69">
        <v>5</v>
      </c>
      <c r="AB187" s="41">
        <v>29260000</v>
      </c>
      <c r="AC187" s="41">
        <f t="shared" si="67"/>
        <v>0</v>
      </c>
      <c r="AD187" s="70" t="s">
        <v>287</v>
      </c>
      <c r="AE187" s="70"/>
      <c r="AF187" s="1">
        <v>29260000</v>
      </c>
      <c r="AG187" s="168">
        <f t="shared" si="68"/>
        <v>0</v>
      </c>
      <c r="AH187" s="5"/>
      <c r="AI187" s="5"/>
    </row>
    <row r="188" spans="1:35" s="1" customFormat="1" x14ac:dyDescent="0.25">
      <c r="A188" s="21">
        <v>16</v>
      </c>
      <c r="B188" s="22" t="s">
        <v>1660</v>
      </c>
      <c r="C188" s="50" t="s">
        <v>75</v>
      </c>
      <c r="D188" s="51" t="s">
        <v>289</v>
      </c>
      <c r="E188" s="52" t="s">
        <v>290</v>
      </c>
      <c r="F188" s="24"/>
      <c r="G188" s="24" t="s">
        <v>194</v>
      </c>
      <c r="H188" s="24" t="s">
        <v>62</v>
      </c>
      <c r="I188" s="24">
        <v>2012</v>
      </c>
      <c r="J188" s="24"/>
      <c r="K188" s="24" t="s">
        <v>63</v>
      </c>
      <c r="L188" s="24" t="s">
        <v>64</v>
      </c>
      <c r="M188" s="24">
        <v>1</v>
      </c>
      <c r="N188" s="41">
        <f t="shared" si="73"/>
        <v>29260000</v>
      </c>
      <c r="O188" s="41">
        <v>29260000</v>
      </c>
      <c r="P188" s="24"/>
      <c r="Q188" s="24"/>
      <c r="R188" s="24"/>
      <c r="S188" s="41">
        <f t="shared" si="63"/>
        <v>29260000</v>
      </c>
      <c r="T188" s="24">
        <v>5</v>
      </c>
      <c r="U188" s="41"/>
      <c r="V188" s="24">
        <v>0.5</v>
      </c>
      <c r="W188" s="41">
        <f t="shared" si="71"/>
        <v>0</v>
      </c>
      <c r="X188" s="24"/>
      <c r="Y188" s="41">
        <f t="shared" si="65"/>
        <v>0</v>
      </c>
      <c r="Z188" s="41">
        <f t="shared" si="72"/>
        <v>0</v>
      </c>
      <c r="AA188" s="69">
        <v>5</v>
      </c>
      <c r="AB188" s="41">
        <v>29260000</v>
      </c>
      <c r="AC188" s="41">
        <f t="shared" si="67"/>
        <v>0</v>
      </c>
      <c r="AD188" s="70" t="s">
        <v>288</v>
      </c>
      <c r="AE188" s="70"/>
      <c r="AF188" s="1">
        <v>29260000</v>
      </c>
      <c r="AG188" s="168">
        <f t="shared" si="68"/>
        <v>0</v>
      </c>
      <c r="AH188" s="5"/>
      <c r="AI188" s="5"/>
    </row>
    <row r="189" spans="1:35" s="1" customFormat="1" x14ac:dyDescent="0.25">
      <c r="A189" s="21">
        <v>17</v>
      </c>
      <c r="B189" s="22" t="s">
        <v>1660</v>
      </c>
      <c r="C189" s="50" t="s">
        <v>291</v>
      </c>
      <c r="D189" s="51" t="s">
        <v>292</v>
      </c>
      <c r="E189" s="52" t="s">
        <v>293</v>
      </c>
      <c r="F189" s="24"/>
      <c r="G189" s="24" t="s">
        <v>194</v>
      </c>
      <c r="H189" s="24" t="s">
        <v>62</v>
      </c>
      <c r="I189" s="24">
        <v>2011</v>
      </c>
      <c r="J189" s="24"/>
      <c r="K189" s="24" t="s">
        <v>63</v>
      </c>
      <c r="L189" s="24" t="s">
        <v>64</v>
      </c>
      <c r="M189" s="24">
        <v>4</v>
      </c>
      <c r="N189" s="41">
        <f t="shared" si="73"/>
        <v>4775000</v>
      </c>
      <c r="O189" s="41">
        <v>19100000</v>
      </c>
      <c r="P189" s="24"/>
      <c r="Q189" s="24"/>
      <c r="R189" s="24"/>
      <c r="S189" s="41">
        <f t="shared" si="63"/>
        <v>19100000</v>
      </c>
      <c r="T189" s="24">
        <v>5</v>
      </c>
      <c r="U189" s="41"/>
      <c r="V189" s="24">
        <v>0.5</v>
      </c>
      <c r="W189" s="41">
        <f t="shared" si="71"/>
        <v>0</v>
      </c>
      <c r="X189" s="24"/>
      <c r="Y189" s="41">
        <f t="shared" si="65"/>
        <v>0</v>
      </c>
      <c r="Z189" s="41">
        <f t="shared" si="72"/>
        <v>0</v>
      </c>
      <c r="AA189" s="69">
        <v>5</v>
      </c>
      <c r="AB189" s="41">
        <v>19100000</v>
      </c>
      <c r="AC189" s="41">
        <f t="shared" si="67"/>
        <v>0</v>
      </c>
      <c r="AD189" s="70" t="s">
        <v>250</v>
      </c>
      <c r="AE189" s="70"/>
      <c r="AF189" s="1">
        <v>19100000</v>
      </c>
      <c r="AG189" s="168">
        <f t="shared" si="68"/>
        <v>0</v>
      </c>
      <c r="AH189" s="5"/>
      <c r="AI189" s="5"/>
    </row>
    <row r="190" spans="1:35" s="1" customFormat="1" x14ac:dyDescent="0.25">
      <c r="A190" s="21">
        <v>18</v>
      </c>
      <c r="B190" s="22" t="s">
        <v>1660</v>
      </c>
      <c r="C190" s="50" t="s">
        <v>96</v>
      </c>
      <c r="D190" s="51" t="s">
        <v>292</v>
      </c>
      <c r="E190" s="52" t="s">
        <v>294</v>
      </c>
      <c r="F190" s="24"/>
      <c r="G190" s="24" t="s">
        <v>194</v>
      </c>
      <c r="H190" s="24" t="s">
        <v>62</v>
      </c>
      <c r="I190" s="24">
        <v>2011</v>
      </c>
      <c r="J190" s="24"/>
      <c r="K190" s="24" t="s">
        <v>63</v>
      </c>
      <c r="L190" s="24" t="s">
        <v>64</v>
      </c>
      <c r="M190" s="24">
        <v>1</v>
      </c>
      <c r="N190" s="41">
        <f t="shared" si="73"/>
        <v>46000000</v>
      </c>
      <c r="O190" s="41">
        <v>46000000</v>
      </c>
      <c r="P190" s="24"/>
      <c r="Q190" s="24"/>
      <c r="R190" s="24"/>
      <c r="S190" s="41">
        <f t="shared" si="63"/>
        <v>46000000</v>
      </c>
      <c r="T190" s="24">
        <v>5</v>
      </c>
      <c r="U190" s="41"/>
      <c r="V190" s="24">
        <v>0.5</v>
      </c>
      <c r="W190" s="41">
        <f t="shared" si="71"/>
        <v>0</v>
      </c>
      <c r="X190" s="24"/>
      <c r="Y190" s="41">
        <f t="shared" si="65"/>
        <v>0</v>
      </c>
      <c r="Z190" s="41">
        <f t="shared" si="72"/>
        <v>0</v>
      </c>
      <c r="AA190" s="69">
        <v>5</v>
      </c>
      <c r="AB190" s="41">
        <v>46000000</v>
      </c>
      <c r="AC190" s="41">
        <f t="shared" si="67"/>
        <v>0</v>
      </c>
      <c r="AD190" s="70" t="s">
        <v>295</v>
      </c>
      <c r="AE190" s="70"/>
      <c r="AF190" s="1">
        <v>46000000</v>
      </c>
      <c r="AG190" s="168">
        <f t="shared" si="68"/>
        <v>0</v>
      </c>
      <c r="AH190" s="5"/>
      <c r="AI190" s="5"/>
    </row>
    <row r="191" spans="1:35" s="1" customFormat="1" x14ac:dyDescent="0.25">
      <c r="A191" s="21">
        <v>19</v>
      </c>
      <c r="B191" s="22" t="s">
        <v>1660</v>
      </c>
      <c r="C191" s="50" t="s">
        <v>100</v>
      </c>
      <c r="D191" s="51" t="s">
        <v>292</v>
      </c>
      <c r="E191" s="52" t="s">
        <v>296</v>
      </c>
      <c r="F191" s="24"/>
      <c r="G191" s="24" t="s">
        <v>194</v>
      </c>
      <c r="H191" s="24" t="s">
        <v>62</v>
      </c>
      <c r="I191" s="24">
        <v>2011</v>
      </c>
      <c r="J191" s="24"/>
      <c r="K191" s="24" t="s">
        <v>63</v>
      </c>
      <c r="L191" s="24" t="s">
        <v>64</v>
      </c>
      <c r="M191" s="24">
        <v>1</v>
      </c>
      <c r="N191" s="41">
        <f t="shared" si="73"/>
        <v>28400000</v>
      </c>
      <c r="O191" s="41">
        <v>28400000</v>
      </c>
      <c r="P191" s="24"/>
      <c r="Q191" s="24"/>
      <c r="R191" s="24"/>
      <c r="S191" s="41">
        <f t="shared" si="63"/>
        <v>28400000</v>
      </c>
      <c r="T191" s="24">
        <v>5</v>
      </c>
      <c r="U191" s="41"/>
      <c r="V191" s="24">
        <v>0.5</v>
      </c>
      <c r="W191" s="41">
        <f t="shared" si="71"/>
        <v>0</v>
      </c>
      <c r="X191" s="24"/>
      <c r="Y191" s="41">
        <f t="shared" si="65"/>
        <v>0</v>
      </c>
      <c r="Z191" s="41">
        <f t="shared" si="72"/>
        <v>0</v>
      </c>
      <c r="AA191" s="69">
        <v>5</v>
      </c>
      <c r="AB191" s="41">
        <v>28400000</v>
      </c>
      <c r="AC191" s="41">
        <f t="shared" si="67"/>
        <v>0</v>
      </c>
      <c r="AD191" s="70" t="s">
        <v>297</v>
      </c>
      <c r="AE191" s="70"/>
      <c r="AF191" s="1">
        <v>28400000</v>
      </c>
      <c r="AG191" s="168">
        <f t="shared" si="68"/>
        <v>0</v>
      </c>
      <c r="AH191" s="5"/>
      <c r="AI191" s="5"/>
    </row>
    <row r="192" spans="1:35" s="1" customFormat="1" x14ac:dyDescent="0.25">
      <c r="A192" s="21">
        <v>20</v>
      </c>
      <c r="B192" s="22" t="s">
        <v>1660</v>
      </c>
      <c r="C192" s="50" t="s">
        <v>298</v>
      </c>
      <c r="D192" s="51" t="s">
        <v>299</v>
      </c>
      <c r="E192" s="52" t="s">
        <v>300</v>
      </c>
      <c r="F192" s="24"/>
      <c r="G192" s="24" t="s">
        <v>194</v>
      </c>
      <c r="H192" s="24" t="s">
        <v>62</v>
      </c>
      <c r="I192" s="24">
        <v>2012</v>
      </c>
      <c r="J192" s="24"/>
      <c r="K192" s="24" t="s">
        <v>63</v>
      </c>
      <c r="L192" s="24" t="s">
        <v>64</v>
      </c>
      <c r="M192" s="24">
        <v>2</v>
      </c>
      <c r="N192" s="41">
        <f t="shared" si="73"/>
        <v>5940000</v>
      </c>
      <c r="O192" s="41">
        <v>11880000</v>
      </c>
      <c r="P192" s="24"/>
      <c r="Q192" s="24"/>
      <c r="R192" s="24"/>
      <c r="S192" s="41">
        <f t="shared" si="63"/>
        <v>11880000</v>
      </c>
      <c r="T192" s="24">
        <v>5</v>
      </c>
      <c r="U192" s="41"/>
      <c r="V192" s="24">
        <v>0.5</v>
      </c>
      <c r="W192" s="41">
        <f t="shared" si="71"/>
        <v>0</v>
      </c>
      <c r="X192" s="24"/>
      <c r="Y192" s="41">
        <f t="shared" si="65"/>
        <v>0</v>
      </c>
      <c r="Z192" s="41">
        <f t="shared" si="72"/>
        <v>0</v>
      </c>
      <c r="AA192" s="69">
        <v>5</v>
      </c>
      <c r="AB192" s="41">
        <v>11880000</v>
      </c>
      <c r="AC192" s="41">
        <f t="shared" si="67"/>
        <v>0</v>
      </c>
      <c r="AD192" s="70" t="s">
        <v>301</v>
      </c>
      <c r="AE192" s="70"/>
      <c r="AF192" s="1">
        <v>11880000</v>
      </c>
      <c r="AG192" s="168">
        <f t="shared" si="68"/>
        <v>0</v>
      </c>
      <c r="AH192" s="5"/>
      <c r="AI192" s="5"/>
    </row>
    <row r="193" spans="1:35" s="1" customFormat="1" x14ac:dyDescent="0.25">
      <c r="A193" s="21">
        <v>21</v>
      </c>
      <c r="B193" s="22" t="s">
        <v>1660</v>
      </c>
      <c r="C193" s="50" t="s">
        <v>135</v>
      </c>
      <c r="D193" s="51" t="s">
        <v>299</v>
      </c>
      <c r="E193" s="52" t="s">
        <v>300</v>
      </c>
      <c r="F193" s="24"/>
      <c r="G193" s="24" t="s">
        <v>194</v>
      </c>
      <c r="H193" s="24" t="s">
        <v>62</v>
      </c>
      <c r="I193" s="24">
        <v>2012</v>
      </c>
      <c r="J193" s="24"/>
      <c r="K193" s="24" t="s">
        <v>63</v>
      </c>
      <c r="L193" s="24" t="s">
        <v>302</v>
      </c>
      <c r="M193" s="24">
        <v>1</v>
      </c>
      <c r="N193" s="41">
        <f t="shared" si="73"/>
        <v>5940000</v>
      </c>
      <c r="O193" s="41">
        <v>5940000</v>
      </c>
      <c r="P193" s="24"/>
      <c r="Q193" s="24"/>
      <c r="R193" s="24"/>
      <c r="S193" s="41">
        <f t="shared" si="63"/>
        <v>5940000</v>
      </c>
      <c r="T193" s="24">
        <v>5</v>
      </c>
      <c r="U193" s="41"/>
      <c r="V193" s="24">
        <v>0.5</v>
      </c>
      <c r="W193" s="41">
        <f t="shared" si="71"/>
        <v>0</v>
      </c>
      <c r="X193" s="24"/>
      <c r="Y193" s="41">
        <f t="shared" si="65"/>
        <v>0</v>
      </c>
      <c r="Z193" s="41">
        <f t="shared" si="72"/>
        <v>0</v>
      </c>
      <c r="AA193" s="24">
        <v>5</v>
      </c>
      <c r="AB193" s="41">
        <v>5940000</v>
      </c>
      <c r="AC193" s="41">
        <f t="shared" si="67"/>
        <v>0</v>
      </c>
      <c r="AD193" s="70" t="s">
        <v>303</v>
      </c>
      <c r="AE193" s="70"/>
      <c r="AF193" s="1">
        <v>5940000</v>
      </c>
      <c r="AG193" s="168">
        <f t="shared" si="68"/>
        <v>0</v>
      </c>
      <c r="AH193" s="5"/>
      <c r="AI193" s="5"/>
    </row>
    <row r="194" spans="1:35" s="1" customFormat="1" x14ac:dyDescent="0.25">
      <c r="A194" s="21">
        <v>22</v>
      </c>
      <c r="B194" s="22" t="s">
        <v>1660</v>
      </c>
      <c r="C194" s="50" t="s">
        <v>304</v>
      </c>
      <c r="D194" s="51" t="s">
        <v>299</v>
      </c>
      <c r="E194" s="52" t="s">
        <v>300</v>
      </c>
      <c r="F194" s="24"/>
      <c r="G194" s="24" t="s">
        <v>194</v>
      </c>
      <c r="H194" s="24" t="s">
        <v>62</v>
      </c>
      <c r="I194" s="24">
        <v>2012</v>
      </c>
      <c r="J194" s="24"/>
      <c r="K194" s="24" t="s">
        <v>63</v>
      </c>
      <c r="L194" s="24" t="s">
        <v>167</v>
      </c>
      <c r="M194" s="24">
        <v>3</v>
      </c>
      <c r="N194" s="41">
        <f t="shared" si="73"/>
        <v>5940000</v>
      </c>
      <c r="O194" s="41">
        <v>17820000</v>
      </c>
      <c r="P194" s="24"/>
      <c r="Q194" s="24"/>
      <c r="R194" s="24"/>
      <c r="S194" s="41">
        <f t="shared" si="63"/>
        <v>17820000</v>
      </c>
      <c r="T194" s="24">
        <v>5</v>
      </c>
      <c r="U194" s="41"/>
      <c r="V194" s="24">
        <v>0.5</v>
      </c>
      <c r="W194" s="41">
        <f t="shared" si="71"/>
        <v>0</v>
      </c>
      <c r="X194" s="24"/>
      <c r="Y194" s="41">
        <f t="shared" si="65"/>
        <v>0</v>
      </c>
      <c r="Z194" s="41">
        <f t="shared" si="72"/>
        <v>0</v>
      </c>
      <c r="AA194" s="24">
        <v>5</v>
      </c>
      <c r="AB194" s="41">
        <v>17820000</v>
      </c>
      <c r="AC194" s="41">
        <f t="shared" si="67"/>
        <v>0</v>
      </c>
      <c r="AD194" s="70" t="s">
        <v>305</v>
      </c>
      <c r="AE194" s="70"/>
      <c r="AF194" s="1">
        <v>17820000</v>
      </c>
      <c r="AG194" s="168">
        <f t="shared" si="68"/>
        <v>0</v>
      </c>
      <c r="AH194" s="5"/>
      <c r="AI194" s="5"/>
    </row>
    <row r="195" spans="1:35" s="1" customFormat="1" x14ac:dyDescent="0.25">
      <c r="A195" s="21">
        <v>23</v>
      </c>
      <c r="B195" s="22" t="s">
        <v>1660</v>
      </c>
      <c r="C195" s="50" t="s">
        <v>306</v>
      </c>
      <c r="D195" s="51" t="s">
        <v>299</v>
      </c>
      <c r="E195" s="52" t="s">
        <v>307</v>
      </c>
      <c r="F195" s="24"/>
      <c r="G195" s="24" t="s">
        <v>194</v>
      </c>
      <c r="H195" s="24" t="s">
        <v>62</v>
      </c>
      <c r="I195" s="24">
        <v>2015</v>
      </c>
      <c r="J195" s="24"/>
      <c r="K195" s="24" t="s">
        <v>63</v>
      </c>
      <c r="L195" s="24" t="s">
        <v>64</v>
      </c>
      <c r="M195" s="24">
        <v>6</v>
      </c>
      <c r="N195" s="41">
        <f t="shared" si="73"/>
        <v>14960000</v>
      </c>
      <c r="O195" s="41">
        <v>89760000</v>
      </c>
      <c r="P195" s="24"/>
      <c r="Q195" s="24"/>
      <c r="R195" s="24"/>
      <c r="S195" s="41">
        <f t="shared" si="63"/>
        <v>89760000</v>
      </c>
      <c r="T195" s="24">
        <v>5</v>
      </c>
      <c r="U195" s="41">
        <f t="shared" ref="U195:U201" si="74">SUM(S195/T195)</f>
        <v>17952000</v>
      </c>
      <c r="V195" s="24">
        <v>0.5</v>
      </c>
      <c r="W195" s="41"/>
      <c r="X195" s="24"/>
      <c r="Y195" s="41">
        <f t="shared" si="65"/>
        <v>0</v>
      </c>
      <c r="Z195" s="41"/>
      <c r="AA195" s="24">
        <v>5</v>
      </c>
      <c r="AB195" s="41">
        <f t="shared" ref="AB195:AB196" si="75">SUM(U195*AA195)</f>
        <v>89760000</v>
      </c>
      <c r="AC195" s="41">
        <f t="shared" si="67"/>
        <v>0</v>
      </c>
      <c r="AD195" s="70" t="s">
        <v>308</v>
      </c>
      <c r="AE195" s="70"/>
      <c r="AF195" s="1">
        <v>89760000</v>
      </c>
      <c r="AG195" s="168">
        <f t="shared" si="68"/>
        <v>0</v>
      </c>
      <c r="AH195" s="5"/>
      <c r="AI195" s="5"/>
    </row>
    <row r="196" spans="1:35" s="1" customFormat="1" x14ac:dyDescent="0.25">
      <c r="A196" s="21">
        <v>24</v>
      </c>
      <c r="B196" s="22" t="s">
        <v>1660</v>
      </c>
      <c r="C196" s="50" t="s">
        <v>159</v>
      </c>
      <c r="D196" s="51" t="s">
        <v>299</v>
      </c>
      <c r="E196" s="52" t="s">
        <v>307</v>
      </c>
      <c r="F196" s="24"/>
      <c r="G196" s="24" t="s">
        <v>194</v>
      </c>
      <c r="H196" s="24" t="s">
        <v>62</v>
      </c>
      <c r="I196" s="24">
        <v>2016</v>
      </c>
      <c r="J196" s="24"/>
      <c r="K196" s="24" t="s">
        <v>63</v>
      </c>
      <c r="L196" s="24" t="s">
        <v>64</v>
      </c>
      <c r="M196" s="24">
        <v>2</v>
      </c>
      <c r="N196" s="41">
        <f t="shared" si="73"/>
        <v>12985000</v>
      </c>
      <c r="O196" s="41">
        <v>25970000</v>
      </c>
      <c r="P196" s="24"/>
      <c r="Q196" s="24"/>
      <c r="R196" s="24"/>
      <c r="S196" s="41">
        <f t="shared" si="63"/>
        <v>25970000</v>
      </c>
      <c r="T196" s="24">
        <v>5</v>
      </c>
      <c r="U196" s="41">
        <f t="shared" si="74"/>
        <v>5194000</v>
      </c>
      <c r="V196" s="24"/>
      <c r="W196" s="41"/>
      <c r="X196" s="24"/>
      <c r="Y196" s="41">
        <f t="shared" si="65"/>
        <v>0</v>
      </c>
      <c r="Z196" s="41"/>
      <c r="AA196" s="24">
        <v>5</v>
      </c>
      <c r="AB196" s="41">
        <f t="shared" si="75"/>
        <v>25970000</v>
      </c>
      <c r="AC196" s="41">
        <f t="shared" si="67"/>
        <v>0</v>
      </c>
      <c r="AD196" s="70" t="s">
        <v>309</v>
      </c>
      <c r="AE196" s="70"/>
      <c r="AF196" s="1">
        <v>25970000</v>
      </c>
      <c r="AG196" s="168">
        <f t="shared" si="68"/>
        <v>0</v>
      </c>
      <c r="AH196" s="5"/>
      <c r="AI196" s="5"/>
    </row>
    <row r="197" spans="1:35" s="1" customFormat="1" x14ac:dyDescent="0.25">
      <c r="A197" s="21">
        <v>25</v>
      </c>
      <c r="B197" s="22" t="s">
        <v>1660</v>
      </c>
      <c r="C197" s="50" t="s">
        <v>162</v>
      </c>
      <c r="D197" s="51" t="s">
        <v>299</v>
      </c>
      <c r="E197" s="52" t="s">
        <v>310</v>
      </c>
      <c r="F197" s="24"/>
      <c r="G197" s="24" t="s">
        <v>194</v>
      </c>
      <c r="H197" s="24" t="s">
        <v>62</v>
      </c>
      <c r="I197" s="24">
        <v>2017</v>
      </c>
      <c r="J197" s="24"/>
      <c r="K197" s="24" t="s">
        <v>63</v>
      </c>
      <c r="L197" s="24" t="s">
        <v>64</v>
      </c>
      <c r="M197" s="24">
        <v>1</v>
      </c>
      <c r="N197" s="41">
        <f t="shared" si="73"/>
        <v>12996500</v>
      </c>
      <c r="O197" s="41">
        <v>12996500</v>
      </c>
      <c r="P197" s="24"/>
      <c r="Q197" s="24"/>
      <c r="R197" s="24"/>
      <c r="S197" s="41">
        <f t="shared" si="63"/>
        <v>12996500</v>
      </c>
      <c r="T197" s="24">
        <v>5</v>
      </c>
      <c r="U197" s="41">
        <f t="shared" si="74"/>
        <v>2599300</v>
      </c>
      <c r="V197" s="24">
        <v>0.5</v>
      </c>
      <c r="W197" s="41"/>
      <c r="X197" s="24"/>
      <c r="Y197" s="41">
        <f t="shared" si="65"/>
        <v>0</v>
      </c>
      <c r="Z197" s="41">
        <f>SUM(W197+Y197)</f>
        <v>0</v>
      </c>
      <c r="AA197" s="24">
        <v>5</v>
      </c>
      <c r="AB197" s="41">
        <v>12996500</v>
      </c>
      <c r="AC197" s="41">
        <f t="shared" si="67"/>
        <v>0</v>
      </c>
      <c r="AD197" s="70" t="s">
        <v>311</v>
      </c>
      <c r="AE197" s="70"/>
      <c r="AF197" s="1">
        <v>12996500</v>
      </c>
      <c r="AG197" s="168">
        <f t="shared" si="68"/>
        <v>0</v>
      </c>
      <c r="AH197" s="5"/>
      <c r="AI197" s="5"/>
    </row>
    <row r="198" spans="1:35" s="1" customFormat="1" x14ac:dyDescent="0.25">
      <c r="A198" s="21">
        <v>26</v>
      </c>
      <c r="B198" s="22" t="s">
        <v>1660</v>
      </c>
      <c r="C198" s="50" t="s">
        <v>312</v>
      </c>
      <c r="D198" s="51" t="s">
        <v>299</v>
      </c>
      <c r="E198" s="52" t="s">
        <v>310</v>
      </c>
      <c r="F198" s="52"/>
      <c r="G198" s="52" t="s">
        <v>194</v>
      </c>
      <c r="H198" s="52" t="s">
        <v>62</v>
      </c>
      <c r="I198" s="52">
        <v>2017</v>
      </c>
      <c r="J198" s="52"/>
      <c r="K198" s="52" t="s">
        <v>63</v>
      </c>
      <c r="L198" s="52" t="s">
        <v>64</v>
      </c>
      <c r="M198" s="52">
        <v>1</v>
      </c>
      <c r="N198" s="53">
        <f t="shared" si="73"/>
        <v>12996500</v>
      </c>
      <c r="O198" s="53">
        <v>12996500</v>
      </c>
      <c r="P198" s="52"/>
      <c r="Q198" s="52"/>
      <c r="R198" s="52"/>
      <c r="S198" s="53">
        <f t="shared" si="63"/>
        <v>12996500</v>
      </c>
      <c r="T198" s="52">
        <v>5</v>
      </c>
      <c r="U198" s="53">
        <f t="shared" si="74"/>
        <v>2599300</v>
      </c>
      <c r="V198" s="52">
        <v>0.5</v>
      </c>
      <c r="W198" s="53"/>
      <c r="X198" s="52"/>
      <c r="Y198" s="53">
        <f t="shared" si="65"/>
        <v>0</v>
      </c>
      <c r="Z198" s="53">
        <f t="shared" si="72"/>
        <v>0</v>
      </c>
      <c r="AA198" s="52">
        <v>5</v>
      </c>
      <c r="AB198" s="53">
        <v>12996500</v>
      </c>
      <c r="AC198" s="53">
        <f t="shared" si="67"/>
        <v>0</v>
      </c>
      <c r="AD198" s="56" t="s">
        <v>213</v>
      </c>
      <c r="AE198" s="56"/>
      <c r="AF198" s="1">
        <v>12996500</v>
      </c>
      <c r="AG198" s="168">
        <f t="shared" si="68"/>
        <v>0</v>
      </c>
      <c r="AH198" s="5"/>
      <c r="AI198" s="5"/>
    </row>
    <row r="199" spans="1:35" s="1" customFormat="1" x14ac:dyDescent="0.25">
      <c r="A199" s="21">
        <v>27</v>
      </c>
      <c r="B199" s="22" t="s">
        <v>1660</v>
      </c>
      <c r="C199" s="50" t="s">
        <v>313</v>
      </c>
      <c r="D199" s="51" t="s">
        <v>299</v>
      </c>
      <c r="E199" s="52" t="s">
        <v>310</v>
      </c>
      <c r="F199" s="52"/>
      <c r="G199" s="52" t="s">
        <v>194</v>
      </c>
      <c r="H199" s="52" t="s">
        <v>62</v>
      </c>
      <c r="I199" s="52">
        <v>2017</v>
      </c>
      <c r="J199" s="52"/>
      <c r="K199" s="52" t="s">
        <v>63</v>
      </c>
      <c r="L199" s="52" t="s">
        <v>64</v>
      </c>
      <c r="M199" s="52">
        <v>1</v>
      </c>
      <c r="N199" s="53">
        <f t="shared" si="73"/>
        <v>12996500</v>
      </c>
      <c r="O199" s="53">
        <v>12996500</v>
      </c>
      <c r="P199" s="52"/>
      <c r="Q199" s="52"/>
      <c r="R199" s="52"/>
      <c r="S199" s="53">
        <f t="shared" si="63"/>
        <v>12996500</v>
      </c>
      <c r="T199" s="52">
        <v>5</v>
      </c>
      <c r="U199" s="53">
        <f t="shared" si="74"/>
        <v>2599300</v>
      </c>
      <c r="V199" s="52">
        <v>0.5</v>
      </c>
      <c r="W199" s="53"/>
      <c r="X199" s="52"/>
      <c r="Y199" s="53">
        <f t="shared" si="65"/>
        <v>0</v>
      </c>
      <c r="Z199" s="53">
        <f t="shared" si="72"/>
        <v>0</v>
      </c>
      <c r="AA199" s="52">
        <v>5</v>
      </c>
      <c r="AB199" s="53">
        <v>12996500</v>
      </c>
      <c r="AC199" s="53">
        <f t="shared" si="67"/>
        <v>0</v>
      </c>
      <c r="AD199" s="56" t="s">
        <v>224</v>
      </c>
      <c r="AE199" s="56"/>
      <c r="AF199" s="1">
        <v>12996500</v>
      </c>
      <c r="AG199" s="168">
        <f t="shared" si="68"/>
        <v>0</v>
      </c>
      <c r="AH199" s="5"/>
      <c r="AI199" s="5"/>
    </row>
    <row r="200" spans="1:35" s="1" customFormat="1" x14ac:dyDescent="0.25">
      <c r="A200" s="21">
        <v>28</v>
      </c>
      <c r="B200" s="22" t="s">
        <v>1660</v>
      </c>
      <c r="C200" s="50" t="s">
        <v>314</v>
      </c>
      <c r="D200" s="51" t="s">
        <v>299</v>
      </c>
      <c r="E200" s="52" t="s">
        <v>310</v>
      </c>
      <c r="F200" s="52"/>
      <c r="G200" s="52" t="s">
        <v>194</v>
      </c>
      <c r="H200" s="52" t="s">
        <v>62</v>
      </c>
      <c r="I200" s="52">
        <v>2017</v>
      </c>
      <c r="J200" s="52"/>
      <c r="K200" s="52" t="s">
        <v>63</v>
      </c>
      <c r="L200" s="52" t="s">
        <v>64</v>
      </c>
      <c r="M200" s="52">
        <v>2</v>
      </c>
      <c r="N200" s="53">
        <f t="shared" si="73"/>
        <v>12996500</v>
      </c>
      <c r="O200" s="53">
        <v>25993000</v>
      </c>
      <c r="P200" s="52"/>
      <c r="Q200" s="52"/>
      <c r="R200" s="52"/>
      <c r="S200" s="53">
        <f t="shared" si="63"/>
        <v>25993000</v>
      </c>
      <c r="T200" s="52">
        <v>5</v>
      </c>
      <c r="U200" s="53">
        <f t="shared" si="74"/>
        <v>5198600</v>
      </c>
      <c r="V200" s="52">
        <v>0.5</v>
      </c>
      <c r="W200" s="53"/>
      <c r="X200" s="52"/>
      <c r="Y200" s="53">
        <f t="shared" si="65"/>
        <v>0</v>
      </c>
      <c r="Z200" s="53">
        <f t="shared" si="72"/>
        <v>0</v>
      </c>
      <c r="AA200" s="52">
        <v>5</v>
      </c>
      <c r="AB200" s="53">
        <v>25993000</v>
      </c>
      <c r="AC200" s="53">
        <f t="shared" si="67"/>
        <v>0</v>
      </c>
      <c r="AD200" s="56" t="s">
        <v>315</v>
      </c>
      <c r="AE200" s="56"/>
      <c r="AF200" s="1">
        <v>25993000</v>
      </c>
      <c r="AG200" s="168">
        <f t="shared" si="68"/>
        <v>0</v>
      </c>
      <c r="AH200" s="5"/>
      <c r="AI200" s="5"/>
    </row>
    <row r="201" spans="1:35" s="1" customFormat="1" x14ac:dyDescent="0.25">
      <c r="A201" s="21">
        <v>29</v>
      </c>
      <c r="B201" s="22" t="s">
        <v>1660</v>
      </c>
      <c r="C201" s="50" t="s">
        <v>316</v>
      </c>
      <c r="D201" s="51" t="s">
        <v>299</v>
      </c>
      <c r="E201" s="52" t="s">
        <v>307</v>
      </c>
      <c r="F201" s="52"/>
      <c r="G201" s="52" t="s">
        <v>194</v>
      </c>
      <c r="H201" s="52" t="s">
        <v>62</v>
      </c>
      <c r="I201" s="52">
        <v>2018</v>
      </c>
      <c r="J201" s="52"/>
      <c r="K201" s="52" t="s">
        <v>63</v>
      </c>
      <c r="L201" s="52" t="s">
        <v>64</v>
      </c>
      <c r="M201" s="52">
        <v>2</v>
      </c>
      <c r="N201" s="53">
        <f t="shared" si="73"/>
        <v>24750000</v>
      </c>
      <c r="O201" s="53">
        <v>49500000</v>
      </c>
      <c r="P201" s="52"/>
      <c r="Q201" s="52"/>
      <c r="R201" s="52"/>
      <c r="S201" s="53">
        <f t="shared" si="63"/>
        <v>49500000</v>
      </c>
      <c r="T201" s="52">
        <v>5</v>
      </c>
      <c r="U201" s="53">
        <f t="shared" si="74"/>
        <v>9900000</v>
      </c>
      <c r="V201" s="52">
        <v>0.5</v>
      </c>
      <c r="W201" s="53">
        <f t="shared" ref="W201:W229" si="76">SUM(U201*V201)</f>
        <v>4950000</v>
      </c>
      <c r="X201" s="52"/>
      <c r="Y201" s="53">
        <f t="shared" si="65"/>
        <v>0</v>
      </c>
      <c r="Z201" s="53">
        <f t="shared" si="72"/>
        <v>4950000</v>
      </c>
      <c r="AA201" s="52">
        <f>2023-I201+V201+X201-6/12</f>
        <v>5</v>
      </c>
      <c r="AB201" s="53">
        <v>49500000</v>
      </c>
      <c r="AC201" s="53">
        <f t="shared" si="67"/>
        <v>0</v>
      </c>
      <c r="AD201" s="56"/>
      <c r="AE201" s="56"/>
      <c r="AF201" s="1">
        <v>44550000</v>
      </c>
      <c r="AG201" s="168">
        <f>AF201+Z201-AB201</f>
        <v>0</v>
      </c>
      <c r="AH201" s="5"/>
      <c r="AI201" s="5"/>
    </row>
    <row r="202" spans="1:35" s="1" customFormat="1" x14ac:dyDescent="0.25">
      <c r="A202" s="21">
        <v>30</v>
      </c>
      <c r="B202" s="22" t="s">
        <v>1661</v>
      </c>
      <c r="C202" s="22" t="s">
        <v>896</v>
      </c>
      <c r="D202" s="51" t="s">
        <v>3699</v>
      </c>
      <c r="E202" s="24" t="s">
        <v>166</v>
      </c>
      <c r="F202" s="52"/>
      <c r="G202" s="52" t="s">
        <v>319</v>
      </c>
      <c r="H202" s="52" t="s">
        <v>62</v>
      </c>
      <c r="I202" s="52">
        <v>2005</v>
      </c>
      <c r="J202" s="52"/>
      <c r="K202" s="52" t="s">
        <v>63</v>
      </c>
      <c r="L202" s="52" t="s">
        <v>212</v>
      </c>
      <c r="M202" s="52">
        <v>2</v>
      </c>
      <c r="N202" s="53">
        <f t="shared" si="73"/>
        <v>200000</v>
      </c>
      <c r="O202" s="53">
        <v>400000</v>
      </c>
      <c r="P202" s="52"/>
      <c r="Q202" s="52"/>
      <c r="R202" s="52"/>
      <c r="S202" s="53">
        <f t="shared" si="63"/>
        <v>400000</v>
      </c>
      <c r="T202" s="52">
        <v>5</v>
      </c>
      <c r="U202" s="53"/>
      <c r="V202" s="52">
        <v>0.5</v>
      </c>
      <c r="W202" s="53">
        <f t="shared" si="76"/>
        <v>0</v>
      </c>
      <c r="X202" s="52"/>
      <c r="Y202" s="53">
        <f t="shared" si="65"/>
        <v>0</v>
      </c>
      <c r="Z202" s="53">
        <f t="shared" si="72"/>
        <v>0</v>
      </c>
      <c r="AA202" s="52">
        <v>5</v>
      </c>
      <c r="AB202" s="53">
        <v>400000</v>
      </c>
      <c r="AC202" s="53">
        <f t="shared" si="67"/>
        <v>0</v>
      </c>
      <c r="AD202" s="56" t="s">
        <v>295</v>
      </c>
      <c r="AE202" s="56"/>
      <c r="AF202" s="1">
        <v>400000</v>
      </c>
      <c r="AG202" s="168">
        <f t="shared" si="68"/>
        <v>0</v>
      </c>
      <c r="AH202" s="5"/>
      <c r="AI202" s="5"/>
    </row>
    <row r="203" spans="1:35" s="1" customFormat="1" x14ac:dyDescent="0.25">
      <c r="A203" s="21">
        <v>31</v>
      </c>
      <c r="B203" s="22" t="s">
        <v>1661</v>
      </c>
      <c r="C203" s="22" t="s">
        <v>898</v>
      </c>
      <c r="D203" s="51" t="s">
        <v>3699</v>
      </c>
      <c r="E203" s="24" t="s">
        <v>166</v>
      </c>
      <c r="F203" s="52"/>
      <c r="G203" s="52" t="s">
        <v>319</v>
      </c>
      <c r="H203" s="52" t="s">
        <v>62</v>
      </c>
      <c r="I203" s="52">
        <v>2005</v>
      </c>
      <c r="J203" s="52"/>
      <c r="K203" s="52" t="s">
        <v>63</v>
      </c>
      <c r="L203" s="52" t="s">
        <v>212</v>
      </c>
      <c r="M203" s="52">
        <v>2</v>
      </c>
      <c r="N203" s="53">
        <f t="shared" si="73"/>
        <v>200000</v>
      </c>
      <c r="O203" s="53">
        <v>400000</v>
      </c>
      <c r="P203" s="52"/>
      <c r="Q203" s="52"/>
      <c r="R203" s="52"/>
      <c r="S203" s="53">
        <f t="shared" si="63"/>
        <v>400000</v>
      </c>
      <c r="T203" s="52">
        <v>5</v>
      </c>
      <c r="U203" s="53"/>
      <c r="V203" s="52">
        <v>0.5</v>
      </c>
      <c r="W203" s="53">
        <f t="shared" si="76"/>
        <v>0</v>
      </c>
      <c r="X203" s="52"/>
      <c r="Y203" s="53">
        <f t="shared" si="65"/>
        <v>0</v>
      </c>
      <c r="Z203" s="53">
        <f t="shared" si="72"/>
        <v>0</v>
      </c>
      <c r="AA203" s="57">
        <v>5</v>
      </c>
      <c r="AB203" s="53">
        <v>400000</v>
      </c>
      <c r="AC203" s="53">
        <f t="shared" si="67"/>
        <v>0</v>
      </c>
      <c r="AD203" s="56" t="s">
        <v>297</v>
      </c>
      <c r="AE203" s="56"/>
      <c r="AF203" s="1">
        <v>400000</v>
      </c>
      <c r="AG203" s="168">
        <f t="shared" si="68"/>
        <v>0</v>
      </c>
      <c r="AH203" s="5"/>
      <c r="AI203" s="5"/>
    </row>
    <row r="204" spans="1:35" s="1" customFormat="1" x14ac:dyDescent="0.25">
      <c r="A204" s="21">
        <v>32</v>
      </c>
      <c r="B204" s="22" t="s">
        <v>1661</v>
      </c>
      <c r="C204" s="22" t="s">
        <v>899</v>
      </c>
      <c r="D204" s="51" t="s">
        <v>3699</v>
      </c>
      <c r="E204" s="24" t="s">
        <v>166</v>
      </c>
      <c r="F204" s="52"/>
      <c r="G204" s="52" t="s">
        <v>319</v>
      </c>
      <c r="H204" s="52" t="s">
        <v>62</v>
      </c>
      <c r="I204" s="52">
        <v>2005</v>
      </c>
      <c r="J204" s="52"/>
      <c r="K204" s="52" t="s">
        <v>63</v>
      </c>
      <c r="L204" s="52" t="s">
        <v>212</v>
      </c>
      <c r="M204" s="52">
        <v>1</v>
      </c>
      <c r="N204" s="53">
        <f t="shared" si="73"/>
        <v>200000</v>
      </c>
      <c r="O204" s="53">
        <v>200000</v>
      </c>
      <c r="P204" s="52"/>
      <c r="Q204" s="52"/>
      <c r="R204" s="52"/>
      <c r="S204" s="53">
        <f t="shared" si="63"/>
        <v>200000</v>
      </c>
      <c r="T204" s="52">
        <v>5</v>
      </c>
      <c r="U204" s="53"/>
      <c r="V204" s="52">
        <v>0.5</v>
      </c>
      <c r="W204" s="53">
        <f t="shared" si="76"/>
        <v>0</v>
      </c>
      <c r="X204" s="52"/>
      <c r="Y204" s="53">
        <f t="shared" si="65"/>
        <v>0</v>
      </c>
      <c r="Z204" s="53">
        <f t="shared" si="72"/>
        <v>0</v>
      </c>
      <c r="AA204" s="52">
        <v>5</v>
      </c>
      <c r="AB204" s="53">
        <v>200000</v>
      </c>
      <c r="AC204" s="53">
        <f t="shared" si="67"/>
        <v>0</v>
      </c>
      <c r="AD204" s="56" t="s">
        <v>287</v>
      </c>
      <c r="AE204" s="56"/>
      <c r="AF204" s="1">
        <v>200000</v>
      </c>
      <c r="AG204" s="168">
        <f t="shared" si="68"/>
        <v>0</v>
      </c>
      <c r="AH204" s="5"/>
      <c r="AI204" s="5"/>
    </row>
    <row r="205" spans="1:35" s="1" customFormat="1" x14ac:dyDescent="0.25">
      <c r="A205" s="21">
        <v>33</v>
      </c>
      <c r="B205" s="22" t="s">
        <v>1661</v>
      </c>
      <c r="C205" s="22" t="s">
        <v>900</v>
      </c>
      <c r="D205" s="51" t="s">
        <v>3699</v>
      </c>
      <c r="E205" s="24" t="s">
        <v>166</v>
      </c>
      <c r="F205" s="52"/>
      <c r="G205" s="52" t="s">
        <v>319</v>
      </c>
      <c r="H205" s="52" t="s">
        <v>62</v>
      </c>
      <c r="I205" s="52">
        <v>2005</v>
      </c>
      <c r="J205" s="52"/>
      <c r="K205" s="52" t="s">
        <v>63</v>
      </c>
      <c r="L205" s="52" t="s">
        <v>212</v>
      </c>
      <c r="M205" s="52">
        <v>1</v>
      </c>
      <c r="N205" s="53">
        <f t="shared" si="73"/>
        <v>200000</v>
      </c>
      <c r="O205" s="53">
        <v>200000</v>
      </c>
      <c r="P205" s="52"/>
      <c r="Q205" s="52"/>
      <c r="R205" s="52"/>
      <c r="S205" s="53">
        <f t="shared" si="63"/>
        <v>200000</v>
      </c>
      <c r="T205" s="52">
        <v>5</v>
      </c>
      <c r="U205" s="53"/>
      <c r="V205" s="52">
        <v>0.5</v>
      </c>
      <c r="W205" s="53">
        <f t="shared" si="76"/>
        <v>0</v>
      </c>
      <c r="X205" s="52"/>
      <c r="Y205" s="53">
        <f t="shared" si="65"/>
        <v>0</v>
      </c>
      <c r="Z205" s="53">
        <f t="shared" si="72"/>
        <v>0</v>
      </c>
      <c r="AA205" s="52">
        <v>5</v>
      </c>
      <c r="AB205" s="53">
        <v>200000</v>
      </c>
      <c r="AC205" s="53">
        <f t="shared" si="67"/>
        <v>0</v>
      </c>
      <c r="AD205" s="56" t="s">
        <v>303</v>
      </c>
      <c r="AE205" s="56"/>
      <c r="AF205" s="1">
        <v>200000</v>
      </c>
      <c r="AG205" s="168">
        <f t="shared" si="68"/>
        <v>0</v>
      </c>
      <c r="AH205" s="5"/>
      <c r="AI205" s="5"/>
    </row>
    <row r="206" spans="1:35" s="1" customFormat="1" x14ac:dyDescent="0.25">
      <c r="A206" s="21">
        <v>34</v>
      </c>
      <c r="B206" s="22" t="s">
        <v>1661</v>
      </c>
      <c r="C206" s="22" t="s">
        <v>835</v>
      </c>
      <c r="D206" s="51" t="s">
        <v>3699</v>
      </c>
      <c r="E206" s="24" t="s">
        <v>166</v>
      </c>
      <c r="F206" s="52"/>
      <c r="G206" s="52" t="s">
        <v>319</v>
      </c>
      <c r="H206" s="52" t="s">
        <v>62</v>
      </c>
      <c r="I206" s="52">
        <v>2005</v>
      </c>
      <c r="J206" s="52"/>
      <c r="K206" s="52" t="s">
        <v>63</v>
      </c>
      <c r="L206" s="52" t="s">
        <v>212</v>
      </c>
      <c r="M206" s="52">
        <v>1</v>
      </c>
      <c r="N206" s="53">
        <f t="shared" si="73"/>
        <v>200000</v>
      </c>
      <c r="O206" s="53">
        <v>200000</v>
      </c>
      <c r="P206" s="52"/>
      <c r="Q206" s="52"/>
      <c r="R206" s="52"/>
      <c r="S206" s="53">
        <f t="shared" si="63"/>
        <v>200000</v>
      </c>
      <c r="T206" s="52">
        <v>5</v>
      </c>
      <c r="U206" s="53"/>
      <c r="V206" s="52">
        <v>0.5</v>
      </c>
      <c r="W206" s="53">
        <f t="shared" si="76"/>
        <v>0</v>
      </c>
      <c r="X206" s="52"/>
      <c r="Y206" s="53">
        <f t="shared" si="65"/>
        <v>0</v>
      </c>
      <c r="Z206" s="53">
        <f t="shared" si="72"/>
        <v>0</v>
      </c>
      <c r="AA206" s="52">
        <v>5</v>
      </c>
      <c r="AB206" s="53">
        <v>200000</v>
      </c>
      <c r="AC206" s="53">
        <f t="shared" si="67"/>
        <v>0</v>
      </c>
      <c r="AD206" s="56" t="s">
        <v>305</v>
      </c>
      <c r="AE206" s="56"/>
      <c r="AF206" s="1">
        <v>200000</v>
      </c>
      <c r="AG206" s="168">
        <f t="shared" si="68"/>
        <v>0</v>
      </c>
      <c r="AH206" s="5"/>
      <c r="AI206" s="5"/>
    </row>
    <row r="207" spans="1:35" s="1" customFormat="1" x14ac:dyDescent="0.25">
      <c r="A207" s="21">
        <v>35</v>
      </c>
      <c r="B207" s="22" t="s">
        <v>1661</v>
      </c>
      <c r="C207" s="22" t="s">
        <v>901</v>
      </c>
      <c r="D207" s="51" t="s">
        <v>3699</v>
      </c>
      <c r="E207" s="24" t="s">
        <v>166</v>
      </c>
      <c r="F207" s="52"/>
      <c r="G207" s="52" t="s">
        <v>319</v>
      </c>
      <c r="H207" s="52" t="s">
        <v>62</v>
      </c>
      <c r="I207" s="52">
        <v>2005</v>
      </c>
      <c r="J207" s="52"/>
      <c r="K207" s="52" t="s">
        <v>63</v>
      </c>
      <c r="L207" s="52" t="s">
        <v>212</v>
      </c>
      <c r="M207" s="52">
        <v>1</v>
      </c>
      <c r="N207" s="53">
        <f t="shared" si="73"/>
        <v>200000</v>
      </c>
      <c r="O207" s="53">
        <v>200000</v>
      </c>
      <c r="P207" s="52"/>
      <c r="Q207" s="52"/>
      <c r="R207" s="52"/>
      <c r="S207" s="53">
        <f t="shared" si="63"/>
        <v>200000</v>
      </c>
      <c r="T207" s="52">
        <v>5</v>
      </c>
      <c r="U207" s="53"/>
      <c r="V207" s="52">
        <v>0.5</v>
      </c>
      <c r="W207" s="53">
        <f t="shared" si="76"/>
        <v>0</v>
      </c>
      <c r="X207" s="52"/>
      <c r="Y207" s="53">
        <f t="shared" si="65"/>
        <v>0</v>
      </c>
      <c r="Z207" s="53">
        <f t="shared" si="72"/>
        <v>0</v>
      </c>
      <c r="AA207" s="52">
        <v>5</v>
      </c>
      <c r="AB207" s="53">
        <v>200000</v>
      </c>
      <c r="AC207" s="53">
        <f t="shared" si="67"/>
        <v>0</v>
      </c>
      <c r="AD207" s="56" t="s">
        <v>473</v>
      </c>
      <c r="AE207" s="56"/>
      <c r="AF207" s="1">
        <v>200000</v>
      </c>
      <c r="AG207" s="168">
        <f t="shared" si="68"/>
        <v>0</v>
      </c>
      <c r="AH207" s="5"/>
      <c r="AI207" s="5"/>
    </row>
    <row r="208" spans="1:35" s="1" customFormat="1" x14ac:dyDescent="0.25">
      <c r="A208" s="21">
        <v>36</v>
      </c>
      <c r="B208" s="22" t="s">
        <v>1661</v>
      </c>
      <c r="C208" s="22" t="s">
        <v>446</v>
      </c>
      <c r="D208" s="51" t="s">
        <v>3699</v>
      </c>
      <c r="E208" s="24" t="s">
        <v>166</v>
      </c>
      <c r="F208" s="52"/>
      <c r="G208" s="52" t="s">
        <v>319</v>
      </c>
      <c r="H208" s="52" t="s">
        <v>62</v>
      </c>
      <c r="I208" s="52">
        <v>2005</v>
      </c>
      <c r="J208" s="52"/>
      <c r="K208" s="52" t="s">
        <v>63</v>
      </c>
      <c r="L208" s="52" t="s">
        <v>212</v>
      </c>
      <c r="M208" s="52">
        <v>2</v>
      </c>
      <c r="N208" s="53">
        <f t="shared" si="73"/>
        <v>200000</v>
      </c>
      <c r="O208" s="53">
        <v>400000</v>
      </c>
      <c r="P208" s="52"/>
      <c r="Q208" s="52"/>
      <c r="R208" s="52"/>
      <c r="S208" s="53">
        <f t="shared" si="63"/>
        <v>400000</v>
      </c>
      <c r="T208" s="52">
        <v>5</v>
      </c>
      <c r="U208" s="53"/>
      <c r="V208" s="52">
        <v>0.5</v>
      </c>
      <c r="W208" s="53">
        <f t="shared" si="76"/>
        <v>0</v>
      </c>
      <c r="X208" s="52"/>
      <c r="Y208" s="53">
        <f t="shared" si="65"/>
        <v>0</v>
      </c>
      <c r="Z208" s="53">
        <f t="shared" si="72"/>
        <v>0</v>
      </c>
      <c r="AA208" s="57">
        <v>5</v>
      </c>
      <c r="AB208" s="53">
        <v>400000</v>
      </c>
      <c r="AC208" s="53">
        <f t="shared" si="67"/>
        <v>0</v>
      </c>
      <c r="AD208" s="56" t="s">
        <v>477</v>
      </c>
      <c r="AE208" s="56"/>
      <c r="AF208" s="1">
        <v>400000</v>
      </c>
      <c r="AG208" s="168">
        <f t="shared" si="68"/>
        <v>0</v>
      </c>
      <c r="AH208" s="5"/>
      <c r="AI208" s="5"/>
    </row>
    <row r="209" spans="1:35" s="1" customFormat="1" x14ac:dyDescent="0.25">
      <c r="A209" s="21">
        <v>37</v>
      </c>
      <c r="B209" s="22" t="s">
        <v>1661</v>
      </c>
      <c r="C209" s="22" t="s">
        <v>448</v>
      </c>
      <c r="D209" s="51" t="s">
        <v>3699</v>
      </c>
      <c r="E209" s="24" t="s">
        <v>902</v>
      </c>
      <c r="F209" s="52"/>
      <c r="G209" s="52" t="s">
        <v>903</v>
      </c>
      <c r="H209" s="52" t="s">
        <v>62</v>
      </c>
      <c r="I209" s="52">
        <v>2014</v>
      </c>
      <c r="J209" s="52"/>
      <c r="K209" s="52" t="s">
        <v>63</v>
      </c>
      <c r="L209" s="52" t="s">
        <v>64</v>
      </c>
      <c r="M209" s="52">
        <v>1</v>
      </c>
      <c r="N209" s="53">
        <f t="shared" si="73"/>
        <v>996600</v>
      </c>
      <c r="O209" s="53">
        <v>996600</v>
      </c>
      <c r="P209" s="52"/>
      <c r="Q209" s="52"/>
      <c r="R209" s="52"/>
      <c r="S209" s="53">
        <f t="shared" si="63"/>
        <v>996600</v>
      </c>
      <c r="T209" s="52">
        <v>5</v>
      </c>
      <c r="U209" s="53"/>
      <c r="V209" s="52">
        <v>0.5</v>
      </c>
      <c r="W209" s="53">
        <f t="shared" si="76"/>
        <v>0</v>
      </c>
      <c r="X209" s="52"/>
      <c r="Y209" s="53">
        <f t="shared" si="65"/>
        <v>0</v>
      </c>
      <c r="Z209" s="53">
        <f t="shared" si="72"/>
        <v>0</v>
      </c>
      <c r="AA209" s="57">
        <v>5</v>
      </c>
      <c r="AB209" s="53">
        <v>996600</v>
      </c>
      <c r="AC209" s="53">
        <f t="shared" si="67"/>
        <v>0</v>
      </c>
      <c r="AD209" s="56" t="s">
        <v>297</v>
      </c>
      <c r="AE209" s="56"/>
      <c r="AF209" s="1">
        <v>996600</v>
      </c>
      <c r="AG209" s="168">
        <f t="shared" si="68"/>
        <v>0</v>
      </c>
      <c r="AH209" s="5"/>
      <c r="AI209" s="5"/>
    </row>
    <row r="210" spans="1:35" s="1" customFormat="1" x14ac:dyDescent="0.25">
      <c r="A210" s="21">
        <v>38</v>
      </c>
      <c r="B210" s="22" t="s">
        <v>1661</v>
      </c>
      <c r="C210" s="22" t="s">
        <v>452</v>
      </c>
      <c r="D210" s="51" t="s">
        <v>3699</v>
      </c>
      <c r="E210" s="24" t="s">
        <v>902</v>
      </c>
      <c r="F210" s="24"/>
      <c r="G210" s="24" t="s">
        <v>903</v>
      </c>
      <c r="H210" s="24" t="s">
        <v>62</v>
      </c>
      <c r="I210" s="24">
        <v>2014</v>
      </c>
      <c r="J210" s="24"/>
      <c r="K210" s="24" t="s">
        <v>63</v>
      </c>
      <c r="L210" s="24" t="s">
        <v>64</v>
      </c>
      <c r="M210" s="24">
        <v>1</v>
      </c>
      <c r="N210" s="41">
        <f t="shared" si="73"/>
        <v>996600</v>
      </c>
      <c r="O210" s="41">
        <v>996600</v>
      </c>
      <c r="P210" s="24"/>
      <c r="Q210" s="24"/>
      <c r="R210" s="24"/>
      <c r="S210" s="41">
        <f t="shared" si="63"/>
        <v>996600</v>
      </c>
      <c r="T210" s="24">
        <v>5</v>
      </c>
      <c r="U210" s="41"/>
      <c r="V210" s="24">
        <v>0.5</v>
      </c>
      <c r="W210" s="41">
        <f t="shared" si="76"/>
        <v>0</v>
      </c>
      <c r="X210" s="52"/>
      <c r="Y210" s="41">
        <f t="shared" si="65"/>
        <v>0</v>
      </c>
      <c r="Z210" s="41">
        <f t="shared" si="72"/>
        <v>0</v>
      </c>
      <c r="AA210" s="72">
        <v>5</v>
      </c>
      <c r="AB210" s="41">
        <v>996600</v>
      </c>
      <c r="AC210" s="41">
        <f t="shared" si="67"/>
        <v>0</v>
      </c>
      <c r="AD210" s="70" t="s">
        <v>287</v>
      </c>
      <c r="AE210" s="70"/>
      <c r="AF210" s="1">
        <v>996600</v>
      </c>
      <c r="AG210" s="168">
        <f t="shared" si="68"/>
        <v>0</v>
      </c>
      <c r="AH210" s="5"/>
      <c r="AI210" s="5"/>
    </row>
    <row r="211" spans="1:35" s="1" customFormat="1" x14ac:dyDescent="0.25">
      <c r="A211" s="21">
        <v>39</v>
      </c>
      <c r="B211" s="22" t="s">
        <v>1661</v>
      </c>
      <c r="C211" s="22" t="s">
        <v>904</v>
      </c>
      <c r="D211" s="51" t="s">
        <v>3699</v>
      </c>
      <c r="E211" s="24" t="s">
        <v>902</v>
      </c>
      <c r="F211" s="24"/>
      <c r="G211" s="24" t="s">
        <v>903</v>
      </c>
      <c r="H211" s="24" t="s">
        <v>62</v>
      </c>
      <c r="I211" s="24">
        <v>2014</v>
      </c>
      <c r="J211" s="24"/>
      <c r="K211" s="24" t="s">
        <v>63</v>
      </c>
      <c r="L211" s="24" t="s">
        <v>64</v>
      </c>
      <c r="M211" s="24">
        <v>1</v>
      </c>
      <c r="N211" s="41">
        <f t="shared" si="73"/>
        <v>996600</v>
      </c>
      <c r="O211" s="41">
        <v>996600</v>
      </c>
      <c r="P211" s="24"/>
      <c r="Q211" s="24"/>
      <c r="R211" s="24"/>
      <c r="S211" s="41">
        <f t="shared" si="63"/>
        <v>996600</v>
      </c>
      <c r="T211" s="24">
        <v>5</v>
      </c>
      <c r="U211" s="41"/>
      <c r="V211" s="24">
        <v>0.5</v>
      </c>
      <c r="W211" s="41">
        <f t="shared" si="76"/>
        <v>0</v>
      </c>
      <c r="X211" s="24"/>
      <c r="Y211" s="41">
        <f t="shared" si="65"/>
        <v>0</v>
      </c>
      <c r="Z211" s="41">
        <f t="shared" si="72"/>
        <v>0</v>
      </c>
      <c r="AA211" s="72">
        <v>5</v>
      </c>
      <c r="AB211" s="41">
        <v>996600</v>
      </c>
      <c r="AC211" s="41">
        <f t="shared" si="67"/>
        <v>0</v>
      </c>
      <c r="AD211" s="70" t="s">
        <v>303</v>
      </c>
      <c r="AE211" s="70"/>
      <c r="AF211" s="1">
        <v>996600</v>
      </c>
      <c r="AG211" s="168">
        <f t="shared" si="68"/>
        <v>0</v>
      </c>
      <c r="AH211" s="5"/>
      <c r="AI211" s="5"/>
    </row>
    <row r="212" spans="1:35" s="1" customFormat="1" x14ac:dyDescent="0.25">
      <c r="A212" s="21">
        <v>40</v>
      </c>
      <c r="B212" s="22" t="s">
        <v>1661</v>
      </c>
      <c r="C212" s="22" t="s">
        <v>905</v>
      </c>
      <c r="D212" s="51" t="s">
        <v>3699</v>
      </c>
      <c r="E212" s="24" t="s">
        <v>902</v>
      </c>
      <c r="F212" s="24"/>
      <c r="G212" s="24" t="s">
        <v>903</v>
      </c>
      <c r="H212" s="24" t="s">
        <v>62</v>
      </c>
      <c r="I212" s="24">
        <v>2014</v>
      </c>
      <c r="J212" s="24"/>
      <c r="K212" s="24" t="s">
        <v>63</v>
      </c>
      <c r="L212" s="24" t="s">
        <v>64</v>
      </c>
      <c r="M212" s="24">
        <v>1</v>
      </c>
      <c r="N212" s="41">
        <f t="shared" si="73"/>
        <v>996600</v>
      </c>
      <c r="O212" s="41">
        <v>996600</v>
      </c>
      <c r="P212" s="24"/>
      <c r="Q212" s="24"/>
      <c r="R212" s="24"/>
      <c r="S212" s="41">
        <f t="shared" si="63"/>
        <v>996600</v>
      </c>
      <c r="T212" s="24">
        <v>5</v>
      </c>
      <c r="U212" s="41"/>
      <c r="V212" s="24">
        <v>0.5</v>
      </c>
      <c r="W212" s="41">
        <f t="shared" si="76"/>
        <v>0</v>
      </c>
      <c r="X212" s="24"/>
      <c r="Y212" s="41">
        <f t="shared" si="65"/>
        <v>0</v>
      </c>
      <c r="Z212" s="41">
        <f t="shared" si="72"/>
        <v>0</v>
      </c>
      <c r="AA212" s="24">
        <v>5</v>
      </c>
      <c r="AB212" s="41">
        <v>996600</v>
      </c>
      <c r="AC212" s="41">
        <f t="shared" si="67"/>
        <v>0</v>
      </c>
      <c r="AD212" s="70" t="s">
        <v>305</v>
      </c>
      <c r="AE212" s="70"/>
      <c r="AF212" s="1">
        <v>996600</v>
      </c>
      <c r="AG212" s="168">
        <f t="shared" si="68"/>
        <v>0</v>
      </c>
      <c r="AH212" s="5"/>
      <c r="AI212" s="5"/>
    </row>
    <row r="213" spans="1:35" s="1" customFormat="1" x14ac:dyDescent="0.25">
      <c r="A213" s="21">
        <v>41</v>
      </c>
      <c r="B213" s="22" t="s">
        <v>1661</v>
      </c>
      <c r="C213" s="22" t="s">
        <v>906</v>
      </c>
      <c r="D213" s="51" t="s">
        <v>3699</v>
      </c>
      <c r="E213" s="24" t="s">
        <v>902</v>
      </c>
      <c r="F213" s="24"/>
      <c r="G213" s="24" t="s">
        <v>903</v>
      </c>
      <c r="H213" s="24" t="s">
        <v>62</v>
      </c>
      <c r="I213" s="24">
        <v>2014</v>
      </c>
      <c r="J213" s="24"/>
      <c r="K213" s="24" t="s">
        <v>63</v>
      </c>
      <c r="L213" s="24" t="s">
        <v>64</v>
      </c>
      <c r="M213" s="24">
        <v>1</v>
      </c>
      <c r="N213" s="41">
        <f t="shared" si="73"/>
        <v>996600</v>
      </c>
      <c r="O213" s="41">
        <v>996600</v>
      </c>
      <c r="P213" s="24"/>
      <c r="Q213" s="24"/>
      <c r="R213" s="24"/>
      <c r="S213" s="41">
        <f t="shared" si="63"/>
        <v>996600</v>
      </c>
      <c r="T213" s="24">
        <v>5</v>
      </c>
      <c r="U213" s="41"/>
      <c r="V213" s="24">
        <v>0.5</v>
      </c>
      <c r="W213" s="41">
        <f t="shared" si="76"/>
        <v>0</v>
      </c>
      <c r="X213" s="24"/>
      <c r="Y213" s="41">
        <f t="shared" si="65"/>
        <v>0</v>
      </c>
      <c r="Z213" s="41">
        <f t="shared" si="72"/>
        <v>0</v>
      </c>
      <c r="AA213" s="24">
        <v>5</v>
      </c>
      <c r="AB213" s="41">
        <v>996600</v>
      </c>
      <c r="AC213" s="41">
        <f t="shared" si="67"/>
        <v>0</v>
      </c>
      <c r="AD213" s="70" t="s">
        <v>907</v>
      </c>
      <c r="AE213" s="70"/>
      <c r="AF213" s="1">
        <v>996600</v>
      </c>
      <c r="AG213" s="168">
        <f t="shared" si="68"/>
        <v>0</v>
      </c>
      <c r="AH213" s="5"/>
      <c r="AI213" s="5"/>
    </row>
    <row r="214" spans="1:35" s="1" customFormat="1" x14ac:dyDescent="0.25">
      <c r="A214" s="21">
        <v>42</v>
      </c>
      <c r="B214" s="22" t="s">
        <v>1661</v>
      </c>
      <c r="C214" s="22" t="s">
        <v>908</v>
      </c>
      <c r="D214" s="51" t="s">
        <v>3699</v>
      </c>
      <c r="E214" s="24" t="s">
        <v>902</v>
      </c>
      <c r="F214" s="24"/>
      <c r="G214" s="24" t="s">
        <v>903</v>
      </c>
      <c r="H214" s="24" t="s">
        <v>62</v>
      </c>
      <c r="I214" s="24">
        <v>2014</v>
      </c>
      <c r="J214" s="24"/>
      <c r="K214" s="24" t="s">
        <v>63</v>
      </c>
      <c r="L214" s="24" t="s">
        <v>64</v>
      </c>
      <c r="M214" s="24">
        <v>1</v>
      </c>
      <c r="N214" s="41">
        <f t="shared" si="73"/>
        <v>996600</v>
      </c>
      <c r="O214" s="41">
        <v>996600</v>
      </c>
      <c r="P214" s="24"/>
      <c r="Q214" s="24"/>
      <c r="R214" s="24"/>
      <c r="S214" s="41">
        <f t="shared" si="63"/>
        <v>996600</v>
      </c>
      <c r="T214" s="24">
        <v>5</v>
      </c>
      <c r="U214" s="41"/>
      <c r="V214" s="24">
        <v>0.5</v>
      </c>
      <c r="W214" s="41">
        <f t="shared" si="76"/>
        <v>0</v>
      </c>
      <c r="X214" s="24"/>
      <c r="Y214" s="41">
        <f t="shared" si="65"/>
        <v>0</v>
      </c>
      <c r="Z214" s="41">
        <f t="shared" si="72"/>
        <v>0</v>
      </c>
      <c r="AA214" s="24">
        <v>5</v>
      </c>
      <c r="AB214" s="41">
        <v>996600</v>
      </c>
      <c r="AC214" s="41">
        <f t="shared" si="67"/>
        <v>0</v>
      </c>
      <c r="AD214" s="70" t="s">
        <v>909</v>
      </c>
      <c r="AE214" s="70"/>
      <c r="AF214" s="1">
        <v>996600</v>
      </c>
      <c r="AG214" s="168">
        <f t="shared" si="68"/>
        <v>0</v>
      </c>
      <c r="AH214" s="5"/>
      <c r="AI214" s="5"/>
    </row>
    <row r="215" spans="1:35" s="1" customFormat="1" x14ac:dyDescent="0.25">
      <c r="A215" s="21">
        <v>43</v>
      </c>
      <c r="B215" s="22" t="s">
        <v>1662</v>
      </c>
      <c r="C215" s="50" t="s">
        <v>92</v>
      </c>
      <c r="D215" s="51" t="s">
        <v>281</v>
      </c>
      <c r="E215" s="52" t="s">
        <v>282</v>
      </c>
      <c r="F215" s="24"/>
      <c r="G215" s="24" t="s">
        <v>194</v>
      </c>
      <c r="H215" s="24" t="s">
        <v>62</v>
      </c>
      <c r="I215" s="24">
        <v>2011</v>
      </c>
      <c r="J215" s="24"/>
      <c r="K215" s="24" t="s">
        <v>63</v>
      </c>
      <c r="L215" s="24" t="s">
        <v>64</v>
      </c>
      <c r="M215" s="24">
        <v>1</v>
      </c>
      <c r="N215" s="41">
        <f t="shared" si="73"/>
        <v>5430000</v>
      </c>
      <c r="O215" s="41">
        <v>5430000</v>
      </c>
      <c r="P215" s="24"/>
      <c r="Q215" s="24"/>
      <c r="R215" s="24"/>
      <c r="S215" s="41">
        <f t="shared" si="63"/>
        <v>5430000</v>
      </c>
      <c r="T215" s="24">
        <v>5</v>
      </c>
      <c r="U215" s="41"/>
      <c r="V215" s="24">
        <v>0.5</v>
      </c>
      <c r="W215" s="41">
        <f t="shared" si="76"/>
        <v>0</v>
      </c>
      <c r="X215" s="24"/>
      <c r="Y215" s="41">
        <f t="shared" si="65"/>
        <v>0</v>
      </c>
      <c r="Z215" s="41">
        <f t="shared" si="72"/>
        <v>0</v>
      </c>
      <c r="AA215" s="24">
        <v>5</v>
      </c>
      <c r="AB215" s="41">
        <v>5430000</v>
      </c>
      <c r="AC215" s="41">
        <f t="shared" si="67"/>
        <v>0</v>
      </c>
      <c r="AD215" s="70" t="s">
        <v>213</v>
      </c>
      <c r="AE215" s="70"/>
      <c r="AF215" s="1">
        <v>5430000</v>
      </c>
      <c r="AG215" s="168">
        <f t="shared" si="68"/>
        <v>0</v>
      </c>
      <c r="AH215" s="5"/>
      <c r="AI215" s="5"/>
    </row>
    <row r="216" spans="1:35" s="1" customFormat="1" x14ac:dyDescent="0.25">
      <c r="A216" s="21">
        <v>44</v>
      </c>
      <c r="B216" s="22" t="s">
        <v>1662</v>
      </c>
      <c r="C216" s="50" t="s">
        <v>283</v>
      </c>
      <c r="D216" s="51" t="s">
        <v>284</v>
      </c>
      <c r="E216" s="52" t="s">
        <v>282</v>
      </c>
      <c r="F216" s="24"/>
      <c r="G216" s="24" t="s">
        <v>194</v>
      </c>
      <c r="H216" s="24" t="s">
        <v>62</v>
      </c>
      <c r="I216" s="24">
        <v>2011</v>
      </c>
      <c r="J216" s="24"/>
      <c r="K216" s="24" t="s">
        <v>285</v>
      </c>
      <c r="L216" s="24" t="s">
        <v>64</v>
      </c>
      <c r="M216" s="24">
        <v>4</v>
      </c>
      <c r="N216" s="41">
        <f t="shared" si="73"/>
        <v>725000</v>
      </c>
      <c r="O216" s="41">
        <v>2900000</v>
      </c>
      <c r="P216" s="24"/>
      <c r="Q216" s="24"/>
      <c r="R216" s="24"/>
      <c r="S216" s="41">
        <f t="shared" si="63"/>
        <v>2900000</v>
      </c>
      <c r="T216" s="24">
        <v>5</v>
      </c>
      <c r="U216" s="41"/>
      <c r="V216" s="24">
        <v>0.5</v>
      </c>
      <c r="W216" s="41">
        <f t="shared" si="76"/>
        <v>0</v>
      </c>
      <c r="X216" s="24"/>
      <c r="Y216" s="41">
        <f t="shared" si="65"/>
        <v>0</v>
      </c>
      <c r="Z216" s="41">
        <f t="shared" si="72"/>
        <v>0</v>
      </c>
      <c r="AA216" s="24">
        <v>5</v>
      </c>
      <c r="AB216" s="41">
        <v>2900000</v>
      </c>
      <c r="AC216" s="41">
        <f t="shared" si="67"/>
        <v>0</v>
      </c>
      <c r="AD216" s="70" t="s">
        <v>250</v>
      </c>
      <c r="AE216" s="70"/>
      <c r="AF216" s="1">
        <v>2900000</v>
      </c>
      <c r="AG216" s="168">
        <f t="shared" si="68"/>
        <v>0</v>
      </c>
      <c r="AH216" s="5"/>
      <c r="AI216" s="5"/>
    </row>
    <row r="217" spans="1:35" s="1" customFormat="1" x14ac:dyDescent="0.25">
      <c r="A217" s="21">
        <v>45</v>
      </c>
      <c r="B217" s="22" t="s">
        <v>1662</v>
      </c>
      <c r="C217" s="50" t="s">
        <v>135</v>
      </c>
      <c r="D217" s="51" t="s">
        <v>284</v>
      </c>
      <c r="E217" s="52" t="s">
        <v>286</v>
      </c>
      <c r="F217" s="24"/>
      <c r="G217" s="24" t="s">
        <v>194</v>
      </c>
      <c r="H217" s="24" t="s">
        <v>62</v>
      </c>
      <c r="I217" s="24">
        <v>2012</v>
      </c>
      <c r="J217" s="24"/>
      <c r="K217" s="24" t="s">
        <v>63</v>
      </c>
      <c r="L217" s="24" t="s">
        <v>64</v>
      </c>
      <c r="M217" s="24">
        <v>1</v>
      </c>
      <c r="N217" s="41">
        <f t="shared" si="73"/>
        <v>5390000</v>
      </c>
      <c r="O217" s="41">
        <v>5390000</v>
      </c>
      <c r="P217" s="24"/>
      <c r="Q217" s="24"/>
      <c r="R217" s="24"/>
      <c r="S217" s="41">
        <f t="shared" si="63"/>
        <v>5390000</v>
      </c>
      <c r="T217" s="24">
        <v>5</v>
      </c>
      <c r="U217" s="41"/>
      <c r="V217" s="24">
        <v>0.5</v>
      </c>
      <c r="W217" s="41">
        <f t="shared" si="76"/>
        <v>0</v>
      </c>
      <c r="X217" s="24"/>
      <c r="Y217" s="41">
        <f t="shared" si="65"/>
        <v>0</v>
      </c>
      <c r="Z217" s="41">
        <f t="shared" si="72"/>
        <v>0</v>
      </c>
      <c r="AA217" s="24">
        <v>5</v>
      </c>
      <c r="AB217" s="41">
        <v>5390000</v>
      </c>
      <c r="AC217" s="41">
        <f t="shared" si="67"/>
        <v>0</v>
      </c>
      <c r="AD217" s="70" t="s">
        <v>287</v>
      </c>
      <c r="AE217" s="70"/>
      <c r="AF217" s="1">
        <v>5390000</v>
      </c>
      <c r="AG217" s="168">
        <f t="shared" si="68"/>
        <v>0</v>
      </c>
      <c r="AH217" s="5"/>
      <c r="AI217" s="5"/>
    </row>
    <row r="218" spans="1:35" s="1" customFormat="1" x14ac:dyDescent="0.25">
      <c r="A218" s="21">
        <v>46</v>
      </c>
      <c r="B218" s="22" t="s">
        <v>1662</v>
      </c>
      <c r="C218" s="50" t="s">
        <v>138</v>
      </c>
      <c r="D218" s="51" t="s">
        <v>284</v>
      </c>
      <c r="E218" s="52" t="s">
        <v>286</v>
      </c>
      <c r="F218" s="24"/>
      <c r="G218" s="24" t="s">
        <v>194</v>
      </c>
      <c r="H218" s="24" t="s">
        <v>62</v>
      </c>
      <c r="I218" s="24">
        <v>2012</v>
      </c>
      <c r="J218" s="24"/>
      <c r="K218" s="24" t="s">
        <v>63</v>
      </c>
      <c r="L218" s="24" t="s">
        <v>64</v>
      </c>
      <c r="M218" s="24">
        <v>1</v>
      </c>
      <c r="N218" s="41">
        <f t="shared" si="73"/>
        <v>5390000</v>
      </c>
      <c r="O218" s="41">
        <v>5390000</v>
      </c>
      <c r="P218" s="24"/>
      <c r="Q218" s="24"/>
      <c r="R218" s="24"/>
      <c r="S218" s="41">
        <f t="shared" si="63"/>
        <v>5390000</v>
      </c>
      <c r="T218" s="24">
        <v>5</v>
      </c>
      <c r="U218" s="41"/>
      <c r="V218" s="24">
        <v>0.5</v>
      </c>
      <c r="W218" s="41">
        <f t="shared" si="76"/>
        <v>0</v>
      </c>
      <c r="X218" s="24"/>
      <c r="Y218" s="41">
        <f t="shared" si="65"/>
        <v>0</v>
      </c>
      <c r="Z218" s="41">
        <f t="shared" si="72"/>
        <v>0</v>
      </c>
      <c r="AA218" s="24">
        <v>5</v>
      </c>
      <c r="AB218" s="41">
        <v>5390000</v>
      </c>
      <c r="AC218" s="41">
        <f t="shared" si="67"/>
        <v>0</v>
      </c>
      <c r="AD218" s="70" t="s">
        <v>288</v>
      </c>
      <c r="AE218" s="70"/>
      <c r="AF218" s="1">
        <v>5390000</v>
      </c>
      <c r="AG218" s="168">
        <f t="shared" si="68"/>
        <v>0</v>
      </c>
      <c r="AH218" s="5"/>
      <c r="AI218" s="5"/>
    </row>
    <row r="219" spans="1:35" s="1" customFormat="1" x14ac:dyDescent="0.25">
      <c r="A219" s="21">
        <v>47</v>
      </c>
      <c r="B219" s="22" t="s">
        <v>1662</v>
      </c>
      <c r="C219" s="22" t="s">
        <v>58</v>
      </c>
      <c r="D219" s="51" t="s">
        <v>456</v>
      </c>
      <c r="E219" s="24" t="s">
        <v>457</v>
      </c>
      <c r="F219" s="24"/>
      <c r="G219" s="24" t="s">
        <v>194</v>
      </c>
      <c r="H219" s="24" t="s">
        <v>62</v>
      </c>
      <c r="I219" s="24">
        <v>2012</v>
      </c>
      <c r="J219" s="24"/>
      <c r="K219" s="24" t="s">
        <v>63</v>
      </c>
      <c r="L219" s="24" t="s">
        <v>64</v>
      </c>
      <c r="M219" s="24">
        <v>1</v>
      </c>
      <c r="N219" s="41">
        <f t="shared" si="73"/>
        <v>44880000</v>
      </c>
      <c r="O219" s="41">
        <v>44880000</v>
      </c>
      <c r="P219" s="24"/>
      <c r="Q219" s="24"/>
      <c r="R219" s="24"/>
      <c r="S219" s="41">
        <f t="shared" si="63"/>
        <v>44880000</v>
      </c>
      <c r="T219" s="24">
        <v>5</v>
      </c>
      <c r="U219" s="41"/>
      <c r="V219" s="24">
        <v>0.5</v>
      </c>
      <c r="W219" s="41">
        <f t="shared" si="76"/>
        <v>0</v>
      </c>
      <c r="X219" s="24"/>
      <c r="Y219" s="41">
        <f t="shared" si="65"/>
        <v>0</v>
      </c>
      <c r="Z219" s="41">
        <f t="shared" si="72"/>
        <v>0</v>
      </c>
      <c r="AA219" s="24">
        <v>5</v>
      </c>
      <c r="AB219" s="41">
        <v>44880000</v>
      </c>
      <c r="AC219" s="41">
        <f t="shared" si="67"/>
        <v>0</v>
      </c>
      <c r="AD219" s="70" t="s">
        <v>295</v>
      </c>
      <c r="AE219" s="70"/>
      <c r="AF219" s="1">
        <v>44880000</v>
      </c>
      <c r="AG219" s="168">
        <f t="shared" si="68"/>
        <v>0</v>
      </c>
      <c r="AH219" s="5"/>
      <c r="AI219" s="5"/>
    </row>
    <row r="220" spans="1:35" s="1" customFormat="1" x14ac:dyDescent="0.25">
      <c r="A220" s="21">
        <v>48</v>
      </c>
      <c r="B220" s="22" t="s">
        <v>1663</v>
      </c>
      <c r="C220" s="22" t="s">
        <v>58</v>
      </c>
      <c r="D220" s="51" t="s">
        <v>459</v>
      </c>
      <c r="E220" s="24" t="s">
        <v>166</v>
      </c>
      <c r="F220" s="24"/>
      <c r="G220" s="24" t="s">
        <v>61</v>
      </c>
      <c r="H220" s="24" t="s">
        <v>62</v>
      </c>
      <c r="I220" s="24">
        <v>2018</v>
      </c>
      <c r="J220" s="24"/>
      <c r="K220" s="24" t="s">
        <v>63</v>
      </c>
      <c r="L220" s="24" t="s">
        <v>64</v>
      </c>
      <c r="M220" s="24">
        <v>1</v>
      </c>
      <c r="N220" s="41">
        <f t="shared" si="73"/>
        <v>14885400</v>
      </c>
      <c r="O220" s="41">
        <v>14885400</v>
      </c>
      <c r="P220" s="24"/>
      <c r="Q220" s="24"/>
      <c r="R220" s="24"/>
      <c r="S220" s="41">
        <f t="shared" si="63"/>
        <v>14885400</v>
      </c>
      <c r="T220" s="24">
        <v>5</v>
      </c>
      <c r="U220" s="41">
        <f t="shared" ref="U220" si="77">SUM(S220/T220)</f>
        <v>2977080</v>
      </c>
      <c r="V220" s="24">
        <v>0.5</v>
      </c>
      <c r="W220" s="41">
        <f>SUM(U220*V220)</f>
        <v>1488540</v>
      </c>
      <c r="X220" s="24">
        <v>0.5</v>
      </c>
      <c r="Y220" s="41">
        <f>SUM(U220*X220)-744270</f>
        <v>744270</v>
      </c>
      <c r="Z220" s="41">
        <f t="shared" si="72"/>
        <v>2232810</v>
      </c>
      <c r="AA220" s="24">
        <v>5</v>
      </c>
      <c r="AB220" s="41">
        <f t="shared" ref="AB220" si="78">SUM(U220*AA220)</f>
        <v>14885400</v>
      </c>
      <c r="AC220" s="41">
        <f t="shared" si="67"/>
        <v>0</v>
      </c>
      <c r="AD220" s="70" t="s">
        <v>460</v>
      </c>
      <c r="AE220" s="70"/>
      <c r="AF220" s="1">
        <v>12652590</v>
      </c>
      <c r="AG220" s="168">
        <f>AF220+Z220-AB220</f>
        <v>0</v>
      </c>
      <c r="AH220" s="5"/>
      <c r="AI220" s="5"/>
    </row>
    <row r="221" spans="1:35" s="1" customFormat="1" x14ac:dyDescent="0.25">
      <c r="A221" s="21">
        <v>49</v>
      </c>
      <c r="B221" s="22" t="s">
        <v>1664</v>
      </c>
      <c r="C221" s="22" t="s">
        <v>75</v>
      </c>
      <c r="D221" s="51" t="s">
        <v>910</v>
      </c>
      <c r="E221" s="24" t="s">
        <v>166</v>
      </c>
      <c r="F221" s="24"/>
      <c r="G221" s="24" t="s">
        <v>911</v>
      </c>
      <c r="H221" s="24" t="s">
        <v>62</v>
      </c>
      <c r="I221" s="24">
        <v>2005</v>
      </c>
      <c r="J221" s="24"/>
      <c r="K221" s="24" t="s">
        <v>63</v>
      </c>
      <c r="L221" s="24" t="s">
        <v>64</v>
      </c>
      <c r="M221" s="24">
        <v>1</v>
      </c>
      <c r="N221" s="41">
        <f t="shared" si="73"/>
        <v>875000</v>
      </c>
      <c r="O221" s="41">
        <v>875000</v>
      </c>
      <c r="P221" s="24"/>
      <c r="Q221" s="24"/>
      <c r="R221" s="24"/>
      <c r="S221" s="41">
        <f t="shared" si="63"/>
        <v>875000</v>
      </c>
      <c r="T221" s="24">
        <v>5</v>
      </c>
      <c r="U221" s="41"/>
      <c r="V221" s="24">
        <v>0.5</v>
      </c>
      <c r="W221" s="41">
        <f t="shared" si="76"/>
        <v>0</v>
      </c>
      <c r="X221" s="24"/>
      <c r="Y221" s="41">
        <f t="shared" si="65"/>
        <v>0</v>
      </c>
      <c r="Z221" s="41">
        <f t="shared" si="72"/>
        <v>0</v>
      </c>
      <c r="AA221" s="24">
        <v>5</v>
      </c>
      <c r="AB221" s="41">
        <v>875000</v>
      </c>
      <c r="AC221" s="41">
        <f t="shared" si="67"/>
        <v>0</v>
      </c>
      <c r="AD221" s="70" t="s">
        <v>213</v>
      </c>
      <c r="AE221" s="70"/>
      <c r="AF221" s="1">
        <v>875000</v>
      </c>
      <c r="AG221" s="168">
        <f t="shared" si="68"/>
        <v>0</v>
      </c>
      <c r="AH221" s="5"/>
      <c r="AI221" s="5"/>
    </row>
    <row r="222" spans="1:35" s="1" customFormat="1" x14ac:dyDescent="0.25">
      <c r="A222" s="21">
        <v>50</v>
      </c>
      <c r="B222" s="22" t="s">
        <v>1664</v>
      </c>
      <c r="C222" s="22" t="s">
        <v>79</v>
      </c>
      <c r="D222" s="51" t="s">
        <v>910</v>
      </c>
      <c r="E222" s="24" t="s">
        <v>166</v>
      </c>
      <c r="F222" s="24"/>
      <c r="G222" s="24" t="s">
        <v>911</v>
      </c>
      <c r="H222" s="24" t="s">
        <v>62</v>
      </c>
      <c r="I222" s="24">
        <v>2005</v>
      </c>
      <c r="J222" s="24"/>
      <c r="K222" s="24" t="s">
        <v>63</v>
      </c>
      <c r="L222" s="24" t="s">
        <v>64</v>
      </c>
      <c r="M222" s="24">
        <v>1</v>
      </c>
      <c r="N222" s="41">
        <f t="shared" si="73"/>
        <v>875000</v>
      </c>
      <c r="O222" s="41">
        <v>875000</v>
      </c>
      <c r="P222" s="24"/>
      <c r="Q222" s="24"/>
      <c r="R222" s="24"/>
      <c r="S222" s="41">
        <f t="shared" si="63"/>
        <v>875000</v>
      </c>
      <c r="T222" s="24">
        <v>5</v>
      </c>
      <c r="U222" s="41"/>
      <c r="V222" s="24">
        <v>0.5</v>
      </c>
      <c r="W222" s="41">
        <f t="shared" si="76"/>
        <v>0</v>
      </c>
      <c r="X222" s="24"/>
      <c r="Y222" s="41">
        <f t="shared" si="65"/>
        <v>0</v>
      </c>
      <c r="Z222" s="41">
        <f t="shared" si="72"/>
        <v>0</v>
      </c>
      <c r="AA222" s="24">
        <v>5</v>
      </c>
      <c r="AB222" s="41">
        <v>875000</v>
      </c>
      <c r="AC222" s="41">
        <f t="shared" si="67"/>
        <v>0</v>
      </c>
      <c r="AD222" s="70" t="s">
        <v>287</v>
      </c>
      <c r="AE222" s="70"/>
      <c r="AF222" s="1">
        <v>875000</v>
      </c>
      <c r="AG222" s="168">
        <f t="shared" si="68"/>
        <v>0</v>
      </c>
      <c r="AH222" s="5"/>
      <c r="AI222" s="5"/>
    </row>
    <row r="223" spans="1:35" s="1" customFormat="1" x14ac:dyDescent="0.25">
      <c r="A223" s="21">
        <v>51</v>
      </c>
      <c r="B223" s="22" t="s">
        <v>1664</v>
      </c>
      <c r="C223" s="22" t="s">
        <v>84</v>
      </c>
      <c r="D223" s="51" t="s">
        <v>910</v>
      </c>
      <c r="E223" s="24" t="s">
        <v>166</v>
      </c>
      <c r="F223" s="24"/>
      <c r="G223" s="24" t="s">
        <v>911</v>
      </c>
      <c r="H223" s="24" t="s">
        <v>62</v>
      </c>
      <c r="I223" s="24">
        <v>2005</v>
      </c>
      <c r="J223" s="24"/>
      <c r="K223" s="24" t="s">
        <v>63</v>
      </c>
      <c r="L223" s="24" t="s">
        <v>64</v>
      </c>
      <c r="M223" s="24">
        <v>1</v>
      </c>
      <c r="N223" s="41">
        <f t="shared" si="73"/>
        <v>875000</v>
      </c>
      <c r="O223" s="41">
        <v>875000</v>
      </c>
      <c r="P223" s="24"/>
      <c r="Q223" s="24"/>
      <c r="R223" s="24"/>
      <c r="S223" s="41">
        <f t="shared" si="63"/>
        <v>875000</v>
      </c>
      <c r="T223" s="24">
        <v>5</v>
      </c>
      <c r="U223" s="41"/>
      <c r="V223" s="24">
        <v>0.5</v>
      </c>
      <c r="W223" s="41">
        <f t="shared" si="76"/>
        <v>0</v>
      </c>
      <c r="X223" s="24"/>
      <c r="Y223" s="41">
        <f t="shared" si="65"/>
        <v>0</v>
      </c>
      <c r="Z223" s="41">
        <f t="shared" si="72"/>
        <v>0</v>
      </c>
      <c r="AA223" s="24">
        <v>5</v>
      </c>
      <c r="AB223" s="41">
        <v>875000</v>
      </c>
      <c r="AC223" s="41">
        <f t="shared" si="67"/>
        <v>0</v>
      </c>
      <c r="AD223" s="70" t="s">
        <v>303</v>
      </c>
      <c r="AE223" s="70"/>
      <c r="AF223" s="1">
        <v>875000</v>
      </c>
      <c r="AG223" s="168">
        <f t="shared" si="68"/>
        <v>0</v>
      </c>
      <c r="AH223" s="5"/>
      <c r="AI223" s="5"/>
    </row>
    <row r="224" spans="1:35" s="1" customFormat="1" x14ac:dyDescent="0.25">
      <c r="A224" s="21">
        <v>52</v>
      </c>
      <c r="B224" s="22" t="s">
        <v>1664</v>
      </c>
      <c r="C224" s="22" t="s">
        <v>88</v>
      </c>
      <c r="D224" s="51" t="s">
        <v>910</v>
      </c>
      <c r="E224" s="24" t="s">
        <v>166</v>
      </c>
      <c r="F224" s="24"/>
      <c r="G224" s="24" t="s">
        <v>911</v>
      </c>
      <c r="H224" s="24" t="s">
        <v>62</v>
      </c>
      <c r="I224" s="24">
        <v>2005</v>
      </c>
      <c r="J224" s="24"/>
      <c r="K224" s="24" t="s">
        <v>63</v>
      </c>
      <c r="L224" s="24" t="s">
        <v>64</v>
      </c>
      <c r="M224" s="24">
        <v>1</v>
      </c>
      <c r="N224" s="41">
        <f t="shared" si="73"/>
        <v>875000</v>
      </c>
      <c r="O224" s="41">
        <v>875000</v>
      </c>
      <c r="P224" s="24"/>
      <c r="Q224" s="24"/>
      <c r="R224" s="24"/>
      <c r="S224" s="41">
        <f t="shared" si="63"/>
        <v>875000</v>
      </c>
      <c r="T224" s="24">
        <v>5</v>
      </c>
      <c r="U224" s="41"/>
      <c r="V224" s="24">
        <v>0.5</v>
      </c>
      <c r="W224" s="41">
        <f t="shared" si="76"/>
        <v>0</v>
      </c>
      <c r="X224" s="24"/>
      <c r="Y224" s="41">
        <f t="shared" si="65"/>
        <v>0</v>
      </c>
      <c r="Z224" s="41">
        <f t="shared" si="72"/>
        <v>0</v>
      </c>
      <c r="AA224" s="24">
        <v>5</v>
      </c>
      <c r="AB224" s="41">
        <v>875000</v>
      </c>
      <c r="AC224" s="41">
        <f t="shared" si="67"/>
        <v>0</v>
      </c>
      <c r="AD224" s="70" t="s">
        <v>305</v>
      </c>
      <c r="AE224" s="70"/>
      <c r="AF224" s="1">
        <v>875000</v>
      </c>
      <c r="AG224" s="168">
        <f t="shared" si="68"/>
        <v>0</v>
      </c>
      <c r="AH224" s="5"/>
      <c r="AI224" s="5"/>
    </row>
    <row r="225" spans="1:35" s="1" customFormat="1" x14ac:dyDescent="0.25">
      <c r="A225" s="21">
        <v>53</v>
      </c>
      <c r="B225" s="22" t="s">
        <v>1664</v>
      </c>
      <c r="C225" s="22" t="s">
        <v>92</v>
      </c>
      <c r="D225" s="51" t="s">
        <v>910</v>
      </c>
      <c r="E225" s="24" t="s">
        <v>166</v>
      </c>
      <c r="F225" s="24"/>
      <c r="G225" s="24" t="s">
        <v>911</v>
      </c>
      <c r="H225" s="24" t="s">
        <v>62</v>
      </c>
      <c r="I225" s="24">
        <v>2005</v>
      </c>
      <c r="J225" s="24"/>
      <c r="K225" s="24" t="s">
        <v>63</v>
      </c>
      <c r="L225" s="24" t="s">
        <v>64</v>
      </c>
      <c r="M225" s="24">
        <v>1</v>
      </c>
      <c r="N225" s="41">
        <f t="shared" si="73"/>
        <v>875000</v>
      </c>
      <c r="O225" s="41">
        <v>875000</v>
      </c>
      <c r="P225" s="24"/>
      <c r="Q225" s="24"/>
      <c r="R225" s="24"/>
      <c r="S225" s="41">
        <f t="shared" si="63"/>
        <v>875000</v>
      </c>
      <c r="T225" s="24">
        <v>5</v>
      </c>
      <c r="U225" s="41"/>
      <c r="V225" s="24">
        <v>0.5</v>
      </c>
      <c r="W225" s="41">
        <f t="shared" si="76"/>
        <v>0</v>
      </c>
      <c r="X225" s="24"/>
      <c r="Y225" s="41">
        <f t="shared" si="65"/>
        <v>0</v>
      </c>
      <c r="Z225" s="41">
        <f t="shared" si="72"/>
        <v>0</v>
      </c>
      <c r="AA225" s="24">
        <v>5</v>
      </c>
      <c r="AB225" s="41">
        <v>875000</v>
      </c>
      <c r="AC225" s="41">
        <f t="shared" si="67"/>
        <v>0</v>
      </c>
      <c r="AD225" s="70" t="s">
        <v>473</v>
      </c>
      <c r="AE225" s="70"/>
      <c r="AF225" s="1">
        <v>875000</v>
      </c>
      <c r="AG225" s="168">
        <f t="shared" si="68"/>
        <v>0</v>
      </c>
      <c r="AH225" s="5"/>
      <c r="AI225" s="5"/>
    </row>
    <row r="226" spans="1:35" s="1" customFormat="1" x14ac:dyDescent="0.25">
      <c r="A226" s="21">
        <v>54</v>
      </c>
      <c r="B226" s="22" t="s">
        <v>1664</v>
      </c>
      <c r="C226" s="22" t="s">
        <v>96</v>
      </c>
      <c r="D226" s="51" t="s">
        <v>910</v>
      </c>
      <c r="E226" s="24" t="s">
        <v>166</v>
      </c>
      <c r="F226" s="24"/>
      <c r="G226" s="24" t="s">
        <v>911</v>
      </c>
      <c r="H226" s="24" t="s">
        <v>62</v>
      </c>
      <c r="I226" s="24">
        <v>2005</v>
      </c>
      <c r="J226" s="24"/>
      <c r="K226" s="24" t="s">
        <v>63</v>
      </c>
      <c r="L226" s="24" t="s">
        <v>64</v>
      </c>
      <c r="M226" s="24">
        <v>1</v>
      </c>
      <c r="N226" s="41">
        <f t="shared" si="73"/>
        <v>875000</v>
      </c>
      <c r="O226" s="41">
        <v>875000</v>
      </c>
      <c r="P226" s="24"/>
      <c r="Q226" s="24"/>
      <c r="R226" s="24"/>
      <c r="S226" s="41">
        <f t="shared" si="63"/>
        <v>875000</v>
      </c>
      <c r="T226" s="24">
        <v>5</v>
      </c>
      <c r="U226" s="41"/>
      <c r="V226" s="24">
        <v>0.5</v>
      </c>
      <c r="W226" s="41">
        <f t="shared" si="76"/>
        <v>0</v>
      </c>
      <c r="X226" s="24"/>
      <c r="Y226" s="41">
        <f t="shared" si="65"/>
        <v>0</v>
      </c>
      <c r="Z226" s="41">
        <f t="shared" si="72"/>
        <v>0</v>
      </c>
      <c r="AA226" s="24">
        <v>5</v>
      </c>
      <c r="AB226" s="41">
        <v>875000</v>
      </c>
      <c r="AC226" s="41">
        <f t="shared" si="67"/>
        <v>0</v>
      </c>
      <c r="AD226" s="70" t="s">
        <v>477</v>
      </c>
      <c r="AE226" s="70"/>
      <c r="AF226" s="1">
        <v>875000</v>
      </c>
      <c r="AG226" s="168">
        <f t="shared" si="68"/>
        <v>0</v>
      </c>
      <c r="AH226" s="5"/>
      <c r="AI226" s="5"/>
    </row>
    <row r="227" spans="1:35" s="1" customFormat="1" x14ac:dyDescent="0.25">
      <c r="A227" s="21">
        <v>55</v>
      </c>
      <c r="B227" s="22" t="s">
        <v>1665</v>
      </c>
      <c r="C227" s="22" t="s">
        <v>209</v>
      </c>
      <c r="D227" s="51" t="s">
        <v>3700</v>
      </c>
      <c r="E227" s="24" t="s">
        <v>166</v>
      </c>
      <c r="F227" s="24"/>
      <c r="G227" s="24" t="s">
        <v>61</v>
      </c>
      <c r="H227" s="24" t="s">
        <v>62</v>
      </c>
      <c r="I227" s="24">
        <v>2007</v>
      </c>
      <c r="J227" s="24"/>
      <c r="K227" s="24" t="s">
        <v>63</v>
      </c>
      <c r="L227" s="24" t="s">
        <v>64</v>
      </c>
      <c r="M227" s="24">
        <v>2</v>
      </c>
      <c r="N227" s="41">
        <f t="shared" si="73"/>
        <v>475000</v>
      </c>
      <c r="O227" s="41">
        <v>950000</v>
      </c>
      <c r="P227" s="24"/>
      <c r="Q227" s="24"/>
      <c r="R227" s="24"/>
      <c r="S227" s="41">
        <f t="shared" si="63"/>
        <v>950000</v>
      </c>
      <c r="T227" s="24">
        <v>5</v>
      </c>
      <c r="U227" s="41"/>
      <c r="V227" s="24">
        <v>0.5</v>
      </c>
      <c r="W227" s="41">
        <f t="shared" si="76"/>
        <v>0</v>
      </c>
      <c r="X227" s="24"/>
      <c r="Y227" s="41">
        <f t="shared" si="65"/>
        <v>0</v>
      </c>
      <c r="Z227" s="41">
        <f t="shared" si="72"/>
        <v>0</v>
      </c>
      <c r="AA227" s="24">
        <v>5</v>
      </c>
      <c r="AB227" s="41">
        <v>950000</v>
      </c>
      <c r="AC227" s="41">
        <f t="shared" si="67"/>
        <v>0</v>
      </c>
      <c r="AD227" s="70" t="s">
        <v>324</v>
      </c>
      <c r="AE227" s="70"/>
      <c r="AF227" s="1">
        <v>950000</v>
      </c>
      <c r="AG227" s="168">
        <f t="shared" si="68"/>
        <v>0</v>
      </c>
      <c r="AH227" s="5"/>
      <c r="AI227" s="5"/>
    </row>
    <row r="228" spans="1:35" s="1" customFormat="1" x14ac:dyDescent="0.25">
      <c r="A228" s="21">
        <v>56</v>
      </c>
      <c r="B228" s="22" t="s">
        <v>1665</v>
      </c>
      <c r="C228" s="22" t="s">
        <v>79</v>
      </c>
      <c r="D228" s="51" t="s">
        <v>3700</v>
      </c>
      <c r="E228" s="24" t="s">
        <v>166</v>
      </c>
      <c r="F228" s="24"/>
      <c r="G228" s="24" t="s">
        <v>61</v>
      </c>
      <c r="H228" s="24" t="s">
        <v>62</v>
      </c>
      <c r="I228" s="24">
        <v>2007</v>
      </c>
      <c r="J228" s="24"/>
      <c r="K228" s="24" t="s">
        <v>63</v>
      </c>
      <c r="L228" s="24" t="s">
        <v>64</v>
      </c>
      <c r="M228" s="24">
        <v>1</v>
      </c>
      <c r="N228" s="41">
        <f t="shared" si="73"/>
        <v>475000</v>
      </c>
      <c r="O228" s="41">
        <v>475000</v>
      </c>
      <c r="P228" s="24"/>
      <c r="Q228" s="24"/>
      <c r="R228" s="24"/>
      <c r="S228" s="41">
        <f t="shared" si="63"/>
        <v>475000</v>
      </c>
      <c r="T228" s="24">
        <v>5</v>
      </c>
      <c r="U228" s="41"/>
      <c r="V228" s="24">
        <v>0.5</v>
      </c>
      <c r="W228" s="41">
        <f t="shared" si="76"/>
        <v>0</v>
      </c>
      <c r="X228" s="24"/>
      <c r="Y228" s="41">
        <f t="shared" si="65"/>
        <v>0</v>
      </c>
      <c r="Z228" s="41">
        <f t="shared" si="72"/>
        <v>0</v>
      </c>
      <c r="AA228" s="24">
        <v>5</v>
      </c>
      <c r="AB228" s="41">
        <v>475000</v>
      </c>
      <c r="AC228" s="41">
        <f t="shared" si="67"/>
        <v>0</v>
      </c>
      <c r="AD228" s="70" t="s">
        <v>320</v>
      </c>
      <c r="AE228" s="70"/>
      <c r="AF228" s="1">
        <v>475000</v>
      </c>
      <c r="AG228" s="168">
        <f t="shared" si="68"/>
        <v>0</v>
      </c>
      <c r="AH228" s="5"/>
      <c r="AI228" s="5"/>
    </row>
    <row r="229" spans="1:35" s="1" customFormat="1" x14ac:dyDescent="0.25">
      <c r="A229" s="21">
        <v>57</v>
      </c>
      <c r="B229" s="22" t="s">
        <v>1665</v>
      </c>
      <c r="C229" s="22" t="s">
        <v>336</v>
      </c>
      <c r="D229" s="51" t="s">
        <v>3700</v>
      </c>
      <c r="E229" s="24" t="s">
        <v>166</v>
      </c>
      <c r="F229" s="24"/>
      <c r="G229" s="24" t="s">
        <v>61</v>
      </c>
      <c r="H229" s="24" t="s">
        <v>62</v>
      </c>
      <c r="I229" s="24">
        <v>2007</v>
      </c>
      <c r="J229" s="24"/>
      <c r="K229" s="24" t="s">
        <v>63</v>
      </c>
      <c r="L229" s="24" t="s">
        <v>64</v>
      </c>
      <c r="M229" s="24">
        <v>2</v>
      </c>
      <c r="N229" s="41">
        <f t="shared" si="73"/>
        <v>475000</v>
      </c>
      <c r="O229" s="41">
        <v>950000</v>
      </c>
      <c r="P229" s="24"/>
      <c r="Q229" s="24"/>
      <c r="R229" s="24"/>
      <c r="S229" s="41">
        <f t="shared" si="63"/>
        <v>950000</v>
      </c>
      <c r="T229" s="24">
        <v>5</v>
      </c>
      <c r="U229" s="41"/>
      <c r="V229" s="24">
        <v>0.5</v>
      </c>
      <c r="W229" s="41">
        <f t="shared" si="76"/>
        <v>0</v>
      </c>
      <c r="X229" s="24"/>
      <c r="Y229" s="41">
        <f t="shared" si="65"/>
        <v>0</v>
      </c>
      <c r="Z229" s="41">
        <f t="shared" si="72"/>
        <v>0</v>
      </c>
      <c r="AA229" s="24">
        <v>5</v>
      </c>
      <c r="AB229" s="41">
        <v>950000</v>
      </c>
      <c r="AC229" s="41">
        <f t="shared" si="67"/>
        <v>0</v>
      </c>
      <c r="AD229" s="70" t="s">
        <v>326</v>
      </c>
      <c r="AE229" s="70"/>
      <c r="AF229" s="1">
        <v>950000</v>
      </c>
      <c r="AG229" s="168">
        <f t="shared" si="68"/>
        <v>0</v>
      </c>
      <c r="AH229" s="5"/>
      <c r="AI229" s="5"/>
    </row>
    <row r="230" spans="1:35" s="1" customFormat="1" x14ac:dyDescent="0.25">
      <c r="A230" s="21">
        <v>58</v>
      </c>
      <c r="B230" s="22" t="s">
        <v>196</v>
      </c>
      <c r="C230" s="22" t="s">
        <v>75</v>
      </c>
      <c r="D230" s="51" t="s">
        <v>197</v>
      </c>
      <c r="E230" s="24" t="s">
        <v>198</v>
      </c>
      <c r="F230" s="24"/>
      <c r="G230" s="24" t="s">
        <v>61</v>
      </c>
      <c r="H230" s="24" t="s">
        <v>62</v>
      </c>
      <c r="I230" s="24">
        <v>2015</v>
      </c>
      <c r="J230" s="24"/>
      <c r="K230" s="24" t="s">
        <v>63</v>
      </c>
      <c r="L230" s="24" t="s">
        <v>64</v>
      </c>
      <c r="M230" s="24">
        <v>2</v>
      </c>
      <c r="N230" s="41">
        <f t="shared" si="73"/>
        <v>500000</v>
      </c>
      <c r="O230" s="41">
        <v>1000000</v>
      </c>
      <c r="P230" s="24"/>
      <c r="Q230" s="24"/>
      <c r="R230" s="24"/>
      <c r="S230" s="41">
        <f t="shared" si="63"/>
        <v>1000000</v>
      </c>
      <c r="T230" s="24">
        <v>5</v>
      </c>
      <c r="U230" s="41">
        <f>SUM(S230/T230)</f>
        <v>200000</v>
      </c>
      <c r="V230" s="24">
        <v>0.5</v>
      </c>
      <c r="W230" s="41"/>
      <c r="X230" s="24"/>
      <c r="Y230" s="41">
        <f t="shared" si="65"/>
        <v>0</v>
      </c>
      <c r="Z230" s="41"/>
      <c r="AA230" s="24">
        <v>5</v>
      </c>
      <c r="AB230" s="41">
        <v>1000000</v>
      </c>
      <c r="AC230" s="41">
        <f t="shared" si="67"/>
        <v>0</v>
      </c>
      <c r="AD230" s="70" t="s">
        <v>199</v>
      </c>
      <c r="AE230" s="70"/>
      <c r="AF230" s="1">
        <v>1000000</v>
      </c>
      <c r="AG230" s="168">
        <f t="shared" si="68"/>
        <v>0</v>
      </c>
      <c r="AH230" s="5"/>
      <c r="AI230" s="5"/>
    </row>
    <row r="231" spans="1:35" s="1" customFormat="1" x14ac:dyDescent="0.25">
      <c r="A231" s="21">
        <v>59</v>
      </c>
      <c r="B231" s="22" t="s">
        <v>196</v>
      </c>
      <c r="C231" s="22" t="s">
        <v>868</v>
      </c>
      <c r="D231" s="51" t="s">
        <v>986</v>
      </c>
      <c r="E231" s="24" t="s">
        <v>987</v>
      </c>
      <c r="F231" s="24"/>
      <c r="G231" s="24" t="s">
        <v>61</v>
      </c>
      <c r="H231" s="24" t="s">
        <v>62</v>
      </c>
      <c r="I231" s="24">
        <v>2011</v>
      </c>
      <c r="J231" s="24"/>
      <c r="K231" s="24" t="s">
        <v>202</v>
      </c>
      <c r="L231" s="24" t="s">
        <v>64</v>
      </c>
      <c r="M231" s="24">
        <v>4</v>
      </c>
      <c r="N231" s="41">
        <f>SUM(O231/M231)</f>
        <v>250000</v>
      </c>
      <c r="O231" s="41">
        <v>1000000</v>
      </c>
      <c r="P231" s="24"/>
      <c r="Q231" s="24"/>
      <c r="R231" s="24"/>
      <c r="S231" s="41">
        <f t="shared" si="63"/>
        <v>1000000</v>
      </c>
      <c r="T231" s="24">
        <v>5</v>
      </c>
      <c r="U231" s="41"/>
      <c r="V231" s="24">
        <v>0.5</v>
      </c>
      <c r="W231" s="41">
        <f>SUM(U231*V231)</f>
        <v>0</v>
      </c>
      <c r="X231" s="24"/>
      <c r="Y231" s="41">
        <f>SUM(U231*X231)</f>
        <v>0</v>
      </c>
      <c r="Z231" s="41">
        <f>SUM(W231+Y231)</f>
        <v>0</v>
      </c>
      <c r="AA231" s="24">
        <v>5</v>
      </c>
      <c r="AB231" s="41">
        <v>1000000</v>
      </c>
      <c r="AC231" s="41">
        <f t="shared" si="67"/>
        <v>0</v>
      </c>
      <c r="AD231" s="70" t="s">
        <v>295</v>
      </c>
      <c r="AE231" s="70"/>
      <c r="AF231" s="1">
        <v>1000000</v>
      </c>
      <c r="AG231" s="168">
        <f t="shared" si="68"/>
        <v>0</v>
      </c>
      <c r="AH231" s="5"/>
      <c r="AI231" s="5"/>
    </row>
    <row r="232" spans="1:35" s="1" customFormat="1" x14ac:dyDescent="0.25">
      <c r="A232" s="21">
        <v>60</v>
      </c>
      <c r="B232" s="22" t="s">
        <v>196</v>
      </c>
      <c r="C232" s="22" t="s">
        <v>952</v>
      </c>
      <c r="D232" s="51" t="s">
        <v>986</v>
      </c>
      <c r="E232" s="24" t="s">
        <v>987</v>
      </c>
      <c r="F232" s="24"/>
      <c r="G232" s="24" t="s">
        <v>61</v>
      </c>
      <c r="H232" s="24" t="s">
        <v>62</v>
      </c>
      <c r="I232" s="24">
        <v>2011</v>
      </c>
      <c r="J232" s="24"/>
      <c r="K232" s="24" t="s">
        <v>202</v>
      </c>
      <c r="L232" s="24" t="s">
        <v>64</v>
      </c>
      <c r="M232" s="24">
        <v>4</v>
      </c>
      <c r="N232" s="41">
        <f>SUM(O232/M232)</f>
        <v>250000</v>
      </c>
      <c r="O232" s="41">
        <v>1000000</v>
      </c>
      <c r="P232" s="24"/>
      <c r="Q232" s="24"/>
      <c r="R232" s="24"/>
      <c r="S232" s="41">
        <f t="shared" si="63"/>
        <v>1000000</v>
      </c>
      <c r="T232" s="24">
        <v>5</v>
      </c>
      <c r="U232" s="41"/>
      <c r="V232" s="24">
        <v>0.5</v>
      </c>
      <c r="W232" s="41">
        <f>SUM(U232*V232)</f>
        <v>0</v>
      </c>
      <c r="X232" s="24"/>
      <c r="Y232" s="41">
        <f>SUM(U232*X232)</f>
        <v>0</v>
      </c>
      <c r="Z232" s="41">
        <f>SUM(W232+Y232)</f>
        <v>0</v>
      </c>
      <c r="AA232" s="24">
        <v>5</v>
      </c>
      <c r="AB232" s="41">
        <v>1000000</v>
      </c>
      <c r="AC232" s="41">
        <f t="shared" si="67"/>
        <v>0</v>
      </c>
      <c r="AD232" s="70" t="s">
        <v>297</v>
      </c>
      <c r="AE232" s="70"/>
      <c r="AF232" s="1">
        <v>1000000</v>
      </c>
      <c r="AG232" s="168">
        <f t="shared" si="68"/>
        <v>0</v>
      </c>
      <c r="AH232" s="5"/>
      <c r="AI232" s="5"/>
    </row>
    <row r="233" spans="1:35" s="1" customFormat="1" x14ac:dyDescent="0.25">
      <c r="A233" s="21">
        <v>61</v>
      </c>
      <c r="B233" s="22" t="s">
        <v>196</v>
      </c>
      <c r="C233" s="22" t="s">
        <v>298</v>
      </c>
      <c r="D233" s="51" t="s">
        <v>986</v>
      </c>
      <c r="E233" s="24" t="s">
        <v>987</v>
      </c>
      <c r="F233" s="24"/>
      <c r="G233" s="24" t="s">
        <v>61</v>
      </c>
      <c r="H233" s="24" t="s">
        <v>62</v>
      </c>
      <c r="I233" s="24">
        <v>2011</v>
      </c>
      <c r="J233" s="24"/>
      <c r="K233" s="24" t="s">
        <v>202</v>
      </c>
      <c r="L233" s="24" t="s">
        <v>64</v>
      </c>
      <c r="M233" s="24">
        <v>2</v>
      </c>
      <c r="N233" s="41">
        <f>SUM(O233/M233)</f>
        <v>250000</v>
      </c>
      <c r="O233" s="41">
        <v>500000</v>
      </c>
      <c r="P233" s="24"/>
      <c r="Q233" s="24"/>
      <c r="R233" s="24"/>
      <c r="S233" s="41">
        <f t="shared" si="63"/>
        <v>500000</v>
      </c>
      <c r="T233" s="24">
        <v>5</v>
      </c>
      <c r="U233" s="41"/>
      <c r="V233" s="24">
        <v>0.5</v>
      </c>
      <c r="W233" s="41">
        <f>SUM(U233*V233)</f>
        <v>0</v>
      </c>
      <c r="X233" s="24"/>
      <c r="Y233" s="41">
        <f>SUM(U233*X233)</f>
        <v>0</v>
      </c>
      <c r="Z233" s="41">
        <f>SUM(W233+Y233)</f>
        <v>0</v>
      </c>
      <c r="AA233" s="24">
        <v>5</v>
      </c>
      <c r="AB233" s="41">
        <v>500000</v>
      </c>
      <c r="AC233" s="41">
        <f t="shared" si="67"/>
        <v>0</v>
      </c>
      <c r="AD233" s="70" t="s">
        <v>287</v>
      </c>
      <c r="AE233" s="70"/>
      <c r="AF233" s="1">
        <v>500000</v>
      </c>
      <c r="AG233" s="168">
        <f t="shared" si="68"/>
        <v>0</v>
      </c>
      <c r="AH233" s="5"/>
      <c r="AI233" s="5"/>
    </row>
    <row r="234" spans="1:35" s="1" customFormat="1" x14ac:dyDescent="0.25">
      <c r="A234" s="21">
        <v>62</v>
      </c>
      <c r="B234" s="22" t="s">
        <v>196</v>
      </c>
      <c r="C234" s="22" t="s">
        <v>988</v>
      </c>
      <c r="D234" s="51" t="s">
        <v>986</v>
      </c>
      <c r="E234" s="24" t="s">
        <v>987</v>
      </c>
      <c r="F234" s="24"/>
      <c r="G234" s="24" t="s">
        <v>61</v>
      </c>
      <c r="H234" s="24" t="s">
        <v>62</v>
      </c>
      <c r="I234" s="24">
        <v>2011</v>
      </c>
      <c r="J234" s="24"/>
      <c r="K234" s="24" t="s">
        <v>202</v>
      </c>
      <c r="L234" s="24" t="s">
        <v>64</v>
      </c>
      <c r="M234" s="24">
        <v>2</v>
      </c>
      <c r="N234" s="41">
        <f>SUM(O234/M234)</f>
        <v>250000</v>
      </c>
      <c r="O234" s="41">
        <v>500000</v>
      </c>
      <c r="P234" s="24"/>
      <c r="Q234" s="24"/>
      <c r="R234" s="24"/>
      <c r="S234" s="41">
        <f t="shared" si="63"/>
        <v>500000</v>
      </c>
      <c r="T234" s="24">
        <v>5</v>
      </c>
      <c r="U234" s="41"/>
      <c r="V234" s="24">
        <v>0.5</v>
      </c>
      <c r="W234" s="41">
        <f>SUM(U234*V234)</f>
        <v>0</v>
      </c>
      <c r="X234" s="24"/>
      <c r="Y234" s="41">
        <f>SUM(U234*X234)</f>
        <v>0</v>
      </c>
      <c r="Z234" s="41">
        <f>SUM(W234+Y234)</f>
        <v>0</v>
      </c>
      <c r="AA234" s="24">
        <v>5</v>
      </c>
      <c r="AB234" s="41">
        <v>500000</v>
      </c>
      <c r="AC234" s="41">
        <f t="shared" si="67"/>
        <v>0</v>
      </c>
      <c r="AD234" s="70" t="s">
        <v>303</v>
      </c>
      <c r="AE234" s="70"/>
      <c r="AF234" s="1">
        <v>500000</v>
      </c>
      <c r="AG234" s="168">
        <f t="shared" si="68"/>
        <v>0</v>
      </c>
      <c r="AH234" s="5"/>
      <c r="AI234" s="5"/>
    </row>
    <row r="235" spans="1:35" s="1" customFormat="1" x14ac:dyDescent="0.25">
      <c r="A235" s="21">
        <v>63</v>
      </c>
      <c r="B235" s="22" t="s">
        <v>196</v>
      </c>
      <c r="C235" s="22" t="s">
        <v>140</v>
      </c>
      <c r="D235" s="51" t="s">
        <v>989</v>
      </c>
      <c r="E235" s="24" t="s">
        <v>987</v>
      </c>
      <c r="F235" s="24"/>
      <c r="G235" s="24" t="s">
        <v>61</v>
      </c>
      <c r="H235" s="24" t="s">
        <v>62</v>
      </c>
      <c r="I235" s="24">
        <v>2012</v>
      </c>
      <c r="J235" s="24"/>
      <c r="K235" s="24" t="s">
        <v>63</v>
      </c>
      <c r="L235" s="24" t="s">
        <v>64</v>
      </c>
      <c r="M235" s="24">
        <v>1</v>
      </c>
      <c r="N235" s="41">
        <f>SUM(O235/M235)</f>
        <v>390000</v>
      </c>
      <c r="O235" s="41">
        <v>390000</v>
      </c>
      <c r="P235" s="24"/>
      <c r="Q235" s="24"/>
      <c r="R235" s="24"/>
      <c r="S235" s="41">
        <f t="shared" si="63"/>
        <v>390000</v>
      </c>
      <c r="T235" s="24">
        <v>5</v>
      </c>
      <c r="U235" s="41"/>
      <c r="V235" s="24">
        <v>0.5</v>
      </c>
      <c r="W235" s="41">
        <f>SUM(U235*V235)</f>
        <v>0</v>
      </c>
      <c r="X235" s="24"/>
      <c r="Y235" s="41">
        <f>SUM(U235*X235)</f>
        <v>0</v>
      </c>
      <c r="Z235" s="41">
        <f>SUM(W235+Y235)</f>
        <v>0</v>
      </c>
      <c r="AA235" s="24">
        <v>5</v>
      </c>
      <c r="AB235" s="41">
        <v>390000</v>
      </c>
      <c r="AC235" s="41">
        <f t="shared" si="67"/>
        <v>0</v>
      </c>
      <c r="AD235" s="70" t="s">
        <v>985</v>
      </c>
      <c r="AE235" s="70"/>
      <c r="AF235" s="1">
        <v>390000</v>
      </c>
      <c r="AG235" s="168">
        <f t="shared" si="68"/>
        <v>0</v>
      </c>
      <c r="AH235" s="5"/>
      <c r="AI235" s="5"/>
    </row>
    <row r="236" spans="1:35" s="1" customFormat="1" x14ac:dyDescent="0.25">
      <c r="A236" s="21"/>
      <c r="B236" s="22"/>
      <c r="C236" s="22"/>
      <c r="D236" s="23"/>
      <c r="E236" s="24"/>
      <c r="F236" s="24"/>
      <c r="G236" s="24"/>
      <c r="H236" s="24"/>
      <c r="I236" s="24"/>
      <c r="J236" s="24"/>
      <c r="K236" s="24"/>
      <c r="L236" s="24"/>
      <c r="M236" s="24"/>
      <c r="N236" s="41"/>
      <c r="O236" s="41"/>
      <c r="P236" s="24"/>
      <c r="Q236" s="24"/>
      <c r="R236" s="24"/>
      <c r="S236" s="41"/>
      <c r="T236" s="24"/>
      <c r="U236" s="41"/>
      <c r="V236" s="24"/>
      <c r="W236" s="41"/>
      <c r="X236" s="24"/>
      <c r="Y236" s="41"/>
      <c r="Z236" s="41"/>
      <c r="AA236" s="24"/>
      <c r="AB236" s="41"/>
      <c r="AC236" s="41"/>
      <c r="AD236" s="70"/>
      <c r="AE236" s="70"/>
      <c r="AF236" s="1">
        <v>5226007219.097949</v>
      </c>
      <c r="AG236" s="75">
        <f>SUM(AF236+Y237-AB237)</f>
        <v>3.333282470703125E-2</v>
      </c>
      <c r="AI236" s="5"/>
    </row>
    <row r="237" spans="1:35" s="1" customFormat="1" x14ac:dyDescent="0.25">
      <c r="A237" s="138"/>
      <c r="B237" s="139" t="s">
        <v>468</v>
      </c>
      <c r="C237" s="139"/>
      <c r="D237" s="140" t="s">
        <v>469</v>
      </c>
      <c r="E237" s="141"/>
      <c r="F237" s="141"/>
      <c r="G237" s="141"/>
      <c r="H237" s="141"/>
      <c r="I237" s="141"/>
      <c r="J237" s="141"/>
      <c r="K237" s="141"/>
      <c r="L237" s="141"/>
      <c r="M237" s="164">
        <f>SUM(M238+M393+M510+M525+M704)</f>
        <v>3793</v>
      </c>
      <c r="N237" s="164"/>
      <c r="O237" s="142">
        <f>SUM(O238+O393+O510+O525+O704)</f>
        <v>5646292433.014616</v>
      </c>
      <c r="P237" s="164">
        <f>SUM(P395:P702)</f>
        <v>0</v>
      </c>
      <c r="Q237" s="164">
        <f>SUM(Q395:Q702)</f>
        <v>0</v>
      </c>
      <c r="R237" s="164">
        <f>SUM(R395:R702)</f>
        <v>0</v>
      </c>
      <c r="S237" s="142">
        <f>SUM(S238+S393+S510+S525+S704)</f>
        <v>5646292433.014616</v>
      </c>
      <c r="T237" s="164"/>
      <c r="U237" s="142">
        <f>SUM(U238+U393+U510+U525+U704)</f>
        <v>404465396.60000002</v>
      </c>
      <c r="V237" s="164"/>
      <c r="W237" s="142">
        <f>SUM(W238+W393+W510+W525+W704)</f>
        <v>105392027.49666664</v>
      </c>
      <c r="X237" s="164"/>
      <c r="Y237" s="142">
        <f>SUM(Y238+Y393+Y510+Y525+Y704)</f>
        <v>88716334.200000003</v>
      </c>
      <c r="Z237" s="142">
        <f>SUM(Z238+Z393+Z510+Z525+Z704)</f>
        <v>194108361.69666669</v>
      </c>
      <c r="AA237" s="164"/>
      <c r="AB237" s="142">
        <f>SUM(AB238+AB393+AB510+AB525+AB704)</f>
        <v>5314723553.264616</v>
      </c>
      <c r="AC237" s="142">
        <f>SUM(AC238+AC393+AC510+AC525+AC704)</f>
        <v>331568879.75</v>
      </c>
      <c r="AD237" s="141"/>
      <c r="AE237" s="173"/>
      <c r="AF237" s="5">
        <v>5120615191.59795</v>
      </c>
      <c r="AG237" s="5">
        <f>AF237+Z237-AB237</f>
        <v>3.0000686645507813E-2</v>
      </c>
    </row>
    <row r="238" spans="1:35" s="1" customFormat="1" x14ac:dyDescent="0.25">
      <c r="A238" s="25"/>
      <c r="B238" s="26" t="s">
        <v>1666</v>
      </c>
      <c r="C238" s="174"/>
      <c r="D238" s="27" t="s">
        <v>1667</v>
      </c>
      <c r="E238" s="28"/>
      <c r="F238" s="28"/>
      <c r="G238" s="28"/>
      <c r="H238" s="28"/>
      <c r="I238" s="28"/>
      <c r="J238" s="28"/>
      <c r="K238" s="28"/>
      <c r="L238" s="28"/>
      <c r="M238" s="67">
        <f>SUM(M239:M391)</f>
        <v>1768</v>
      </c>
      <c r="N238" s="40"/>
      <c r="O238" s="40">
        <f>SUM(O239:O391)</f>
        <v>2096881400</v>
      </c>
      <c r="P238" s="28"/>
      <c r="Q238" s="28"/>
      <c r="R238" s="28"/>
      <c r="S238" s="40">
        <f>SUM(S239:S391)</f>
        <v>2096881400</v>
      </c>
      <c r="T238" s="28"/>
      <c r="U238" s="40">
        <f>SUM(U239:U391)</f>
        <v>147569700</v>
      </c>
      <c r="V238" s="28"/>
      <c r="W238" s="40">
        <f>SUM(W239:W391)</f>
        <v>30494783.333333328</v>
      </c>
      <c r="X238" s="28"/>
      <c r="Y238" s="40">
        <f>SUM(Y239:Y391)</f>
        <v>26747450</v>
      </c>
      <c r="Z238" s="40">
        <f>SUM(Z239:Z391)</f>
        <v>57242233.333333343</v>
      </c>
      <c r="AA238" s="153"/>
      <c r="AB238" s="40">
        <f>SUM(AB239:AB391)</f>
        <v>2005659891.6666667</v>
      </c>
      <c r="AC238" s="40">
        <f>SUM(AC239:AC391)</f>
        <v>91221508.333333313</v>
      </c>
      <c r="AD238" s="167"/>
      <c r="AE238" s="167"/>
      <c r="AF238" s="5">
        <f>AF237-AB237</f>
        <v>-194108361.66666603</v>
      </c>
      <c r="AG238" s="5"/>
    </row>
    <row r="239" spans="1:35" s="1" customFormat="1" x14ac:dyDescent="0.25">
      <c r="A239" s="49"/>
      <c r="B239" s="22" t="s">
        <v>1668</v>
      </c>
      <c r="C239" s="22" t="s">
        <v>58</v>
      </c>
      <c r="D239" s="51" t="s">
        <v>801</v>
      </c>
      <c r="E239" s="24" t="s">
        <v>166</v>
      </c>
      <c r="F239" s="24"/>
      <c r="G239" s="24" t="s">
        <v>319</v>
      </c>
      <c r="H239" s="24" t="s">
        <v>62</v>
      </c>
      <c r="I239" s="24">
        <v>2004</v>
      </c>
      <c r="J239" s="24"/>
      <c r="K239" s="24" t="s">
        <v>63</v>
      </c>
      <c r="L239" s="24" t="s">
        <v>64</v>
      </c>
      <c r="M239" s="24">
        <v>1</v>
      </c>
      <c r="N239" s="41">
        <f t="shared" ref="N239:N252" si="79">SUM(O239/M239)</f>
        <v>800000</v>
      </c>
      <c r="O239" s="41">
        <v>800000</v>
      </c>
      <c r="P239" s="24"/>
      <c r="Q239" s="24"/>
      <c r="R239" s="24"/>
      <c r="S239" s="41">
        <f t="shared" ref="S239:S270" si="80">SUM(O239-R239)</f>
        <v>800000</v>
      </c>
      <c r="T239" s="24">
        <v>5</v>
      </c>
      <c r="U239" s="41"/>
      <c r="V239" s="24">
        <v>0.5</v>
      </c>
      <c r="W239" s="41">
        <f t="shared" ref="W239:W251" si="81">SUM(U239*V239)</f>
        <v>0</v>
      </c>
      <c r="X239" s="24"/>
      <c r="Y239" s="41">
        <f t="shared" ref="Y239:Y251" si="82">SUM(U239*X239)</f>
        <v>0</v>
      </c>
      <c r="Z239" s="41">
        <f t="shared" ref="Z239:Z251" si="83">SUM(W239+Y239)</f>
        <v>0</v>
      </c>
      <c r="AA239" s="24">
        <v>5</v>
      </c>
      <c r="AB239" s="41">
        <v>800000</v>
      </c>
      <c r="AC239" s="41">
        <f t="shared" ref="AC239:AC270" si="84">SUM(O239-AB239)</f>
        <v>0</v>
      </c>
      <c r="AD239" s="70" t="s">
        <v>295</v>
      </c>
      <c r="AE239" s="70"/>
      <c r="AF239" s="1">
        <v>800000</v>
      </c>
      <c r="AG239" s="5">
        <f>AF239-AB239</f>
        <v>0</v>
      </c>
    </row>
    <row r="240" spans="1:35" s="1" customFormat="1" x14ac:dyDescent="0.25">
      <c r="A240" s="49"/>
      <c r="B240" s="22" t="s">
        <v>1668</v>
      </c>
      <c r="C240" s="22" t="s">
        <v>802</v>
      </c>
      <c r="D240" s="51" t="s">
        <v>801</v>
      </c>
      <c r="E240" s="24" t="s">
        <v>166</v>
      </c>
      <c r="F240" s="24"/>
      <c r="G240" s="24" t="s">
        <v>319</v>
      </c>
      <c r="H240" s="24" t="s">
        <v>62</v>
      </c>
      <c r="I240" s="24">
        <v>2004</v>
      </c>
      <c r="J240" s="24"/>
      <c r="K240" s="24" t="s">
        <v>63</v>
      </c>
      <c r="L240" s="24" t="s">
        <v>64</v>
      </c>
      <c r="M240" s="24">
        <v>2</v>
      </c>
      <c r="N240" s="41">
        <f t="shared" si="79"/>
        <v>250000</v>
      </c>
      <c r="O240" s="41">
        <v>500000</v>
      </c>
      <c r="P240" s="24"/>
      <c r="Q240" s="24"/>
      <c r="R240" s="24"/>
      <c r="S240" s="41">
        <f t="shared" si="80"/>
        <v>500000</v>
      </c>
      <c r="T240" s="24">
        <v>5</v>
      </c>
      <c r="U240" s="41"/>
      <c r="V240" s="24">
        <v>0.5</v>
      </c>
      <c r="W240" s="41">
        <f t="shared" si="81"/>
        <v>0</v>
      </c>
      <c r="X240" s="24"/>
      <c r="Y240" s="41">
        <f t="shared" si="82"/>
        <v>0</v>
      </c>
      <c r="Z240" s="41">
        <f t="shared" si="83"/>
        <v>0</v>
      </c>
      <c r="AA240" s="24">
        <v>5</v>
      </c>
      <c r="AB240" s="41">
        <v>500000</v>
      </c>
      <c r="AC240" s="41">
        <f t="shared" si="84"/>
        <v>0</v>
      </c>
      <c r="AD240" s="70" t="s">
        <v>616</v>
      </c>
      <c r="AE240" s="70"/>
      <c r="AF240" s="1">
        <v>500000</v>
      </c>
      <c r="AG240" s="5">
        <f t="shared" ref="AG240:AG251" si="85">AF240-AB240</f>
        <v>0</v>
      </c>
    </row>
    <row r="241" spans="1:33" s="1" customFormat="1" x14ac:dyDescent="0.25">
      <c r="A241" s="49"/>
      <c r="B241" s="22" t="s">
        <v>1668</v>
      </c>
      <c r="C241" s="22" t="s">
        <v>803</v>
      </c>
      <c r="D241" s="51" t="s">
        <v>801</v>
      </c>
      <c r="E241" s="24" t="s">
        <v>166</v>
      </c>
      <c r="F241" s="24"/>
      <c r="G241" s="24" t="s">
        <v>319</v>
      </c>
      <c r="H241" s="24" t="s">
        <v>62</v>
      </c>
      <c r="I241" s="24">
        <v>2004</v>
      </c>
      <c r="J241" s="24"/>
      <c r="K241" s="24" t="s">
        <v>63</v>
      </c>
      <c r="L241" s="24" t="s">
        <v>64</v>
      </c>
      <c r="M241" s="24">
        <v>6</v>
      </c>
      <c r="N241" s="41">
        <f t="shared" si="79"/>
        <v>250000</v>
      </c>
      <c r="O241" s="41">
        <v>1500000</v>
      </c>
      <c r="P241" s="24"/>
      <c r="Q241" s="24"/>
      <c r="R241" s="24"/>
      <c r="S241" s="41">
        <f t="shared" si="80"/>
        <v>1500000</v>
      </c>
      <c r="T241" s="24">
        <v>5</v>
      </c>
      <c r="U241" s="41"/>
      <c r="V241" s="24">
        <v>0.5</v>
      </c>
      <c r="W241" s="41">
        <f t="shared" si="81"/>
        <v>0</v>
      </c>
      <c r="X241" s="24"/>
      <c r="Y241" s="41">
        <f t="shared" si="82"/>
        <v>0</v>
      </c>
      <c r="Z241" s="41">
        <f t="shared" si="83"/>
        <v>0</v>
      </c>
      <c r="AA241" s="24">
        <v>5</v>
      </c>
      <c r="AB241" s="41">
        <v>1500000</v>
      </c>
      <c r="AC241" s="41">
        <f t="shared" si="84"/>
        <v>0</v>
      </c>
      <c r="AD241" s="70" t="s">
        <v>804</v>
      </c>
      <c r="AE241" s="70"/>
      <c r="AF241" s="1">
        <v>1500000</v>
      </c>
      <c r="AG241" s="5">
        <f t="shared" si="85"/>
        <v>0</v>
      </c>
    </row>
    <row r="242" spans="1:33" s="1" customFormat="1" x14ac:dyDescent="0.25">
      <c r="A242" s="49"/>
      <c r="B242" s="22" t="s">
        <v>1668</v>
      </c>
      <c r="C242" s="22" t="s">
        <v>805</v>
      </c>
      <c r="D242" s="51" t="s">
        <v>801</v>
      </c>
      <c r="E242" s="24" t="s">
        <v>166</v>
      </c>
      <c r="F242" s="24"/>
      <c r="G242" s="24" t="s">
        <v>319</v>
      </c>
      <c r="H242" s="24" t="s">
        <v>62</v>
      </c>
      <c r="I242" s="24">
        <v>2004</v>
      </c>
      <c r="J242" s="24"/>
      <c r="K242" s="24" t="s">
        <v>63</v>
      </c>
      <c r="L242" s="24" t="s">
        <v>64</v>
      </c>
      <c r="M242" s="24">
        <v>9</v>
      </c>
      <c r="N242" s="41">
        <f t="shared" si="79"/>
        <v>250000</v>
      </c>
      <c r="O242" s="41">
        <v>2250000</v>
      </c>
      <c r="P242" s="24"/>
      <c r="Q242" s="24"/>
      <c r="R242" s="24"/>
      <c r="S242" s="41">
        <f t="shared" si="80"/>
        <v>2250000</v>
      </c>
      <c r="T242" s="24">
        <v>5</v>
      </c>
      <c r="U242" s="41"/>
      <c r="V242" s="24">
        <v>0.5</v>
      </c>
      <c r="W242" s="41">
        <f t="shared" si="81"/>
        <v>0</v>
      </c>
      <c r="X242" s="24"/>
      <c r="Y242" s="41">
        <f t="shared" si="82"/>
        <v>0</v>
      </c>
      <c r="Z242" s="41">
        <f t="shared" si="83"/>
        <v>0</v>
      </c>
      <c r="AA242" s="24">
        <v>5</v>
      </c>
      <c r="AB242" s="41">
        <v>2250000</v>
      </c>
      <c r="AC242" s="41">
        <f t="shared" si="84"/>
        <v>0</v>
      </c>
      <c r="AD242" s="70" t="s">
        <v>387</v>
      </c>
      <c r="AE242" s="70"/>
      <c r="AF242" s="1">
        <v>2250000</v>
      </c>
      <c r="AG242" s="5">
        <f t="shared" si="85"/>
        <v>0</v>
      </c>
    </row>
    <row r="243" spans="1:33" s="1" customFormat="1" x14ac:dyDescent="0.25">
      <c r="A243" s="49"/>
      <c r="B243" s="22" t="s">
        <v>1668</v>
      </c>
      <c r="C243" s="22" t="s">
        <v>806</v>
      </c>
      <c r="D243" s="51" t="s">
        <v>801</v>
      </c>
      <c r="E243" s="24" t="s">
        <v>166</v>
      </c>
      <c r="F243" s="24"/>
      <c r="G243" s="24" t="s">
        <v>319</v>
      </c>
      <c r="H243" s="24" t="s">
        <v>62</v>
      </c>
      <c r="I243" s="24">
        <v>2004</v>
      </c>
      <c r="J243" s="24"/>
      <c r="K243" s="24" t="s">
        <v>63</v>
      </c>
      <c r="L243" s="24" t="s">
        <v>64</v>
      </c>
      <c r="M243" s="24">
        <v>6</v>
      </c>
      <c r="N243" s="41">
        <f t="shared" si="79"/>
        <v>250000</v>
      </c>
      <c r="O243" s="41">
        <v>1500000</v>
      </c>
      <c r="P243" s="24"/>
      <c r="Q243" s="24"/>
      <c r="R243" s="24"/>
      <c r="S243" s="41">
        <f t="shared" si="80"/>
        <v>1500000</v>
      </c>
      <c r="T243" s="24">
        <v>5</v>
      </c>
      <c r="U243" s="41"/>
      <c r="V243" s="24">
        <v>0.5</v>
      </c>
      <c r="W243" s="41">
        <f t="shared" si="81"/>
        <v>0</v>
      </c>
      <c r="X243" s="24"/>
      <c r="Y243" s="41">
        <f t="shared" si="82"/>
        <v>0</v>
      </c>
      <c r="Z243" s="41">
        <f t="shared" si="83"/>
        <v>0</v>
      </c>
      <c r="AA243" s="24">
        <v>5</v>
      </c>
      <c r="AB243" s="41">
        <v>1500000</v>
      </c>
      <c r="AC243" s="41">
        <f t="shared" si="84"/>
        <v>0</v>
      </c>
      <c r="AD243" s="70" t="s">
        <v>388</v>
      </c>
      <c r="AE243" s="70"/>
      <c r="AF243" s="1">
        <v>1500000</v>
      </c>
      <c r="AG243" s="5">
        <f t="shared" si="85"/>
        <v>0</v>
      </c>
    </row>
    <row r="244" spans="1:33" s="1" customFormat="1" x14ac:dyDescent="0.25">
      <c r="A244" s="49"/>
      <c r="B244" s="22" t="s">
        <v>1668</v>
      </c>
      <c r="C244" s="22" t="s">
        <v>807</v>
      </c>
      <c r="D244" s="51" t="s">
        <v>801</v>
      </c>
      <c r="E244" s="24" t="s">
        <v>166</v>
      </c>
      <c r="F244" s="24"/>
      <c r="G244" s="24" t="s">
        <v>319</v>
      </c>
      <c r="H244" s="24" t="s">
        <v>62</v>
      </c>
      <c r="I244" s="24">
        <v>2004</v>
      </c>
      <c r="J244" s="24"/>
      <c r="K244" s="24" t="s">
        <v>63</v>
      </c>
      <c r="L244" s="24" t="s">
        <v>64</v>
      </c>
      <c r="M244" s="24">
        <v>6</v>
      </c>
      <c r="N244" s="41">
        <f t="shared" si="79"/>
        <v>250000</v>
      </c>
      <c r="O244" s="41">
        <v>1500000</v>
      </c>
      <c r="P244" s="24"/>
      <c r="Q244" s="24"/>
      <c r="R244" s="24"/>
      <c r="S244" s="41">
        <f t="shared" si="80"/>
        <v>1500000</v>
      </c>
      <c r="T244" s="24">
        <v>5</v>
      </c>
      <c r="U244" s="41"/>
      <c r="V244" s="24">
        <v>0.5</v>
      </c>
      <c r="W244" s="41">
        <f t="shared" si="81"/>
        <v>0</v>
      </c>
      <c r="X244" s="24"/>
      <c r="Y244" s="41">
        <f t="shared" si="82"/>
        <v>0</v>
      </c>
      <c r="Z244" s="41">
        <f t="shared" si="83"/>
        <v>0</v>
      </c>
      <c r="AA244" s="24">
        <v>5</v>
      </c>
      <c r="AB244" s="41">
        <v>1500000</v>
      </c>
      <c r="AC244" s="41">
        <f t="shared" si="84"/>
        <v>0</v>
      </c>
      <c r="AD244" s="70" t="s">
        <v>259</v>
      </c>
      <c r="AE244" s="70"/>
      <c r="AF244" s="1">
        <v>1500000</v>
      </c>
      <c r="AG244" s="5">
        <f t="shared" si="85"/>
        <v>0</v>
      </c>
    </row>
    <row r="245" spans="1:33" s="1" customFormat="1" x14ac:dyDescent="0.25">
      <c r="A245" s="49"/>
      <c r="B245" s="22" t="s">
        <v>1668</v>
      </c>
      <c r="C245" s="22" t="s">
        <v>808</v>
      </c>
      <c r="D245" s="51" t="s">
        <v>801</v>
      </c>
      <c r="E245" s="24" t="s">
        <v>166</v>
      </c>
      <c r="F245" s="24"/>
      <c r="G245" s="24" t="s">
        <v>319</v>
      </c>
      <c r="H245" s="24" t="s">
        <v>62</v>
      </c>
      <c r="I245" s="24">
        <v>2004</v>
      </c>
      <c r="J245" s="24"/>
      <c r="K245" s="24" t="s">
        <v>63</v>
      </c>
      <c r="L245" s="24" t="s">
        <v>64</v>
      </c>
      <c r="M245" s="24">
        <v>27</v>
      </c>
      <c r="N245" s="41">
        <f t="shared" si="79"/>
        <v>250000</v>
      </c>
      <c r="O245" s="41">
        <v>6750000</v>
      </c>
      <c r="P245" s="24"/>
      <c r="Q245" s="24"/>
      <c r="R245" s="24"/>
      <c r="S245" s="41">
        <f t="shared" si="80"/>
        <v>6750000</v>
      </c>
      <c r="T245" s="24">
        <v>5</v>
      </c>
      <c r="U245" s="41"/>
      <c r="V245" s="24">
        <v>0.5</v>
      </c>
      <c r="W245" s="41">
        <f t="shared" si="81"/>
        <v>0</v>
      </c>
      <c r="X245" s="24"/>
      <c r="Y245" s="41">
        <f t="shared" si="82"/>
        <v>0</v>
      </c>
      <c r="Z245" s="41">
        <f t="shared" si="83"/>
        <v>0</v>
      </c>
      <c r="AA245" s="24">
        <v>5</v>
      </c>
      <c r="AB245" s="41">
        <v>6750000</v>
      </c>
      <c r="AC245" s="41">
        <f t="shared" si="84"/>
        <v>0</v>
      </c>
      <c r="AD245" s="70" t="s">
        <v>481</v>
      </c>
      <c r="AE245" s="70"/>
      <c r="AF245" s="1">
        <v>6750000</v>
      </c>
      <c r="AG245" s="5">
        <f t="shared" si="85"/>
        <v>0</v>
      </c>
    </row>
    <row r="246" spans="1:33" s="1" customFormat="1" x14ac:dyDescent="0.25">
      <c r="A246" s="49"/>
      <c r="B246" s="22" t="s">
        <v>1668</v>
      </c>
      <c r="C246" s="22" t="s">
        <v>809</v>
      </c>
      <c r="D246" s="51" t="s">
        <v>801</v>
      </c>
      <c r="E246" s="24" t="s">
        <v>166</v>
      </c>
      <c r="F246" s="24"/>
      <c r="G246" s="24" t="s">
        <v>319</v>
      </c>
      <c r="H246" s="24" t="s">
        <v>62</v>
      </c>
      <c r="I246" s="24">
        <v>2004</v>
      </c>
      <c r="J246" s="24"/>
      <c r="K246" s="24" t="s">
        <v>63</v>
      </c>
      <c r="L246" s="24" t="s">
        <v>64</v>
      </c>
      <c r="M246" s="24">
        <v>6</v>
      </c>
      <c r="N246" s="41">
        <f t="shared" si="79"/>
        <v>250000</v>
      </c>
      <c r="O246" s="41">
        <v>1500000</v>
      </c>
      <c r="P246" s="24"/>
      <c r="Q246" s="24"/>
      <c r="R246" s="24"/>
      <c r="S246" s="41">
        <f t="shared" si="80"/>
        <v>1500000</v>
      </c>
      <c r="T246" s="24">
        <v>5</v>
      </c>
      <c r="U246" s="41"/>
      <c r="V246" s="24">
        <v>0.5</v>
      </c>
      <c r="W246" s="41">
        <f t="shared" si="81"/>
        <v>0</v>
      </c>
      <c r="X246" s="24"/>
      <c r="Y246" s="41">
        <f t="shared" si="82"/>
        <v>0</v>
      </c>
      <c r="Z246" s="41">
        <f t="shared" si="83"/>
        <v>0</v>
      </c>
      <c r="AA246" s="24">
        <v>5</v>
      </c>
      <c r="AB246" s="41">
        <v>1500000</v>
      </c>
      <c r="AC246" s="41">
        <f t="shared" si="84"/>
        <v>0</v>
      </c>
      <c r="AD246" s="70" t="s">
        <v>208</v>
      </c>
      <c r="AE246" s="70"/>
      <c r="AF246" s="1">
        <v>1500000</v>
      </c>
      <c r="AG246" s="5">
        <f t="shared" si="85"/>
        <v>0</v>
      </c>
    </row>
    <row r="247" spans="1:33" s="1" customFormat="1" x14ac:dyDescent="0.25">
      <c r="A247" s="49"/>
      <c r="B247" s="22" t="s">
        <v>1668</v>
      </c>
      <c r="C247" s="22" t="s">
        <v>810</v>
      </c>
      <c r="D247" s="51" t="s">
        <v>801</v>
      </c>
      <c r="E247" s="24" t="s">
        <v>811</v>
      </c>
      <c r="F247" s="24"/>
      <c r="G247" s="24" t="s">
        <v>319</v>
      </c>
      <c r="H247" s="24" t="s">
        <v>62</v>
      </c>
      <c r="I247" s="24">
        <v>2005</v>
      </c>
      <c r="J247" s="24"/>
      <c r="K247" s="24" t="s">
        <v>63</v>
      </c>
      <c r="L247" s="24" t="s">
        <v>64</v>
      </c>
      <c r="M247" s="24">
        <v>2</v>
      </c>
      <c r="N247" s="41">
        <f t="shared" si="79"/>
        <v>1200000</v>
      </c>
      <c r="O247" s="41">
        <v>2400000</v>
      </c>
      <c r="P247" s="24"/>
      <c r="Q247" s="24"/>
      <c r="R247" s="24"/>
      <c r="S247" s="41">
        <f t="shared" si="80"/>
        <v>2400000</v>
      </c>
      <c r="T247" s="24">
        <v>5</v>
      </c>
      <c r="U247" s="41"/>
      <c r="V247" s="24">
        <v>0.5</v>
      </c>
      <c r="W247" s="41">
        <f t="shared" si="81"/>
        <v>0</v>
      </c>
      <c r="X247" s="24"/>
      <c r="Y247" s="41">
        <f t="shared" si="82"/>
        <v>0</v>
      </c>
      <c r="Z247" s="41">
        <f t="shared" si="83"/>
        <v>0</v>
      </c>
      <c r="AA247" s="24">
        <v>5</v>
      </c>
      <c r="AB247" s="41">
        <v>2400000</v>
      </c>
      <c r="AC247" s="41">
        <f t="shared" si="84"/>
        <v>0</v>
      </c>
      <c r="AD247" s="70" t="s">
        <v>213</v>
      </c>
      <c r="AE247" s="70"/>
      <c r="AF247" s="1">
        <v>2400000</v>
      </c>
      <c r="AG247" s="5">
        <f t="shared" si="85"/>
        <v>0</v>
      </c>
    </row>
    <row r="248" spans="1:33" s="1" customFormat="1" x14ac:dyDescent="0.25">
      <c r="A248" s="49"/>
      <c r="B248" s="22" t="s">
        <v>1668</v>
      </c>
      <c r="C248" s="22" t="s">
        <v>812</v>
      </c>
      <c r="D248" s="51" t="s">
        <v>801</v>
      </c>
      <c r="E248" s="24" t="s">
        <v>811</v>
      </c>
      <c r="F248" s="24"/>
      <c r="G248" s="24" t="s">
        <v>319</v>
      </c>
      <c r="H248" s="24" t="s">
        <v>62</v>
      </c>
      <c r="I248" s="24">
        <v>2005</v>
      </c>
      <c r="J248" s="24"/>
      <c r="K248" s="24" t="s">
        <v>63</v>
      </c>
      <c r="L248" s="24" t="s">
        <v>64</v>
      </c>
      <c r="M248" s="24">
        <v>25</v>
      </c>
      <c r="N248" s="41">
        <f t="shared" si="79"/>
        <v>800000</v>
      </c>
      <c r="O248" s="41">
        <v>20000000</v>
      </c>
      <c r="P248" s="24"/>
      <c r="Q248" s="24"/>
      <c r="R248" s="24"/>
      <c r="S248" s="41">
        <f t="shared" si="80"/>
        <v>20000000</v>
      </c>
      <c r="T248" s="24">
        <v>5</v>
      </c>
      <c r="U248" s="41"/>
      <c r="V248" s="24">
        <v>0.5</v>
      </c>
      <c r="W248" s="41">
        <f t="shared" si="81"/>
        <v>0</v>
      </c>
      <c r="X248" s="24"/>
      <c r="Y248" s="41">
        <f t="shared" si="82"/>
        <v>0</v>
      </c>
      <c r="Z248" s="41">
        <f t="shared" si="83"/>
        <v>0</v>
      </c>
      <c r="AA248" s="24">
        <v>5</v>
      </c>
      <c r="AB248" s="41">
        <v>20000000</v>
      </c>
      <c r="AC248" s="41">
        <f t="shared" si="84"/>
        <v>0</v>
      </c>
      <c r="AD248" s="70" t="s">
        <v>213</v>
      </c>
      <c r="AE248" s="70"/>
      <c r="AF248" s="1">
        <v>20000000</v>
      </c>
      <c r="AG248" s="5">
        <f t="shared" si="85"/>
        <v>0</v>
      </c>
    </row>
    <row r="249" spans="1:33" s="1" customFormat="1" x14ac:dyDescent="0.25">
      <c r="A249" s="49"/>
      <c r="B249" s="22" t="s">
        <v>1668</v>
      </c>
      <c r="C249" s="22" t="s">
        <v>448</v>
      </c>
      <c r="D249" s="51" t="s">
        <v>801</v>
      </c>
      <c r="E249" s="24" t="s">
        <v>811</v>
      </c>
      <c r="F249" s="24"/>
      <c r="G249" s="24" t="s">
        <v>319</v>
      </c>
      <c r="H249" s="24" t="s">
        <v>62</v>
      </c>
      <c r="I249" s="24">
        <v>2005</v>
      </c>
      <c r="J249" s="24"/>
      <c r="K249" s="24" t="s">
        <v>63</v>
      </c>
      <c r="L249" s="24" t="s">
        <v>212</v>
      </c>
      <c r="M249" s="24">
        <v>1</v>
      </c>
      <c r="N249" s="41">
        <f t="shared" si="79"/>
        <v>450000</v>
      </c>
      <c r="O249" s="41">
        <v>450000</v>
      </c>
      <c r="P249" s="24"/>
      <c r="Q249" s="24"/>
      <c r="R249" s="24"/>
      <c r="S249" s="41">
        <f t="shared" si="80"/>
        <v>450000</v>
      </c>
      <c r="T249" s="24">
        <v>5</v>
      </c>
      <c r="U249" s="41"/>
      <c r="V249" s="24">
        <v>0.5</v>
      </c>
      <c r="W249" s="41">
        <f t="shared" si="81"/>
        <v>0</v>
      </c>
      <c r="X249" s="24"/>
      <c r="Y249" s="41">
        <f t="shared" si="82"/>
        <v>0</v>
      </c>
      <c r="Z249" s="41">
        <f t="shared" si="83"/>
        <v>0</v>
      </c>
      <c r="AA249" s="24">
        <v>5</v>
      </c>
      <c r="AB249" s="41">
        <v>450000</v>
      </c>
      <c r="AC249" s="41">
        <f t="shared" si="84"/>
        <v>0</v>
      </c>
      <c r="AD249" s="70" t="s">
        <v>295</v>
      </c>
      <c r="AE249" s="70"/>
      <c r="AF249" s="1">
        <v>450000</v>
      </c>
      <c r="AG249" s="5">
        <f t="shared" si="85"/>
        <v>0</v>
      </c>
    </row>
    <row r="250" spans="1:33" s="1" customFormat="1" x14ac:dyDescent="0.25">
      <c r="A250" s="49"/>
      <c r="B250" s="22" t="s">
        <v>1668</v>
      </c>
      <c r="C250" s="22" t="s">
        <v>813</v>
      </c>
      <c r="D250" s="51" t="s">
        <v>801</v>
      </c>
      <c r="E250" s="24" t="s">
        <v>814</v>
      </c>
      <c r="F250" s="24"/>
      <c r="G250" s="24" t="s">
        <v>319</v>
      </c>
      <c r="H250" s="24" t="s">
        <v>62</v>
      </c>
      <c r="I250" s="24">
        <v>2005</v>
      </c>
      <c r="J250" s="24"/>
      <c r="K250" s="24" t="s">
        <v>63</v>
      </c>
      <c r="L250" s="24" t="s">
        <v>64</v>
      </c>
      <c r="M250" s="24">
        <v>15</v>
      </c>
      <c r="N250" s="41">
        <f t="shared" si="79"/>
        <v>762000</v>
      </c>
      <c r="O250" s="41">
        <v>11430000</v>
      </c>
      <c r="P250" s="24"/>
      <c r="Q250" s="24"/>
      <c r="R250" s="24"/>
      <c r="S250" s="41">
        <f t="shared" si="80"/>
        <v>11430000</v>
      </c>
      <c r="T250" s="24">
        <v>5</v>
      </c>
      <c r="U250" s="41"/>
      <c r="V250" s="24">
        <v>0.5</v>
      </c>
      <c r="W250" s="41">
        <f t="shared" si="81"/>
        <v>0</v>
      </c>
      <c r="X250" s="24"/>
      <c r="Y250" s="41">
        <f t="shared" si="82"/>
        <v>0</v>
      </c>
      <c r="Z250" s="41">
        <f t="shared" si="83"/>
        <v>0</v>
      </c>
      <c r="AA250" s="72">
        <v>5</v>
      </c>
      <c r="AB250" s="41">
        <v>11430000</v>
      </c>
      <c r="AC250" s="41">
        <f t="shared" si="84"/>
        <v>0</v>
      </c>
      <c r="AD250" s="70" t="s">
        <v>295</v>
      </c>
      <c r="AE250" s="70"/>
      <c r="AF250" s="1">
        <v>11430000</v>
      </c>
      <c r="AG250" s="5">
        <f t="shared" si="85"/>
        <v>0</v>
      </c>
    </row>
    <row r="251" spans="1:33" s="1" customFormat="1" x14ac:dyDescent="0.25">
      <c r="A251" s="49"/>
      <c r="B251" s="22" t="s">
        <v>1668</v>
      </c>
      <c r="C251" s="22" t="s">
        <v>823</v>
      </c>
      <c r="D251" s="51" t="s">
        <v>824</v>
      </c>
      <c r="E251" s="24" t="s">
        <v>166</v>
      </c>
      <c r="F251" s="24"/>
      <c r="G251" s="24" t="s">
        <v>319</v>
      </c>
      <c r="H251" s="24" t="s">
        <v>62</v>
      </c>
      <c r="I251" s="24">
        <v>2012</v>
      </c>
      <c r="J251" s="24"/>
      <c r="K251" s="24" t="s">
        <v>63</v>
      </c>
      <c r="L251" s="24" t="s">
        <v>64</v>
      </c>
      <c r="M251" s="24">
        <v>36</v>
      </c>
      <c r="N251" s="41">
        <f t="shared" si="79"/>
        <v>1448775</v>
      </c>
      <c r="O251" s="41">
        <v>52155900</v>
      </c>
      <c r="P251" s="24"/>
      <c r="Q251" s="24"/>
      <c r="R251" s="24"/>
      <c r="S251" s="41">
        <f t="shared" si="80"/>
        <v>52155900</v>
      </c>
      <c r="T251" s="24">
        <v>5</v>
      </c>
      <c r="U251" s="41"/>
      <c r="V251" s="24">
        <v>0.5</v>
      </c>
      <c r="W251" s="41">
        <f t="shared" si="81"/>
        <v>0</v>
      </c>
      <c r="X251" s="24"/>
      <c r="Y251" s="41">
        <f t="shared" si="82"/>
        <v>0</v>
      </c>
      <c r="Z251" s="41">
        <f t="shared" si="83"/>
        <v>0</v>
      </c>
      <c r="AA251" s="72">
        <v>5</v>
      </c>
      <c r="AB251" s="41">
        <v>52155900</v>
      </c>
      <c r="AC251" s="41">
        <f t="shared" si="84"/>
        <v>0</v>
      </c>
      <c r="AD251" s="70" t="s">
        <v>301</v>
      </c>
      <c r="AE251" s="70"/>
      <c r="AF251" s="1">
        <v>52155900</v>
      </c>
      <c r="AG251" s="5">
        <f t="shared" si="85"/>
        <v>0</v>
      </c>
    </row>
    <row r="252" spans="1:33" s="1" customFormat="1" x14ac:dyDescent="0.25">
      <c r="A252" s="49"/>
      <c r="B252" s="22" t="s">
        <v>1669</v>
      </c>
      <c r="C252" s="22" t="s">
        <v>657</v>
      </c>
      <c r="D252" s="51" t="s">
        <v>774</v>
      </c>
      <c r="E252" s="24" t="s">
        <v>775</v>
      </c>
      <c r="F252" s="24"/>
      <c r="G252" s="24" t="s">
        <v>61</v>
      </c>
      <c r="H252" s="24" t="s">
        <v>62</v>
      </c>
      <c r="I252" s="24">
        <v>2018</v>
      </c>
      <c r="J252" s="24"/>
      <c r="K252" s="24" t="s">
        <v>63</v>
      </c>
      <c r="L252" s="24" t="s">
        <v>64</v>
      </c>
      <c r="M252" s="24">
        <v>3</v>
      </c>
      <c r="N252" s="41">
        <f t="shared" si="79"/>
        <v>2970000</v>
      </c>
      <c r="O252" s="41">
        <v>8910000</v>
      </c>
      <c r="P252" s="24"/>
      <c r="Q252" s="24"/>
      <c r="R252" s="24"/>
      <c r="S252" s="41">
        <f t="shared" si="80"/>
        <v>8910000</v>
      </c>
      <c r="T252" s="24">
        <v>5</v>
      </c>
      <c r="U252" s="41">
        <f t="shared" ref="U252:U278" si="86">SUM(S252/T252)</f>
        <v>1782000</v>
      </c>
      <c r="V252" s="24">
        <v>0.5</v>
      </c>
      <c r="W252" s="41">
        <f>SUM(U252*V252)-148500</f>
        <v>742500</v>
      </c>
      <c r="X252" s="24"/>
      <c r="Y252" s="41">
        <f t="shared" ref="Y252:Y276" si="87">SUM(U252*X252)</f>
        <v>0</v>
      </c>
      <c r="Z252" s="41">
        <f t="shared" ref="Z252:Z276" si="88">SUM(W252+Y252)</f>
        <v>742500</v>
      </c>
      <c r="AA252" s="24">
        <f>2023-I252+V252+X252-5/12-1/12</f>
        <v>5</v>
      </c>
      <c r="AB252" s="41">
        <f t="shared" ref="AB252:AB276" si="89">SUM(U252*AA252)</f>
        <v>8910000</v>
      </c>
      <c r="AC252" s="41">
        <f t="shared" si="84"/>
        <v>0</v>
      </c>
      <c r="AD252" s="70" t="s">
        <v>308</v>
      </c>
      <c r="AE252" s="70"/>
      <c r="AF252" s="1">
        <v>8167499.9999999991</v>
      </c>
      <c r="AG252" s="5">
        <f>AF252+Z252-AB252</f>
        <v>0</v>
      </c>
    </row>
    <row r="253" spans="1:33" s="1" customFormat="1" x14ac:dyDescent="0.25">
      <c r="A253" s="49"/>
      <c r="B253" s="22" t="s">
        <v>1669</v>
      </c>
      <c r="C253" s="50" t="s">
        <v>776</v>
      </c>
      <c r="D253" s="51" t="s">
        <v>774</v>
      </c>
      <c r="E253" s="52" t="s">
        <v>777</v>
      </c>
      <c r="F253" s="52"/>
      <c r="G253" s="52" t="s">
        <v>61</v>
      </c>
      <c r="H253" s="52" t="s">
        <v>62</v>
      </c>
      <c r="I253" s="52">
        <v>2019</v>
      </c>
      <c r="J253" s="52"/>
      <c r="K253" s="52" t="s">
        <v>63</v>
      </c>
      <c r="L253" s="52" t="s">
        <v>64</v>
      </c>
      <c r="M253" s="52">
        <v>7</v>
      </c>
      <c r="N253" s="53">
        <v>22386000</v>
      </c>
      <c r="O253" s="53">
        <v>22386000</v>
      </c>
      <c r="P253" s="52"/>
      <c r="Q253" s="52"/>
      <c r="R253" s="52"/>
      <c r="S253" s="53">
        <f t="shared" si="80"/>
        <v>22386000</v>
      </c>
      <c r="T253" s="52">
        <v>5</v>
      </c>
      <c r="U253" s="53">
        <f t="shared" si="86"/>
        <v>4477200</v>
      </c>
      <c r="V253" s="52">
        <v>0.5</v>
      </c>
      <c r="W253" s="53">
        <f t="shared" ref="W253:W299" si="90">SUM(U253*V253)</f>
        <v>2238600</v>
      </c>
      <c r="X253" s="24">
        <v>0.5</v>
      </c>
      <c r="Y253" s="41">
        <f t="shared" si="87"/>
        <v>2238600</v>
      </c>
      <c r="Z253" s="41">
        <f t="shared" si="88"/>
        <v>4477200</v>
      </c>
      <c r="AA253" s="72">
        <f>2023-I253+V253+X253-11/12</f>
        <v>4.083333333333333</v>
      </c>
      <c r="AB253" s="41">
        <f t="shared" si="89"/>
        <v>18281900</v>
      </c>
      <c r="AC253" s="41">
        <f t="shared" si="84"/>
        <v>4104100</v>
      </c>
      <c r="AD253" s="70" t="s">
        <v>778</v>
      </c>
      <c r="AE253" s="70"/>
      <c r="AF253" s="1">
        <v>13804700</v>
      </c>
      <c r="AG253" s="5">
        <f t="shared" ref="AG253:AG316" si="91">AF253+Z253-AB253</f>
        <v>0</v>
      </c>
    </row>
    <row r="254" spans="1:33" s="1" customFormat="1" x14ac:dyDescent="0.25">
      <c r="A254" s="49"/>
      <c r="B254" s="22" t="s">
        <v>1669</v>
      </c>
      <c r="C254" s="73" t="s">
        <v>779</v>
      </c>
      <c r="D254" s="51" t="s">
        <v>774</v>
      </c>
      <c r="E254" s="52"/>
      <c r="F254" s="52"/>
      <c r="G254" s="52" t="s">
        <v>61</v>
      </c>
      <c r="H254" s="52" t="s">
        <v>62</v>
      </c>
      <c r="I254" s="52">
        <v>2020</v>
      </c>
      <c r="J254" s="52"/>
      <c r="K254" s="52" t="s">
        <v>63</v>
      </c>
      <c r="L254" s="52" t="s">
        <v>64</v>
      </c>
      <c r="M254" s="52">
        <v>3</v>
      </c>
      <c r="N254" s="53">
        <f>SUM(O254/M254)</f>
        <v>3300000</v>
      </c>
      <c r="O254" s="53">
        <v>9900000</v>
      </c>
      <c r="P254" s="52"/>
      <c r="Q254" s="52"/>
      <c r="R254" s="52"/>
      <c r="S254" s="53">
        <f t="shared" si="80"/>
        <v>9900000</v>
      </c>
      <c r="T254" s="52">
        <v>5</v>
      </c>
      <c r="U254" s="53">
        <f t="shared" si="86"/>
        <v>1980000</v>
      </c>
      <c r="V254" s="52">
        <v>0.5</v>
      </c>
      <c r="W254" s="53">
        <f t="shared" si="90"/>
        <v>990000</v>
      </c>
      <c r="X254" s="24">
        <v>0.5</v>
      </c>
      <c r="Y254" s="41">
        <f t="shared" si="87"/>
        <v>990000</v>
      </c>
      <c r="Z254" s="41">
        <f t="shared" si="88"/>
        <v>1980000</v>
      </c>
      <c r="AA254" s="72">
        <f>2023-I254+V254+X254-10/12-0.5</f>
        <v>2.6666666666666665</v>
      </c>
      <c r="AB254" s="41">
        <f t="shared" si="89"/>
        <v>5280000</v>
      </c>
      <c r="AC254" s="41">
        <f t="shared" si="84"/>
        <v>4620000</v>
      </c>
      <c r="AD254" s="70" t="s">
        <v>778</v>
      </c>
      <c r="AE254" s="70"/>
      <c r="AF254" s="1">
        <v>3299999.9999999995</v>
      </c>
      <c r="AG254" s="5">
        <f t="shared" si="91"/>
        <v>0</v>
      </c>
    </row>
    <row r="255" spans="1:33" s="1" customFormat="1" x14ac:dyDescent="0.25">
      <c r="A255" s="49"/>
      <c r="B255" s="308" t="s">
        <v>1669</v>
      </c>
      <c r="C255" s="314" t="s">
        <v>143</v>
      </c>
      <c r="D255" s="309" t="s">
        <v>774</v>
      </c>
      <c r="E255" s="310"/>
      <c r="F255" s="310"/>
      <c r="G255" s="310" t="s">
        <v>61</v>
      </c>
      <c r="H255" s="310" t="s">
        <v>62</v>
      </c>
      <c r="I255" s="310">
        <v>2023</v>
      </c>
      <c r="J255" s="310"/>
      <c r="K255" s="310" t="s">
        <v>63</v>
      </c>
      <c r="L255" s="310" t="s">
        <v>64</v>
      </c>
      <c r="M255" s="310">
        <v>1</v>
      </c>
      <c r="N255" s="311">
        <f>SUM(O255/M255)</f>
        <v>2186000</v>
      </c>
      <c r="O255" s="311">
        <v>2186000</v>
      </c>
      <c r="P255" s="310"/>
      <c r="Q255" s="310"/>
      <c r="R255" s="310"/>
      <c r="S255" s="311">
        <f t="shared" si="80"/>
        <v>2186000</v>
      </c>
      <c r="T255" s="310">
        <v>5</v>
      </c>
      <c r="U255" s="311">
        <f t="shared" si="86"/>
        <v>437200</v>
      </c>
      <c r="V255" s="312">
        <f>1/12</f>
        <v>8.3333333333333329E-2</v>
      </c>
      <c r="W255" s="311">
        <f t="shared" si="90"/>
        <v>36433.333333333328</v>
      </c>
      <c r="X255" s="310">
        <v>0.5</v>
      </c>
      <c r="Y255" s="311">
        <f t="shared" si="87"/>
        <v>218600</v>
      </c>
      <c r="Z255" s="311">
        <f t="shared" si="88"/>
        <v>255033.33333333331</v>
      </c>
      <c r="AA255" s="312">
        <f>1/12+0.5</f>
        <v>0.58333333333333337</v>
      </c>
      <c r="AB255" s="311">
        <f t="shared" si="89"/>
        <v>255033.33333333334</v>
      </c>
      <c r="AC255" s="311">
        <f t="shared" si="84"/>
        <v>1930966.6666666667</v>
      </c>
      <c r="AD255" s="313"/>
      <c r="AE255" s="313"/>
      <c r="AF255" s="1">
        <v>218600</v>
      </c>
      <c r="AG255" s="5">
        <f t="shared" ref="AG255:AG276" si="92">SUM(AE255+X255-AA255)</f>
        <v>-8.333333333333337E-2</v>
      </c>
    </row>
    <row r="256" spans="1:33" s="1" customFormat="1" x14ac:dyDescent="0.25">
      <c r="A256" s="49"/>
      <c r="B256" s="308" t="s">
        <v>1669</v>
      </c>
      <c r="C256" s="314" t="s">
        <v>146</v>
      </c>
      <c r="D256" s="309" t="s">
        <v>774</v>
      </c>
      <c r="E256" s="310"/>
      <c r="F256" s="310"/>
      <c r="G256" s="310" t="s">
        <v>61</v>
      </c>
      <c r="H256" s="310" t="s">
        <v>62</v>
      </c>
      <c r="I256" s="310">
        <v>2023</v>
      </c>
      <c r="J256" s="310"/>
      <c r="K256" s="310" t="s">
        <v>63</v>
      </c>
      <c r="L256" s="310" t="s">
        <v>64</v>
      </c>
      <c r="M256" s="310">
        <v>1</v>
      </c>
      <c r="N256" s="311">
        <f t="shared" ref="N256:N318" si="93">SUM(O256/M256)</f>
        <v>2186000</v>
      </c>
      <c r="O256" s="311">
        <v>2186000</v>
      </c>
      <c r="P256" s="310"/>
      <c r="Q256" s="310"/>
      <c r="R256" s="310"/>
      <c r="S256" s="311">
        <f t="shared" si="80"/>
        <v>2186000</v>
      </c>
      <c r="T256" s="310">
        <v>5</v>
      </c>
      <c r="U256" s="311">
        <f t="shared" si="86"/>
        <v>437200</v>
      </c>
      <c r="V256" s="312">
        <f t="shared" ref="V256:V276" si="94">1/12</f>
        <v>8.3333333333333329E-2</v>
      </c>
      <c r="W256" s="311">
        <f t="shared" si="90"/>
        <v>36433.333333333328</v>
      </c>
      <c r="X256" s="310">
        <v>0.5</v>
      </c>
      <c r="Y256" s="311">
        <f t="shared" si="87"/>
        <v>218600</v>
      </c>
      <c r="Z256" s="311">
        <f t="shared" si="88"/>
        <v>255033.33333333331</v>
      </c>
      <c r="AA256" s="312">
        <f t="shared" ref="AA256:AA276" si="95">1/12+0.5</f>
        <v>0.58333333333333337</v>
      </c>
      <c r="AB256" s="311">
        <f t="shared" si="89"/>
        <v>255033.33333333334</v>
      </c>
      <c r="AC256" s="311">
        <f t="shared" si="84"/>
        <v>1930966.6666666667</v>
      </c>
      <c r="AD256" s="313"/>
      <c r="AE256" s="313"/>
      <c r="AF256" s="1">
        <v>218600</v>
      </c>
      <c r="AG256" s="5">
        <f t="shared" si="92"/>
        <v>-8.333333333333337E-2</v>
      </c>
    </row>
    <row r="257" spans="1:33" s="1" customFormat="1" x14ac:dyDescent="0.25">
      <c r="A257" s="49"/>
      <c r="B257" s="308" t="s">
        <v>1669</v>
      </c>
      <c r="C257" s="314" t="s">
        <v>150</v>
      </c>
      <c r="D257" s="309" t="s">
        <v>774</v>
      </c>
      <c r="E257" s="310"/>
      <c r="F257" s="310"/>
      <c r="G257" s="310" t="s">
        <v>61</v>
      </c>
      <c r="H257" s="310" t="s">
        <v>62</v>
      </c>
      <c r="I257" s="310">
        <v>2023</v>
      </c>
      <c r="J257" s="310"/>
      <c r="K257" s="310" t="s">
        <v>63</v>
      </c>
      <c r="L257" s="310" t="s">
        <v>64</v>
      </c>
      <c r="M257" s="310">
        <v>1</v>
      </c>
      <c r="N257" s="311">
        <f t="shared" si="93"/>
        <v>2186000</v>
      </c>
      <c r="O257" s="311">
        <v>2186000</v>
      </c>
      <c r="P257" s="310"/>
      <c r="Q257" s="310"/>
      <c r="R257" s="310"/>
      <c r="S257" s="311">
        <f t="shared" si="80"/>
        <v>2186000</v>
      </c>
      <c r="T257" s="310">
        <v>5</v>
      </c>
      <c r="U257" s="311">
        <f t="shared" si="86"/>
        <v>437200</v>
      </c>
      <c r="V257" s="312">
        <f t="shared" si="94"/>
        <v>8.3333333333333329E-2</v>
      </c>
      <c r="W257" s="311">
        <f t="shared" si="90"/>
        <v>36433.333333333328</v>
      </c>
      <c r="X257" s="310">
        <v>0.5</v>
      </c>
      <c r="Y257" s="311">
        <f t="shared" si="87"/>
        <v>218600</v>
      </c>
      <c r="Z257" s="311">
        <f t="shared" si="88"/>
        <v>255033.33333333331</v>
      </c>
      <c r="AA257" s="312">
        <f t="shared" si="95"/>
        <v>0.58333333333333337</v>
      </c>
      <c r="AB257" s="311">
        <f t="shared" si="89"/>
        <v>255033.33333333334</v>
      </c>
      <c r="AC257" s="311">
        <f t="shared" si="84"/>
        <v>1930966.6666666667</v>
      </c>
      <c r="AD257" s="313"/>
      <c r="AE257" s="313"/>
      <c r="AF257" s="1">
        <v>218600</v>
      </c>
      <c r="AG257" s="5">
        <f t="shared" si="92"/>
        <v>-8.333333333333337E-2</v>
      </c>
    </row>
    <row r="258" spans="1:33" s="1" customFormat="1" x14ac:dyDescent="0.25">
      <c r="A258" s="49"/>
      <c r="B258" s="308" t="s">
        <v>1669</v>
      </c>
      <c r="C258" s="314" t="s">
        <v>153</v>
      </c>
      <c r="D258" s="309" t="s">
        <v>774</v>
      </c>
      <c r="E258" s="310"/>
      <c r="F258" s="310"/>
      <c r="G258" s="310" t="s">
        <v>61</v>
      </c>
      <c r="H258" s="310" t="s">
        <v>62</v>
      </c>
      <c r="I258" s="310">
        <v>2023</v>
      </c>
      <c r="J258" s="310"/>
      <c r="K258" s="310" t="s">
        <v>63</v>
      </c>
      <c r="L258" s="310" t="s">
        <v>64</v>
      </c>
      <c r="M258" s="310">
        <v>1</v>
      </c>
      <c r="N258" s="311">
        <f t="shared" si="93"/>
        <v>2186000</v>
      </c>
      <c r="O258" s="311">
        <v>2186000</v>
      </c>
      <c r="P258" s="310"/>
      <c r="Q258" s="310"/>
      <c r="R258" s="310"/>
      <c r="S258" s="311">
        <f t="shared" si="80"/>
        <v>2186000</v>
      </c>
      <c r="T258" s="310">
        <v>5</v>
      </c>
      <c r="U258" s="311">
        <f t="shared" si="86"/>
        <v>437200</v>
      </c>
      <c r="V258" s="312">
        <f t="shared" si="94"/>
        <v>8.3333333333333329E-2</v>
      </c>
      <c r="W258" s="311">
        <f t="shared" si="90"/>
        <v>36433.333333333328</v>
      </c>
      <c r="X258" s="310">
        <v>0.5</v>
      </c>
      <c r="Y258" s="311">
        <f t="shared" si="87"/>
        <v>218600</v>
      </c>
      <c r="Z258" s="311">
        <f t="shared" si="88"/>
        <v>255033.33333333331</v>
      </c>
      <c r="AA258" s="312">
        <f t="shared" si="95"/>
        <v>0.58333333333333337</v>
      </c>
      <c r="AB258" s="311">
        <f t="shared" si="89"/>
        <v>255033.33333333334</v>
      </c>
      <c r="AC258" s="311">
        <f t="shared" si="84"/>
        <v>1930966.6666666667</v>
      </c>
      <c r="AD258" s="313"/>
      <c r="AE258" s="313"/>
      <c r="AF258" s="1">
        <v>218600</v>
      </c>
      <c r="AG258" s="5">
        <f t="shared" si="92"/>
        <v>-8.333333333333337E-2</v>
      </c>
    </row>
    <row r="259" spans="1:33" s="1" customFormat="1" x14ac:dyDescent="0.25">
      <c r="A259" s="49"/>
      <c r="B259" s="308" t="s">
        <v>1669</v>
      </c>
      <c r="C259" s="314" t="s">
        <v>156</v>
      </c>
      <c r="D259" s="309" t="s">
        <v>774</v>
      </c>
      <c r="E259" s="310"/>
      <c r="F259" s="310"/>
      <c r="G259" s="310" t="s">
        <v>61</v>
      </c>
      <c r="H259" s="310" t="s">
        <v>62</v>
      </c>
      <c r="I259" s="310">
        <v>2023</v>
      </c>
      <c r="J259" s="310"/>
      <c r="K259" s="310" t="s">
        <v>63</v>
      </c>
      <c r="L259" s="310" t="s">
        <v>64</v>
      </c>
      <c r="M259" s="310">
        <v>1</v>
      </c>
      <c r="N259" s="311">
        <f t="shared" si="93"/>
        <v>2186000</v>
      </c>
      <c r="O259" s="311">
        <v>2186000</v>
      </c>
      <c r="P259" s="310"/>
      <c r="Q259" s="310"/>
      <c r="R259" s="310"/>
      <c r="S259" s="311">
        <f t="shared" si="80"/>
        <v>2186000</v>
      </c>
      <c r="T259" s="310">
        <v>5</v>
      </c>
      <c r="U259" s="311">
        <f t="shared" si="86"/>
        <v>437200</v>
      </c>
      <c r="V259" s="312">
        <f t="shared" si="94"/>
        <v>8.3333333333333329E-2</v>
      </c>
      <c r="W259" s="311">
        <f t="shared" si="90"/>
        <v>36433.333333333328</v>
      </c>
      <c r="X259" s="310">
        <v>0.5</v>
      </c>
      <c r="Y259" s="311">
        <f t="shared" si="87"/>
        <v>218600</v>
      </c>
      <c r="Z259" s="311">
        <f t="shared" si="88"/>
        <v>255033.33333333331</v>
      </c>
      <c r="AA259" s="312">
        <f t="shared" si="95"/>
        <v>0.58333333333333337</v>
      </c>
      <c r="AB259" s="311">
        <f t="shared" si="89"/>
        <v>255033.33333333334</v>
      </c>
      <c r="AC259" s="311">
        <f t="shared" si="84"/>
        <v>1930966.6666666667</v>
      </c>
      <c r="AD259" s="313"/>
      <c r="AE259" s="313"/>
      <c r="AF259" s="1">
        <v>218600</v>
      </c>
      <c r="AG259" s="5">
        <f t="shared" si="92"/>
        <v>-8.333333333333337E-2</v>
      </c>
    </row>
    <row r="260" spans="1:33" s="1" customFormat="1" x14ac:dyDescent="0.25">
      <c r="A260" s="49"/>
      <c r="B260" s="308" t="s">
        <v>1669</v>
      </c>
      <c r="C260" s="314" t="s">
        <v>159</v>
      </c>
      <c r="D260" s="309" t="s">
        <v>774</v>
      </c>
      <c r="E260" s="310"/>
      <c r="F260" s="310"/>
      <c r="G260" s="310" t="s">
        <v>61</v>
      </c>
      <c r="H260" s="310" t="s">
        <v>62</v>
      </c>
      <c r="I260" s="310">
        <v>2023</v>
      </c>
      <c r="J260" s="310"/>
      <c r="K260" s="310" t="s">
        <v>63</v>
      </c>
      <c r="L260" s="310" t="s">
        <v>64</v>
      </c>
      <c r="M260" s="310">
        <v>1</v>
      </c>
      <c r="N260" s="311">
        <f t="shared" si="93"/>
        <v>2186000</v>
      </c>
      <c r="O260" s="311">
        <v>2186000</v>
      </c>
      <c r="P260" s="310"/>
      <c r="Q260" s="310"/>
      <c r="R260" s="310"/>
      <c r="S260" s="311">
        <f t="shared" si="80"/>
        <v>2186000</v>
      </c>
      <c r="T260" s="310">
        <v>5</v>
      </c>
      <c r="U260" s="311">
        <f t="shared" si="86"/>
        <v>437200</v>
      </c>
      <c r="V260" s="312">
        <f t="shared" si="94"/>
        <v>8.3333333333333329E-2</v>
      </c>
      <c r="W260" s="311">
        <f t="shared" si="90"/>
        <v>36433.333333333328</v>
      </c>
      <c r="X260" s="310">
        <v>0.5</v>
      </c>
      <c r="Y260" s="311">
        <f t="shared" si="87"/>
        <v>218600</v>
      </c>
      <c r="Z260" s="311">
        <f t="shared" si="88"/>
        <v>255033.33333333331</v>
      </c>
      <c r="AA260" s="312">
        <f t="shared" si="95"/>
        <v>0.58333333333333337</v>
      </c>
      <c r="AB260" s="311">
        <f t="shared" si="89"/>
        <v>255033.33333333334</v>
      </c>
      <c r="AC260" s="311">
        <f t="shared" si="84"/>
        <v>1930966.6666666667</v>
      </c>
      <c r="AD260" s="313"/>
      <c r="AE260" s="313"/>
      <c r="AF260" s="1">
        <v>218600</v>
      </c>
      <c r="AG260" s="5">
        <f t="shared" si="92"/>
        <v>-8.333333333333337E-2</v>
      </c>
    </row>
    <row r="261" spans="1:33" s="1" customFormat="1" x14ac:dyDescent="0.25">
      <c r="A261" s="49"/>
      <c r="B261" s="308" t="s">
        <v>1669</v>
      </c>
      <c r="C261" s="314" t="s">
        <v>162</v>
      </c>
      <c r="D261" s="309" t="s">
        <v>774</v>
      </c>
      <c r="E261" s="310"/>
      <c r="F261" s="310"/>
      <c r="G261" s="310" t="s">
        <v>61</v>
      </c>
      <c r="H261" s="310" t="s">
        <v>62</v>
      </c>
      <c r="I261" s="310">
        <v>2023</v>
      </c>
      <c r="J261" s="310"/>
      <c r="K261" s="310" t="s">
        <v>63</v>
      </c>
      <c r="L261" s="310" t="s">
        <v>64</v>
      </c>
      <c r="M261" s="310">
        <v>1</v>
      </c>
      <c r="N261" s="311">
        <f t="shared" si="93"/>
        <v>2186000</v>
      </c>
      <c r="O261" s="311">
        <v>2186000</v>
      </c>
      <c r="P261" s="310"/>
      <c r="Q261" s="310"/>
      <c r="R261" s="310"/>
      <c r="S261" s="311">
        <f t="shared" si="80"/>
        <v>2186000</v>
      </c>
      <c r="T261" s="310">
        <v>5</v>
      </c>
      <c r="U261" s="311">
        <f t="shared" si="86"/>
        <v>437200</v>
      </c>
      <c r="V261" s="312">
        <f t="shared" si="94"/>
        <v>8.3333333333333329E-2</v>
      </c>
      <c r="W261" s="311">
        <f t="shared" si="90"/>
        <v>36433.333333333328</v>
      </c>
      <c r="X261" s="310">
        <v>0.5</v>
      </c>
      <c r="Y261" s="311">
        <f t="shared" si="87"/>
        <v>218600</v>
      </c>
      <c r="Z261" s="311">
        <f t="shared" si="88"/>
        <v>255033.33333333331</v>
      </c>
      <c r="AA261" s="312">
        <f t="shared" si="95"/>
        <v>0.58333333333333337</v>
      </c>
      <c r="AB261" s="311">
        <f t="shared" si="89"/>
        <v>255033.33333333334</v>
      </c>
      <c r="AC261" s="311">
        <f t="shared" si="84"/>
        <v>1930966.6666666667</v>
      </c>
      <c r="AD261" s="313"/>
      <c r="AE261" s="313"/>
      <c r="AF261" s="1">
        <v>218600</v>
      </c>
      <c r="AG261" s="5">
        <f t="shared" si="92"/>
        <v>-8.333333333333337E-2</v>
      </c>
    </row>
    <row r="262" spans="1:33" s="1" customFormat="1" x14ac:dyDescent="0.25">
      <c r="A262" s="49"/>
      <c r="B262" s="308" t="s">
        <v>1669</v>
      </c>
      <c r="C262" s="314" t="s">
        <v>312</v>
      </c>
      <c r="D262" s="309" t="s">
        <v>774</v>
      </c>
      <c r="E262" s="310"/>
      <c r="F262" s="310"/>
      <c r="G262" s="310" t="s">
        <v>61</v>
      </c>
      <c r="H262" s="310" t="s">
        <v>62</v>
      </c>
      <c r="I262" s="310">
        <v>2023</v>
      </c>
      <c r="J262" s="310"/>
      <c r="K262" s="310" t="s">
        <v>63</v>
      </c>
      <c r="L262" s="310" t="s">
        <v>64</v>
      </c>
      <c r="M262" s="310">
        <v>1</v>
      </c>
      <c r="N262" s="311">
        <f t="shared" si="93"/>
        <v>2186000</v>
      </c>
      <c r="O262" s="311">
        <v>2186000</v>
      </c>
      <c r="P262" s="310"/>
      <c r="Q262" s="310"/>
      <c r="R262" s="310"/>
      <c r="S262" s="311">
        <f t="shared" si="80"/>
        <v>2186000</v>
      </c>
      <c r="T262" s="310">
        <v>5</v>
      </c>
      <c r="U262" s="311">
        <f t="shared" si="86"/>
        <v>437200</v>
      </c>
      <c r="V262" s="312">
        <f t="shared" si="94"/>
        <v>8.3333333333333329E-2</v>
      </c>
      <c r="W262" s="311">
        <f t="shared" si="90"/>
        <v>36433.333333333328</v>
      </c>
      <c r="X262" s="310">
        <v>0.5</v>
      </c>
      <c r="Y262" s="311">
        <f t="shared" si="87"/>
        <v>218600</v>
      </c>
      <c r="Z262" s="311">
        <f t="shared" si="88"/>
        <v>255033.33333333331</v>
      </c>
      <c r="AA262" s="312">
        <f t="shared" si="95"/>
        <v>0.58333333333333337</v>
      </c>
      <c r="AB262" s="311">
        <f t="shared" si="89"/>
        <v>255033.33333333334</v>
      </c>
      <c r="AC262" s="311">
        <f t="shared" si="84"/>
        <v>1930966.6666666667</v>
      </c>
      <c r="AD262" s="313"/>
      <c r="AE262" s="313"/>
      <c r="AF262" s="1">
        <v>218600</v>
      </c>
      <c r="AG262" s="5">
        <f t="shared" si="92"/>
        <v>-8.333333333333337E-2</v>
      </c>
    </row>
    <row r="263" spans="1:33" s="1" customFormat="1" x14ac:dyDescent="0.25">
      <c r="A263" s="49"/>
      <c r="B263" s="308" t="s">
        <v>1669</v>
      </c>
      <c r="C263" s="314" t="s">
        <v>313</v>
      </c>
      <c r="D263" s="309" t="s">
        <v>774</v>
      </c>
      <c r="E263" s="310"/>
      <c r="F263" s="310"/>
      <c r="G263" s="310" t="s">
        <v>61</v>
      </c>
      <c r="H263" s="310" t="s">
        <v>62</v>
      </c>
      <c r="I263" s="310">
        <v>2023</v>
      </c>
      <c r="J263" s="310"/>
      <c r="K263" s="310" t="s">
        <v>63</v>
      </c>
      <c r="L263" s="310" t="s">
        <v>64</v>
      </c>
      <c r="M263" s="310">
        <v>1</v>
      </c>
      <c r="N263" s="311">
        <f t="shared" si="93"/>
        <v>2186000</v>
      </c>
      <c r="O263" s="311">
        <v>2186000</v>
      </c>
      <c r="P263" s="310"/>
      <c r="Q263" s="310"/>
      <c r="R263" s="310"/>
      <c r="S263" s="311">
        <f t="shared" si="80"/>
        <v>2186000</v>
      </c>
      <c r="T263" s="310">
        <v>5</v>
      </c>
      <c r="U263" s="311">
        <f t="shared" si="86"/>
        <v>437200</v>
      </c>
      <c r="V263" s="312">
        <f t="shared" si="94"/>
        <v>8.3333333333333329E-2</v>
      </c>
      <c r="W263" s="311">
        <f t="shared" si="90"/>
        <v>36433.333333333328</v>
      </c>
      <c r="X263" s="310">
        <v>0.5</v>
      </c>
      <c r="Y263" s="311">
        <f t="shared" si="87"/>
        <v>218600</v>
      </c>
      <c r="Z263" s="311">
        <f t="shared" si="88"/>
        <v>255033.33333333331</v>
      </c>
      <c r="AA263" s="312">
        <f t="shared" si="95"/>
        <v>0.58333333333333337</v>
      </c>
      <c r="AB263" s="311">
        <f t="shared" si="89"/>
        <v>255033.33333333334</v>
      </c>
      <c r="AC263" s="311">
        <f t="shared" si="84"/>
        <v>1930966.6666666667</v>
      </c>
      <c r="AD263" s="313"/>
      <c r="AE263" s="313"/>
      <c r="AF263" s="1">
        <v>218600</v>
      </c>
      <c r="AG263" s="5">
        <f t="shared" si="92"/>
        <v>-8.333333333333337E-2</v>
      </c>
    </row>
    <row r="264" spans="1:33" s="1" customFormat="1" x14ac:dyDescent="0.25">
      <c r="A264" s="49"/>
      <c r="B264" s="308" t="s">
        <v>1669</v>
      </c>
      <c r="C264" s="314" t="s">
        <v>559</v>
      </c>
      <c r="D264" s="309" t="s">
        <v>774</v>
      </c>
      <c r="E264" s="310"/>
      <c r="F264" s="310"/>
      <c r="G264" s="310" t="s">
        <v>61</v>
      </c>
      <c r="H264" s="310" t="s">
        <v>62</v>
      </c>
      <c r="I264" s="310">
        <v>2023</v>
      </c>
      <c r="J264" s="310"/>
      <c r="K264" s="310" t="s">
        <v>63</v>
      </c>
      <c r="L264" s="310" t="s">
        <v>64</v>
      </c>
      <c r="M264" s="310">
        <v>1</v>
      </c>
      <c r="N264" s="311">
        <f t="shared" si="93"/>
        <v>2186000</v>
      </c>
      <c r="O264" s="311">
        <v>2186000</v>
      </c>
      <c r="P264" s="310"/>
      <c r="Q264" s="310"/>
      <c r="R264" s="310"/>
      <c r="S264" s="311">
        <f t="shared" si="80"/>
        <v>2186000</v>
      </c>
      <c r="T264" s="310">
        <v>5</v>
      </c>
      <c r="U264" s="311">
        <f t="shared" si="86"/>
        <v>437200</v>
      </c>
      <c r="V264" s="312">
        <f t="shared" si="94"/>
        <v>8.3333333333333329E-2</v>
      </c>
      <c r="W264" s="311">
        <f t="shared" si="90"/>
        <v>36433.333333333328</v>
      </c>
      <c r="X264" s="310">
        <v>0.5</v>
      </c>
      <c r="Y264" s="311">
        <f t="shared" si="87"/>
        <v>218600</v>
      </c>
      <c r="Z264" s="311">
        <f t="shared" si="88"/>
        <v>255033.33333333331</v>
      </c>
      <c r="AA264" s="312">
        <f t="shared" si="95"/>
        <v>0.58333333333333337</v>
      </c>
      <c r="AB264" s="311">
        <f t="shared" si="89"/>
        <v>255033.33333333334</v>
      </c>
      <c r="AC264" s="311">
        <f t="shared" si="84"/>
        <v>1930966.6666666667</v>
      </c>
      <c r="AD264" s="313"/>
      <c r="AE264" s="313"/>
      <c r="AF264" s="1">
        <v>218600</v>
      </c>
      <c r="AG264" s="5">
        <f t="shared" si="92"/>
        <v>-8.333333333333337E-2</v>
      </c>
    </row>
    <row r="265" spans="1:33" s="1" customFormat="1" x14ac:dyDescent="0.25">
      <c r="A265" s="49"/>
      <c r="B265" s="308" t="s">
        <v>1669</v>
      </c>
      <c r="C265" s="314" t="s">
        <v>561</v>
      </c>
      <c r="D265" s="309" t="s">
        <v>774</v>
      </c>
      <c r="E265" s="310"/>
      <c r="F265" s="310"/>
      <c r="G265" s="310" t="s">
        <v>61</v>
      </c>
      <c r="H265" s="310" t="s">
        <v>62</v>
      </c>
      <c r="I265" s="310">
        <v>2023</v>
      </c>
      <c r="J265" s="310"/>
      <c r="K265" s="310" t="s">
        <v>63</v>
      </c>
      <c r="L265" s="310" t="s">
        <v>64</v>
      </c>
      <c r="M265" s="310">
        <v>1</v>
      </c>
      <c r="N265" s="311">
        <f t="shared" si="93"/>
        <v>2186000</v>
      </c>
      <c r="O265" s="311">
        <v>2186000</v>
      </c>
      <c r="P265" s="310"/>
      <c r="Q265" s="310"/>
      <c r="R265" s="310"/>
      <c r="S265" s="311">
        <f t="shared" si="80"/>
        <v>2186000</v>
      </c>
      <c r="T265" s="310">
        <v>5</v>
      </c>
      <c r="U265" s="311">
        <f t="shared" si="86"/>
        <v>437200</v>
      </c>
      <c r="V265" s="312">
        <f t="shared" si="94"/>
        <v>8.3333333333333329E-2</v>
      </c>
      <c r="W265" s="311">
        <f t="shared" si="90"/>
        <v>36433.333333333328</v>
      </c>
      <c r="X265" s="310">
        <v>0.5</v>
      </c>
      <c r="Y265" s="311">
        <f t="shared" si="87"/>
        <v>218600</v>
      </c>
      <c r="Z265" s="311">
        <f t="shared" si="88"/>
        <v>255033.33333333331</v>
      </c>
      <c r="AA265" s="312">
        <f t="shared" si="95"/>
        <v>0.58333333333333337</v>
      </c>
      <c r="AB265" s="311">
        <f t="shared" si="89"/>
        <v>255033.33333333334</v>
      </c>
      <c r="AC265" s="311">
        <f t="shared" si="84"/>
        <v>1930966.6666666667</v>
      </c>
      <c r="AD265" s="313"/>
      <c r="AE265" s="313"/>
      <c r="AF265" s="1">
        <v>218600</v>
      </c>
      <c r="AG265" s="5">
        <f t="shared" si="92"/>
        <v>-8.333333333333337E-2</v>
      </c>
    </row>
    <row r="266" spans="1:33" s="1" customFormat="1" x14ac:dyDescent="0.25">
      <c r="A266" s="49"/>
      <c r="B266" s="308" t="s">
        <v>1669</v>
      </c>
      <c r="C266" s="314" t="s">
        <v>563</v>
      </c>
      <c r="D266" s="309" t="s">
        <v>774</v>
      </c>
      <c r="E266" s="310"/>
      <c r="F266" s="310"/>
      <c r="G266" s="310" t="s">
        <v>61</v>
      </c>
      <c r="H266" s="310" t="s">
        <v>62</v>
      </c>
      <c r="I266" s="310">
        <v>2023</v>
      </c>
      <c r="J266" s="310"/>
      <c r="K266" s="310" t="s">
        <v>63</v>
      </c>
      <c r="L266" s="310" t="s">
        <v>64</v>
      </c>
      <c r="M266" s="310">
        <v>1</v>
      </c>
      <c r="N266" s="311">
        <f t="shared" si="93"/>
        <v>2186000</v>
      </c>
      <c r="O266" s="311">
        <v>2186000</v>
      </c>
      <c r="P266" s="310"/>
      <c r="Q266" s="310"/>
      <c r="R266" s="310"/>
      <c r="S266" s="311">
        <f t="shared" si="80"/>
        <v>2186000</v>
      </c>
      <c r="T266" s="310">
        <v>5</v>
      </c>
      <c r="U266" s="311">
        <f t="shared" si="86"/>
        <v>437200</v>
      </c>
      <c r="V266" s="312">
        <f t="shared" si="94"/>
        <v>8.3333333333333329E-2</v>
      </c>
      <c r="W266" s="311">
        <f t="shared" si="90"/>
        <v>36433.333333333328</v>
      </c>
      <c r="X266" s="310">
        <v>0.5</v>
      </c>
      <c r="Y266" s="311">
        <f t="shared" si="87"/>
        <v>218600</v>
      </c>
      <c r="Z266" s="311">
        <f t="shared" si="88"/>
        <v>255033.33333333331</v>
      </c>
      <c r="AA266" s="312">
        <f t="shared" si="95"/>
        <v>0.58333333333333337</v>
      </c>
      <c r="AB266" s="311">
        <f t="shared" si="89"/>
        <v>255033.33333333334</v>
      </c>
      <c r="AC266" s="311">
        <f t="shared" si="84"/>
        <v>1930966.6666666667</v>
      </c>
      <c r="AD266" s="313"/>
      <c r="AE266" s="313"/>
      <c r="AF266" s="1">
        <v>218600</v>
      </c>
      <c r="AG266" s="5">
        <f t="shared" si="92"/>
        <v>-8.333333333333337E-2</v>
      </c>
    </row>
    <row r="267" spans="1:33" s="1" customFormat="1" x14ac:dyDescent="0.25">
      <c r="A267" s="49"/>
      <c r="B267" s="308" t="s">
        <v>1669</v>
      </c>
      <c r="C267" s="314" t="s">
        <v>227</v>
      </c>
      <c r="D267" s="309" t="s">
        <v>774</v>
      </c>
      <c r="E267" s="310"/>
      <c r="F267" s="310"/>
      <c r="G267" s="310" t="s">
        <v>61</v>
      </c>
      <c r="H267" s="310" t="s">
        <v>62</v>
      </c>
      <c r="I267" s="310">
        <v>2023</v>
      </c>
      <c r="J267" s="310"/>
      <c r="K267" s="310" t="s">
        <v>63</v>
      </c>
      <c r="L267" s="310" t="s">
        <v>64</v>
      </c>
      <c r="M267" s="310">
        <v>1</v>
      </c>
      <c r="N267" s="311">
        <f t="shared" si="93"/>
        <v>2186000</v>
      </c>
      <c r="O267" s="311">
        <v>2186000</v>
      </c>
      <c r="P267" s="310"/>
      <c r="Q267" s="310"/>
      <c r="R267" s="310"/>
      <c r="S267" s="311">
        <f t="shared" si="80"/>
        <v>2186000</v>
      </c>
      <c r="T267" s="310">
        <v>5</v>
      </c>
      <c r="U267" s="311">
        <f t="shared" si="86"/>
        <v>437200</v>
      </c>
      <c r="V267" s="312">
        <f t="shared" si="94"/>
        <v>8.3333333333333329E-2</v>
      </c>
      <c r="W267" s="311">
        <f t="shared" si="90"/>
        <v>36433.333333333328</v>
      </c>
      <c r="X267" s="310">
        <v>0.5</v>
      </c>
      <c r="Y267" s="311">
        <f t="shared" si="87"/>
        <v>218600</v>
      </c>
      <c r="Z267" s="311">
        <f t="shared" si="88"/>
        <v>255033.33333333331</v>
      </c>
      <c r="AA267" s="312">
        <f t="shared" si="95"/>
        <v>0.58333333333333337</v>
      </c>
      <c r="AB267" s="311">
        <f t="shared" si="89"/>
        <v>255033.33333333334</v>
      </c>
      <c r="AC267" s="311">
        <f t="shared" si="84"/>
        <v>1930966.6666666667</v>
      </c>
      <c r="AD267" s="313"/>
      <c r="AE267" s="313"/>
      <c r="AF267" s="1">
        <v>218600</v>
      </c>
      <c r="AG267" s="5">
        <f t="shared" si="92"/>
        <v>-8.333333333333337E-2</v>
      </c>
    </row>
    <row r="268" spans="1:33" s="1" customFormat="1" x14ac:dyDescent="0.25">
      <c r="A268" s="49"/>
      <c r="B268" s="308" t="s">
        <v>1669</v>
      </c>
      <c r="C268" s="314" t="s">
        <v>230</v>
      </c>
      <c r="D268" s="309" t="s">
        <v>774</v>
      </c>
      <c r="E268" s="310"/>
      <c r="F268" s="310"/>
      <c r="G268" s="310" t="s">
        <v>61</v>
      </c>
      <c r="H268" s="310" t="s">
        <v>62</v>
      </c>
      <c r="I268" s="310">
        <v>2023</v>
      </c>
      <c r="J268" s="310"/>
      <c r="K268" s="310" t="s">
        <v>63</v>
      </c>
      <c r="L268" s="310" t="s">
        <v>64</v>
      </c>
      <c r="M268" s="310">
        <v>1</v>
      </c>
      <c r="N268" s="311">
        <f t="shared" si="93"/>
        <v>2186000</v>
      </c>
      <c r="O268" s="311">
        <v>2186000</v>
      </c>
      <c r="P268" s="310"/>
      <c r="Q268" s="310"/>
      <c r="R268" s="310"/>
      <c r="S268" s="311">
        <f t="shared" si="80"/>
        <v>2186000</v>
      </c>
      <c r="T268" s="310">
        <v>5</v>
      </c>
      <c r="U268" s="311">
        <f t="shared" si="86"/>
        <v>437200</v>
      </c>
      <c r="V268" s="312">
        <f t="shared" si="94"/>
        <v>8.3333333333333329E-2</v>
      </c>
      <c r="W268" s="311">
        <f t="shared" si="90"/>
        <v>36433.333333333328</v>
      </c>
      <c r="X268" s="310">
        <v>0.5</v>
      </c>
      <c r="Y268" s="311">
        <f t="shared" si="87"/>
        <v>218600</v>
      </c>
      <c r="Z268" s="311">
        <f t="shared" si="88"/>
        <v>255033.33333333331</v>
      </c>
      <c r="AA268" s="312">
        <f t="shared" si="95"/>
        <v>0.58333333333333337</v>
      </c>
      <c r="AB268" s="311">
        <f t="shared" si="89"/>
        <v>255033.33333333334</v>
      </c>
      <c r="AC268" s="311">
        <f t="shared" si="84"/>
        <v>1930966.6666666667</v>
      </c>
      <c r="AD268" s="313"/>
      <c r="AE268" s="313"/>
      <c r="AF268" s="1">
        <v>218600</v>
      </c>
      <c r="AG268" s="5">
        <f t="shared" si="92"/>
        <v>-8.333333333333337E-2</v>
      </c>
    </row>
    <row r="269" spans="1:33" s="1" customFormat="1" x14ac:dyDescent="0.25">
      <c r="A269" s="49"/>
      <c r="B269" s="308" t="s">
        <v>1669</v>
      </c>
      <c r="C269" s="314" t="s">
        <v>232</v>
      </c>
      <c r="D269" s="309" t="s">
        <v>774</v>
      </c>
      <c r="E269" s="310"/>
      <c r="F269" s="310"/>
      <c r="G269" s="310" t="s">
        <v>61</v>
      </c>
      <c r="H269" s="310" t="s">
        <v>62</v>
      </c>
      <c r="I269" s="310">
        <v>2023</v>
      </c>
      <c r="J269" s="310"/>
      <c r="K269" s="310" t="s">
        <v>63</v>
      </c>
      <c r="L269" s="310" t="s">
        <v>64</v>
      </c>
      <c r="M269" s="310">
        <v>1</v>
      </c>
      <c r="N269" s="311">
        <f t="shared" si="93"/>
        <v>2186000</v>
      </c>
      <c r="O269" s="311">
        <v>2186000</v>
      </c>
      <c r="P269" s="310"/>
      <c r="Q269" s="310"/>
      <c r="R269" s="310"/>
      <c r="S269" s="311">
        <f t="shared" si="80"/>
        <v>2186000</v>
      </c>
      <c r="T269" s="310">
        <v>5</v>
      </c>
      <c r="U269" s="311">
        <f t="shared" si="86"/>
        <v>437200</v>
      </c>
      <c r="V269" s="312">
        <f t="shared" si="94"/>
        <v>8.3333333333333329E-2</v>
      </c>
      <c r="W269" s="311">
        <f t="shared" si="90"/>
        <v>36433.333333333328</v>
      </c>
      <c r="X269" s="310">
        <v>0.5</v>
      </c>
      <c r="Y269" s="311">
        <f t="shared" si="87"/>
        <v>218600</v>
      </c>
      <c r="Z269" s="311">
        <f t="shared" si="88"/>
        <v>255033.33333333331</v>
      </c>
      <c r="AA269" s="312">
        <f t="shared" si="95"/>
        <v>0.58333333333333337</v>
      </c>
      <c r="AB269" s="311">
        <f t="shared" si="89"/>
        <v>255033.33333333334</v>
      </c>
      <c r="AC269" s="311">
        <f t="shared" si="84"/>
        <v>1930966.6666666667</v>
      </c>
      <c r="AD269" s="313"/>
      <c r="AE269" s="313"/>
      <c r="AF269" s="1">
        <v>218600</v>
      </c>
      <c r="AG269" s="5">
        <f t="shared" si="92"/>
        <v>-8.333333333333337E-2</v>
      </c>
    </row>
    <row r="270" spans="1:33" s="1" customFormat="1" x14ac:dyDescent="0.25">
      <c r="A270" s="49"/>
      <c r="B270" s="308" t="s">
        <v>1669</v>
      </c>
      <c r="C270" s="314" t="s">
        <v>234</v>
      </c>
      <c r="D270" s="309" t="s">
        <v>774</v>
      </c>
      <c r="E270" s="310"/>
      <c r="F270" s="310"/>
      <c r="G270" s="310" t="s">
        <v>61</v>
      </c>
      <c r="H270" s="310" t="s">
        <v>62</v>
      </c>
      <c r="I270" s="310">
        <v>2023</v>
      </c>
      <c r="J270" s="310"/>
      <c r="K270" s="310" t="s">
        <v>63</v>
      </c>
      <c r="L270" s="310" t="s">
        <v>64</v>
      </c>
      <c r="M270" s="310">
        <v>1</v>
      </c>
      <c r="N270" s="311">
        <f t="shared" si="93"/>
        <v>2186000</v>
      </c>
      <c r="O270" s="311">
        <v>2186000</v>
      </c>
      <c r="P270" s="310"/>
      <c r="Q270" s="310"/>
      <c r="R270" s="310"/>
      <c r="S270" s="311">
        <f t="shared" si="80"/>
        <v>2186000</v>
      </c>
      <c r="T270" s="310">
        <v>5</v>
      </c>
      <c r="U270" s="311">
        <f t="shared" si="86"/>
        <v>437200</v>
      </c>
      <c r="V270" s="312">
        <f t="shared" si="94"/>
        <v>8.3333333333333329E-2</v>
      </c>
      <c r="W270" s="311">
        <f t="shared" si="90"/>
        <v>36433.333333333328</v>
      </c>
      <c r="X270" s="310">
        <v>0.5</v>
      </c>
      <c r="Y270" s="311">
        <f t="shared" si="87"/>
        <v>218600</v>
      </c>
      <c r="Z270" s="311">
        <f t="shared" si="88"/>
        <v>255033.33333333331</v>
      </c>
      <c r="AA270" s="312">
        <f t="shared" si="95"/>
        <v>0.58333333333333337</v>
      </c>
      <c r="AB270" s="311">
        <f t="shared" si="89"/>
        <v>255033.33333333334</v>
      </c>
      <c r="AC270" s="311">
        <f t="shared" si="84"/>
        <v>1930966.6666666667</v>
      </c>
      <c r="AD270" s="313"/>
      <c r="AE270" s="313"/>
      <c r="AF270" s="1">
        <v>218600</v>
      </c>
      <c r="AG270" s="5">
        <f t="shared" si="92"/>
        <v>-8.333333333333337E-2</v>
      </c>
    </row>
    <row r="271" spans="1:33" s="1" customFormat="1" x14ac:dyDescent="0.25">
      <c r="A271" s="49"/>
      <c r="B271" s="308" t="s">
        <v>1669</v>
      </c>
      <c r="C271" s="314" t="s">
        <v>236</v>
      </c>
      <c r="D271" s="309" t="s">
        <v>774</v>
      </c>
      <c r="E271" s="310"/>
      <c r="F271" s="310"/>
      <c r="G271" s="310" t="s">
        <v>61</v>
      </c>
      <c r="H271" s="310" t="s">
        <v>62</v>
      </c>
      <c r="I271" s="310">
        <v>2023</v>
      </c>
      <c r="J271" s="310"/>
      <c r="K271" s="310" t="s">
        <v>63</v>
      </c>
      <c r="L271" s="310" t="s">
        <v>64</v>
      </c>
      <c r="M271" s="310">
        <v>1</v>
      </c>
      <c r="N271" s="311">
        <f t="shared" si="93"/>
        <v>2186000</v>
      </c>
      <c r="O271" s="311">
        <v>2186000</v>
      </c>
      <c r="P271" s="310"/>
      <c r="Q271" s="310"/>
      <c r="R271" s="310"/>
      <c r="S271" s="311">
        <f t="shared" ref="S271:S334" si="96">SUM(O271-R271)</f>
        <v>2186000</v>
      </c>
      <c r="T271" s="310">
        <v>5</v>
      </c>
      <c r="U271" s="311">
        <f t="shared" si="86"/>
        <v>437200</v>
      </c>
      <c r="V271" s="312">
        <f t="shared" si="94"/>
        <v>8.3333333333333329E-2</v>
      </c>
      <c r="W271" s="311">
        <f t="shared" si="90"/>
        <v>36433.333333333328</v>
      </c>
      <c r="X271" s="310">
        <v>0.5</v>
      </c>
      <c r="Y271" s="311">
        <f t="shared" si="87"/>
        <v>218600</v>
      </c>
      <c r="Z271" s="311">
        <f t="shared" si="88"/>
        <v>255033.33333333331</v>
      </c>
      <c r="AA271" s="312">
        <f t="shared" si="95"/>
        <v>0.58333333333333337</v>
      </c>
      <c r="AB271" s="311">
        <f t="shared" si="89"/>
        <v>255033.33333333334</v>
      </c>
      <c r="AC271" s="311">
        <f t="shared" ref="AC271:AC334" si="97">SUM(O271-AB271)</f>
        <v>1930966.6666666667</v>
      </c>
      <c r="AD271" s="313"/>
      <c r="AE271" s="313"/>
      <c r="AF271" s="1">
        <v>218600</v>
      </c>
      <c r="AG271" s="5">
        <f t="shared" si="92"/>
        <v>-8.333333333333337E-2</v>
      </c>
    </row>
    <row r="272" spans="1:33" s="1" customFormat="1" x14ac:dyDescent="0.25">
      <c r="A272" s="49"/>
      <c r="B272" s="308" t="s">
        <v>1669</v>
      </c>
      <c r="C272" s="314" t="s">
        <v>238</v>
      </c>
      <c r="D272" s="309" t="s">
        <v>774</v>
      </c>
      <c r="E272" s="310"/>
      <c r="F272" s="310"/>
      <c r="G272" s="310" t="s">
        <v>61</v>
      </c>
      <c r="H272" s="310" t="s">
        <v>62</v>
      </c>
      <c r="I272" s="310">
        <v>2023</v>
      </c>
      <c r="J272" s="310"/>
      <c r="K272" s="310" t="s">
        <v>63</v>
      </c>
      <c r="L272" s="310" t="s">
        <v>64</v>
      </c>
      <c r="M272" s="310">
        <v>1</v>
      </c>
      <c r="N272" s="311">
        <f t="shared" si="93"/>
        <v>2186000</v>
      </c>
      <c r="O272" s="311">
        <v>2186000</v>
      </c>
      <c r="P272" s="310"/>
      <c r="Q272" s="310"/>
      <c r="R272" s="310"/>
      <c r="S272" s="311">
        <f t="shared" si="96"/>
        <v>2186000</v>
      </c>
      <c r="T272" s="310">
        <v>5</v>
      </c>
      <c r="U272" s="311">
        <f t="shared" si="86"/>
        <v>437200</v>
      </c>
      <c r="V272" s="312">
        <f t="shared" si="94"/>
        <v>8.3333333333333329E-2</v>
      </c>
      <c r="W272" s="311">
        <f t="shared" si="90"/>
        <v>36433.333333333328</v>
      </c>
      <c r="X272" s="310">
        <v>0.5</v>
      </c>
      <c r="Y272" s="311">
        <f t="shared" si="87"/>
        <v>218600</v>
      </c>
      <c r="Z272" s="311">
        <f t="shared" si="88"/>
        <v>255033.33333333331</v>
      </c>
      <c r="AA272" s="312">
        <f t="shared" si="95"/>
        <v>0.58333333333333337</v>
      </c>
      <c r="AB272" s="311">
        <f t="shared" si="89"/>
        <v>255033.33333333334</v>
      </c>
      <c r="AC272" s="311">
        <f t="shared" si="97"/>
        <v>1930966.6666666667</v>
      </c>
      <c r="AD272" s="313"/>
      <c r="AE272" s="313"/>
      <c r="AF272" s="1">
        <v>218600</v>
      </c>
      <c r="AG272" s="5">
        <f t="shared" si="92"/>
        <v>-8.333333333333337E-2</v>
      </c>
    </row>
    <row r="273" spans="1:33" s="1" customFormat="1" x14ac:dyDescent="0.25">
      <c r="A273" s="49"/>
      <c r="B273" s="308" t="s">
        <v>1669</v>
      </c>
      <c r="C273" s="314" t="s">
        <v>240</v>
      </c>
      <c r="D273" s="309" t="s">
        <v>774</v>
      </c>
      <c r="E273" s="310"/>
      <c r="F273" s="310"/>
      <c r="G273" s="310" t="s">
        <v>61</v>
      </c>
      <c r="H273" s="310" t="s">
        <v>62</v>
      </c>
      <c r="I273" s="310">
        <v>2023</v>
      </c>
      <c r="J273" s="310"/>
      <c r="K273" s="310" t="s">
        <v>63</v>
      </c>
      <c r="L273" s="310" t="s">
        <v>64</v>
      </c>
      <c r="M273" s="310">
        <v>1</v>
      </c>
      <c r="N273" s="311">
        <f t="shared" si="93"/>
        <v>2186000</v>
      </c>
      <c r="O273" s="311">
        <v>2186000</v>
      </c>
      <c r="P273" s="310"/>
      <c r="Q273" s="310"/>
      <c r="R273" s="310"/>
      <c r="S273" s="311">
        <f t="shared" si="96"/>
        <v>2186000</v>
      </c>
      <c r="T273" s="310">
        <v>5</v>
      </c>
      <c r="U273" s="311">
        <f t="shared" si="86"/>
        <v>437200</v>
      </c>
      <c r="V273" s="312">
        <f t="shared" si="94"/>
        <v>8.3333333333333329E-2</v>
      </c>
      <c r="W273" s="311">
        <f t="shared" si="90"/>
        <v>36433.333333333328</v>
      </c>
      <c r="X273" s="310">
        <v>0.5</v>
      </c>
      <c r="Y273" s="311">
        <f t="shared" si="87"/>
        <v>218600</v>
      </c>
      <c r="Z273" s="311">
        <f t="shared" si="88"/>
        <v>255033.33333333331</v>
      </c>
      <c r="AA273" s="312">
        <f t="shared" si="95"/>
        <v>0.58333333333333337</v>
      </c>
      <c r="AB273" s="311">
        <f t="shared" si="89"/>
        <v>255033.33333333334</v>
      </c>
      <c r="AC273" s="311">
        <f t="shared" si="97"/>
        <v>1930966.6666666667</v>
      </c>
      <c r="AD273" s="313"/>
      <c r="AE273" s="313"/>
      <c r="AF273" s="1">
        <v>218600</v>
      </c>
      <c r="AG273" s="5">
        <f t="shared" si="92"/>
        <v>-8.333333333333337E-2</v>
      </c>
    </row>
    <row r="274" spans="1:33" s="1" customFormat="1" x14ac:dyDescent="0.25">
      <c r="A274" s="49"/>
      <c r="B274" s="308" t="s">
        <v>1669</v>
      </c>
      <c r="C274" s="314" t="s">
        <v>242</v>
      </c>
      <c r="D274" s="309" t="s">
        <v>774</v>
      </c>
      <c r="E274" s="310"/>
      <c r="F274" s="310"/>
      <c r="G274" s="310" t="s">
        <v>61</v>
      </c>
      <c r="H274" s="310" t="s">
        <v>62</v>
      </c>
      <c r="I274" s="310">
        <v>2023</v>
      </c>
      <c r="J274" s="310"/>
      <c r="K274" s="310" t="s">
        <v>63</v>
      </c>
      <c r="L274" s="310" t="s">
        <v>64</v>
      </c>
      <c r="M274" s="310">
        <v>1</v>
      </c>
      <c r="N274" s="311">
        <f t="shared" si="93"/>
        <v>2186000</v>
      </c>
      <c r="O274" s="311">
        <v>2186000</v>
      </c>
      <c r="P274" s="310"/>
      <c r="Q274" s="310"/>
      <c r="R274" s="310"/>
      <c r="S274" s="311">
        <f t="shared" si="96"/>
        <v>2186000</v>
      </c>
      <c r="T274" s="310">
        <v>5</v>
      </c>
      <c r="U274" s="311">
        <f t="shared" si="86"/>
        <v>437200</v>
      </c>
      <c r="V274" s="312">
        <f t="shared" si="94"/>
        <v>8.3333333333333329E-2</v>
      </c>
      <c r="W274" s="311">
        <f t="shared" si="90"/>
        <v>36433.333333333328</v>
      </c>
      <c r="X274" s="310">
        <v>0.5</v>
      </c>
      <c r="Y274" s="311">
        <f t="shared" si="87"/>
        <v>218600</v>
      </c>
      <c r="Z274" s="311">
        <f t="shared" si="88"/>
        <v>255033.33333333331</v>
      </c>
      <c r="AA274" s="312">
        <f t="shared" si="95"/>
        <v>0.58333333333333337</v>
      </c>
      <c r="AB274" s="311">
        <f t="shared" si="89"/>
        <v>255033.33333333334</v>
      </c>
      <c r="AC274" s="311">
        <f t="shared" si="97"/>
        <v>1930966.6666666667</v>
      </c>
      <c r="AD274" s="313"/>
      <c r="AE274" s="313"/>
      <c r="AF274" s="1">
        <v>218600</v>
      </c>
      <c r="AG274" s="5">
        <f t="shared" si="92"/>
        <v>-8.333333333333337E-2</v>
      </c>
    </row>
    <row r="275" spans="1:33" s="1" customFormat="1" x14ac:dyDescent="0.25">
      <c r="A275" s="49"/>
      <c r="B275" s="308" t="s">
        <v>1669</v>
      </c>
      <c r="C275" s="314" t="s">
        <v>244</v>
      </c>
      <c r="D275" s="309" t="s">
        <v>774</v>
      </c>
      <c r="E275" s="310"/>
      <c r="F275" s="310"/>
      <c r="G275" s="310" t="s">
        <v>61</v>
      </c>
      <c r="H275" s="310" t="s">
        <v>62</v>
      </c>
      <c r="I275" s="310">
        <v>2023</v>
      </c>
      <c r="J275" s="310"/>
      <c r="K275" s="310" t="s">
        <v>63</v>
      </c>
      <c r="L275" s="310" t="s">
        <v>64</v>
      </c>
      <c r="M275" s="310">
        <v>1</v>
      </c>
      <c r="N275" s="311">
        <f t="shared" si="93"/>
        <v>2186000</v>
      </c>
      <c r="O275" s="311">
        <v>2186000</v>
      </c>
      <c r="P275" s="310"/>
      <c r="Q275" s="310"/>
      <c r="R275" s="310"/>
      <c r="S275" s="311">
        <f t="shared" si="96"/>
        <v>2186000</v>
      </c>
      <c r="T275" s="310">
        <v>5</v>
      </c>
      <c r="U275" s="311">
        <f t="shared" si="86"/>
        <v>437200</v>
      </c>
      <c r="V275" s="312">
        <f t="shared" si="94"/>
        <v>8.3333333333333329E-2</v>
      </c>
      <c r="W275" s="311">
        <f t="shared" si="90"/>
        <v>36433.333333333328</v>
      </c>
      <c r="X275" s="310">
        <v>0.5</v>
      </c>
      <c r="Y275" s="311">
        <f t="shared" si="87"/>
        <v>218600</v>
      </c>
      <c r="Z275" s="311">
        <f t="shared" si="88"/>
        <v>255033.33333333331</v>
      </c>
      <c r="AA275" s="312">
        <f t="shared" si="95"/>
        <v>0.58333333333333337</v>
      </c>
      <c r="AB275" s="311">
        <f t="shared" si="89"/>
        <v>255033.33333333334</v>
      </c>
      <c r="AC275" s="311">
        <f t="shared" si="97"/>
        <v>1930966.6666666667</v>
      </c>
      <c r="AD275" s="313"/>
      <c r="AE275" s="313"/>
      <c r="AF275" s="1">
        <v>218600</v>
      </c>
      <c r="AG275" s="5">
        <f t="shared" si="92"/>
        <v>-8.333333333333337E-2</v>
      </c>
    </row>
    <row r="276" spans="1:33" s="1" customFormat="1" x14ac:dyDescent="0.25">
      <c r="A276" s="49"/>
      <c r="B276" s="308" t="s">
        <v>1669</v>
      </c>
      <c r="C276" s="314" t="s">
        <v>246</v>
      </c>
      <c r="D276" s="309" t="s">
        <v>774</v>
      </c>
      <c r="E276" s="310"/>
      <c r="F276" s="310"/>
      <c r="G276" s="310" t="s">
        <v>61</v>
      </c>
      <c r="H276" s="310" t="s">
        <v>62</v>
      </c>
      <c r="I276" s="310">
        <v>2023</v>
      </c>
      <c r="J276" s="310"/>
      <c r="K276" s="310" t="s">
        <v>63</v>
      </c>
      <c r="L276" s="310" t="s">
        <v>64</v>
      </c>
      <c r="M276" s="310">
        <v>1</v>
      </c>
      <c r="N276" s="311">
        <f t="shared" si="93"/>
        <v>2186000</v>
      </c>
      <c r="O276" s="311">
        <v>2186000</v>
      </c>
      <c r="P276" s="310"/>
      <c r="Q276" s="310"/>
      <c r="R276" s="310"/>
      <c r="S276" s="311">
        <f t="shared" si="96"/>
        <v>2186000</v>
      </c>
      <c r="T276" s="310">
        <v>5</v>
      </c>
      <c r="U276" s="311">
        <f t="shared" si="86"/>
        <v>437200</v>
      </c>
      <c r="V276" s="312">
        <f t="shared" si="94"/>
        <v>8.3333333333333329E-2</v>
      </c>
      <c r="W276" s="311">
        <f t="shared" si="90"/>
        <v>36433.333333333328</v>
      </c>
      <c r="X276" s="310">
        <v>0.5</v>
      </c>
      <c r="Y276" s="311">
        <f t="shared" si="87"/>
        <v>218600</v>
      </c>
      <c r="Z276" s="311">
        <f t="shared" si="88"/>
        <v>255033.33333333331</v>
      </c>
      <c r="AA276" s="312">
        <f t="shared" si="95"/>
        <v>0.58333333333333337</v>
      </c>
      <c r="AB276" s="311">
        <f t="shared" si="89"/>
        <v>255033.33333333334</v>
      </c>
      <c r="AC276" s="311">
        <f t="shared" si="97"/>
        <v>1930966.6666666667</v>
      </c>
      <c r="AD276" s="313"/>
      <c r="AE276" s="313"/>
      <c r="AF276" s="1">
        <v>218600</v>
      </c>
      <c r="AG276" s="5">
        <f t="shared" si="92"/>
        <v>-8.333333333333337E-2</v>
      </c>
    </row>
    <row r="277" spans="1:33" s="1" customFormat="1" x14ac:dyDescent="0.25">
      <c r="A277" s="49"/>
      <c r="B277" s="22" t="s">
        <v>1669</v>
      </c>
      <c r="C277" s="73"/>
      <c r="D277" s="51" t="s">
        <v>780</v>
      </c>
      <c r="E277" s="52"/>
      <c r="F277" s="52"/>
      <c r="G277" s="52" t="s">
        <v>61</v>
      </c>
      <c r="H277" s="52" t="s">
        <v>62</v>
      </c>
      <c r="I277" s="52">
        <v>2022</v>
      </c>
      <c r="J277" s="52"/>
      <c r="K277" s="52" t="s">
        <v>63</v>
      </c>
      <c r="L277" s="52" t="s">
        <v>64</v>
      </c>
      <c r="M277" s="52">
        <v>1</v>
      </c>
      <c r="N277" s="53">
        <f t="shared" si="93"/>
        <v>1252250</v>
      </c>
      <c r="O277" s="53">
        <v>1252250</v>
      </c>
      <c r="P277" s="52"/>
      <c r="Q277" s="52"/>
      <c r="R277" s="52"/>
      <c r="S277" s="53">
        <f t="shared" si="96"/>
        <v>1252250</v>
      </c>
      <c r="T277" s="52">
        <v>5</v>
      </c>
      <c r="U277" s="53">
        <f t="shared" si="86"/>
        <v>250450</v>
      </c>
      <c r="V277" s="52">
        <v>0.5</v>
      </c>
      <c r="W277" s="53">
        <f t="shared" si="90"/>
        <v>125225</v>
      </c>
      <c r="X277" s="24">
        <v>0.5</v>
      </c>
      <c r="Y277" s="41">
        <f t="shared" ref="Y277:Y303" si="98">SUM(U277*X277)</f>
        <v>125225</v>
      </c>
      <c r="Z277" s="41">
        <f t="shared" ref="Z277:Z303" si="99">SUM(W277+Y277)</f>
        <v>250450</v>
      </c>
      <c r="AA277" s="72">
        <f>1/12+0.5+0.5</f>
        <v>1.0833333333333335</v>
      </c>
      <c r="AB277" s="41">
        <f t="shared" ref="AB277:AB278" si="100">SUM(U277*AA277)</f>
        <v>271320.83333333337</v>
      </c>
      <c r="AC277" s="41">
        <f t="shared" si="97"/>
        <v>980929.16666666663</v>
      </c>
      <c r="AD277" s="70" t="s">
        <v>647</v>
      </c>
      <c r="AE277" s="70"/>
      <c r="AF277" s="1">
        <v>20870.833333333332</v>
      </c>
      <c r="AG277" s="5">
        <f t="shared" si="91"/>
        <v>0</v>
      </c>
    </row>
    <row r="278" spans="1:33" s="1" customFormat="1" x14ac:dyDescent="0.25">
      <c r="A278" s="49"/>
      <c r="B278" s="22" t="s">
        <v>1669</v>
      </c>
      <c r="C278" s="73"/>
      <c r="D278" s="51" t="s">
        <v>780</v>
      </c>
      <c r="E278" s="52"/>
      <c r="F278" s="52"/>
      <c r="G278" s="52" t="s">
        <v>61</v>
      </c>
      <c r="H278" s="52" t="s">
        <v>62</v>
      </c>
      <c r="I278" s="52">
        <v>2022</v>
      </c>
      <c r="J278" s="52"/>
      <c r="K278" s="52" t="s">
        <v>63</v>
      </c>
      <c r="L278" s="52" t="s">
        <v>64</v>
      </c>
      <c r="M278" s="52">
        <v>1</v>
      </c>
      <c r="N278" s="53">
        <f t="shared" si="93"/>
        <v>1252250</v>
      </c>
      <c r="O278" s="53">
        <v>1252250</v>
      </c>
      <c r="P278" s="52"/>
      <c r="Q278" s="52"/>
      <c r="R278" s="52"/>
      <c r="S278" s="53">
        <f t="shared" si="96"/>
        <v>1252250</v>
      </c>
      <c r="T278" s="52">
        <v>5</v>
      </c>
      <c r="U278" s="53">
        <f t="shared" si="86"/>
        <v>250450</v>
      </c>
      <c r="V278" s="52">
        <v>0.5</v>
      </c>
      <c r="W278" s="53">
        <f t="shared" si="90"/>
        <v>125225</v>
      </c>
      <c r="X278" s="24">
        <v>0.5</v>
      </c>
      <c r="Y278" s="41">
        <f t="shared" si="98"/>
        <v>125225</v>
      </c>
      <c r="Z278" s="41">
        <f t="shared" si="99"/>
        <v>250450</v>
      </c>
      <c r="AA278" s="72">
        <f>1/12+0.5+0.5</f>
        <v>1.0833333333333335</v>
      </c>
      <c r="AB278" s="41">
        <f t="shared" si="100"/>
        <v>271320.83333333337</v>
      </c>
      <c r="AC278" s="41">
        <f t="shared" si="97"/>
        <v>980929.16666666663</v>
      </c>
      <c r="AD278" s="70" t="s">
        <v>647</v>
      </c>
      <c r="AE278" s="70"/>
      <c r="AF278" s="1">
        <v>20870.833333333332</v>
      </c>
      <c r="AG278" s="5">
        <f t="shared" si="91"/>
        <v>0</v>
      </c>
    </row>
    <row r="279" spans="1:33" s="1" customFormat="1" x14ac:dyDescent="0.25">
      <c r="A279" s="49"/>
      <c r="B279" s="22" t="s">
        <v>1670</v>
      </c>
      <c r="C279" s="22" t="s">
        <v>327</v>
      </c>
      <c r="D279" s="51" t="s">
        <v>743</v>
      </c>
      <c r="E279" s="24" t="s">
        <v>166</v>
      </c>
      <c r="F279" s="24"/>
      <c r="G279" s="24" t="s">
        <v>319</v>
      </c>
      <c r="H279" s="24" t="s">
        <v>62</v>
      </c>
      <c r="I279" s="24">
        <v>2012</v>
      </c>
      <c r="J279" s="24"/>
      <c r="K279" s="24" t="s">
        <v>63</v>
      </c>
      <c r="L279" s="24" t="s">
        <v>64</v>
      </c>
      <c r="M279" s="24">
        <v>20</v>
      </c>
      <c r="N279" s="41">
        <f t="shared" si="93"/>
        <v>425000</v>
      </c>
      <c r="O279" s="41">
        <v>8500000</v>
      </c>
      <c r="P279" s="24"/>
      <c r="Q279" s="24"/>
      <c r="R279" s="24"/>
      <c r="S279" s="41">
        <f t="shared" si="96"/>
        <v>8500000</v>
      </c>
      <c r="T279" s="24">
        <v>5</v>
      </c>
      <c r="U279" s="41"/>
      <c r="V279" s="24">
        <v>0.5</v>
      </c>
      <c r="W279" s="41">
        <f t="shared" si="90"/>
        <v>0</v>
      </c>
      <c r="X279" s="24"/>
      <c r="Y279" s="41">
        <f t="shared" si="98"/>
        <v>0</v>
      </c>
      <c r="Z279" s="41">
        <f t="shared" si="99"/>
        <v>0</v>
      </c>
      <c r="AA279" s="24">
        <v>5</v>
      </c>
      <c r="AB279" s="41">
        <v>8500000</v>
      </c>
      <c r="AC279" s="41">
        <f t="shared" si="97"/>
        <v>0</v>
      </c>
      <c r="AD279" s="70" t="s">
        <v>744</v>
      </c>
      <c r="AE279" s="70"/>
      <c r="AF279" s="1">
        <v>8500000</v>
      </c>
      <c r="AG279" s="5">
        <f t="shared" si="91"/>
        <v>0</v>
      </c>
    </row>
    <row r="280" spans="1:33" s="1" customFormat="1" x14ac:dyDescent="0.25">
      <c r="A280" s="49"/>
      <c r="B280" s="22" t="s">
        <v>1670</v>
      </c>
      <c r="C280" s="22" t="s">
        <v>745</v>
      </c>
      <c r="D280" s="51" t="s">
        <v>743</v>
      </c>
      <c r="E280" s="24" t="s">
        <v>166</v>
      </c>
      <c r="F280" s="24"/>
      <c r="G280" s="24" t="s">
        <v>319</v>
      </c>
      <c r="H280" s="24" t="s">
        <v>62</v>
      </c>
      <c r="I280" s="24">
        <v>2012</v>
      </c>
      <c r="J280" s="24"/>
      <c r="K280" s="24" t="s">
        <v>63</v>
      </c>
      <c r="L280" s="24" t="s">
        <v>64</v>
      </c>
      <c r="M280" s="24">
        <v>80</v>
      </c>
      <c r="N280" s="41">
        <f t="shared" si="93"/>
        <v>425000</v>
      </c>
      <c r="O280" s="41">
        <v>34000000</v>
      </c>
      <c r="P280" s="24"/>
      <c r="Q280" s="24"/>
      <c r="R280" s="24"/>
      <c r="S280" s="41">
        <f t="shared" si="96"/>
        <v>34000000</v>
      </c>
      <c r="T280" s="24">
        <v>5</v>
      </c>
      <c r="U280" s="41"/>
      <c r="V280" s="24">
        <v>0.5</v>
      </c>
      <c r="W280" s="41">
        <f t="shared" si="90"/>
        <v>0</v>
      </c>
      <c r="X280" s="24"/>
      <c r="Y280" s="41">
        <f t="shared" si="98"/>
        <v>0</v>
      </c>
      <c r="Z280" s="41">
        <f t="shared" si="99"/>
        <v>0</v>
      </c>
      <c r="AA280" s="24">
        <v>5</v>
      </c>
      <c r="AB280" s="41">
        <v>34000000</v>
      </c>
      <c r="AC280" s="41">
        <f t="shared" si="97"/>
        <v>0</v>
      </c>
      <c r="AD280" s="70" t="s">
        <v>746</v>
      </c>
      <c r="AE280" s="70"/>
      <c r="AF280" s="1">
        <v>34000000</v>
      </c>
      <c r="AG280" s="5">
        <f t="shared" si="91"/>
        <v>0</v>
      </c>
    </row>
    <row r="281" spans="1:33" s="1" customFormat="1" x14ac:dyDescent="0.25">
      <c r="A281" s="49"/>
      <c r="B281" s="22" t="s">
        <v>1670</v>
      </c>
      <c r="C281" s="22" t="s">
        <v>747</v>
      </c>
      <c r="D281" s="51" t="s">
        <v>748</v>
      </c>
      <c r="E281" s="24" t="s">
        <v>749</v>
      </c>
      <c r="F281" s="24"/>
      <c r="G281" s="24" t="s">
        <v>319</v>
      </c>
      <c r="H281" s="24" t="s">
        <v>62</v>
      </c>
      <c r="I281" s="24">
        <v>2012</v>
      </c>
      <c r="J281" s="24"/>
      <c r="K281" s="24" t="s">
        <v>63</v>
      </c>
      <c r="L281" s="24" t="s">
        <v>64</v>
      </c>
      <c r="M281" s="24">
        <v>80</v>
      </c>
      <c r="N281" s="41">
        <f t="shared" si="93"/>
        <v>499400</v>
      </c>
      <c r="O281" s="41">
        <v>39952000</v>
      </c>
      <c r="P281" s="24"/>
      <c r="Q281" s="24"/>
      <c r="R281" s="24"/>
      <c r="S281" s="41">
        <f t="shared" si="96"/>
        <v>39952000</v>
      </c>
      <c r="T281" s="24">
        <v>5</v>
      </c>
      <c r="U281" s="41"/>
      <c r="V281" s="24">
        <v>0.5</v>
      </c>
      <c r="W281" s="41">
        <f t="shared" si="90"/>
        <v>0</v>
      </c>
      <c r="X281" s="24"/>
      <c r="Y281" s="41">
        <f t="shared" si="98"/>
        <v>0</v>
      </c>
      <c r="Z281" s="41">
        <f t="shared" si="99"/>
        <v>0</v>
      </c>
      <c r="AA281" s="24">
        <v>5</v>
      </c>
      <c r="AB281" s="41">
        <v>39952000</v>
      </c>
      <c r="AC281" s="41">
        <f t="shared" si="97"/>
        <v>0</v>
      </c>
      <c r="AD281" s="70" t="s">
        <v>750</v>
      </c>
      <c r="AE281" s="70"/>
      <c r="AF281" s="1">
        <v>39952000</v>
      </c>
      <c r="AG281" s="5">
        <f t="shared" si="91"/>
        <v>0</v>
      </c>
    </row>
    <row r="282" spans="1:33" s="1" customFormat="1" x14ac:dyDescent="0.25">
      <c r="A282" s="49"/>
      <c r="B282" s="22" t="s">
        <v>1670</v>
      </c>
      <c r="C282" s="22" t="s">
        <v>751</v>
      </c>
      <c r="D282" s="51" t="s">
        <v>748</v>
      </c>
      <c r="E282" s="24" t="s">
        <v>749</v>
      </c>
      <c r="F282" s="24"/>
      <c r="G282" s="24" t="s">
        <v>319</v>
      </c>
      <c r="H282" s="24" t="s">
        <v>62</v>
      </c>
      <c r="I282" s="24">
        <v>2012</v>
      </c>
      <c r="J282" s="24"/>
      <c r="K282" s="24" t="s">
        <v>63</v>
      </c>
      <c r="L282" s="24" t="s">
        <v>64</v>
      </c>
      <c r="M282" s="24">
        <v>20</v>
      </c>
      <c r="N282" s="41">
        <f t="shared" si="93"/>
        <v>499400</v>
      </c>
      <c r="O282" s="41">
        <v>9988000</v>
      </c>
      <c r="P282" s="24"/>
      <c r="Q282" s="24"/>
      <c r="R282" s="24"/>
      <c r="S282" s="41">
        <f t="shared" si="96"/>
        <v>9988000</v>
      </c>
      <c r="T282" s="24">
        <v>5</v>
      </c>
      <c r="U282" s="41"/>
      <c r="V282" s="24">
        <v>0.5</v>
      </c>
      <c r="W282" s="41">
        <f t="shared" si="90"/>
        <v>0</v>
      </c>
      <c r="X282" s="24"/>
      <c r="Y282" s="41">
        <f t="shared" si="98"/>
        <v>0</v>
      </c>
      <c r="Z282" s="41">
        <f t="shared" si="99"/>
        <v>0</v>
      </c>
      <c r="AA282" s="24">
        <v>5</v>
      </c>
      <c r="AB282" s="41">
        <v>9988000</v>
      </c>
      <c r="AC282" s="41">
        <f t="shared" si="97"/>
        <v>0</v>
      </c>
      <c r="AD282" s="70" t="s">
        <v>744</v>
      </c>
      <c r="AE282" s="70"/>
      <c r="AF282" s="1">
        <v>9988000</v>
      </c>
      <c r="AG282" s="5">
        <f t="shared" si="91"/>
        <v>0</v>
      </c>
    </row>
    <row r="283" spans="1:33" s="1" customFormat="1" x14ac:dyDescent="0.25">
      <c r="A283" s="49"/>
      <c r="B283" s="22" t="s">
        <v>1671</v>
      </c>
      <c r="C283" s="22" t="s">
        <v>726</v>
      </c>
      <c r="D283" s="51" t="s">
        <v>1038</v>
      </c>
      <c r="E283" s="24" t="s">
        <v>166</v>
      </c>
      <c r="F283" s="24"/>
      <c r="G283" s="24" t="s">
        <v>319</v>
      </c>
      <c r="H283" s="24" t="s">
        <v>62</v>
      </c>
      <c r="I283" s="24">
        <v>2003</v>
      </c>
      <c r="J283" s="24"/>
      <c r="K283" s="24" t="s">
        <v>63</v>
      </c>
      <c r="L283" s="24" t="s">
        <v>212</v>
      </c>
      <c r="M283" s="24">
        <v>40</v>
      </c>
      <c r="N283" s="41">
        <f t="shared" si="93"/>
        <v>300000</v>
      </c>
      <c r="O283" s="41">
        <v>12000000</v>
      </c>
      <c r="P283" s="24"/>
      <c r="Q283" s="24"/>
      <c r="R283" s="24"/>
      <c r="S283" s="41">
        <f t="shared" si="96"/>
        <v>12000000</v>
      </c>
      <c r="T283" s="24">
        <v>5</v>
      </c>
      <c r="U283" s="41"/>
      <c r="V283" s="24">
        <v>0.5</v>
      </c>
      <c r="W283" s="41">
        <f t="shared" si="90"/>
        <v>0</v>
      </c>
      <c r="X283" s="24"/>
      <c r="Y283" s="41">
        <f t="shared" si="98"/>
        <v>0</v>
      </c>
      <c r="Z283" s="41">
        <f t="shared" si="99"/>
        <v>0</v>
      </c>
      <c r="AA283" s="72">
        <v>5</v>
      </c>
      <c r="AB283" s="41">
        <v>12000000</v>
      </c>
      <c r="AC283" s="41">
        <f t="shared" si="97"/>
        <v>0</v>
      </c>
      <c r="AD283" s="70" t="s">
        <v>1039</v>
      </c>
      <c r="AE283" s="70"/>
      <c r="AF283" s="1">
        <v>12000000</v>
      </c>
      <c r="AG283" s="5">
        <f t="shared" si="91"/>
        <v>0</v>
      </c>
    </row>
    <row r="284" spans="1:33" s="1" customFormat="1" x14ac:dyDescent="0.25">
      <c r="A284" s="49"/>
      <c r="B284" s="22" t="s">
        <v>1671</v>
      </c>
      <c r="C284" s="22" t="s">
        <v>718</v>
      </c>
      <c r="D284" s="51" t="s">
        <v>1038</v>
      </c>
      <c r="E284" s="24" t="s">
        <v>166</v>
      </c>
      <c r="F284" s="24"/>
      <c r="G284" s="24" t="s">
        <v>319</v>
      </c>
      <c r="H284" s="24" t="s">
        <v>62</v>
      </c>
      <c r="I284" s="24">
        <v>2003</v>
      </c>
      <c r="J284" s="24"/>
      <c r="K284" s="24" t="s">
        <v>63</v>
      </c>
      <c r="L284" s="24" t="s">
        <v>212</v>
      </c>
      <c r="M284" s="24">
        <v>40</v>
      </c>
      <c r="N284" s="41">
        <f t="shared" si="93"/>
        <v>300000</v>
      </c>
      <c r="O284" s="41">
        <v>12000000</v>
      </c>
      <c r="P284" s="24"/>
      <c r="Q284" s="24"/>
      <c r="R284" s="24"/>
      <c r="S284" s="41">
        <f t="shared" si="96"/>
        <v>12000000</v>
      </c>
      <c r="T284" s="24">
        <v>5</v>
      </c>
      <c r="U284" s="41"/>
      <c r="V284" s="24">
        <v>0.5</v>
      </c>
      <c r="W284" s="41">
        <f t="shared" si="90"/>
        <v>0</v>
      </c>
      <c r="X284" s="24"/>
      <c r="Y284" s="41">
        <f t="shared" si="98"/>
        <v>0</v>
      </c>
      <c r="Z284" s="41">
        <f t="shared" si="99"/>
        <v>0</v>
      </c>
      <c r="AA284" s="72">
        <v>5</v>
      </c>
      <c r="AB284" s="41">
        <v>12000000</v>
      </c>
      <c r="AC284" s="41">
        <f t="shared" si="97"/>
        <v>0</v>
      </c>
      <c r="AD284" s="70" t="s">
        <v>612</v>
      </c>
      <c r="AE284" s="70"/>
      <c r="AF284" s="1">
        <v>12000000</v>
      </c>
      <c r="AG284" s="5">
        <f t="shared" si="91"/>
        <v>0</v>
      </c>
    </row>
    <row r="285" spans="1:33" s="1" customFormat="1" x14ac:dyDescent="0.25">
      <c r="A285" s="49"/>
      <c r="B285" s="22" t="s">
        <v>1671</v>
      </c>
      <c r="C285" s="22" t="s">
        <v>1040</v>
      </c>
      <c r="D285" s="51" t="s">
        <v>1038</v>
      </c>
      <c r="E285" s="24" t="s">
        <v>166</v>
      </c>
      <c r="F285" s="24"/>
      <c r="G285" s="24" t="s">
        <v>319</v>
      </c>
      <c r="H285" s="24" t="s">
        <v>62</v>
      </c>
      <c r="I285" s="24">
        <v>2008</v>
      </c>
      <c r="J285" s="24"/>
      <c r="K285" s="24" t="s">
        <v>63</v>
      </c>
      <c r="L285" s="24" t="s">
        <v>64</v>
      </c>
      <c r="M285" s="24">
        <v>4</v>
      </c>
      <c r="N285" s="41">
        <f t="shared" si="93"/>
        <v>1490000</v>
      </c>
      <c r="O285" s="41">
        <v>5960000</v>
      </c>
      <c r="P285" s="24"/>
      <c r="Q285" s="24"/>
      <c r="R285" s="24"/>
      <c r="S285" s="41">
        <f t="shared" si="96"/>
        <v>5960000</v>
      </c>
      <c r="T285" s="24">
        <v>5</v>
      </c>
      <c r="U285" s="41"/>
      <c r="V285" s="24">
        <v>0.5</v>
      </c>
      <c r="W285" s="41">
        <f t="shared" si="90"/>
        <v>0</v>
      </c>
      <c r="X285" s="24"/>
      <c r="Y285" s="41">
        <f t="shared" si="98"/>
        <v>0</v>
      </c>
      <c r="Z285" s="41">
        <f t="shared" si="99"/>
        <v>0</v>
      </c>
      <c r="AA285" s="72">
        <v>5</v>
      </c>
      <c r="AB285" s="41">
        <v>5960000</v>
      </c>
      <c r="AC285" s="41">
        <f t="shared" si="97"/>
        <v>0</v>
      </c>
      <c r="AD285" s="70" t="s">
        <v>772</v>
      </c>
      <c r="AE285" s="70"/>
      <c r="AF285" s="1">
        <v>5960000</v>
      </c>
      <c r="AG285" s="5">
        <f t="shared" si="91"/>
        <v>0</v>
      </c>
    </row>
    <row r="286" spans="1:33" s="1" customFormat="1" x14ac:dyDescent="0.25">
      <c r="A286" s="49"/>
      <c r="B286" s="22" t="s">
        <v>1671</v>
      </c>
      <c r="C286" s="22" t="s">
        <v>1041</v>
      </c>
      <c r="D286" s="51" t="s">
        <v>1038</v>
      </c>
      <c r="E286" s="24" t="s">
        <v>166</v>
      </c>
      <c r="F286" s="24"/>
      <c r="G286" s="24" t="s">
        <v>319</v>
      </c>
      <c r="H286" s="24" t="s">
        <v>62</v>
      </c>
      <c r="I286" s="24">
        <v>2008</v>
      </c>
      <c r="J286" s="24"/>
      <c r="K286" s="24" t="s">
        <v>63</v>
      </c>
      <c r="L286" s="24" t="s">
        <v>64</v>
      </c>
      <c r="M286" s="24">
        <v>4</v>
      </c>
      <c r="N286" s="41">
        <f t="shared" si="93"/>
        <v>1490000</v>
      </c>
      <c r="O286" s="41">
        <v>5960000</v>
      </c>
      <c r="P286" s="24"/>
      <c r="Q286" s="24"/>
      <c r="R286" s="24"/>
      <c r="S286" s="41">
        <f t="shared" si="96"/>
        <v>5960000</v>
      </c>
      <c r="T286" s="24">
        <v>5</v>
      </c>
      <c r="U286" s="41"/>
      <c r="V286" s="24">
        <v>0.5</v>
      </c>
      <c r="W286" s="41">
        <f t="shared" si="90"/>
        <v>0</v>
      </c>
      <c r="X286" s="24"/>
      <c r="Y286" s="41">
        <f t="shared" si="98"/>
        <v>0</v>
      </c>
      <c r="Z286" s="41">
        <f t="shared" si="99"/>
        <v>0</v>
      </c>
      <c r="AA286" s="24">
        <v>5</v>
      </c>
      <c r="AB286" s="41">
        <v>5960000</v>
      </c>
      <c r="AC286" s="41">
        <f t="shared" si="97"/>
        <v>0</v>
      </c>
      <c r="AD286" s="70" t="s">
        <v>597</v>
      </c>
      <c r="AE286" s="70"/>
      <c r="AF286" s="1">
        <v>5960000</v>
      </c>
      <c r="AG286" s="5">
        <f t="shared" si="91"/>
        <v>0</v>
      </c>
    </row>
    <row r="287" spans="1:33" s="1" customFormat="1" x14ac:dyDescent="0.25">
      <c r="A287" s="49"/>
      <c r="B287" s="22" t="s">
        <v>1671</v>
      </c>
      <c r="C287" s="22" t="s">
        <v>1042</v>
      </c>
      <c r="D287" s="51" t="s">
        <v>1038</v>
      </c>
      <c r="E287" s="24" t="s">
        <v>166</v>
      </c>
      <c r="F287" s="24"/>
      <c r="G287" s="24" t="s">
        <v>319</v>
      </c>
      <c r="H287" s="24" t="s">
        <v>62</v>
      </c>
      <c r="I287" s="24">
        <v>2008</v>
      </c>
      <c r="J287" s="24"/>
      <c r="K287" s="24" t="s">
        <v>63</v>
      </c>
      <c r="L287" s="24" t="s">
        <v>64</v>
      </c>
      <c r="M287" s="24">
        <v>4</v>
      </c>
      <c r="N287" s="41">
        <f t="shared" si="93"/>
        <v>1490000</v>
      </c>
      <c r="O287" s="41">
        <v>5960000</v>
      </c>
      <c r="P287" s="24"/>
      <c r="Q287" s="24"/>
      <c r="R287" s="24"/>
      <c r="S287" s="41">
        <f t="shared" si="96"/>
        <v>5960000</v>
      </c>
      <c r="T287" s="24">
        <v>5</v>
      </c>
      <c r="U287" s="41"/>
      <c r="V287" s="24">
        <v>0.5</v>
      </c>
      <c r="W287" s="41">
        <f t="shared" si="90"/>
        <v>0</v>
      </c>
      <c r="X287" s="24"/>
      <c r="Y287" s="41">
        <f t="shared" si="98"/>
        <v>0</v>
      </c>
      <c r="Z287" s="41">
        <f t="shared" si="99"/>
        <v>0</v>
      </c>
      <c r="AA287" s="24">
        <v>5</v>
      </c>
      <c r="AB287" s="41">
        <v>5960000</v>
      </c>
      <c r="AC287" s="41">
        <f t="shared" si="97"/>
        <v>0</v>
      </c>
      <c r="AD287" s="70" t="s">
        <v>351</v>
      </c>
      <c r="AE287" s="70"/>
      <c r="AF287" s="1">
        <v>5960000</v>
      </c>
      <c r="AG287" s="5">
        <f t="shared" si="91"/>
        <v>0</v>
      </c>
    </row>
    <row r="288" spans="1:33" s="1" customFormat="1" x14ac:dyDescent="0.25">
      <c r="A288" s="49"/>
      <c r="B288" s="22" t="s">
        <v>1671</v>
      </c>
      <c r="C288" s="22" t="s">
        <v>1043</v>
      </c>
      <c r="D288" s="51" t="s">
        <v>1038</v>
      </c>
      <c r="E288" s="24" t="s">
        <v>166</v>
      </c>
      <c r="F288" s="24"/>
      <c r="G288" s="24" t="s">
        <v>319</v>
      </c>
      <c r="H288" s="24" t="s">
        <v>62</v>
      </c>
      <c r="I288" s="24">
        <v>2008</v>
      </c>
      <c r="J288" s="24"/>
      <c r="K288" s="24" t="s">
        <v>63</v>
      </c>
      <c r="L288" s="24" t="s">
        <v>64</v>
      </c>
      <c r="M288" s="24">
        <v>4</v>
      </c>
      <c r="N288" s="41">
        <f t="shared" si="93"/>
        <v>1490000</v>
      </c>
      <c r="O288" s="41">
        <v>5960000</v>
      </c>
      <c r="P288" s="24"/>
      <c r="Q288" s="24"/>
      <c r="R288" s="24"/>
      <c r="S288" s="41">
        <f t="shared" si="96"/>
        <v>5960000</v>
      </c>
      <c r="T288" s="24">
        <v>5</v>
      </c>
      <c r="U288" s="41"/>
      <c r="V288" s="24">
        <v>0.5</v>
      </c>
      <c r="W288" s="41">
        <f t="shared" si="90"/>
        <v>0</v>
      </c>
      <c r="X288" s="52"/>
      <c r="Y288" s="53">
        <f t="shared" si="98"/>
        <v>0</v>
      </c>
      <c r="Z288" s="53">
        <f t="shared" si="99"/>
        <v>0</v>
      </c>
      <c r="AA288" s="57">
        <v>5</v>
      </c>
      <c r="AB288" s="53">
        <v>5960000</v>
      </c>
      <c r="AC288" s="53">
        <f t="shared" si="97"/>
        <v>0</v>
      </c>
      <c r="AD288" s="56" t="s">
        <v>601</v>
      </c>
      <c r="AE288" s="70"/>
      <c r="AF288" s="1">
        <v>5960000</v>
      </c>
      <c r="AG288" s="5">
        <f t="shared" si="91"/>
        <v>0</v>
      </c>
    </row>
    <row r="289" spans="1:33" s="1" customFormat="1" x14ac:dyDescent="0.25">
      <c r="A289" s="49"/>
      <c r="B289" s="22" t="s">
        <v>1671</v>
      </c>
      <c r="C289" s="22" t="s">
        <v>1044</v>
      </c>
      <c r="D289" s="51" t="s">
        <v>1038</v>
      </c>
      <c r="E289" s="24" t="s">
        <v>166</v>
      </c>
      <c r="F289" s="24"/>
      <c r="G289" s="24" t="s">
        <v>319</v>
      </c>
      <c r="H289" s="24" t="s">
        <v>62</v>
      </c>
      <c r="I289" s="24">
        <v>2008</v>
      </c>
      <c r="J289" s="24"/>
      <c r="K289" s="24" t="s">
        <v>63</v>
      </c>
      <c r="L289" s="24" t="s">
        <v>64</v>
      </c>
      <c r="M289" s="24">
        <v>4</v>
      </c>
      <c r="N289" s="41">
        <f t="shared" si="93"/>
        <v>1490000</v>
      </c>
      <c r="O289" s="41">
        <v>5960000</v>
      </c>
      <c r="P289" s="24"/>
      <c r="Q289" s="24"/>
      <c r="R289" s="24"/>
      <c r="S289" s="41">
        <f t="shared" si="96"/>
        <v>5960000</v>
      </c>
      <c r="T289" s="24">
        <v>5</v>
      </c>
      <c r="U289" s="41"/>
      <c r="V289" s="24">
        <v>0.5</v>
      </c>
      <c r="W289" s="41">
        <f t="shared" si="90"/>
        <v>0</v>
      </c>
      <c r="X289" s="24"/>
      <c r="Y289" s="41">
        <f t="shared" si="98"/>
        <v>0</v>
      </c>
      <c r="Z289" s="41">
        <f t="shared" si="99"/>
        <v>0</v>
      </c>
      <c r="AA289" s="72">
        <v>5</v>
      </c>
      <c r="AB289" s="41">
        <v>5960000</v>
      </c>
      <c r="AC289" s="41">
        <f t="shared" si="97"/>
        <v>0</v>
      </c>
      <c r="AD289" s="70" t="s">
        <v>605</v>
      </c>
      <c r="AE289" s="70"/>
      <c r="AF289" s="1">
        <v>5960000</v>
      </c>
      <c r="AG289" s="5">
        <f t="shared" si="91"/>
        <v>0</v>
      </c>
    </row>
    <row r="290" spans="1:33" s="1" customFormat="1" x14ac:dyDescent="0.25">
      <c r="A290" s="49"/>
      <c r="B290" s="22" t="s">
        <v>1671</v>
      </c>
      <c r="C290" s="22" t="s">
        <v>1045</v>
      </c>
      <c r="D290" s="51" t="s">
        <v>1046</v>
      </c>
      <c r="E290" s="24" t="s">
        <v>166</v>
      </c>
      <c r="F290" s="24"/>
      <c r="G290" s="24" t="s">
        <v>319</v>
      </c>
      <c r="H290" s="24" t="s">
        <v>62</v>
      </c>
      <c r="I290" s="24">
        <v>2012</v>
      </c>
      <c r="J290" s="24"/>
      <c r="K290" s="24" t="s">
        <v>63</v>
      </c>
      <c r="L290" s="24" t="s">
        <v>64</v>
      </c>
      <c r="M290" s="24">
        <v>40</v>
      </c>
      <c r="N290" s="41">
        <f t="shared" si="93"/>
        <v>2630775</v>
      </c>
      <c r="O290" s="41">
        <v>105231000</v>
      </c>
      <c r="P290" s="24"/>
      <c r="Q290" s="24"/>
      <c r="R290" s="24"/>
      <c r="S290" s="41">
        <f t="shared" si="96"/>
        <v>105231000</v>
      </c>
      <c r="T290" s="24">
        <v>5</v>
      </c>
      <c r="U290" s="41"/>
      <c r="V290" s="24">
        <v>0.5</v>
      </c>
      <c r="W290" s="41">
        <f t="shared" si="90"/>
        <v>0</v>
      </c>
      <c r="X290" s="24"/>
      <c r="Y290" s="53">
        <f t="shared" si="98"/>
        <v>0</v>
      </c>
      <c r="Z290" s="53">
        <f t="shared" si="99"/>
        <v>0</v>
      </c>
      <c r="AA290" s="57">
        <v>5</v>
      </c>
      <c r="AB290" s="53">
        <v>105231000</v>
      </c>
      <c r="AC290" s="53">
        <f t="shared" si="97"/>
        <v>0</v>
      </c>
      <c r="AD290" s="56" t="s">
        <v>1047</v>
      </c>
      <c r="AE290" s="70"/>
      <c r="AF290" s="1">
        <v>105231000</v>
      </c>
      <c r="AG290" s="5">
        <f t="shared" si="91"/>
        <v>0</v>
      </c>
    </row>
    <row r="291" spans="1:33" s="1" customFormat="1" x14ac:dyDescent="0.25">
      <c r="A291" s="49"/>
      <c r="B291" s="22" t="s">
        <v>1672</v>
      </c>
      <c r="C291" s="22" t="s">
        <v>58</v>
      </c>
      <c r="D291" s="51" t="s">
        <v>799</v>
      </c>
      <c r="E291" s="24" t="s">
        <v>166</v>
      </c>
      <c r="F291" s="24"/>
      <c r="G291" s="24" t="s">
        <v>319</v>
      </c>
      <c r="H291" s="24" t="s">
        <v>62</v>
      </c>
      <c r="I291" s="24">
        <v>2012</v>
      </c>
      <c r="J291" s="24"/>
      <c r="K291" s="24" t="s">
        <v>63</v>
      </c>
      <c r="L291" s="24" t="s">
        <v>64</v>
      </c>
      <c r="M291" s="24">
        <v>1</v>
      </c>
      <c r="N291" s="41">
        <f t="shared" si="93"/>
        <v>7953400</v>
      </c>
      <c r="O291" s="41">
        <v>7953400</v>
      </c>
      <c r="P291" s="24"/>
      <c r="Q291" s="24"/>
      <c r="R291" s="24"/>
      <c r="S291" s="41">
        <f t="shared" si="96"/>
        <v>7953400</v>
      </c>
      <c r="T291" s="24">
        <v>5</v>
      </c>
      <c r="U291" s="41"/>
      <c r="V291" s="24">
        <v>0.5</v>
      </c>
      <c r="W291" s="41">
        <f t="shared" si="90"/>
        <v>0</v>
      </c>
      <c r="X291" s="57"/>
      <c r="Y291" s="53">
        <f t="shared" si="98"/>
        <v>0</v>
      </c>
      <c r="Z291" s="53">
        <f t="shared" si="99"/>
        <v>0</v>
      </c>
      <c r="AA291" s="57">
        <v>5</v>
      </c>
      <c r="AB291" s="53">
        <v>7953400</v>
      </c>
      <c r="AC291" s="53">
        <f t="shared" si="97"/>
        <v>0</v>
      </c>
      <c r="AD291" s="56" t="s">
        <v>800</v>
      </c>
      <c r="AE291" s="70"/>
      <c r="AF291" s="1">
        <v>7953400</v>
      </c>
      <c r="AG291" s="5">
        <f t="shared" si="91"/>
        <v>0</v>
      </c>
    </row>
    <row r="292" spans="1:33" s="1" customFormat="1" x14ac:dyDescent="0.25">
      <c r="A292" s="49"/>
      <c r="B292" s="22" t="s">
        <v>1673</v>
      </c>
      <c r="C292" s="22" t="s">
        <v>657</v>
      </c>
      <c r="D292" s="51" t="s">
        <v>830</v>
      </c>
      <c r="E292" s="24" t="s">
        <v>166</v>
      </c>
      <c r="F292" s="24"/>
      <c r="G292" s="24" t="s">
        <v>319</v>
      </c>
      <c r="H292" s="24" t="s">
        <v>62</v>
      </c>
      <c r="I292" s="24">
        <v>2014</v>
      </c>
      <c r="J292" s="24"/>
      <c r="K292" s="24" t="s">
        <v>63</v>
      </c>
      <c r="L292" s="24" t="s">
        <v>64</v>
      </c>
      <c r="M292" s="24">
        <v>3</v>
      </c>
      <c r="N292" s="41">
        <f t="shared" si="93"/>
        <v>2464000</v>
      </c>
      <c r="O292" s="41">
        <v>7392000</v>
      </c>
      <c r="P292" s="24"/>
      <c r="Q292" s="24"/>
      <c r="R292" s="24"/>
      <c r="S292" s="41">
        <f t="shared" si="96"/>
        <v>7392000</v>
      </c>
      <c r="T292" s="24">
        <v>5</v>
      </c>
      <c r="U292" s="41"/>
      <c r="V292" s="24">
        <v>0.5</v>
      </c>
      <c r="W292" s="41">
        <f t="shared" si="90"/>
        <v>0</v>
      </c>
      <c r="X292" s="57"/>
      <c r="Y292" s="53">
        <f t="shared" si="98"/>
        <v>0</v>
      </c>
      <c r="Z292" s="53">
        <f t="shared" si="99"/>
        <v>0</v>
      </c>
      <c r="AA292" s="54">
        <v>5</v>
      </c>
      <c r="AB292" s="53">
        <v>7392000</v>
      </c>
      <c r="AC292" s="53">
        <f t="shared" si="97"/>
        <v>0</v>
      </c>
      <c r="AD292" s="56" t="s">
        <v>320</v>
      </c>
      <c r="AE292" s="56"/>
      <c r="AF292" s="1">
        <v>7392000</v>
      </c>
      <c r="AG292" s="5">
        <f t="shared" si="91"/>
        <v>0</v>
      </c>
    </row>
    <row r="293" spans="1:33" s="1" customFormat="1" x14ac:dyDescent="0.25">
      <c r="A293" s="49"/>
      <c r="B293" s="22" t="s">
        <v>1673</v>
      </c>
      <c r="C293" s="22" t="s">
        <v>831</v>
      </c>
      <c r="D293" s="51" t="s">
        <v>830</v>
      </c>
      <c r="E293" s="24" t="s">
        <v>166</v>
      </c>
      <c r="F293" s="24"/>
      <c r="G293" s="24" t="s">
        <v>319</v>
      </c>
      <c r="H293" s="24" t="s">
        <v>62</v>
      </c>
      <c r="I293" s="24">
        <v>2014</v>
      </c>
      <c r="J293" s="24"/>
      <c r="K293" s="24" t="s">
        <v>63</v>
      </c>
      <c r="L293" s="24" t="s">
        <v>64</v>
      </c>
      <c r="M293" s="24">
        <v>3</v>
      </c>
      <c r="N293" s="41">
        <f t="shared" si="93"/>
        <v>2464000</v>
      </c>
      <c r="O293" s="41">
        <v>7392000</v>
      </c>
      <c r="P293" s="24"/>
      <c r="Q293" s="24"/>
      <c r="R293" s="24"/>
      <c r="S293" s="41">
        <f t="shared" si="96"/>
        <v>7392000</v>
      </c>
      <c r="T293" s="24">
        <v>5</v>
      </c>
      <c r="U293" s="41"/>
      <c r="V293" s="24">
        <v>0.5</v>
      </c>
      <c r="W293" s="41">
        <f t="shared" si="90"/>
        <v>0</v>
      </c>
      <c r="X293" s="57"/>
      <c r="Y293" s="53">
        <f t="shared" si="98"/>
        <v>0</v>
      </c>
      <c r="Z293" s="53">
        <f t="shared" si="99"/>
        <v>0</v>
      </c>
      <c r="AA293" s="54">
        <v>5</v>
      </c>
      <c r="AB293" s="53">
        <v>7392000</v>
      </c>
      <c r="AC293" s="53">
        <f t="shared" si="97"/>
        <v>0</v>
      </c>
      <c r="AD293" s="56" t="s">
        <v>322</v>
      </c>
      <c r="AE293" s="56"/>
      <c r="AF293" s="1">
        <v>7392000</v>
      </c>
      <c r="AG293" s="5">
        <f t="shared" si="91"/>
        <v>0</v>
      </c>
    </row>
    <row r="294" spans="1:33" s="1" customFormat="1" x14ac:dyDescent="0.25">
      <c r="A294" s="49"/>
      <c r="B294" s="22" t="s">
        <v>1673</v>
      </c>
      <c r="C294" s="22" t="s">
        <v>693</v>
      </c>
      <c r="D294" s="51" t="s">
        <v>830</v>
      </c>
      <c r="E294" s="24" t="s">
        <v>166</v>
      </c>
      <c r="F294" s="24"/>
      <c r="G294" s="24" t="s">
        <v>319</v>
      </c>
      <c r="H294" s="24" t="s">
        <v>62</v>
      </c>
      <c r="I294" s="24">
        <v>2014</v>
      </c>
      <c r="J294" s="24"/>
      <c r="K294" s="24" t="s">
        <v>63</v>
      </c>
      <c r="L294" s="24" t="s">
        <v>64</v>
      </c>
      <c r="M294" s="24">
        <v>3</v>
      </c>
      <c r="N294" s="41">
        <f t="shared" si="93"/>
        <v>2464000</v>
      </c>
      <c r="O294" s="41">
        <v>7392000</v>
      </c>
      <c r="P294" s="24"/>
      <c r="Q294" s="24"/>
      <c r="R294" s="24"/>
      <c r="S294" s="41">
        <f t="shared" si="96"/>
        <v>7392000</v>
      </c>
      <c r="T294" s="24">
        <v>5</v>
      </c>
      <c r="U294" s="41"/>
      <c r="V294" s="24">
        <v>0.5</v>
      </c>
      <c r="W294" s="41">
        <f t="shared" si="90"/>
        <v>0</v>
      </c>
      <c r="X294" s="57"/>
      <c r="Y294" s="53">
        <f t="shared" si="98"/>
        <v>0</v>
      </c>
      <c r="Z294" s="53">
        <f t="shared" si="99"/>
        <v>0</v>
      </c>
      <c r="AA294" s="54">
        <v>5</v>
      </c>
      <c r="AB294" s="53">
        <v>7392000</v>
      </c>
      <c r="AC294" s="53">
        <f t="shared" si="97"/>
        <v>0</v>
      </c>
      <c r="AD294" s="56" t="s">
        <v>324</v>
      </c>
      <c r="AE294" s="56"/>
      <c r="AF294" s="1">
        <v>7392000</v>
      </c>
      <c r="AG294" s="5">
        <f t="shared" si="91"/>
        <v>0</v>
      </c>
    </row>
    <row r="295" spans="1:33" s="1" customFormat="1" x14ac:dyDescent="0.25">
      <c r="A295" s="49"/>
      <c r="B295" s="22" t="s">
        <v>1673</v>
      </c>
      <c r="C295" s="22" t="s">
        <v>832</v>
      </c>
      <c r="D295" s="51" t="s">
        <v>830</v>
      </c>
      <c r="E295" s="24" t="s">
        <v>166</v>
      </c>
      <c r="F295" s="24"/>
      <c r="G295" s="24" t="s">
        <v>319</v>
      </c>
      <c r="H295" s="24" t="s">
        <v>62</v>
      </c>
      <c r="I295" s="24">
        <v>2014</v>
      </c>
      <c r="J295" s="24"/>
      <c r="K295" s="24" t="s">
        <v>63</v>
      </c>
      <c r="L295" s="24" t="s">
        <v>64</v>
      </c>
      <c r="M295" s="24">
        <v>3</v>
      </c>
      <c r="N295" s="41">
        <f t="shared" si="93"/>
        <v>2464000</v>
      </c>
      <c r="O295" s="41">
        <v>7392000</v>
      </c>
      <c r="P295" s="24"/>
      <c r="Q295" s="24"/>
      <c r="R295" s="24"/>
      <c r="S295" s="41">
        <f t="shared" si="96"/>
        <v>7392000</v>
      </c>
      <c r="T295" s="24">
        <v>5</v>
      </c>
      <c r="U295" s="41"/>
      <c r="V295" s="24">
        <v>0.5</v>
      </c>
      <c r="W295" s="41">
        <f t="shared" si="90"/>
        <v>0</v>
      </c>
      <c r="X295" s="57"/>
      <c r="Y295" s="53">
        <f t="shared" si="98"/>
        <v>0</v>
      </c>
      <c r="Z295" s="53">
        <f t="shared" si="99"/>
        <v>0</v>
      </c>
      <c r="AA295" s="54">
        <v>5</v>
      </c>
      <c r="AB295" s="53">
        <v>7392000</v>
      </c>
      <c r="AC295" s="53">
        <f t="shared" si="97"/>
        <v>0</v>
      </c>
      <c r="AD295" s="56" t="s">
        <v>326</v>
      </c>
      <c r="AE295" s="56"/>
      <c r="AF295" s="1">
        <v>7392000</v>
      </c>
      <c r="AG295" s="5">
        <f t="shared" si="91"/>
        <v>0</v>
      </c>
    </row>
    <row r="296" spans="1:33" s="1" customFormat="1" x14ac:dyDescent="0.25">
      <c r="A296" s="49"/>
      <c r="B296" s="22" t="s">
        <v>1673</v>
      </c>
      <c r="C296" s="22" t="s">
        <v>140</v>
      </c>
      <c r="D296" s="51" t="s">
        <v>830</v>
      </c>
      <c r="E296" s="24" t="s">
        <v>166</v>
      </c>
      <c r="F296" s="24"/>
      <c r="G296" s="24" t="s">
        <v>319</v>
      </c>
      <c r="H296" s="24" t="s">
        <v>62</v>
      </c>
      <c r="I296" s="24">
        <v>2014</v>
      </c>
      <c r="J296" s="24"/>
      <c r="K296" s="24" t="s">
        <v>63</v>
      </c>
      <c r="L296" s="24" t="s">
        <v>64</v>
      </c>
      <c r="M296" s="24">
        <v>1</v>
      </c>
      <c r="N296" s="41">
        <f t="shared" si="93"/>
        <v>2464000</v>
      </c>
      <c r="O296" s="41">
        <v>2464000</v>
      </c>
      <c r="P296" s="24"/>
      <c r="Q296" s="24"/>
      <c r="R296" s="24"/>
      <c r="S296" s="41">
        <f t="shared" si="96"/>
        <v>2464000</v>
      </c>
      <c r="T296" s="24">
        <v>5</v>
      </c>
      <c r="U296" s="41"/>
      <c r="V296" s="24">
        <v>0.5</v>
      </c>
      <c r="W296" s="41">
        <f t="shared" si="90"/>
        <v>0</v>
      </c>
      <c r="X296" s="57"/>
      <c r="Y296" s="53">
        <f t="shared" si="98"/>
        <v>0</v>
      </c>
      <c r="Z296" s="53">
        <f t="shared" si="99"/>
        <v>0</v>
      </c>
      <c r="AA296" s="54">
        <v>5</v>
      </c>
      <c r="AB296" s="53">
        <v>2464000</v>
      </c>
      <c r="AC296" s="53">
        <f t="shared" si="97"/>
        <v>0</v>
      </c>
      <c r="AD296" s="56" t="s">
        <v>328</v>
      </c>
      <c r="AE296" s="56"/>
      <c r="AF296" s="1">
        <v>2464000</v>
      </c>
      <c r="AG296" s="5">
        <f t="shared" si="91"/>
        <v>0</v>
      </c>
    </row>
    <row r="297" spans="1:33" s="1" customFormat="1" x14ac:dyDescent="0.25">
      <c r="A297" s="49"/>
      <c r="B297" s="22" t="s">
        <v>1673</v>
      </c>
      <c r="C297" s="22" t="s">
        <v>143</v>
      </c>
      <c r="D297" s="51" t="s">
        <v>830</v>
      </c>
      <c r="E297" s="24" t="s">
        <v>166</v>
      </c>
      <c r="F297" s="24"/>
      <c r="G297" s="24" t="s">
        <v>319</v>
      </c>
      <c r="H297" s="24" t="s">
        <v>62</v>
      </c>
      <c r="I297" s="24">
        <v>2014</v>
      </c>
      <c r="J297" s="24"/>
      <c r="K297" s="24" t="s">
        <v>63</v>
      </c>
      <c r="L297" s="24" t="s">
        <v>64</v>
      </c>
      <c r="M297" s="24">
        <v>1</v>
      </c>
      <c r="N297" s="41">
        <f t="shared" si="93"/>
        <v>2464000</v>
      </c>
      <c r="O297" s="41">
        <v>2464000</v>
      </c>
      <c r="P297" s="24"/>
      <c r="Q297" s="24"/>
      <c r="R297" s="24"/>
      <c r="S297" s="41">
        <f t="shared" si="96"/>
        <v>2464000</v>
      </c>
      <c r="T297" s="24">
        <v>5</v>
      </c>
      <c r="U297" s="41"/>
      <c r="V297" s="24">
        <v>0.5</v>
      </c>
      <c r="W297" s="41">
        <f t="shared" si="90"/>
        <v>0</v>
      </c>
      <c r="X297" s="57"/>
      <c r="Y297" s="53">
        <f t="shared" si="98"/>
        <v>0</v>
      </c>
      <c r="Z297" s="53">
        <f t="shared" si="99"/>
        <v>0</v>
      </c>
      <c r="AA297" s="54">
        <v>5</v>
      </c>
      <c r="AB297" s="53">
        <v>2464000</v>
      </c>
      <c r="AC297" s="53">
        <f t="shared" si="97"/>
        <v>0</v>
      </c>
      <c r="AD297" s="56" t="s">
        <v>276</v>
      </c>
      <c r="AE297" s="56"/>
      <c r="AF297" s="1">
        <v>2464000</v>
      </c>
      <c r="AG297" s="5">
        <f t="shared" si="91"/>
        <v>0</v>
      </c>
    </row>
    <row r="298" spans="1:33" s="1" customFormat="1" x14ac:dyDescent="0.25">
      <c r="A298" s="49"/>
      <c r="B298" s="22" t="s">
        <v>1673</v>
      </c>
      <c r="C298" s="22" t="s">
        <v>146</v>
      </c>
      <c r="D298" s="51" t="s">
        <v>830</v>
      </c>
      <c r="E298" s="24" t="s">
        <v>166</v>
      </c>
      <c r="F298" s="24"/>
      <c r="G298" s="24" t="s">
        <v>319</v>
      </c>
      <c r="H298" s="24" t="s">
        <v>62</v>
      </c>
      <c r="I298" s="24">
        <v>2014</v>
      </c>
      <c r="J298" s="24"/>
      <c r="K298" s="24" t="s">
        <v>63</v>
      </c>
      <c r="L298" s="24" t="s">
        <v>64</v>
      </c>
      <c r="M298" s="24">
        <v>1</v>
      </c>
      <c r="N298" s="41">
        <f t="shared" si="93"/>
        <v>2464000</v>
      </c>
      <c r="O298" s="41">
        <v>2464000</v>
      </c>
      <c r="P298" s="24"/>
      <c r="Q298" s="24"/>
      <c r="R298" s="24"/>
      <c r="S298" s="41">
        <f t="shared" si="96"/>
        <v>2464000</v>
      </c>
      <c r="T298" s="24">
        <v>5</v>
      </c>
      <c r="U298" s="41"/>
      <c r="V298" s="24">
        <v>0.5</v>
      </c>
      <c r="W298" s="41">
        <f t="shared" si="90"/>
        <v>0</v>
      </c>
      <c r="X298" s="57"/>
      <c r="Y298" s="53">
        <f t="shared" si="98"/>
        <v>0</v>
      </c>
      <c r="Z298" s="53">
        <f t="shared" si="99"/>
        <v>0</v>
      </c>
      <c r="AA298" s="54">
        <v>5</v>
      </c>
      <c r="AB298" s="53">
        <v>2464000</v>
      </c>
      <c r="AC298" s="53">
        <f t="shared" si="97"/>
        <v>0</v>
      </c>
      <c r="AD298" s="56" t="s">
        <v>331</v>
      </c>
      <c r="AE298" s="56"/>
      <c r="AF298" s="1">
        <v>2464000</v>
      </c>
      <c r="AG298" s="5">
        <f t="shared" si="91"/>
        <v>0</v>
      </c>
    </row>
    <row r="299" spans="1:33" s="1" customFormat="1" x14ac:dyDescent="0.25">
      <c r="A299" s="49"/>
      <c r="B299" s="22" t="s">
        <v>1673</v>
      </c>
      <c r="C299" s="22" t="s">
        <v>150</v>
      </c>
      <c r="D299" s="51" t="s">
        <v>830</v>
      </c>
      <c r="E299" s="24" t="s">
        <v>166</v>
      </c>
      <c r="F299" s="24"/>
      <c r="G299" s="24" t="s">
        <v>319</v>
      </c>
      <c r="H299" s="24" t="s">
        <v>62</v>
      </c>
      <c r="I299" s="24">
        <v>2014</v>
      </c>
      <c r="J299" s="24"/>
      <c r="K299" s="24" t="s">
        <v>63</v>
      </c>
      <c r="L299" s="24" t="s">
        <v>64</v>
      </c>
      <c r="M299" s="24">
        <v>1</v>
      </c>
      <c r="N299" s="41">
        <f t="shared" si="93"/>
        <v>2464000</v>
      </c>
      <c r="O299" s="41">
        <v>2464000</v>
      </c>
      <c r="P299" s="24"/>
      <c r="Q299" s="24"/>
      <c r="R299" s="24"/>
      <c r="S299" s="41">
        <f t="shared" si="96"/>
        <v>2464000</v>
      </c>
      <c r="T299" s="24">
        <v>5</v>
      </c>
      <c r="U299" s="41"/>
      <c r="V299" s="24">
        <v>0.5</v>
      </c>
      <c r="W299" s="41">
        <f t="shared" si="90"/>
        <v>0</v>
      </c>
      <c r="X299" s="57"/>
      <c r="Y299" s="53">
        <f t="shared" si="98"/>
        <v>0</v>
      </c>
      <c r="Z299" s="53">
        <f t="shared" si="99"/>
        <v>0</v>
      </c>
      <c r="AA299" s="54">
        <v>5</v>
      </c>
      <c r="AB299" s="53">
        <v>2464000</v>
      </c>
      <c r="AC299" s="53">
        <f t="shared" si="97"/>
        <v>0</v>
      </c>
      <c r="AD299" s="56" t="s">
        <v>333</v>
      </c>
      <c r="AE299" s="56"/>
      <c r="AF299" s="1">
        <v>2464000</v>
      </c>
      <c r="AG299" s="5">
        <f t="shared" si="91"/>
        <v>0</v>
      </c>
    </row>
    <row r="300" spans="1:33" s="1" customFormat="1" x14ac:dyDescent="0.25">
      <c r="A300" s="49"/>
      <c r="B300" s="22" t="s">
        <v>1673</v>
      </c>
      <c r="C300" s="22" t="s">
        <v>58</v>
      </c>
      <c r="D300" s="51" t="s">
        <v>838</v>
      </c>
      <c r="E300" s="24" t="s">
        <v>166</v>
      </c>
      <c r="F300" s="24"/>
      <c r="G300" s="24" t="s">
        <v>319</v>
      </c>
      <c r="H300" s="24" t="s">
        <v>62</v>
      </c>
      <c r="I300" s="24">
        <v>2017</v>
      </c>
      <c r="J300" s="24"/>
      <c r="K300" s="24" t="s">
        <v>63</v>
      </c>
      <c r="L300" s="24" t="s">
        <v>64</v>
      </c>
      <c r="M300" s="24">
        <v>8</v>
      </c>
      <c r="N300" s="41">
        <f t="shared" si="93"/>
        <v>2497000</v>
      </c>
      <c r="O300" s="41">
        <v>19976000</v>
      </c>
      <c r="P300" s="24"/>
      <c r="Q300" s="24"/>
      <c r="R300" s="24"/>
      <c r="S300" s="41">
        <f t="shared" si="96"/>
        <v>19976000</v>
      </c>
      <c r="T300" s="24">
        <v>5</v>
      </c>
      <c r="U300" s="41">
        <f>SUM(S300/T300)</f>
        <v>3995200</v>
      </c>
      <c r="V300" s="24">
        <v>0.5</v>
      </c>
      <c r="W300" s="41"/>
      <c r="X300" s="57"/>
      <c r="Y300" s="53">
        <f t="shared" si="98"/>
        <v>0</v>
      </c>
      <c r="Z300" s="53">
        <f t="shared" si="99"/>
        <v>0</v>
      </c>
      <c r="AA300" s="54">
        <f>2022-I300+V300+X300-1/12-5/12</f>
        <v>5</v>
      </c>
      <c r="AB300" s="53">
        <f>SUM(U300*AA300)</f>
        <v>19976000</v>
      </c>
      <c r="AC300" s="53">
        <f t="shared" si="97"/>
        <v>0</v>
      </c>
      <c r="AD300" s="56" t="s">
        <v>226</v>
      </c>
      <c r="AE300" s="56"/>
      <c r="AF300" s="1">
        <v>19976000</v>
      </c>
      <c r="AG300" s="5">
        <f t="shared" si="91"/>
        <v>0</v>
      </c>
    </row>
    <row r="301" spans="1:33" s="1" customFormat="1" x14ac:dyDescent="0.25">
      <c r="A301" s="49"/>
      <c r="B301" s="22" t="s">
        <v>1674</v>
      </c>
      <c r="C301" s="22" t="s">
        <v>58</v>
      </c>
      <c r="D301" s="51" t="s">
        <v>826</v>
      </c>
      <c r="E301" s="24" t="s">
        <v>166</v>
      </c>
      <c r="F301" s="24"/>
      <c r="G301" s="24" t="s">
        <v>319</v>
      </c>
      <c r="H301" s="24" t="s">
        <v>62</v>
      </c>
      <c r="I301" s="24">
        <v>2012</v>
      </c>
      <c r="J301" s="24"/>
      <c r="K301" s="24" t="s">
        <v>63</v>
      </c>
      <c r="L301" s="24" t="s">
        <v>64</v>
      </c>
      <c r="M301" s="24">
        <v>1</v>
      </c>
      <c r="N301" s="41">
        <f t="shared" si="93"/>
        <v>6050000</v>
      </c>
      <c r="O301" s="41">
        <v>6050000</v>
      </c>
      <c r="P301" s="24"/>
      <c r="Q301" s="24"/>
      <c r="R301" s="24"/>
      <c r="S301" s="41">
        <f t="shared" si="96"/>
        <v>6050000</v>
      </c>
      <c r="T301" s="24">
        <v>5</v>
      </c>
      <c r="U301" s="41"/>
      <c r="V301" s="24">
        <v>0.5</v>
      </c>
      <c r="W301" s="41">
        <f t="shared" ref="W301:W303" si="101">SUM(U301*V301)</f>
        <v>0</v>
      </c>
      <c r="X301" s="57"/>
      <c r="Y301" s="53">
        <f t="shared" si="98"/>
        <v>0</v>
      </c>
      <c r="Z301" s="53">
        <f t="shared" si="99"/>
        <v>0</v>
      </c>
      <c r="AA301" s="54">
        <v>5</v>
      </c>
      <c r="AB301" s="53">
        <v>6050000</v>
      </c>
      <c r="AC301" s="53">
        <f t="shared" si="97"/>
        <v>0</v>
      </c>
      <c r="AD301" s="56" t="s">
        <v>750</v>
      </c>
      <c r="AE301" s="56"/>
      <c r="AF301" s="1">
        <v>6050000</v>
      </c>
      <c r="AG301" s="5">
        <f t="shared" si="91"/>
        <v>0</v>
      </c>
    </row>
    <row r="302" spans="1:33" s="1" customFormat="1" x14ac:dyDescent="0.25">
      <c r="A302" s="49"/>
      <c r="B302" s="22" t="s">
        <v>1674</v>
      </c>
      <c r="C302" s="22" t="s">
        <v>75</v>
      </c>
      <c r="D302" s="51" t="s">
        <v>826</v>
      </c>
      <c r="E302" s="24" t="s">
        <v>166</v>
      </c>
      <c r="F302" s="24"/>
      <c r="G302" s="24" t="s">
        <v>319</v>
      </c>
      <c r="H302" s="24" t="s">
        <v>62</v>
      </c>
      <c r="I302" s="24">
        <v>2012</v>
      </c>
      <c r="J302" s="24"/>
      <c r="K302" s="24" t="s">
        <v>63</v>
      </c>
      <c r="L302" s="24" t="s">
        <v>64</v>
      </c>
      <c r="M302" s="24">
        <v>1</v>
      </c>
      <c r="N302" s="41">
        <f t="shared" si="93"/>
        <v>6490000</v>
      </c>
      <c r="O302" s="41">
        <v>6490000</v>
      </c>
      <c r="P302" s="24"/>
      <c r="Q302" s="24"/>
      <c r="R302" s="24"/>
      <c r="S302" s="41">
        <f t="shared" si="96"/>
        <v>6490000</v>
      </c>
      <c r="T302" s="24">
        <v>5</v>
      </c>
      <c r="U302" s="41"/>
      <c r="V302" s="24">
        <v>0.5</v>
      </c>
      <c r="W302" s="41">
        <f t="shared" si="101"/>
        <v>0</v>
      </c>
      <c r="X302" s="57"/>
      <c r="Y302" s="53">
        <f t="shared" si="98"/>
        <v>0</v>
      </c>
      <c r="Z302" s="53">
        <f t="shared" si="99"/>
        <v>0</v>
      </c>
      <c r="AA302" s="54">
        <v>5</v>
      </c>
      <c r="AB302" s="53">
        <v>6490000</v>
      </c>
      <c r="AC302" s="53">
        <f t="shared" si="97"/>
        <v>0</v>
      </c>
      <c r="AD302" s="56" t="s">
        <v>750</v>
      </c>
      <c r="AE302" s="56"/>
      <c r="AF302" s="1">
        <v>6490000</v>
      </c>
      <c r="AG302" s="5">
        <f t="shared" si="91"/>
        <v>0</v>
      </c>
    </row>
    <row r="303" spans="1:33" s="1" customFormat="1" x14ac:dyDescent="0.25">
      <c r="A303" s="49"/>
      <c r="B303" s="22" t="s">
        <v>1674</v>
      </c>
      <c r="C303" s="22" t="s">
        <v>633</v>
      </c>
      <c r="D303" s="51" t="s">
        <v>827</v>
      </c>
      <c r="E303" s="24" t="s">
        <v>166</v>
      </c>
      <c r="F303" s="24"/>
      <c r="G303" s="24" t="s">
        <v>319</v>
      </c>
      <c r="H303" s="24" t="s">
        <v>62</v>
      </c>
      <c r="I303" s="24">
        <v>2012</v>
      </c>
      <c r="J303" s="24"/>
      <c r="K303" s="24" t="s">
        <v>63</v>
      </c>
      <c r="L303" s="24" t="s">
        <v>64</v>
      </c>
      <c r="M303" s="24">
        <v>2</v>
      </c>
      <c r="N303" s="41">
        <f t="shared" si="93"/>
        <v>5026500</v>
      </c>
      <c r="O303" s="41">
        <v>10053000</v>
      </c>
      <c r="P303" s="24"/>
      <c r="Q303" s="24"/>
      <c r="R303" s="24"/>
      <c r="S303" s="41">
        <f t="shared" si="96"/>
        <v>10053000</v>
      </c>
      <c r="T303" s="24">
        <v>5</v>
      </c>
      <c r="U303" s="41"/>
      <c r="V303" s="24">
        <v>0.5</v>
      </c>
      <c r="W303" s="41">
        <f t="shared" si="101"/>
        <v>0</v>
      </c>
      <c r="X303" s="57"/>
      <c r="Y303" s="53">
        <f t="shared" si="98"/>
        <v>0</v>
      </c>
      <c r="Z303" s="53">
        <f t="shared" si="99"/>
        <v>0</v>
      </c>
      <c r="AA303" s="54">
        <v>5</v>
      </c>
      <c r="AB303" s="53">
        <v>10053000</v>
      </c>
      <c r="AC303" s="53">
        <f t="shared" si="97"/>
        <v>0</v>
      </c>
      <c r="AD303" s="56" t="s">
        <v>746</v>
      </c>
      <c r="AE303" s="56"/>
      <c r="AF303" s="1">
        <v>10053000</v>
      </c>
      <c r="AG303" s="5">
        <f t="shared" si="91"/>
        <v>0</v>
      </c>
    </row>
    <row r="304" spans="1:33" s="1" customFormat="1" x14ac:dyDescent="0.25">
      <c r="A304" s="49"/>
      <c r="B304" s="22" t="s">
        <v>1674</v>
      </c>
      <c r="C304" s="22" t="s">
        <v>828</v>
      </c>
      <c r="D304" s="51" t="s">
        <v>826</v>
      </c>
      <c r="E304" s="24" t="s">
        <v>166</v>
      </c>
      <c r="F304" s="24"/>
      <c r="G304" s="24" t="s">
        <v>319</v>
      </c>
      <c r="H304" s="24" t="s">
        <v>62</v>
      </c>
      <c r="I304" s="24">
        <v>2015</v>
      </c>
      <c r="J304" s="24"/>
      <c r="K304" s="24" t="s">
        <v>63</v>
      </c>
      <c r="L304" s="24" t="s">
        <v>64</v>
      </c>
      <c r="M304" s="24">
        <v>10</v>
      </c>
      <c r="N304" s="41">
        <f t="shared" si="93"/>
        <v>995500</v>
      </c>
      <c r="O304" s="41">
        <v>9955000</v>
      </c>
      <c r="P304" s="24"/>
      <c r="Q304" s="24"/>
      <c r="R304" s="24"/>
      <c r="S304" s="41">
        <f t="shared" si="96"/>
        <v>9955000</v>
      </c>
      <c r="T304" s="24">
        <v>5</v>
      </c>
      <c r="U304" s="41">
        <f>SUM(S304/T304)</f>
        <v>1991000</v>
      </c>
      <c r="V304" s="24">
        <v>0.5</v>
      </c>
      <c r="W304" s="41"/>
      <c r="X304" s="57"/>
      <c r="Y304" s="53">
        <f>SUM(U304*X304)</f>
        <v>0</v>
      </c>
      <c r="Z304" s="53"/>
      <c r="AA304" s="54">
        <v>5</v>
      </c>
      <c r="AB304" s="53">
        <f>SUM(U304*AA304)</f>
        <v>9955000</v>
      </c>
      <c r="AC304" s="53">
        <f t="shared" si="97"/>
        <v>0</v>
      </c>
      <c r="AD304" s="56" t="s">
        <v>829</v>
      </c>
      <c r="AE304" s="56"/>
      <c r="AF304" s="1">
        <v>9955000</v>
      </c>
      <c r="AG304" s="5">
        <f t="shared" si="91"/>
        <v>0</v>
      </c>
    </row>
    <row r="305" spans="1:33" s="1" customFormat="1" x14ac:dyDescent="0.25">
      <c r="A305" s="49"/>
      <c r="B305" s="22" t="s">
        <v>1675</v>
      </c>
      <c r="C305" s="50"/>
      <c r="D305" s="51" t="s">
        <v>840</v>
      </c>
      <c r="E305" s="52" t="s">
        <v>166</v>
      </c>
      <c r="F305" s="52"/>
      <c r="G305" s="52" t="s">
        <v>319</v>
      </c>
      <c r="H305" s="52" t="s">
        <v>62</v>
      </c>
      <c r="I305" s="52">
        <v>2022</v>
      </c>
      <c r="J305" s="52"/>
      <c r="K305" s="52" t="s">
        <v>63</v>
      </c>
      <c r="L305" s="52" t="s">
        <v>64</v>
      </c>
      <c r="M305" s="52">
        <v>1</v>
      </c>
      <c r="N305" s="53">
        <f t="shared" si="93"/>
        <v>2025500</v>
      </c>
      <c r="O305" s="53">
        <v>2025500</v>
      </c>
      <c r="P305" s="52"/>
      <c r="Q305" s="52"/>
      <c r="R305" s="52"/>
      <c r="S305" s="53">
        <f t="shared" si="96"/>
        <v>2025500</v>
      </c>
      <c r="T305" s="52">
        <v>5</v>
      </c>
      <c r="U305" s="53">
        <f>SUM(S305/T305)</f>
        <v>405100</v>
      </c>
      <c r="V305" s="87">
        <v>0.5</v>
      </c>
      <c r="W305" s="53">
        <f>SUM(U305*V305)</f>
        <v>202550</v>
      </c>
      <c r="X305" s="57">
        <v>0.5</v>
      </c>
      <c r="Y305" s="53">
        <f t="shared" ref="Y305:Y324" si="102">SUM(U305*X305)</f>
        <v>202550</v>
      </c>
      <c r="Z305" s="53">
        <f t="shared" ref="Z305:Z318" si="103">SUM(W305+Y305)</f>
        <v>405100</v>
      </c>
      <c r="AA305" s="54">
        <f>1/12+0.5+0.5</f>
        <v>1.0833333333333335</v>
      </c>
      <c r="AB305" s="53">
        <f>SUM(U305*AA305)</f>
        <v>438858.33333333337</v>
      </c>
      <c r="AC305" s="53">
        <f t="shared" si="97"/>
        <v>1586641.6666666665</v>
      </c>
      <c r="AD305" s="56" t="s">
        <v>647</v>
      </c>
      <c r="AE305" s="56"/>
      <c r="AF305" s="1">
        <v>33758.333333333328</v>
      </c>
      <c r="AG305" s="5">
        <f t="shared" si="91"/>
        <v>0</v>
      </c>
    </row>
    <row r="306" spans="1:33" s="1" customFormat="1" x14ac:dyDescent="0.25">
      <c r="A306" s="49"/>
      <c r="B306" s="22" t="s">
        <v>1676</v>
      </c>
      <c r="C306" s="22" t="s">
        <v>707</v>
      </c>
      <c r="D306" s="51" t="s">
        <v>708</v>
      </c>
      <c r="E306" s="24" t="s">
        <v>166</v>
      </c>
      <c r="F306" s="24"/>
      <c r="G306" s="24" t="s">
        <v>201</v>
      </c>
      <c r="H306" s="24" t="s">
        <v>62</v>
      </c>
      <c r="I306" s="24">
        <v>2011</v>
      </c>
      <c r="J306" s="24"/>
      <c r="K306" s="24" t="s">
        <v>63</v>
      </c>
      <c r="L306" s="24" t="s">
        <v>64</v>
      </c>
      <c r="M306" s="24">
        <v>5</v>
      </c>
      <c r="N306" s="41">
        <f t="shared" si="93"/>
        <v>348000</v>
      </c>
      <c r="O306" s="41">
        <v>1740000</v>
      </c>
      <c r="P306" s="24"/>
      <c r="Q306" s="24"/>
      <c r="R306" s="24"/>
      <c r="S306" s="41">
        <f t="shared" si="96"/>
        <v>1740000</v>
      </c>
      <c r="T306" s="24">
        <v>5</v>
      </c>
      <c r="U306" s="41"/>
      <c r="V306" s="24">
        <v>0.5</v>
      </c>
      <c r="W306" s="41">
        <f t="shared" ref="W306:W316" si="104">SUM(U306*V306)</f>
        <v>0</v>
      </c>
      <c r="X306" s="57"/>
      <c r="Y306" s="53">
        <f t="shared" si="102"/>
        <v>0</v>
      </c>
      <c r="Z306" s="53">
        <f t="shared" si="103"/>
        <v>0</v>
      </c>
      <c r="AA306" s="54">
        <v>5</v>
      </c>
      <c r="AB306" s="53">
        <v>1740000</v>
      </c>
      <c r="AC306" s="53">
        <f t="shared" si="97"/>
        <v>0</v>
      </c>
      <c r="AD306" s="56" t="s">
        <v>597</v>
      </c>
      <c r="AE306" s="56"/>
      <c r="AF306" s="1">
        <v>1740000</v>
      </c>
      <c r="AG306" s="5">
        <f t="shared" si="91"/>
        <v>0</v>
      </c>
    </row>
    <row r="307" spans="1:33" s="1" customFormat="1" x14ac:dyDescent="0.25">
      <c r="A307" s="49"/>
      <c r="B307" s="22" t="s">
        <v>1676</v>
      </c>
      <c r="C307" s="22" t="s">
        <v>707</v>
      </c>
      <c r="D307" s="51" t="s">
        <v>708</v>
      </c>
      <c r="E307" s="24" t="s">
        <v>166</v>
      </c>
      <c r="F307" s="24"/>
      <c r="G307" s="24" t="s">
        <v>201</v>
      </c>
      <c r="H307" s="24" t="s">
        <v>62</v>
      </c>
      <c r="I307" s="24">
        <v>2011</v>
      </c>
      <c r="J307" s="24"/>
      <c r="K307" s="24" t="s">
        <v>63</v>
      </c>
      <c r="L307" s="24" t="s">
        <v>64</v>
      </c>
      <c r="M307" s="24">
        <v>40</v>
      </c>
      <c r="N307" s="41">
        <f t="shared" si="93"/>
        <v>348000</v>
      </c>
      <c r="O307" s="41">
        <v>13920000</v>
      </c>
      <c r="P307" s="24"/>
      <c r="Q307" s="24"/>
      <c r="R307" s="24"/>
      <c r="S307" s="41">
        <f t="shared" si="96"/>
        <v>13920000</v>
      </c>
      <c r="T307" s="24">
        <v>5</v>
      </c>
      <c r="U307" s="41"/>
      <c r="V307" s="24">
        <v>0.5</v>
      </c>
      <c r="W307" s="41">
        <f t="shared" si="104"/>
        <v>0</v>
      </c>
      <c r="X307" s="57"/>
      <c r="Y307" s="53">
        <f t="shared" si="102"/>
        <v>0</v>
      </c>
      <c r="Z307" s="53">
        <f t="shared" si="103"/>
        <v>0</v>
      </c>
      <c r="AA307" s="54">
        <v>5</v>
      </c>
      <c r="AB307" s="53">
        <v>13920000</v>
      </c>
      <c r="AC307" s="53">
        <f t="shared" si="97"/>
        <v>0</v>
      </c>
      <c r="AD307" s="56" t="s">
        <v>610</v>
      </c>
      <c r="AE307" s="56"/>
      <c r="AF307" s="1">
        <v>13920000</v>
      </c>
      <c r="AG307" s="5">
        <f t="shared" si="91"/>
        <v>0</v>
      </c>
    </row>
    <row r="308" spans="1:33" s="1" customFormat="1" x14ac:dyDescent="0.25">
      <c r="A308" s="49"/>
      <c r="B308" s="22" t="s">
        <v>1676</v>
      </c>
      <c r="C308" s="22" t="s">
        <v>707</v>
      </c>
      <c r="D308" s="51" t="s">
        <v>708</v>
      </c>
      <c r="E308" s="24" t="s">
        <v>166</v>
      </c>
      <c r="F308" s="24"/>
      <c r="G308" s="24" t="s">
        <v>201</v>
      </c>
      <c r="H308" s="24" t="s">
        <v>62</v>
      </c>
      <c r="I308" s="24">
        <v>2011</v>
      </c>
      <c r="J308" s="24"/>
      <c r="K308" s="24" t="s">
        <v>63</v>
      </c>
      <c r="L308" s="24" t="s">
        <v>64</v>
      </c>
      <c r="M308" s="24">
        <v>40</v>
      </c>
      <c r="N308" s="41">
        <f t="shared" si="93"/>
        <v>348000</v>
      </c>
      <c r="O308" s="41">
        <v>13920000</v>
      </c>
      <c r="P308" s="24"/>
      <c r="Q308" s="24"/>
      <c r="R308" s="24"/>
      <c r="S308" s="41">
        <f t="shared" si="96"/>
        <v>13920000</v>
      </c>
      <c r="T308" s="24">
        <v>5</v>
      </c>
      <c r="U308" s="41"/>
      <c r="V308" s="24">
        <v>0.5</v>
      </c>
      <c r="W308" s="41">
        <f t="shared" si="104"/>
        <v>0</v>
      </c>
      <c r="X308" s="57"/>
      <c r="Y308" s="53">
        <f t="shared" si="102"/>
        <v>0</v>
      </c>
      <c r="Z308" s="53">
        <f t="shared" si="103"/>
        <v>0</v>
      </c>
      <c r="AA308" s="54">
        <v>5</v>
      </c>
      <c r="AB308" s="53">
        <v>13920000</v>
      </c>
      <c r="AC308" s="53">
        <f t="shared" si="97"/>
        <v>0</v>
      </c>
      <c r="AD308" s="56" t="s">
        <v>612</v>
      </c>
      <c r="AE308" s="56"/>
      <c r="AF308" s="1">
        <v>13920000</v>
      </c>
      <c r="AG308" s="5">
        <f t="shared" si="91"/>
        <v>0</v>
      </c>
    </row>
    <row r="309" spans="1:33" s="1" customFormat="1" x14ac:dyDescent="0.25">
      <c r="A309" s="49"/>
      <c r="B309" s="22" t="s">
        <v>1676</v>
      </c>
      <c r="C309" s="22" t="s">
        <v>709</v>
      </c>
      <c r="D309" s="51" t="s">
        <v>710</v>
      </c>
      <c r="E309" s="24" t="s">
        <v>711</v>
      </c>
      <c r="F309" s="24"/>
      <c r="G309" s="24" t="s">
        <v>712</v>
      </c>
      <c r="H309" s="24" t="s">
        <v>62</v>
      </c>
      <c r="I309" s="24">
        <v>2012</v>
      </c>
      <c r="J309" s="24"/>
      <c r="K309" s="24" t="s">
        <v>63</v>
      </c>
      <c r="L309" s="24" t="s">
        <v>64</v>
      </c>
      <c r="M309" s="24">
        <v>7</v>
      </c>
      <c r="N309" s="41">
        <f t="shared" si="93"/>
        <v>1540000</v>
      </c>
      <c r="O309" s="41">
        <v>10780000</v>
      </c>
      <c r="P309" s="24"/>
      <c r="Q309" s="24"/>
      <c r="R309" s="24"/>
      <c r="S309" s="41">
        <f t="shared" si="96"/>
        <v>10780000</v>
      </c>
      <c r="T309" s="24">
        <v>5</v>
      </c>
      <c r="U309" s="41"/>
      <c r="V309" s="24">
        <v>0.5</v>
      </c>
      <c r="W309" s="41">
        <f t="shared" si="104"/>
        <v>0</v>
      </c>
      <c r="X309" s="57"/>
      <c r="Y309" s="53">
        <f t="shared" si="102"/>
        <v>0</v>
      </c>
      <c r="Z309" s="53">
        <f t="shared" si="103"/>
        <v>0</v>
      </c>
      <c r="AA309" s="54">
        <v>5</v>
      </c>
      <c r="AB309" s="53">
        <v>10780000</v>
      </c>
      <c r="AC309" s="53">
        <f t="shared" si="97"/>
        <v>0</v>
      </c>
      <c r="AD309" s="56" t="s">
        <v>597</v>
      </c>
      <c r="AE309" s="56"/>
      <c r="AF309" s="1">
        <v>10780000</v>
      </c>
      <c r="AG309" s="5">
        <f t="shared" si="91"/>
        <v>0</v>
      </c>
    </row>
    <row r="310" spans="1:33" s="1" customFormat="1" x14ac:dyDescent="0.25">
      <c r="A310" s="49"/>
      <c r="B310" s="22" t="s">
        <v>1676</v>
      </c>
      <c r="C310" s="22" t="s">
        <v>713</v>
      </c>
      <c r="D310" s="51" t="s">
        <v>710</v>
      </c>
      <c r="E310" s="24" t="s">
        <v>711</v>
      </c>
      <c r="F310" s="24"/>
      <c r="G310" s="24" t="s">
        <v>712</v>
      </c>
      <c r="H310" s="24" t="s">
        <v>62</v>
      </c>
      <c r="I310" s="24">
        <v>2012</v>
      </c>
      <c r="J310" s="24"/>
      <c r="K310" s="24" t="s">
        <v>63</v>
      </c>
      <c r="L310" s="24" t="s">
        <v>64</v>
      </c>
      <c r="M310" s="24">
        <v>7</v>
      </c>
      <c r="N310" s="41">
        <f t="shared" si="93"/>
        <v>1540000</v>
      </c>
      <c r="O310" s="41">
        <v>10780000</v>
      </c>
      <c r="P310" s="24"/>
      <c r="Q310" s="24"/>
      <c r="R310" s="24"/>
      <c r="S310" s="41">
        <f t="shared" si="96"/>
        <v>10780000</v>
      </c>
      <c r="T310" s="24">
        <v>5</v>
      </c>
      <c r="U310" s="41"/>
      <c r="V310" s="24">
        <v>0.5</v>
      </c>
      <c r="W310" s="41">
        <f t="shared" si="104"/>
        <v>0</v>
      </c>
      <c r="X310" s="57"/>
      <c r="Y310" s="53">
        <f t="shared" si="102"/>
        <v>0</v>
      </c>
      <c r="Z310" s="53">
        <f t="shared" si="103"/>
        <v>0</v>
      </c>
      <c r="AA310" s="54">
        <v>5</v>
      </c>
      <c r="AB310" s="53">
        <v>10780000</v>
      </c>
      <c r="AC310" s="53">
        <f t="shared" si="97"/>
        <v>0</v>
      </c>
      <c r="AD310" s="56" t="s">
        <v>540</v>
      </c>
      <c r="AE310" s="56"/>
      <c r="AF310" s="1">
        <v>10780000</v>
      </c>
      <c r="AG310" s="5">
        <f t="shared" si="91"/>
        <v>0</v>
      </c>
    </row>
    <row r="311" spans="1:33" s="1" customFormat="1" x14ac:dyDescent="0.25">
      <c r="A311" s="49"/>
      <c r="B311" s="22" t="s">
        <v>1676</v>
      </c>
      <c r="C311" s="22" t="s">
        <v>714</v>
      </c>
      <c r="D311" s="51" t="s">
        <v>710</v>
      </c>
      <c r="E311" s="24" t="s">
        <v>711</v>
      </c>
      <c r="F311" s="24"/>
      <c r="G311" s="24" t="s">
        <v>712</v>
      </c>
      <c r="H311" s="24" t="s">
        <v>62</v>
      </c>
      <c r="I311" s="24">
        <v>2012</v>
      </c>
      <c r="J311" s="24"/>
      <c r="K311" s="24" t="s">
        <v>63</v>
      </c>
      <c r="L311" s="24" t="s">
        <v>64</v>
      </c>
      <c r="M311" s="24">
        <v>5</v>
      </c>
      <c r="N311" s="41">
        <f t="shared" si="93"/>
        <v>1540000</v>
      </c>
      <c r="O311" s="41">
        <v>7700000</v>
      </c>
      <c r="P311" s="24"/>
      <c r="Q311" s="24"/>
      <c r="R311" s="24"/>
      <c r="S311" s="41">
        <f t="shared" si="96"/>
        <v>7700000</v>
      </c>
      <c r="T311" s="24">
        <v>5</v>
      </c>
      <c r="U311" s="41"/>
      <c r="V311" s="24">
        <v>0.5</v>
      </c>
      <c r="W311" s="41">
        <f t="shared" si="104"/>
        <v>0</v>
      </c>
      <c r="X311" s="57"/>
      <c r="Y311" s="53">
        <f t="shared" si="102"/>
        <v>0</v>
      </c>
      <c r="Z311" s="53">
        <f t="shared" si="103"/>
        <v>0</v>
      </c>
      <c r="AA311" s="54">
        <v>5</v>
      </c>
      <c r="AB311" s="53">
        <v>7700000</v>
      </c>
      <c r="AC311" s="53">
        <f t="shared" si="97"/>
        <v>0</v>
      </c>
      <c r="AD311" s="56" t="s">
        <v>351</v>
      </c>
      <c r="AE311" s="56"/>
      <c r="AF311" s="1">
        <v>7700000</v>
      </c>
      <c r="AG311" s="5">
        <f t="shared" si="91"/>
        <v>0</v>
      </c>
    </row>
    <row r="312" spans="1:33" s="1" customFormat="1" x14ac:dyDescent="0.25">
      <c r="A312" s="49"/>
      <c r="B312" s="22" t="s">
        <v>1676</v>
      </c>
      <c r="C312" s="22" t="s">
        <v>715</v>
      </c>
      <c r="D312" s="51" t="s">
        <v>710</v>
      </c>
      <c r="E312" s="24" t="s">
        <v>711</v>
      </c>
      <c r="F312" s="24"/>
      <c r="G312" s="24" t="s">
        <v>712</v>
      </c>
      <c r="H312" s="24" t="s">
        <v>62</v>
      </c>
      <c r="I312" s="24">
        <v>2012</v>
      </c>
      <c r="J312" s="24"/>
      <c r="K312" s="24" t="s">
        <v>63</v>
      </c>
      <c r="L312" s="24" t="s">
        <v>64</v>
      </c>
      <c r="M312" s="24">
        <v>7</v>
      </c>
      <c r="N312" s="41">
        <f t="shared" si="93"/>
        <v>1540000</v>
      </c>
      <c r="O312" s="41">
        <v>10780000</v>
      </c>
      <c r="P312" s="24"/>
      <c r="Q312" s="24"/>
      <c r="R312" s="24"/>
      <c r="S312" s="41">
        <f t="shared" si="96"/>
        <v>10780000</v>
      </c>
      <c r="T312" s="24">
        <v>5</v>
      </c>
      <c r="U312" s="41"/>
      <c r="V312" s="24">
        <v>0.5</v>
      </c>
      <c r="W312" s="41">
        <f t="shared" si="104"/>
        <v>0</v>
      </c>
      <c r="X312" s="57"/>
      <c r="Y312" s="53">
        <f t="shared" si="102"/>
        <v>0</v>
      </c>
      <c r="Z312" s="53">
        <f t="shared" si="103"/>
        <v>0</v>
      </c>
      <c r="AA312" s="54">
        <v>5</v>
      </c>
      <c r="AB312" s="53">
        <v>10780000</v>
      </c>
      <c r="AC312" s="53">
        <f t="shared" si="97"/>
        <v>0</v>
      </c>
      <c r="AD312" s="56" t="s">
        <v>601</v>
      </c>
      <c r="AE312" s="56"/>
      <c r="AF312" s="1">
        <v>10780000</v>
      </c>
      <c r="AG312" s="5">
        <f t="shared" si="91"/>
        <v>0</v>
      </c>
    </row>
    <row r="313" spans="1:33" s="1" customFormat="1" x14ac:dyDescent="0.25">
      <c r="A313" s="49"/>
      <c r="B313" s="22" t="s">
        <v>1676</v>
      </c>
      <c r="C313" s="22" t="s">
        <v>716</v>
      </c>
      <c r="D313" s="51" t="s">
        <v>710</v>
      </c>
      <c r="E313" s="24" t="s">
        <v>711</v>
      </c>
      <c r="F313" s="24"/>
      <c r="G313" s="24" t="s">
        <v>712</v>
      </c>
      <c r="H313" s="24" t="s">
        <v>62</v>
      </c>
      <c r="I313" s="24">
        <v>2012</v>
      </c>
      <c r="J313" s="24"/>
      <c r="K313" s="24" t="s">
        <v>63</v>
      </c>
      <c r="L313" s="24" t="s">
        <v>64</v>
      </c>
      <c r="M313" s="24">
        <v>7</v>
      </c>
      <c r="N313" s="41">
        <f t="shared" si="93"/>
        <v>1540000</v>
      </c>
      <c r="O313" s="41">
        <v>10780000</v>
      </c>
      <c r="P313" s="24"/>
      <c r="Q313" s="24"/>
      <c r="R313" s="24"/>
      <c r="S313" s="41">
        <f t="shared" si="96"/>
        <v>10780000</v>
      </c>
      <c r="T313" s="24">
        <v>5</v>
      </c>
      <c r="U313" s="41"/>
      <c r="V313" s="24">
        <v>0.5</v>
      </c>
      <c r="W313" s="41">
        <f t="shared" si="104"/>
        <v>0</v>
      </c>
      <c r="X313" s="57"/>
      <c r="Y313" s="53">
        <f t="shared" si="102"/>
        <v>0</v>
      </c>
      <c r="Z313" s="53">
        <f t="shared" si="103"/>
        <v>0</v>
      </c>
      <c r="AA313" s="54">
        <v>5</v>
      </c>
      <c r="AB313" s="53">
        <v>10780000</v>
      </c>
      <c r="AC313" s="53">
        <f t="shared" si="97"/>
        <v>0</v>
      </c>
      <c r="AD313" s="56" t="s">
        <v>603</v>
      </c>
      <c r="AE313" s="56"/>
      <c r="AF313" s="1">
        <v>10780000</v>
      </c>
      <c r="AG313" s="5">
        <f t="shared" si="91"/>
        <v>0</v>
      </c>
    </row>
    <row r="314" spans="1:33" s="1" customFormat="1" x14ac:dyDescent="0.25">
      <c r="A314" s="49"/>
      <c r="B314" s="22" t="s">
        <v>1676</v>
      </c>
      <c r="C314" s="22" t="s">
        <v>717</v>
      </c>
      <c r="D314" s="51" t="s">
        <v>710</v>
      </c>
      <c r="E314" s="24" t="s">
        <v>711</v>
      </c>
      <c r="F314" s="24"/>
      <c r="G314" s="24" t="s">
        <v>712</v>
      </c>
      <c r="H314" s="24" t="s">
        <v>62</v>
      </c>
      <c r="I314" s="24">
        <v>2012</v>
      </c>
      <c r="J314" s="24"/>
      <c r="K314" s="24" t="s">
        <v>63</v>
      </c>
      <c r="L314" s="24" t="s">
        <v>64</v>
      </c>
      <c r="M314" s="24">
        <v>7</v>
      </c>
      <c r="N314" s="41">
        <f t="shared" si="93"/>
        <v>1540000</v>
      </c>
      <c r="O314" s="41">
        <v>10780000</v>
      </c>
      <c r="P314" s="24"/>
      <c r="Q314" s="24"/>
      <c r="R314" s="24"/>
      <c r="S314" s="41">
        <f t="shared" si="96"/>
        <v>10780000</v>
      </c>
      <c r="T314" s="24">
        <v>5</v>
      </c>
      <c r="U314" s="41"/>
      <c r="V314" s="24">
        <v>0.5</v>
      </c>
      <c r="W314" s="41">
        <f t="shared" si="104"/>
        <v>0</v>
      </c>
      <c r="X314" s="57"/>
      <c r="Y314" s="53">
        <f t="shared" si="102"/>
        <v>0</v>
      </c>
      <c r="Z314" s="53">
        <f t="shared" si="103"/>
        <v>0</v>
      </c>
      <c r="AA314" s="57">
        <v>5</v>
      </c>
      <c r="AB314" s="53">
        <v>10780000</v>
      </c>
      <c r="AC314" s="53">
        <f t="shared" si="97"/>
        <v>0</v>
      </c>
      <c r="AD314" s="56" t="s">
        <v>605</v>
      </c>
      <c r="AE314" s="70"/>
      <c r="AF314" s="1">
        <v>10780000</v>
      </c>
      <c r="AG314" s="5">
        <f t="shared" si="91"/>
        <v>0</v>
      </c>
    </row>
    <row r="315" spans="1:33" s="1" customFormat="1" x14ac:dyDescent="0.25">
      <c r="A315" s="49"/>
      <c r="B315" s="22" t="s">
        <v>1676</v>
      </c>
      <c r="C315" s="22" t="s">
        <v>718</v>
      </c>
      <c r="D315" s="51" t="s">
        <v>710</v>
      </c>
      <c r="E315" s="24" t="s">
        <v>711</v>
      </c>
      <c r="F315" s="24"/>
      <c r="G315" s="24" t="s">
        <v>712</v>
      </c>
      <c r="H315" s="24" t="s">
        <v>62</v>
      </c>
      <c r="I315" s="24">
        <v>2012</v>
      </c>
      <c r="J315" s="24"/>
      <c r="K315" s="24" t="s">
        <v>63</v>
      </c>
      <c r="L315" s="24" t="s">
        <v>64</v>
      </c>
      <c r="M315" s="24">
        <v>40</v>
      </c>
      <c r="N315" s="41">
        <f t="shared" si="93"/>
        <v>1540000</v>
      </c>
      <c r="O315" s="41">
        <v>61600000</v>
      </c>
      <c r="P315" s="24"/>
      <c r="Q315" s="24"/>
      <c r="R315" s="24"/>
      <c r="S315" s="41">
        <f t="shared" si="96"/>
        <v>61600000</v>
      </c>
      <c r="T315" s="24">
        <v>5</v>
      </c>
      <c r="U315" s="41"/>
      <c r="V315" s="24">
        <v>0.5</v>
      </c>
      <c r="W315" s="41">
        <f t="shared" si="104"/>
        <v>0</v>
      </c>
      <c r="X315" s="57"/>
      <c r="Y315" s="53">
        <f t="shared" si="102"/>
        <v>0</v>
      </c>
      <c r="Z315" s="53">
        <f t="shared" si="103"/>
        <v>0</v>
      </c>
      <c r="AA315" s="57">
        <v>5</v>
      </c>
      <c r="AB315" s="53">
        <v>61600000</v>
      </c>
      <c r="AC315" s="53">
        <f t="shared" si="97"/>
        <v>0</v>
      </c>
      <c r="AD315" s="56" t="s">
        <v>610</v>
      </c>
      <c r="AE315" s="70"/>
      <c r="AF315" s="1">
        <v>61600000</v>
      </c>
      <c r="AG315" s="5">
        <f t="shared" si="91"/>
        <v>0</v>
      </c>
    </row>
    <row r="316" spans="1:33" s="1" customFormat="1" x14ac:dyDescent="0.25">
      <c r="A316" s="49"/>
      <c r="B316" s="22" t="s">
        <v>1676</v>
      </c>
      <c r="C316" s="22" t="s">
        <v>719</v>
      </c>
      <c r="D316" s="51" t="s">
        <v>710</v>
      </c>
      <c r="E316" s="24" t="s">
        <v>711</v>
      </c>
      <c r="F316" s="24"/>
      <c r="G316" s="24" t="s">
        <v>712</v>
      </c>
      <c r="H316" s="24" t="s">
        <v>62</v>
      </c>
      <c r="I316" s="24">
        <v>2012</v>
      </c>
      <c r="J316" s="24"/>
      <c r="K316" s="24" t="s">
        <v>63</v>
      </c>
      <c r="L316" s="24" t="s">
        <v>64</v>
      </c>
      <c r="M316" s="24">
        <v>40</v>
      </c>
      <c r="N316" s="41">
        <f t="shared" si="93"/>
        <v>1540000</v>
      </c>
      <c r="O316" s="41">
        <v>61600000</v>
      </c>
      <c r="P316" s="24"/>
      <c r="Q316" s="24"/>
      <c r="R316" s="24"/>
      <c r="S316" s="41">
        <f t="shared" si="96"/>
        <v>61600000</v>
      </c>
      <c r="T316" s="24">
        <v>5</v>
      </c>
      <c r="U316" s="41"/>
      <c r="V316" s="24">
        <v>0.5</v>
      </c>
      <c r="W316" s="41">
        <f t="shared" si="104"/>
        <v>0</v>
      </c>
      <c r="X316" s="52"/>
      <c r="Y316" s="53">
        <f t="shared" si="102"/>
        <v>0</v>
      </c>
      <c r="Z316" s="53">
        <f t="shared" si="103"/>
        <v>0</v>
      </c>
      <c r="AA316" s="52">
        <v>5</v>
      </c>
      <c r="AB316" s="53">
        <v>61600000</v>
      </c>
      <c r="AC316" s="53">
        <f t="shared" si="97"/>
        <v>0</v>
      </c>
      <c r="AD316" s="56" t="s">
        <v>612</v>
      </c>
      <c r="AE316" s="70"/>
      <c r="AF316" s="1">
        <v>61600000</v>
      </c>
      <c r="AG316" s="5">
        <f t="shared" si="91"/>
        <v>0</v>
      </c>
    </row>
    <row r="317" spans="1:33" s="1" customFormat="1" x14ac:dyDescent="0.25">
      <c r="A317" s="49"/>
      <c r="B317" s="22" t="s">
        <v>1676</v>
      </c>
      <c r="C317" s="22" t="s">
        <v>720</v>
      </c>
      <c r="D317" s="51" t="s">
        <v>721</v>
      </c>
      <c r="E317" s="24" t="s">
        <v>722</v>
      </c>
      <c r="F317" s="24"/>
      <c r="G317" s="24" t="s">
        <v>712</v>
      </c>
      <c r="H317" s="24" t="s">
        <v>62</v>
      </c>
      <c r="I317" s="24">
        <v>2017</v>
      </c>
      <c r="J317" s="24"/>
      <c r="K317" s="24" t="s">
        <v>63</v>
      </c>
      <c r="L317" s="24" t="s">
        <v>64</v>
      </c>
      <c r="M317" s="24">
        <v>36</v>
      </c>
      <c r="N317" s="41">
        <f t="shared" si="93"/>
        <v>2497000</v>
      </c>
      <c r="O317" s="41">
        <v>89892000</v>
      </c>
      <c r="P317" s="24"/>
      <c r="Q317" s="24"/>
      <c r="R317" s="24"/>
      <c r="S317" s="41">
        <f t="shared" si="96"/>
        <v>89892000</v>
      </c>
      <c r="T317" s="24">
        <v>5</v>
      </c>
      <c r="U317" s="41">
        <f>SUM(S317/T317)</f>
        <v>17978400</v>
      </c>
      <c r="V317" s="24">
        <v>0.5</v>
      </c>
      <c r="W317" s="41"/>
      <c r="X317" s="52"/>
      <c r="Y317" s="53">
        <f t="shared" si="102"/>
        <v>0</v>
      </c>
      <c r="Z317" s="53">
        <f t="shared" si="103"/>
        <v>0</v>
      </c>
      <c r="AA317" s="52">
        <v>5</v>
      </c>
      <c r="AB317" s="53">
        <v>89892000</v>
      </c>
      <c r="AC317" s="53">
        <f t="shared" si="97"/>
        <v>0</v>
      </c>
      <c r="AD317" s="56" t="s">
        <v>354</v>
      </c>
      <c r="AE317" s="70"/>
      <c r="AF317" s="1">
        <v>89892000</v>
      </c>
      <c r="AG317" s="5">
        <f t="shared" ref="AG317:AG380" si="105">AF317+Z317-AB317</f>
        <v>0</v>
      </c>
    </row>
    <row r="318" spans="1:33" s="1" customFormat="1" x14ac:dyDescent="0.25">
      <c r="A318" s="49"/>
      <c r="B318" s="22" t="s">
        <v>1676</v>
      </c>
      <c r="C318" s="22" t="s">
        <v>723</v>
      </c>
      <c r="D318" s="51" t="s">
        <v>721</v>
      </c>
      <c r="E318" s="24" t="s">
        <v>722</v>
      </c>
      <c r="F318" s="24"/>
      <c r="G318" s="24" t="s">
        <v>712</v>
      </c>
      <c r="H318" s="24" t="s">
        <v>62</v>
      </c>
      <c r="I318" s="24">
        <v>2017</v>
      </c>
      <c r="J318" s="24"/>
      <c r="K318" s="24" t="s">
        <v>63</v>
      </c>
      <c r="L318" s="24" t="s">
        <v>64</v>
      </c>
      <c r="M318" s="24">
        <v>28</v>
      </c>
      <c r="N318" s="41">
        <f t="shared" si="93"/>
        <v>2497000</v>
      </c>
      <c r="O318" s="41">
        <v>69916000</v>
      </c>
      <c r="P318" s="24"/>
      <c r="Q318" s="24"/>
      <c r="R318" s="24"/>
      <c r="S318" s="41">
        <f t="shared" si="96"/>
        <v>69916000</v>
      </c>
      <c r="T318" s="24">
        <v>5</v>
      </c>
      <c r="U318" s="41">
        <f>SUM(S318/T318)</f>
        <v>13983200</v>
      </c>
      <c r="V318" s="24">
        <v>0.5</v>
      </c>
      <c r="W318" s="41"/>
      <c r="X318" s="52"/>
      <c r="Y318" s="53">
        <f t="shared" si="102"/>
        <v>0</v>
      </c>
      <c r="Z318" s="53">
        <f t="shared" si="103"/>
        <v>0</v>
      </c>
      <c r="AA318" s="57">
        <v>5</v>
      </c>
      <c r="AB318" s="53">
        <v>69916000</v>
      </c>
      <c r="AC318" s="53">
        <f t="shared" si="97"/>
        <v>0</v>
      </c>
      <c r="AD318" s="56" t="s">
        <v>350</v>
      </c>
      <c r="AE318" s="70"/>
      <c r="AF318" s="1">
        <v>69916000</v>
      </c>
      <c r="AG318" s="5">
        <f t="shared" si="105"/>
        <v>0</v>
      </c>
    </row>
    <row r="319" spans="1:33" s="1" customFormat="1" x14ac:dyDescent="0.25">
      <c r="A319" s="49"/>
      <c r="B319" s="22" t="s">
        <v>1677</v>
      </c>
      <c r="C319" s="22" t="s">
        <v>274</v>
      </c>
      <c r="D319" s="51" t="s">
        <v>815</v>
      </c>
      <c r="E319" s="24" t="s">
        <v>166</v>
      </c>
      <c r="F319" s="24"/>
      <c r="G319" s="24" t="s">
        <v>319</v>
      </c>
      <c r="H319" s="24" t="s">
        <v>62</v>
      </c>
      <c r="I319" s="24">
        <v>2012</v>
      </c>
      <c r="J319" s="24"/>
      <c r="K319" s="24" t="s">
        <v>63</v>
      </c>
      <c r="L319" s="24" t="s">
        <v>64</v>
      </c>
      <c r="M319" s="24">
        <v>5</v>
      </c>
      <c r="N319" s="41">
        <f t="shared" ref="N319:N356" si="106">SUM(O319/M319)</f>
        <v>1309770</v>
      </c>
      <c r="O319" s="41">
        <v>6548850</v>
      </c>
      <c r="P319" s="24"/>
      <c r="Q319" s="24"/>
      <c r="R319" s="24"/>
      <c r="S319" s="41">
        <f t="shared" si="96"/>
        <v>6548850</v>
      </c>
      <c r="T319" s="24">
        <v>5</v>
      </c>
      <c r="U319" s="41"/>
      <c r="V319" s="24">
        <v>0.5</v>
      </c>
      <c r="W319" s="41">
        <f t="shared" ref="W319:W347" si="107">SUM(U319*V319)</f>
        <v>0</v>
      </c>
      <c r="X319" s="52"/>
      <c r="Y319" s="53">
        <f t="shared" si="102"/>
        <v>0</v>
      </c>
      <c r="Z319" s="53">
        <f t="shared" ref="Z319:Z349" si="108">SUM(W319+Y319)</f>
        <v>0</v>
      </c>
      <c r="AA319" s="52">
        <v>5</v>
      </c>
      <c r="AB319" s="53">
        <v>6548850</v>
      </c>
      <c r="AC319" s="53">
        <f t="shared" si="97"/>
        <v>0</v>
      </c>
      <c r="AD319" s="56" t="s">
        <v>744</v>
      </c>
      <c r="AE319" s="70"/>
      <c r="AF319" s="1">
        <v>6548850</v>
      </c>
      <c r="AG319" s="5">
        <f t="shared" si="105"/>
        <v>0</v>
      </c>
    </row>
    <row r="320" spans="1:33" s="1" customFormat="1" x14ac:dyDescent="0.25">
      <c r="A320" s="49"/>
      <c r="B320" s="22" t="s">
        <v>1677</v>
      </c>
      <c r="C320" s="22" t="s">
        <v>816</v>
      </c>
      <c r="D320" s="51" t="s">
        <v>815</v>
      </c>
      <c r="E320" s="24" t="s">
        <v>166</v>
      </c>
      <c r="F320" s="24"/>
      <c r="G320" s="24" t="s">
        <v>319</v>
      </c>
      <c r="H320" s="24" t="s">
        <v>62</v>
      </c>
      <c r="I320" s="24">
        <v>2012</v>
      </c>
      <c r="J320" s="24"/>
      <c r="K320" s="24" t="s">
        <v>63</v>
      </c>
      <c r="L320" s="24" t="s">
        <v>64</v>
      </c>
      <c r="M320" s="24">
        <v>20</v>
      </c>
      <c r="N320" s="41">
        <f t="shared" si="106"/>
        <v>1309770</v>
      </c>
      <c r="O320" s="41">
        <v>26195400</v>
      </c>
      <c r="P320" s="24"/>
      <c r="Q320" s="24"/>
      <c r="R320" s="24"/>
      <c r="S320" s="41">
        <f t="shared" si="96"/>
        <v>26195400</v>
      </c>
      <c r="T320" s="24">
        <v>5</v>
      </c>
      <c r="U320" s="41"/>
      <c r="V320" s="24">
        <v>0.5</v>
      </c>
      <c r="W320" s="41">
        <f t="shared" si="107"/>
        <v>0</v>
      </c>
      <c r="X320" s="52"/>
      <c r="Y320" s="53">
        <f t="shared" si="102"/>
        <v>0</v>
      </c>
      <c r="Z320" s="53">
        <f t="shared" si="108"/>
        <v>0</v>
      </c>
      <c r="AA320" s="52">
        <v>5</v>
      </c>
      <c r="AB320" s="53">
        <v>26195400</v>
      </c>
      <c r="AC320" s="53">
        <f t="shared" si="97"/>
        <v>0</v>
      </c>
      <c r="AD320" s="56" t="s">
        <v>817</v>
      </c>
      <c r="AE320" s="70"/>
      <c r="AF320" s="1">
        <v>26195400</v>
      </c>
      <c r="AG320" s="5">
        <f t="shared" si="105"/>
        <v>0</v>
      </c>
    </row>
    <row r="321" spans="1:33" s="1" customFormat="1" x14ac:dyDescent="0.25">
      <c r="A321" s="49"/>
      <c r="B321" s="22" t="s">
        <v>1677</v>
      </c>
      <c r="C321" s="22" t="s">
        <v>818</v>
      </c>
      <c r="D321" s="51" t="s">
        <v>819</v>
      </c>
      <c r="E321" s="24" t="s">
        <v>166</v>
      </c>
      <c r="F321" s="24"/>
      <c r="G321" s="24" t="s">
        <v>319</v>
      </c>
      <c r="H321" s="24" t="s">
        <v>62</v>
      </c>
      <c r="I321" s="24">
        <v>2012</v>
      </c>
      <c r="J321" s="24"/>
      <c r="K321" s="24" t="s">
        <v>63</v>
      </c>
      <c r="L321" s="24" t="s">
        <v>64</v>
      </c>
      <c r="M321" s="24">
        <v>2</v>
      </c>
      <c r="N321" s="41">
        <f t="shared" si="106"/>
        <v>2722500</v>
      </c>
      <c r="O321" s="41">
        <v>5445000</v>
      </c>
      <c r="P321" s="24"/>
      <c r="Q321" s="24"/>
      <c r="R321" s="24"/>
      <c r="S321" s="41">
        <f t="shared" si="96"/>
        <v>5445000</v>
      </c>
      <c r="T321" s="24">
        <v>5</v>
      </c>
      <c r="U321" s="41"/>
      <c r="V321" s="24">
        <v>0.5</v>
      </c>
      <c r="W321" s="41">
        <f t="shared" si="107"/>
        <v>0</v>
      </c>
      <c r="X321" s="52"/>
      <c r="Y321" s="53">
        <f t="shared" si="102"/>
        <v>0</v>
      </c>
      <c r="Z321" s="53">
        <f t="shared" si="108"/>
        <v>0</v>
      </c>
      <c r="AA321" s="52">
        <v>5</v>
      </c>
      <c r="AB321" s="53">
        <v>5445000</v>
      </c>
      <c r="AC321" s="53">
        <f t="shared" si="97"/>
        <v>0</v>
      </c>
      <c r="AD321" s="56" t="s">
        <v>750</v>
      </c>
      <c r="AE321" s="70"/>
      <c r="AF321" s="1">
        <v>5445000</v>
      </c>
      <c r="AG321" s="5">
        <f t="shared" si="105"/>
        <v>0</v>
      </c>
    </row>
    <row r="322" spans="1:33" s="1" customFormat="1" x14ac:dyDescent="0.25">
      <c r="A322" s="49"/>
      <c r="B322" s="22" t="s">
        <v>1677</v>
      </c>
      <c r="C322" s="22" t="s">
        <v>820</v>
      </c>
      <c r="D322" s="51" t="s">
        <v>821</v>
      </c>
      <c r="E322" s="24" t="s">
        <v>166</v>
      </c>
      <c r="F322" s="24"/>
      <c r="G322" s="24" t="s">
        <v>319</v>
      </c>
      <c r="H322" s="24" t="s">
        <v>62</v>
      </c>
      <c r="I322" s="24">
        <v>2012</v>
      </c>
      <c r="J322" s="24"/>
      <c r="K322" s="24" t="s">
        <v>63</v>
      </c>
      <c r="L322" s="24" t="s">
        <v>64</v>
      </c>
      <c r="M322" s="24">
        <v>5</v>
      </c>
      <c r="N322" s="41">
        <f t="shared" si="106"/>
        <v>1430000</v>
      </c>
      <c r="O322" s="41">
        <v>7150000</v>
      </c>
      <c r="P322" s="24"/>
      <c r="Q322" s="24"/>
      <c r="R322" s="24"/>
      <c r="S322" s="41">
        <f t="shared" si="96"/>
        <v>7150000</v>
      </c>
      <c r="T322" s="24">
        <v>5</v>
      </c>
      <c r="U322" s="41"/>
      <c r="V322" s="24">
        <v>0.5</v>
      </c>
      <c r="W322" s="41">
        <f t="shared" si="107"/>
        <v>0</v>
      </c>
      <c r="X322" s="52"/>
      <c r="Y322" s="53">
        <f t="shared" si="102"/>
        <v>0</v>
      </c>
      <c r="Z322" s="53">
        <f t="shared" si="108"/>
        <v>0</v>
      </c>
      <c r="AA322" s="57">
        <v>5</v>
      </c>
      <c r="AB322" s="53">
        <v>7150000</v>
      </c>
      <c r="AC322" s="53">
        <f t="shared" si="97"/>
        <v>0</v>
      </c>
      <c r="AD322" s="56" t="s">
        <v>744</v>
      </c>
      <c r="AE322" s="70"/>
      <c r="AF322" s="1">
        <v>7150000</v>
      </c>
      <c r="AG322" s="5">
        <f t="shared" si="105"/>
        <v>0</v>
      </c>
    </row>
    <row r="323" spans="1:33" s="1" customFormat="1" x14ac:dyDescent="0.25">
      <c r="A323" s="49"/>
      <c r="B323" s="22" t="s">
        <v>1677</v>
      </c>
      <c r="C323" s="22" t="s">
        <v>822</v>
      </c>
      <c r="D323" s="51" t="s">
        <v>821</v>
      </c>
      <c r="E323" s="24" t="s">
        <v>166</v>
      </c>
      <c r="F323" s="24"/>
      <c r="G323" s="24" t="s">
        <v>319</v>
      </c>
      <c r="H323" s="24" t="s">
        <v>62</v>
      </c>
      <c r="I323" s="24">
        <v>2012</v>
      </c>
      <c r="J323" s="24"/>
      <c r="K323" s="24" t="s">
        <v>63</v>
      </c>
      <c r="L323" s="24" t="s">
        <v>64</v>
      </c>
      <c r="M323" s="24">
        <v>20</v>
      </c>
      <c r="N323" s="41">
        <f t="shared" si="106"/>
        <v>1430000</v>
      </c>
      <c r="O323" s="41">
        <v>28600000</v>
      </c>
      <c r="P323" s="24"/>
      <c r="Q323" s="24"/>
      <c r="R323" s="24"/>
      <c r="S323" s="41">
        <f t="shared" si="96"/>
        <v>28600000</v>
      </c>
      <c r="T323" s="24">
        <v>5</v>
      </c>
      <c r="U323" s="41"/>
      <c r="V323" s="24">
        <v>0.5</v>
      </c>
      <c r="W323" s="41">
        <f t="shared" si="107"/>
        <v>0</v>
      </c>
      <c r="X323" s="52"/>
      <c r="Y323" s="53">
        <f t="shared" si="102"/>
        <v>0</v>
      </c>
      <c r="Z323" s="53">
        <f t="shared" si="108"/>
        <v>0</v>
      </c>
      <c r="AA323" s="52">
        <v>5</v>
      </c>
      <c r="AB323" s="53">
        <v>28600000</v>
      </c>
      <c r="AC323" s="53">
        <f t="shared" si="97"/>
        <v>0</v>
      </c>
      <c r="AD323" s="56" t="s">
        <v>750</v>
      </c>
      <c r="AE323" s="70"/>
      <c r="AF323" s="1">
        <v>28600000</v>
      </c>
      <c r="AG323" s="5">
        <f t="shared" si="105"/>
        <v>0</v>
      </c>
    </row>
    <row r="324" spans="1:33" s="1" customFormat="1" x14ac:dyDescent="0.25">
      <c r="A324" s="49"/>
      <c r="B324" s="22" t="s">
        <v>1677</v>
      </c>
      <c r="C324" s="22" t="s">
        <v>726</v>
      </c>
      <c r="D324" s="51" t="s">
        <v>825</v>
      </c>
      <c r="E324" s="24" t="s">
        <v>166</v>
      </c>
      <c r="F324" s="24"/>
      <c r="G324" s="24" t="s">
        <v>319</v>
      </c>
      <c r="H324" s="24" t="s">
        <v>62</v>
      </c>
      <c r="I324" s="24">
        <v>2012</v>
      </c>
      <c r="J324" s="24"/>
      <c r="K324" s="24" t="s">
        <v>63</v>
      </c>
      <c r="L324" s="24" t="s">
        <v>64</v>
      </c>
      <c r="M324" s="24">
        <v>40</v>
      </c>
      <c r="N324" s="41">
        <f t="shared" si="106"/>
        <v>782025</v>
      </c>
      <c r="O324" s="41">
        <v>31281000</v>
      </c>
      <c r="P324" s="24"/>
      <c r="Q324" s="24"/>
      <c r="R324" s="24"/>
      <c r="S324" s="41">
        <f t="shared" si="96"/>
        <v>31281000</v>
      </c>
      <c r="T324" s="24">
        <v>5</v>
      </c>
      <c r="U324" s="41"/>
      <c r="V324" s="24">
        <v>0.5</v>
      </c>
      <c r="W324" s="41">
        <f t="shared" si="107"/>
        <v>0</v>
      </c>
      <c r="X324" s="52"/>
      <c r="Y324" s="53">
        <f t="shared" si="102"/>
        <v>0</v>
      </c>
      <c r="Z324" s="53">
        <f t="shared" si="108"/>
        <v>0</v>
      </c>
      <c r="AA324" s="52">
        <v>5</v>
      </c>
      <c r="AB324" s="53">
        <v>31281000</v>
      </c>
      <c r="AC324" s="53">
        <f t="shared" si="97"/>
        <v>0</v>
      </c>
      <c r="AD324" s="56" t="s">
        <v>357</v>
      </c>
      <c r="AE324" s="70"/>
      <c r="AF324" s="1">
        <v>31281000</v>
      </c>
      <c r="AG324" s="5">
        <f t="shared" si="105"/>
        <v>0</v>
      </c>
    </row>
    <row r="325" spans="1:33" s="1" customFormat="1" x14ac:dyDescent="0.25">
      <c r="A325" s="49"/>
      <c r="B325" s="22" t="s">
        <v>1678</v>
      </c>
      <c r="C325" s="22" t="s">
        <v>58</v>
      </c>
      <c r="D325" s="51" t="s">
        <v>770</v>
      </c>
      <c r="E325" s="24" t="s">
        <v>771</v>
      </c>
      <c r="F325" s="24"/>
      <c r="G325" s="24" t="s">
        <v>319</v>
      </c>
      <c r="H325" s="24" t="s">
        <v>62</v>
      </c>
      <c r="I325" s="24">
        <v>2008</v>
      </c>
      <c r="J325" s="24"/>
      <c r="K325" s="24" t="s">
        <v>63</v>
      </c>
      <c r="L325" s="24" t="s">
        <v>64</v>
      </c>
      <c r="M325" s="24">
        <v>1</v>
      </c>
      <c r="N325" s="41">
        <f t="shared" si="106"/>
        <v>3985000</v>
      </c>
      <c r="O325" s="41">
        <v>3985000</v>
      </c>
      <c r="P325" s="24"/>
      <c r="Q325" s="24"/>
      <c r="R325" s="24"/>
      <c r="S325" s="41">
        <f t="shared" si="96"/>
        <v>3985000</v>
      </c>
      <c r="T325" s="24">
        <v>5</v>
      </c>
      <c r="U325" s="41"/>
      <c r="V325" s="24">
        <v>0.5</v>
      </c>
      <c r="W325" s="41">
        <f t="shared" si="107"/>
        <v>0</v>
      </c>
      <c r="X325" s="52"/>
      <c r="Y325" s="53">
        <f t="shared" ref="Y325:Y349" si="109">SUM(U325*X325)</f>
        <v>0</v>
      </c>
      <c r="Z325" s="53">
        <f t="shared" si="108"/>
        <v>0</v>
      </c>
      <c r="AA325" s="52">
        <v>5</v>
      </c>
      <c r="AB325" s="53">
        <v>3985000</v>
      </c>
      <c r="AC325" s="53">
        <f t="shared" si="97"/>
        <v>0</v>
      </c>
      <c r="AD325" s="56" t="s">
        <v>772</v>
      </c>
      <c r="AE325" s="70"/>
      <c r="AF325" s="1">
        <v>3985000</v>
      </c>
      <c r="AG325" s="5">
        <f t="shared" si="105"/>
        <v>0</v>
      </c>
    </row>
    <row r="326" spans="1:33" s="1" customFormat="1" x14ac:dyDescent="0.25">
      <c r="A326" s="49"/>
      <c r="B326" s="22" t="s">
        <v>1678</v>
      </c>
      <c r="C326" s="22" t="s">
        <v>75</v>
      </c>
      <c r="D326" s="51" t="s">
        <v>770</v>
      </c>
      <c r="E326" s="24" t="s">
        <v>771</v>
      </c>
      <c r="F326" s="24"/>
      <c r="G326" s="24" t="s">
        <v>319</v>
      </c>
      <c r="H326" s="24" t="s">
        <v>62</v>
      </c>
      <c r="I326" s="24">
        <v>2008</v>
      </c>
      <c r="J326" s="24"/>
      <c r="K326" s="24" t="s">
        <v>63</v>
      </c>
      <c r="L326" s="24" t="s">
        <v>64</v>
      </c>
      <c r="M326" s="24">
        <v>1</v>
      </c>
      <c r="N326" s="41">
        <f t="shared" si="106"/>
        <v>3985000</v>
      </c>
      <c r="O326" s="41">
        <v>3985000</v>
      </c>
      <c r="P326" s="24"/>
      <c r="Q326" s="24"/>
      <c r="R326" s="24"/>
      <c r="S326" s="41">
        <f t="shared" si="96"/>
        <v>3985000</v>
      </c>
      <c r="T326" s="24">
        <v>5</v>
      </c>
      <c r="U326" s="41"/>
      <c r="V326" s="24">
        <v>0.5</v>
      </c>
      <c r="W326" s="41">
        <f t="shared" si="107"/>
        <v>0</v>
      </c>
      <c r="X326" s="52"/>
      <c r="Y326" s="53">
        <f t="shared" si="109"/>
        <v>0</v>
      </c>
      <c r="Z326" s="53">
        <f t="shared" si="108"/>
        <v>0</v>
      </c>
      <c r="AA326" s="57">
        <v>5</v>
      </c>
      <c r="AB326" s="53">
        <v>3985000</v>
      </c>
      <c r="AC326" s="53">
        <f t="shared" si="97"/>
        <v>0</v>
      </c>
      <c r="AD326" s="56" t="s">
        <v>578</v>
      </c>
      <c r="AE326" s="70"/>
      <c r="AF326" s="1">
        <v>3985000</v>
      </c>
      <c r="AG326" s="5">
        <f t="shared" si="105"/>
        <v>0</v>
      </c>
    </row>
    <row r="327" spans="1:33" s="1" customFormat="1" x14ac:dyDescent="0.25">
      <c r="A327" s="49"/>
      <c r="B327" s="22" t="s">
        <v>1678</v>
      </c>
      <c r="C327" s="22" t="s">
        <v>79</v>
      </c>
      <c r="D327" s="51" t="s">
        <v>770</v>
      </c>
      <c r="E327" s="24" t="s">
        <v>771</v>
      </c>
      <c r="F327" s="24"/>
      <c r="G327" s="24" t="s">
        <v>319</v>
      </c>
      <c r="H327" s="24" t="s">
        <v>62</v>
      </c>
      <c r="I327" s="24">
        <v>2008</v>
      </c>
      <c r="J327" s="24"/>
      <c r="K327" s="24" t="s">
        <v>63</v>
      </c>
      <c r="L327" s="24" t="s">
        <v>64</v>
      </c>
      <c r="M327" s="24">
        <v>1</v>
      </c>
      <c r="N327" s="41">
        <f t="shared" si="106"/>
        <v>3985000</v>
      </c>
      <c r="O327" s="41">
        <v>3985000</v>
      </c>
      <c r="P327" s="24"/>
      <c r="Q327" s="24"/>
      <c r="R327" s="24"/>
      <c r="S327" s="41">
        <f t="shared" si="96"/>
        <v>3985000</v>
      </c>
      <c r="T327" s="24">
        <v>5</v>
      </c>
      <c r="U327" s="41"/>
      <c r="V327" s="24">
        <v>0.5</v>
      </c>
      <c r="W327" s="41">
        <f t="shared" si="107"/>
        <v>0</v>
      </c>
      <c r="X327" s="52"/>
      <c r="Y327" s="53">
        <f t="shared" si="109"/>
        <v>0</v>
      </c>
      <c r="Z327" s="53">
        <f t="shared" si="108"/>
        <v>0</v>
      </c>
      <c r="AA327" s="57">
        <v>5</v>
      </c>
      <c r="AB327" s="53">
        <v>3985000</v>
      </c>
      <c r="AC327" s="53">
        <f t="shared" si="97"/>
        <v>0</v>
      </c>
      <c r="AD327" s="56" t="s">
        <v>540</v>
      </c>
      <c r="AE327" s="70"/>
      <c r="AF327" s="1">
        <v>3985000</v>
      </c>
      <c r="AG327" s="5">
        <f t="shared" si="105"/>
        <v>0</v>
      </c>
    </row>
    <row r="328" spans="1:33" s="1" customFormat="1" x14ac:dyDescent="0.25">
      <c r="A328" s="49"/>
      <c r="B328" s="22" t="s">
        <v>1678</v>
      </c>
      <c r="C328" s="22" t="s">
        <v>84</v>
      </c>
      <c r="D328" s="51" t="s">
        <v>770</v>
      </c>
      <c r="E328" s="24" t="s">
        <v>771</v>
      </c>
      <c r="F328" s="24"/>
      <c r="G328" s="24" t="s">
        <v>319</v>
      </c>
      <c r="H328" s="24" t="s">
        <v>62</v>
      </c>
      <c r="I328" s="24">
        <v>2008</v>
      </c>
      <c r="J328" s="24"/>
      <c r="K328" s="24" t="s">
        <v>63</v>
      </c>
      <c r="L328" s="24" t="s">
        <v>64</v>
      </c>
      <c r="M328" s="24">
        <v>1</v>
      </c>
      <c r="N328" s="41">
        <f t="shared" si="106"/>
        <v>3985000</v>
      </c>
      <c r="O328" s="41">
        <v>3985000</v>
      </c>
      <c r="P328" s="24"/>
      <c r="Q328" s="24"/>
      <c r="R328" s="24"/>
      <c r="S328" s="41">
        <f t="shared" si="96"/>
        <v>3985000</v>
      </c>
      <c r="T328" s="24">
        <v>5</v>
      </c>
      <c r="U328" s="41"/>
      <c r="V328" s="24">
        <v>0.5</v>
      </c>
      <c r="W328" s="41">
        <f t="shared" si="107"/>
        <v>0</v>
      </c>
      <c r="X328" s="52"/>
      <c r="Y328" s="53">
        <f t="shared" si="109"/>
        <v>0</v>
      </c>
      <c r="Z328" s="53">
        <f t="shared" si="108"/>
        <v>0</v>
      </c>
      <c r="AA328" s="57">
        <v>5</v>
      </c>
      <c r="AB328" s="53">
        <v>3985000</v>
      </c>
      <c r="AC328" s="53">
        <f t="shared" si="97"/>
        <v>0</v>
      </c>
      <c r="AD328" s="56" t="s">
        <v>351</v>
      </c>
      <c r="AE328" s="70"/>
      <c r="AF328" s="1">
        <v>3985000</v>
      </c>
      <c r="AG328" s="5">
        <f t="shared" si="105"/>
        <v>0</v>
      </c>
    </row>
    <row r="329" spans="1:33" s="1" customFormat="1" x14ac:dyDescent="0.25">
      <c r="A329" s="49"/>
      <c r="B329" s="22" t="s">
        <v>1678</v>
      </c>
      <c r="C329" s="22" t="s">
        <v>88</v>
      </c>
      <c r="D329" s="51" t="s">
        <v>770</v>
      </c>
      <c r="E329" s="24" t="s">
        <v>771</v>
      </c>
      <c r="F329" s="24"/>
      <c r="G329" s="24" t="s">
        <v>319</v>
      </c>
      <c r="H329" s="24" t="s">
        <v>62</v>
      </c>
      <c r="I329" s="24">
        <v>2008</v>
      </c>
      <c r="J329" s="24"/>
      <c r="K329" s="24" t="s">
        <v>63</v>
      </c>
      <c r="L329" s="24" t="s">
        <v>64</v>
      </c>
      <c r="M329" s="24">
        <v>1</v>
      </c>
      <c r="N329" s="41">
        <f t="shared" si="106"/>
        <v>3985000</v>
      </c>
      <c r="O329" s="41">
        <v>3985000</v>
      </c>
      <c r="P329" s="24"/>
      <c r="Q329" s="24"/>
      <c r="R329" s="24"/>
      <c r="S329" s="41">
        <f t="shared" si="96"/>
        <v>3985000</v>
      </c>
      <c r="T329" s="24">
        <v>5</v>
      </c>
      <c r="U329" s="41"/>
      <c r="V329" s="24">
        <v>0.5</v>
      </c>
      <c r="W329" s="41">
        <f t="shared" si="107"/>
        <v>0</v>
      </c>
      <c r="X329" s="52"/>
      <c r="Y329" s="53">
        <f t="shared" si="109"/>
        <v>0</v>
      </c>
      <c r="Z329" s="53">
        <f t="shared" si="108"/>
        <v>0</v>
      </c>
      <c r="AA329" s="57">
        <v>5</v>
      </c>
      <c r="AB329" s="53">
        <v>3985000</v>
      </c>
      <c r="AC329" s="53">
        <f t="shared" si="97"/>
        <v>0</v>
      </c>
      <c r="AD329" s="56" t="s">
        <v>601</v>
      </c>
      <c r="AE329" s="70"/>
      <c r="AF329" s="1">
        <v>3985000</v>
      </c>
      <c r="AG329" s="5">
        <f t="shared" si="105"/>
        <v>0</v>
      </c>
    </row>
    <row r="330" spans="1:33" s="1" customFormat="1" x14ac:dyDescent="0.25">
      <c r="A330" s="49"/>
      <c r="B330" s="22" t="s">
        <v>1678</v>
      </c>
      <c r="C330" s="22" t="s">
        <v>92</v>
      </c>
      <c r="D330" s="51" t="s">
        <v>770</v>
      </c>
      <c r="E330" s="24" t="s">
        <v>771</v>
      </c>
      <c r="F330" s="24"/>
      <c r="G330" s="24" t="s">
        <v>319</v>
      </c>
      <c r="H330" s="24" t="s">
        <v>62</v>
      </c>
      <c r="I330" s="24">
        <v>2008</v>
      </c>
      <c r="J330" s="24"/>
      <c r="K330" s="24" t="s">
        <v>63</v>
      </c>
      <c r="L330" s="24" t="s">
        <v>64</v>
      </c>
      <c r="M330" s="24">
        <v>1</v>
      </c>
      <c r="N330" s="41">
        <f t="shared" si="106"/>
        <v>3985000</v>
      </c>
      <c r="O330" s="41">
        <v>3985000</v>
      </c>
      <c r="P330" s="24"/>
      <c r="Q330" s="24"/>
      <c r="R330" s="24"/>
      <c r="S330" s="41">
        <f t="shared" si="96"/>
        <v>3985000</v>
      </c>
      <c r="T330" s="24">
        <v>5</v>
      </c>
      <c r="U330" s="41"/>
      <c r="V330" s="24">
        <v>0.5</v>
      </c>
      <c r="W330" s="41">
        <f t="shared" si="107"/>
        <v>0</v>
      </c>
      <c r="X330" s="52"/>
      <c r="Y330" s="53">
        <f t="shared" si="109"/>
        <v>0</v>
      </c>
      <c r="Z330" s="53">
        <f t="shared" si="108"/>
        <v>0</v>
      </c>
      <c r="AA330" s="57">
        <v>5</v>
      </c>
      <c r="AB330" s="53">
        <v>3985000</v>
      </c>
      <c r="AC330" s="53">
        <f t="shared" si="97"/>
        <v>0</v>
      </c>
      <c r="AD330" s="56" t="s">
        <v>605</v>
      </c>
      <c r="AE330" s="70"/>
      <c r="AF330" s="1">
        <v>3985000</v>
      </c>
      <c r="AG330" s="5">
        <f t="shared" si="105"/>
        <v>0</v>
      </c>
    </row>
    <row r="331" spans="1:33" s="1" customFormat="1" x14ac:dyDescent="0.25">
      <c r="A331" s="49"/>
      <c r="B331" s="22" t="s">
        <v>1678</v>
      </c>
      <c r="C331" s="22" t="s">
        <v>96</v>
      </c>
      <c r="D331" s="51" t="s">
        <v>770</v>
      </c>
      <c r="E331" s="24" t="s">
        <v>771</v>
      </c>
      <c r="F331" s="24"/>
      <c r="G331" s="24" t="s">
        <v>319</v>
      </c>
      <c r="H331" s="24" t="s">
        <v>62</v>
      </c>
      <c r="I331" s="24">
        <v>2008</v>
      </c>
      <c r="J331" s="24"/>
      <c r="K331" s="24" t="s">
        <v>63</v>
      </c>
      <c r="L331" s="24" t="s">
        <v>64</v>
      </c>
      <c r="M331" s="24">
        <v>1</v>
      </c>
      <c r="N331" s="41">
        <f t="shared" si="106"/>
        <v>3985000</v>
      </c>
      <c r="O331" s="41">
        <v>3985000</v>
      </c>
      <c r="P331" s="24"/>
      <c r="Q331" s="24"/>
      <c r="R331" s="24"/>
      <c r="S331" s="41">
        <f t="shared" si="96"/>
        <v>3985000</v>
      </c>
      <c r="T331" s="24">
        <v>5</v>
      </c>
      <c r="U331" s="41"/>
      <c r="V331" s="24">
        <v>0.5</v>
      </c>
      <c r="W331" s="41">
        <f t="shared" si="107"/>
        <v>0</v>
      </c>
      <c r="X331" s="52"/>
      <c r="Y331" s="53">
        <f t="shared" si="109"/>
        <v>0</v>
      </c>
      <c r="Z331" s="53">
        <f t="shared" si="108"/>
        <v>0</v>
      </c>
      <c r="AA331" s="57">
        <v>5</v>
      </c>
      <c r="AB331" s="53">
        <v>3985000</v>
      </c>
      <c r="AC331" s="53">
        <f t="shared" si="97"/>
        <v>0</v>
      </c>
      <c r="AD331" s="56" t="s">
        <v>759</v>
      </c>
      <c r="AE331" s="70"/>
      <c r="AF331" s="1">
        <v>3985000</v>
      </c>
      <c r="AG331" s="5">
        <f t="shared" si="105"/>
        <v>0</v>
      </c>
    </row>
    <row r="332" spans="1:33" s="1" customFormat="1" x14ac:dyDescent="0.25">
      <c r="A332" s="49"/>
      <c r="B332" s="22" t="s">
        <v>1678</v>
      </c>
      <c r="C332" s="22" t="s">
        <v>100</v>
      </c>
      <c r="D332" s="51" t="s">
        <v>770</v>
      </c>
      <c r="E332" s="24" t="s">
        <v>771</v>
      </c>
      <c r="F332" s="24"/>
      <c r="G332" s="24" t="s">
        <v>319</v>
      </c>
      <c r="H332" s="24" t="s">
        <v>62</v>
      </c>
      <c r="I332" s="24">
        <v>2008</v>
      </c>
      <c r="J332" s="24"/>
      <c r="K332" s="24" t="s">
        <v>63</v>
      </c>
      <c r="L332" s="24" t="s">
        <v>64</v>
      </c>
      <c r="M332" s="24">
        <v>1</v>
      </c>
      <c r="N332" s="41">
        <f t="shared" si="106"/>
        <v>3985000</v>
      </c>
      <c r="O332" s="41">
        <v>3985000</v>
      </c>
      <c r="P332" s="24"/>
      <c r="Q332" s="24"/>
      <c r="R332" s="24"/>
      <c r="S332" s="41">
        <f t="shared" si="96"/>
        <v>3985000</v>
      </c>
      <c r="T332" s="24">
        <v>5</v>
      </c>
      <c r="U332" s="41"/>
      <c r="V332" s="24">
        <v>0.5</v>
      </c>
      <c r="W332" s="41">
        <f t="shared" si="107"/>
        <v>0</v>
      </c>
      <c r="X332" s="52"/>
      <c r="Y332" s="53">
        <f t="shared" si="109"/>
        <v>0</v>
      </c>
      <c r="Z332" s="53">
        <f t="shared" si="108"/>
        <v>0</v>
      </c>
      <c r="AA332" s="57">
        <v>5</v>
      </c>
      <c r="AB332" s="53">
        <v>3985000</v>
      </c>
      <c r="AC332" s="53">
        <f t="shared" si="97"/>
        <v>0</v>
      </c>
      <c r="AD332" s="56" t="s">
        <v>387</v>
      </c>
      <c r="AE332" s="70"/>
      <c r="AF332" s="1">
        <v>3985000</v>
      </c>
      <c r="AG332" s="5">
        <f t="shared" si="105"/>
        <v>0</v>
      </c>
    </row>
    <row r="333" spans="1:33" s="1" customFormat="1" x14ac:dyDescent="0.25">
      <c r="A333" s="49"/>
      <c r="B333" s="22" t="s">
        <v>1678</v>
      </c>
      <c r="C333" s="22" t="s">
        <v>105</v>
      </c>
      <c r="D333" s="51" t="s">
        <v>770</v>
      </c>
      <c r="E333" s="24" t="s">
        <v>771</v>
      </c>
      <c r="F333" s="24"/>
      <c r="G333" s="24" t="s">
        <v>319</v>
      </c>
      <c r="H333" s="24" t="s">
        <v>62</v>
      </c>
      <c r="I333" s="24">
        <v>2008</v>
      </c>
      <c r="J333" s="24"/>
      <c r="K333" s="24" t="s">
        <v>63</v>
      </c>
      <c r="L333" s="24" t="s">
        <v>64</v>
      </c>
      <c r="M333" s="24">
        <v>1</v>
      </c>
      <c r="N333" s="41">
        <f t="shared" si="106"/>
        <v>3985000</v>
      </c>
      <c r="O333" s="41">
        <v>3985000</v>
      </c>
      <c r="P333" s="24"/>
      <c r="Q333" s="24"/>
      <c r="R333" s="24"/>
      <c r="S333" s="41">
        <f t="shared" si="96"/>
        <v>3985000</v>
      </c>
      <c r="T333" s="24">
        <v>5</v>
      </c>
      <c r="U333" s="41"/>
      <c r="V333" s="24">
        <v>0.5</v>
      </c>
      <c r="W333" s="41">
        <f t="shared" si="107"/>
        <v>0</v>
      </c>
      <c r="X333" s="57"/>
      <c r="Y333" s="53">
        <f t="shared" si="109"/>
        <v>0</v>
      </c>
      <c r="Z333" s="53">
        <f t="shared" si="108"/>
        <v>0</v>
      </c>
      <c r="AA333" s="57">
        <v>5</v>
      </c>
      <c r="AB333" s="53">
        <v>3985000</v>
      </c>
      <c r="AC333" s="53">
        <f t="shared" si="97"/>
        <v>0</v>
      </c>
      <c r="AD333" s="56" t="s">
        <v>388</v>
      </c>
      <c r="AE333" s="70"/>
      <c r="AF333" s="1">
        <v>3985000</v>
      </c>
      <c r="AG333" s="5">
        <f t="shared" si="105"/>
        <v>0</v>
      </c>
    </row>
    <row r="334" spans="1:33" s="1" customFormat="1" x14ac:dyDescent="0.25">
      <c r="A334" s="49"/>
      <c r="B334" s="22" t="s">
        <v>1678</v>
      </c>
      <c r="C334" s="22" t="s">
        <v>108</v>
      </c>
      <c r="D334" s="51" t="s">
        <v>770</v>
      </c>
      <c r="E334" s="24" t="s">
        <v>771</v>
      </c>
      <c r="F334" s="24"/>
      <c r="G334" s="24" t="s">
        <v>319</v>
      </c>
      <c r="H334" s="24" t="s">
        <v>62</v>
      </c>
      <c r="I334" s="24">
        <v>2008</v>
      </c>
      <c r="J334" s="24"/>
      <c r="K334" s="24" t="s">
        <v>63</v>
      </c>
      <c r="L334" s="24" t="s">
        <v>64</v>
      </c>
      <c r="M334" s="24">
        <v>1</v>
      </c>
      <c r="N334" s="41">
        <f t="shared" si="106"/>
        <v>3985000</v>
      </c>
      <c r="O334" s="41">
        <v>3985000</v>
      </c>
      <c r="P334" s="24"/>
      <c r="Q334" s="24"/>
      <c r="R334" s="24"/>
      <c r="S334" s="41">
        <f t="shared" si="96"/>
        <v>3985000</v>
      </c>
      <c r="T334" s="24">
        <v>5</v>
      </c>
      <c r="U334" s="41"/>
      <c r="V334" s="24">
        <v>0.5</v>
      </c>
      <c r="W334" s="41">
        <f t="shared" si="107"/>
        <v>0</v>
      </c>
      <c r="X334" s="24"/>
      <c r="Y334" s="41">
        <f t="shared" si="109"/>
        <v>0</v>
      </c>
      <c r="Z334" s="41">
        <f t="shared" si="108"/>
        <v>0</v>
      </c>
      <c r="AA334" s="24">
        <v>5</v>
      </c>
      <c r="AB334" s="41">
        <v>3985000</v>
      </c>
      <c r="AC334" s="41">
        <f t="shared" si="97"/>
        <v>0</v>
      </c>
      <c r="AD334" s="70" t="s">
        <v>385</v>
      </c>
      <c r="AE334" s="70"/>
      <c r="AF334" s="1">
        <v>3985000</v>
      </c>
      <c r="AG334" s="5">
        <f t="shared" si="105"/>
        <v>0</v>
      </c>
    </row>
    <row r="335" spans="1:33" s="1" customFormat="1" x14ac:dyDescent="0.25">
      <c r="A335" s="49"/>
      <c r="B335" s="22" t="s">
        <v>1678</v>
      </c>
      <c r="C335" s="22" t="s">
        <v>135</v>
      </c>
      <c r="D335" s="51" t="s">
        <v>770</v>
      </c>
      <c r="E335" s="24" t="s">
        <v>771</v>
      </c>
      <c r="F335" s="24"/>
      <c r="G335" s="24" t="s">
        <v>319</v>
      </c>
      <c r="H335" s="24" t="s">
        <v>62</v>
      </c>
      <c r="I335" s="24">
        <v>2011</v>
      </c>
      <c r="J335" s="24"/>
      <c r="K335" s="24" t="s">
        <v>202</v>
      </c>
      <c r="L335" s="24" t="s">
        <v>64</v>
      </c>
      <c r="M335" s="24">
        <v>1</v>
      </c>
      <c r="N335" s="41">
        <f t="shared" si="106"/>
        <v>8000000</v>
      </c>
      <c r="O335" s="41">
        <v>8000000</v>
      </c>
      <c r="P335" s="24"/>
      <c r="Q335" s="24"/>
      <c r="R335" s="24"/>
      <c r="S335" s="41">
        <f t="shared" ref="S335:S366" si="110">SUM(O335-R335)</f>
        <v>8000000</v>
      </c>
      <c r="T335" s="24">
        <v>5</v>
      </c>
      <c r="U335" s="41"/>
      <c r="V335" s="24">
        <v>0.5</v>
      </c>
      <c r="W335" s="41">
        <f t="shared" si="107"/>
        <v>0</v>
      </c>
      <c r="X335" s="24"/>
      <c r="Y335" s="41">
        <f t="shared" si="109"/>
        <v>0</v>
      </c>
      <c r="Z335" s="41">
        <f t="shared" si="108"/>
        <v>0</v>
      </c>
      <c r="AA335" s="24">
        <v>5</v>
      </c>
      <c r="AB335" s="41">
        <v>8000000</v>
      </c>
      <c r="AC335" s="41">
        <f t="shared" ref="AC335:AC366" si="111">SUM(O335-AB335)</f>
        <v>0</v>
      </c>
      <c r="AD335" s="70" t="s">
        <v>335</v>
      </c>
      <c r="AE335" s="70"/>
      <c r="AF335" s="1">
        <v>8000000</v>
      </c>
      <c r="AG335" s="5">
        <f t="shared" si="105"/>
        <v>0</v>
      </c>
    </row>
    <row r="336" spans="1:33" s="1" customFormat="1" x14ac:dyDescent="0.25">
      <c r="A336" s="49"/>
      <c r="B336" s="22" t="s">
        <v>1678</v>
      </c>
      <c r="C336" s="50" t="s">
        <v>138</v>
      </c>
      <c r="D336" s="51" t="s">
        <v>770</v>
      </c>
      <c r="E336" s="52" t="s">
        <v>771</v>
      </c>
      <c r="F336" s="52"/>
      <c r="G336" s="52" t="s">
        <v>319</v>
      </c>
      <c r="H336" s="52" t="s">
        <v>62</v>
      </c>
      <c r="I336" s="52">
        <v>2021</v>
      </c>
      <c r="J336" s="52"/>
      <c r="K336" s="52" t="s">
        <v>202</v>
      </c>
      <c r="L336" s="52" t="s">
        <v>64</v>
      </c>
      <c r="M336" s="52">
        <v>1</v>
      </c>
      <c r="N336" s="53">
        <f t="shared" si="106"/>
        <v>6000000</v>
      </c>
      <c r="O336" s="53">
        <v>6000000</v>
      </c>
      <c r="P336" s="52"/>
      <c r="Q336" s="52"/>
      <c r="R336" s="52"/>
      <c r="S336" s="53">
        <f t="shared" si="110"/>
        <v>6000000</v>
      </c>
      <c r="T336" s="52">
        <v>5</v>
      </c>
      <c r="U336" s="53">
        <f t="shared" ref="U336" si="112">SUM(S336/T336)</f>
        <v>1200000</v>
      </c>
      <c r="V336" s="52">
        <v>0.5</v>
      </c>
      <c r="W336" s="53">
        <f t="shared" si="107"/>
        <v>600000</v>
      </c>
      <c r="X336" s="24">
        <v>0.5</v>
      </c>
      <c r="Y336" s="41">
        <f t="shared" si="109"/>
        <v>600000</v>
      </c>
      <c r="Z336" s="41">
        <f t="shared" si="108"/>
        <v>1200000</v>
      </c>
      <c r="AA336" s="72">
        <f>1/12+0.5+0.5+0.5+0.5</f>
        <v>2.0833333333333335</v>
      </c>
      <c r="AB336" s="41">
        <f t="shared" ref="AB336" si="113">SUM(U336*AA336)</f>
        <v>2500000</v>
      </c>
      <c r="AC336" s="41">
        <f t="shared" si="111"/>
        <v>3500000</v>
      </c>
      <c r="AD336" s="70" t="s">
        <v>773</v>
      </c>
      <c r="AE336" s="70"/>
      <c r="AF336" s="1">
        <v>1300000.0000000002</v>
      </c>
      <c r="AG336" s="5">
        <f t="shared" si="105"/>
        <v>0</v>
      </c>
    </row>
    <row r="337" spans="1:33" s="1" customFormat="1" x14ac:dyDescent="0.25">
      <c r="A337" s="49"/>
      <c r="B337" s="22" t="s">
        <v>1679</v>
      </c>
      <c r="C337" s="22" t="s">
        <v>734</v>
      </c>
      <c r="D337" s="51" t="s">
        <v>735</v>
      </c>
      <c r="E337" s="24" t="s">
        <v>736</v>
      </c>
      <c r="F337" s="24"/>
      <c r="G337" s="24" t="s">
        <v>737</v>
      </c>
      <c r="H337" s="24" t="s">
        <v>62</v>
      </c>
      <c r="I337" s="24">
        <v>2012</v>
      </c>
      <c r="J337" s="24"/>
      <c r="K337" s="24" t="s">
        <v>63</v>
      </c>
      <c r="L337" s="24" t="s">
        <v>64</v>
      </c>
      <c r="M337" s="24">
        <v>42</v>
      </c>
      <c r="N337" s="41">
        <f t="shared" si="106"/>
        <v>666600</v>
      </c>
      <c r="O337" s="41">
        <v>27997200</v>
      </c>
      <c r="P337" s="24"/>
      <c r="Q337" s="24"/>
      <c r="R337" s="24"/>
      <c r="S337" s="41">
        <f t="shared" si="110"/>
        <v>27997200</v>
      </c>
      <c r="T337" s="24">
        <v>5</v>
      </c>
      <c r="U337" s="41"/>
      <c r="V337" s="24">
        <v>0.5</v>
      </c>
      <c r="W337" s="41">
        <f t="shared" si="107"/>
        <v>0</v>
      </c>
      <c r="X337" s="24"/>
      <c r="Y337" s="41">
        <f t="shared" si="109"/>
        <v>0</v>
      </c>
      <c r="Z337" s="41">
        <f t="shared" si="108"/>
        <v>0</v>
      </c>
      <c r="AA337" s="24">
        <v>5</v>
      </c>
      <c r="AB337" s="41">
        <v>27997200</v>
      </c>
      <c r="AC337" s="41">
        <f t="shared" si="111"/>
        <v>0</v>
      </c>
      <c r="AD337" s="70" t="s">
        <v>288</v>
      </c>
      <c r="AE337" s="70"/>
      <c r="AF337" s="1">
        <v>27997200</v>
      </c>
      <c r="AG337" s="5">
        <f t="shared" si="105"/>
        <v>0</v>
      </c>
    </row>
    <row r="338" spans="1:33" s="1" customFormat="1" x14ac:dyDescent="0.25">
      <c r="A338" s="49"/>
      <c r="B338" s="22" t="s">
        <v>1679</v>
      </c>
      <c r="C338" s="22" t="s">
        <v>738</v>
      </c>
      <c r="D338" s="51" t="s">
        <v>735</v>
      </c>
      <c r="E338" s="24" t="s">
        <v>739</v>
      </c>
      <c r="F338" s="24"/>
      <c r="G338" s="24" t="s">
        <v>737</v>
      </c>
      <c r="H338" s="24" t="s">
        <v>62</v>
      </c>
      <c r="I338" s="24">
        <v>2012</v>
      </c>
      <c r="J338" s="24">
        <v>0</v>
      </c>
      <c r="K338" s="24" t="s">
        <v>63</v>
      </c>
      <c r="L338" s="24" t="s">
        <v>64</v>
      </c>
      <c r="M338" s="24">
        <v>40</v>
      </c>
      <c r="N338" s="41">
        <f t="shared" si="106"/>
        <v>500500</v>
      </c>
      <c r="O338" s="41">
        <v>20020000</v>
      </c>
      <c r="P338" s="24"/>
      <c r="Q338" s="24"/>
      <c r="R338" s="24"/>
      <c r="S338" s="41">
        <f t="shared" si="110"/>
        <v>20020000</v>
      </c>
      <c r="T338" s="24">
        <v>5</v>
      </c>
      <c r="U338" s="41"/>
      <c r="V338" s="24">
        <v>0.5</v>
      </c>
      <c r="W338" s="41">
        <f t="shared" si="107"/>
        <v>0</v>
      </c>
      <c r="X338" s="24"/>
      <c r="Y338" s="41">
        <f t="shared" si="109"/>
        <v>0</v>
      </c>
      <c r="Z338" s="41">
        <f t="shared" si="108"/>
        <v>0</v>
      </c>
      <c r="AA338" s="24">
        <v>5</v>
      </c>
      <c r="AB338" s="41">
        <v>20020000</v>
      </c>
      <c r="AC338" s="41">
        <f t="shared" si="111"/>
        <v>0</v>
      </c>
      <c r="AD338" s="70" t="s">
        <v>301</v>
      </c>
      <c r="AE338" s="70"/>
      <c r="AF338" s="1">
        <v>20020000</v>
      </c>
      <c r="AG338" s="5">
        <f t="shared" si="105"/>
        <v>0</v>
      </c>
    </row>
    <row r="339" spans="1:33" s="1" customFormat="1" x14ac:dyDescent="0.25">
      <c r="A339" s="49"/>
      <c r="B339" s="22" t="s">
        <v>1679</v>
      </c>
      <c r="C339" s="22" t="s">
        <v>752</v>
      </c>
      <c r="D339" s="51" t="s">
        <v>753</v>
      </c>
      <c r="E339" s="24" t="s">
        <v>754</v>
      </c>
      <c r="F339" s="24"/>
      <c r="G339" s="24" t="s">
        <v>737</v>
      </c>
      <c r="H339" s="24" t="s">
        <v>62</v>
      </c>
      <c r="I339" s="24">
        <v>2005</v>
      </c>
      <c r="J339" s="24"/>
      <c r="K339" s="24" t="s">
        <v>63</v>
      </c>
      <c r="L339" s="24" t="s">
        <v>64</v>
      </c>
      <c r="M339" s="24">
        <v>25</v>
      </c>
      <c r="N339" s="41">
        <f t="shared" si="106"/>
        <v>225000</v>
      </c>
      <c r="O339" s="41">
        <v>5625000</v>
      </c>
      <c r="P339" s="24"/>
      <c r="Q339" s="24"/>
      <c r="R339" s="24"/>
      <c r="S339" s="41">
        <f t="shared" si="110"/>
        <v>5625000</v>
      </c>
      <c r="T339" s="24">
        <v>5</v>
      </c>
      <c r="U339" s="41"/>
      <c r="V339" s="24">
        <v>0.5</v>
      </c>
      <c r="W339" s="41">
        <f t="shared" si="107"/>
        <v>0</v>
      </c>
      <c r="X339" s="24"/>
      <c r="Y339" s="41">
        <f t="shared" si="109"/>
        <v>0</v>
      </c>
      <c r="Z339" s="41">
        <f t="shared" si="108"/>
        <v>0</v>
      </c>
      <c r="AA339" s="24">
        <v>5</v>
      </c>
      <c r="AB339" s="41">
        <v>5625000</v>
      </c>
      <c r="AC339" s="41">
        <f t="shared" si="111"/>
        <v>0</v>
      </c>
      <c r="AD339" s="70" t="s">
        <v>213</v>
      </c>
      <c r="AE339" s="70"/>
      <c r="AF339" s="1">
        <v>5625000</v>
      </c>
      <c r="AG339" s="5">
        <f t="shared" si="105"/>
        <v>0</v>
      </c>
    </row>
    <row r="340" spans="1:33" s="1" customFormat="1" x14ac:dyDescent="0.25">
      <c r="A340" s="49"/>
      <c r="B340" s="22" t="s">
        <v>1679</v>
      </c>
      <c r="C340" s="22" t="s">
        <v>755</v>
      </c>
      <c r="D340" s="51" t="s">
        <v>753</v>
      </c>
      <c r="E340" s="24" t="s">
        <v>756</v>
      </c>
      <c r="F340" s="24"/>
      <c r="G340" s="24" t="s">
        <v>737</v>
      </c>
      <c r="H340" s="24" t="s">
        <v>62</v>
      </c>
      <c r="I340" s="24">
        <v>2005</v>
      </c>
      <c r="J340" s="24"/>
      <c r="K340" s="24" t="s">
        <v>63</v>
      </c>
      <c r="L340" s="24" t="s">
        <v>64</v>
      </c>
      <c r="M340" s="24">
        <v>10</v>
      </c>
      <c r="N340" s="41">
        <f t="shared" si="106"/>
        <v>220000</v>
      </c>
      <c r="O340" s="41">
        <v>2200000</v>
      </c>
      <c r="P340" s="24"/>
      <c r="Q340" s="24"/>
      <c r="R340" s="24"/>
      <c r="S340" s="41">
        <f t="shared" si="110"/>
        <v>2200000</v>
      </c>
      <c r="T340" s="24">
        <v>5</v>
      </c>
      <c r="U340" s="41"/>
      <c r="V340" s="24">
        <v>0.5</v>
      </c>
      <c r="W340" s="41">
        <f t="shared" si="107"/>
        <v>0</v>
      </c>
      <c r="X340" s="24"/>
      <c r="Y340" s="41">
        <f t="shared" si="109"/>
        <v>0</v>
      </c>
      <c r="Z340" s="41">
        <f t="shared" si="108"/>
        <v>0</v>
      </c>
      <c r="AA340" s="24">
        <v>5</v>
      </c>
      <c r="AB340" s="41">
        <v>2200000</v>
      </c>
      <c r="AC340" s="41">
        <f t="shared" si="111"/>
        <v>0</v>
      </c>
      <c r="AD340" s="70" t="s">
        <v>295</v>
      </c>
      <c r="AE340" s="70"/>
      <c r="AF340" s="1">
        <v>2200000</v>
      </c>
      <c r="AG340" s="5">
        <f t="shared" si="105"/>
        <v>0</v>
      </c>
    </row>
    <row r="341" spans="1:33" s="1" customFormat="1" x14ac:dyDescent="0.25">
      <c r="A341" s="49"/>
      <c r="B341" s="22" t="s">
        <v>1679</v>
      </c>
      <c r="C341" s="22" t="s">
        <v>757</v>
      </c>
      <c r="D341" s="51" t="s">
        <v>753</v>
      </c>
      <c r="E341" s="24" t="s">
        <v>756</v>
      </c>
      <c r="F341" s="24"/>
      <c r="G341" s="24" t="s">
        <v>737</v>
      </c>
      <c r="H341" s="24" t="s">
        <v>62</v>
      </c>
      <c r="I341" s="24">
        <v>2005</v>
      </c>
      <c r="J341" s="24"/>
      <c r="K341" s="24" t="s">
        <v>63</v>
      </c>
      <c r="L341" s="24" t="s">
        <v>64</v>
      </c>
      <c r="M341" s="24">
        <v>6</v>
      </c>
      <c r="N341" s="41">
        <f t="shared" si="106"/>
        <v>220000</v>
      </c>
      <c r="O341" s="41">
        <v>1320000</v>
      </c>
      <c r="P341" s="24"/>
      <c r="Q341" s="24"/>
      <c r="R341" s="24"/>
      <c r="S341" s="41">
        <f t="shared" si="110"/>
        <v>1320000</v>
      </c>
      <c r="T341" s="24">
        <v>5</v>
      </c>
      <c r="U341" s="41"/>
      <c r="V341" s="24">
        <v>0.5</v>
      </c>
      <c r="W341" s="41">
        <f t="shared" si="107"/>
        <v>0</v>
      </c>
      <c r="X341" s="24"/>
      <c r="Y341" s="41">
        <f t="shared" si="109"/>
        <v>0</v>
      </c>
      <c r="Z341" s="41">
        <f t="shared" si="108"/>
        <v>0</v>
      </c>
      <c r="AA341" s="24">
        <v>5</v>
      </c>
      <c r="AB341" s="41">
        <v>1320000</v>
      </c>
      <c r="AC341" s="41">
        <f t="shared" si="111"/>
        <v>0</v>
      </c>
      <c r="AD341" s="70" t="s">
        <v>333</v>
      </c>
      <c r="AE341" s="70"/>
      <c r="AF341" s="1">
        <v>1320000</v>
      </c>
      <c r="AG341" s="5">
        <f t="shared" si="105"/>
        <v>0</v>
      </c>
    </row>
    <row r="342" spans="1:33" s="1" customFormat="1" x14ac:dyDescent="0.25">
      <c r="A342" s="49"/>
      <c r="B342" s="22" t="s">
        <v>1679</v>
      </c>
      <c r="C342" s="22" t="s">
        <v>758</v>
      </c>
      <c r="D342" s="51" t="s">
        <v>753</v>
      </c>
      <c r="E342" s="24" t="s">
        <v>166</v>
      </c>
      <c r="F342" s="24"/>
      <c r="G342" s="24" t="s">
        <v>737</v>
      </c>
      <c r="H342" s="24" t="s">
        <v>62</v>
      </c>
      <c r="I342" s="24">
        <v>2009</v>
      </c>
      <c r="J342" s="24"/>
      <c r="K342" s="24" t="s">
        <v>63</v>
      </c>
      <c r="L342" s="24" t="s">
        <v>64</v>
      </c>
      <c r="M342" s="24">
        <v>1</v>
      </c>
      <c r="N342" s="41">
        <f t="shared" si="106"/>
        <v>1885000</v>
      </c>
      <c r="O342" s="41">
        <v>1885000</v>
      </c>
      <c r="P342" s="24"/>
      <c r="Q342" s="24"/>
      <c r="R342" s="24"/>
      <c r="S342" s="41">
        <f t="shared" si="110"/>
        <v>1885000</v>
      </c>
      <c r="T342" s="24">
        <v>5</v>
      </c>
      <c r="U342" s="41"/>
      <c r="V342" s="24">
        <v>0.5</v>
      </c>
      <c r="W342" s="41">
        <f t="shared" si="107"/>
        <v>0</v>
      </c>
      <c r="X342" s="24"/>
      <c r="Y342" s="41">
        <f t="shared" si="109"/>
        <v>0</v>
      </c>
      <c r="Z342" s="41">
        <f t="shared" si="108"/>
        <v>0</v>
      </c>
      <c r="AA342" s="24">
        <v>5</v>
      </c>
      <c r="AB342" s="41">
        <v>1885000</v>
      </c>
      <c r="AC342" s="41">
        <f t="shared" si="111"/>
        <v>0</v>
      </c>
      <c r="AD342" s="70" t="s">
        <v>759</v>
      </c>
      <c r="AE342" s="70"/>
      <c r="AF342" s="1">
        <v>1885000</v>
      </c>
      <c r="AG342" s="5">
        <f t="shared" si="105"/>
        <v>0</v>
      </c>
    </row>
    <row r="343" spans="1:33" s="1" customFormat="1" x14ac:dyDescent="0.25">
      <c r="A343" s="49"/>
      <c r="B343" s="22" t="s">
        <v>1679</v>
      </c>
      <c r="C343" s="22" t="s">
        <v>760</v>
      </c>
      <c r="D343" s="51" t="s">
        <v>753</v>
      </c>
      <c r="E343" s="24" t="s">
        <v>166</v>
      </c>
      <c r="F343" s="24"/>
      <c r="G343" s="24" t="s">
        <v>737</v>
      </c>
      <c r="H343" s="24" t="s">
        <v>62</v>
      </c>
      <c r="I343" s="24">
        <v>2009</v>
      </c>
      <c r="J343" s="24"/>
      <c r="K343" s="24" t="s">
        <v>63</v>
      </c>
      <c r="L343" s="24" t="s">
        <v>64</v>
      </c>
      <c r="M343" s="24">
        <v>1</v>
      </c>
      <c r="N343" s="41">
        <f t="shared" si="106"/>
        <v>1885000</v>
      </c>
      <c r="O343" s="41">
        <v>1885000</v>
      </c>
      <c r="P343" s="24"/>
      <c r="Q343" s="24"/>
      <c r="R343" s="24"/>
      <c r="S343" s="41">
        <f t="shared" si="110"/>
        <v>1885000</v>
      </c>
      <c r="T343" s="24">
        <v>5</v>
      </c>
      <c r="U343" s="41"/>
      <c r="V343" s="24">
        <v>0.5</v>
      </c>
      <c r="W343" s="41">
        <f t="shared" si="107"/>
        <v>0</v>
      </c>
      <c r="X343" s="24"/>
      <c r="Y343" s="41">
        <f t="shared" si="109"/>
        <v>0</v>
      </c>
      <c r="Z343" s="41">
        <f t="shared" si="108"/>
        <v>0</v>
      </c>
      <c r="AA343" s="24">
        <v>5</v>
      </c>
      <c r="AB343" s="41">
        <v>1885000</v>
      </c>
      <c r="AC343" s="41">
        <f t="shared" si="111"/>
        <v>0</v>
      </c>
      <c r="AD343" s="70" t="s">
        <v>387</v>
      </c>
      <c r="AE343" s="70"/>
      <c r="AF343" s="1">
        <v>1885000</v>
      </c>
      <c r="AG343" s="5">
        <f t="shared" si="105"/>
        <v>0</v>
      </c>
    </row>
    <row r="344" spans="1:33" s="1" customFormat="1" x14ac:dyDescent="0.25">
      <c r="A344" s="49"/>
      <c r="B344" s="22" t="s">
        <v>1679</v>
      </c>
      <c r="C344" s="22" t="s">
        <v>761</v>
      </c>
      <c r="D344" s="51" t="s">
        <v>753</v>
      </c>
      <c r="E344" s="24" t="s">
        <v>166</v>
      </c>
      <c r="F344" s="24"/>
      <c r="G344" s="24" t="s">
        <v>737</v>
      </c>
      <c r="H344" s="24" t="s">
        <v>62</v>
      </c>
      <c r="I344" s="24">
        <v>2009</v>
      </c>
      <c r="J344" s="24"/>
      <c r="K344" s="24" t="s">
        <v>63</v>
      </c>
      <c r="L344" s="24" t="s">
        <v>64</v>
      </c>
      <c r="M344" s="24">
        <v>1</v>
      </c>
      <c r="N344" s="41">
        <f t="shared" si="106"/>
        <v>1885000</v>
      </c>
      <c r="O344" s="41">
        <v>1885000</v>
      </c>
      <c r="P344" s="24"/>
      <c r="Q344" s="24"/>
      <c r="R344" s="24"/>
      <c r="S344" s="41">
        <f t="shared" si="110"/>
        <v>1885000</v>
      </c>
      <c r="T344" s="24">
        <v>5</v>
      </c>
      <c r="U344" s="41"/>
      <c r="V344" s="24">
        <v>0.5</v>
      </c>
      <c r="W344" s="41">
        <f t="shared" si="107"/>
        <v>0</v>
      </c>
      <c r="X344" s="24"/>
      <c r="Y344" s="41">
        <f t="shared" si="109"/>
        <v>0</v>
      </c>
      <c r="Z344" s="41">
        <f t="shared" si="108"/>
        <v>0</v>
      </c>
      <c r="AA344" s="24">
        <v>5</v>
      </c>
      <c r="AB344" s="41">
        <v>1885000</v>
      </c>
      <c r="AC344" s="41">
        <f t="shared" si="111"/>
        <v>0</v>
      </c>
      <c r="AD344" s="70" t="s">
        <v>388</v>
      </c>
      <c r="AE344" s="70"/>
      <c r="AF344" s="1">
        <v>1885000</v>
      </c>
      <c r="AG344" s="5">
        <f t="shared" si="105"/>
        <v>0</v>
      </c>
    </row>
    <row r="345" spans="1:33" s="1" customFormat="1" x14ac:dyDescent="0.25">
      <c r="A345" s="49"/>
      <c r="B345" s="22" t="s">
        <v>1679</v>
      </c>
      <c r="C345" s="22" t="s">
        <v>762</v>
      </c>
      <c r="D345" s="51" t="s">
        <v>753</v>
      </c>
      <c r="E345" s="24" t="s">
        <v>166</v>
      </c>
      <c r="F345" s="24"/>
      <c r="G345" s="24" t="s">
        <v>737</v>
      </c>
      <c r="H345" s="24" t="s">
        <v>62</v>
      </c>
      <c r="I345" s="24">
        <v>2009</v>
      </c>
      <c r="J345" s="24"/>
      <c r="K345" s="24" t="s">
        <v>63</v>
      </c>
      <c r="L345" s="24" t="s">
        <v>64</v>
      </c>
      <c r="M345" s="24">
        <v>2</v>
      </c>
      <c r="N345" s="41">
        <f t="shared" si="106"/>
        <v>1885000</v>
      </c>
      <c r="O345" s="41">
        <v>3770000</v>
      </c>
      <c r="P345" s="24"/>
      <c r="Q345" s="24"/>
      <c r="R345" s="24"/>
      <c r="S345" s="41">
        <f t="shared" si="110"/>
        <v>3770000</v>
      </c>
      <c r="T345" s="24">
        <v>5</v>
      </c>
      <c r="U345" s="41"/>
      <c r="V345" s="24">
        <v>0.5</v>
      </c>
      <c r="W345" s="41">
        <f t="shared" si="107"/>
        <v>0</v>
      </c>
      <c r="X345" s="24"/>
      <c r="Y345" s="41">
        <f t="shared" si="109"/>
        <v>0</v>
      </c>
      <c r="Z345" s="41">
        <f t="shared" si="108"/>
        <v>0</v>
      </c>
      <c r="AA345" s="24">
        <v>5</v>
      </c>
      <c r="AB345" s="41">
        <v>3770000</v>
      </c>
      <c r="AC345" s="41">
        <f t="shared" si="111"/>
        <v>0</v>
      </c>
      <c r="AD345" s="70" t="s">
        <v>385</v>
      </c>
      <c r="AE345" s="70"/>
      <c r="AF345" s="1">
        <v>3770000</v>
      </c>
      <c r="AG345" s="5">
        <f t="shared" si="105"/>
        <v>0</v>
      </c>
    </row>
    <row r="346" spans="1:33" s="1" customFormat="1" x14ac:dyDescent="0.25">
      <c r="A346" s="49"/>
      <c r="B346" s="22" t="s">
        <v>1679</v>
      </c>
      <c r="C346" s="22" t="s">
        <v>763</v>
      </c>
      <c r="D346" s="51" t="s">
        <v>753</v>
      </c>
      <c r="E346" s="24" t="s">
        <v>166</v>
      </c>
      <c r="F346" s="24"/>
      <c r="G346" s="24" t="s">
        <v>737</v>
      </c>
      <c r="H346" s="24" t="s">
        <v>62</v>
      </c>
      <c r="I346" s="24">
        <v>2009</v>
      </c>
      <c r="J346" s="24"/>
      <c r="K346" s="24" t="s">
        <v>63</v>
      </c>
      <c r="L346" s="24" t="s">
        <v>64</v>
      </c>
      <c r="M346" s="24">
        <v>1</v>
      </c>
      <c r="N346" s="41">
        <f t="shared" si="106"/>
        <v>1885000</v>
      </c>
      <c r="O346" s="41">
        <v>1885000</v>
      </c>
      <c r="P346" s="24"/>
      <c r="Q346" s="24"/>
      <c r="R346" s="24"/>
      <c r="S346" s="41">
        <f t="shared" si="110"/>
        <v>1885000</v>
      </c>
      <c r="T346" s="24">
        <v>5</v>
      </c>
      <c r="U346" s="41"/>
      <c r="V346" s="24">
        <v>0.5</v>
      </c>
      <c r="W346" s="41">
        <f t="shared" si="107"/>
        <v>0</v>
      </c>
      <c r="X346" s="24"/>
      <c r="Y346" s="41">
        <f t="shared" si="109"/>
        <v>0</v>
      </c>
      <c r="Z346" s="41">
        <f t="shared" si="108"/>
        <v>0</v>
      </c>
      <c r="AA346" s="24">
        <v>5</v>
      </c>
      <c r="AB346" s="41">
        <v>1885000</v>
      </c>
      <c r="AC346" s="41">
        <f t="shared" si="111"/>
        <v>0</v>
      </c>
      <c r="AD346" s="70" t="s">
        <v>217</v>
      </c>
      <c r="AE346" s="70"/>
      <c r="AF346" s="1">
        <v>1885000</v>
      </c>
      <c r="AG346" s="5">
        <f t="shared" si="105"/>
        <v>0</v>
      </c>
    </row>
    <row r="347" spans="1:33" s="1" customFormat="1" x14ac:dyDescent="0.25">
      <c r="A347" s="49"/>
      <c r="B347" s="22" t="s">
        <v>1679</v>
      </c>
      <c r="C347" s="22" t="s">
        <v>764</v>
      </c>
      <c r="D347" s="51" t="s">
        <v>753</v>
      </c>
      <c r="E347" s="24" t="s">
        <v>166</v>
      </c>
      <c r="F347" s="24"/>
      <c r="G347" s="24" t="s">
        <v>737</v>
      </c>
      <c r="H347" s="24" t="s">
        <v>62</v>
      </c>
      <c r="I347" s="24">
        <v>2013</v>
      </c>
      <c r="J347" s="24"/>
      <c r="K347" s="24" t="s">
        <v>63</v>
      </c>
      <c r="L347" s="24" t="s">
        <v>64</v>
      </c>
      <c r="M347" s="24">
        <v>44</v>
      </c>
      <c r="N347" s="41">
        <f t="shared" si="106"/>
        <v>999900</v>
      </c>
      <c r="O347" s="41">
        <v>43995600</v>
      </c>
      <c r="P347" s="24"/>
      <c r="Q347" s="24"/>
      <c r="R347" s="24"/>
      <c r="S347" s="41">
        <f t="shared" si="110"/>
        <v>43995600</v>
      </c>
      <c r="T347" s="24">
        <v>5</v>
      </c>
      <c r="U347" s="41"/>
      <c r="V347" s="24">
        <v>0.5</v>
      </c>
      <c r="W347" s="41">
        <f t="shared" si="107"/>
        <v>0</v>
      </c>
      <c r="X347" s="24"/>
      <c r="Y347" s="41">
        <f t="shared" si="109"/>
        <v>0</v>
      </c>
      <c r="Z347" s="41">
        <f t="shared" si="108"/>
        <v>0</v>
      </c>
      <c r="AA347" s="24">
        <v>5</v>
      </c>
      <c r="AB347" s="41">
        <v>43995600</v>
      </c>
      <c r="AC347" s="41">
        <f t="shared" si="111"/>
        <v>0</v>
      </c>
      <c r="AD347" s="70" t="s">
        <v>315</v>
      </c>
      <c r="AE347" s="70"/>
      <c r="AF347" s="1">
        <v>43995600</v>
      </c>
      <c r="AG347" s="5">
        <f t="shared" si="105"/>
        <v>0</v>
      </c>
    </row>
    <row r="348" spans="1:33" s="1" customFormat="1" x14ac:dyDescent="0.25">
      <c r="A348" s="49"/>
      <c r="B348" s="22" t="s">
        <v>1679</v>
      </c>
      <c r="C348" s="22" t="s">
        <v>765</v>
      </c>
      <c r="D348" s="51" t="s">
        <v>766</v>
      </c>
      <c r="E348" s="24" t="s">
        <v>166</v>
      </c>
      <c r="F348" s="24"/>
      <c r="G348" s="24" t="s">
        <v>767</v>
      </c>
      <c r="H348" s="24" t="s">
        <v>62</v>
      </c>
      <c r="I348" s="24">
        <v>2018</v>
      </c>
      <c r="J348" s="24"/>
      <c r="K348" s="24" t="s">
        <v>63</v>
      </c>
      <c r="L348" s="24" t="s">
        <v>64</v>
      </c>
      <c r="M348" s="24">
        <v>8</v>
      </c>
      <c r="N348" s="41">
        <f t="shared" si="106"/>
        <v>1485000</v>
      </c>
      <c r="O348" s="41">
        <v>11880000</v>
      </c>
      <c r="P348" s="24"/>
      <c r="Q348" s="24"/>
      <c r="R348" s="24"/>
      <c r="S348" s="41">
        <f t="shared" si="110"/>
        <v>11880000</v>
      </c>
      <c r="T348" s="24">
        <v>5</v>
      </c>
      <c r="U348" s="41">
        <f>SUM(S348/T348)</f>
        <v>2376000</v>
      </c>
      <c r="V348" s="24">
        <v>0.5</v>
      </c>
      <c r="W348" s="41">
        <f>SUM(U348*V348)-198000</f>
        <v>990000</v>
      </c>
      <c r="X348" s="24"/>
      <c r="Y348" s="41">
        <f t="shared" si="109"/>
        <v>0</v>
      </c>
      <c r="Z348" s="41">
        <f t="shared" si="108"/>
        <v>990000</v>
      </c>
      <c r="AA348" s="72">
        <f>2023-I348+V348+X348-5/12-1/12</f>
        <v>5</v>
      </c>
      <c r="AB348" s="41">
        <f>SUM(U348*AA348)</f>
        <v>11880000</v>
      </c>
      <c r="AC348" s="41">
        <f t="shared" si="111"/>
        <v>0</v>
      </c>
      <c r="AD348" s="70" t="s">
        <v>768</v>
      </c>
      <c r="AE348" s="70"/>
      <c r="AF348" s="1">
        <v>10890000</v>
      </c>
      <c r="AG348" s="5">
        <f t="shared" si="105"/>
        <v>0</v>
      </c>
    </row>
    <row r="349" spans="1:33" s="1" customFormat="1" x14ac:dyDescent="0.25">
      <c r="A349" s="49"/>
      <c r="B349" s="22" t="s">
        <v>1679</v>
      </c>
      <c r="C349" s="22" t="s">
        <v>769</v>
      </c>
      <c r="D349" s="51" t="s">
        <v>766</v>
      </c>
      <c r="E349" s="24" t="s">
        <v>166</v>
      </c>
      <c r="F349" s="24"/>
      <c r="G349" s="24" t="s">
        <v>767</v>
      </c>
      <c r="H349" s="24" t="s">
        <v>62</v>
      </c>
      <c r="I349" s="24">
        <v>2018</v>
      </c>
      <c r="J349" s="24"/>
      <c r="K349" s="24" t="s">
        <v>63</v>
      </c>
      <c r="L349" s="24" t="s">
        <v>64</v>
      </c>
      <c r="M349" s="24">
        <v>8</v>
      </c>
      <c r="N349" s="41">
        <f t="shared" si="106"/>
        <v>1485000</v>
      </c>
      <c r="O349" s="41">
        <v>11880000</v>
      </c>
      <c r="P349" s="24"/>
      <c r="Q349" s="24"/>
      <c r="R349" s="24"/>
      <c r="S349" s="41">
        <f t="shared" si="110"/>
        <v>11880000</v>
      </c>
      <c r="T349" s="24">
        <v>5</v>
      </c>
      <c r="U349" s="41">
        <f>SUM(S349/T349)</f>
        <v>2376000</v>
      </c>
      <c r="V349" s="24">
        <v>0.5</v>
      </c>
      <c r="W349" s="41">
        <f>SUM(U349*V349)-198000</f>
        <v>990000</v>
      </c>
      <c r="X349" s="24"/>
      <c r="Y349" s="41">
        <f t="shared" si="109"/>
        <v>0</v>
      </c>
      <c r="Z349" s="41">
        <f t="shared" si="108"/>
        <v>990000</v>
      </c>
      <c r="AA349" s="24">
        <f>2023-I349+V349+X349-5/12-1/12</f>
        <v>5</v>
      </c>
      <c r="AB349" s="41">
        <f>SUM(U349*AA349)</f>
        <v>11880000</v>
      </c>
      <c r="AC349" s="41">
        <f t="shared" si="111"/>
        <v>0</v>
      </c>
      <c r="AD349" s="70" t="s">
        <v>370</v>
      </c>
      <c r="AE349" s="70"/>
      <c r="AF349" s="1">
        <v>10890000</v>
      </c>
      <c r="AG349" s="5">
        <f t="shared" si="105"/>
        <v>0</v>
      </c>
    </row>
    <row r="350" spans="1:33" s="1" customFormat="1" x14ac:dyDescent="0.25">
      <c r="A350" s="49"/>
      <c r="B350" s="22" t="s">
        <v>1680</v>
      </c>
      <c r="C350" s="22" t="s">
        <v>740</v>
      </c>
      <c r="D350" s="51" t="s">
        <v>741</v>
      </c>
      <c r="E350" s="24" t="s">
        <v>166</v>
      </c>
      <c r="F350" s="24"/>
      <c r="G350" s="24" t="s">
        <v>319</v>
      </c>
      <c r="H350" s="24" t="s">
        <v>62</v>
      </c>
      <c r="I350" s="24">
        <v>2005</v>
      </c>
      <c r="J350" s="24"/>
      <c r="K350" s="24" t="s">
        <v>63</v>
      </c>
      <c r="L350" s="24" t="s">
        <v>64</v>
      </c>
      <c r="M350" s="24">
        <v>63</v>
      </c>
      <c r="N350" s="41">
        <f t="shared" si="106"/>
        <v>200000</v>
      </c>
      <c r="O350" s="41">
        <v>12600000</v>
      </c>
      <c r="P350" s="24"/>
      <c r="Q350" s="24"/>
      <c r="R350" s="24"/>
      <c r="S350" s="41">
        <f t="shared" si="110"/>
        <v>12600000</v>
      </c>
      <c r="T350" s="24">
        <v>5</v>
      </c>
      <c r="U350" s="41"/>
      <c r="V350" s="24">
        <v>0.5</v>
      </c>
      <c r="W350" s="41">
        <f t="shared" ref="W350:W356" si="114">SUM(U350*V350)</f>
        <v>0</v>
      </c>
      <c r="X350" s="24"/>
      <c r="Y350" s="41">
        <f t="shared" ref="Y350:Y369" si="115">SUM(U350*X350)</f>
        <v>0</v>
      </c>
      <c r="Z350" s="41">
        <f t="shared" ref="Z350:Z356" si="116">SUM(W350+Y350)</f>
        <v>0</v>
      </c>
      <c r="AA350" s="72">
        <v>5</v>
      </c>
      <c r="AB350" s="41">
        <v>12600000</v>
      </c>
      <c r="AC350" s="41">
        <f t="shared" si="111"/>
        <v>0</v>
      </c>
      <c r="AD350" s="70" t="s">
        <v>742</v>
      </c>
      <c r="AE350" s="70"/>
      <c r="AF350" s="1">
        <v>12600000</v>
      </c>
      <c r="AG350" s="5">
        <f t="shared" si="105"/>
        <v>0</v>
      </c>
    </row>
    <row r="351" spans="1:33" s="1" customFormat="1" x14ac:dyDescent="0.25">
      <c r="A351" s="49"/>
      <c r="B351" s="22" t="s">
        <v>1681</v>
      </c>
      <c r="C351" s="22" t="s">
        <v>726</v>
      </c>
      <c r="D351" s="51" t="s">
        <v>727</v>
      </c>
      <c r="E351" s="24" t="s">
        <v>728</v>
      </c>
      <c r="F351" s="24"/>
      <c r="G351" s="24" t="s">
        <v>319</v>
      </c>
      <c r="H351" s="24" t="s">
        <v>62</v>
      </c>
      <c r="I351" s="24">
        <v>2006</v>
      </c>
      <c r="J351" s="24"/>
      <c r="K351" s="24" t="s">
        <v>63</v>
      </c>
      <c r="L351" s="24" t="s">
        <v>212</v>
      </c>
      <c r="M351" s="24">
        <v>40</v>
      </c>
      <c r="N351" s="41">
        <f t="shared" si="106"/>
        <v>267750</v>
      </c>
      <c r="O351" s="41">
        <v>10710000</v>
      </c>
      <c r="P351" s="24"/>
      <c r="Q351" s="24"/>
      <c r="R351" s="24"/>
      <c r="S351" s="41">
        <f t="shared" si="110"/>
        <v>10710000</v>
      </c>
      <c r="T351" s="24">
        <v>5</v>
      </c>
      <c r="U351" s="41"/>
      <c r="V351" s="24">
        <v>0.5</v>
      </c>
      <c r="W351" s="41">
        <f t="shared" si="114"/>
        <v>0</v>
      </c>
      <c r="X351" s="24"/>
      <c r="Y351" s="41">
        <f t="shared" si="115"/>
        <v>0</v>
      </c>
      <c r="Z351" s="41">
        <f t="shared" si="116"/>
        <v>0</v>
      </c>
      <c r="AA351" s="72">
        <v>5</v>
      </c>
      <c r="AB351" s="41">
        <v>10710000</v>
      </c>
      <c r="AC351" s="41">
        <f t="shared" si="111"/>
        <v>0</v>
      </c>
      <c r="AD351" s="70" t="s">
        <v>297</v>
      </c>
      <c r="AE351" s="70"/>
      <c r="AF351" s="1">
        <v>10710000</v>
      </c>
      <c r="AG351" s="5">
        <f t="shared" si="105"/>
        <v>0</v>
      </c>
    </row>
    <row r="352" spans="1:33" s="1" customFormat="1" x14ac:dyDescent="0.25">
      <c r="A352" s="49"/>
      <c r="B352" s="22" t="s">
        <v>1681</v>
      </c>
      <c r="C352" s="22" t="s">
        <v>729</v>
      </c>
      <c r="D352" s="51" t="s">
        <v>727</v>
      </c>
      <c r="E352" s="24" t="s">
        <v>728</v>
      </c>
      <c r="F352" s="24"/>
      <c r="G352" s="24" t="s">
        <v>319</v>
      </c>
      <c r="H352" s="24" t="s">
        <v>62</v>
      </c>
      <c r="I352" s="24">
        <v>2006</v>
      </c>
      <c r="J352" s="24"/>
      <c r="K352" s="24" t="s">
        <v>63</v>
      </c>
      <c r="L352" s="24" t="s">
        <v>212</v>
      </c>
      <c r="M352" s="24">
        <v>30</v>
      </c>
      <c r="N352" s="41">
        <f t="shared" si="106"/>
        <v>267750</v>
      </c>
      <c r="O352" s="41">
        <v>8032500</v>
      </c>
      <c r="P352" s="24"/>
      <c r="Q352" s="24"/>
      <c r="R352" s="24"/>
      <c r="S352" s="41">
        <f t="shared" si="110"/>
        <v>8032500</v>
      </c>
      <c r="T352" s="24">
        <v>5</v>
      </c>
      <c r="U352" s="41"/>
      <c r="V352" s="24">
        <v>0.5</v>
      </c>
      <c r="W352" s="41">
        <f t="shared" si="114"/>
        <v>0</v>
      </c>
      <c r="X352" s="24"/>
      <c r="Y352" s="41">
        <f t="shared" si="115"/>
        <v>0</v>
      </c>
      <c r="Z352" s="41">
        <f t="shared" si="116"/>
        <v>0</v>
      </c>
      <c r="AA352" s="72">
        <v>5</v>
      </c>
      <c r="AB352" s="41">
        <v>8032500</v>
      </c>
      <c r="AC352" s="41">
        <f t="shared" si="111"/>
        <v>0</v>
      </c>
      <c r="AD352" s="70" t="s">
        <v>287</v>
      </c>
      <c r="AE352" s="70"/>
      <c r="AF352" s="1">
        <v>8032500</v>
      </c>
      <c r="AG352" s="5">
        <f t="shared" si="105"/>
        <v>0</v>
      </c>
    </row>
    <row r="353" spans="1:33" s="1" customFormat="1" x14ac:dyDescent="0.25">
      <c r="A353" s="49"/>
      <c r="B353" s="22" t="s">
        <v>1681</v>
      </c>
      <c r="C353" s="22" t="s">
        <v>730</v>
      </c>
      <c r="D353" s="51" t="s">
        <v>727</v>
      </c>
      <c r="E353" s="24" t="s">
        <v>728</v>
      </c>
      <c r="F353" s="24"/>
      <c r="G353" s="24" t="s">
        <v>319</v>
      </c>
      <c r="H353" s="24" t="s">
        <v>62</v>
      </c>
      <c r="I353" s="24">
        <v>2006</v>
      </c>
      <c r="J353" s="24"/>
      <c r="K353" s="24" t="s">
        <v>63</v>
      </c>
      <c r="L353" s="24" t="s">
        <v>212</v>
      </c>
      <c r="M353" s="24">
        <v>30</v>
      </c>
      <c r="N353" s="41">
        <f t="shared" si="106"/>
        <v>267750</v>
      </c>
      <c r="O353" s="41">
        <v>8032500</v>
      </c>
      <c r="P353" s="24"/>
      <c r="Q353" s="24"/>
      <c r="R353" s="24"/>
      <c r="S353" s="41">
        <f t="shared" si="110"/>
        <v>8032500</v>
      </c>
      <c r="T353" s="24">
        <v>5</v>
      </c>
      <c r="U353" s="41"/>
      <c r="V353" s="24">
        <v>0.5</v>
      </c>
      <c r="W353" s="41">
        <f t="shared" si="114"/>
        <v>0</v>
      </c>
      <c r="X353" s="24"/>
      <c r="Y353" s="41">
        <f t="shared" si="115"/>
        <v>0</v>
      </c>
      <c r="Z353" s="41">
        <f t="shared" si="116"/>
        <v>0</v>
      </c>
      <c r="AA353" s="72">
        <v>5</v>
      </c>
      <c r="AB353" s="41">
        <v>8032500</v>
      </c>
      <c r="AC353" s="41">
        <f t="shared" si="111"/>
        <v>0</v>
      </c>
      <c r="AD353" s="70" t="s">
        <v>303</v>
      </c>
      <c r="AE353" s="70"/>
      <c r="AF353" s="1">
        <v>8032500</v>
      </c>
      <c r="AG353" s="5">
        <f t="shared" si="105"/>
        <v>0</v>
      </c>
    </row>
    <row r="354" spans="1:33" s="1" customFormat="1" x14ac:dyDescent="0.25">
      <c r="A354" s="49"/>
      <c r="B354" s="22" t="s">
        <v>1681</v>
      </c>
      <c r="C354" s="22" t="s">
        <v>731</v>
      </c>
      <c r="D354" s="51" t="s">
        <v>727</v>
      </c>
      <c r="E354" s="24" t="s">
        <v>728</v>
      </c>
      <c r="F354" s="24"/>
      <c r="G354" s="24" t="s">
        <v>319</v>
      </c>
      <c r="H354" s="24" t="s">
        <v>62</v>
      </c>
      <c r="I354" s="24">
        <v>2006</v>
      </c>
      <c r="J354" s="24"/>
      <c r="K354" s="24" t="s">
        <v>63</v>
      </c>
      <c r="L354" s="24" t="s">
        <v>212</v>
      </c>
      <c r="M354" s="24">
        <v>30</v>
      </c>
      <c r="N354" s="41">
        <f t="shared" si="106"/>
        <v>267750</v>
      </c>
      <c r="O354" s="41">
        <v>8032500</v>
      </c>
      <c r="P354" s="24"/>
      <c r="Q354" s="24"/>
      <c r="R354" s="24"/>
      <c r="S354" s="41">
        <f t="shared" si="110"/>
        <v>8032500</v>
      </c>
      <c r="T354" s="24">
        <v>5</v>
      </c>
      <c r="U354" s="41"/>
      <c r="V354" s="24">
        <v>0.5</v>
      </c>
      <c r="W354" s="41">
        <f t="shared" si="114"/>
        <v>0</v>
      </c>
      <c r="X354" s="24"/>
      <c r="Y354" s="41">
        <f t="shared" si="115"/>
        <v>0</v>
      </c>
      <c r="Z354" s="41">
        <f t="shared" si="116"/>
        <v>0</v>
      </c>
      <c r="AA354" s="24">
        <v>5</v>
      </c>
      <c r="AB354" s="41">
        <v>8032500</v>
      </c>
      <c r="AC354" s="41">
        <f t="shared" si="111"/>
        <v>0</v>
      </c>
      <c r="AD354" s="70" t="s">
        <v>305</v>
      </c>
      <c r="AE354" s="70"/>
      <c r="AF354" s="1">
        <v>8032500</v>
      </c>
      <c r="AG354" s="5">
        <f t="shared" si="105"/>
        <v>0</v>
      </c>
    </row>
    <row r="355" spans="1:33" s="1" customFormat="1" x14ac:dyDescent="0.25">
      <c r="A355" s="49"/>
      <c r="B355" s="22" t="s">
        <v>1681</v>
      </c>
      <c r="C355" s="22" t="s">
        <v>732</v>
      </c>
      <c r="D355" s="51" t="s">
        <v>727</v>
      </c>
      <c r="E355" s="24" t="s">
        <v>728</v>
      </c>
      <c r="F355" s="24"/>
      <c r="G355" s="24" t="s">
        <v>319</v>
      </c>
      <c r="H355" s="24" t="s">
        <v>62</v>
      </c>
      <c r="I355" s="24">
        <v>2006</v>
      </c>
      <c r="J355" s="24"/>
      <c r="K355" s="24" t="s">
        <v>63</v>
      </c>
      <c r="L355" s="24" t="s">
        <v>212</v>
      </c>
      <c r="M355" s="24">
        <v>30</v>
      </c>
      <c r="N355" s="41">
        <f t="shared" si="106"/>
        <v>267750</v>
      </c>
      <c r="O355" s="41">
        <v>8032500</v>
      </c>
      <c r="P355" s="24"/>
      <c r="Q355" s="24"/>
      <c r="R355" s="24"/>
      <c r="S355" s="41">
        <f t="shared" si="110"/>
        <v>8032500</v>
      </c>
      <c r="T355" s="24">
        <v>5</v>
      </c>
      <c r="U355" s="41"/>
      <c r="V355" s="24">
        <v>0.5</v>
      </c>
      <c r="W355" s="41">
        <f t="shared" si="114"/>
        <v>0</v>
      </c>
      <c r="X355" s="24"/>
      <c r="Y355" s="41">
        <f t="shared" si="115"/>
        <v>0</v>
      </c>
      <c r="Z355" s="41">
        <f t="shared" si="116"/>
        <v>0</v>
      </c>
      <c r="AA355" s="24">
        <v>5</v>
      </c>
      <c r="AB355" s="41">
        <v>8032500</v>
      </c>
      <c r="AC355" s="41">
        <f t="shared" si="111"/>
        <v>0</v>
      </c>
      <c r="AD355" s="70" t="s">
        <v>473</v>
      </c>
      <c r="AE355" s="70"/>
      <c r="AF355" s="1">
        <v>8032500</v>
      </c>
      <c r="AG355" s="5">
        <f t="shared" si="105"/>
        <v>0</v>
      </c>
    </row>
    <row r="356" spans="1:33" s="1" customFormat="1" x14ac:dyDescent="0.25">
      <c r="A356" s="49"/>
      <c r="B356" s="22" t="s">
        <v>1681</v>
      </c>
      <c r="C356" s="22" t="s">
        <v>733</v>
      </c>
      <c r="D356" s="51" t="s">
        <v>727</v>
      </c>
      <c r="E356" s="24" t="s">
        <v>728</v>
      </c>
      <c r="F356" s="24"/>
      <c r="G356" s="24" t="s">
        <v>319</v>
      </c>
      <c r="H356" s="24" t="s">
        <v>62</v>
      </c>
      <c r="I356" s="24">
        <v>2006</v>
      </c>
      <c r="J356" s="24"/>
      <c r="K356" s="24" t="s">
        <v>63</v>
      </c>
      <c r="L356" s="24" t="s">
        <v>212</v>
      </c>
      <c r="M356" s="24">
        <v>40</v>
      </c>
      <c r="N356" s="41">
        <f t="shared" si="106"/>
        <v>267750</v>
      </c>
      <c r="O356" s="41">
        <v>10710000</v>
      </c>
      <c r="P356" s="24"/>
      <c r="Q356" s="24"/>
      <c r="R356" s="24"/>
      <c r="S356" s="41">
        <f t="shared" si="110"/>
        <v>10710000</v>
      </c>
      <c r="T356" s="24">
        <v>5</v>
      </c>
      <c r="U356" s="41"/>
      <c r="V356" s="24">
        <v>0.5</v>
      </c>
      <c r="W356" s="41">
        <f t="shared" si="114"/>
        <v>0</v>
      </c>
      <c r="X356" s="24"/>
      <c r="Y356" s="41">
        <f t="shared" si="115"/>
        <v>0</v>
      </c>
      <c r="Z356" s="41">
        <f t="shared" si="116"/>
        <v>0</v>
      </c>
      <c r="AA356" s="24">
        <v>5</v>
      </c>
      <c r="AB356" s="41">
        <v>10710000</v>
      </c>
      <c r="AC356" s="41">
        <f t="shared" si="111"/>
        <v>0</v>
      </c>
      <c r="AD356" s="70" t="s">
        <v>477</v>
      </c>
      <c r="AE356" s="70"/>
      <c r="AF356" s="1">
        <v>10710000</v>
      </c>
      <c r="AG356" s="5">
        <f t="shared" si="105"/>
        <v>0</v>
      </c>
    </row>
    <row r="357" spans="1:33" s="1" customFormat="1" x14ac:dyDescent="0.25">
      <c r="A357" s="49"/>
      <c r="B357" s="22" t="s">
        <v>1682</v>
      </c>
      <c r="C357" s="73" t="s">
        <v>327</v>
      </c>
      <c r="D357" s="51" t="s">
        <v>374</v>
      </c>
      <c r="E357" s="52" t="s">
        <v>166</v>
      </c>
      <c r="F357" s="52"/>
      <c r="G357" s="52" t="s">
        <v>319</v>
      </c>
      <c r="H357" s="52" t="s">
        <v>62</v>
      </c>
      <c r="I357" s="52">
        <v>2020</v>
      </c>
      <c r="J357" s="52"/>
      <c r="K357" s="52" t="s">
        <v>63</v>
      </c>
      <c r="L357" s="52" t="s">
        <v>64</v>
      </c>
      <c r="M357" s="52">
        <v>20</v>
      </c>
      <c r="N357" s="53">
        <f t="shared" ref="N357:N369" si="117">SUM(O357/M357)</f>
        <v>1496000</v>
      </c>
      <c r="O357" s="53">
        <v>29920000</v>
      </c>
      <c r="P357" s="52"/>
      <c r="Q357" s="52"/>
      <c r="R357" s="52"/>
      <c r="S357" s="53">
        <f t="shared" si="110"/>
        <v>29920000</v>
      </c>
      <c r="T357" s="52">
        <v>5</v>
      </c>
      <c r="U357" s="53">
        <f t="shared" ref="U357" si="118">SUM(S357/T357)</f>
        <v>5984000</v>
      </c>
      <c r="V357" s="52">
        <v>0.5</v>
      </c>
      <c r="W357" s="53">
        <f>SUM(U357*V357)</f>
        <v>2992000</v>
      </c>
      <c r="X357" s="24">
        <v>0.5</v>
      </c>
      <c r="Y357" s="41">
        <f t="shared" si="115"/>
        <v>2992000</v>
      </c>
      <c r="Z357" s="41">
        <f>SUM(W357+Y357)</f>
        <v>5984000</v>
      </c>
      <c r="AA357" s="72">
        <f>2023-I357+V357+X357-10/12</f>
        <v>3.1666666666666665</v>
      </c>
      <c r="AB357" s="41">
        <f t="shared" ref="AB357" si="119">SUM(U357*AA357)</f>
        <v>18949333.333333332</v>
      </c>
      <c r="AC357" s="41">
        <f t="shared" si="111"/>
        <v>10970666.666666668</v>
      </c>
      <c r="AD357" s="70" t="s">
        <v>213</v>
      </c>
      <c r="AE357" s="70"/>
      <c r="AF357" s="1">
        <v>12965333.333333332</v>
      </c>
      <c r="AG357" s="5">
        <f t="shared" si="105"/>
        <v>0</v>
      </c>
    </row>
    <row r="358" spans="1:33" s="1" customFormat="1" x14ac:dyDescent="0.25">
      <c r="A358" s="49"/>
      <c r="B358" s="22" t="s">
        <v>1683</v>
      </c>
      <c r="C358" s="22" t="s">
        <v>657</v>
      </c>
      <c r="D358" s="51" t="s">
        <v>912</v>
      </c>
      <c r="E358" s="24" t="s">
        <v>166</v>
      </c>
      <c r="F358" s="24"/>
      <c r="G358" s="24" t="s">
        <v>319</v>
      </c>
      <c r="H358" s="24" t="s">
        <v>62</v>
      </c>
      <c r="I358" s="24">
        <v>2004</v>
      </c>
      <c r="J358" s="24"/>
      <c r="K358" s="24" t="s">
        <v>63</v>
      </c>
      <c r="L358" s="24" t="s">
        <v>64</v>
      </c>
      <c r="M358" s="24">
        <v>3</v>
      </c>
      <c r="N358" s="41">
        <f>SUM(O358/M358)</f>
        <v>500000</v>
      </c>
      <c r="O358" s="41">
        <v>1500000</v>
      </c>
      <c r="P358" s="24"/>
      <c r="Q358" s="24"/>
      <c r="R358" s="24"/>
      <c r="S358" s="41">
        <f t="shared" si="110"/>
        <v>1500000</v>
      </c>
      <c r="T358" s="24">
        <v>5</v>
      </c>
      <c r="U358" s="41"/>
      <c r="V358" s="24">
        <v>0.5</v>
      </c>
      <c r="W358" s="41">
        <f>SUM(U358*V358)</f>
        <v>0</v>
      </c>
      <c r="X358" s="24"/>
      <c r="Y358" s="41">
        <f>SUM(U358*X358)</f>
        <v>0</v>
      </c>
      <c r="Z358" s="41">
        <f>SUM(W358+Y358)</f>
        <v>0</v>
      </c>
      <c r="AA358" s="72">
        <v>5</v>
      </c>
      <c r="AB358" s="41">
        <v>1500000</v>
      </c>
      <c r="AC358" s="41">
        <f t="shared" si="111"/>
        <v>0</v>
      </c>
      <c r="AD358" s="70" t="s">
        <v>913</v>
      </c>
      <c r="AE358" s="70"/>
      <c r="AG358" s="5">
        <f t="shared" si="105"/>
        <v>-1500000</v>
      </c>
    </row>
    <row r="359" spans="1:33" s="1" customFormat="1" x14ac:dyDescent="0.25">
      <c r="A359" s="49"/>
      <c r="B359" s="22" t="s">
        <v>1684</v>
      </c>
      <c r="C359" s="22" t="s">
        <v>58</v>
      </c>
      <c r="D359" s="51" t="s">
        <v>935</v>
      </c>
      <c r="E359" s="24" t="s">
        <v>166</v>
      </c>
      <c r="F359" s="24"/>
      <c r="G359" s="24" t="s">
        <v>936</v>
      </c>
      <c r="H359" s="24" t="s">
        <v>62</v>
      </c>
      <c r="I359" s="24">
        <v>2008</v>
      </c>
      <c r="J359" s="24"/>
      <c r="K359" s="24" t="s">
        <v>63</v>
      </c>
      <c r="L359" s="24" t="s">
        <v>64</v>
      </c>
      <c r="M359" s="24">
        <v>1</v>
      </c>
      <c r="N359" s="41">
        <f t="shared" si="117"/>
        <v>8950000</v>
      </c>
      <c r="O359" s="41">
        <v>8950000</v>
      </c>
      <c r="P359" s="24"/>
      <c r="Q359" s="24"/>
      <c r="R359" s="24"/>
      <c r="S359" s="41">
        <f t="shared" si="110"/>
        <v>8950000</v>
      </c>
      <c r="T359" s="24">
        <v>5</v>
      </c>
      <c r="U359" s="41"/>
      <c r="V359" s="24">
        <v>0.5</v>
      </c>
      <c r="W359" s="41">
        <f t="shared" ref="W359:W369" si="120">SUM(U359*V359)</f>
        <v>0</v>
      </c>
      <c r="X359" s="24"/>
      <c r="Y359" s="41">
        <f t="shared" si="115"/>
        <v>0</v>
      </c>
      <c r="Z359" s="41">
        <f t="shared" ref="Z359:Z369" si="121">SUM(W359+Y359)</f>
        <v>0</v>
      </c>
      <c r="AA359" s="24">
        <v>5</v>
      </c>
      <c r="AB359" s="41">
        <v>8950000</v>
      </c>
      <c r="AC359" s="41">
        <f t="shared" si="111"/>
        <v>0</v>
      </c>
      <c r="AD359" s="70" t="s">
        <v>333</v>
      </c>
      <c r="AE359" s="70"/>
      <c r="AF359" s="1">
        <v>8950000</v>
      </c>
      <c r="AG359" s="5">
        <f t="shared" si="105"/>
        <v>0</v>
      </c>
    </row>
    <row r="360" spans="1:33" s="1" customFormat="1" x14ac:dyDescent="0.25">
      <c r="A360" s="49"/>
      <c r="B360" s="22" t="s">
        <v>1684</v>
      </c>
      <c r="C360" s="22" t="s">
        <v>277</v>
      </c>
      <c r="D360" s="51" t="s">
        <v>937</v>
      </c>
      <c r="E360" s="24" t="s">
        <v>938</v>
      </c>
      <c r="F360" s="24"/>
      <c r="G360" s="24" t="s">
        <v>936</v>
      </c>
      <c r="H360" s="24" t="s">
        <v>62</v>
      </c>
      <c r="I360" s="24">
        <v>2012</v>
      </c>
      <c r="J360" s="24"/>
      <c r="K360" s="24" t="s">
        <v>63</v>
      </c>
      <c r="L360" s="24" t="s">
        <v>64</v>
      </c>
      <c r="M360" s="24">
        <v>6</v>
      </c>
      <c r="N360" s="41">
        <f t="shared" si="117"/>
        <v>6325000</v>
      </c>
      <c r="O360" s="41">
        <v>37950000</v>
      </c>
      <c r="P360" s="24"/>
      <c r="Q360" s="24"/>
      <c r="R360" s="24"/>
      <c r="S360" s="41">
        <f t="shared" si="110"/>
        <v>37950000</v>
      </c>
      <c r="T360" s="24">
        <v>5</v>
      </c>
      <c r="U360" s="41"/>
      <c r="V360" s="24">
        <v>0.5</v>
      </c>
      <c r="W360" s="41">
        <f t="shared" si="120"/>
        <v>0</v>
      </c>
      <c r="X360" s="24"/>
      <c r="Y360" s="41">
        <f t="shared" si="115"/>
        <v>0</v>
      </c>
      <c r="Z360" s="41">
        <f t="shared" si="121"/>
        <v>0</v>
      </c>
      <c r="AA360" s="24">
        <v>5</v>
      </c>
      <c r="AB360" s="41">
        <v>37950000</v>
      </c>
      <c r="AC360" s="41">
        <f t="shared" si="111"/>
        <v>0</v>
      </c>
      <c r="AD360" s="70" t="s">
        <v>939</v>
      </c>
      <c r="AE360" s="70"/>
      <c r="AF360" s="1">
        <v>37950000</v>
      </c>
      <c r="AG360" s="5">
        <f t="shared" si="105"/>
        <v>0</v>
      </c>
    </row>
    <row r="361" spans="1:33" s="1" customFormat="1" x14ac:dyDescent="0.25">
      <c r="A361" s="49"/>
      <c r="B361" s="22" t="s">
        <v>1684</v>
      </c>
      <c r="C361" s="22" t="s">
        <v>338</v>
      </c>
      <c r="D361" s="51" t="s">
        <v>937</v>
      </c>
      <c r="E361" s="24" t="s">
        <v>166</v>
      </c>
      <c r="F361" s="24"/>
      <c r="G361" s="24" t="s">
        <v>936</v>
      </c>
      <c r="H361" s="24" t="s">
        <v>62</v>
      </c>
      <c r="I361" s="24">
        <v>2013</v>
      </c>
      <c r="J361" s="24"/>
      <c r="K361" s="24" t="s">
        <v>63</v>
      </c>
      <c r="L361" s="24" t="s">
        <v>64</v>
      </c>
      <c r="M361" s="24">
        <v>2</v>
      </c>
      <c r="N361" s="41">
        <f t="shared" si="117"/>
        <v>5995000</v>
      </c>
      <c r="O361" s="41">
        <v>11990000</v>
      </c>
      <c r="P361" s="24"/>
      <c r="Q361" s="24"/>
      <c r="R361" s="24"/>
      <c r="S361" s="41">
        <f t="shared" si="110"/>
        <v>11990000</v>
      </c>
      <c r="T361" s="24">
        <v>5</v>
      </c>
      <c r="U361" s="41"/>
      <c r="V361" s="24">
        <v>0.5</v>
      </c>
      <c r="W361" s="41">
        <f t="shared" si="120"/>
        <v>0</v>
      </c>
      <c r="X361" s="24"/>
      <c r="Y361" s="41">
        <f t="shared" si="115"/>
        <v>0</v>
      </c>
      <c r="Z361" s="41">
        <f t="shared" si="121"/>
        <v>0</v>
      </c>
      <c r="AA361" s="24">
        <v>5</v>
      </c>
      <c r="AB361" s="41">
        <v>11990000</v>
      </c>
      <c r="AC361" s="41">
        <f t="shared" si="111"/>
        <v>0</v>
      </c>
      <c r="AD361" s="70" t="s">
        <v>335</v>
      </c>
      <c r="AE361" s="70"/>
      <c r="AF361" s="1">
        <v>11990000</v>
      </c>
      <c r="AG361" s="5">
        <f t="shared" si="105"/>
        <v>0</v>
      </c>
    </row>
    <row r="362" spans="1:33" s="1" customFormat="1" x14ac:dyDescent="0.25">
      <c r="A362" s="49"/>
      <c r="B362" s="22" t="s">
        <v>1684</v>
      </c>
      <c r="C362" s="22" t="s">
        <v>108</v>
      </c>
      <c r="D362" s="51" t="s">
        <v>937</v>
      </c>
      <c r="E362" s="24" t="s">
        <v>166</v>
      </c>
      <c r="F362" s="24"/>
      <c r="G362" s="24" t="s">
        <v>936</v>
      </c>
      <c r="H362" s="24" t="s">
        <v>62</v>
      </c>
      <c r="I362" s="24">
        <v>2013</v>
      </c>
      <c r="J362" s="24"/>
      <c r="K362" s="24" t="s">
        <v>63</v>
      </c>
      <c r="L362" s="24" t="s">
        <v>64</v>
      </c>
      <c r="M362" s="24">
        <v>1</v>
      </c>
      <c r="N362" s="41">
        <f t="shared" si="117"/>
        <v>5995000</v>
      </c>
      <c r="O362" s="41">
        <v>5995000</v>
      </c>
      <c r="P362" s="24"/>
      <c r="Q362" s="24"/>
      <c r="R362" s="24"/>
      <c r="S362" s="41">
        <f t="shared" si="110"/>
        <v>5995000</v>
      </c>
      <c r="T362" s="24">
        <v>5</v>
      </c>
      <c r="U362" s="41"/>
      <c r="V362" s="24">
        <v>0.5</v>
      </c>
      <c r="W362" s="41">
        <f t="shared" si="120"/>
        <v>0</v>
      </c>
      <c r="X362" s="24"/>
      <c r="Y362" s="41">
        <f t="shared" si="115"/>
        <v>0</v>
      </c>
      <c r="Z362" s="41">
        <f t="shared" si="121"/>
        <v>0</v>
      </c>
      <c r="AA362" s="24">
        <v>5</v>
      </c>
      <c r="AB362" s="41">
        <v>5995000</v>
      </c>
      <c r="AC362" s="41">
        <f t="shared" si="111"/>
        <v>0</v>
      </c>
      <c r="AD362" s="70" t="s">
        <v>352</v>
      </c>
      <c r="AE362" s="70"/>
      <c r="AF362" s="1">
        <v>5995000</v>
      </c>
      <c r="AG362" s="5">
        <f t="shared" si="105"/>
        <v>0</v>
      </c>
    </row>
    <row r="363" spans="1:33" s="1" customFormat="1" x14ac:dyDescent="0.25">
      <c r="A363" s="49"/>
      <c r="B363" s="22" t="s">
        <v>1684</v>
      </c>
      <c r="C363" s="22" t="s">
        <v>135</v>
      </c>
      <c r="D363" s="51" t="s">
        <v>937</v>
      </c>
      <c r="E363" s="24" t="s">
        <v>166</v>
      </c>
      <c r="F363" s="24"/>
      <c r="G363" s="24" t="s">
        <v>936</v>
      </c>
      <c r="H363" s="24" t="s">
        <v>62</v>
      </c>
      <c r="I363" s="24">
        <v>2013</v>
      </c>
      <c r="J363" s="24"/>
      <c r="K363" s="24" t="s">
        <v>63</v>
      </c>
      <c r="L363" s="24" t="s">
        <v>64</v>
      </c>
      <c r="M363" s="24">
        <v>1</v>
      </c>
      <c r="N363" s="41">
        <f t="shared" si="117"/>
        <v>5995000</v>
      </c>
      <c r="O363" s="41">
        <v>5995000</v>
      </c>
      <c r="P363" s="24"/>
      <c r="Q363" s="24"/>
      <c r="R363" s="24"/>
      <c r="S363" s="41">
        <f t="shared" si="110"/>
        <v>5995000</v>
      </c>
      <c r="T363" s="24">
        <v>5</v>
      </c>
      <c r="U363" s="41"/>
      <c r="V363" s="24">
        <v>0.5</v>
      </c>
      <c r="W363" s="41">
        <f t="shared" si="120"/>
        <v>0</v>
      </c>
      <c r="X363" s="24"/>
      <c r="Y363" s="41">
        <f t="shared" si="115"/>
        <v>0</v>
      </c>
      <c r="Z363" s="41">
        <f t="shared" si="121"/>
        <v>0</v>
      </c>
      <c r="AA363" s="24">
        <v>5</v>
      </c>
      <c r="AB363" s="41">
        <v>5995000</v>
      </c>
      <c r="AC363" s="41">
        <f t="shared" si="111"/>
        <v>0</v>
      </c>
      <c r="AD363" s="70" t="s">
        <v>328</v>
      </c>
      <c r="AE363" s="70"/>
      <c r="AF363" s="1">
        <v>5995000</v>
      </c>
      <c r="AG363" s="5">
        <f t="shared" si="105"/>
        <v>0</v>
      </c>
    </row>
    <row r="364" spans="1:33" s="1" customFormat="1" x14ac:dyDescent="0.25">
      <c r="A364" s="49"/>
      <c r="B364" s="22" t="s">
        <v>1684</v>
      </c>
      <c r="C364" s="22" t="s">
        <v>138</v>
      </c>
      <c r="D364" s="51" t="s">
        <v>937</v>
      </c>
      <c r="E364" s="24" t="s">
        <v>166</v>
      </c>
      <c r="F364" s="24"/>
      <c r="G364" s="24" t="s">
        <v>936</v>
      </c>
      <c r="H364" s="24" t="s">
        <v>62</v>
      </c>
      <c r="I364" s="24">
        <v>2013</v>
      </c>
      <c r="J364" s="24"/>
      <c r="K364" s="24" t="s">
        <v>63</v>
      </c>
      <c r="L364" s="24" t="s">
        <v>64</v>
      </c>
      <c r="M364" s="24">
        <v>1</v>
      </c>
      <c r="N364" s="41">
        <f t="shared" si="117"/>
        <v>5995000</v>
      </c>
      <c r="O364" s="41">
        <v>5995000</v>
      </c>
      <c r="P364" s="24"/>
      <c r="Q364" s="24"/>
      <c r="R364" s="24"/>
      <c r="S364" s="41">
        <f t="shared" si="110"/>
        <v>5995000</v>
      </c>
      <c r="T364" s="24">
        <v>5</v>
      </c>
      <c r="U364" s="41"/>
      <c r="V364" s="24">
        <v>0.5</v>
      </c>
      <c r="W364" s="41">
        <f t="shared" si="120"/>
        <v>0</v>
      </c>
      <c r="X364" s="24"/>
      <c r="Y364" s="41">
        <f t="shared" si="115"/>
        <v>0</v>
      </c>
      <c r="Z364" s="41">
        <f t="shared" si="121"/>
        <v>0</v>
      </c>
      <c r="AA364" s="24">
        <v>5</v>
      </c>
      <c r="AB364" s="41">
        <v>5995000</v>
      </c>
      <c r="AC364" s="41">
        <f t="shared" si="111"/>
        <v>0</v>
      </c>
      <c r="AD364" s="70" t="s">
        <v>276</v>
      </c>
      <c r="AE364" s="70"/>
      <c r="AF364" s="1">
        <v>5995000</v>
      </c>
      <c r="AG364" s="5">
        <f t="shared" si="105"/>
        <v>0</v>
      </c>
    </row>
    <row r="365" spans="1:33" s="1" customFormat="1" x14ac:dyDescent="0.25">
      <c r="A365" s="49"/>
      <c r="B365" s="22" t="s">
        <v>1684</v>
      </c>
      <c r="C365" s="22" t="s">
        <v>143</v>
      </c>
      <c r="D365" s="51" t="s">
        <v>937</v>
      </c>
      <c r="E365" s="24" t="s">
        <v>166</v>
      </c>
      <c r="F365" s="24"/>
      <c r="G365" s="24" t="s">
        <v>936</v>
      </c>
      <c r="H365" s="24" t="s">
        <v>62</v>
      </c>
      <c r="I365" s="24">
        <v>2013</v>
      </c>
      <c r="J365" s="24"/>
      <c r="K365" s="24" t="s">
        <v>63</v>
      </c>
      <c r="L365" s="24" t="s">
        <v>64</v>
      </c>
      <c r="M365" s="24">
        <v>1</v>
      </c>
      <c r="N365" s="41">
        <f t="shared" si="117"/>
        <v>5995000</v>
      </c>
      <c r="O365" s="41">
        <v>5995000</v>
      </c>
      <c r="P365" s="24"/>
      <c r="Q365" s="24"/>
      <c r="R365" s="24"/>
      <c r="S365" s="41">
        <f t="shared" si="110"/>
        <v>5995000</v>
      </c>
      <c r="T365" s="24">
        <v>5</v>
      </c>
      <c r="U365" s="41"/>
      <c r="V365" s="24">
        <v>0.5</v>
      </c>
      <c r="W365" s="41">
        <f t="shared" si="120"/>
        <v>0</v>
      </c>
      <c r="X365" s="24"/>
      <c r="Y365" s="41">
        <f t="shared" si="115"/>
        <v>0</v>
      </c>
      <c r="Z365" s="41">
        <f t="shared" si="121"/>
        <v>0</v>
      </c>
      <c r="AA365" s="24">
        <v>5</v>
      </c>
      <c r="AB365" s="41">
        <v>5995000</v>
      </c>
      <c r="AC365" s="41">
        <f t="shared" si="111"/>
        <v>0</v>
      </c>
      <c r="AD365" s="70" t="s">
        <v>940</v>
      </c>
      <c r="AE365" s="70"/>
      <c r="AF365" s="1">
        <v>5995000</v>
      </c>
      <c r="AG365" s="5">
        <f t="shared" si="105"/>
        <v>0</v>
      </c>
    </row>
    <row r="366" spans="1:33" s="1" customFormat="1" x14ac:dyDescent="0.25">
      <c r="A366" s="49"/>
      <c r="B366" s="22" t="s">
        <v>1684</v>
      </c>
      <c r="C366" s="22" t="s">
        <v>341</v>
      </c>
      <c r="D366" s="51" t="s">
        <v>937</v>
      </c>
      <c r="E366" s="24" t="s">
        <v>166</v>
      </c>
      <c r="F366" s="24"/>
      <c r="G366" s="24" t="s">
        <v>936</v>
      </c>
      <c r="H366" s="24" t="s">
        <v>62</v>
      </c>
      <c r="I366" s="24">
        <v>2014</v>
      </c>
      <c r="J366" s="24"/>
      <c r="K366" s="24" t="s">
        <v>63</v>
      </c>
      <c r="L366" s="24" t="s">
        <v>64</v>
      </c>
      <c r="M366" s="24">
        <v>2</v>
      </c>
      <c r="N366" s="41">
        <f t="shared" si="117"/>
        <v>26840000</v>
      </c>
      <c r="O366" s="41">
        <v>53680000</v>
      </c>
      <c r="P366" s="24"/>
      <c r="Q366" s="24"/>
      <c r="R366" s="24"/>
      <c r="S366" s="41">
        <f t="shared" si="110"/>
        <v>53680000</v>
      </c>
      <c r="T366" s="24">
        <v>5</v>
      </c>
      <c r="U366" s="41"/>
      <c r="V366" s="24">
        <v>0.5</v>
      </c>
      <c r="W366" s="41">
        <f t="shared" si="120"/>
        <v>0</v>
      </c>
      <c r="X366" s="24"/>
      <c r="Y366" s="41">
        <f t="shared" si="115"/>
        <v>0</v>
      </c>
      <c r="Z366" s="41">
        <f t="shared" si="121"/>
        <v>0</v>
      </c>
      <c r="AA366" s="24">
        <v>5</v>
      </c>
      <c r="AB366" s="41">
        <v>53680000</v>
      </c>
      <c r="AC366" s="41">
        <f t="shared" si="111"/>
        <v>0</v>
      </c>
      <c r="AD366" s="70" t="s">
        <v>941</v>
      </c>
      <c r="AE366" s="70"/>
      <c r="AF366" s="1">
        <v>53680000</v>
      </c>
      <c r="AG366" s="5">
        <f t="shared" si="105"/>
        <v>0</v>
      </c>
    </row>
    <row r="367" spans="1:33" s="1" customFormat="1" x14ac:dyDescent="0.25">
      <c r="A367" s="49"/>
      <c r="B367" s="22" t="s">
        <v>1684</v>
      </c>
      <c r="C367" s="22" t="s">
        <v>153</v>
      </c>
      <c r="D367" s="51" t="s">
        <v>937</v>
      </c>
      <c r="E367" s="24" t="s">
        <v>166</v>
      </c>
      <c r="F367" s="24"/>
      <c r="G367" s="24" t="s">
        <v>936</v>
      </c>
      <c r="H367" s="24" t="s">
        <v>62</v>
      </c>
      <c r="I367" s="24">
        <v>2014</v>
      </c>
      <c r="J367" s="24"/>
      <c r="K367" s="24" t="s">
        <v>63</v>
      </c>
      <c r="L367" s="24" t="s">
        <v>64</v>
      </c>
      <c r="M367" s="24">
        <v>1</v>
      </c>
      <c r="N367" s="41">
        <f t="shared" si="117"/>
        <v>26840000</v>
      </c>
      <c r="O367" s="41">
        <v>26840000</v>
      </c>
      <c r="P367" s="24"/>
      <c r="Q367" s="24"/>
      <c r="R367" s="24"/>
      <c r="S367" s="41">
        <f t="shared" ref="S367:S391" si="122">SUM(O367-R367)</f>
        <v>26840000</v>
      </c>
      <c r="T367" s="24">
        <v>5</v>
      </c>
      <c r="U367" s="41"/>
      <c r="V367" s="24">
        <v>0.5</v>
      </c>
      <c r="W367" s="41">
        <f t="shared" si="120"/>
        <v>0</v>
      </c>
      <c r="X367" s="24"/>
      <c r="Y367" s="41">
        <f t="shared" si="115"/>
        <v>0</v>
      </c>
      <c r="Z367" s="41">
        <f t="shared" si="121"/>
        <v>0</v>
      </c>
      <c r="AA367" s="24">
        <v>5</v>
      </c>
      <c r="AB367" s="41">
        <v>26840000</v>
      </c>
      <c r="AC367" s="41">
        <f t="shared" ref="AC367:AC391" si="123">SUM(O367-AB367)</f>
        <v>0</v>
      </c>
      <c r="AD367" s="70" t="s">
        <v>942</v>
      </c>
      <c r="AE367" s="70"/>
      <c r="AF367" s="1">
        <v>26840000</v>
      </c>
      <c r="AG367" s="5">
        <f t="shared" si="105"/>
        <v>0</v>
      </c>
    </row>
    <row r="368" spans="1:33" s="1" customFormat="1" x14ac:dyDescent="0.25">
      <c r="A368" s="49"/>
      <c r="B368" s="22" t="s">
        <v>1684</v>
      </c>
      <c r="C368" s="22" t="s">
        <v>156</v>
      </c>
      <c r="D368" s="51" t="s">
        <v>937</v>
      </c>
      <c r="E368" s="24" t="s">
        <v>166</v>
      </c>
      <c r="F368" s="24"/>
      <c r="G368" s="24" t="s">
        <v>936</v>
      </c>
      <c r="H368" s="24" t="s">
        <v>62</v>
      </c>
      <c r="I368" s="24">
        <v>2014</v>
      </c>
      <c r="J368" s="24"/>
      <c r="K368" s="24" t="s">
        <v>63</v>
      </c>
      <c r="L368" s="24" t="s">
        <v>64</v>
      </c>
      <c r="M368" s="24">
        <v>1</v>
      </c>
      <c r="N368" s="41">
        <f t="shared" si="117"/>
        <v>26840000</v>
      </c>
      <c r="O368" s="41">
        <v>26840000</v>
      </c>
      <c r="P368" s="24"/>
      <c r="Q368" s="24"/>
      <c r="R368" s="24"/>
      <c r="S368" s="41">
        <f t="shared" si="122"/>
        <v>26840000</v>
      </c>
      <c r="T368" s="24">
        <v>5</v>
      </c>
      <c r="U368" s="41"/>
      <c r="V368" s="24">
        <v>0.5</v>
      </c>
      <c r="W368" s="41">
        <f t="shared" si="120"/>
        <v>0</v>
      </c>
      <c r="X368" s="24"/>
      <c r="Y368" s="41">
        <f t="shared" si="115"/>
        <v>0</v>
      </c>
      <c r="Z368" s="41">
        <f t="shared" si="121"/>
        <v>0</v>
      </c>
      <c r="AA368" s="24">
        <v>5</v>
      </c>
      <c r="AB368" s="41">
        <v>26840000</v>
      </c>
      <c r="AC368" s="41">
        <f t="shared" si="123"/>
        <v>0</v>
      </c>
      <c r="AD368" s="70" t="s">
        <v>354</v>
      </c>
      <c r="AE368" s="70"/>
      <c r="AF368" s="1">
        <v>26840000</v>
      </c>
      <c r="AG368" s="5">
        <f t="shared" si="105"/>
        <v>0</v>
      </c>
    </row>
    <row r="369" spans="1:33" s="1" customFormat="1" x14ac:dyDescent="0.25">
      <c r="A369" s="49"/>
      <c r="B369" s="22" t="s">
        <v>1684</v>
      </c>
      <c r="C369" s="22" t="s">
        <v>554</v>
      </c>
      <c r="D369" s="51" t="s">
        <v>937</v>
      </c>
      <c r="E369" s="24" t="s">
        <v>166</v>
      </c>
      <c r="F369" s="24"/>
      <c r="G369" s="24" t="s">
        <v>936</v>
      </c>
      <c r="H369" s="24" t="s">
        <v>62</v>
      </c>
      <c r="I369" s="24">
        <v>2014</v>
      </c>
      <c r="J369" s="24"/>
      <c r="K369" s="24" t="s">
        <v>63</v>
      </c>
      <c r="L369" s="24" t="s">
        <v>64</v>
      </c>
      <c r="M369" s="24">
        <v>2</v>
      </c>
      <c r="N369" s="41">
        <f t="shared" si="117"/>
        <v>26840000</v>
      </c>
      <c r="O369" s="41">
        <v>53680000</v>
      </c>
      <c r="P369" s="24"/>
      <c r="Q369" s="24"/>
      <c r="R369" s="24"/>
      <c r="S369" s="41">
        <f t="shared" si="122"/>
        <v>53680000</v>
      </c>
      <c r="T369" s="24">
        <v>5</v>
      </c>
      <c r="U369" s="41"/>
      <c r="V369" s="24">
        <v>0.5</v>
      </c>
      <c r="W369" s="41">
        <f t="shared" si="120"/>
        <v>0</v>
      </c>
      <c r="X369" s="24"/>
      <c r="Y369" s="41">
        <f t="shared" si="115"/>
        <v>0</v>
      </c>
      <c r="Z369" s="41">
        <f t="shared" si="121"/>
        <v>0</v>
      </c>
      <c r="AA369" s="72">
        <v>5</v>
      </c>
      <c r="AB369" s="41">
        <v>53680000</v>
      </c>
      <c r="AC369" s="41">
        <f t="shared" si="123"/>
        <v>0</v>
      </c>
      <c r="AD369" s="70" t="s">
        <v>943</v>
      </c>
      <c r="AE369" s="70"/>
      <c r="AF369" s="1">
        <v>53680000</v>
      </c>
      <c r="AG369" s="5">
        <f t="shared" si="105"/>
        <v>0</v>
      </c>
    </row>
    <row r="370" spans="1:33" s="1" customFormat="1" x14ac:dyDescent="0.25">
      <c r="A370" s="49"/>
      <c r="B370" s="50" t="s">
        <v>1685</v>
      </c>
      <c r="C370" s="50" t="s">
        <v>343</v>
      </c>
      <c r="D370" s="51" t="s">
        <v>344</v>
      </c>
      <c r="E370" s="52" t="s">
        <v>166</v>
      </c>
      <c r="F370" s="52"/>
      <c r="G370" s="52" t="s">
        <v>319</v>
      </c>
      <c r="H370" s="52" t="s">
        <v>62</v>
      </c>
      <c r="I370" s="52">
        <v>2016</v>
      </c>
      <c r="J370" s="52"/>
      <c r="K370" s="52" t="s">
        <v>63</v>
      </c>
      <c r="L370" s="52" t="s">
        <v>64</v>
      </c>
      <c r="M370" s="52">
        <v>6</v>
      </c>
      <c r="N370" s="53">
        <f>SUM(O370/M370)</f>
        <v>3280000</v>
      </c>
      <c r="O370" s="53">
        <v>19680000</v>
      </c>
      <c r="P370" s="52"/>
      <c r="Q370" s="52"/>
      <c r="R370" s="52"/>
      <c r="S370" s="53">
        <f t="shared" si="122"/>
        <v>19680000</v>
      </c>
      <c r="T370" s="52">
        <v>5</v>
      </c>
      <c r="U370" s="53">
        <f>SUM(S370/T370)</f>
        <v>3936000</v>
      </c>
      <c r="V370" s="52">
        <v>0.5</v>
      </c>
      <c r="W370" s="53"/>
      <c r="X370" s="24"/>
      <c r="Y370" s="41"/>
      <c r="Z370" s="41"/>
      <c r="AA370" s="72">
        <f>2021-I370+V370+X370-6/12</f>
        <v>5</v>
      </c>
      <c r="AB370" s="41">
        <f>SUM(U370*AA370)</f>
        <v>19680000</v>
      </c>
      <c r="AC370" s="41">
        <f t="shared" si="123"/>
        <v>0</v>
      </c>
      <c r="AD370" s="70" t="s">
        <v>345</v>
      </c>
      <c r="AE370" s="70"/>
      <c r="AG370" s="5">
        <f t="shared" si="105"/>
        <v>-19680000</v>
      </c>
    </row>
    <row r="371" spans="1:33" s="1" customFormat="1" x14ac:dyDescent="0.25">
      <c r="A371" s="49"/>
      <c r="B371" s="50" t="s">
        <v>1685</v>
      </c>
      <c r="C371" s="50" t="s">
        <v>96</v>
      </c>
      <c r="D371" s="51" t="s">
        <v>344</v>
      </c>
      <c r="E371" s="52" t="s">
        <v>166</v>
      </c>
      <c r="F371" s="52"/>
      <c r="G371" s="52" t="s">
        <v>319</v>
      </c>
      <c r="H371" s="52" t="s">
        <v>62</v>
      </c>
      <c r="I371" s="52">
        <v>2016</v>
      </c>
      <c r="J371" s="52"/>
      <c r="K371" s="52" t="s">
        <v>63</v>
      </c>
      <c r="L371" s="52" t="s">
        <v>64</v>
      </c>
      <c r="M371" s="52">
        <v>1</v>
      </c>
      <c r="N371" s="53">
        <f>SUM(O371/M371)</f>
        <v>3280000</v>
      </c>
      <c r="O371" s="53">
        <v>3280000</v>
      </c>
      <c r="P371" s="52"/>
      <c r="Q371" s="52"/>
      <c r="R371" s="52"/>
      <c r="S371" s="53">
        <f t="shared" si="122"/>
        <v>3280000</v>
      </c>
      <c r="T371" s="52">
        <v>5</v>
      </c>
      <c r="U371" s="53">
        <f>SUM(S371/T371)</f>
        <v>656000</v>
      </c>
      <c r="V371" s="52">
        <v>0.5</v>
      </c>
      <c r="W371" s="53"/>
      <c r="X371" s="24"/>
      <c r="Y371" s="41">
        <f>SUM(U371*X371)</f>
        <v>0</v>
      </c>
      <c r="Z371" s="41"/>
      <c r="AA371" s="72">
        <f>2021-I371+V371+X371-6/12</f>
        <v>5</v>
      </c>
      <c r="AB371" s="41">
        <f>SUM(U371*AA371)</f>
        <v>3280000</v>
      </c>
      <c r="AC371" s="41">
        <f t="shared" si="123"/>
        <v>0</v>
      </c>
      <c r="AD371" s="70" t="s">
        <v>213</v>
      </c>
      <c r="AE371" s="70"/>
      <c r="AG371" s="5">
        <f t="shared" si="105"/>
        <v>-3280000</v>
      </c>
    </row>
    <row r="372" spans="1:33" s="1" customFormat="1" x14ac:dyDescent="0.25">
      <c r="A372" s="49"/>
      <c r="B372" s="50" t="s">
        <v>1685</v>
      </c>
      <c r="C372" s="50" t="s">
        <v>100</v>
      </c>
      <c r="D372" s="51" t="s">
        <v>346</v>
      </c>
      <c r="E372" s="52" t="s">
        <v>166</v>
      </c>
      <c r="F372" s="52"/>
      <c r="G372" s="52" t="s">
        <v>319</v>
      </c>
      <c r="H372" s="52" t="s">
        <v>62</v>
      </c>
      <c r="I372" s="52">
        <v>2017</v>
      </c>
      <c r="J372" s="52"/>
      <c r="K372" s="52" t="s">
        <v>63</v>
      </c>
      <c r="L372" s="52" t="s">
        <v>64</v>
      </c>
      <c r="M372" s="52">
        <v>1</v>
      </c>
      <c r="N372" s="53">
        <f>SUM(O372/M372)</f>
        <v>49995000</v>
      </c>
      <c r="O372" s="53">
        <v>49995000</v>
      </c>
      <c r="P372" s="52"/>
      <c r="Q372" s="52"/>
      <c r="R372" s="52"/>
      <c r="S372" s="53">
        <f t="shared" si="122"/>
        <v>49995000</v>
      </c>
      <c r="T372" s="52">
        <v>5</v>
      </c>
      <c r="U372" s="53">
        <f>SUM(S372/T372)</f>
        <v>9999000</v>
      </c>
      <c r="V372" s="52"/>
      <c r="W372" s="53"/>
      <c r="X372" s="57"/>
      <c r="Y372" s="53">
        <f t="shared" ref="Y372:Y391" si="124">SUM(U372*X372)</f>
        <v>0</v>
      </c>
      <c r="Z372" s="53">
        <f>SUM(W372+Y372)</f>
        <v>0</v>
      </c>
      <c r="AA372" s="57">
        <v>5</v>
      </c>
      <c r="AB372" s="53">
        <v>49995000</v>
      </c>
      <c r="AC372" s="53">
        <f t="shared" si="123"/>
        <v>0</v>
      </c>
      <c r="AD372" s="56" t="s">
        <v>276</v>
      </c>
      <c r="AE372" s="70"/>
      <c r="AG372" s="5">
        <f t="shared" si="105"/>
        <v>-49995000</v>
      </c>
    </row>
    <row r="373" spans="1:33" s="1" customFormat="1" x14ac:dyDescent="0.25">
      <c r="A373" s="49"/>
      <c r="B373" s="22" t="s">
        <v>1686</v>
      </c>
      <c r="C373" s="50" t="s">
        <v>58</v>
      </c>
      <c r="D373" s="51" t="s">
        <v>347</v>
      </c>
      <c r="E373" s="52" t="s">
        <v>166</v>
      </c>
      <c r="F373" s="52"/>
      <c r="G373" s="52" t="s">
        <v>319</v>
      </c>
      <c r="H373" s="52" t="s">
        <v>62</v>
      </c>
      <c r="I373" s="52">
        <v>2012</v>
      </c>
      <c r="J373" s="52"/>
      <c r="K373" s="52" t="s">
        <v>63</v>
      </c>
      <c r="L373" s="52" t="s">
        <v>64</v>
      </c>
      <c r="M373" s="52">
        <v>1</v>
      </c>
      <c r="N373" s="53">
        <f t="shared" ref="N373:N386" si="125">SUM(O373/M373)</f>
        <v>940500</v>
      </c>
      <c r="O373" s="53">
        <v>940500</v>
      </c>
      <c r="P373" s="52"/>
      <c r="Q373" s="52"/>
      <c r="R373" s="52"/>
      <c r="S373" s="53">
        <f t="shared" si="122"/>
        <v>940500</v>
      </c>
      <c r="T373" s="52">
        <v>5</v>
      </c>
      <c r="U373" s="53"/>
      <c r="V373" s="52">
        <v>0.5</v>
      </c>
      <c r="W373" s="53">
        <f t="shared" ref="W373:W379" si="126">SUM(U373*V373)</f>
        <v>0</v>
      </c>
      <c r="X373" s="52"/>
      <c r="Y373" s="53">
        <f t="shared" si="124"/>
        <v>0</v>
      </c>
      <c r="Z373" s="53">
        <f t="shared" ref="Z373:Z379" si="127">SUM(W373+Y373)</f>
        <v>0</v>
      </c>
      <c r="AA373" s="52">
        <v>5</v>
      </c>
      <c r="AB373" s="53">
        <v>940500</v>
      </c>
      <c r="AC373" s="53">
        <f t="shared" si="123"/>
        <v>0</v>
      </c>
      <c r="AD373" s="56" t="s">
        <v>348</v>
      </c>
      <c r="AE373" s="70"/>
      <c r="AF373" s="1">
        <v>940500</v>
      </c>
      <c r="AG373" s="5">
        <f t="shared" si="105"/>
        <v>0</v>
      </c>
    </row>
    <row r="374" spans="1:33" s="1" customFormat="1" x14ac:dyDescent="0.25">
      <c r="A374" s="49"/>
      <c r="B374" s="22" t="s">
        <v>1686</v>
      </c>
      <c r="C374" s="50" t="s">
        <v>349</v>
      </c>
      <c r="D374" s="51" t="s">
        <v>347</v>
      </c>
      <c r="E374" s="52" t="s">
        <v>166</v>
      </c>
      <c r="F374" s="52"/>
      <c r="G374" s="52" t="s">
        <v>319</v>
      </c>
      <c r="H374" s="52" t="s">
        <v>62</v>
      </c>
      <c r="I374" s="52">
        <v>2012</v>
      </c>
      <c r="J374" s="52"/>
      <c r="K374" s="52" t="s">
        <v>63</v>
      </c>
      <c r="L374" s="52" t="s">
        <v>64</v>
      </c>
      <c r="M374" s="52">
        <v>14</v>
      </c>
      <c r="N374" s="53">
        <f t="shared" si="125"/>
        <v>940500</v>
      </c>
      <c r="O374" s="53">
        <v>13167000</v>
      </c>
      <c r="P374" s="52"/>
      <c r="Q374" s="52"/>
      <c r="R374" s="52"/>
      <c r="S374" s="53">
        <f t="shared" si="122"/>
        <v>13167000</v>
      </c>
      <c r="T374" s="52">
        <v>5</v>
      </c>
      <c r="U374" s="53"/>
      <c r="V374" s="52">
        <v>0.5</v>
      </c>
      <c r="W374" s="53">
        <f t="shared" si="126"/>
        <v>0</v>
      </c>
      <c r="X374" s="24"/>
      <c r="Y374" s="41">
        <f t="shared" si="124"/>
        <v>0</v>
      </c>
      <c r="Z374" s="41">
        <f t="shared" si="127"/>
        <v>0</v>
      </c>
      <c r="AA374" s="72">
        <v>5</v>
      </c>
      <c r="AB374" s="41">
        <v>13167000</v>
      </c>
      <c r="AC374" s="41">
        <f t="shared" si="123"/>
        <v>0</v>
      </c>
      <c r="AD374" s="70" t="s">
        <v>350</v>
      </c>
      <c r="AE374" s="70"/>
      <c r="AF374" s="1">
        <v>13167000</v>
      </c>
      <c r="AG374" s="5">
        <f t="shared" si="105"/>
        <v>0</v>
      </c>
    </row>
    <row r="375" spans="1:33" s="1" customFormat="1" x14ac:dyDescent="0.25">
      <c r="A375" s="49"/>
      <c r="B375" s="22" t="s">
        <v>1686</v>
      </c>
      <c r="C375" s="50" t="s">
        <v>150</v>
      </c>
      <c r="D375" s="51" t="s">
        <v>347</v>
      </c>
      <c r="E375" s="52" t="s">
        <v>166</v>
      </c>
      <c r="F375" s="52"/>
      <c r="G375" s="52" t="s">
        <v>319</v>
      </c>
      <c r="H375" s="52" t="s">
        <v>62</v>
      </c>
      <c r="I375" s="52">
        <v>2012</v>
      </c>
      <c r="J375" s="52"/>
      <c r="K375" s="52" t="s">
        <v>63</v>
      </c>
      <c r="L375" s="52" t="s">
        <v>64</v>
      </c>
      <c r="M375" s="52">
        <v>1</v>
      </c>
      <c r="N375" s="53">
        <f t="shared" si="125"/>
        <v>940500</v>
      </c>
      <c r="O375" s="53">
        <v>940500</v>
      </c>
      <c r="P375" s="52"/>
      <c r="Q375" s="52"/>
      <c r="R375" s="52"/>
      <c r="S375" s="53">
        <f t="shared" si="122"/>
        <v>940500</v>
      </c>
      <c r="T375" s="52">
        <v>5</v>
      </c>
      <c r="U375" s="53"/>
      <c r="V375" s="52">
        <v>0.5</v>
      </c>
      <c r="W375" s="53">
        <f t="shared" si="126"/>
        <v>0</v>
      </c>
      <c r="X375" s="24"/>
      <c r="Y375" s="41">
        <f t="shared" si="124"/>
        <v>0</v>
      </c>
      <c r="Z375" s="41">
        <f t="shared" si="127"/>
        <v>0</v>
      </c>
      <c r="AA375" s="72">
        <v>5</v>
      </c>
      <c r="AB375" s="41">
        <v>940500</v>
      </c>
      <c r="AC375" s="41">
        <f t="shared" si="123"/>
        <v>0</v>
      </c>
      <c r="AD375" s="70" t="s">
        <v>351</v>
      </c>
      <c r="AE375" s="70"/>
      <c r="AF375" s="1">
        <v>940500</v>
      </c>
      <c r="AG375" s="5">
        <f t="shared" si="105"/>
        <v>0</v>
      </c>
    </row>
    <row r="376" spans="1:33" s="1" customFormat="1" x14ac:dyDescent="0.25">
      <c r="A376" s="49"/>
      <c r="B376" s="22" t="s">
        <v>1686</v>
      </c>
      <c r="C376" s="50" t="s">
        <v>342</v>
      </c>
      <c r="D376" s="51" t="s">
        <v>347</v>
      </c>
      <c r="E376" s="52" t="s">
        <v>166</v>
      </c>
      <c r="F376" s="52"/>
      <c r="G376" s="52" t="s">
        <v>319</v>
      </c>
      <c r="H376" s="52" t="s">
        <v>62</v>
      </c>
      <c r="I376" s="52">
        <v>2012</v>
      </c>
      <c r="J376" s="52"/>
      <c r="K376" s="52" t="s">
        <v>63</v>
      </c>
      <c r="L376" s="52" t="s">
        <v>64</v>
      </c>
      <c r="M376" s="52">
        <v>2</v>
      </c>
      <c r="N376" s="53">
        <f t="shared" si="125"/>
        <v>940500</v>
      </c>
      <c r="O376" s="53">
        <v>1881000</v>
      </c>
      <c r="P376" s="52"/>
      <c r="Q376" s="52"/>
      <c r="R376" s="52"/>
      <c r="S376" s="53">
        <f t="shared" si="122"/>
        <v>1881000</v>
      </c>
      <c r="T376" s="52">
        <v>5</v>
      </c>
      <c r="U376" s="53"/>
      <c r="V376" s="52">
        <v>0.5</v>
      </c>
      <c r="W376" s="53">
        <f t="shared" si="126"/>
        <v>0</v>
      </c>
      <c r="X376" s="24"/>
      <c r="Y376" s="41">
        <f t="shared" si="124"/>
        <v>0</v>
      </c>
      <c r="Z376" s="41">
        <f t="shared" si="127"/>
        <v>0</v>
      </c>
      <c r="AA376" s="24">
        <v>5</v>
      </c>
      <c r="AB376" s="41">
        <v>1881000</v>
      </c>
      <c r="AC376" s="41">
        <f t="shared" si="123"/>
        <v>0</v>
      </c>
      <c r="AD376" s="70" t="s">
        <v>352</v>
      </c>
      <c r="AE376" s="70"/>
      <c r="AF376" s="1">
        <v>1881000</v>
      </c>
      <c r="AG376" s="5">
        <f t="shared" si="105"/>
        <v>0</v>
      </c>
    </row>
    <row r="377" spans="1:33" s="1" customFormat="1" x14ac:dyDescent="0.25">
      <c r="A377" s="49"/>
      <c r="B377" s="22" t="s">
        <v>1686</v>
      </c>
      <c r="C377" s="50" t="s">
        <v>353</v>
      </c>
      <c r="D377" s="51" t="s">
        <v>347</v>
      </c>
      <c r="E377" s="52" t="s">
        <v>166</v>
      </c>
      <c r="F377" s="52"/>
      <c r="G377" s="52" t="s">
        <v>319</v>
      </c>
      <c r="H377" s="52" t="s">
        <v>62</v>
      </c>
      <c r="I377" s="52">
        <v>2012</v>
      </c>
      <c r="J377" s="52"/>
      <c r="K377" s="52" t="s">
        <v>63</v>
      </c>
      <c r="L377" s="52" t="s">
        <v>64</v>
      </c>
      <c r="M377" s="52">
        <v>16</v>
      </c>
      <c r="N377" s="53">
        <f t="shared" si="125"/>
        <v>940500</v>
      </c>
      <c r="O377" s="53">
        <v>15048000</v>
      </c>
      <c r="P377" s="52"/>
      <c r="Q377" s="52"/>
      <c r="R377" s="52"/>
      <c r="S377" s="53">
        <f t="shared" si="122"/>
        <v>15048000</v>
      </c>
      <c r="T377" s="52">
        <v>5</v>
      </c>
      <c r="U377" s="53"/>
      <c r="V377" s="52">
        <v>0.5</v>
      </c>
      <c r="W377" s="53">
        <f t="shared" si="126"/>
        <v>0</v>
      </c>
      <c r="X377" s="24"/>
      <c r="Y377" s="41">
        <f t="shared" si="124"/>
        <v>0</v>
      </c>
      <c r="Z377" s="41">
        <f t="shared" si="127"/>
        <v>0</v>
      </c>
      <c r="AA377" s="24">
        <v>5</v>
      </c>
      <c r="AB377" s="41">
        <v>15048000</v>
      </c>
      <c r="AC377" s="41">
        <f t="shared" si="123"/>
        <v>0</v>
      </c>
      <c r="AD377" s="70" t="s">
        <v>354</v>
      </c>
      <c r="AE377" s="70"/>
      <c r="AF377" s="1">
        <v>15048000</v>
      </c>
      <c r="AG377" s="5">
        <f t="shared" si="105"/>
        <v>0</v>
      </c>
    </row>
    <row r="378" spans="1:33" s="1" customFormat="1" x14ac:dyDescent="0.25">
      <c r="A378" s="49"/>
      <c r="B378" s="22" t="s">
        <v>1686</v>
      </c>
      <c r="C378" s="50" t="s">
        <v>355</v>
      </c>
      <c r="D378" s="51" t="s">
        <v>356</v>
      </c>
      <c r="E378" s="52" t="s">
        <v>166</v>
      </c>
      <c r="F378" s="52"/>
      <c r="G378" s="52" t="s">
        <v>319</v>
      </c>
      <c r="H378" s="52" t="s">
        <v>62</v>
      </c>
      <c r="I378" s="52">
        <v>2012</v>
      </c>
      <c r="J378" s="52"/>
      <c r="K378" s="52" t="s">
        <v>63</v>
      </c>
      <c r="L378" s="52" t="s">
        <v>64</v>
      </c>
      <c r="M378" s="52">
        <v>40</v>
      </c>
      <c r="N378" s="53">
        <f t="shared" si="125"/>
        <v>1448775</v>
      </c>
      <c r="O378" s="53">
        <v>57951000</v>
      </c>
      <c r="P378" s="52"/>
      <c r="Q378" s="52"/>
      <c r="R378" s="52"/>
      <c r="S378" s="53">
        <f t="shared" si="122"/>
        <v>57951000</v>
      </c>
      <c r="T378" s="52">
        <v>5</v>
      </c>
      <c r="U378" s="53"/>
      <c r="V378" s="52">
        <v>0.5</v>
      </c>
      <c r="W378" s="53">
        <f t="shared" si="126"/>
        <v>0</v>
      </c>
      <c r="X378" s="24"/>
      <c r="Y378" s="41">
        <f t="shared" si="124"/>
        <v>0</v>
      </c>
      <c r="Z378" s="41">
        <f t="shared" si="127"/>
        <v>0</v>
      </c>
      <c r="AA378" s="24">
        <v>5</v>
      </c>
      <c r="AB378" s="41">
        <v>57951000</v>
      </c>
      <c r="AC378" s="41">
        <f t="shared" si="123"/>
        <v>0</v>
      </c>
      <c r="AD378" s="70" t="s">
        <v>357</v>
      </c>
      <c r="AE378" s="70"/>
      <c r="AF378" s="1">
        <v>57951000</v>
      </c>
      <c r="AG378" s="5">
        <f t="shared" si="105"/>
        <v>0</v>
      </c>
    </row>
    <row r="379" spans="1:33" s="1" customFormat="1" x14ac:dyDescent="0.25">
      <c r="A379" s="49"/>
      <c r="B379" s="22" t="s">
        <v>1686</v>
      </c>
      <c r="C379" s="50" t="s">
        <v>358</v>
      </c>
      <c r="D379" s="51" t="s">
        <v>356</v>
      </c>
      <c r="E379" s="52" t="s">
        <v>166</v>
      </c>
      <c r="F379" s="52"/>
      <c r="G379" s="52" t="s">
        <v>319</v>
      </c>
      <c r="H379" s="52" t="s">
        <v>62</v>
      </c>
      <c r="I379" s="52">
        <v>2012</v>
      </c>
      <c r="J379" s="52"/>
      <c r="K379" s="52" t="s">
        <v>63</v>
      </c>
      <c r="L379" s="52" t="s">
        <v>64</v>
      </c>
      <c r="M379" s="52">
        <v>42</v>
      </c>
      <c r="N379" s="53">
        <f t="shared" si="125"/>
        <v>1206775</v>
      </c>
      <c r="O379" s="53">
        <v>50684550</v>
      </c>
      <c r="P379" s="52"/>
      <c r="Q379" s="52"/>
      <c r="R379" s="52"/>
      <c r="S379" s="53">
        <f t="shared" si="122"/>
        <v>50684550</v>
      </c>
      <c r="T379" s="52">
        <v>5</v>
      </c>
      <c r="U379" s="53"/>
      <c r="V379" s="52">
        <v>0.5</v>
      </c>
      <c r="W379" s="53">
        <f t="shared" si="126"/>
        <v>0</v>
      </c>
      <c r="X379" s="24"/>
      <c r="Y379" s="41">
        <f t="shared" si="124"/>
        <v>0</v>
      </c>
      <c r="Z379" s="41">
        <f t="shared" si="127"/>
        <v>0</v>
      </c>
      <c r="AA379" s="24">
        <v>5</v>
      </c>
      <c r="AB379" s="41">
        <v>50684550</v>
      </c>
      <c r="AC379" s="41">
        <f t="shared" si="123"/>
        <v>0</v>
      </c>
      <c r="AD379" s="70" t="s">
        <v>288</v>
      </c>
      <c r="AE379" s="70"/>
      <c r="AF379" s="1">
        <v>50684550</v>
      </c>
      <c r="AG379" s="5">
        <f t="shared" si="105"/>
        <v>0</v>
      </c>
    </row>
    <row r="380" spans="1:33" s="1" customFormat="1" x14ac:dyDescent="0.25">
      <c r="A380" s="49"/>
      <c r="B380" s="22" t="s">
        <v>1686</v>
      </c>
      <c r="C380" s="50" t="s">
        <v>359</v>
      </c>
      <c r="D380" s="51" t="s">
        <v>347</v>
      </c>
      <c r="E380" s="52" t="s">
        <v>166</v>
      </c>
      <c r="F380" s="52"/>
      <c r="G380" s="52" t="s">
        <v>319</v>
      </c>
      <c r="H380" s="52" t="s">
        <v>62</v>
      </c>
      <c r="I380" s="52">
        <v>2015</v>
      </c>
      <c r="J380" s="52"/>
      <c r="K380" s="52" t="s">
        <v>63</v>
      </c>
      <c r="L380" s="52" t="s">
        <v>64</v>
      </c>
      <c r="M380" s="52">
        <v>40</v>
      </c>
      <c r="N380" s="53">
        <f t="shared" si="125"/>
        <v>1127500</v>
      </c>
      <c r="O380" s="53">
        <v>45100000</v>
      </c>
      <c r="P380" s="52"/>
      <c r="Q380" s="52"/>
      <c r="R380" s="52"/>
      <c r="S380" s="53">
        <f t="shared" si="122"/>
        <v>45100000</v>
      </c>
      <c r="T380" s="52">
        <v>5</v>
      </c>
      <c r="U380" s="53">
        <f t="shared" ref="U380:U386" si="128">SUM(S380/T380)</f>
        <v>9020000</v>
      </c>
      <c r="V380" s="52">
        <v>0.5</v>
      </c>
      <c r="W380" s="53"/>
      <c r="X380" s="24"/>
      <c r="Y380" s="41">
        <f t="shared" si="124"/>
        <v>0</v>
      </c>
      <c r="Z380" s="41"/>
      <c r="AA380" s="24">
        <v>5</v>
      </c>
      <c r="AB380" s="41">
        <f t="shared" ref="AB380:AB386" si="129">SUM(U380*AA380)</f>
        <v>45100000</v>
      </c>
      <c r="AC380" s="41">
        <f t="shared" si="123"/>
        <v>0</v>
      </c>
      <c r="AD380" s="70" t="s">
        <v>199</v>
      </c>
      <c r="AE380" s="70"/>
      <c r="AF380" s="1">
        <v>45100000</v>
      </c>
      <c r="AG380" s="5">
        <f t="shared" si="105"/>
        <v>0</v>
      </c>
    </row>
    <row r="381" spans="1:33" s="1" customFormat="1" x14ac:dyDescent="0.25">
      <c r="A381" s="49"/>
      <c r="B381" s="22" t="s">
        <v>1686</v>
      </c>
      <c r="C381" s="50" t="s">
        <v>360</v>
      </c>
      <c r="D381" s="51" t="s">
        <v>347</v>
      </c>
      <c r="E381" s="52" t="s">
        <v>166</v>
      </c>
      <c r="F381" s="52"/>
      <c r="G381" s="52" t="s">
        <v>319</v>
      </c>
      <c r="H381" s="52" t="s">
        <v>62</v>
      </c>
      <c r="I381" s="52">
        <v>2015</v>
      </c>
      <c r="J381" s="52"/>
      <c r="K381" s="52" t="s">
        <v>63</v>
      </c>
      <c r="L381" s="52" t="s">
        <v>64</v>
      </c>
      <c r="M381" s="52">
        <v>40</v>
      </c>
      <c r="N381" s="53">
        <f t="shared" si="125"/>
        <v>742500</v>
      </c>
      <c r="O381" s="53">
        <v>29700000</v>
      </c>
      <c r="P381" s="52"/>
      <c r="Q381" s="52"/>
      <c r="R381" s="52"/>
      <c r="S381" s="53">
        <f t="shared" si="122"/>
        <v>29700000</v>
      </c>
      <c r="T381" s="52">
        <v>5</v>
      </c>
      <c r="U381" s="53">
        <f t="shared" si="128"/>
        <v>5940000</v>
      </c>
      <c r="V381" s="52">
        <v>0.5</v>
      </c>
      <c r="W381" s="53"/>
      <c r="X381" s="24"/>
      <c r="Y381" s="41">
        <f t="shared" si="124"/>
        <v>0</v>
      </c>
      <c r="Z381" s="41"/>
      <c r="AA381" s="24">
        <v>5</v>
      </c>
      <c r="AB381" s="41">
        <f t="shared" si="129"/>
        <v>29700000</v>
      </c>
      <c r="AC381" s="41">
        <f t="shared" si="123"/>
        <v>0</v>
      </c>
      <c r="AD381" s="70" t="s">
        <v>361</v>
      </c>
      <c r="AE381" s="70"/>
      <c r="AF381" s="1">
        <v>29700000</v>
      </c>
      <c r="AG381" s="5">
        <f t="shared" ref="AG381:AG444" si="130">AF381+Z381-AB381</f>
        <v>0</v>
      </c>
    </row>
    <row r="382" spans="1:33" s="1" customFormat="1" x14ac:dyDescent="0.25">
      <c r="A382" s="49"/>
      <c r="B382" s="22" t="s">
        <v>1686</v>
      </c>
      <c r="C382" s="50" t="s">
        <v>362</v>
      </c>
      <c r="D382" s="51" t="s">
        <v>347</v>
      </c>
      <c r="E382" s="52" t="s">
        <v>166</v>
      </c>
      <c r="F382" s="52"/>
      <c r="G382" s="52" t="s">
        <v>319</v>
      </c>
      <c r="H382" s="52" t="s">
        <v>62</v>
      </c>
      <c r="I382" s="52">
        <v>2015</v>
      </c>
      <c r="J382" s="52"/>
      <c r="K382" s="52" t="s">
        <v>63</v>
      </c>
      <c r="L382" s="52" t="s">
        <v>64</v>
      </c>
      <c r="M382" s="52">
        <v>20</v>
      </c>
      <c r="N382" s="53">
        <f t="shared" si="125"/>
        <v>742500</v>
      </c>
      <c r="O382" s="53">
        <v>14850000</v>
      </c>
      <c r="P382" s="52"/>
      <c r="Q382" s="52"/>
      <c r="R382" s="52"/>
      <c r="S382" s="53">
        <f t="shared" si="122"/>
        <v>14850000</v>
      </c>
      <c r="T382" s="52">
        <v>5</v>
      </c>
      <c r="U382" s="53">
        <f t="shared" si="128"/>
        <v>2970000</v>
      </c>
      <c r="V382" s="52">
        <v>0.5</v>
      </c>
      <c r="W382" s="53"/>
      <c r="X382" s="24"/>
      <c r="Y382" s="41">
        <f t="shared" si="124"/>
        <v>0</v>
      </c>
      <c r="Z382" s="41"/>
      <c r="AA382" s="24">
        <v>5</v>
      </c>
      <c r="AB382" s="41">
        <f t="shared" si="129"/>
        <v>14850000</v>
      </c>
      <c r="AC382" s="41">
        <f t="shared" si="123"/>
        <v>0</v>
      </c>
      <c r="AD382" s="70" t="s">
        <v>363</v>
      </c>
      <c r="AE382" s="70"/>
      <c r="AF382" s="1">
        <v>14850000</v>
      </c>
      <c r="AG382" s="5">
        <f t="shared" si="130"/>
        <v>0</v>
      </c>
    </row>
    <row r="383" spans="1:33" s="1" customFormat="1" x14ac:dyDescent="0.25">
      <c r="A383" s="49"/>
      <c r="B383" s="22" t="s">
        <v>1686</v>
      </c>
      <c r="C383" s="50" t="s">
        <v>364</v>
      </c>
      <c r="D383" s="51" t="s">
        <v>347</v>
      </c>
      <c r="E383" s="52" t="s">
        <v>166</v>
      </c>
      <c r="F383" s="52"/>
      <c r="G383" s="52" t="s">
        <v>319</v>
      </c>
      <c r="H383" s="52" t="s">
        <v>62</v>
      </c>
      <c r="I383" s="52">
        <v>2017</v>
      </c>
      <c r="J383" s="52"/>
      <c r="K383" s="52" t="s">
        <v>63</v>
      </c>
      <c r="L383" s="52" t="s">
        <v>64</v>
      </c>
      <c r="M383" s="52">
        <v>20</v>
      </c>
      <c r="N383" s="53">
        <f t="shared" si="125"/>
        <v>1248500</v>
      </c>
      <c r="O383" s="53">
        <v>24970000</v>
      </c>
      <c r="P383" s="52"/>
      <c r="Q383" s="52"/>
      <c r="R383" s="52"/>
      <c r="S383" s="53">
        <f t="shared" si="122"/>
        <v>24970000</v>
      </c>
      <c r="T383" s="52">
        <v>5</v>
      </c>
      <c r="U383" s="53">
        <f t="shared" si="128"/>
        <v>4994000</v>
      </c>
      <c r="V383" s="52"/>
      <c r="W383" s="53"/>
      <c r="X383" s="24"/>
      <c r="Y383" s="41">
        <f t="shared" si="124"/>
        <v>0</v>
      </c>
      <c r="Z383" s="41"/>
      <c r="AA383" s="24">
        <v>5</v>
      </c>
      <c r="AB383" s="41">
        <v>24970000</v>
      </c>
      <c r="AC383" s="41">
        <f t="shared" si="123"/>
        <v>0</v>
      </c>
      <c r="AD383" s="70" t="s">
        <v>365</v>
      </c>
      <c r="AE383" s="70"/>
      <c r="AF383" s="1">
        <v>24970000</v>
      </c>
      <c r="AG383" s="5">
        <f t="shared" si="130"/>
        <v>0</v>
      </c>
    </row>
    <row r="384" spans="1:33" s="1" customFormat="1" x14ac:dyDescent="0.25">
      <c r="A384" s="49"/>
      <c r="B384" s="22" t="s">
        <v>1686</v>
      </c>
      <c r="C384" s="50" t="s">
        <v>366</v>
      </c>
      <c r="D384" s="51" t="s">
        <v>347</v>
      </c>
      <c r="E384" s="52" t="s">
        <v>166</v>
      </c>
      <c r="F384" s="52"/>
      <c r="G384" s="52" t="s">
        <v>319</v>
      </c>
      <c r="H384" s="52" t="s">
        <v>62</v>
      </c>
      <c r="I384" s="52">
        <v>2018</v>
      </c>
      <c r="J384" s="52"/>
      <c r="K384" s="52" t="s">
        <v>63</v>
      </c>
      <c r="L384" s="52" t="s">
        <v>64</v>
      </c>
      <c r="M384" s="52">
        <v>8</v>
      </c>
      <c r="N384" s="53">
        <f t="shared" si="125"/>
        <v>1485000</v>
      </c>
      <c r="O384" s="53">
        <v>11880000</v>
      </c>
      <c r="P384" s="52"/>
      <c r="Q384" s="52"/>
      <c r="R384" s="52"/>
      <c r="S384" s="53">
        <f t="shared" si="122"/>
        <v>11880000</v>
      </c>
      <c r="T384" s="52">
        <v>5</v>
      </c>
      <c r="U384" s="53">
        <f t="shared" si="128"/>
        <v>2376000</v>
      </c>
      <c r="V384" s="52">
        <v>0.5</v>
      </c>
      <c r="W384" s="53">
        <f>SUM(U384*V384)-198000</f>
        <v>990000</v>
      </c>
      <c r="X384" s="24"/>
      <c r="Y384" s="41">
        <f t="shared" si="124"/>
        <v>0</v>
      </c>
      <c r="Z384" s="41">
        <f>SUM(W384+Y384)</f>
        <v>990000</v>
      </c>
      <c r="AA384" s="24">
        <f>2023-I384+V384+X384-5/12-1/12</f>
        <v>5</v>
      </c>
      <c r="AB384" s="41">
        <f t="shared" si="129"/>
        <v>11880000</v>
      </c>
      <c r="AC384" s="41">
        <f t="shared" si="123"/>
        <v>0</v>
      </c>
      <c r="AD384" s="70" t="s">
        <v>367</v>
      </c>
      <c r="AE384" s="70"/>
      <c r="AF384" s="1">
        <v>10890000</v>
      </c>
      <c r="AG384" s="5">
        <f t="shared" si="130"/>
        <v>0</v>
      </c>
    </row>
    <row r="385" spans="1:34" s="1" customFormat="1" x14ac:dyDescent="0.25">
      <c r="A385" s="49"/>
      <c r="B385" s="22" t="s">
        <v>1686</v>
      </c>
      <c r="C385" s="50" t="s">
        <v>368</v>
      </c>
      <c r="D385" s="51" t="s">
        <v>369</v>
      </c>
      <c r="E385" s="52" t="s">
        <v>166</v>
      </c>
      <c r="F385" s="52"/>
      <c r="G385" s="52" t="s">
        <v>319</v>
      </c>
      <c r="H385" s="52" t="s">
        <v>62</v>
      </c>
      <c r="I385" s="52">
        <v>2018</v>
      </c>
      <c r="J385" s="52"/>
      <c r="K385" s="52" t="s">
        <v>63</v>
      </c>
      <c r="L385" s="52" t="s">
        <v>64</v>
      </c>
      <c r="M385" s="52">
        <v>8</v>
      </c>
      <c r="N385" s="53">
        <f t="shared" si="125"/>
        <v>1485000</v>
      </c>
      <c r="O385" s="53">
        <v>11880000</v>
      </c>
      <c r="P385" s="52"/>
      <c r="Q385" s="52"/>
      <c r="R385" s="52"/>
      <c r="S385" s="53">
        <f t="shared" si="122"/>
        <v>11880000</v>
      </c>
      <c r="T385" s="52">
        <v>5</v>
      </c>
      <c r="U385" s="53">
        <f t="shared" si="128"/>
        <v>2376000</v>
      </c>
      <c r="V385" s="52">
        <v>0.5</v>
      </c>
      <c r="W385" s="53">
        <f>SUM(U385*V385)-198000</f>
        <v>990000</v>
      </c>
      <c r="X385" s="24"/>
      <c r="Y385" s="41">
        <f t="shared" si="124"/>
        <v>0</v>
      </c>
      <c r="Z385" s="41">
        <f>SUM(W385+Y385)</f>
        <v>990000</v>
      </c>
      <c r="AA385" s="24">
        <f>2023-I385+V385+X385-5/12-1/12</f>
        <v>5</v>
      </c>
      <c r="AB385" s="41">
        <f t="shared" si="129"/>
        <v>11880000</v>
      </c>
      <c r="AC385" s="41">
        <f t="shared" si="123"/>
        <v>0</v>
      </c>
      <c r="AD385" s="70" t="s">
        <v>370</v>
      </c>
      <c r="AE385" s="70"/>
      <c r="AF385" s="1">
        <v>10890000</v>
      </c>
      <c r="AG385" s="5">
        <f t="shared" si="130"/>
        <v>0</v>
      </c>
    </row>
    <row r="386" spans="1:34" s="1" customFormat="1" x14ac:dyDescent="0.25">
      <c r="A386" s="49"/>
      <c r="B386" s="22" t="s">
        <v>1686</v>
      </c>
      <c r="C386" s="50" t="s">
        <v>371</v>
      </c>
      <c r="D386" s="51" t="s">
        <v>372</v>
      </c>
      <c r="E386" s="52" t="s">
        <v>166</v>
      </c>
      <c r="F386" s="52"/>
      <c r="G386" s="52" t="s">
        <v>319</v>
      </c>
      <c r="H386" s="52" t="s">
        <v>62</v>
      </c>
      <c r="I386" s="52">
        <v>2018</v>
      </c>
      <c r="J386" s="52"/>
      <c r="K386" s="52" t="s">
        <v>63</v>
      </c>
      <c r="L386" s="52" t="s">
        <v>64</v>
      </c>
      <c r="M386" s="52">
        <v>8</v>
      </c>
      <c r="N386" s="53">
        <f t="shared" si="125"/>
        <v>3960000</v>
      </c>
      <c r="O386" s="53">
        <v>31680000</v>
      </c>
      <c r="P386" s="52"/>
      <c r="Q386" s="52"/>
      <c r="R386" s="52"/>
      <c r="S386" s="53">
        <f t="shared" si="122"/>
        <v>31680000</v>
      </c>
      <c r="T386" s="52">
        <v>5</v>
      </c>
      <c r="U386" s="53">
        <f t="shared" si="128"/>
        <v>6336000</v>
      </c>
      <c r="V386" s="52">
        <v>0.5</v>
      </c>
      <c r="W386" s="53">
        <f>SUM(U386*V386)-528000</f>
        <v>2640000</v>
      </c>
      <c r="X386" s="24"/>
      <c r="Y386" s="41">
        <f t="shared" si="124"/>
        <v>0</v>
      </c>
      <c r="Z386" s="41">
        <f>SUM(W386+Y386)</f>
        <v>2640000</v>
      </c>
      <c r="AA386" s="24">
        <f>2023-I386+V386+X386-5/12-1/12</f>
        <v>5</v>
      </c>
      <c r="AB386" s="41">
        <f t="shared" si="129"/>
        <v>31680000</v>
      </c>
      <c r="AC386" s="41">
        <f t="shared" si="123"/>
        <v>0</v>
      </c>
      <c r="AD386" s="70" t="s">
        <v>373</v>
      </c>
      <c r="AE386" s="70"/>
      <c r="AF386" s="1">
        <v>29039999.999999996</v>
      </c>
      <c r="AG386" s="5">
        <f t="shared" si="130"/>
        <v>0</v>
      </c>
    </row>
    <row r="387" spans="1:34" s="1" customFormat="1" x14ac:dyDescent="0.25">
      <c r="A387" s="49"/>
      <c r="B387" s="22" t="s">
        <v>1686</v>
      </c>
      <c r="C387" s="22" t="s">
        <v>833</v>
      </c>
      <c r="D387" s="51" t="s">
        <v>834</v>
      </c>
      <c r="E387" s="24" t="s">
        <v>166</v>
      </c>
      <c r="F387" s="24"/>
      <c r="G387" s="24" t="s">
        <v>319</v>
      </c>
      <c r="H387" s="24" t="s">
        <v>62</v>
      </c>
      <c r="I387" s="24">
        <v>2004</v>
      </c>
      <c r="J387" s="24"/>
      <c r="K387" s="24" t="s">
        <v>63</v>
      </c>
      <c r="L387" s="24" t="s">
        <v>64</v>
      </c>
      <c r="M387" s="24">
        <v>6</v>
      </c>
      <c r="N387" s="41">
        <f t="shared" ref="N387:N390" si="131">SUM(O387/M387)</f>
        <v>400000</v>
      </c>
      <c r="O387" s="41">
        <v>2400000</v>
      </c>
      <c r="P387" s="24"/>
      <c r="Q387" s="24"/>
      <c r="R387" s="24"/>
      <c r="S387" s="41">
        <f t="shared" si="122"/>
        <v>2400000</v>
      </c>
      <c r="T387" s="24">
        <v>5</v>
      </c>
      <c r="U387" s="41"/>
      <c r="V387" s="24">
        <v>0.5</v>
      </c>
      <c r="W387" s="41">
        <f t="shared" ref="W387:W388" si="132">SUM(U387*V387)</f>
        <v>0</v>
      </c>
      <c r="X387" s="24"/>
      <c r="Y387" s="41">
        <f t="shared" si="124"/>
        <v>0</v>
      </c>
      <c r="Z387" s="41">
        <f t="shared" ref="Z387:Z391" si="133">SUM(W387+Y387)</f>
        <v>0</v>
      </c>
      <c r="AA387" s="24">
        <v>5</v>
      </c>
      <c r="AB387" s="41">
        <v>2400000</v>
      </c>
      <c r="AC387" s="41">
        <f t="shared" si="123"/>
        <v>0</v>
      </c>
      <c r="AD387" s="70" t="s">
        <v>287</v>
      </c>
      <c r="AE387" s="70"/>
      <c r="AF387" s="1">
        <v>2400000</v>
      </c>
      <c r="AG387" s="5">
        <f t="shared" si="130"/>
        <v>0</v>
      </c>
    </row>
    <row r="388" spans="1:34" s="1" customFormat="1" x14ac:dyDescent="0.25">
      <c r="A388" s="49"/>
      <c r="B388" s="22" t="s">
        <v>1686</v>
      </c>
      <c r="C388" s="22" t="s">
        <v>835</v>
      </c>
      <c r="D388" s="51" t="s">
        <v>834</v>
      </c>
      <c r="E388" s="24" t="s">
        <v>166</v>
      </c>
      <c r="F388" s="24"/>
      <c r="G388" s="24" t="s">
        <v>319</v>
      </c>
      <c r="H388" s="24" t="s">
        <v>62</v>
      </c>
      <c r="I388" s="24">
        <v>2004</v>
      </c>
      <c r="J388" s="24"/>
      <c r="K388" s="24" t="s">
        <v>63</v>
      </c>
      <c r="L388" s="24" t="s">
        <v>64</v>
      </c>
      <c r="M388" s="24">
        <v>1</v>
      </c>
      <c r="N388" s="41">
        <f t="shared" si="131"/>
        <v>365000</v>
      </c>
      <c r="O388" s="41">
        <v>365000</v>
      </c>
      <c r="P388" s="24"/>
      <c r="Q388" s="24"/>
      <c r="R388" s="24"/>
      <c r="S388" s="41">
        <f t="shared" si="122"/>
        <v>365000</v>
      </c>
      <c r="T388" s="24">
        <v>5</v>
      </c>
      <c r="U388" s="41"/>
      <c r="V388" s="24">
        <v>0.5</v>
      </c>
      <c r="W388" s="41">
        <f t="shared" si="132"/>
        <v>0</v>
      </c>
      <c r="X388" s="24"/>
      <c r="Y388" s="41">
        <f t="shared" si="124"/>
        <v>0</v>
      </c>
      <c r="Z388" s="41">
        <f t="shared" si="133"/>
        <v>0</v>
      </c>
      <c r="AA388" s="24">
        <v>5</v>
      </c>
      <c r="AB388" s="41">
        <v>365000</v>
      </c>
      <c r="AC388" s="41">
        <f t="shared" si="123"/>
        <v>0</v>
      </c>
      <c r="AD388" s="70" t="s">
        <v>287</v>
      </c>
      <c r="AE388" s="70"/>
      <c r="AF388" s="1">
        <v>365000</v>
      </c>
      <c r="AG388" s="5">
        <f t="shared" si="130"/>
        <v>0</v>
      </c>
    </row>
    <row r="389" spans="1:34" s="1" customFormat="1" x14ac:dyDescent="0.25">
      <c r="A389" s="49"/>
      <c r="B389" s="22" t="s">
        <v>1686</v>
      </c>
      <c r="C389" s="22" t="s">
        <v>58</v>
      </c>
      <c r="D389" s="51" t="s">
        <v>839</v>
      </c>
      <c r="E389" s="24" t="s">
        <v>166</v>
      </c>
      <c r="F389" s="24"/>
      <c r="G389" s="24" t="s">
        <v>319</v>
      </c>
      <c r="H389" s="24" t="s">
        <v>62</v>
      </c>
      <c r="I389" s="24">
        <v>2018</v>
      </c>
      <c r="J389" s="24"/>
      <c r="K389" s="24" t="s">
        <v>63</v>
      </c>
      <c r="L389" s="24" t="s">
        <v>64</v>
      </c>
      <c r="M389" s="24">
        <v>1</v>
      </c>
      <c r="N389" s="41">
        <f t="shared" si="131"/>
        <v>2475000</v>
      </c>
      <c r="O389" s="41">
        <v>2475000</v>
      </c>
      <c r="P389" s="24"/>
      <c r="Q389" s="24"/>
      <c r="R389" s="24"/>
      <c r="S389" s="41">
        <f t="shared" si="122"/>
        <v>2475000</v>
      </c>
      <c r="T389" s="24">
        <v>5</v>
      </c>
      <c r="U389" s="41">
        <f>SUM(S389/T389)</f>
        <v>495000</v>
      </c>
      <c r="V389" s="79">
        <v>0.5</v>
      </c>
      <c r="W389" s="41">
        <f>SUM(U389*V389)-41250</f>
        <v>206250</v>
      </c>
      <c r="X389" s="24"/>
      <c r="Y389" s="41">
        <f t="shared" si="124"/>
        <v>0</v>
      </c>
      <c r="Z389" s="41">
        <f t="shared" si="133"/>
        <v>206250</v>
      </c>
      <c r="AA389" s="24">
        <f>2023-I389+V389+X389-5/12-1/12</f>
        <v>5</v>
      </c>
      <c r="AB389" s="41">
        <f>SUM(U389*AA389)</f>
        <v>2475000</v>
      </c>
      <c r="AC389" s="41">
        <f t="shared" si="123"/>
        <v>0</v>
      </c>
      <c r="AD389" s="70" t="s">
        <v>365</v>
      </c>
      <c r="AE389" s="70"/>
      <c r="AF389" s="1">
        <v>2268750</v>
      </c>
      <c r="AG389" s="5">
        <f t="shared" si="130"/>
        <v>0</v>
      </c>
    </row>
    <row r="390" spans="1:34" s="1" customFormat="1" x14ac:dyDescent="0.25">
      <c r="A390" s="49"/>
      <c r="B390" s="22" t="s">
        <v>1686</v>
      </c>
      <c r="C390" s="22" t="s">
        <v>75</v>
      </c>
      <c r="D390" s="51" t="s">
        <v>839</v>
      </c>
      <c r="E390" s="24" t="s">
        <v>166</v>
      </c>
      <c r="F390" s="24"/>
      <c r="G390" s="24" t="s">
        <v>319</v>
      </c>
      <c r="H390" s="24" t="s">
        <v>62</v>
      </c>
      <c r="I390" s="24">
        <v>2018</v>
      </c>
      <c r="J390" s="24"/>
      <c r="K390" s="24" t="s">
        <v>63</v>
      </c>
      <c r="L390" s="24" t="s">
        <v>64</v>
      </c>
      <c r="M390" s="24">
        <v>1</v>
      </c>
      <c r="N390" s="41">
        <f t="shared" si="131"/>
        <v>2475000</v>
      </c>
      <c r="O390" s="41">
        <v>2475000</v>
      </c>
      <c r="P390" s="24"/>
      <c r="Q390" s="24"/>
      <c r="R390" s="24"/>
      <c r="S390" s="41">
        <f t="shared" si="122"/>
        <v>2475000</v>
      </c>
      <c r="T390" s="24">
        <v>5</v>
      </c>
      <c r="U390" s="41">
        <f>SUM(S390/T390)</f>
        <v>495000</v>
      </c>
      <c r="V390" s="79">
        <v>0.5</v>
      </c>
      <c r="W390" s="41">
        <f>SUM(U390*V390)-41250</f>
        <v>206250</v>
      </c>
      <c r="X390" s="24"/>
      <c r="Y390" s="41">
        <f t="shared" si="124"/>
        <v>0</v>
      </c>
      <c r="Z390" s="41">
        <f t="shared" si="133"/>
        <v>206250</v>
      </c>
      <c r="AA390" s="24">
        <f>2023-I390+V390+X390-5/12-1/12</f>
        <v>5</v>
      </c>
      <c r="AB390" s="41">
        <f>SUM(U390*AA390)</f>
        <v>2475000</v>
      </c>
      <c r="AC390" s="41">
        <f t="shared" si="123"/>
        <v>0</v>
      </c>
      <c r="AD390" s="70" t="s">
        <v>562</v>
      </c>
      <c r="AE390" s="70"/>
      <c r="AF390" s="1">
        <v>2268750</v>
      </c>
      <c r="AG390" s="5">
        <f t="shared" si="130"/>
        <v>0</v>
      </c>
    </row>
    <row r="391" spans="1:34" s="1" customFormat="1" x14ac:dyDescent="0.25">
      <c r="A391" s="49"/>
      <c r="B391" s="22" t="s">
        <v>1686</v>
      </c>
      <c r="C391" s="73" t="s">
        <v>58</v>
      </c>
      <c r="D391" s="51" t="s">
        <v>890</v>
      </c>
      <c r="E391" s="52" t="s">
        <v>166</v>
      </c>
      <c r="F391" s="52"/>
      <c r="G391" s="52" t="s">
        <v>319</v>
      </c>
      <c r="H391" s="52" t="s">
        <v>62</v>
      </c>
      <c r="I391" s="52">
        <v>2019</v>
      </c>
      <c r="J391" s="52"/>
      <c r="K391" s="52" t="s">
        <v>63</v>
      </c>
      <c r="L391" s="52" t="s">
        <v>64</v>
      </c>
      <c r="M391" s="52">
        <v>65</v>
      </c>
      <c r="N391" s="53">
        <v>146646500</v>
      </c>
      <c r="O391" s="53">
        <v>146646500</v>
      </c>
      <c r="P391" s="52"/>
      <c r="Q391" s="52"/>
      <c r="R391" s="52"/>
      <c r="S391" s="53">
        <f t="shared" si="122"/>
        <v>146646500</v>
      </c>
      <c r="T391" s="52">
        <v>5</v>
      </c>
      <c r="U391" s="53">
        <f t="shared" ref="U391" si="134">SUM(S391/T391)</f>
        <v>29329300</v>
      </c>
      <c r="V391" s="52">
        <v>0.5</v>
      </c>
      <c r="W391" s="53">
        <f t="shared" ref="W391" si="135">SUM(U391*V391)</f>
        <v>14664650</v>
      </c>
      <c r="X391" s="24">
        <v>0.5</v>
      </c>
      <c r="Y391" s="41">
        <f t="shared" si="124"/>
        <v>14664650</v>
      </c>
      <c r="Z391" s="41">
        <f t="shared" si="133"/>
        <v>29329300</v>
      </c>
      <c r="AA391" s="24">
        <f>2023-I391+V391+X391-9/12</f>
        <v>4.25</v>
      </c>
      <c r="AB391" s="41">
        <f t="shared" ref="AB391" si="136">SUM(U391*AA391)</f>
        <v>124649525</v>
      </c>
      <c r="AC391" s="41">
        <f t="shared" si="123"/>
        <v>21996975</v>
      </c>
      <c r="AD391" s="70"/>
      <c r="AE391" s="70"/>
      <c r="AF391" s="1">
        <v>95320225</v>
      </c>
      <c r="AG391" s="5">
        <f t="shared" si="130"/>
        <v>0</v>
      </c>
    </row>
    <row r="392" spans="1:34" s="1" customFormat="1" x14ac:dyDescent="0.25">
      <c r="A392" s="49"/>
      <c r="B392" s="22"/>
      <c r="C392" s="73"/>
      <c r="D392" s="51"/>
      <c r="E392" s="52"/>
      <c r="F392" s="52"/>
      <c r="G392" s="52"/>
      <c r="H392" s="52"/>
      <c r="I392" s="52"/>
      <c r="J392" s="52"/>
      <c r="K392" s="52"/>
      <c r="L392" s="52"/>
      <c r="M392" s="52"/>
      <c r="N392" s="53"/>
      <c r="O392" s="53"/>
      <c r="P392" s="52"/>
      <c r="Q392" s="52"/>
      <c r="R392" s="52"/>
      <c r="S392" s="53"/>
      <c r="T392" s="52"/>
      <c r="U392" s="53"/>
      <c r="V392" s="52"/>
      <c r="W392" s="53"/>
      <c r="X392" s="24"/>
      <c r="Y392" s="41"/>
      <c r="Z392" s="41"/>
      <c r="AA392" s="24"/>
      <c r="AB392" s="41"/>
      <c r="AC392" s="41"/>
      <c r="AD392" s="70"/>
      <c r="AE392" s="70"/>
      <c r="AF392" s="1">
        <v>1234439008.681282</v>
      </c>
      <c r="AG392" s="5">
        <f>SUM(AF392+Y393-AB393)</f>
        <v>-2.384185791015625E-7</v>
      </c>
    </row>
    <row r="393" spans="1:34" s="1" customFormat="1" x14ac:dyDescent="0.25">
      <c r="A393" s="25"/>
      <c r="B393" s="26" t="s">
        <v>1687</v>
      </c>
      <c r="C393" s="26"/>
      <c r="D393" s="27" t="s">
        <v>1688</v>
      </c>
      <c r="E393" s="28"/>
      <c r="F393" s="28"/>
      <c r="G393" s="28"/>
      <c r="H393" s="28"/>
      <c r="I393" s="28"/>
      <c r="J393" s="28"/>
      <c r="K393" s="28"/>
      <c r="L393" s="28"/>
      <c r="M393" s="67">
        <f>SUM(M394:M508)</f>
        <v>318</v>
      </c>
      <c r="N393" s="67"/>
      <c r="O393" s="40">
        <f>SUM(O394:O508)</f>
        <v>1446717870.0146158</v>
      </c>
      <c r="P393" s="67"/>
      <c r="Q393" s="67"/>
      <c r="R393" s="67"/>
      <c r="S393" s="40">
        <f>SUM(S394:S508)</f>
        <v>1446717870.0146158</v>
      </c>
      <c r="T393" s="67"/>
      <c r="U393" s="40">
        <f>SUM(U394:U508)</f>
        <v>126513773.99999999</v>
      </c>
      <c r="V393" s="67"/>
      <c r="W393" s="40">
        <f>SUM(W394:W508)</f>
        <v>47337613.663333312</v>
      </c>
      <c r="X393" s="28"/>
      <c r="Y393" s="40">
        <f>SUM(Y394:Y508)</f>
        <v>40962246.999999993</v>
      </c>
      <c r="Z393" s="40">
        <f>SUM(Z394:Z508)</f>
        <v>88299860.663333341</v>
      </c>
      <c r="AA393" s="28">
        <v>5</v>
      </c>
      <c r="AB393" s="40">
        <f>SUM(AB394:AB508)</f>
        <v>1275401255.6812823</v>
      </c>
      <c r="AC393" s="40">
        <f>SUM(AC394:AC508)</f>
        <v>171316614.3333334</v>
      </c>
      <c r="AD393" s="167"/>
      <c r="AE393" s="167"/>
      <c r="AG393" s="5">
        <f t="shared" si="130"/>
        <v>-1187101395.0179489</v>
      </c>
    </row>
    <row r="394" spans="1:34" s="1" customFormat="1" x14ac:dyDescent="0.25">
      <c r="A394" s="49"/>
      <c r="B394" s="22" t="s">
        <v>1689</v>
      </c>
      <c r="C394" s="22" t="s">
        <v>58</v>
      </c>
      <c r="D394" s="51" t="s">
        <v>724</v>
      </c>
      <c r="E394" s="24" t="s">
        <v>725</v>
      </c>
      <c r="F394" s="24"/>
      <c r="G394" s="24"/>
      <c r="H394" s="24" t="s">
        <v>62</v>
      </c>
      <c r="I394" s="24">
        <v>2012</v>
      </c>
      <c r="J394" s="24"/>
      <c r="K394" s="24"/>
      <c r="L394" s="24" t="s">
        <v>64</v>
      </c>
      <c r="M394" s="24">
        <v>1</v>
      </c>
      <c r="N394" s="41">
        <f t="shared" ref="N394" si="137">SUM(O394/M394)</f>
        <v>2500000</v>
      </c>
      <c r="O394" s="41">
        <v>2500000</v>
      </c>
      <c r="P394" s="24"/>
      <c r="Q394" s="24"/>
      <c r="R394" s="24"/>
      <c r="S394" s="41">
        <f t="shared" ref="S394:S425" si="138">SUM(O394-R394)</f>
        <v>2500000</v>
      </c>
      <c r="T394" s="24">
        <v>5</v>
      </c>
      <c r="U394" s="41"/>
      <c r="V394" s="24">
        <v>0.5</v>
      </c>
      <c r="W394" s="41">
        <f t="shared" ref="W394:W396" si="139">SUM(U394*V394)</f>
        <v>0</v>
      </c>
      <c r="X394" s="166"/>
      <c r="Y394" s="53">
        <f t="shared" ref="Y394:Y396" si="140">SUM(U394*X394)</f>
        <v>0</v>
      </c>
      <c r="Z394" s="53">
        <f t="shared" ref="Z394:Z457" si="141">SUM(W394+Y394)</f>
        <v>0</v>
      </c>
      <c r="AA394" s="166">
        <v>5</v>
      </c>
      <c r="AB394" s="53">
        <v>2500000</v>
      </c>
      <c r="AC394" s="53">
        <f t="shared" ref="AC394:AC425" si="142">SUM(O394-AB394)</f>
        <v>0</v>
      </c>
      <c r="AD394" s="52" t="s">
        <v>608</v>
      </c>
      <c r="AE394" s="70"/>
      <c r="AF394" s="1">
        <v>2500000</v>
      </c>
      <c r="AG394" s="5">
        <f t="shared" si="130"/>
        <v>0</v>
      </c>
    </row>
    <row r="395" spans="1:34" s="1" customFormat="1" x14ac:dyDescent="0.25">
      <c r="A395" s="21">
        <v>89</v>
      </c>
      <c r="B395" s="22" t="s">
        <v>1690</v>
      </c>
      <c r="C395" s="73" t="s">
        <v>58</v>
      </c>
      <c r="D395" s="51" t="s">
        <v>583</v>
      </c>
      <c r="E395" s="52" t="s">
        <v>584</v>
      </c>
      <c r="F395" s="52"/>
      <c r="G395" s="52" t="s">
        <v>194</v>
      </c>
      <c r="H395" s="52" t="s">
        <v>62</v>
      </c>
      <c r="I395" s="52">
        <v>2019</v>
      </c>
      <c r="J395" s="52"/>
      <c r="K395" s="52" t="s">
        <v>63</v>
      </c>
      <c r="L395" s="52" t="s">
        <v>64</v>
      </c>
      <c r="M395" s="52">
        <v>1</v>
      </c>
      <c r="N395" s="53">
        <v>14999600</v>
      </c>
      <c r="O395" s="53">
        <v>14999600</v>
      </c>
      <c r="P395" s="52"/>
      <c r="Q395" s="52"/>
      <c r="R395" s="52"/>
      <c r="S395" s="53">
        <f t="shared" si="138"/>
        <v>14999600</v>
      </c>
      <c r="T395" s="52">
        <v>5</v>
      </c>
      <c r="U395" s="53">
        <f t="shared" ref="U395:U396" si="143">SUM(S395/T395)</f>
        <v>2999920</v>
      </c>
      <c r="V395" s="52">
        <v>0.5</v>
      </c>
      <c r="W395" s="53">
        <f t="shared" si="139"/>
        <v>1499960</v>
      </c>
      <c r="X395" s="24">
        <v>0.5</v>
      </c>
      <c r="Y395" s="41">
        <f t="shared" si="140"/>
        <v>1499960</v>
      </c>
      <c r="Z395" s="41">
        <f t="shared" si="141"/>
        <v>2999920</v>
      </c>
      <c r="AA395" s="72">
        <f>2023-I395+V395+X395-11/12</f>
        <v>4.083333333333333</v>
      </c>
      <c r="AB395" s="41">
        <f t="shared" ref="AB395:AB396" si="144">SUM(U395*AA395)</f>
        <v>12249673.333333332</v>
      </c>
      <c r="AC395" s="41">
        <f t="shared" si="142"/>
        <v>2749926.6666666679</v>
      </c>
      <c r="AD395" s="70"/>
      <c r="AE395" s="70"/>
      <c r="AF395" s="1">
        <v>9249753.333333334</v>
      </c>
      <c r="AG395" s="5">
        <f t="shared" si="130"/>
        <v>0</v>
      </c>
      <c r="AH395" s="5"/>
    </row>
    <row r="396" spans="1:34" s="1" customFormat="1" x14ac:dyDescent="0.25">
      <c r="A396" s="49"/>
      <c r="B396" s="50" t="s">
        <v>1690</v>
      </c>
      <c r="C396" s="73" t="s">
        <v>75</v>
      </c>
      <c r="D396" s="51" t="s">
        <v>583</v>
      </c>
      <c r="E396" s="52" t="s">
        <v>585</v>
      </c>
      <c r="F396" s="52"/>
      <c r="G396" s="52" t="s">
        <v>194</v>
      </c>
      <c r="H396" s="52" t="s">
        <v>62</v>
      </c>
      <c r="I396" s="52">
        <v>2021</v>
      </c>
      <c r="J396" s="52"/>
      <c r="K396" s="52" t="s">
        <v>63</v>
      </c>
      <c r="L396" s="52" t="s">
        <v>64</v>
      </c>
      <c r="M396" s="52">
        <v>1</v>
      </c>
      <c r="N396" s="53">
        <v>29700000</v>
      </c>
      <c r="O396" s="53">
        <v>29700000</v>
      </c>
      <c r="P396" s="52"/>
      <c r="Q396" s="52"/>
      <c r="R396" s="52"/>
      <c r="S396" s="53">
        <f t="shared" si="138"/>
        <v>29700000</v>
      </c>
      <c r="T396" s="52">
        <v>5</v>
      </c>
      <c r="U396" s="53">
        <f t="shared" si="143"/>
        <v>5940000</v>
      </c>
      <c r="V396" s="52">
        <v>0.5</v>
      </c>
      <c r="W396" s="53">
        <f t="shared" si="139"/>
        <v>2970000</v>
      </c>
      <c r="X396" s="24">
        <v>0.5</v>
      </c>
      <c r="Y396" s="41">
        <f t="shared" si="140"/>
        <v>2970000</v>
      </c>
      <c r="Z396" s="41">
        <f t="shared" si="141"/>
        <v>5940000</v>
      </c>
      <c r="AA396" s="72">
        <f>4/12+0.5+0.5+0.5+0.5+0.5</f>
        <v>2.833333333333333</v>
      </c>
      <c r="AB396" s="41">
        <f t="shared" si="144"/>
        <v>16830000</v>
      </c>
      <c r="AC396" s="41">
        <f t="shared" si="142"/>
        <v>12870000</v>
      </c>
      <c r="AD396" s="70" t="s">
        <v>586</v>
      </c>
      <c r="AE396" s="70"/>
      <c r="AF396" s="1">
        <v>10890000</v>
      </c>
      <c r="AG396" s="5">
        <f t="shared" si="130"/>
        <v>0</v>
      </c>
      <c r="AH396" s="5"/>
    </row>
    <row r="397" spans="1:34" s="1" customFormat="1" x14ac:dyDescent="0.25">
      <c r="A397" s="21">
        <v>1</v>
      </c>
      <c r="B397" s="22" t="s">
        <v>1691</v>
      </c>
      <c r="C397" s="22" t="s">
        <v>96</v>
      </c>
      <c r="D397" s="51" t="s">
        <v>470</v>
      </c>
      <c r="E397" s="24" t="s">
        <v>471</v>
      </c>
      <c r="F397" s="24"/>
      <c r="G397" s="24" t="s">
        <v>194</v>
      </c>
      <c r="H397" s="24" t="s">
        <v>62</v>
      </c>
      <c r="I397" s="24">
        <v>2005</v>
      </c>
      <c r="J397" s="24"/>
      <c r="K397" s="24" t="s">
        <v>63</v>
      </c>
      <c r="L397" s="24" t="s">
        <v>64</v>
      </c>
      <c r="M397" s="24">
        <v>1</v>
      </c>
      <c r="N397" s="41">
        <f>SUM(O397/M397)</f>
        <v>6000000</v>
      </c>
      <c r="O397" s="41">
        <v>6000000</v>
      </c>
      <c r="P397" s="24"/>
      <c r="Q397" s="24"/>
      <c r="R397" s="24"/>
      <c r="S397" s="41">
        <f t="shared" si="138"/>
        <v>6000000</v>
      </c>
      <c r="T397" s="24">
        <v>5</v>
      </c>
      <c r="U397" s="41"/>
      <c r="V397" s="24">
        <v>0.5</v>
      </c>
      <c r="W397" s="41">
        <f>SUM(U397*V397)</f>
        <v>0</v>
      </c>
      <c r="X397" s="24"/>
      <c r="Y397" s="41">
        <f>SUM(U397*X397)</f>
        <v>0</v>
      </c>
      <c r="Z397" s="41">
        <f t="shared" si="141"/>
        <v>0</v>
      </c>
      <c r="AA397" s="24">
        <v>5</v>
      </c>
      <c r="AB397" s="41">
        <v>6000000</v>
      </c>
      <c r="AC397" s="41">
        <f t="shared" si="142"/>
        <v>0</v>
      </c>
      <c r="AD397" s="70" t="s">
        <v>213</v>
      </c>
      <c r="AE397" s="70"/>
      <c r="AF397" s="1">
        <v>6000000</v>
      </c>
      <c r="AG397" s="5">
        <f t="shared" si="130"/>
        <v>0</v>
      </c>
      <c r="AH397" s="5"/>
    </row>
    <row r="398" spans="1:34" s="1" customFormat="1" x14ac:dyDescent="0.25">
      <c r="A398" s="21">
        <v>2</v>
      </c>
      <c r="B398" s="22" t="s">
        <v>1691</v>
      </c>
      <c r="C398" s="22" t="s">
        <v>472</v>
      </c>
      <c r="D398" s="51" t="s">
        <v>470</v>
      </c>
      <c r="E398" s="24" t="s">
        <v>471</v>
      </c>
      <c r="F398" s="24"/>
      <c r="G398" s="24" t="s">
        <v>194</v>
      </c>
      <c r="H398" s="24" t="s">
        <v>62</v>
      </c>
      <c r="I398" s="24">
        <v>2005</v>
      </c>
      <c r="J398" s="24"/>
      <c r="K398" s="24" t="s">
        <v>63</v>
      </c>
      <c r="L398" s="24" t="s">
        <v>64</v>
      </c>
      <c r="M398" s="24">
        <v>3</v>
      </c>
      <c r="N398" s="41">
        <f t="shared" ref="N398:N461" si="145">SUM(O398/M398)</f>
        <v>6450000</v>
      </c>
      <c r="O398" s="41">
        <v>19350000</v>
      </c>
      <c r="P398" s="24"/>
      <c r="Q398" s="24"/>
      <c r="R398" s="24"/>
      <c r="S398" s="41">
        <f t="shared" si="138"/>
        <v>19350000</v>
      </c>
      <c r="T398" s="24">
        <v>5</v>
      </c>
      <c r="U398" s="41"/>
      <c r="V398" s="24">
        <v>0.5</v>
      </c>
      <c r="W398" s="41">
        <f t="shared" ref="W398:W461" si="146">SUM(U398*V398)</f>
        <v>0</v>
      </c>
      <c r="X398" s="24"/>
      <c r="Y398" s="41">
        <f t="shared" ref="Y398:Y461" si="147">SUM(U398*X398)</f>
        <v>0</v>
      </c>
      <c r="Z398" s="41">
        <f t="shared" si="141"/>
        <v>0</v>
      </c>
      <c r="AA398" s="24">
        <v>5</v>
      </c>
      <c r="AB398" s="41">
        <v>19350000</v>
      </c>
      <c r="AC398" s="41">
        <f t="shared" si="142"/>
        <v>0</v>
      </c>
      <c r="AD398" s="70" t="s">
        <v>250</v>
      </c>
      <c r="AE398" s="70"/>
      <c r="AF398" s="1">
        <v>19350000</v>
      </c>
      <c r="AG398" s="5">
        <f t="shared" si="130"/>
        <v>0</v>
      </c>
      <c r="AH398" s="5"/>
    </row>
    <row r="399" spans="1:34" s="1" customFormat="1" x14ac:dyDescent="0.25">
      <c r="A399" s="21">
        <v>3</v>
      </c>
      <c r="B399" s="22" t="s">
        <v>1691</v>
      </c>
      <c r="C399" s="22" t="s">
        <v>135</v>
      </c>
      <c r="D399" s="51" t="s">
        <v>470</v>
      </c>
      <c r="E399" s="24" t="s">
        <v>471</v>
      </c>
      <c r="F399" s="24"/>
      <c r="G399" s="24" t="s">
        <v>194</v>
      </c>
      <c r="H399" s="24" t="s">
        <v>62</v>
      </c>
      <c r="I399" s="24">
        <v>2005</v>
      </c>
      <c r="J399" s="24"/>
      <c r="K399" s="24" t="s">
        <v>63</v>
      </c>
      <c r="L399" s="24" t="s">
        <v>64</v>
      </c>
      <c r="M399" s="24">
        <v>1</v>
      </c>
      <c r="N399" s="41">
        <f t="shared" si="145"/>
        <v>6450000</v>
      </c>
      <c r="O399" s="41">
        <v>6450000</v>
      </c>
      <c r="P399" s="24"/>
      <c r="Q399" s="24"/>
      <c r="R399" s="24"/>
      <c r="S399" s="41">
        <f t="shared" si="138"/>
        <v>6450000</v>
      </c>
      <c r="T399" s="24">
        <v>5</v>
      </c>
      <c r="U399" s="41"/>
      <c r="V399" s="24">
        <v>0.5</v>
      </c>
      <c r="W399" s="41">
        <f t="shared" si="146"/>
        <v>0</v>
      </c>
      <c r="X399" s="24"/>
      <c r="Y399" s="41">
        <f t="shared" si="147"/>
        <v>0</v>
      </c>
      <c r="Z399" s="41">
        <f t="shared" si="141"/>
        <v>0</v>
      </c>
      <c r="AA399" s="24">
        <v>5</v>
      </c>
      <c r="AB399" s="41">
        <v>6450000</v>
      </c>
      <c r="AC399" s="41">
        <f t="shared" si="142"/>
        <v>0</v>
      </c>
      <c r="AD399" s="70" t="s">
        <v>473</v>
      </c>
      <c r="AE399" s="70"/>
      <c r="AF399" s="1">
        <v>6450000</v>
      </c>
      <c r="AG399" s="5">
        <f t="shared" si="130"/>
        <v>0</v>
      </c>
      <c r="AH399" s="5"/>
    </row>
    <row r="400" spans="1:34" s="1" customFormat="1" x14ac:dyDescent="0.25">
      <c r="A400" s="21">
        <v>4</v>
      </c>
      <c r="B400" s="22" t="s">
        <v>1691</v>
      </c>
      <c r="C400" s="22" t="s">
        <v>340</v>
      </c>
      <c r="D400" s="51" t="s">
        <v>470</v>
      </c>
      <c r="E400" s="24" t="s">
        <v>474</v>
      </c>
      <c r="F400" s="24"/>
      <c r="G400" s="24" t="s">
        <v>194</v>
      </c>
      <c r="H400" s="24" t="s">
        <v>62</v>
      </c>
      <c r="I400" s="24">
        <v>2005</v>
      </c>
      <c r="J400" s="24"/>
      <c r="K400" s="24" t="s">
        <v>63</v>
      </c>
      <c r="L400" s="24" t="s">
        <v>64</v>
      </c>
      <c r="M400" s="24">
        <v>2</v>
      </c>
      <c r="N400" s="41">
        <f t="shared" si="145"/>
        <v>3575000</v>
      </c>
      <c r="O400" s="41">
        <v>7150000</v>
      </c>
      <c r="P400" s="24"/>
      <c r="Q400" s="24"/>
      <c r="R400" s="24"/>
      <c r="S400" s="41">
        <f t="shared" si="138"/>
        <v>7150000</v>
      </c>
      <c r="T400" s="24">
        <v>5</v>
      </c>
      <c r="U400" s="41"/>
      <c r="V400" s="24">
        <v>0.5</v>
      </c>
      <c r="W400" s="41">
        <f t="shared" si="146"/>
        <v>0</v>
      </c>
      <c r="X400" s="24"/>
      <c r="Y400" s="41">
        <f t="shared" si="147"/>
        <v>0</v>
      </c>
      <c r="Z400" s="41">
        <f t="shared" si="141"/>
        <v>0</v>
      </c>
      <c r="AA400" s="24">
        <v>5</v>
      </c>
      <c r="AB400" s="41">
        <v>7150000</v>
      </c>
      <c r="AC400" s="41">
        <f t="shared" si="142"/>
        <v>0</v>
      </c>
      <c r="AD400" s="70" t="s">
        <v>295</v>
      </c>
      <c r="AE400" s="70"/>
      <c r="AF400" s="1">
        <v>7150000</v>
      </c>
      <c r="AG400" s="5">
        <f t="shared" si="130"/>
        <v>0</v>
      </c>
      <c r="AH400" s="5"/>
    </row>
    <row r="401" spans="1:34" s="1" customFormat="1" x14ac:dyDescent="0.25">
      <c r="A401" s="21">
        <v>5</v>
      </c>
      <c r="B401" s="22" t="s">
        <v>1691</v>
      </c>
      <c r="C401" s="22" t="s">
        <v>475</v>
      </c>
      <c r="D401" s="51" t="s">
        <v>470</v>
      </c>
      <c r="E401" s="24" t="s">
        <v>474</v>
      </c>
      <c r="F401" s="24"/>
      <c r="G401" s="24" t="s">
        <v>194</v>
      </c>
      <c r="H401" s="24" t="s">
        <v>62</v>
      </c>
      <c r="I401" s="24">
        <v>2005</v>
      </c>
      <c r="J401" s="24"/>
      <c r="K401" s="24" t="s">
        <v>63</v>
      </c>
      <c r="L401" s="24" t="s">
        <v>64</v>
      </c>
      <c r="M401" s="24">
        <v>4</v>
      </c>
      <c r="N401" s="41">
        <f t="shared" si="145"/>
        <v>3575000</v>
      </c>
      <c r="O401" s="41">
        <v>14300000</v>
      </c>
      <c r="P401" s="24"/>
      <c r="Q401" s="24"/>
      <c r="R401" s="24"/>
      <c r="S401" s="41">
        <f t="shared" si="138"/>
        <v>14300000</v>
      </c>
      <c r="T401" s="24">
        <v>5</v>
      </c>
      <c r="U401" s="41"/>
      <c r="V401" s="24">
        <v>0.5</v>
      </c>
      <c r="W401" s="41">
        <f t="shared" si="146"/>
        <v>0</v>
      </c>
      <c r="X401" s="24"/>
      <c r="Y401" s="41">
        <f t="shared" si="147"/>
        <v>0</v>
      </c>
      <c r="Z401" s="41">
        <f t="shared" si="141"/>
        <v>0</v>
      </c>
      <c r="AA401" s="24">
        <v>5</v>
      </c>
      <c r="AB401" s="41">
        <v>14300000</v>
      </c>
      <c r="AC401" s="41">
        <f t="shared" si="142"/>
        <v>0</v>
      </c>
      <c r="AD401" s="70" t="s">
        <v>250</v>
      </c>
      <c r="AE401" s="70"/>
      <c r="AF401" s="1">
        <v>14300000</v>
      </c>
      <c r="AG401" s="5">
        <f t="shared" si="130"/>
        <v>0</v>
      </c>
      <c r="AH401" s="5"/>
    </row>
    <row r="402" spans="1:34" s="1" customFormat="1" x14ac:dyDescent="0.25">
      <c r="A402" s="21">
        <v>6</v>
      </c>
      <c r="B402" s="22" t="s">
        <v>1691</v>
      </c>
      <c r="C402" s="22" t="s">
        <v>476</v>
      </c>
      <c r="D402" s="51" t="s">
        <v>470</v>
      </c>
      <c r="E402" s="24" t="s">
        <v>474</v>
      </c>
      <c r="F402" s="24"/>
      <c r="G402" s="24" t="s">
        <v>194</v>
      </c>
      <c r="H402" s="24" t="s">
        <v>62</v>
      </c>
      <c r="I402" s="24">
        <v>2005</v>
      </c>
      <c r="J402" s="24"/>
      <c r="K402" s="24" t="s">
        <v>63</v>
      </c>
      <c r="L402" s="24" t="s">
        <v>64</v>
      </c>
      <c r="M402" s="24">
        <v>5</v>
      </c>
      <c r="N402" s="41">
        <f t="shared" si="145"/>
        <v>3575000</v>
      </c>
      <c r="O402" s="41">
        <v>17875000</v>
      </c>
      <c r="P402" s="24"/>
      <c r="Q402" s="24"/>
      <c r="R402" s="24"/>
      <c r="S402" s="41">
        <f t="shared" si="138"/>
        <v>17875000</v>
      </c>
      <c r="T402" s="24">
        <v>5</v>
      </c>
      <c r="U402" s="41"/>
      <c r="V402" s="24">
        <v>0.5</v>
      </c>
      <c r="W402" s="41">
        <f t="shared" si="146"/>
        <v>0</v>
      </c>
      <c r="X402" s="24"/>
      <c r="Y402" s="41">
        <f t="shared" si="147"/>
        <v>0</v>
      </c>
      <c r="Z402" s="41">
        <f t="shared" si="141"/>
        <v>0</v>
      </c>
      <c r="AA402" s="24">
        <v>5</v>
      </c>
      <c r="AB402" s="41">
        <v>17875000</v>
      </c>
      <c r="AC402" s="41">
        <f t="shared" si="142"/>
        <v>0</v>
      </c>
      <c r="AD402" s="70" t="s">
        <v>297</v>
      </c>
      <c r="AE402" s="70"/>
      <c r="AF402" s="1">
        <v>17875000</v>
      </c>
      <c r="AG402" s="5">
        <f t="shared" si="130"/>
        <v>0</v>
      </c>
      <c r="AH402" s="5"/>
    </row>
    <row r="403" spans="1:34" s="1" customFormat="1" x14ac:dyDescent="0.25">
      <c r="A403" s="21">
        <v>7</v>
      </c>
      <c r="B403" s="22" t="s">
        <v>1691</v>
      </c>
      <c r="C403" s="22" t="s">
        <v>314</v>
      </c>
      <c r="D403" s="51" t="s">
        <v>470</v>
      </c>
      <c r="E403" s="24" t="s">
        <v>474</v>
      </c>
      <c r="F403" s="24"/>
      <c r="G403" s="24" t="s">
        <v>194</v>
      </c>
      <c r="H403" s="24" t="s">
        <v>62</v>
      </c>
      <c r="I403" s="24">
        <v>2005</v>
      </c>
      <c r="J403" s="24"/>
      <c r="K403" s="24" t="s">
        <v>63</v>
      </c>
      <c r="L403" s="24" t="s">
        <v>64</v>
      </c>
      <c r="M403" s="24">
        <v>2</v>
      </c>
      <c r="N403" s="41">
        <f t="shared" si="145"/>
        <v>3575000</v>
      </c>
      <c r="O403" s="41">
        <v>7150000</v>
      </c>
      <c r="P403" s="24"/>
      <c r="Q403" s="24"/>
      <c r="R403" s="24"/>
      <c r="S403" s="41">
        <f t="shared" si="138"/>
        <v>7150000</v>
      </c>
      <c r="T403" s="24">
        <v>5</v>
      </c>
      <c r="U403" s="41"/>
      <c r="V403" s="24">
        <v>0.5</v>
      </c>
      <c r="W403" s="41">
        <f t="shared" si="146"/>
        <v>0</v>
      </c>
      <c r="X403" s="24"/>
      <c r="Y403" s="41">
        <f t="shared" si="147"/>
        <v>0</v>
      </c>
      <c r="Z403" s="41">
        <f t="shared" si="141"/>
        <v>0</v>
      </c>
      <c r="AA403" s="24">
        <v>5</v>
      </c>
      <c r="AB403" s="41">
        <v>7150000</v>
      </c>
      <c r="AC403" s="41">
        <f t="shared" si="142"/>
        <v>0</v>
      </c>
      <c r="AD403" s="70" t="s">
        <v>303</v>
      </c>
      <c r="AE403" s="70"/>
      <c r="AF403" s="1">
        <v>7150000</v>
      </c>
      <c r="AG403" s="5">
        <f t="shared" si="130"/>
        <v>0</v>
      </c>
      <c r="AH403" s="5"/>
    </row>
    <row r="404" spans="1:34" s="1" customFormat="1" x14ac:dyDescent="0.25">
      <c r="A404" s="21">
        <v>8</v>
      </c>
      <c r="B404" s="22" t="s">
        <v>1691</v>
      </c>
      <c r="C404" s="22" t="s">
        <v>316</v>
      </c>
      <c r="D404" s="51" t="s">
        <v>470</v>
      </c>
      <c r="E404" s="24" t="s">
        <v>474</v>
      </c>
      <c r="F404" s="24"/>
      <c r="G404" s="24" t="s">
        <v>194</v>
      </c>
      <c r="H404" s="24" t="s">
        <v>62</v>
      </c>
      <c r="I404" s="24">
        <v>2005</v>
      </c>
      <c r="J404" s="24"/>
      <c r="K404" s="24" t="s">
        <v>63</v>
      </c>
      <c r="L404" s="24" t="s">
        <v>64</v>
      </c>
      <c r="M404" s="24">
        <v>2</v>
      </c>
      <c r="N404" s="41">
        <f t="shared" si="145"/>
        <v>3575000</v>
      </c>
      <c r="O404" s="41">
        <v>7150000</v>
      </c>
      <c r="P404" s="24"/>
      <c r="Q404" s="24"/>
      <c r="R404" s="24"/>
      <c r="S404" s="41">
        <f t="shared" si="138"/>
        <v>7150000</v>
      </c>
      <c r="T404" s="24">
        <v>5</v>
      </c>
      <c r="U404" s="41"/>
      <c r="V404" s="24">
        <v>0.5</v>
      </c>
      <c r="W404" s="41">
        <f t="shared" si="146"/>
        <v>0</v>
      </c>
      <c r="X404" s="24"/>
      <c r="Y404" s="41">
        <f t="shared" si="147"/>
        <v>0</v>
      </c>
      <c r="Z404" s="41">
        <f t="shared" si="141"/>
        <v>0</v>
      </c>
      <c r="AA404" s="24">
        <v>5</v>
      </c>
      <c r="AB404" s="41">
        <v>7150000</v>
      </c>
      <c r="AC404" s="41">
        <f t="shared" si="142"/>
        <v>0</v>
      </c>
      <c r="AD404" s="70" t="s">
        <v>305</v>
      </c>
      <c r="AE404" s="70"/>
      <c r="AF404" s="1">
        <v>7150000</v>
      </c>
      <c r="AG404" s="5">
        <f t="shared" si="130"/>
        <v>0</v>
      </c>
      <c r="AH404" s="5"/>
    </row>
    <row r="405" spans="1:34" s="1" customFormat="1" x14ac:dyDescent="0.25">
      <c r="A405" s="21">
        <v>9</v>
      </c>
      <c r="B405" s="22" t="s">
        <v>1691</v>
      </c>
      <c r="C405" s="22" t="s">
        <v>230</v>
      </c>
      <c r="D405" s="51" t="s">
        <v>470</v>
      </c>
      <c r="E405" s="24" t="s">
        <v>474</v>
      </c>
      <c r="F405" s="24"/>
      <c r="G405" s="24" t="s">
        <v>194</v>
      </c>
      <c r="H405" s="24" t="s">
        <v>62</v>
      </c>
      <c r="I405" s="24">
        <v>2005</v>
      </c>
      <c r="J405" s="24"/>
      <c r="K405" s="24" t="s">
        <v>63</v>
      </c>
      <c r="L405" s="24" t="s">
        <v>64</v>
      </c>
      <c r="M405" s="24">
        <v>1</v>
      </c>
      <c r="N405" s="41">
        <f t="shared" si="145"/>
        <v>3575000</v>
      </c>
      <c r="O405" s="41">
        <v>3575000</v>
      </c>
      <c r="P405" s="24"/>
      <c r="Q405" s="24"/>
      <c r="R405" s="24"/>
      <c r="S405" s="41">
        <f t="shared" si="138"/>
        <v>3575000</v>
      </c>
      <c r="T405" s="24">
        <v>5</v>
      </c>
      <c r="U405" s="41"/>
      <c r="V405" s="24">
        <v>0.5</v>
      </c>
      <c r="W405" s="41">
        <f t="shared" si="146"/>
        <v>0</v>
      </c>
      <c r="X405" s="24"/>
      <c r="Y405" s="41">
        <f t="shared" si="147"/>
        <v>0</v>
      </c>
      <c r="Z405" s="41">
        <f t="shared" si="141"/>
        <v>0</v>
      </c>
      <c r="AA405" s="24">
        <v>5</v>
      </c>
      <c r="AB405" s="41">
        <v>3575000</v>
      </c>
      <c r="AC405" s="41">
        <f t="shared" si="142"/>
        <v>0</v>
      </c>
      <c r="AD405" s="70" t="s">
        <v>473</v>
      </c>
      <c r="AE405" s="70"/>
      <c r="AF405" s="1">
        <v>3575000</v>
      </c>
      <c r="AG405" s="5">
        <f t="shared" si="130"/>
        <v>0</v>
      </c>
      <c r="AH405" s="5"/>
    </row>
    <row r="406" spans="1:34" s="1" customFormat="1" x14ac:dyDescent="0.25">
      <c r="A406" s="21">
        <v>10</v>
      </c>
      <c r="B406" s="22" t="s">
        <v>1691</v>
      </c>
      <c r="C406" s="22" t="s">
        <v>232</v>
      </c>
      <c r="D406" s="51" t="s">
        <v>470</v>
      </c>
      <c r="E406" s="24" t="s">
        <v>474</v>
      </c>
      <c r="F406" s="24"/>
      <c r="G406" s="24" t="s">
        <v>194</v>
      </c>
      <c r="H406" s="24" t="s">
        <v>62</v>
      </c>
      <c r="I406" s="24">
        <v>2005</v>
      </c>
      <c r="J406" s="24"/>
      <c r="K406" s="24" t="s">
        <v>63</v>
      </c>
      <c r="L406" s="24" t="s">
        <v>64</v>
      </c>
      <c r="M406" s="24">
        <v>1</v>
      </c>
      <c r="N406" s="41">
        <f t="shared" si="145"/>
        <v>3575000</v>
      </c>
      <c r="O406" s="41">
        <v>3575000</v>
      </c>
      <c r="P406" s="24"/>
      <c r="Q406" s="24"/>
      <c r="R406" s="24"/>
      <c r="S406" s="41">
        <f t="shared" si="138"/>
        <v>3575000</v>
      </c>
      <c r="T406" s="24">
        <v>5</v>
      </c>
      <c r="U406" s="41"/>
      <c r="V406" s="24">
        <v>0.5</v>
      </c>
      <c r="W406" s="41">
        <f t="shared" si="146"/>
        <v>0</v>
      </c>
      <c r="X406" s="24"/>
      <c r="Y406" s="41">
        <f t="shared" si="147"/>
        <v>0</v>
      </c>
      <c r="Z406" s="41">
        <f t="shared" si="141"/>
        <v>0</v>
      </c>
      <c r="AA406" s="24">
        <v>5</v>
      </c>
      <c r="AB406" s="41">
        <v>3575000</v>
      </c>
      <c r="AC406" s="41">
        <f t="shared" si="142"/>
        <v>0</v>
      </c>
      <c r="AD406" s="70" t="s">
        <v>477</v>
      </c>
      <c r="AE406" s="70"/>
      <c r="AF406" s="1">
        <v>3575000</v>
      </c>
      <c r="AG406" s="5">
        <f t="shared" si="130"/>
        <v>0</v>
      </c>
      <c r="AH406" s="5"/>
    </row>
    <row r="407" spans="1:34" s="1" customFormat="1" x14ac:dyDescent="0.25">
      <c r="A407" s="21">
        <v>11</v>
      </c>
      <c r="B407" s="22" t="s">
        <v>1691</v>
      </c>
      <c r="C407" s="22" t="s">
        <v>478</v>
      </c>
      <c r="D407" s="51" t="s">
        <v>470</v>
      </c>
      <c r="E407" s="24" t="s">
        <v>474</v>
      </c>
      <c r="F407" s="24"/>
      <c r="G407" s="24" t="s">
        <v>194</v>
      </c>
      <c r="H407" s="24" t="s">
        <v>62</v>
      </c>
      <c r="I407" s="24">
        <v>2005</v>
      </c>
      <c r="J407" s="24"/>
      <c r="K407" s="24" t="s">
        <v>63</v>
      </c>
      <c r="L407" s="24" t="s">
        <v>64</v>
      </c>
      <c r="M407" s="24">
        <v>3</v>
      </c>
      <c r="N407" s="41">
        <f t="shared" si="145"/>
        <v>3575000</v>
      </c>
      <c r="O407" s="41">
        <v>10725000</v>
      </c>
      <c r="P407" s="24"/>
      <c r="Q407" s="24"/>
      <c r="R407" s="24"/>
      <c r="S407" s="41">
        <f t="shared" si="138"/>
        <v>10725000</v>
      </c>
      <c r="T407" s="24">
        <v>5</v>
      </c>
      <c r="U407" s="41"/>
      <c r="V407" s="24">
        <v>0.5</v>
      </c>
      <c r="W407" s="41">
        <f t="shared" si="146"/>
        <v>0</v>
      </c>
      <c r="X407" s="24"/>
      <c r="Y407" s="41">
        <f t="shared" si="147"/>
        <v>0</v>
      </c>
      <c r="Z407" s="41">
        <f t="shared" si="141"/>
        <v>0</v>
      </c>
      <c r="AA407" s="24">
        <v>5</v>
      </c>
      <c r="AB407" s="41">
        <v>10725000</v>
      </c>
      <c r="AC407" s="41">
        <f t="shared" si="142"/>
        <v>0</v>
      </c>
      <c r="AD407" s="70" t="s">
        <v>387</v>
      </c>
      <c r="AE407" s="70"/>
      <c r="AF407" s="1">
        <v>10725000</v>
      </c>
      <c r="AG407" s="5">
        <f t="shared" si="130"/>
        <v>0</v>
      </c>
      <c r="AH407" s="5"/>
    </row>
    <row r="408" spans="1:34" s="1" customFormat="1" x14ac:dyDescent="0.25">
      <c r="A408" s="21">
        <v>12</v>
      </c>
      <c r="B408" s="22" t="s">
        <v>1691</v>
      </c>
      <c r="C408" s="22" t="s">
        <v>240</v>
      </c>
      <c r="D408" s="51" t="s">
        <v>470</v>
      </c>
      <c r="E408" s="24" t="s">
        <v>474</v>
      </c>
      <c r="F408" s="24"/>
      <c r="G408" s="24" t="s">
        <v>194</v>
      </c>
      <c r="H408" s="24" t="s">
        <v>62</v>
      </c>
      <c r="I408" s="24">
        <v>2005</v>
      </c>
      <c r="J408" s="24"/>
      <c r="K408" s="24" t="s">
        <v>63</v>
      </c>
      <c r="L408" s="24" t="s">
        <v>64</v>
      </c>
      <c r="M408" s="24">
        <v>1</v>
      </c>
      <c r="N408" s="41">
        <f t="shared" si="145"/>
        <v>3575000</v>
      </c>
      <c r="O408" s="41">
        <v>3575000</v>
      </c>
      <c r="P408" s="24"/>
      <c r="Q408" s="24"/>
      <c r="R408" s="24"/>
      <c r="S408" s="41">
        <f t="shared" si="138"/>
        <v>3575000</v>
      </c>
      <c r="T408" s="24">
        <v>5</v>
      </c>
      <c r="U408" s="41"/>
      <c r="V408" s="24">
        <v>0.5</v>
      </c>
      <c r="W408" s="41">
        <f t="shared" si="146"/>
        <v>0</v>
      </c>
      <c r="X408" s="24"/>
      <c r="Y408" s="41">
        <f t="shared" si="147"/>
        <v>0</v>
      </c>
      <c r="Z408" s="41">
        <f t="shared" si="141"/>
        <v>0</v>
      </c>
      <c r="AA408" s="24">
        <v>5</v>
      </c>
      <c r="AB408" s="41">
        <v>3575000</v>
      </c>
      <c r="AC408" s="41">
        <f t="shared" si="142"/>
        <v>0</v>
      </c>
      <c r="AD408" s="70" t="s">
        <v>259</v>
      </c>
      <c r="AE408" s="70"/>
      <c r="AF408" s="1">
        <v>3575000</v>
      </c>
      <c r="AG408" s="5">
        <f t="shared" si="130"/>
        <v>0</v>
      </c>
      <c r="AH408" s="5"/>
    </row>
    <row r="409" spans="1:34" s="1" customFormat="1" x14ac:dyDescent="0.25">
      <c r="A409" s="21">
        <v>13</v>
      </c>
      <c r="B409" s="22" t="s">
        <v>1691</v>
      </c>
      <c r="C409" s="22" t="s">
        <v>242</v>
      </c>
      <c r="D409" s="51" t="s">
        <v>470</v>
      </c>
      <c r="E409" s="24" t="s">
        <v>474</v>
      </c>
      <c r="F409" s="24"/>
      <c r="G409" s="24" t="s">
        <v>194</v>
      </c>
      <c r="H409" s="24" t="s">
        <v>62</v>
      </c>
      <c r="I409" s="24">
        <v>2005</v>
      </c>
      <c r="J409" s="24"/>
      <c r="K409" s="24" t="s">
        <v>63</v>
      </c>
      <c r="L409" s="24" t="s">
        <v>64</v>
      </c>
      <c r="M409" s="24">
        <v>1</v>
      </c>
      <c r="N409" s="41">
        <f t="shared" si="145"/>
        <v>3575000</v>
      </c>
      <c r="O409" s="41">
        <v>3575000</v>
      </c>
      <c r="P409" s="24"/>
      <c r="Q409" s="24"/>
      <c r="R409" s="24"/>
      <c r="S409" s="41">
        <f t="shared" si="138"/>
        <v>3575000</v>
      </c>
      <c r="T409" s="24">
        <v>5</v>
      </c>
      <c r="U409" s="41"/>
      <c r="V409" s="24">
        <v>0.5</v>
      </c>
      <c r="W409" s="41">
        <f t="shared" si="146"/>
        <v>0</v>
      </c>
      <c r="X409" s="24"/>
      <c r="Y409" s="41">
        <f t="shared" si="147"/>
        <v>0</v>
      </c>
      <c r="Z409" s="41">
        <f t="shared" si="141"/>
        <v>0</v>
      </c>
      <c r="AA409" s="24">
        <v>5</v>
      </c>
      <c r="AB409" s="41">
        <v>3575000</v>
      </c>
      <c r="AC409" s="41">
        <f t="shared" si="142"/>
        <v>0</v>
      </c>
      <c r="AD409" s="70" t="s">
        <v>87</v>
      </c>
      <c r="AE409" s="70"/>
      <c r="AF409" s="1">
        <v>3575000</v>
      </c>
      <c r="AG409" s="5">
        <f t="shared" si="130"/>
        <v>0</v>
      </c>
      <c r="AH409" s="5"/>
    </row>
    <row r="410" spans="1:34" s="1" customFormat="1" x14ac:dyDescent="0.25">
      <c r="A410" s="21">
        <v>14</v>
      </c>
      <c r="B410" s="22" t="s">
        <v>1691</v>
      </c>
      <c r="C410" s="22" t="s">
        <v>244</v>
      </c>
      <c r="D410" s="51" t="s">
        <v>470</v>
      </c>
      <c r="E410" s="24" t="s">
        <v>474</v>
      </c>
      <c r="F410" s="24"/>
      <c r="G410" s="24" t="s">
        <v>194</v>
      </c>
      <c r="H410" s="24" t="s">
        <v>62</v>
      </c>
      <c r="I410" s="24">
        <v>2005</v>
      </c>
      <c r="J410" s="24"/>
      <c r="K410" s="24" t="s">
        <v>63</v>
      </c>
      <c r="L410" s="24" t="s">
        <v>64</v>
      </c>
      <c r="M410" s="24">
        <v>1</v>
      </c>
      <c r="N410" s="41">
        <f t="shared" si="145"/>
        <v>3575000</v>
      </c>
      <c r="O410" s="41">
        <v>3575000</v>
      </c>
      <c r="P410" s="24"/>
      <c r="Q410" s="24"/>
      <c r="R410" s="24"/>
      <c r="S410" s="41">
        <f t="shared" si="138"/>
        <v>3575000</v>
      </c>
      <c r="T410" s="24">
        <v>5</v>
      </c>
      <c r="U410" s="41"/>
      <c r="V410" s="24">
        <v>0.5</v>
      </c>
      <c r="W410" s="41">
        <f t="shared" si="146"/>
        <v>0</v>
      </c>
      <c r="X410" s="24"/>
      <c r="Y410" s="41">
        <f t="shared" si="147"/>
        <v>0</v>
      </c>
      <c r="Z410" s="41">
        <f t="shared" si="141"/>
        <v>0</v>
      </c>
      <c r="AA410" s="24">
        <v>5</v>
      </c>
      <c r="AB410" s="41">
        <v>3575000</v>
      </c>
      <c r="AC410" s="41">
        <f t="shared" si="142"/>
        <v>0</v>
      </c>
      <c r="AD410" s="70" t="s">
        <v>479</v>
      </c>
      <c r="AE410" s="70"/>
      <c r="AF410" s="1">
        <v>3575000</v>
      </c>
      <c r="AG410" s="5">
        <f t="shared" si="130"/>
        <v>0</v>
      </c>
      <c r="AH410" s="5"/>
    </row>
    <row r="411" spans="1:34" s="1" customFormat="1" x14ac:dyDescent="0.25">
      <c r="A411" s="21">
        <v>15</v>
      </c>
      <c r="B411" s="22" t="s">
        <v>1691</v>
      </c>
      <c r="C411" s="22" t="s">
        <v>246</v>
      </c>
      <c r="D411" s="51" t="s">
        <v>470</v>
      </c>
      <c r="E411" s="24" t="s">
        <v>474</v>
      </c>
      <c r="F411" s="24"/>
      <c r="G411" s="24" t="s">
        <v>194</v>
      </c>
      <c r="H411" s="24" t="s">
        <v>62</v>
      </c>
      <c r="I411" s="24">
        <v>2005</v>
      </c>
      <c r="J411" s="24"/>
      <c r="K411" s="24" t="s">
        <v>63</v>
      </c>
      <c r="L411" s="24" t="s">
        <v>64</v>
      </c>
      <c r="M411" s="24">
        <v>1</v>
      </c>
      <c r="N411" s="41">
        <f t="shared" si="145"/>
        <v>3575000</v>
      </c>
      <c r="O411" s="41">
        <v>3575000</v>
      </c>
      <c r="P411" s="24"/>
      <c r="Q411" s="24"/>
      <c r="R411" s="24"/>
      <c r="S411" s="41">
        <f t="shared" si="138"/>
        <v>3575000</v>
      </c>
      <c r="T411" s="24">
        <v>5</v>
      </c>
      <c r="U411" s="41"/>
      <c r="V411" s="24">
        <v>0.5</v>
      </c>
      <c r="W411" s="41">
        <f t="shared" si="146"/>
        <v>0</v>
      </c>
      <c r="X411" s="24"/>
      <c r="Y411" s="41">
        <f t="shared" si="147"/>
        <v>0</v>
      </c>
      <c r="Z411" s="41">
        <f t="shared" si="141"/>
        <v>0</v>
      </c>
      <c r="AA411" s="24">
        <v>5</v>
      </c>
      <c r="AB411" s="41">
        <v>3575000</v>
      </c>
      <c r="AC411" s="41">
        <f t="shared" si="142"/>
        <v>0</v>
      </c>
      <c r="AD411" s="70" t="s">
        <v>480</v>
      </c>
      <c r="AE411" s="70"/>
      <c r="AF411" s="1">
        <v>3575000</v>
      </c>
      <c r="AG411" s="5">
        <f t="shared" si="130"/>
        <v>0</v>
      </c>
      <c r="AH411" s="5"/>
    </row>
    <row r="412" spans="1:34" s="1" customFormat="1" x14ac:dyDescent="0.25">
      <c r="A412" s="21">
        <v>16</v>
      </c>
      <c r="B412" s="22" t="s">
        <v>1691</v>
      </c>
      <c r="C412" s="22" t="s">
        <v>407</v>
      </c>
      <c r="D412" s="51" t="s">
        <v>470</v>
      </c>
      <c r="E412" s="24" t="s">
        <v>474</v>
      </c>
      <c r="F412" s="24"/>
      <c r="G412" s="24" t="s">
        <v>194</v>
      </c>
      <c r="H412" s="24" t="s">
        <v>62</v>
      </c>
      <c r="I412" s="24">
        <v>2005</v>
      </c>
      <c r="J412" s="24"/>
      <c r="K412" s="24" t="s">
        <v>63</v>
      </c>
      <c r="L412" s="24" t="s">
        <v>64</v>
      </c>
      <c r="M412" s="24">
        <v>1</v>
      </c>
      <c r="N412" s="41">
        <f t="shared" si="145"/>
        <v>3575000</v>
      </c>
      <c r="O412" s="41">
        <v>3575000</v>
      </c>
      <c r="P412" s="24"/>
      <c r="Q412" s="24"/>
      <c r="R412" s="24"/>
      <c r="S412" s="41">
        <f t="shared" si="138"/>
        <v>3575000</v>
      </c>
      <c r="T412" s="24">
        <v>5</v>
      </c>
      <c r="U412" s="41"/>
      <c r="V412" s="24">
        <v>0.5</v>
      </c>
      <c r="W412" s="41">
        <f t="shared" si="146"/>
        <v>0</v>
      </c>
      <c r="X412" s="24"/>
      <c r="Y412" s="41">
        <f t="shared" si="147"/>
        <v>0</v>
      </c>
      <c r="Z412" s="41">
        <f t="shared" si="141"/>
        <v>0</v>
      </c>
      <c r="AA412" s="24">
        <v>5</v>
      </c>
      <c r="AB412" s="41">
        <v>3575000</v>
      </c>
      <c r="AC412" s="41">
        <f t="shared" si="142"/>
        <v>0</v>
      </c>
      <c r="AD412" s="70" t="s">
        <v>481</v>
      </c>
      <c r="AE412" s="70"/>
      <c r="AF412" s="1">
        <v>3575000</v>
      </c>
      <c r="AG412" s="5">
        <f t="shared" si="130"/>
        <v>0</v>
      </c>
      <c r="AH412" s="5"/>
    </row>
    <row r="413" spans="1:34" s="1" customFormat="1" x14ac:dyDescent="0.25">
      <c r="A413" s="21">
        <v>17</v>
      </c>
      <c r="B413" s="22" t="s">
        <v>1691</v>
      </c>
      <c r="C413" s="22" t="s">
        <v>408</v>
      </c>
      <c r="D413" s="51" t="s">
        <v>470</v>
      </c>
      <c r="E413" s="24" t="s">
        <v>474</v>
      </c>
      <c r="F413" s="24"/>
      <c r="G413" s="24" t="s">
        <v>194</v>
      </c>
      <c r="H413" s="24" t="s">
        <v>62</v>
      </c>
      <c r="I413" s="24">
        <v>2005</v>
      </c>
      <c r="J413" s="24"/>
      <c r="K413" s="24" t="s">
        <v>63</v>
      </c>
      <c r="L413" s="24" t="s">
        <v>64</v>
      </c>
      <c r="M413" s="24">
        <v>1</v>
      </c>
      <c r="N413" s="41">
        <f t="shared" si="145"/>
        <v>3575000</v>
      </c>
      <c r="O413" s="41">
        <v>3575000</v>
      </c>
      <c r="P413" s="24"/>
      <c r="Q413" s="24"/>
      <c r="R413" s="24"/>
      <c r="S413" s="41">
        <f t="shared" si="138"/>
        <v>3575000</v>
      </c>
      <c r="T413" s="24">
        <v>5</v>
      </c>
      <c r="U413" s="41"/>
      <c r="V413" s="24">
        <v>0.5</v>
      </c>
      <c r="W413" s="41">
        <f t="shared" si="146"/>
        <v>0</v>
      </c>
      <c r="X413" s="24"/>
      <c r="Y413" s="41">
        <f t="shared" si="147"/>
        <v>0</v>
      </c>
      <c r="Z413" s="41">
        <f t="shared" si="141"/>
        <v>0</v>
      </c>
      <c r="AA413" s="24">
        <v>5</v>
      </c>
      <c r="AB413" s="41">
        <v>3575000</v>
      </c>
      <c r="AC413" s="41">
        <f t="shared" si="142"/>
        <v>0</v>
      </c>
      <c r="AD413" s="70" t="s">
        <v>224</v>
      </c>
      <c r="AE413" s="70"/>
      <c r="AF413" s="1">
        <v>3575000</v>
      </c>
      <c r="AG413" s="5">
        <f t="shared" si="130"/>
        <v>0</v>
      </c>
      <c r="AH413" s="5"/>
    </row>
    <row r="414" spans="1:34" s="1" customFormat="1" x14ac:dyDescent="0.25">
      <c r="A414" s="21">
        <v>18</v>
      </c>
      <c r="B414" s="22" t="s">
        <v>1691</v>
      </c>
      <c r="C414" s="22" t="s">
        <v>482</v>
      </c>
      <c r="D414" s="51" t="s">
        <v>483</v>
      </c>
      <c r="E414" s="24" t="s">
        <v>484</v>
      </c>
      <c r="F414" s="24"/>
      <c r="G414" s="24" t="s">
        <v>194</v>
      </c>
      <c r="H414" s="24" t="s">
        <v>62</v>
      </c>
      <c r="I414" s="24">
        <v>2012</v>
      </c>
      <c r="J414" s="24"/>
      <c r="K414" s="24" t="s">
        <v>63</v>
      </c>
      <c r="L414" s="24" t="s">
        <v>64</v>
      </c>
      <c r="M414" s="24">
        <v>6</v>
      </c>
      <c r="N414" s="41">
        <f t="shared" si="145"/>
        <v>5967500</v>
      </c>
      <c r="O414" s="41">
        <v>35805000</v>
      </c>
      <c r="P414" s="24"/>
      <c r="Q414" s="24"/>
      <c r="R414" s="24"/>
      <c r="S414" s="41">
        <f t="shared" si="138"/>
        <v>35805000</v>
      </c>
      <c r="T414" s="24">
        <v>5</v>
      </c>
      <c r="U414" s="41"/>
      <c r="V414" s="24">
        <v>0.5</v>
      </c>
      <c r="W414" s="41">
        <f t="shared" si="146"/>
        <v>0</v>
      </c>
      <c r="X414" s="24"/>
      <c r="Y414" s="41">
        <f t="shared" si="147"/>
        <v>0</v>
      </c>
      <c r="Z414" s="41">
        <f t="shared" si="141"/>
        <v>0</v>
      </c>
      <c r="AA414" s="24">
        <v>5</v>
      </c>
      <c r="AB414" s="41">
        <v>35805000</v>
      </c>
      <c r="AC414" s="41">
        <f t="shared" si="142"/>
        <v>0</v>
      </c>
      <c r="AD414" s="70" t="s">
        <v>485</v>
      </c>
      <c r="AE414" s="70"/>
      <c r="AF414" s="1">
        <v>35805000</v>
      </c>
      <c r="AG414" s="5">
        <f t="shared" si="130"/>
        <v>0</v>
      </c>
      <c r="AH414" s="5"/>
    </row>
    <row r="415" spans="1:34" s="1" customFormat="1" x14ac:dyDescent="0.25">
      <c r="A415" s="21">
        <v>19</v>
      </c>
      <c r="B415" s="22" t="s">
        <v>1691</v>
      </c>
      <c r="C415" s="22" t="s">
        <v>486</v>
      </c>
      <c r="D415" s="51" t="s">
        <v>483</v>
      </c>
      <c r="E415" s="24" t="s">
        <v>484</v>
      </c>
      <c r="F415" s="24"/>
      <c r="G415" s="24" t="s">
        <v>194</v>
      </c>
      <c r="H415" s="24" t="s">
        <v>62</v>
      </c>
      <c r="I415" s="24">
        <v>2012</v>
      </c>
      <c r="J415" s="24"/>
      <c r="K415" s="24" t="s">
        <v>63</v>
      </c>
      <c r="L415" s="24" t="s">
        <v>64</v>
      </c>
      <c r="M415" s="24">
        <v>4</v>
      </c>
      <c r="N415" s="41">
        <f t="shared" si="145"/>
        <v>5967500</v>
      </c>
      <c r="O415" s="41">
        <v>23870000</v>
      </c>
      <c r="P415" s="24"/>
      <c r="Q415" s="24"/>
      <c r="R415" s="24"/>
      <c r="S415" s="41">
        <f t="shared" si="138"/>
        <v>23870000</v>
      </c>
      <c r="T415" s="24">
        <v>5</v>
      </c>
      <c r="U415" s="41"/>
      <c r="V415" s="24">
        <v>0.5</v>
      </c>
      <c r="W415" s="41">
        <f t="shared" si="146"/>
        <v>0</v>
      </c>
      <c r="X415" s="24"/>
      <c r="Y415" s="41">
        <f t="shared" si="147"/>
        <v>0</v>
      </c>
      <c r="Z415" s="41">
        <f t="shared" si="141"/>
        <v>0</v>
      </c>
      <c r="AA415" s="24">
        <v>5</v>
      </c>
      <c r="AB415" s="41">
        <v>23870000</v>
      </c>
      <c r="AC415" s="41">
        <f t="shared" si="142"/>
        <v>0</v>
      </c>
      <c r="AD415" s="70" t="s">
        <v>487</v>
      </c>
      <c r="AE415" s="70"/>
      <c r="AF415" s="1">
        <v>23870000</v>
      </c>
      <c r="AG415" s="5">
        <f t="shared" si="130"/>
        <v>0</v>
      </c>
      <c r="AH415" s="5"/>
    </row>
    <row r="416" spans="1:34" s="1" customFormat="1" x14ac:dyDescent="0.25">
      <c r="A416" s="21">
        <v>20</v>
      </c>
      <c r="B416" s="22" t="s">
        <v>1691</v>
      </c>
      <c r="C416" s="22" t="s">
        <v>488</v>
      </c>
      <c r="D416" s="51" t="s">
        <v>483</v>
      </c>
      <c r="E416" s="24" t="s">
        <v>484</v>
      </c>
      <c r="F416" s="24"/>
      <c r="G416" s="24" t="s">
        <v>194</v>
      </c>
      <c r="H416" s="24" t="s">
        <v>62</v>
      </c>
      <c r="I416" s="24">
        <v>2012</v>
      </c>
      <c r="J416" s="24"/>
      <c r="K416" s="24" t="s">
        <v>63</v>
      </c>
      <c r="L416" s="24" t="s">
        <v>64</v>
      </c>
      <c r="M416" s="24">
        <v>6</v>
      </c>
      <c r="N416" s="41">
        <f t="shared" si="145"/>
        <v>5967500</v>
      </c>
      <c r="O416" s="41">
        <v>35805000</v>
      </c>
      <c r="P416" s="24"/>
      <c r="Q416" s="24"/>
      <c r="R416" s="24"/>
      <c r="S416" s="41">
        <f t="shared" si="138"/>
        <v>35805000</v>
      </c>
      <c r="T416" s="24">
        <v>5</v>
      </c>
      <c r="U416" s="41"/>
      <c r="V416" s="24">
        <v>0.5</v>
      </c>
      <c r="W416" s="41">
        <f t="shared" si="146"/>
        <v>0</v>
      </c>
      <c r="X416" s="24"/>
      <c r="Y416" s="41">
        <f t="shared" si="147"/>
        <v>0</v>
      </c>
      <c r="Z416" s="41">
        <f t="shared" si="141"/>
        <v>0</v>
      </c>
      <c r="AA416" s="24">
        <v>5</v>
      </c>
      <c r="AB416" s="41">
        <v>35805000</v>
      </c>
      <c r="AC416" s="41">
        <f t="shared" si="142"/>
        <v>0</v>
      </c>
      <c r="AD416" s="70" t="s">
        <v>489</v>
      </c>
      <c r="AE416" s="70"/>
      <c r="AF416" s="1">
        <v>35805000</v>
      </c>
      <c r="AG416" s="5">
        <f t="shared" si="130"/>
        <v>0</v>
      </c>
      <c r="AH416" s="5"/>
    </row>
    <row r="417" spans="1:34" s="1" customFormat="1" x14ac:dyDescent="0.25">
      <c r="A417" s="21">
        <v>21</v>
      </c>
      <c r="B417" s="22" t="s">
        <v>1691</v>
      </c>
      <c r="C417" s="22" t="s">
        <v>490</v>
      </c>
      <c r="D417" s="51" t="s">
        <v>483</v>
      </c>
      <c r="E417" s="24" t="s">
        <v>491</v>
      </c>
      <c r="F417" s="24"/>
      <c r="G417" s="24" t="s">
        <v>194</v>
      </c>
      <c r="H417" s="24" t="s">
        <v>62</v>
      </c>
      <c r="I417" s="24">
        <v>2012</v>
      </c>
      <c r="J417" s="24"/>
      <c r="K417" s="24" t="s">
        <v>63</v>
      </c>
      <c r="L417" s="24" t="s">
        <v>64</v>
      </c>
      <c r="M417" s="24">
        <v>20</v>
      </c>
      <c r="N417" s="41">
        <f t="shared" si="145"/>
        <v>3135000</v>
      </c>
      <c r="O417" s="41">
        <v>62700000</v>
      </c>
      <c r="P417" s="24"/>
      <c r="Q417" s="24"/>
      <c r="R417" s="24"/>
      <c r="S417" s="41">
        <f t="shared" si="138"/>
        <v>62700000</v>
      </c>
      <c r="T417" s="24">
        <v>5</v>
      </c>
      <c r="U417" s="41"/>
      <c r="V417" s="24">
        <v>0.5</v>
      </c>
      <c r="W417" s="41">
        <f t="shared" si="146"/>
        <v>0</v>
      </c>
      <c r="X417" s="24"/>
      <c r="Y417" s="41">
        <f t="shared" si="147"/>
        <v>0</v>
      </c>
      <c r="Z417" s="41">
        <f t="shared" si="141"/>
        <v>0</v>
      </c>
      <c r="AA417" s="24">
        <v>5</v>
      </c>
      <c r="AB417" s="41">
        <v>62700000</v>
      </c>
      <c r="AC417" s="41">
        <f t="shared" si="142"/>
        <v>0</v>
      </c>
      <c r="AD417" s="70" t="s">
        <v>492</v>
      </c>
      <c r="AE417" s="70"/>
      <c r="AF417" s="1">
        <v>62700000</v>
      </c>
      <c r="AG417" s="5">
        <f t="shared" si="130"/>
        <v>0</v>
      </c>
      <c r="AH417" s="5"/>
    </row>
    <row r="418" spans="1:34" s="1" customFormat="1" x14ac:dyDescent="0.25">
      <c r="A418" s="21">
        <v>22</v>
      </c>
      <c r="B418" s="22" t="s">
        <v>1691</v>
      </c>
      <c r="C418" s="22" t="s">
        <v>437</v>
      </c>
      <c r="D418" s="51" t="s">
        <v>483</v>
      </c>
      <c r="E418" s="24" t="s">
        <v>493</v>
      </c>
      <c r="F418" s="24"/>
      <c r="G418" s="24" t="s">
        <v>194</v>
      </c>
      <c r="H418" s="24" t="s">
        <v>62</v>
      </c>
      <c r="I418" s="24">
        <v>2012</v>
      </c>
      <c r="J418" s="24"/>
      <c r="K418" s="24" t="s">
        <v>63</v>
      </c>
      <c r="L418" s="24" t="s">
        <v>64</v>
      </c>
      <c r="M418" s="24">
        <v>1</v>
      </c>
      <c r="N418" s="41">
        <f t="shared" si="145"/>
        <v>3430000</v>
      </c>
      <c r="O418" s="41">
        <v>3430000</v>
      </c>
      <c r="P418" s="24"/>
      <c r="Q418" s="24"/>
      <c r="R418" s="24"/>
      <c r="S418" s="41">
        <f t="shared" si="138"/>
        <v>3430000</v>
      </c>
      <c r="T418" s="24">
        <v>5</v>
      </c>
      <c r="U418" s="41"/>
      <c r="V418" s="24">
        <v>0.5</v>
      </c>
      <c r="W418" s="41">
        <f t="shared" si="146"/>
        <v>0</v>
      </c>
      <c r="X418" s="24"/>
      <c r="Y418" s="41">
        <f t="shared" si="147"/>
        <v>0</v>
      </c>
      <c r="Z418" s="41">
        <f t="shared" si="141"/>
        <v>0</v>
      </c>
      <c r="AA418" s="24">
        <v>5</v>
      </c>
      <c r="AB418" s="41">
        <v>3430000</v>
      </c>
      <c r="AC418" s="41">
        <f t="shared" si="142"/>
        <v>0</v>
      </c>
      <c r="AD418" s="70" t="s">
        <v>224</v>
      </c>
      <c r="AE418" s="70"/>
      <c r="AF418" s="1">
        <v>3430000</v>
      </c>
      <c r="AG418" s="5">
        <f t="shared" si="130"/>
        <v>0</v>
      </c>
      <c r="AH418" s="5"/>
    </row>
    <row r="419" spans="1:34" s="1" customFormat="1" x14ac:dyDescent="0.25">
      <c r="A419" s="21">
        <v>23</v>
      </c>
      <c r="B419" s="22" t="s">
        <v>1691</v>
      </c>
      <c r="C419" s="22" t="s">
        <v>494</v>
      </c>
      <c r="D419" s="51" t="s">
        <v>483</v>
      </c>
      <c r="E419" s="24" t="s">
        <v>493</v>
      </c>
      <c r="F419" s="24"/>
      <c r="G419" s="24" t="s">
        <v>194</v>
      </c>
      <c r="H419" s="24" t="s">
        <v>62</v>
      </c>
      <c r="I419" s="24">
        <v>2012</v>
      </c>
      <c r="J419" s="24"/>
      <c r="K419" s="24" t="s">
        <v>63</v>
      </c>
      <c r="L419" s="24" t="s">
        <v>64</v>
      </c>
      <c r="M419" s="24">
        <v>14</v>
      </c>
      <c r="N419" s="41">
        <f t="shared" si="145"/>
        <v>3430000</v>
      </c>
      <c r="O419" s="41">
        <v>48020000</v>
      </c>
      <c r="P419" s="24"/>
      <c r="Q419" s="24"/>
      <c r="R419" s="24"/>
      <c r="S419" s="41">
        <f t="shared" si="138"/>
        <v>48020000</v>
      </c>
      <c r="T419" s="24">
        <v>5</v>
      </c>
      <c r="U419" s="41"/>
      <c r="V419" s="24">
        <v>0.5</v>
      </c>
      <c r="W419" s="41">
        <f t="shared" si="146"/>
        <v>0</v>
      </c>
      <c r="X419" s="24"/>
      <c r="Y419" s="41">
        <f t="shared" si="147"/>
        <v>0</v>
      </c>
      <c r="Z419" s="41">
        <f t="shared" si="141"/>
        <v>0</v>
      </c>
      <c r="AA419" s="24">
        <v>5</v>
      </c>
      <c r="AB419" s="41">
        <v>48020000</v>
      </c>
      <c r="AC419" s="41">
        <f t="shared" si="142"/>
        <v>0</v>
      </c>
      <c r="AD419" s="70" t="s">
        <v>350</v>
      </c>
      <c r="AE419" s="70"/>
      <c r="AF419" s="1">
        <v>48020000</v>
      </c>
      <c r="AG419" s="5">
        <f t="shared" si="130"/>
        <v>0</v>
      </c>
      <c r="AH419" s="5"/>
    </row>
    <row r="420" spans="1:34" s="1" customFormat="1" x14ac:dyDescent="0.25">
      <c r="A420" s="21">
        <v>24</v>
      </c>
      <c r="B420" s="22" t="s">
        <v>1691</v>
      </c>
      <c r="C420" s="22" t="s">
        <v>495</v>
      </c>
      <c r="D420" s="51" t="s">
        <v>483</v>
      </c>
      <c r="E420" s="24" t="s">
        <v>493</v>
      </c>
      <c r="F420" s="24"/>
      <c r="G420" s="24" t="s">
        <v>194</v>
      </c>
      <c r="H420" s="24" t="s">
        <v>62</v>
      </c>
      <c r="I420" s="24">
        <v>2012</v>
      </c>
      <c r="J420" s="24"/>
      <c r="K420" s="24" t="s">
        <v>63</v>
      </c>
      <c r="L420" s="24" t="s">
        <v>64</v>
      </c>
      <c r="M420" s="24">
        <v>18</v>
      </c>
      <c r="N420" s="41">
        <f t="shared" si="145"/>
        <v>3430000</v>
      </c>
      <c r="O420" s="41">
        <v>61740000</v>
      </c>
      <c r="P420" s="24"/>
      <c r="Q420" s="24"/>
      <c r="R420" s="24"/>
      <c r="S420" s="41">
        <f t="shared" si="138"/>
        <v>61740000</v>
      </c>
      <c r="T420" s="24">
        <v>5</v>
      </c>
      <c r="U420" s="41"/>
      <c r="V420" s="24">
        <v>0.5</v>
      </c>
      <c r="W420" s="41">
        <f t="shared" si="146"/>
        <v>0</v>
      </c>
      <c r="X420" s="24"/>
      <c r="Y420" s="41">
        <f t="shared" si="147"/>
        <v>0</v>
      </c>
      <c r="Z420" s="41">
        <f t="shared" si="141"/>
        <v>0</v>
      </c>
      <c r="AA420" s="24">
        <v>5</v>
      </c>
      <c r="AB420" s="41">
        <v>61740000</v>
      </c>
      <c r="AC420" s="41">
        <f t="shared" si="142"/>
        <v>0</v>
      </c>
      <c r="AD420" s="70" t="s">
        <v>354</v>
      </c>
      <c r="AE420" s="70"/>
      <c r="AF420" s="1">
        <v>61740000</v>
      </c>
      <c r="AG420" s="5">
        <f t="shared" si="130"/>
        <v>0</v>
      </c>
      <c r="AH420" s="5"/>
    </row>
    <row r="421" spans="1:34" s="1" customFormat="1" x14ac:dyDescent="0.25">
      <c r="A421" s="21">
        <v>25</v>
      </c>
      <c r="B421" s="22" t="s">
        <v>1691</v>
      </c>
      <c r="C421" s="22" t="s">
        <v>496</v>
      </c>
      <c r="D421" s="51" t="s">
        <v>483</v>
      </c>
      <c r="E421" s="24" t="s">
        <v>493</v>
      </c>
      <c r="F421" s="24"/>
      <c r="G421" s="24" t="s">
        <v>194</v>
      </c>
      <c r="H421" s="24" t="s">
        <v>62</v>
      </c>
      <c r="I421" s="24">
        <v>2012</v>
      </c>
      <c r="J421" s="24"/>
      <c r="K421" s="24" t="s">
        <v>63</v>
      </c>
      <c r="L421" s="24" t="s">
        <v>64</v>
      </c>
      <c r="M421" s="24">
        <v>6</v>
      </c>
      <c r="N421" s="41">
        <f t="shared" si="145"/>
        <v>3430000</v>
      </c>
      <c r="O421" s="41">
        <v>20580000</v>
      </c>
      <c r="P421" s="24"/>
      <c r="Q421" s="24"/>
      <c r="R421" s="24"/>
      <c r="S421" s="41">
        <f t="shared" si="138"/>
        <v>20580000</v>
      </c>
      <c r="T421" s="24">
        <v>5</v>
      </c>
      <c r="U421" s="41"/>
      <c r="V421" s="24">
        <v>0.5</v>
      </c>
      <c r="W421" s="41">
        <f t="shared" si="146"/>
        <v>0</v>
      </c>
      <c r="X421" s="24"/>
      <c r="Y421" s="41">
        <f t="shared" si="147"/>
        <v>0</v>
      </c>
      <c r="Z421" s="41">
        <f t="shared" si="141"/>
        <v>0</v>
      </c>
      <c r="AA421" s="24">
        <v>5</v>
      </c>
      <c r="AB421" s="41">
        <v>20580000</v>
      </c>
      <c r="AC421" s="41">
        <f t="shared" si="142"/>
        <v>0</v>
      </c>
      <c r="AD421" s="70" t="s">
        <v>287</v>
      </c>
      <c r="AE421" s="70"/>
      <c r="AF421" s="1">
        <v>20580000</v>
      </c>
      <c r="AG421" s="5">
        <f t="shared" si="130"/>
        <v>0</v>
      </c>
      <c r="AH421" s="5"/>
    </row>
    <row r="422" spans="1:34" s="1" customFormat="1" x14ac:dyDescent="0.25">
      <c r="A422" s="21">
        <v>26</v>
      </c>
      <c r="B422" s="22" t="s">
        <v>1691</v>
      </c>
      <c r="C422" s="22" t="s">
        <v>497</v>
      </c>
      <c r="D422" s="51" t="s">
        <v>483</v>
      </c>
      <c r="E422" s="24" t="s">
        <v>493</v>
      </c>
      <c r="F422" s="24"/>
      <c r="G422" s="24" t="s">
        <v>194</v>
      </c>
      <c r="H422" s="24" t="s">
        <v>62</v>
      </c>
      <c r="I422" s="24">
        <v>2012</v>
      </c>
      <c r="J422" s="24"/>
      <c r="K422" s="24" t="s">
        <v>63</v>
      </c>
      <c r="L422" s="24" t="s">
        <v>64</v>
      </c>
      <c r="M422" s="24">
        <v>2</v>
      </c>
      <c r="N422" s="41">
        <f t="shared" si="145"/>
        <v>3430000</v>
      </c>
      <c r="O422" s="41">
        <v>6860000</v>
      </c>
      <c r="P422" s="24"/>
      <c r="Q422" s="24"/>
      <c r="R422" s="24"/>
      <c r="S422" s="41">
        <f t="shared" si="138"/>
        <v>6860000</v>
      </c>
      <c r="T422" s="24">
        <v>5</v>
      </c>
      <c r="U422" s="41"/>
      <c r="V422" s="24">
        <v>0.5</v>
      </c>
      <c r="W422" s="41">
        <f t="shared" si="146"/>
        <v>0</v>
      </c>
      <c r="X422" s="24"/>
      <c r="Y422" s="41">
        <f t="shared" si="147"/>
        <v>0</v>
      </c>
      <c r="Z422" s="41">
        <f t="shared" si="141"/>
        <v>0</v>
      </c>
      <c r="AA422" s="24">
        <v>5</v>
      </c>
      <c r="AB422" s="41">
        <v>6860000</v>
      </c>
      <c r="AC422" s="41">
        <f t="shared" si="142"/>
        <v>0</v>
      </c>
      <c r="AD422" s="70" t="s">
        <v>303</v>
      </c>
      <c r="AE422" s="70"/>
      <c r="AF422" s="1">
        <v>6860000</v>
      </c>
      <c r="AG422" s="5">
        <f t="shared" si="130"/>
        <v>0</v>
      </c>
      <c r="AH422" s="5"/>
    </row>
    <row r="423" spans="1:34" s="1" customFormat="1" x14ac:dyDescent="0.25">
      <c r="A423" s="21">
        <v>27</v>
      </c>
      <c r="B423" s="22" t="s">
        <v>1691</v>
      </c>
      <c r="C423" s="22" t="s">
        <v>498</v>
      </c>
      <c r="D423" s="51" t="s">
        <v>483</v>
      </c>
      <c r="E423" s="24" t="s">
        <v>493</v>
      </c>
      <c r="F423" s="24"/>
      <c r="G423" s="24" t="s">
        <v>194</v>
      </c>
      <c r="H423" s="24" t="s">
        <v>62</v>
      </c>
      <c r="I423" s="24">
        <v>2012</v>
      </c>
      <c r="J423" s="24"/>
      <c r="K423" s="24" t="s">
        <v>63</v>
      </c>
      <c r="L423" s="24" t="s">
        <v>64</v>
      </c>
      <c r="M423" s="24">
        <v>2</v>
      </c>
      <c r="N423" s="41">
        <f t="shared" si="145"/>
        <v>3430000</v>
      </c>
      <c r="O423" s="41">
        <v>6860000</v>
      </c>
      <c r="P423" s="24"/>
      <c r="Q423" s="24"/>
      <c r="R423" s="24"/>
      <c r="S423" s="41">
        <f t="shared" si="138"/>
        <v>6860000</v>
      </c>
      <c r="T423" s="24">
        <v>5</v>
      </c>
      <c r="U423" s="41"/>
      <c r="V423" s="24">
        <v>0.5</v>
      </c>
      <c r="W423" s="41">
        <f t="shared" si="146"/>
        <v>0</v>
      </c>
      <c r="X423" s="24"/>
      <c r="Y423" s="41">
        <f t="shared" si="147"/>
        <v>0</v>
      </c>
      <c r="Z423" s="41">
        <f t="shared" si="141"/>
        <v>0</v>
      </c>
      <c r="AA423" s="24">
        <v>5</v>
      </c>
      <c r="AB423" s="41">
        <v>6860000</v>
      </c>
      <c r="AC423" s="41">
        <f t="shared" si="142"/>
        <v>0</v>
      </c>
      <c r="AD423" s="70" t="s">
        <v>305</v>
      </c>
      <c r="AE423" s="70"/>
      <c r="AF423" s="1">
        <v>6860000</v>
      </c>
      <c r="AG423" s="5">
        <f t="shared" si="130"/>
        <v>0</v>
      </c>
      <c r="AH423" s="5"/>
    </row>
    <row r="424" spans="1:34" s="1" customFormat="1" x14ac:dyDescent="0.25">
      <c r="A424" s="21">
        <v>28</v>
      </c>
      <c r="B424" s="22" t="s">
        <v>1691</v>
      </c>
      <c r="C424" s="22" t="s">
        <v>499</v>
      </c>
      <c r="D424" s="51" t="s">
        <v>483</v>
      </c>
      <c r="E424" s="24" t="s">
        <v>493</v>
      </c>
      <c r="F424" s="24"/>
      <c r="G424" s="24" t="s">
        <v>194</v>
      </c>
      <c r="H424" s="24" t="s">
        <v>62</v>
      </c>
      <c r="I424" s="24">
        <v>2012</v>
      </c>
      <c r="J424" s="24"/>
      <c r="K424" s="24" t="s">
        <v>63</v>
      </c>
      <c r="L424" s="24" t="s">
        <v>64</v>
      </c>
      <c r="M424" s="24">
        <v>2</v>
      </c>
      <c r="N424" s="41">
        <f t="shared" si="145"/>
        <v>3430000</v>
      </c>
      <c r="O424" s="41">
        <v>6860000</v>
      </c>
      <c r="P424" s="24"/>
      <c r="Q424" s="24"/>
      <c r="R424" s="24"/>
      <c r="S424" s="41">
        <f t="shared" si="138"/>
        <v>6860000</v>
      </c>
      <c r="T424" s="24">
        <v>5</v>
      </c>
      <c r="U424" s="41"/>
      <c r="V424" s="24">
        <v>0.5</v>
      </c>
      <c r="W424" s="41">
        <f t="shared" si="146"/>
        <v>0</v>
      </c>
      <c r="X424" s="24"/>
      <c r="Y424" s="41">
        <f t="shared" si="147"/>
        <v>0</v>
      </c>
      <c r="Z424" s="41">
        <f t="shared" si="141"/>
        <v>0</v>
      </c>
      <c r="AA424" s="24">
        <v>5</v>
      </c>
      <c r="AB424" s="41">
        <v>6860000</v>
      </c>
      <c r="AC424" s="41">
        <f t="shared" si="142"/>
        <v>0</v>
      </c>
      <c r="AD424" s="70" t="s">
        <v>363</v>
      </c>
      <c r="AE424" s="70"/>
      <c r="AF424" s="1">
        <v>6860000</v>
      </c>
      <c r="AG424" s="5">
        <f t="shared" si="130"/>
        <v>0</v>
      </c>
      <c r="AH424" s="5"/>
    </row>
    <row r="425" spans="1:34" s="1" customFormat="1" x14ac:dyDescent="0.25">
      <c r="A425" s="21">
        <v>29</v>
      </c>
      <c r="B425" s="22" t="s">
        <v>1691</v>
      </c>
      <c r="C425" s="22" t="s">
        <v>500</v>
      </c>
      <c r="D425" s="51" t="s">
        <v>483</v>
      </c>
      <c r="E425" s="24" t="s">
        <v>493</v>
      </c>
      <c r="F425" s="24"/>
      <c r="G425" s="24" t="s">
        <v>194</v>
      </c>
      <c r="H425" s="24" t="s">
        <v>62</v>
      </c>
      <c r="I425" s="24">
        <v>2012</v>
      </c>
      <c r="J425" s="24"/>
      <c r="K425" s="24" t="s">
        <v>63</v>
      </c>
      <c r="L425" s="24" t="s">
        <v>64</v>
      </c>
      <c r="M425" s="24">
        <v>2</v>
      </c>
      <c r="N425" s="41">
        <f t="shared" si="145"/>
        <v>3430000</v>
      </c>
      <c r="O425" s="41">
        <v>6860000</v>
      </c>
      <c r="P425" s="24"/>
      <c r="Q425" s="24"/>
      <c r="R425" s="24"/>
      <c r="S425" s="41">
        <f t="shared" si="138"/>
        <v>6860000</v>
      </c>
      <c r="T425" s="24">
        <v>5</v>
      </c>
      <c r="U425" s="41"/>
      <c r="V425" s="24">
        <v>0.5</v>
      </c>
      <c r="W425" s="41">
        <f t="shared" si="146"/>
        <v>0</v>
      </c>
      <c r="X425" s="24"/>
      <c r="Y425" s="41">
        <f t="shared" si="147"/>
        <v>0</v>
      </c>
      <c r="Z425" s="41">
        <f t="shared" si="141"/>
        <v>0</v>
      </c>
      <c r="AA425" s="24">
        <v>5</v>
      </c>
      <c r="AB425" s="41">
        <v>6860000</v>
      </c>
      <c r="AC425" s="41">
        <f t="shared" si="142"/>
        <v>0</v>
      </c>
      <c r="AD425" s="70" t="s">
        <v>473</v>
      </c>
      <c r="AE425" s="70"/>
      <c r="AF425" s="1">
        <v>6860000</v>
      </c>
      <c r="AG425" s="5">
        <f t="shared" si="130"/>
        <v>0</v>
      </c>
      <c r="AH425" s="5"/>
    </row>
    <row r="426" spans="1:34" s="1" customFormat="1" x14ac:dyDescent="0.25">
      <c r="A426" s="21">
        <v>30</v>
      </c>
      <c r="B426" s="22" t="s">
        <v>1691</v>
      </c>
      <c r="C426" s="22" t="s">
        <v>501</v>
      </c>
      <c r="D426" s="51" t="s">
        <v>483</v>
      </c>
      <c r="E426" s="24" t="s">
        <v>493</v>
      </c>
      <c r="F426" s="24"/>
      <c r="G426" s="24" t="s">
        <v>194</v>
      </c>
      <c r="H426" s="24" t="s">
        <v>62</v>
      </c>
      <c r="I426" s="24">
        <v>2012</v>
      </c>
      <c r="J426" s="24"/>
      <c r="K426" s="24" t="s">
        <v>63</v>
      </c>
      <c r="L426" s="24" t="s">
        <v>64</v>
      </c>
      <c r="M426" s="24">
        <v>1</v>
      </c>
      <c r="N426" s="41">
        <f t="shared" si="145"/>
        <v>3430000</v>
      </c>
      <c r="O426" s="41">
        <v>3430000</v>
      </c>
      <c r="P426" s="24"/>
      <c r="Q426" s="24"/>
      <c r="R426" s="24"/>
      <c r="S426" s="41">
        <f t="shared" ref="S426:S489" si="148">SUM(O426-R426)</f>
        <v>3430000</v>
      </c>
      <c r="T426" s="24">
        <v>5</v>
      </c>
      <c r="U426" s="41"/>
      <c r="V426" s="24">
        <v>0.5</v>
      </c>
      <c r="W426" s="41">
        <f t="shared" si="146"/>
        <v>0</v>
      </c>
      <c r="X426" s="24"/>
      <c r="Y426" s="41">
        <f t="shared" si="147"/>
        <v>0</v>
      </c>
      <c r="Z426" s="41">
        <f t="shared" si="141"/>
        <v>0</v>
      </c>
      <c r="AA426" s="24">
        <v>5</v>
      </c>
      <c r="AB426" s="41">
        <v>3430000</v>
      </c>
      <c r="AC426" s="41">
        <f t="shared" ref="AC426:AC489" si="149">SUM(O426-AB426)</f>
        <v>0</v>
      </c>
      <c r="AD426" s="70" t="s">
        <v>477</v>
      </c>
      <c r="AE426" s="70"/>
      <c r="AF426" s="1">
        <v>3430000</v>
      </c>
      <c r="AG426" s="5">
        <f t="shared" si="130"/>
        <v>0</v>
      </c>
      <c r="AH426" s="5"/>
    </row>
    <row r="427" spans="1:34" s="1" customFormat="1" x14ac:dyDescent="0.25">
      <c r="A427" s="21">
        <v>31</v>
      </c>
      <c r="B427" s="22" t="s">
        <v>1691</v>
      </c>
      <c r="C427" s="22" t="s">
        <v>502</v>
      </c>
      <c r="D427" s="51" t="s">
        <v>483</v>
      </c>
      <c r="E427" s="24" t="s">
        <v>493</v>
      </c>
      <c r="F427" s="24"/>
      <c r="G427" s="24" t="s">
        <v>194</v>
      </c>
      <c r="H427" s="24" t="s">
        <v>62</v>
      </c>
      <c r="I427" s="24">
        <v>2012</v>
      </c>
      <c r="J427" s="24"/>
      <c r="K427" s="24" t="s">
        <v>63</v>
      </c>
      <c r="L427" s="24" t="s">
        <v>64</v>
      </c>
      <c r="M427" s="24">
        <v>2</v>
      </c>
      <c r="N427" s="41">
        <f t="shared" si="145"/>
        <v>3430000</v>
      </c>
      <c r="O427" s="41">
        <v>6860000</v>
      </c>
      <c r="P427" s="24"/>
      <c r="Q427" s="24"/>
      <c r="R427" s="24"/>
      <c r="S427" s="41">
        <f t="shared" si="148"/>
        <v>6860000</v>
      </c>
      <c r="T427" s="24">
        <v>5</v>
      </c>
      <c r="U427" s="41"/>
      <c r="V427" s="24">
        <v>0.5</v>
      </c>
      <c r="W427" s="41">
        <f t="shared" si="146"/>
        <v>0</v>
      </c>
      <c r="X427" s="24"/>
      <c r="Y427" s="41">
        <f t="shared" si="147"/>
        <v>0</v>
      </c>
      <c r="Z427" s="41">
        <f t="shared" si="141"/>
        <v>0</v>
      </c>
      <c r="AA427" s="24">
        <v>5</v>
      </c>
      <c r="AB427" s="41">
        <v>6860000</v>
      </c>
      <c r="AC427" s="41">
        <f t="shared" si="149"/>
        <v>0</v>
      </c>
      <c r="AD427" s="70" t="s">
        <v>226</v>
      </c>
      <c r="AE427" s="70"/>
      <c r="AF427" s="1">
        <v>6860000</v>
      </c>
      <c r="AG427" s="5">
        <f t="shared" si="130"/>
        <v>0</v>
      </c>
      <c r="AH427" s="5"/>
    </row>
    <row r="428" spans="1:34" s="1" customFormat="1" x14ac:dyDescent="0.25">
      <c r="A428" s="21">
        <v>32</v>
      </c>
      <c r="B428" s="22" t="s">
        <v>1691</v>
      </c>
      <c r="C428" s="22" t="s">
        <v>503</v>
      </c>
      <c r="D428" s="51" t="s">
        <v>483</v>
      </c>
      <c r="E428" s="24" t="s">
        <v>493</v>
      </c>
      <c r="F428" s="24"/>
      <c r="G428" s="24" t="s">
        <v>194</v>
      </c>
      <c r="H428" s="24" t="s">
        <v>62</v>
      </c>
      <c r="I428" s="24">
        <v>2012</v>
      </c>
      <c r="J428" s="24"/>
      <c r="K428" s="24" t="s">
        <v>63</v>
      </c>
      <c r="L428" s="24" t="s">
        <v>64</v>
      </c>
      <c r="M428" s="24">
        <v>2</v>
      </c>
      <c r="N428" s="41">
        <f t="shared" si="145"/>
        <v>3430000</v>
      </c>
      <c r="O428" s="41">
        <v>6860000</v>
      </c>
      <c r="P428" s="24"/>
      <c r="Q428" s="24"/>
      <c r="R428" s="24"/>
      <c r="S428" s="41">
        <f t="shared" si="148"/>
        <v>6860000</v>
      </c>
      <c r="T428" s="24">
        <v>5</v>
      </c>
      <c r="U428" s="41"/>
      <c r="V428" s="24">
        <v>0.5</v>
      </c>
      <c r="W428" s="41">
        <f t="shared" si="146"/>
        <v>0</v>
      </c>
      <c r="X428" s="24"/>
      <c r="Y428" s="41">
        <f t="shared" si="147"/>
        <v>0</v>
      </c>
      <c r="Z428" s="41">
        <f t="shared" si="141"/>
        <v>0</v>
      </c>
      <c r="AA428" s="24">
        <v>5</v>
      </c>
      <c r="AB428" s="41">
        <v>6860000</v>
      </c>
      <c r="AC428" s="41">
        <f t="shared" si="149"/>
        <v>0</v>
      </c>
      <c r="AD428" s="70" t="s">
        <v>504</v>
      </c>
      <c r="AE428" s="70"/>
      <c r="AF428" s="1">
        <v>6860000</v>
      </c>
      <c r="AG428" s="5">
        <f t="shared" si="130"/>
        <v>0</v>
      </c>
      <c r="AH428" s="5"/>
    </row>
    <row r="429" spans="1:34" s="1" customFormat="1" x14ac:dyDescent="0.25">
      <c r="A429" s="21">
        <v>33</v>
      </c>
      <c r="B429" s="22" t="s">
        <v>1691</v>
      </c>
      <c r="C429" s="22" t="s">
        <v>505</v>
      </c>
      <c r="D429" s="51" t="s">
        <v>483</v>
      </c>
      <c r="E429" s="24" t="s">
        <v>493</v>
      </c>
      <c r="F429" s="24"/>
      <c r="G429" s="24" t="s">
        <v>194</v>
      </c>
      <c r="H429" s="24" t="s">
        <v>62</v>
      </c>
      <c r="I429" s="24">
        <v>2012</v>
      </c>
      <c r="J429" s="24"/>
      <c r="K429" s="24" t="s">
        <v>63</v>
      </c>
      <c r="L429" s="24" t="s">
        <v>64</v>
      </c>
      <c r="M429" s="24">
        <v>2</v>
      </c>
      <c r="N429" s="41">
        <f t="shared" si="145"/>
        <v>3430000</v>
      </c>
      <c r="O429" s="41">
        <v>6860000</v>
      </c>
      <c r="P429" s="24"/>
      <c r="Q429" s="24"/>
      <c r="R429" s="24"/>
      <c r="S429" s="41">
        <f t="shared" si="148"/>
        <v>6860000</v>
      </c>
      <c r="T429" s="24">
        <v>5</v>
      </c>
      <c r="U429" s="41"/>
      <c r="V429" s="24">
        <v>0.5</v>
      </c>
      <c r="W429" s="41">
        <f t="shared" si="146"/>
        <v>0</v>
      </c>
      <c r="X429" s="24"/>
      <c r="Y429" s="41">
        <f t="shared" si="147"/>
        <v>0</v>
      </c>
      <c r="Z429" s="41">
        <f t="shared" si="141"/>
        <v>0</v>
      </c>
      <c r="AA429" s="24">
        <v>5</v>
      </c>
      <c r="AB429" s="41">
        <v>6860000</v>
      </c>
      <c r="AC429" s="41">
        <f t="shared" si="149"/>
        <v>0</v>
      </c>
      <c r="AD429" s="70" t="s">
        <v>388</v>
      </c>
      <c r="AE429" s="70"/>
      <c r="AF429" s="1">
        <v>6860000</v>
      </c>
      <c r="AG429" s="5">
        <f t="shared" si="130"/>
        <v>0</v>
      </c>
      <c r="AH429" s="5"/>
    </row>
    <row r="430" spans="1:34" s="1" customFormat="1" x14ac:dyDescent="0.25">
      <c r="A430" s="21">
        <v>34</v>
      </c>
      <c r="B430" s="22" t="s">
        <v>1691</v>
      </c>
      <c r="C430" s="22" t="s">
        <v>506</v>
      </c>
      <c r="D430" s="51" t="s">
        <v>483</v>
      </c>
      <c r="E430" s="24" t="s">
        <v>493</v>
      </c>
      <c r="F430" s="24"/>
      <c r="G430" s="24" t="s">
        <v>194</v>
      </c>
      <c r="H430" s="24" t="s">
        <v>62</v>
      </c>
      <c r="I430" s="24">
        <v>2012</v>
      </c>
      <c r="J430" s="24"/>
      <c r="K430" s="24" t="s">
        <v>63</v>
      </c>
      <c r="L430" s="24" t="s">
        <v>64</v>
      </c>
      <c r="M430" s="24">
        <v>1</v>
      </c>
      <c r="N430" s="41">
        <f t="shared" si="145"/>
        <v>3430000</v>
      </c>
      <c r="O430" s="41">
        <v>3430000</v>
      </c>
      <c r="P430" s="24"/>
      <c r="Q430" s="24"/>
      <c r="R430" s="24"/>
      <c r="S430" s="41">
        <f t="shared" si="148"/>
        <v>3430000</v>
      </c>
      <c r="T430" s="24">
        <v>5</v>
      </c>
      <c r="U430" s="41"/>
      <c r="V430" s="24">
        <v>0.5</v>
      </c>
      <c r="W430" s="41">
        <f t="shared" si="146"/>
        <v>0</v>
      </c>
      <c r="X430" s="24"/>
      <c r="Y430" s="41">
        <f t="shared" si="147"/>
        <v>0</v>
      </c>
      <c r="Z430" s="41">
        <f t="shared" si="141"/>
        <v>0</v>
      </c>
      <c r="AA430" s="24">
        <v>5</v>
      </c>
      <c r="AB430" s="41">
        <v>3430000</v>
      </c>
      <c r="AC430" s="41">
        <f t="shared" si="149"/>
        <v>0</v>
      </c>
      <c r="AD430" s="70" t="s">
        <v>385</v>
      </c>
      <c r="AE430" s="70"/>
      <c r="AF430" s="1">
        <v>3430000</v>
      </c>
      <c r="AG430" s="5">
        <f t="shared" si="130"/>
        <v>0</v>
      </c>
      <c r="AH430" s="5"/>
    </row>
    <row r="431" spans="1:34" s="1" customFormat="1" x14ac:dyDescent="0.25">
      <c r="A431" s="21">
        <v>35</v>
      </c>
      <c r="B431" s="22" t="s">
        <v>1691</v>
      </c>
      <c r="C431" s="22" t="s">
        <v>507</v>
      </c>
      <c r="D431" s="51" t="s">
        <v>483</v>
      </c>
      <c r="E431" s="24" t="s">
        <v>493</v>
      </c>
      <c r="F431" s="24"/>
      <c r="G431" s="24" t="s">
        <v>194</v>
      </c>
      <c r="H431" s="24" t="s">
        <v>62</v>
      </c>
      <c r="I431" s="24">
        <v>2012</v>
      </c>
      <c r="J431" s="24"/>
      <c r="K431" s="24" t="s">
        <v>63</v>
      </c>
      <c r="L431" s="24" t="s">
        <v>64</v>
      </c>
      <c r="M431" s="24">
        <v>1</v>
      </c>
      <c r="N431" s="41">
        <f t="shared" si="145"/>
        <v>3430000</v>
      </c>
      <c r="O431" s="41">
        <v>3430000</v>
      </c>
      <c r="P431" s="24"/>
      <c r="Q431" s="24"/>
      <c r="R431" s="24"/>
      <c r="S431" s="41">
        <f t="shared" si="148"/>
        <v>3430000</v>
      </c>
      <c r="T431" s="24">
        <v>5</v>
      </c>
      <c r="U431" s="41"/>
      <c r="V431" s="24">
        <v>0.5</v>
      </c>
      <c r="W431" s="41">
        <f t="shared" si="146"/>
        <v>0</v>
      </c>
      <c r="X431" s="24"/>
      <c r="Y431" s="41">
        <f t="shared" si="147"/>
        <v>0</v>
      </c>
      <c r="Z431" s="41">
        <f t="shared" si="141"/>
        <v>0</v>
      </c>
      <c r="AA431" s="24">
        <v>5</v>
      </c>
      <c r="AB431" s="41">
        <v>3430000</v>
      </c>
      <c r="AC431" s="41">
        <f t="shared" si="149"/>
        <v>0</v>
      </c>
      <c r="AD431" s="70" t="s">
        <v>311</v>
      </c>
      <c r="AE431" s="70"/>
      <c r="AF431" s="1">
        <v>3430000</v>
      </c>
      <c r="AG431" s="5">
        <f t="shared" si="130"/>
        <v>0</v>
      </c>
      <c r="AH431" s="5"/>
    </row>
    <row r="432" spans="1:34" s="1" customFormat="1" x14ac:dyDescent="0.25">
      <c r="A432" s="21">
        <v>36</v>
      </c>
      <c r="B432" s="22" t="s">
        <v>1691</v>
      </c>
      <c r="C432" s="22" t="s">
        <v>508</v>
      </c>
      <c r="D432" s="51" t="s">
        <v>483</v>
      </c>
      <c r="E432" s="24" t="s">
        <v>493</v>
      </c>
      <c r="F432" s="24"/>
      <c r="G432" s="24" t="s">
        <v>194</v>
      </c>
      <c r="H432" s="24" t="s">
        <v>62</v>
      </c>
      <c r="I432" s="24">
        <v>2012</v>
      </c>
      <c r="J432" s="24"/>
      <c r="K432" s="24" t="s">
        <v>63</v>
      </c>
      <c r="L432" s="24" t="s">
        <v>64</v>
      </c>
      <c r="M432" s="24">
        <v>1</v>
      </c>
      <c r="N432" s="41">
        <f t="shared" si="145"/>
        <v>3430000</v>
      </c>
      <c r="O432" s="41">
        <v>3430000</v>
      </c>
      <c r="P432" s="24"/>
      <c r="Q432" s="24"/>
      <c r="R432" s="24"/>
      <c r="S432" s="41">
        <f t="shared" si="148"/>
        <v>3430000</v>
      </c>
      <c r="T432" s="24">
        <v>5</v>
      </c>
      <c r="U432" s="41"/>
      <c r="V432" s="24">
        <v>0.5</v>
      </c>
      <c r="W432" s="41">
        <f t="shared" si="146"/>
        <v>0</v>
      </c>
      <c r="X432" s="24"/>
      <c r="Y432" s="41">
        <f t="shared" si="147"/>
        <v>0</v>
      </c>
      <c r="Z432" s="41">
        <f t="shared" si="141"/>
        <v>0</v>
      </c>
      <c r="AA432" s="24">
        <v>5</v>
      </c>
      <c r="AB432" s="41">
        <v>3430000</v>
      </c>
      <c r="AC432" s="41">
        <f t="shared" si="149"/>
        <v>0</v>
      </c>
      <c r="AD432" s="70" t="s">
        <v>217</v>
      </c>
      <c r="AE432" s="70"/>
      <c r="AF432" s="1">
        <v>3430000</v>
      </c>
      <c r="AG432" s="5">
        <f t="shared" si="130"/>
        <v>0</v>
      </c>
      <c r="AH432" s="5"/>
    </row>
    <row r="433" spans="1:34" s="1" customFormat="1" x14ac:dyDescent="0.25">
      <c r="A433" s="21">
        <v>37</v>
      </c>
      <c r="B433" s="22" t="s">
        <v>1691</v>
      </c>
      <c r="C433" s="22" t="s">
        <v>509</v>
      </c>
      <c r="D433" s="51" t="s">
        <v>483</v>
      </c>
      <c r="E433" s="24" t="s">
        <v>493</v>
      </c>
      <c r="F433" s="24"/>
      <c r="G433" s="24" t="s">
        <v>194</v>
      </c>
      <c r="H433" s="24" t="s">
        <v>62</v>
      </c>
      <c r="I433" s="24">
        <v>2012</v>
      </c>
      <c r="J433" s="24"/>
      <c r="K433" s="24" t="s">
        <v>63</v>
      </c>
      <c r="L433" s="24" t="s">
        <v>64</v>
      </c>
      <c r="M433" s="24">
        <v>4</v>
      </c>
      <c r="N433" s="41">
        <f t="shared" si="145"/>
        <v>3430000</v>
      </c>
      <c r="O433" s="41">
        <v>13720000</v>
      </c>
      <c r="P433" s="24"/>
      <c r="Q433" s="24"/>
      <c r="R433" s="24"/>
      <c r="S433" s="41">
        <f t="shared" si="148"/>
        <v>13720000</v>
      </c>
      <c r="T433" s="24">
        <v>5</v>
      </c>
      <c r="U433" s="41"/>
      <c r="V433" s="24">
        <v>0.5</v>
      </c>
      <c r="W433" s="41">
        <f t="shared" si="146"/>
        <v>0</v>
      </c>
      <c r="X433" s="24"/>
      <c r="Y433" s="41">
        <f t="shared" si="147"/>
        <v>0</v>
      </c>
      <c r="Z433" s="41">
        <f t="shared" si="141"/>
        <v>0</v>
      </c>
      <c r="AA433" s="24">
        <v>5</v>
      </c>
      <c r="AB433" s="41">
        <v>13720000</v>
      </c>
      <c r="AC433" s="41">
        <f t="shared" si="149"/>
        <v>0</v>
      </c>
      <c r="AD433" s="70" t="s">
        <v>301</v>
      </c>
      <c r="AE433" s="70"/>
      <c r="AF433" s="1">
        <v>13720000</v>
      </c>
      <c r="AG433" s="5">
        <f t="shared" si="130"/>
        <v>0</v>
      </c>
      <c r="AH433" s="5"/>
    </row>
    <row r="434" spans="1:34" s="1" customFormat="1" x14ac:dyDescent="0.25">
      <c r="A434" s="21">
        <v>38</v>
      </c>
      <c r="B434" s="22" t="s">
        <v>1691</v>
      </c>
      <c r="C434" s="22" t="s">
        <v>510</v>
      </c>
      <c r="D434" s="51" t="s">
        <v>511</v>
      </c>
      <c r="E434" s="24" t="s">
        <v>512</v>
      </c>
      <c r="F434" s="24"/>
      <c r="G434" s="24" t="s">
        <v>194</v>
      </c>
      <c r="H434" s="24" t="s">
        <v>62</v>
      </c>
      <c r="I434" s="24">
        <v>2013</v>
      </c>
      <c r="J434" s="24"/>
      <c r="K434" s="24" t="s">
        <v>63</v>
      </c>
      <c r="L434" s="24" t="s">
        <v>64</v>
      </c>
      <c r="M434" s="24">
        <v>1</v>
      </c>
      <c r="N434" s="41">
        <f t="shared" si="145"/>
        <v>5571200</v>
      </c>
      <c r="O434" s="41">
        <v>5571200</v>
      </c>
      <c r="P434" s="24"/>
      <c r="Q434" s="24"/>
      <c r="R434" s="24"/>
      <c r="S434" s="41">
        <f t="shared" si="148"/>
        <v>5571200</v>
      </c>
      <c r="T434" s="24">
        <v>5</v>
      </c>
      <c r="U434" s="41"/>
      <c r="V434" s="24">
        <v>0.5</v>
      </c>
      <c r="W434" s="41">
        <f t="shared" si="146"/>
        <v>0</v>
      </c>
      <c r="X434" s="24"/>
      <c r="Y434" s="41">
        <f t="shared" si="147"/>
        <v>0</v>
      </c>
      <c r="Z434" s="41">
        <f t="shared" si="141"/>
        <v>0</v>
      </c>
      <c r="AA434" s="24">
        <v>5</v>
      </c>
      <c r="AB434" s="41">
        <v>5571200</v>
      </c>
      <c r="AC434" s="41">
        <f t="shared" si="149"/>
        <v>0</v>
      </c>
      <c r="AD434" s="70" t="s">
        <v>218</v>
      </c>
      <c r="AE434" s="70"/>
      <c r="AF434" s="1">
        <v>5571200</v>
      </c>
      <c r="AG434" s="5">
        <f t="shared" si="130"/>
        <v>0</v>
      </c>
      <c r="AH434" s="5"/>
    </row>
    <row r="435" spans="1:34" s="1" customFormat="1" x14ac:dyDescent="0.25">
      <c r="A435" s="21">
        <v>39</v>
      </c>
      <c r="B435" s="22" t="s">
        <v>1691</v>
      </c>
      <c r="C435" s="22" t="s">
        <v>513</v>
      </c>
      <c r="D435" s="51" t="s">
        <v>511</v>
      </c>
      <c r="E435" s="24" t="s">
        <v>512</v>
      </c>
      <c r="F435" s="24"/>
      <c r="G435" s="24" t="s">
        <v>194</v>
      </c>
      <c r="H435" s="24" t="s">
        <v>62</v>
      </c>
      <c r="I435" s="24">
        <v>2013</v>
      </c>
      <c r="J435" s="24"/>
      <c r="K435" s="24" t="s">
        <v>63</v>
      </c>
      <c r="L435" s="24" t="s">
        <v>64</v>
      </c>
      <c r="M435" s="24">
        <v>1</v>
      </c>
      <c r="N435" s="41">
        <f t="shared" si="145"/>
        <v>5571200</v>
      </c>
      <c r="O435" s="41">
        <v>5571200</v>
      </c>
      <c r="P435" s="24"/>
      <c r="Q435" s="24"/>
      <c r="R435" s="24"/>
      <c r="S435" s="41">
        <f t="shared" si="148"/>
        <v>5571200</v>
      </c>
      <c r="T435" s="24">
        <v>5</v>
      </c>
      <c r="U435" s="41"/>
      <c r="V435" s="24">
        <v>0.5</v>
      </c>
      <c r="W435" s="41">
        <f t="shared" si="146"/>
        <v>0</v>
      </c>
      <c r="X435" s="24"/>
      <c r="Y435" s="41">
        <f t="shared" si="147"/>
        <v>0</v>
      </c>
      <c r="Z435" s="41">
        <f t="shared" si="141"/>
        <v>0</v>
      </c>
      <c r="AA435" s="24">
        <v>5</v>
      </c>
      <c r="AB435" s="41">
        <v>5571200</v>
      </c>
      <c r="AC435" s="41">
        <f t="shared" si="149"/>
        <v>0</v>
      </c>
      <c r="AD435" s="70" t="s">
        <v>219</v>
      </c>
      <c r="AE435" s="70"/>
      <c r="AF435" s="1">
        <v>5571200</v>
      </c>
      <c r="AG435" s="5">
        <f t="shared" si="130"/>
        <v>0</v>
      </c>
      <c r="AH435" s="5"/>
    </row>
    <row r="436" spans="1:34" s="1" customFormat="1" x14ac:dyDescent="0.25">
      <c r="A436" s="21">
        <v>40</v>
      </c>
      <c r="B436" s="22" t="s">
        <v>1691</v>
      </c>
      <c r="C436" s="22" t="s">
        <v>514</v>
      </c>
      <c r="D436" s="51" t="s">
        <v>511</v>
      </c>
      <c r="E436" s="24" t="s">
        <v>512</v>
      </c>
      <c r="F436" s="24"/>
      <c r="G436" s="24" t="s">
        <v>194</v>
      </c>
      <c r="H436" s="24" t="s">
        <v>62</v>
      </c>
      <c r="I436" s="24">
        <v>2013</v>
      </c>
      <c r="J436" s="24"/>
      <c r="K436" s="24" t="s">
        <v>63</v>
      </c>
      <c r="L436" s="24" t="s">
        <v>64</v>
      </c>
      <c r="M436" s="24">
        <v>1</v>
      </c>
      <c r="N436" s="41">
        <f t="shared" si="145"/>
        <v>5571200</v>
      </c>
      <c r="O436" s="41">
        <v>5571200</v>
      </c>
      <c r="P436" s="24"/>
      <c r="Q436" s="24"/>
      <c r="R436" s="24"/>
      <c r="S436" s="41">
        <f t="shared" si="148"/>
        <v>5571200</v>
      </c>
      <c r="T436" s="24">
        <v>5</v>
      </c>
      <c r="U436" s="41"/>
      <c r="V436" s="24">
        <v>0.5</v>
      </c>
      <c r="W436" s="41">
        <f t="shared" si="146"/>
        <v>0</v>
      </c>
      <c r="X436" s="24"/>
      <c r="Y436" s="41">
        <f t="shared" si="147"/>
        <v>0</v>
      </c>
      <c r="Z436" s="41">
        <f t="shared" si="141"/>
        <v>0</v>
      </c>
      <c r="AA436" s="24">
        <v>5</v>
      </c>
      <c r="AB436" s="41">
        <v>5571200</v>
      </c>
      <c r="AC436" s="41">
        <f t="shared" si="149"/>
        <v>0</v>
      </c>
      <c r="AD436" s="70" t="s">
        <v>220</v>
      </c>
      <c r="AE436" s="70"/>
      <c r="AF436" s="1">
        <v>5571200</v>
      </c>
      <c r="AG436" s="5">
        <f t="shared" si="130"/>
        <v>0</v>
      </c>
      <c r="AH436" s="5"/>
    </row>
    <row r="437" spans="1:34" s="1" customFormat="1" x14ac:dyDescent="0.25">
      <c r="A437" s="21">
        <v>41</v>
      </c>
      <c r="B437" s="22" t="s">
        <v>1691</v>
      </c>
      <c r="C437" s="22" t="s">
        <v>515</v>
      </c>
      <c r="D437" s="51" t="s">
        <v>511</v>
      </c>
      <c r="E437" s="24" t="s">
        <v>512</v>
      </c>
      <c r="F437" s="24"/>
      <c r="G437" s="24" t="s">
        <v>194</v>
      </c>
      <c r="H437" s="24" t="s">
        <v>62</v>
      </c>
      <c r="I437" s="24">
        <v>2013</v>
      </c>
      <c r="J437" s="24"/>
      <c r="K437" s="24" t="s">
        <v>63</v>
      </c>
      <c r="L437" s="24" t="s">
        <v>64</v>
      </c>
      <c r="M437" s="24">
        <v>1</v>
      </c>
      <c r="N437" s="41">
        <f t="shared" si="145"/>
        <v>5571200</v>
      </c>
      <c r="O437" s="41">
        <v>5571200</v>
      </c>
      <c r="P437" s="24"/>
      <c r="Q437" s="24"/>
      <c r="R437" s="24"/>
      <c r="S437" s="41">
        <f t="shared" si="148"/>
        <v>5571200</v>
      </c>
      <c r="T437" s="24">
        <v>5</v>
      </c>
      <c r="U437" s="41"/>
      <c r="V437" s="24">
        <v>0.5</v>
      </c>
      <c r="W437" s="41">
        <f t="shared" si="146"/>
        <v>0</v>
      </c>
      <c r="X437" s="24"/>
      <c r="Y437" s="41">
        <f t="shared" si="147"/>
        <v>0</v>
      </c>
      <c r="Z437" s="41">
        <f t="shared" si="141"/>
        <v>0</v>
      </c>
      <c r="AA437" s="24">
        <v>5</v>
      </c>
      <c r="AB437" s="41">
        <v>5571200</v>
      </c>
      <c r="AC437" s="41">
        <f t="shared" si="149"/>
        <v>0</v>
      </c>
      <c r="AD437" s="70" t="s">
        <v>221</v>
      </c>
      <c r="AE437" s="70"/>
      <c r="AF437" s="1">
        <v>5571200</v>
      </c>
      <c r="AG437" s="5">
        <f t="shared" si="130"/>
        <v>0</v>
      </c>
      <c r="AH437" s="5"/>
    </row>
    <row r="438" spans="1:34" s="1" customFormat="1" x14ac:dyDescent="0.25">
      <c r="A438" s="21">
        <v>42</v>
      </c>
      <c r="B438" s="22" t="s">
        <v>1691</v>
      </c>
      <c r="C438" s="22" t="s">
        <v>516</v>
      </c>
      <c r="D438" s="51" t="s">
        <v>517</v>
      </c>
      <c r="E438" s="24" t="s">
        <v>512</v>
      </c>
      <c r="F438" s="24"/>
      <c r="G438" s="24" t="s">
        <v>194</v>
      </c>
      <c r="H438" s="24" t="s">
        <v>62</v>
      </c>
      <c r="I438" s="24">
        <v>2013</v>
      </c>
      <c r="J438" s="24"/>
      <c r="K438" s="24" t="s">
        <v>63</v>
      </c>
      <c r="L438" s="24" t="s">
        <v>64</v>
      </c>
      <c r="M438" s="24">
        <v>1</v>
      </c>
      <c r="N438" s="41">
        <f t="shared" si="145"/>
        <v>4911100</v>
      </c>
      <c r="O438" s="41">
        <v>4911100</v>
      </c>
      <c r="P438" s="24"/>
      <c r="Q438" s="24"/>
      <c r="R438" s="24"/>
      <c r="S438" s="41">
        <f t="shared" si="148"/>
        <v>4911100</v>
      </c>
      <c r="T438" s="24">
        <v>5</v>
      </c>
      <c r="U438" s="41"/>
      <c r="V438" s="24">
        <v>0.5</v>
      </c>
      <c r="W438" s="41">
        <f t="shared" si="146"/>
        <v>0</v>
      </c>
      <c r="X438" s="24"/>
      <c r="Y438" s="41">
        <f t="shared" si="147"/>
        <v>0</v>
      </c>
      <c r="Z438" s="41">
        <f t="shared" si="141"/>
        <v>0</v>
      </c>
      <c r="AA438" s="24">
        <v>5</v>
      </c>
      <c r="AB438" s="41">
        <v>4911100</v>
      </c>
      <c r="AC438" s="41">
        <f t="shared" si="149"/>
        <v>0</v>
      </c>
      <c r="AD438" s="70" t="s">
        <v>218</v>
      </c>
      <c r="AE438" s="70"/>
      <c r="AF438" s="1">
        <v>4911100</v>
      </c>
      <c r="AG438" s="5">
        <f t="shared" si="130"/>
        <v>0</v>
      </c>
      <c r="AH438" s="5"/>
    </row>
    <row r="439" spans="1:34" s="1" customFormat="1" x14ac:dyDescent="0.25">
      <c r="A439" s="21">
        <v>43</v>
      </c>
      <c r="B439" s="22" t="s">
        <v>1691</v>
      </c>
      <c r="C439" s="22" t="s">
        <v>518</v>
      </c>
      <c r="D439" s="51" t="s">
        <v>517</v>
      </c>
      <c r="E439" s="24" t="s">
        <v>512</v>
      </c>
      <c r="F439" s="24"/>
      <c r="G439" s="24" t="s">
        <v>194</v>
      </c>
      <c r="H439" s="24" t="s">
        <v>62</v>
      </c>
      <c r="I439" s="24">
        <v>2013</v>
      </c>
      <c r="J439" s="24"/>
      <c r="K439" s="24" t="s">
        <v>63</v>
      </c>
      <c r="L439" s="24" t="s">
        <v>64</v>
      </c>
      <c r="M439" s="24">
        <v>1</v>
      </c>
      <c r="N439" s="41">
        <f t="shared" si="145"/>
        <v>4911100</v>
      </c>
      <c r="O439" s="41">
        <v>4911100</v>
      </c>
      <c r="P439" s="24"/>
      <c r="Q439" s="24"/>
      <c r="R439" s="24"/>
      <c r="S439" s="41">
        <f t="shared" si="148"/>
        <v>4911100</v>
      </c>
      <c r="T439" s="24">
        <v>5</v>
      </c>
      <c r="U439" s="41"/>
      <c r="V439" s="24">
        <v>0.5</v>
      </c>
      <c r="W439" s="41">
        <f t="shared" si="146"/>
        <v>0</v>
      </c>
      <c r="X439" s="24"/>
      <c r="Y439" s="41">
        <f t="shared" si="147"/>
        <v>0</v>
      </c>
      <c r="Z439" s="41">
        <f t="shared" si="141"/>
        <v>0</v>
      </c>
      <c r="AA439" s="24">
        <v>5</v>
      </c>
      <c r="AB439" s="41">
        <v>4911100</v>
      </c>
      <c r="AC439" s="41">
        <f t="shared" si="149"/>
        <v>0</v>
      </c>
      <c r="AD439" s="70" t="s">
        <v>219</v>
      </c>
      <c r="AE439" s="70"/>
      <c r="AF439" s="1">
        <v>4911100</v>
      </c>
      <c r="AG439" s="5">
        <f t="shared" si="130"/>
        <v>0</v>
      </c>
      <c r="AH439" s="5"/>
    </row>
    <row r="440" spans="1:34" s="1" customFormat="1" x14ac:dyDescent="0.25">
      <c r="A440" s="21">
        <v>44</v>
      </c>
      <c r="B440" s="22" t="s">
        <v>1691</v>
      </c>
      <c r="C440" s="22" t="s">
        <v>519</v>
      </c>
      <c r="D440" s="51" t="s">
        <v>517</v>
      </c>
      <c r="E440" s="24" t="s">
        <v>512</v>
      </c>
      <c r="F440" s="24"/>
      <c r="G440" s="24" t="s">
        <v>194</v>
      </c>
      <c r="H440" s="24" t="s">
        <v>62</v>
      </c>
      <c r="I440" s="24">
        <v>2013</v>
      </c>
      <c r="J440" s="24"/>
      <c r="K440" s="24" t="s">
        <v>63</v>
      </c>
      <c r="L440" s="24" t="s">
        <v>64</v>
      </c>
      <c r="M440" s="24">
        <v>1</v>
      </c>
      <c r="N440" s="41">
        <f t="shared" si="145"/>
        <v>4911100</v>
      </c>
      <c r="O440" s="41">
        <v>4911100</v>
      </c>
      <c r="P440" s="24"/>
      <c r="Q440" s="24"/>
      <c r="R440" s="24"/>
      <c r="S440" s="41">
        <f t="shared" si="148"/>
        <v>4911100</v>
      </c>
      <c r="T440" s="24">
        <v>5</v>
      </c>
      <c r="U440" s="41"/>
      <c r="V440" s="24">
        <v>0.5</v>
      </c>
      <c r="W440" s="41">
        <f t="shared" si="146"/>
        <v>0</v>
      </c>
      <c r="X440" s="24"/>
      <c r="Y440" s="41">
        <f t="shared" si="147"/>
        <v>0</v>
      </c>
      <c r="Z440" s="41">
        <f t="shared" si="141"/>
        <v>0</v>
      </c>
      <c r="AA440" s="24">
        <v>5</v>
      </c>
      <c r="AB440" s="41">
        <v>4911100</v>
      </c>
      <c r="AC440" s="41">
        <f t="shared" si="149"/>
        <v>0</v>
      </c>
      <c r="AD440" s="70" t="s">
        <v>220</v>
      </c>
      <c r="AE440" s="70"/>
      <c r="AF440" s="1">
        <v>4911100</v>
      </c>
      <c r="AG440" s="5">
        <f t="shared" si="130"/>
        <v>0</v>
      </c>
      <c r="AH440" s="5"/>
    </row>
    <row r="441" spans="1:34" s="1" customFormat="1" x14ac:dyDescent="0.25">
      <c r="A441" s="21">
        <v>45</v>
      </c>
      <c r="B441" s="22" t="s">
        <v>1691</v>
      </c>
      <c r="C441" s="22" t="s">
        <v>520</v>
      </c>
      <c r="D441" s="51" t="s">
        <v>517</v>
      </c>
      <c r="E441" s="24" t="s">
        <v>512</v>
      </c>
      <c r="F441" s="24"/>
      <c r="G441" s="24" t="s">
        <v>194</v>
      </c>
      <c r="H441" s="24" t="s">
        <v>62</v>
      </c>
      <c r="I441" s="24">
        <v>2013</v>
      </c>
      <c r="J441" s="24"/>
      <c r="K441" s="24" t="s">
        <v>63</v>
      </c>
      <c r="L441" s="24" t="s">
        <v>64</v>
      </c>
      <c r="M441" s="24">
        <v>1</v>
      </c>
      <c r="N441" s="41">
        <f t="shared" si="145"/>
        <v>4911100</v>
      </c>
      <c r="O441" s="41">
        <v>4911100</v>
      </c>
      <c r="P441" s="24"/>
      <c r="Q441" s="24"/>
      <c r="R441" s="24"/>
      <c r="S441" s="41">
        <f t="shared" si="148"/>
        <v>4911100</v>
      </c>
      <c r="T441" s="24">
        <v>5</v>
      </c>
      <c r="U441" s="41"/>
      <c r="V441" s="24">
        <v>0.5</v>
      </c>
      <c r="W441" s="41">
        <f t="shared" si="146"/>
        <v>0</v>
      </c>
      <c r="X441" s="24"/>
      <c r="Y441" s="41">
        <f t="shared" si="147"/>
        <v>0</v>
      </c>
      <c r="Z441" s="41">
        <f t="shared" si="141"/>
        <v>0</v>
      </c>
      <c r="AA441" s="24">
        <v>5</v>
      </c>
      <c r="AB441" s="41">
        <v>4911100</v>
      </c>
      <c r="AC441" s="41">
        <f t="shared" si="149"/>
        <v>0</v>
      </c>
      <c r="AD441" s="70" t="s">
        <v>221</v>
      </c>
      <c r="AE441" s="70"/>
      <c r="AF441" s="1">
        <v>4911100</v>
      </c>
      <c r="AG441" s="5">
        <f t="shared" si="130"/>
        <v>0</v>
      </c>
      <c r="AH441" s="5"/>
    </row>
    <row r="442" spans="1:34" s="1" customFormat="1" x14ac:dyDescent="0.25">
      <c r="A442" s="21">
        <v>46</v>
      </c>
      <c r="B442" s="22" t="s">
        <v>1691</v>
      </c>
      <c r="C442" s="22" t="s">
        <v>521</v>
      </c>
      <c r="D442" s="51" t="s">
        <v>522</v>
      </c>
      <c r="E442" s="24" t="s">
        <v>512</v>
      </c>
      <c r="F442" s="24"/>
      <c r="G442" s="24" t="s">
        <v>194</v>
      </c>
      <c r="H442" s="24" t="s">
        <v>62</v>
      </c>
      <c r="I442" s="24">
        <v>2013</v>
      </c>
      <c r="J442" s="24"/>
      <c r="K442" s="24" t="s">
        <v>63</v>
      </c>
      <c r="L442" s="24" t="s">
        <v>64</v>
      </c>
      <c r="M442" s="24">
        <v>2</v>
      </c>
      <c r="N442" s="41">
        <f t="shared" si="145"/>
        <v>4691200</v>
      </c>
      <c r="O442" s="41">
        <v>9382400</v>
      </c>
      <c r="P442" s="24"/>
      <c r="Q442" s="24"/>
      <c r="R442" s="24"/>
      <c r="S442" s="41">
        <f t="shared" si="148"/>
        <v>9382400</v>
      </c>
      <c r="T442" s="24">
        <v>5</v>
      </c>
      <c r="U442" s="41"/>
      <c r="V442" s="24">
        <v>0.5</v>
      </c>
      <c r="W442" s="41">
        <f t="shared" si="146"/>
        <v>0</v>
      </c>
      <c r="X442" s="24"/>
      <c r="Y442" s="41">
        <f t="shared" si="147"/>
        <v>0</v>
      </c>
      <c r="Z442" s="41">
        <f t="shared" si="141"/>
        <v>0</v>
      </c>
      <c r="AA442" s="24">
        <v>5</v>
      </c>
      <c r="AB442" s="41">
        <v>9382400</v>
      </c>
      <c r="AC442" s="41">
        <f t="shared" si="149"/>
        <v>0</v>
      </c>
      <c r="AD442" s="70" t="s">
        <v>218</v>
      </c>
      <c r="AE442" s="70"/>
      <c r="AF442" s="1">
        <v>9382400</v>
      </c>
      <c r="AG442" s="5">
        <f t="shared" si="130"/>
        <v>0</v>
      </c>
      <c r="AH442" s="5"/>
    </row>
    <row r="443" spans="1:34" s="1" customFormat="1" x14ac:dyDescent="0.25">
      <c r="A443" s="21">
        <v>47</v>
      </c>
      <c r="B443" s="22" t="s">
        <v>1691</v>
      </c>
      <c r="C443" s="22" t="s">
        <v>523</v>
      </c>
      <c r="D443" s="51" t="s">
        <v>522</v>
      </c>
      <c r="E443" s="24" t="s">
        <v>512</v>
      </c>
      <c r="F443" s="24"/>
      <c r="G443" s="24" t="s">
        <v>194</v>
      </c>
      <c r="H443" s="24" t="s">
        <v>62</v>
      </c>
      <c r="I443" s="24">
        <v>2013</v>
      </c>
      <c r="J443" s="24"/>
      <c r="K443" s="24" t="s">
        <v>63</v>
      </c>
      <c r="L443" s="24" t="s">
        <v>64</v>
      </c>
      <c r="M443" s="24">
        <v>2</v>
      </c>
      <c r="N443" s="41">
        <f t="shared" si="145"/>
        <v>4691200</v>
      </c>
      <c r="O443" s="41">
        <v>9382400</v>
      </c>
      <c r="P443" s="24"/>
      <c r="Q443" s="24"/>
      <c r="R443" s="24"/>
      <c r="S443" s="41">
        <f t="shared" si="148"/>
        <v>9382400</v>
      </c>
      <c r="T443" s="24">
        <v>5</v>
      </c>
      <c r="U443" s="41"/>
      <c r="V443" s="24">
        <v>0.5</v>
      </c>
      <c r="W443" s="41">
        <f t="shared" si="146"/>
        <v>0</v>
      </c>
      <c r="X443" s="24"/>
      <c r="Y443" s="41">
        <f t="shared" si="147"/>
        <v>0</v>
      </c>
      <c r="Z443" s="41">
        <f t="shared" si="141"/>
        <v>0</v>
      </c>
      <c r="AA443" s="24">
        <v>5</v>
      </c>
      <c r="AB443" s="41">
        <v>9382400</v>
      </c>
      <c r="AC443" s="41">
        <f t="shared" si="149"/>
        <v>0</v>
      </c>
      <c r="AD443" s="70" t="s">
        <v>219</v>
      </c>
      <c r="AE443" s="70"/>
      <c r="AF443" s="1">
        <v>9382400</v>
      </c>
      <c r="AG443" s="5">
        <f t="shared" si="130"/>
        <v>0</v>
      </c>
      <c r="AH443" s="5"/>
    </row>
    <row r="444" spans="1:34" s="1" customFormat="1" x14ac:dyDescent="0.25">
      <c r="A444" s="21">
        <v>48</v>
      </c>
      <c r="B444" s="22" t="s">
        <v>1691</v>
      </c>
      <c r="C444" s="22" t="s">
        <v>524</v>
      </c>
      <c r="D444" s="51" t="s">
        <v>522</v>
      </c>
      <c r="E444" s="24" t="s">
        <v>512</v>
      </c>
      <c r="F444" s="24"/>
      <c r="G444" s="24" t="s">
        <v>194</v>
      </c>
      <c r="H444" s="24" t="s">
        <v>62</v>
      </c>
      <c r="I444" s="24">
        <v>2013</v>
      </c>
      <c r="J444" s="24"/>
      <c r="K444" s="24" t="s">
        <v>63</v>
      </c>
      <c r="L444" s="24" t="s">
        <v>64</v>
      </c>
      <c r="M444" s="24">
        <v>2</v>
      </c>
      <c r="N444" s="41">
        <f t="shared" si="145"/>
        <v>4691200</v>
      </c>
      <c r="O444" s="41">
        <v>9382400</v>
      </c>
      <c r="P444" s="24"/>
      <c r="Q444" s="24"/>
      <c r="R444" s="24"/>
      <c r="S444" s="41">
        <f t="shared" si="148"/>
        <v>9382400</v>
      </c>
      <c r="T444" s="24">
        <v>5</v>
      </c>
      <c r="U444" s="41"/>
      <c r="V444" s="24">
        <v>0.5</v>
      </c>
      <c r="W444" s="41">
        <f t="shared" si="146"/>
        <v>0</v>
      </c>
      <c r="X444" s="24"/>
      <c r="Y444" s="41">
        <f t="shared" si="147"/>
        <v>0</v>
      </c>
      <c r="Z444" s="41">
        <f t="shared" si="141"/>
        <v>0</v>
      </c>
      <c r="AA444" s="24">
        <v>5</v>
      </c>
      <c r="AB444" s="41">
        <v>9382400</v>
      </c>
      <c r="AC444" s="41">
        <f t="shared" si="149"/>
        <v>0</v>
      </c>
      <c r="AD444" s="70" t="s">
        <v>220</v>
      </c>
      <c r="AE444" s="70"/>
      <c r="AF444" s="1">
        <v>9382400</v>
      </c>
      <c r="AG444" s="5">
        <f t="shared" si="130"/>
        <v>0</v>
      </c>
      <c r="AH444" s="5"/>
    </row>
    <row r="445" spans="1:34" s="1" customFormat="1" x14ac:dyDescent="0.25">
      <c r="A445" s="21">
        <v>49</v>
      </c>
      <c r="B445" s="22" t="s">
        <v>1691</v>
      </c>
      <c r="C445" s="22" t="s">
        <v>525</v>
      </c>
      <c r="D445" s="51" t="s">
        <v>522</v>
      </c>
      <c r="E445" s="24" t="s">
        <v>512</v>
      </c>
      <c r="F445" s="24"/>
      <c r="G445" s="24" t="s">
        <v>194</v>
      </c>
      <c r="H445" s="24" t="s">
        <v>62</v>
      </c>
      <c r="I445" s="24">
        <v>2013</v>
      </c>
      <c r="J445" s="24"/>
      <c r="K445" s="24" t="s">
        <v>63</v>
      </c>
      <c r="L445" s="24" t="s">
        <v>64</v>
      </c>
      <c r="M445" s="24">
        <v>2</v>
      </c>
      <c r="N445" s="41">
        <f t="shared" si="145"/>
        <v>4691200</v>
      </c>
      <c r="O445" s="41">
        <v>9382400</v>
      </c>
      <c r="P445" s="24"/>
      <c r="Q445" s="24"/>
      <c r="R445" s="24"/>
      <c r="S445" s="41">
        <f t="shared" si="148"/>
        <v>9382400</v>
      </c>
      <c r="T445" s="24">
        <v>5</v>
      </c>
      <c r="U445" s="41"/>
      <c r="V445" s="24">
        <v>0.5</v>
      </c>
      <c r="W445" s="41">
        <f t="shared" si="146"/>
        <v>0</v>
      </c>
      <c r="X445" s="24"/>
      <c r="Y445" s="41">
        <f t="shared" si="147"/>
        <v>0</v>
      </c>
      <c r="Z445" s="41">
        <f t="shared" si="141"/>
        <v>0</v>
      </c>
      <c r="AA445" s="24">
        <v>5</v>
      </c>
      <c r="AB445" s="41">
        <v>9382400</v>
      </c>
      <c r="AC445" s="78">
        <f t="shared" si="149"/>
        <v>0</v>
      </c>
      <c r="AD445" s="70" t="s">
        <v>221</v>
      </c>
      <c r="AE445" s="70"/>
      <c r="AF445" s="1">
        <v>9382400</v>
      </c>
      <c r="AG445" s="5">
        <f t="shared" ref="AG445:AG508" si="150">AF445+Z445-AB445</f>
        <v>0</v>
      </c>
      <c r="AH445" s="5"/>
    </row>
    <row r="446" spans="1:34" s="1" customFormat="1" x14ac:dyDescent="0.25">
      <c r="A446" s="21">
        <v>50</v>
      </c>
      <c r="B446" s="22" t="s">
        <v>1691</v>
      </c>
      <c r="C446" s="22" t="s">
        <v>526</v>
      </c>
      <c r="D446" s="51" t="s">
        <v>522</v>
      </c>
      <c r="E446" s="24" t="s">
        <v>512</v>
      </c>
      <c r="F446" s="24"/>
      <c r="G446" s="24" t="s">
        <v>194</v>
      </c>
      <c r="H446" s="24" t="s">
        <v>62</v>
      </c>
      <c r="I446" s="24">
        <v>2013</v>
      </c>
      <c r="J446" s="24"/>
      <c r="K446" s="24" t="s">
        <v>63</v>
      </c>
      <c r="L446" s="24" t="s">
        <v>64</v>
      </c>
      <c r="M446" s="24">
        <v>1</v>
      </c>
      <c r="N446" s="41">
        <f t="shared" si="145"/>
        <v>4691200</v>
      </c>
      <c r="O446" s="41">
        <v>4691200</v>
      </c>
      <c r="P446" s="24"/>
      <c r="Q446" s="24"/>
      <c r="R446" s="24"/>
      <c r="S446" s="41">
        <f t="shared" si="148"/>
        <v>4691200</v>
      </c>
      <c r="T446" s="24">
        <v>5</v>
      </c>
      <c r="U446" s="41"/>
      <c r="V446" s="24">
        <v>0.5</v>
      </c>
      <c r="W446" s="41">
        <f t="shared" si="146"/>
        <v>0</v>
      </c>
      <c r="X446" s="24"/>
      <c r="Y446" s="41">
        <f t="shared" si="147"/>
        <v>0</v>
      </c>
      <c r="Z446" s="41">
        <f t="shared" si="141"/>
        <v>0</v>
      </c>
      <c r="AA446" s="24">
        <v>5</v>
      </c>
      <c r="AB446" s="41">
        <v>4691200</v>
      </c>
      <c r="AC446" s="78">
        <f t="shared" si="149"/>
        <v>0</v>
      </c>
      <c r="AD446" s="70" t="s">
        <v>527</v>
      </c>
      <c r="AE446" s="70"/>
      <c r="AF446" s="1">
        <v>4691200</v>
      </c>
      <c r="AG446" s="5">
        <f t="shared" si="150"/>
        <v>0</v>
      </c>
      <c r="AH446" s="5"/>
    </row>
    <row r="447" spans="1:34" s="1" customFormat="1" x14ac:dyDescent="0.25">
      <c r="A447" s="21">
        <v>51</v>
      </c>
      <c r="B447" s="22" t="s">
        <v>1691</v>
      </c>
      <c r="C447" s="22" t="s">
        <v>528</v>
      </c>
      <c r="D447" s="51" t="s">
        <v>511</v>
      </c>
      <c r="E447" s="24" t="s">
        <v>512</v>
      </c>
      <c r="F447" s="24"/>
      <c r="G447" s="24" t="s">
        <v>194</v>
      </c>
      <c r="H447" s="24" t="s">
        <v>62</v>
      </c>
      <c r="I447" s="24">
        <v>2013</v>
      </c>
      <c r="J447" s="24"/>
      <c r="K447" s="24" t="s">
        <v>63</v>
      </c>
      <c r="L447" s="24" t="s">
        <v>64</v>
      </c>
      <c r="M447" s="24">
        <v>2</v>
      </c>
      <c r="N447" s="41">
        <f t="shared" si="145"/>
        <v>6016153.8449999997</v>
      </c>
      <c r="O447" s="41">
        <v>12032307.689999999</v>
      </c>
      <c r="P447" s="24"/>
      <c r="Q447" s="24"/>
      <c r="R447" s="24"/>
      <c r="S447" s="41">
        <f t="shared" si="148"/>
        <v>12032307.689999999</v>
      </c>
      <c r="T447" s="24">
        <v>5</v>
      </c>
      <c r="U447" s="41"/>
      <c r="V447" s="24">
        <v>0.5</v>
      </c>
      <c r="W447" s="41">
        <f t="shared" si="146"/>
        <v>0</v>
      </c>
      <c r="X447" s="24"/>
      <c r="Y447" s="41">
        <f t="shared" si="147"/>
        <v>0</v>
      </c>
      <c r="Z447" s="41">
        <f t="shared" si="141"/>
        <v>0</v>
      </c>
      <c r="AA447" s="24">
        <v>5</v>
      </c>
      <c r="AB447" s="41">
        <v>12032307.689999998</v>
      </c>
      <c r="AC447" s="41">
        <f t="shared" si="149"/>
        <v>1.862645149230957E-9</v>
      </c>
      <c r="AD447" s="70" t="s">
        <v>335</v>
      </c>
      <c r="AE447" s="70"/>
      <c r="AF447" s="1">
        <v>12032307.689999998</v>
      </c>
      <c r="AG447" s="5">
        <f t="shared" si="150"/>
        <v>0</v>
      </c>
      <c r="AH447" s="5"/>
    </row>
    <row r="448" spans="1:34" s="1" customFormat="1" x14ac:dyDescent="0.25">
      <c r="A448" s="21">
        <v>52</v>
      </c>
      <c r="B448" s="22" t="s">
        <v>1691</v>
      </c>
      <c r="C448" s="22" t="s">
        <v>529</v>
      </c>
      <c r="D448" s="51" t="s">
        <v>511</v>
      </c>
      <c r="E448" s="24" t="s">
        <v>512</v>
      </c>
      <c r="F448" s="24"/>
      <c r="G448" s="24" t="s">
        <v>194</v>
      </c>
      <c r="H448" s="24" t="s">
        <v>62</v>
      </c>
      <c r="I448" s="24">
        <v>2013</v>
      </c>
      <c r="J448" s="24"/>
      <c r="K448" s="24" t="s">
        <v>63</v>
      </c>
      <c r="L448" s="24" t="s">
        <v>64</v>
      </c>
      <c r="M448" s="24">
        <v>2</v>
      </c>
      <c r="N448" s="41">
        <f t="shared" si="145"/>
        <v>6016153.8449999997</v>
      </c>
      <c r="O448" s="41">
        <v>12032307.689999999</v>
      </c>
      <c r="P448" s="24"/>
      <c r="Q448" s="24"/>
      <c r="R448" s="24"/>
      <c r="S448" s="41">
        <f t="shared" si="148"/>
        <v>12032307.689999999</v>
      </c>
      <c r="T448" s="24">
        <v>5</v>
      </c>
      <c r="U448" s="41"/>
      <c r="V448" s="24">
        <v>0.5</v>
      </c>
      <c r="W448" s="41">
        <f t="shared" si="146"/>
        <v>0</v>
      </c>
      <c r="X448" s="24"/>
      <c r="Y448" s="41">
        <f t="shared" si="147"/>
        <v>0</v>
      </c>
      <c r="Z448" s="41">
        <f t="shared" si="141"/>
        <v>0</v>
      </c>
      <c r="AA448" s="24">
        <v>5</v>
      </c>
      <c r="AB448" s="41">
        <v>12032307.689999998</v>
      </c>
      <c r="AC448" s="41">
        <f t="shared" si="149"/>
        <v>1.862645149230957E-9</v>
      </c>
      <c r="AD448" s="70" t="s">
        <v>311</v>
      </c>
      <c r="AE448" s="70"/>
      <c r="AF448" s="1">
        <v>12032307.689999998</v>
      </c>
      <c r="AG448" s="5">
        <f t="shared" si="150"/>
        <v>0</v>
      </c>
      <c r="AH448" s="5"/>
    </row>
    <row r="449" spans="1:34" s="1" customFormat="1" x14ac:dyDescent="0.25">
      <c r="A449" s="21">
        <v>53</v>
      </c>
      <c r="B449" s="22" t="s">
        <v>1691</v>
      </c>
      <c r="C449" s="22" t="s">
        <v>530</v>
      </c>
      <c r="D449" s="51" t="s">
        <v>511</v>
      </c>
      <c r="E449" s="24" t="s">
        <v>512</v>
      </c>
      <c r="F449" s="24"/>
      <c r="G449" s="24" t="s">
        <v>194</v>
      </c>
      <c r="H449" s="24" t="s">
        <v>62</v>
      </c>
      <c r="I449" s="24">
        <v>2013</v>
      </c>
      <c r="J449" s="24"/>
      <c r="K449" s="24" t="s">
        <v>63</v>
      </c>
      <c r="L449" s="24" t="s">
        <v>64</v>
      </c>
      <c r="M449" s="24">
        <v>1</v>
      </c>
      <c r="N449" s="41">
        <f t="shared" si="145"/>
        <v>6016153.8499999996</v>
      </c>
      <c r="O449" s="41">
        <v>6016153.8499999996</v>
      </c>
      <c r="P449" s="24"/>
      <c r="Q449" s="24"/>
      <c r="R449" s="24"/>
      <c r="S449" s="41">
        <f t="shared" si="148"/>
        <v>6016153.8499999996</v>
      </c>
      <c r="T449" s="24">
        <v>5</v>
      </c>
      <c r="U449" s="41"/>
      <c r="V449" s="24">
        <v>0.5</v>
      </c>
      <c r="W449" s="41">
        <f t="shared" si="146"/>
        <v>0</v>
      </c>
      <c r="X449" s="24"/>
      <c r="Y449" s="41">
        <f t="shared" si="147"/>
        <v>0</v>
      </c>
      <c r="Z449" s="41">
        <f t="shared" si="141"/>
        <v>0</v>
      </c>
      <c r="AA449" s="24">
        <v>5</v>
      </c>
      <c r="AB449" s="41">
        <v>6016153.8499999996</v>
      </c>
      <c r="AC449" s="41">
        <f t="shared" si="149"/>
        <v>0</v>
      </c>
      <c r="AD449" s="70" t="s">
        <v>352</v>
      </c>
      <c r="AE449" s="70"/>
      <c r="AF449" s="1">
        <v>6016153.8499999996</v>
      </c>
      <c r="AG449" s="5">
        <f t="shared" si="150"/>
        <v>0</v>
      </c>
      <c r="AH449" s="5"/>
    </row>
    <row r="450" spans="1:34" s="1" customFormat="1" x14ac:dyDescent="0.25">
      <c r="A450" s="21">
        <v>54</v>
      </c>
      <c r="B450" s="22" t="s">
        <v>1691</v>
      </c>
      <c r="C450" s="22" t="s">
        <v>531</v>
      </c>
      <c r="D450" s="51" t="s">
        <v>511</v>
      </c>
      <c r="E450" s="24" t="s">
        <v>512</v>
      </c>
      <c r="F450" s="24"/>
      <c r="G450" s="24" t="s">
        <v>194</v>
      </c>
      <c r="H450" s="24" t="s">
        <v>62</v>
      </c>
      <c r="I450" s="24">
        <v>2013</v>
      </c>
      <c r="J450" s="24"/>
      <c r="K450" s="24" t="s">
        <v>63</v>
      </c>
      <c r="L450" s="24" t="s">
        <v>64</v>
      </c>
      <c r="M450" s="24">
        <v>1</v>
      </c>
      <c r="N450" s="41">
        <f t="shared" si="145"/>
        <v>6016153.8499999996</v>
      </c>
      <c r="O450" s="41">
        <v>6016153.8499999996</v>
      </c>
      <c r="P450" s="24"/>
      <c r="Q450" s="24"/>
      <c r="R450" s="24"/>
      <c r="S450" s="41">
        <f t="shared" si="148"/>
        <v>6016153.8499999996</v>
      </c>
      <c r="T450" s="24">
        <v>5</v>
      </c>
      <c r="U450" s="41"/>
      <c r="V450" s="24">
        <v>0.5</v>
      </c>
      <c r="W450" s="41">
        <f t="shared" si="146"/>
        <v>0</v>
      </c>
      <c r="X450" s="24"/>
      <c r="Y450" s="41">
        <f t="shared" si="147"/>
        <v>0</v>
      </c>
      <c r="Z450" s="41">
        <f t="shared" si="141"/>
        <v>0</v>
      </c>
      <c r="AA450" s="24">
        <v>5</v>
      </c>
      <c r="AB450" s="41">
        <v>6016153.8499999996</v>
      </c>
      <c r="AC450" s="41">
        <f t="shared" si="149"/>
        <v>0</v>
      </c>
      <c r="AD450" s="70" t="s">
        <v>328</v>
      </c>
      <c r="AE450" s="70"/>
      <c r="AF450" s="1">
        <v>6016153.8499999996</v>
      </c>
      <c r="AG450" s="5">
        <f t="shared" si="150"/>
        <v>0</v>
      </c>
      <c r="AH450" s="5"/>
    </row>
    <row r="451" spans="1:34" s="1" customFormat="1" x14ac:dyDescent="0.25">
      <c r="A451" s="21">
        <v>55</v>
      </c>
      <c r="B451" s="22" t="s">
        <v>1691</v>
      </c>
      <c r="C451" s="22" t="s">
        <v>532</v>
      </c>
      <c r="D451" s="51" t="s">
        <v>511</v>
      </c>
      <c r="E451" s="24" t="s">
        <v>512</v>
      </c>
      <c r="F451" s="24"/>
      <c r="G451" s="24" t="s">
        <v>194</v>
      </c>
      <c r="H451" s="24" t="s">
        <v>62</v>
      </c>
      <c r="I451" s="24">
        <v>2013</v>
      </c>
      <c r="J451" s="24"/>
      <c r="K451" s="24" t="s">
        <v>63</v>
      </c>
      <c r="L451" s="24" t="s">
        <v>64</v>
      </c>
      <c r="M451" s="24">
        <v>1</v>
      </c>
      <c r="N451" s="41">
        <f t="shared" si="145"/>
        <v>6016153.8499999996</v>
      </c>
      <c r="O451" s="41">
        <v>6016153.8499999996</v>
      </c>
      <c r="P451" s="24"/>
      <c r="Q451" s="24"/>
      <c r="R451" s="24"/>
      <c r="S451" s="41">
        <f t="shared" si="148"/>
        <v>6016153.8499999996</v>
      </c>
      <c r="T451" s="24">
        <v>5</v>
      </c>
      <c r="U451" s="41"/>
      <c r="V451" s="24">
        <v>0.5</v>
      </c>
      <c r="W451" s="41">
        <f t="shared" si="146"/>
        <v>0</v>
      </c>
      <c r="X451" s="24"/>
      <c r="Y451" s="41">
        <f t="shared" si="147"/>
        <v>0</v>
      </c>
      <c r="Z451" s="41">
        <f t="shared" si="141"/>
        <v>0</v>
      </c>
      <c r="AA451" s="24">
        <v>5</v>
      </c>
      <c r="AB451" s="41">
        <v>6016153.8499999996</v>
      </c>
      <c r="AC451" s="41">
        <f t="shared" si="149"/>
        <v>0</v>
      </c>
      <c r="AD451" s="70" t="s">
        <v>276</v>
      </c>
      <c r="AE451" s="70"/>
      <c r="AF451" s="1">
        <v>6016153.8499999996</v>
      </c>
      <c r="AG451" s="5">
        <f t="shared" si="150"/>
        <v>0</v>
      </c>
      <c r="AH451" s="5"/>
    </row>
    <row r="452" spans="1:34" s="1" customFormat="1" x14ac:dyDescent="0.25">
      <c r="A452" s="21">
        <v>56</v>
      </c>
      <c r="B452" s="22" t="s">
        <v>1691</v>
      </c>
      <c r="C452" s="22" t="s">
        <v>533</v>
      </c>
      <c r="D452" s="51" t="s">
        <v>511</v>
      </c>
      <c r="E452" s="24" t="s">
        <v>512</v>
      </c>
      <c r="F452" s="24"/>
      <c r="G452" s="24" t="s">
        <v>194</v>
      </c>
      <c r="H452" s="24" t="s">
        <v>62</v>
      </c>
      <c r="I452" s="24">
        <v>2013</v>
      </c>
      <c r="J452" s="24"/>
      <c r="K452" s="24" t="s">
        <v>63</v>
      </c>
      <c r="L452" s="24" t="s">
        <v>64</v>
      </c>
      <c r="M452" s="24">
        <v>1</v>
      </c>
      <c r="N452" s="41">
        <f t="shared" si="145"/>
        <v>6016153.8499999996</v>
      </c>
      <c r="O452" s="41">
        <v>6016153.8499999996</v>
      </c>
      <c r="P452" s="24"/>
      <c r="Q452" s="24"/>
      <c r="R452" s="24"/>
      <c r="S452" s="41">
        <f t="shared" si="148"/>
        <v>6016153.8499999996</v>
      </c>
      <c r="T452" s="24">
        <v>5</v>
      </c>
      <c r="U452" s="41"/>
      <c r="V452" s="24">
        <v>0.5</v>
      </c>
      <c r="W452" s="41">
        <f t="shared" si="146"/>
        <v>0</v>
      </c>
      <c r="X452" s="24"/>
      <c r="Y452" s="41">
        <f t="shared" si="147"/>
        <v>0</v>
      </c>
      <c r="Z452" s="41">
        <f t="shared" si="141"/>
        <v>0</v>
      </c>
      <c r="AA452" s="24">
        <v>5</v>
      </c>
      <c r="AB452" s="41">
        <v>6016153.8499999996</v>
      </c>
      <c r="AC452" s="41">
        <f t="shared" si="149"/>
        <v>0</v>
      </c>
      <c r="AD452" s="70" t="s">
        <v>333</v>
      </c>
      <c r="AE452" s="70"/>
      <c r="AF452" s="1">
        <v>6016153.8499999996</v>
      </c>
      <c r="AG452" s="5">
        <f t="shared" si="150"/>
        <v>0</v>
      </c>
      <c r="AH452" s="5"/>
    </row>
    <row r="453" spans="1:34" s="1" customFormat="1" x14ac:dyDescent="0.25">
      <c r="A453" s="21">
        <v>57</v>
      </c>
      <c r="B453" s="22" t="s">
        <v>1691</v>
      </c>
      <c r="C453" s="22" t="s">
        <v>534</v>
      </c>
      <c r="D453" s="51" t="s">
        <v>511</v>
      </c>
      <c r="E453" s="24" t="s">
        <v>512</v>
      </c>
      <c r="F453" s="24"/>
      <c r="G453" s="24" t="s">
        <v>194</v>
      </c>
      <c r="H453" s="24" t="s">
        <v>62</v>
      </c>
      <c r="I453" s="24">
        <v>2013</v>
      </c>
      <c r="J453" s="24"/>
      <c r="K453" s="24" t="s">
        <v>63</v>
      </c>
      <c r="L453" s="24" t="s">
        <v>64</v>
      </c>
      <c r="M453" s="24">
        <v>1</v>
      </c>
      <c r="N453" s="41">
        <f t="shared" si="145"/>
        <v>6016153.8499999996</v>
      </c>
      <c r="O453" s="41">
        <v>6016153.8499999996</v>
      </c>
      <c r="P453" s="24"/>
      <c r="Q453" s="24"/>
      <c r="R453" s="24"/>
      <c r="S453" s="41">
        <f t="shared" si="148"/>
        <v>6016153.8499999996</v>
      </c>
      <c r="T453" s="24">
        <v>5</v>
      </c>
      <c r="U453" s="41"/>
      <c r="V453" s="24">
        <v>0.5</v>
      </c>
      <c r="W453" s="41">
        <f t="shared" si="146"/>
        <v>0</v>
      </c>
      <c r="X453" s="24"/>
      <c r="Y453" s="41">
        <f t="shared" si="147"/>
        <v>0</v>
      </c>
      <c r="Z453" s="41">
        <f t="shared" si="141"/>
        <v>0</v>
      </c>
      <c r="AA453" s="24">
        <v>5</v>
      </c>
      <c r="AB453" s="41">
        <v>6016153.8499999996</v>
      </c>
      <c r="AC453" s="41">
        <f t="shared" si="149"/>
        <v>0</v>
      </c>
      <c r="AD453" s="70" t="s">
        <v>331</v>
      </c>
      <c r="AE453" s="70"/>
      <c r="AF453" s="1">
        <v>6016153.8499999996</v>
      </c>
      <c r="AG453" s="5">
        <f t="shared" si="150"/>
        <v>0</v>
      </c>
      <c r="AH453" s="5"/>
    </row>
    <row r="454" spans="1:34" s="1" customFormat="1" x14ac:dyDescent="0.25">
      <c r="A454" s="21">
        <v>58</v>
      </c>
      <c r="B454" s="22" t="s">
        <v>1691</v>
      </c>
      <c r="C454" s="22" t="s">
        <v>535</v>
      </c>
      <c r="D454" s="51" t="s">
        <v>522</v>
      </c>
      <c r="E454" s="24" t="s">
        <v>512</v>
      </c>
      <c r="F454" s="24"/>
      <c r="G454" s="24" t="s">
        <v>194</v>
      </c>
      <c r="H454" s="24" t="s">
        <v>62</v>
      </c>
      <c r="I454" s="24">
        <v>2013</v>
      </c>
      <c r="J454" s="24"/>
      <c r="K454" s="24" t="s">
        <v>63</v>
      </c>
      <c r="L454" s="24" t="s">
        <v>64</v>
      </c>
      <c r="M454" s="24">
        <v>1</v>
      </c>
      <c r="N454" s="41">
        <f t="shared" si="145"/>
        <v>5136153.846153846</v>
      </c>
      <c r="O454" s="41">
        <v>5136153.846153846</v>
      </c>
      <c r="P454" s="24"/>
      <c r="Q454" s="24"/>
      <c r="R454" s="24"/>
      <c r="S454" s="41">
        <f t="shared" si="148"/>
        <v>5136153.846153846</v>
      </c>
      <c r="T454" s="24">
        <v>5</v>
      </c>
      <c r="U454" s="41"/>
      <c r="V454" s="24">
        <v>0.5</v>
      </c>
      <c r="W454" s="41">
        <f t="shared" si="146"/>
        <v>0</v>
      </c>
      <c r="X454" s="24"/>
      <c r="Y454" s="41">
        <f t="shared" si="147"/>
        <v>0</v>
      </c>
      <c r="Z454" s="41">
        <f t="shared" si="141"/>
        <v>0</v>
      </c>
      <c r="AA454" s="24">
        <v>5</v>
      </c>
      <c r="AB454" s="41">
        <v>5136153.846153846</v>
      </c>
      <c r="AC454" s="41">
        <f t="shared" si="149"/>
        <v>0</v>
      </c>
      <c r="AD454" s="70" t="s">
        <v>335</v>
      </c>
      <c r="AE454" s="70"/>
      <c r="AF454" s="1">
        <v>5136153.846153846</v>
      </c>
      <c r="AG454" s="5">
        <f t="shared" si="150"/>
        <v>0</v>
      </c>
      <c r="AH454" s="5"/>
    </row>
    <row r="455" spans="1:34" s="1" customFormat="1" x14ac:dyDescent="0.25">
      <c r="A455" s="21">
        <v>59</v>
      </c>
      <c r="B455" s="22" t="s">
        <v>1691</v>
      </c>
      <c r="C455" s="22" t="s">
        <v>536</v>
      </c>
      <c r="D455" s="51" t="s">
        <v>522</v>
      </c>
      <c r="E455" s="24" t="s">
        <v>512</v>
      </c>
      <c r="F455" s="24"/>
      <c r="G455" s="24" t="s">
        <v>194</v>
      </c>
      <c r="H455" s="24" t="s">
        <v>62</v>
      </c>
      <c r="I455" s="24">
        <v>2013</v>
      </c>
      <c r="J455" s="24"/>
      <c r="K455" s="24" t="s">
        <v>63</v>
      </c>
      <c r="L455" s="24" t="s">
        <v>64</v>
      </c>
      <c r="M455" s="24">
        <v>1</v>
      </c>
      <c r="N455" s="41">
        <f t="shared" si="145"/>
        <v>5136153.846153846</v>
      </c>
      <c r="O455" s="41">
        <v>5136153.846153846</v>
      </c>
      <c r="P455" s="24"/>
      <c r="Q455" s="24"/>
      <c r="R455" s="24"/>
      <c r="S455" s="41">
        <f t="shared" si="148"/>
        <v>5136153.846153846</v>
      </c>
      <c r="T455" s="24">
        <v>5</v>
      </c>
      <c r="U455" s="41"/>
      <c r="V455" s="24">
        <v>0.5</v>
      </c>
      <c r="W455" s="41">
        <f t="shared" si="146"/>
        <v>0</v>
      </c>
      <c r="X455" s="24"/>
      <c r="Y455" s="41">
        <f t="shared" si="147"/>
        <v>0</v>
      </c>
      <c r="Z455" s="41">
        <f t="shared" si="141"/>
        <v>0</v>
      </c>
      <c r="AA455" s="24">
        <v>5</v>
      </c>
      <c r="AB455" s="41">
        <v>5136153.846153846</v>
      </c>
      <c r="AC455" s="41">
        <f t="shared" si="149"/>
        <v>0</v>
      </c>
      <c r="AD455" s="70" t="s">
        <v>328</v>
      </c>
      <c r="AE455" s="70"/>
      <c r="AF455" s="1">
        <v>5136153.846153846</v>
      </c>
      <c r="AG455" s="5">
        <f t="shared" si="150"/>
        <v>0</v>
      </c>
      <c r="AH455" s="5"/>
    </row>
    <row r="456" spans="1:34" s="1" customFormat="1" x14ac:dyDescent="0.25">
      <c r="A456" s="21">
        <v>60</v>
      </c>
      <c r="B456" s="22" t="s">
        <v>1691</v>
      </c>
      <c r="C456" s="22" t="s">
        <v>537</v>
      </c>
      <c r="D456" s="51" t="s">
        <v>522</v>
      </c>
      <c r="E456" s="24" t="s">
        <v>512</v>
      </c>
      <c r="F456" s="24"/>
      <c r="G456" s="24" t="s">
        <v>194</v>
      </c>
      <c r="H456" s="24" t="s">
        <v>62</v>
      </c>
      <c r="I456" s="24">
        <v>2013</v>
      </c>
      <c r="J456" s="24"/>
      <c r="K456" s="24" t="s">
        <v>63</v>
      </c>
      <c r="L456" s="24" t="s">
        <v>64</v>
      </c>
      <c r="M456" s="24">
        <v>1</v>
      </c>
      <c r="N456" s="41">
        <f t="shared" si="145"/>
        <v>5136153.846153846</v>
      </c>
      <c r="O456" s="41">
        <v>5136153.846153846</v>
      </c>
      <c r="P456" s="24"/>
      <c r="Q456" s="24"/>
      <c r="R456" s="24"/>
      <c r="S456" s="41">
        <f t="shared" si="148"/>
        <v>5136153.846153846</v>
      </c>
      <c r="T456" s="24">
        <v>5</v>
      </c>
      <c r="U456" s="41"/>
      <c r="V456" s="24">
        <v>0.5</v>
      </c>
      <c r="W456" s="41">
        <f t="shared" si="146"/>
        <v>0</v>
      </c>
      <c r="X456" s="24"/>
      <c r="Y456" s="41">
        <f t="shared" si="147"/>
        <v>0</v>
      </c>
      <c r="Z456" s="41">
        <f t="shared" si="141"/>
        <v>0</v>
      </c>
      <c r="AA456" s="24">
        <v>5</v>
      </c>
      <c r="AB456" s="41">
        <v>5136153.846153846</v>
      </c>
      <c r="AC456" s="41">
        <f t="shared" si="149"/>
        <v>0</v>
      </c>
      <c r="AD456" s="70" t="s">
        <v>276</v>
      </c>
      <c r="AE456" s="70"/>
      <c r="AF456" s="1">
        <v>5136153.846153846</v>
      </c>
      <c r="AG456" s="5">
        <f t="shared" si="150"/>
        <v>0</v>
      </c>
      <c r="AH456" s="5"/>
    </row>
    <row r="457" spans="1:34" s="1" customFormat="1" x14ac:dyDescent="0.25">
      <c r="A457" s="21">
        <v>61</v>
      </c>
      <c r="B457" s="22" t="s">
        <v>1691</v>
      </c>
      <c r="C457" s="22" t="s">
        <v>538</v>
      </c>
      <c r="D457" s="51" t="s">
        <v>522</v>
      </c>
      <c r="E457" s="24" t="s">
        <v>512</v>
      </c>
      <c r="F457" s="24"/>
      <c r="G457" s="24" t="s">
        <v>194</v>
      </c>
      <c r="H457" s="24" t="s">
        <v>62</v>
      </c>
      <c r="I457" s="24">
        <v>2013</v>
      </c>
      <c r="J457" s="24"/>
      <c r="K457" s="24" t="s">
        <v>63</v>
      </c>
      <c r="L457" s="24" t="s">
        <v>64</v>
      </c>
      <c r="M457" s="24">
        <v>1</v>
      </c>
      <c r="N457" s="41">
        <f t="shared" si="145"/>
        <v>5136153.846153846</v>
      </c>
      <c r="O457" s="41">
        <v>5136153.846153846</v>
      </c>
      <c r="P457" s="24"/>
      <c r="Q457" s="24"/>
      <c r="R457" s="24"/>
      <c r="S457" s="41">
        <f t="shared" si="148"/>
        <v>5136153.846153846</v>
      </c>
      <c r="T457" s="24">
        <v>5</v>
      </c>
      <c r="U457" s="41"/>
      <c r="V457" s="24">
        <v>0.5</v>
      </c>
      <c r="W457" s="41">
        <f t="shared" si="146"/>
        <v>0</v>
      </c>
      <c r="X457" s="57"/>
      <c r="Y457" s="53">
        <f t="shared" si="147"/>
        <v>0</v>
      </c>
      <c r="Z457" s="53">
        <f t="shared" si="141"/>
        <v>0</v>
      </c>
      <c r="AA457" s="57">
        <v>5</v>
      </c>
      <c r="AB457" s="53">
        <v>5136153.846153846</v>
      </c>
      <c r="AC457" s="53">
        <f t="shared" si="149"/>
        <v>0</v>
      </c>
      <c r="AD457" s="56" t="s">
        <v>331</v>
      </c>
      <c r="AE457" s="70"/>
      <c r="AF457" s="1">
        <v>5136153.846153846</v>
      </c>
      <c r="AG457" s="5">
        <f t="shared" si="150"/>
        <v>0</v>
      </c>
      <c r="AH457" s="5"/>
    </row>
    <row r="458" spans="1:34" s="1" customFormat="1" x14ac:dyDescent="0.25">
      <c r="A458" s="21">
        <v>62</v>
      </c>
      <c r="B458" s="22" t="s">
        <v>1691</v>
      </c>
      <c r="C458" s="22" t="s">
        <v>539</v>
      </c>
      <c r="D458" s="51" t="s">
        <v>511</v>
      </c>
      <c r="E458" s="24" t="s">
        <v>512</v>
      </c>
      <c r="F458" s="24"/>
      <c r="G458" s="24" t="s">
        <v>194</v>
      </c>
      <c r="H458" s="24" t="s">
        <v>62</v>
      </c>
      <c r="I458" s="24">
        <v>2013</v>
      </c>
      <c r="J458" s="24"/>
      <c r="K458" s="24" t="s">
        <v>63</v>
      </c>
      <c r="L458" s="24" t="s">
        <v>64</v>
      </c>
      <c r="M458" s="24">
        <v>2</v>
      </c>
      <c r="N458" s="41">
        <f t="shared" si="145"/>
        <v>4730000</v>
      </c>
      <c r="O458" s="41">
        <v>9460000</v>
      </c>
      <c r="P458" s="24"/>
      <c r="Q458" s="24"/>
      <c r="R458" s="24"/>
      <c r="S458" s="41">
        <f t="shared" si="148"/>
        <v>9460000</v>
      </c>
      <c r="T458" s="24">
        <v>5</v>
      </c>
      <c r="U458" s="41"/>
      <c r="V458" s="24">
        <v>0.5</v>
      </c>
      <c r="W458" s="41">
        <f t="shared" si="146"/>
        <v>0</v>
      </c>
      <c r="X458" s="57"/>
      <c r="Y458" s="53">
        <f t="shared" si="147"/>
        <v>0</v>
      </c>
      <c r="Z458" s="53">
        <f t="shared" ref="Z458:Z467" si="151">SUM(W458+Y458)</f>
        <v>0</v>
      </c>
      <c r="AA458" s="57">
        <v>5</v>
      </c>
      <c r="AB458" s="53">
        <v>9460000</v>
      </c>
      <c r="AC458" s="53">
        <f t="shared" si="149"/>
        <v>0</v>
      </c>
      <c r="AD458" s="56" t="s">
        <v>540</v>
      </c>
      <c r="AE458" s="70"/>
      <c r="AF458" s="1">
        <v>9460000</v>
      </c>
      <c r="AG458" s="5">
        <f t="shared" si="150"/>
        <v>0</v>
      </c>
      <c r="AH458" s="5"/>
    </row>
    <row r="459" spans="1:34" s="1" customFormat="1" x14ac:dyDescent="0.25">
      <c r="A459" s="21"/>
      <c r="B459" s="22" t="s">
        <v>1691</v>
      </c>
      <c r="C459" s="73" t="s">
        <v>541</v>
      </c>
      <c r="D459" s="51" t="s">
        <v>517</v>
      </c>
      <c r="E459" s="52"/>
      <c r="F459" s="52"/>
      <c r="G459" s="52" t="s">
        <v>194</v>
      </c>
      <c r="H459" s="52" t="s">
        <v>62</v>
      </c>
      <c r="I459" s="52">
        <v>2020</v>
      </c>
      <c r="J459" s="52"/>
      <c r="K459" s="52" t="s">
        <v>63</v>
      </c>
      <c r="L459" s="52" t="s">
        <v>64</v>
      </c>
      <c r="M459" s="52">
        <v>1</v>
      </c>
      <c r="N459" s="53">
        <f t="shared" si="145"/>
        <v>3500000</v>
      </c>
      <c r="O459" s="53">
        <v>3500000</v>
      </c>
      <c r="P459" s="52"/>
      <c r="Q459" s="52"/>
      <c r="R459" s="52"/>
      <c r="S459" s="53">
        <f t="shared" si="148"/>
        <v>3500000</v>
      </c>
      <c r="T459" s="52">
        <v>5</v>
      </c>
      <c r="U459" s="53">
        <f t="shared" ref="U459:U460" si="152">SUM(S459/T459)</f>
        <v>700000</v>
      </c>
      <c r="V459" s="52">
        <v>0.5</v>
      </c>
      <c r="W459" s="53">
        <f t="shared" si="146"/>
        <v>350000</v>
      </c>
      <c r="X459" s="52">
        <v>0.5</v>
      </c>
      <c r="Y459" s="53">
        <f t="shared" si="147"/>
        <v>350000</v>
      </c>
      <c r="Z459" s="53">
        <f t="shared" si="151"/>
        <v>700000</v>
      </c>
      <c r="AA459" s="57">
        <f>2023-I459+V459+X459-11/12</f>
        <v>3.0833333333333335</v>
      </c>
      <c r="AB459" s="53">
        <f t="shared" ref="AB459:AB460" si="153">SUM(U459*AA459)</f>
        <v>2158333.3333333335</v>
      </c>
      <c r="AC459" s="53">
        <f t="shared" si="149"/>
        <v>1341666.6666666665</v>
      </c>
      <c r="AD459" s="56"/>
      <c r="AE459" s="70"/>
      <c r="AF459" s="1">
        <v>1458333.3333333335</v>
      </c>
      <c r="AG459" s="5">
        <f t="shared" si="150"/>
        <v>0</v>
      </c>
      <c r="AH459" s="5"/>
    </row>
    <row r="460" spans="1:34" s="1" customFormat="1" x14ac:dyDescent="0.25">
      <c r="A460" s="21"/>
      <c r="B460" s="22" t="s">
        <v>1691</v>
      </c>
      <c r="C460" s="73" t="s">
        <v>542</v>
      </c>
      <c r="D460" s="51" t="s">
        <v>522</v>
      </c>
      <c r="E460" s="52"/>
      <c r="F460" s="52"/>
      <c r="G460" s="52" t="s">
        <v>194</v>
      </c>
      <c r="H460" s="52" t="s">
        <v>62</v>
      </c>
      <c r="I460" s="52">
        <v>2020</v>
      </c>
      <c r="J460" s="52"/>
      <c r="K460" s="52" t="s">
        <v>63</v>
      </c>
      <c r="L460" s="52" t="s">
        <v>64</v>
      </c>
      <c r="M460" s="52">
        <v>2</v>
      </c>
      <c r="N460" s="53">
        <f t="shared" si="145"/>
        <v>3250000</v>
      </c>
      <c r="O460" s="53">
        <v>6500000</v>
      </c>
      <c r="P460" s="52"/>
      <c r="Q460" s="52"/>
      <c r="R460" s="52"/>
      <c r="S460" s="53">
        <f t="shared" si="148"/>
        <v>6500000</v>
      </c>
      <c r="T460" s="52">
        <v>5</v>
      </c>
      <c r="U460" s="53">
        <f t="shared" si="152"/>
        <v>1300000</v>
      </c>
      <c r="V460" s="52">
        <v>0.5</v>
      </c>
      <c r="W460" s="53">
        <f t="shared" si="146"/>
        <v>650000</v>
      </c>
      <c r="X460" s="52">
        <v>0.5</v>
      </c>
      <c r="Y460" s="53">
        <f t="shared" si="147"/>
        <v>650000</v>
      </c>
      <c r="Z460" s="53">
        <f t="shared" si="151"/>
        <v>1300000</v>
      </c>
      <c r="AA460" s="57">
        <f>2023-I460+V460+X460-11/12</f>
        <v>3.0833333333333335</v>
      </c>
      <c r="AB460" s="53">
        <f t="shared" si="153"/>
        <v>4008333.3333333335</v>
      </c>
      <c r="AC460" s="53">
        <f t="shared" si="149"/>
        <v>2491666.6666666665</v>
      </c>
      <c r="AD460" s="56"/>
      <c r="AE460" s="70"/>
      <c r="AF460" s="1">
        <v>2708333.3333333335</v>
      </c>
      <c r="AG460" s="5">
        <f t="shared" si="150"/>
        <v>0</v>
      </c>
      <c r="AH460" s="5"/>
    </row>
    <row r="461" spans="1:34" s="1" customFormat="1" x14ac:dyDescent="0.25">
      <c r="A461" s="21">
        <v>63</v>
      </c>
      <c r="B461" s="22" t="s">
        <v>1691</v>
      </c>
      <c r="C461" s="50" t="s">
        <v>298</v>
      </c>
      <c r="D461" s="51" t="s">
        <v>543</v>
      </c>
      <c r="E461" s="52" t="s">
        <v>544</v>
      </c>
      <c r="F461" s="52"/>
      <c r="G461" s="52" t="s">
        <v>194</v>
      </c>
      <c r="H461" s="52" t="s">
        <v>62</v>
      </c>
      <c r="I461" s="52">
        <v>2014</v>
      </c>
      <c r="J461" s="52"/>
      <c r="K461" s="52" t="s">
        <v>63</v>
      </c>
      <c r="L461" s="52" t="s">
        <v>64</v>
      </c>
      <c r="M461" s="52">
        <v>2</v>
      </c>
      <c r="N461" s="53">
        <f t="shared" si="145"/>
        <v>20185000</v>
      </c>
      <c r="O461" s="53">
        <v>40370000</v>
      </c>
      <c r="P461" s="52"/>
      <c r="Q461" s="52"/>
      <c r="R461" s="52"/>
      <c r="S461" s="53">
        <f t="shared" si="148"/>
        <v>40370000</v>
      </c>
      <c r="T461" s="52">
        <v>5</v>
      </c>
      <c r="U461" s="53"/>
      <c r="V461" s="52">
        <v>0.5</v>
      </c>
      <c r="W461" s="53">
        <f t="shared" si="146"/>
        <v>0</v>
      </c>
      <c r="X461" s="52"/>
      <c r="Y461" s="53">
        <f t="shared" si="147"/>
        <v>0</v>
      </c>
      <c r="Z461" s="53">
        <f t="shared" si="151"/>
        <v>0</v>
      </c>
      <c r="AA461" s="52">
        <v>5</v>
      </c>
      <c r="AB461" s="53">
        <v>40370000</v>
      </c>
      <c r="AC461" s="53">
        <f t="shared" si="149"/>
        <v>0</v>
      </c>
      <c r="AD461" s="56" t="s">
        <v>295</v>
      </c>
      <c r="AE461" s="70"/>
      <c r="AF461" s="1">
        <v>40370000</v>
      </c>
      <c r="AG461" s="5">
        <f t="shared" si="150"/>
        <v>0</v>
      </c>
      <c r="AH461" s="5"/>
    </row>
    <row r="462" spans="1:34" s="1" customFormat="1" x14ac:dyDescent="0.25">
      <c r="A462" s="21">
        <v>64</v>
      </c>
      <c r="B462" s="22" t="s">
        <v>1691</v>
      </c>
      <c r="C462" s="50" t="s">
        <v>135</v>
      </c>
      <c r="D462" s="51" t="s">
        <v>543</v>
      </c>
      <c r="E462" s="52" t="s">
        <v>544</v>
      </c>
      <c r="F462" s="52"/>
      <c r="G462" s="52" t="s">
        <v>194</v>
      </c>
      <c r="H462" s="52" t="s">
        <v>62</v>
      </c>
      <c r="I462" s="52">
        <v>2014</v>
      </c>
      <c r="J462" s="52"/>
      <c r="K462" s="52" t="s">
        <v>63</v>
      </c>
      <c r="L462" s="52" t="s">
        <v>64</v>
      </c>
      <c r="M462" s="52">
        <v>1</v>
      </c>
      <c r="N462" s="53">
        <f t="shared" ref="N462:N504" si="154">SUM(O462/M462)</f>
        <v>20185000</v>
      </c>
      <c r="O462" s="53">
        <v>20185000</v>
      </c>
      <c r="P462" s="52"/>
      <c r="Q462" s="52"/>
      <c r="R462" s="52"/>
      <c r="S462" s="53">
        <f t="shared" si="148"/>
        <v>20185000</v>
      </c>
      <c r="T462" s="52">
        <v>5</v>
      </c>
      <c r="U462" s="53"/>
      <c r="V462" s="52">
        <v>0.5</v>
      </c>
      <c r="W462" s="53">
        <f t="shared" ref="W462:W467" si="155">SUM(U462*V462)</f>
        <v>0</v>
      </c>
      <c r="X462" s="52"/>
      <c r="Y462" s="53">
        <f t="shared" ref="Y462:Y467" si="156">SUM(U462*X462)</f>
        <v>0</v>
      </c>
      <c r="Z462" s="53">
        <f t="shared" si="151"/>
        <v>0</v>
      </c>
      <c r="AA462" s="52">
        <v>5</v>
      </c>
      <c r="AB462" s="53">
        <v>20185000</v>
      </c>
      <c r="AC462" s="53">
        <f t="shared" si="149"/>
        <v>0</v>
      </c>
      <c r="AD462" s="56" t="s">
        <v>303</v>
      </c>
      <c r="AE462" s="70"/>
      <c r="AF462" s="1">
        <v>20185000</v>
      </c>
      <c r="AG462" s="5">
        <f t="shared" si="150"/>
        <v>0</v>
      </c>
      <c r="AH462" s="5"/>
    </row>
    <row r="463" spans="1:34" s="1" customFormat="1" x14ac:dyDescent="0.25">
      <c r="A463" s="21">
        <v>65</v>
      </c>
      <c r="B463" s="22" t="s">
        <v>1691</v>
      </c>
      <c r="C463" s="50" t="s">
        <v>340</v>
      </c>
      <c r="D463" s="51" t="s">
        <v>543</v>
      </c>
      <c r="E463" s="52" t="s">
        <v>544</v>
      </c>
      <c r="F463" s="52"/>
      <c r="G463" s="52" t="s">
        <v>194</v>
      </c>
      <c r="H463" s="52" t="s">
        <v>62</v>
      </c>
      <c r="I463" s="52">
        <v>2014</v>
      </c>
      <c r="J463" s="52"/>
      <c r="K463" s="52" t="s">
        <v>63</v>
      </c>
      <c r="L463" s="52" t="s">
        <v>64</v>
      </c>
      <c r="M463" s="52">
        <v>2</v>
      </c>
      <c r="N463" s="53">
        <f t="shared" si="154"/>
        <v>20185000</v>
      </c>
      <c r="O463" s="53">
        <v>40370000</v>
      </c>
      <c r="P463" s="52"/>
      <c r="Q463" s="52"/>
      <c r="R463" s="52"/>
      <c r="S463" s="53">
        <f t="shared" si="148"/>
        <v>40370000</v>
      </c>
      <c r="T463" s="52">
        <v>5</v>
      </c>
      <c r="U463" s="53"/>
      <c r="V463" s="52">
        <v>0.5</v>
      </c>
      <c r="W463" s="53">
        <f t="shared" si="155"/>
        <v>0</v>
      </c>
      <c r="X463" s="52"/>
      <c r="Y463" s="53">
        <f t="shared" si="156"/>
        <v>0</v>
      </c>
      <c r="Z463" s="53">
        <f t="shared" si="151"/>
        <v>0</v>
      </c>
      <c r="AA463" s="57">
        <v>5</v>
      </c>
      <c r="AB463" s="53">
        <v>40370000</v>
      </c>
      <c r="AC463" s="53">
        <f t="shared" si="149"/>
        <v>0</v>
      </c>
      <c r="AD463" s="56" t="s">
        <v>297</v>
      </c>
      <c r="AE463" s="70"/>
      <c r="AF463" s="1">
        <v>40370000</v>
      </c>
      <c r="AG463" s="5">
        <f t="shared" si="150"/>
        <v>0</v>
      </c>
      <c r="AH463" s="5"/>
    </row>
    <row r="464" spans="1:34" s="1" customFormat="1" x14ac:dyDescent="0.25">
      <c r="A464" s="21">
        <v>66</v>
      </c>
      <c r="B464" s="22" t="s">
        <v>1691</v>
      </c>
      <c r="C464" s="50" t="s">
        <v>545</v>
      </c>
      <c r="D464" s="51" t="s">
        <v>543</v>
      </c>
      <c r="E464" s="52" t="s">
        <v>544</v>
      </c>
      <c r="F464" s="52"/>
      <c r="G464" s="52" t="s">
        <v>194</v>
      </c>
      <c r="H464" s="52" t="s">
        <v>62</v>
      </c>
      <c r="I464" s="52">
        <v>2014</v>
      </c>
      <c r="J464" s="52"/>
      <c r="K464" s="52" t="s">
        <v>63</v>
      </c>
      <c r="L464" s="52" t="s">
        <v>64</v>
      </c>
      <c r="M464" s="52">
        <v>2</v>
      </c>
      <c r="N464" s="53">
        <f t="shared" si="154"/>
        <v>20185000</v>
      </c>
      <c r="O464" s="53">
        <v>40370000</v>
      </c>
      <c r="P464" s="52"/>
      <c r="Q464" s="52"/>
      <c r="R464" s="52"/>
      <c r="S464" s="53">
        <f t="shared" si="148"/>
        <v>40370000</v>
      </c>
      <c r="T464" s="52">
        <v>5</v>
      </c>
      <c r="U464" s="53"/>
      <c r="V464" s="52">
        <v>0.5</v>
      </c>
      <c r="W464" s="53">
        <f t="shared" si="155"/>
        <v>0</v>
      </c>
      <c r="X464" s="54"/>
      <c r="Y464" s="53">
        <f t="shared" si="156"/>
        <v>0</v>
      </c>
      <c r="Z464" s="53">
        <f t="shared" si="151"/>
        <v>0</v>
      </c>
      <c r="AA464" s="57">
        <v>5</v>
      </c>
      <c r="AB464" s="53">
        <v>40370000</v>
      </c>
      <c r="AC464" s="53">
        <f t="shared" si="149"/>
        <v>0</v>
      </c>
      <c r="AD464" s="56" t="s">
        <v>287</v>
      </c>
      <c r="AE464" s="70"/>
      <c r="AF464" s="1">
        <v>40370000</v>
      </c>
      <c r="AG464" s="5">
        <f t="shared" si="150"/>
        <v>0</v>
      </c>
      <c r="AH464" s="5"/>
    </row>
    <row r="465" spans="1:34" s="1" customFormat="1" x14ac:dyDescent="0.25">
      <c r="A465" s="21">
        <v>67</v>
      </c>
      <c r="B465" s="22" t="s">
        <v>1691</v>
      </c>
      <c r="C465" s="50" t="s">
        <v>546</v>
      </c>
      <c r="D465" s="51" t="s">
        <v>543</v>
      </c>
      <c r="E465" s="52" t="s">
        <v>544</v>
      </c>
      <c r="F465" s="52"/>
      <c r="G465" s="52" t="s">
        <v>194</v>
      </c>
      <c r="H465" s="52" t="s">
        <v>62</v>
      </c>
      <c r="I465" s="52">
        <v>2018</v>
      </c>
      <c r="J465" s="52"/>
      <c r="K465" s="52" t="s">
        <v>63</v>
      </c>
      <c r="L465" s="52" t="s">
        <v>64</v>
      </c>
      <c r="M465" s="52">
        <v>4</v>
      </c>
      <c r="N465" s="53">
        <f t="shared" si="154"/>
        <v>21692000</v>
      </c>
      <c r="O465" s="53">
        <v>86768000</v>
      </c>
      <c r="P465" s="52"/>
      <c r="Q465" s="52"/>
      <c r="R465" s="52"/>
      <c r="S465" s="53">
        <f t="shared" si="148"/>
        <v>86768000</v>
      </c>
      <c r="T465" s="52">
        <v>5</v>
      </c>
      <c r="U465" s="53">
        <f t="shared" ref="U465:U503" si="157">SUM(S465/T465)</f>
        <v>17353600</v>
      </c>
      <c r="V465" s="52">
        <v>0.5</v>
      </c>
      <c r="W465" s="53">
        <f>SUM(U465*V465)-2892266.67</f>
        <v>5784533.3300000001</v>
      </c>
      <c r="X465" s="54"/>
      <c r="Y465" s="53">
        <f t="shared" si="156"/>
        <v>0</v>
      </c>
      <c r="Z465" s="53">
        <f t="shared" si="151"/>
        <v>5784533.3300000001</v>
      </c>
      <c r="AA465" s="57">
        <f>2023-I465+V465+X465-4/12-2/12</f>
        <v>5</v>
      </c>
      <c r="AB465" s="53">
        <f t="shared" ref="AB465:AB495" si="158">SUM(U465*AA465)</f>
        <v>86768000</v>
      </c>
      <c r="AC465" s="53">
        <f t="shared" si="149"/>
        <v>0</v>
      </c>
      <c r="AD465" s="56" t="s">
        <v>547</v>
      </c>
      <c r="AE465" s="56"/>
      <c r="AF465" s="1">
        <v>80983466.666666672</v>
      </c>
      <c r="AG465" s="5">
        <f t="shared" si="150"/>
        <v>-3.3333301544189453E-3</v>
      </c>
      <c r="AH465" s="5"/>
    </row>
    <row r="466" spans="1:34" s="1" customFormat="1" x14ac:dyDescent="0.25">
      <c r="A466" s="21"/>
      <c r="B466" s="22" t="s">
        <v>1691</v>
      </c>
      <c r="C466" s="73" t="s">
        <v>162</v>
      </c>
      <c r="D466" s="51" t="s">
        <v>543</v>
      </c>
      <c r="E466" s="52"/>
      <c r="F466" s="52"/>
      <c r="G466" s="52" t="s">
        <v>194</v>
      </c>
      <c r="H466" s="52" t="s">
        <v>62</v>
      </c>
      <c r="I466" s="52">
        <v>2020</v>
      </c>
      <c r="J466" s="52"/>
      <c r="K466" s="52" t="s">
        <v>63</v>
      </c>
      <c r="L466" s="52" t="s">
        <v>64</v>
      </c>
      <c r="M466" s="52">
        <v>1</v>
      </c>
      <c r="N466" s="53">
        <f t="shared" si="154"/>
        <v>25000000</v>
      </c>
      <c r="O466" s="53">
        <v>25000000</v>
      </c>
      <c r="P466" s="52"/>
      <c r="Q466" s="52"/>
      <c r="R466" s="52"/>
      <c r="S466" s="53">
        <f t="shared" si="148"/>
        <v>25000000</v>
      </c>
      <c r="T466" s="52">
        <v>5</v>
      </c>
      <c r="U466" s="53">
        <f t="shared" si="157"/>
        <v>5000000</v>
      </c>
      <c r="V466" s="52">
        <v>0.5</v>
      </c>
      <c r="W466" s="53">
        <f t="shared" si="155"/>
        <v>2500000</v>
      </c>
      <c r="X466" s="24">
        <v>0.5</v>
      </c>
      <c r="Y466" s="41">
        <f t="shared" si="156"/>
        <v>2500000</v>
      </c>
      <c r="Z466" s="41">
        <f t="shared" si="151"/>
        <v>5000000</v>
      </c>
      <c r="AA466" s="72">
        <f>2023-I466+V466+X466-11/12</f>
        <v>3.0833333333333335</v>
      </c>
      <c r="AB466" s="41">
        <f t="shared" si="158"/>
        <v>15416666.666666668</v>
      </c>
      <c r="AC466" s="41">
        <f t="shared" si="149"/>
        <v>9583333.3333333321</v>
      </c>
      <c r="AD466" s="70" t="s">
        <v>199</v>
      </c>
      <c r="AE466" s="70"/>
      <c r="AF466" s="1">
        <v>10416666.666666668</v>
      </c>
      <c r="AG466" s="5">
        <f t="shared" si="150"/>
        <v>0</v>
      </c>
      <c r="AH466" s="5"/>
    </row>
    <row r="467" spans="1:34" s="1" customFormat="1" x14ac:dyDescent="0.25">
      <c r="A467" s="49"/>
      <c r="B467" s="50" t="s">
        <v>1691</v>
      </c>
      <c r="C467" s="73" t="s">
        <v>312</v>
      </c>
      <c r="D467" s="51" t="s">
        <v>548</v>
      </c>
      <c r="E467" s="52" t="s">
        <v>549</v>
      </c>
      <c r="F467" s="52"/>
      <c r="G467" s="52" t="s">
        <v>194</v>
      </c>
      <c r="H467" s="52" t="s">
        <v>62</v>
      </c>
      <c r="I467" s="52">
        <v>2022</v>
      </c>
      <c r="J467" s="52"/>
      <c r="K467" s="52" t="s">
        <v>63</v>
      </c>
      <c r="L467" s="52" t="s">
        <v>64</v>
      </c>
      <c r="M467" s="52">
        <v>1</v>
      </c>
      <c r="N467" s="53">
        <f t="shared" si="154"/>
        <v>28349400</v>
      </c>
      <c r="O467" s="53">
        <v>28349400</v>
      </c>
      <c r="P467" s="52"/>
      <c r="Q467" s="52"/>
      <c r="R467" s="52"/>
      <c r="S467" s="53">
        <f t="shared" si="148"/>
        <v>28349400</v>
      </c>
      <c r="T467" s="52">
        <v>5</v>
      </c>
      <c r="U467" s="53">
        <f t="shared" si="157"/>
        <v>5669880</v>
      </c>
      <c r="V467" s="54">
        <v>0.5</v>
      </c>
      <c r="W467" s="53">
        <f t="shared" si="155"/>
        <v>2834940</v>
      </c>
      <c r="X467" s="24">
        <v>0.5</v>
      </c>
      <c r="Y467" s="41">
        <f t="shared" si="156"/>
        <v>2834940</v>
      </c>
      <c r="Z467" s="41">
        <f t="shared" si="151"/>
        <v>5669880</v>
      </c>
      <c r="AA467" s="72">
        <f>4/12+0.5+0.5+0.5</f>
        <v>1.8333333333333333</v>
      </c>
      <c r="AB467" s="41">
        <f t="shared" si="158"/>
        <v>10394780</v>
      </c>
      <c r="AC467" s="41">
        <f t="shared" si="149"/>
        <v>17954620</v>
      </c>
      <c r="AD467" s="70" t="s">
        <v>199</v>
      </c>
      <c r="AE467" s="70"/>
      <c r="AF467" s="1">
        <v>4724900</v>
      </c>
      <c r="AG467" s="5">
        <f t="shared" si="150"/>
        <v>0</v>
      </c>
      <c r="AH467" s="5"/>
    </row>
    <row r="468" spans="1:34" s="1" customFormat="1" x14ac:dyDescent="0.25">
      <c r="A468" s="21">
        <v>68</v>
      </c>
      <c r="B468" s="22" t="s">
        <v>1691</v>
      </c>
      <c r="C468" s="22" t="s">
        <v>550</v>
      </c>
      <c r="D468" s="51" t="s">
        <v>551</v>
      </c>
      <c r="E468" s="24" t="s">
        <v>471</v>
      </c>
      <c r="F468" s="24"/>
      <c r="G468" s="24" t="s">
        <v>194</v>
      </c>
      <c r="H468" s="24" t="s">
        <v>62</v>
      </c>
      <c r="I468" s="24">
        <v>2015</v>
      </c>
      <c r="J468" s="24"/>
      <c r="K468" s="24" t="s">
        <v>63</v>
      </c>
      <c r="L468" s="24" t="s">
        <v>64</v>
      </c>
      <c r="M468" s="24">
        <v>2</v>
      </c>
      <c r="N468" s="41">
        <f t="shared" si="154"/>
        <v>7975000</v>
      </c>
      <c r="O468" s="41">
        <v>15950000</v>
      </c>
      <c r="P468" s="24"/>
      <c r="Q468" s="24"/>
      <c r="R468" s="24"/>
      <c r="S468" s="41">
        <f t="shared" si="148"/>
        <v>15950000</v>
      </c>
      <c r="T468" s="24">
        <v>5</v>
      </c>
      <c r="U468" s="41">
        <f t="shared" si="157"/>
        <v>3190000</v>
      </c>
      <c r="V468" s="24">
        <v>0.5</v>
      </c>
      <c r="W468" s="41"/>
      <c r="X468" s="24"/>
      <c r="Y468" s="41">
        <f>SUM(U468*X468)</f>
        <v>0</v>
      </c>
      <c r="Z468" s="41"/>
      <c r="AA468" s="72">
        <v>5</v>
      </c>
      <c r="AB468" s="41">
        <f t="shared" si="158"/>
        <v>15950000</v>
      </c>
      <c r="AC468" s="41">
        <f t="shared" si="149"/>
        <v>0</v>
      </c>
      <c r="AD468" s="70" t="s">
        <v>308</v>
      </c>
      <c r="AE468" s="70"/>
      <c r="AF468" s="1">
        <v>15950000</v>
      </c>
      <c r="AG468" s="5">
        <f t="shared" si="150"/>
        <v>0</v>
      </c>
      <c r="AH468" s="5"/>
    </row>
    <row r="469" spans="1:34" s="1" customFormat="1" x14ac:dyDescent="0.25">
      <c r="A469" s="21">
        <v>69</v>
      </c>
      <c r="B469" s="22" t="s">
        <v>1691</v>
      </c>
      <c r="C469" s="22" t="s">
        <v>156</v>
      </c>
      <c r="D469" s="51" t="s">
        <v>551</v>
      </c>
      <c r="E469" s="24" t="s">
        <v>471</v>
      </c>
      <c r="F469" s="24"/>
      <c r="G469" s="24" t="s">
        <v>194</v>
      </c>
      <c r="H469" s="24" t="s">
        <v>62</v>
      </c>
      <c r="I469" s="24">
        <v>2015</v>
      </c>
      <c r="J469" s="24"/>
      <c r="K469" s="24" t="s">
        <v>63</v>
      </c>
      <c r="L469" s="24" t="s">
        <v>64</v>
      </c>
      <c r="M469" s="24">
        <v>1</v>
      </c>
      <c r="N469" s="41">
        <f t="shared" si="154"/>
        <v>7975000</v>
      </c>
      <c r="O469" s="41">
        <v>7975000</v>
      </c>
      <c r="P469" s="24"/>
      <c r="Q469" s="24"/>
      <c r="R469" s="24"/>
      <c r="S469" s="41">
        <f t="shared" si="148"/>
        <v>7975000</v>
      </c>
      <c r="T469" s="24">
        <v>5</v>
      </c>
      <c r="U469" s="41">
        <f t="shared" si="157"/>
        <v>1595000</v>
      </c>
      <c r="V469" s="24">
        <v>0.5</v>
      </c>
      <c r="W469" s="41"/>
      <c r="X469" s="24"/>
      <c r="Y469" s="41">
        <f t="shared" ref="Y469:Y503" si="159">SUM(U469*X469)</f>
        <v>0</v>
      </c>
      <c r="Z469" s="41"/>
      <c r="AA469" s="72">
        <v>5</v>
      </c>
      <c r="AB469" s="41">
        <f t="shared" si="158"/>
        <v>7975000</v>
      </c>
      <c r="AC469" s="41">
        <f t="shared" si="149"/>
        <v>0</v>
      </c>
      <c r="AD469" s="70" t="s">
        <v>365</v>
      </c>
      <c r="AE469" s="70"/>
      <c r="AF469" s="1">
        <v>7975000</v>
      </c>
      <c r="AG469" s="5">
        <f t="shared" si="150"/>
        <v>0</v>
      </c>
      <c r="AH469" s="5"/>
    </row>
    <row r="470" spans="1:34" s="1" customFormat="1" x14ac:dyDescent="0.25">
      <c r="A470" s="21">
        <v>70</v>
      </c>
      <c r="B470" s="22" t="s">
        <v>1691</v>
      </c>
      <c r="C470" s="22" t="s">
        <v>159</v>
      </c>
      <c r="D470" s="51" t="s">
        <v>552</v>
      </c>
      <c r="E470" s="24" t="s">
        <v>471</v>
      </c>
      <c r="F470" s="24"/>
      <c r="G470" s="24" t="s">
        <v>194</v>
      </c>
      <c r="H470" s="24" t="s">
        <v>62</v>
      </c>
      <c r="I470" s="24">
        <v>2015</v>
      </c>
      <c r="J470" s="24"/>
      <c r="K470" s="24" t="s">
        <v>63</v>
      </c>
      <c r="L470" s="24" t="s">
        <v>64</v>
      </c>
      <c r="M470" s="24">
        <v>1</v>
      </c>
      <c r="N470" s="41">
        <f t="shared" si="154"/>
        <v>4499000</v>
      </c>
      <c r="O470" s="41">
        <v>4499000</v>
      </c>
      <c r="P470" s="24"/>
      <c r="Q470" s="24"/>
      <c r="R470" s="24"/>
      <c r="S470" s="41">
        <f t="shared" si="148"/>
        <v>4499000</v>
      </c>
      <c r="T470" s="24">
        <v>5</v>
      </c>
      <c r="U470" s="41">
        <f t="shared" si="157"/>
        <v>899800</v>
      </c>
      <c r="V470" s="24">
        <v>0.5</v>
      </c>
      <c r="W470" s="41"/>
      <c r="X470" s="24"/>
      <c r="Y470" s="41">
        <f t="shared" si="159"/>
        <v>0</v>
      </c>
      <c r="Z470" s="41"/>
      <c r="AA470" s="72">
        <v>5</v>
      </c>
      <c r="AB470" s="41">
        <f t="shared" si="158"/>
        <v>4499000</v>
      </c>
      <c r="AC470" s="41">
        <f t="shared" si="149"/>
        <v>0</v>
      </c>
      <c r="AD470" s="70" t="s">
        <v>553</v>
      </c>
      <c r="AE470" s="70"/>
      <c r="AF470" s="1">
        <v>4499000</v>
      </c>
      <c r="AG470" s="5">
        <f t="shared" si="150"/>
        <v>0</v>
      </c>
      <c r="AH470" s="5"/>
    </row>
    <row r="471" spans="1:34" s="1" customFormat="1" x14ac:dyDescent="0.25">
      <c r="A471" s="21">
        <v>71</v>
      </c>
      <c r="B471" s="22" t="s">
        <v>1691</v>
      </c>
      <c r="C471" s="22" t="s">
        <v>554</v>
      </c>
      <c r="D471" s="51" t="s">
        <v>555</v>
      </c>
      <c r="E471" s="24" t="s">
        <v>556</v>
      </c>
      <c r="F471" s="24"/>
      <c r="G471" s="24" t="s">
        <v>194</v>
      </c>
      <c r="H471" s="24" t="s">
        <v>62</v>
      </c>
      <c r="I471" s="24">
        <v>2017</v>
      </c>
      <c r="J471" s="24"/>
      <c r="K471" s="24" t="s">
        <v>63</v>
      </c>
      <c r="L471" s="24" t="s">
        <v>64</v>
      </c>
      <c r="M471" s="24">
        <v>2</v>
      </c>
      <c r="N471" s="41">
        <f t="shared" si="154"/>
        <v>7469000</v>
      </c>
      <c r="O471" s="41">
        <v>14938000</v>
      </c>
      <c r="P471" s="24"/>
      <c r="Q471" s="24"/>
      <c r="R471" s="24"/>
      <c r="S471" s="41">
        <f t="shared" si="148"/>
        <v>14938000</v>
      </c>
      <c r="T471" s="24">
        <v>5</v>
      </c>
      <c r="U471" s="41">
        <f t="shared" si="157"/>
        <v>2987600</v>
      </c>
      <c r="V471" s="24"/>
      <c r="W471" s="41">
        <f t="shared" ref="W471:W503" si="160">SUM(U471*V471)</f>
        <v>0</v>
      </c>
      <c r="X471" s="24"/>
      <c r="Y471" s="41"/>
      <c r="Z471" s="41">
        <f>SUM(W471+Y471)</f>
        <v>0</v>
      </c>
      <c r="AA471" s="72">
        <v>5</v>
      </c>
      <c r="AB471" s="41">
        <v>14938000</v>
      </c>
      <c r="AC471" s="41">
        <f t="shared" si="149"/>
        <v>0</v>
      </c>
      <c r="AD471" s="70" t="s">
        <v>226</v>
      </c>
      <c r="AE471" s="70"/>
      <c r="AF471" s="1">
        <v>14938000</v>
      </c>
      <c r="AG471" s="5">
        <f t="shared" si="150"/>
        <v>0</v>
      </c>
      <c r="AH471" s="5"/>
    </row>
    <row r="472" spans="1:34" s="1" customFormat="1" x14ac:dyDescent="0.25">
      <c r="A472" s="21">
        <v>72</v>
      </c>
      <c r="B472" s="22" t="s">
        <v>1691</v>
      </c>
      <c r="C472" s="22" t="s">
        <v>312</v>
      </c>
      <c r="D472" s="51" t="s">
        <v>555</v>
      </c>
      <c r="E472" s="24" t="s">
        <v>556</v>
      </c>
      <c r="F472" s="24"/>
      <c r="G472" s="24" t="s">
        <v>194</v>
      </c>
      <c r="H472" s="24" t="s">
        <v>62</v>
      </c>
      <c r="I472" s="24">
        <v>2017</v>
      </c>
      <c r="J472" s="24"/>
      <c r="K472" s="24" t="s">
        <v>63</v>
      </c>
      <c r="L472" s="24" t="s">
        <v>64</v>
      </c>
      <c r="M472" s="24">
        <v>1</v>
      </c>
      <c r="N472" s="41">
        <f t="shared" si="154"/>
        <v>7469000</v>
      </c>
      <c r="O472" s="41">
        <v>7469000</v>
      </c>
      <c r="P472" s="24"/>
      <c r="Q472" s="24"/>
      <c r="R472" s="24"/>
      <c r="S472" s="41">
        <f t="shared" si="148"/>
        <v>7469000</v>
      </c>
      <c r="T472" s="24">
        <v>5</v>
      </c>
      <c r="U472" s="41">
        <f t="shared" si="157"/>
        <v>1493800</v>
      </c>
      <c r="V472" s="24"/>
      <c r="W472" s="41">
        <f t="shared" si="160"/>
        <v>0</v>
      </c>
      <c r="X472" s="24"/>
      <c r="Y472" s="41"/>
      <c r="Z472" s="41">
        <f>SUM(W472+Y472)</f>
        <v>0</v>
      </c>
      <c r="AA472" s="72">
        <v>5</v>
      </c>
      <c r="AB472" s="41">
        <v>7469000</v>
      </c>
      <c r="AC472" s="41">
        <f t="shared" si="149"/>
        <v>0</v>
      </c>
      <c r="AD472" s="70" t="s">
        <v>557</v>
      </c>
      <c r="AE472" s="70"/>
      <c r="AF472" s="1">
        <v>7469000</v>
      </c>
      <c r="AG472" s="5">
        <f t="shared" si="150"/>
        <v>0</v>
      </c>
      <c r="AH472" s="5"/>
    </row>
    <row r="473" spans="1:34" s="1" customFormat="1" x14ac:dyDescent="0.25">
      <c r="A473" s="21">
        <v>73</v>
      </c>
      <c r="B473" s="22" t="s">
        <v>1691</v>
      </c>
      <c r="C473" s="22" t="s">
        <v>313</v>
      </c>
      <c r="D473" s="51" t="s">
        <v>555</v>
      </c>
      <c r="E473" s="24" t="s">
        <v>556</v>
      </c>
      <c r="F473" s="24"/>
      <c r="G473" s="24" t="s">
        <v>194</v>
      </c>
      <c r="H473" s="24" t="s">
        <v>62</v>
      </c>
      <c r="I473" s="24">
        <v>2017</v>
      </c>
      <c r="J473" s="24"/>
      <c r="K473" s="24" t="s">
        <v>63</v>
      </c>
      <c r="L473" s="24" t="s">
        <v>64</v>
      </c>
      <c r="M473" s="24">
        <v>1</v>
      </c>
      <c r="N473" s="41">
        <f t="shared" si="154"/>
        <v>7469000</v>
      </c>
      <c r="O473" s="41">
        <v>7469000</v>
      </c>
      <c r="P473" s="24"/>
      <c r="Q473" s="24"/>
      <c r="R473" s="24"/>
      <c r="S473" s="41">
        <f t="shared" si="148"/>
        <v>7469000</v>
      </c>
      <c r="T473" s="24">
        <v>5</v>
      </c>
      <c r="U473" s="41">
        <f t="shared" si="157"/>
        <v>1493800</v>
      </c>
      <c r="V473" s="24"/>
      <c r="W473" s="41">
        <f t="shared" si="160"/>
        <v>0</v>
      </c>
      <c r="X473" s="24"/>
      <c r="Y473" s="41"/>
      <c r="Z473" s="41">
        <f>SUM(W473+Y473)</f>
        <v>0</v>
      </c>
      <c r="AA473" s="72">
        <v>5</v>
      </c>
      <c r="AB473" s="41">
        <v>7469000</v>
      </c>
      <c r="AC473" s="41">
        <f t="shared" si="149"/>
        <v>0</v>
      </c>
      <c r="AD473" s="70" t="s">
        <v>558</v>
      </c>
      <c r="AE473" s="70"/>
      <c r="AF473" s="1">
        <v>7469000</v>
      </c>
      <c r="AG473" s="5">
        <f t="shared" si="150"/>
        <v>0</v>
      </c>
      <c r="AH473" s="5"/>
    </row>
    <row r="474" spans="1:34" s="1" customFormat="1" x14ac:dyDescent="0.25">
      <c r="A474" s="21">
        <v>74</v>
      </c>
      <c r="B474" s="22" t="s">
        <v>1691</v>
      </c>
      <c r="C474" s="22" t="s">
        <v>559</v>
      </c>
      <c r="D474" s="51" t="s">
        <v>555</v>
      </c>
      <c r="E474" s="24" t="s">
        <v>560</v>
      </c>
      <c r="F474" s="24"/>
      <c r="G474" s="24" t="s">
        <v>194</v>
      </c>
      <c r="H474" s="24" t="s">
        <v>62</v>
      </c>
      <c r="I474" s="24">
        <v>2018</v>
      </c>
      <c r="J474" s="24"/>
      <c r="K474" s="24" t="s">
        <v>63</v>
      </c>
      <c r="L474" s="24" t="s">
        <v>64</v>
      </c>
      <c r="M474" s="24">
        <v>1</v>
      </c>
      <c r="N474" s="41">
        <f t="shared" si="154"/>
        <v>5940000</v>
      </c>
      <c r="O474" s="41">
        <v>5940000</v>
      </c>
      <c r="P474" s="24"/>
      <c r="Q474" s="24"/>
      <c r="R474" s="24"/>
      <c r="S474" s="41">
        <f t="shared" si="148"/>
        <v>5940000</v>
      </c>
      <c r="T474" s="24">
        <v>5</v>
      </c>
      <c r="U474" s="41">
        <f t="shared" si="157"/>
        <v>1188000</v>
      </c>
      <c r="V474" s="24">
        <v>0.5</v>
      </c>
      <c r="W474" s="41">
        <f>SUM(U474*V474)-198000</f>
        <v>396000</v>
      </c>
      <c r="X474" s="24"/>
      <c r="Y474" s="41">
        <f t="shared" si="159"/>
        <v>0</v>
      </c>
      <c r="Z474" s="41">
        <f t="shared" ref="Z474:Z503" si="161">SUM(W474+Y474)</f>
        <v>396000</v>
      </c>
      <c r="AA474" s="72">
        <f t="shared" ref="AA474:AA482" si="162">2023-I474+V474+X474-4/12-2/12</f>
        <v>5</v>
      </c>
      <c r="AB474" s="41">
        <f t="shared" si="158"/>
        <v>5940000</v>
      </c>
      <c r="AC474" s="41">
        <f t="shared" si="149"/>
        <v>0</v>
      </c>
      <c r="AD474" s="70" t="s">
        <v>365</v>
      </c>
      <c r="AE474" s="70"/>
      <c r="AF474" s="1">
        <v>5544000</v>
      </c>
      <c r="AG474" s="5">
        <f t="shared" si="150"/>
        <v>0</v>
      </c>
      <c r="AH474" s="5"/>
    </row>
    <row r="475" spans="1:34" s="1" customFormat="1" x14ac:dyDescent="0.25">
      <c r="A475" s="21">
        <v>75</v>
      </c>
      <c r="B475" s="22" t="s">
        <v>1691</v>
      </c>
      <c r="C475" s="22" t="s">
        <v>561</v>
      </c>
      <c r="D475" s="51" t="s">
        <v>555</v>
      </c>
      <c r="E475" s="24" t="s">
        <v>560</v>
      </c>
      <c r="F475" s="24"/>
      <c r="G475" s="24" t="s">
        <v>194</v>
      </c>
      <c r="H475" s="24" t="s">
        <v>62</v>
      </c>
      <c r="I475" s="24">
        <v>2018</v>
      </c>
      <c r="J475" s="24"/>
      <c r="K475" s="24" t="s">
        <v>63</v>
      </c>
      <c r="L475" s="24" t="s">
        <v>64</v>
      </c>
      <c r="M475" s="24">
        <v>1</v>
      </c>
      <c r="N475" s="41">
        <f t="shared" si="154"/>
        <v>5940000</v>
      </c>
      <c r="O475" s="41">
        <v>5940000</v>
      </c>
      <c r="P475" s="24"/>
      <c r="Q475" s="24"/>
      <c r="R475" s="24"/>
      <c r="S475" s="41">
        <f t="shared" si="148"/>
        <v>5940000</v>
      </c>
      <c r="T475" s="24">
        <v>5</v>
      </c>
      <c r="U475" s="41">
        <f t="shared" si="157"/>
        <v>1188000</v>
      </c>
      <c r="V475" s="24">
        <v>0.5</v>
      </c>
      <c r="W475" s="41">
        <f>SUM(U475*V475)-198000</f>
        <v>396000</v>
      </c>
      <c r="X475" s="24"/>
      <c r="Y475" s="41">
        <f t="shared" si="159"/>
        <v>0</v>
      </c>
      <c r="Z475" s="41">
        <f t="shared" si="161"/>
        <v>396000</v>
      </c>
      <c r="AA475" s="72">
        <f t="shared" si="162"/>
        <v>5</v>
      </c>
      <c r="AB475" s="41">
        <f t="shared" si="158"/>
        <v>5940000</v>
      </c>
      <c r="AC475" s="41">
        <f t="shared" si="149"/>
        <v>0</v>
      </c>
      <c r="AD475" s="70" t="s">
        <v>562</v>
      </c>
      <c r="AE475" s="70"/>
      <c r="AF475" s="1">
        <v>5544000</v>
      </c>
      <c r="AG475" s="5">
        <f t="shared" si="150"/>
        <v>0</v>
      </c>
      <c r="AH475" s="5"/>
    </row>
    <row r="476" spans="1:34" s="1" customFormat="1" x14ac:dyDescent="0.25">
      <c r="A476" s="21">
        <v>76</v>
      </c>
      <c r="B476" s="22" t="s">
        <v>1691</v>
      </c>
      <c r="C476" s="22" t="s">
        <v>563</v>
      </c>
      <c r="D476" s="51" t="s">
        <v>555</v>
      </c>
      <c r="E476" s="24" t="s">
        <v>560</v>
      </c>
      <c r="F476" s="24"/>
      <c r="G476" s="24" t="s">
        <v>194</v>
      </c>
      <c r="H476" s="24" t="s">
        <v>62</v>
      </c>
      <c r="I476" s="24">
        <v>2018</v>
      </c>
      <c r="J476" s="24"/>
      <c r="K476" s="24" t="s">
        <v>63</v>
      </c>
      <c r="L476" s="24" t="s">
        <v>64</v>
      </c>
      <c r="M476" s="24">
        <v>2</v>
      </c>
      <c r="N476" s="41">
        <f t="shared" si="154"/>
        <v>5940000</v>
      </c>
      <c r="O476" s="41">
        <v>11880000</v>
      </c>
      <c r="P476" s="24"/>
      <c r="Q476" s="24"/>
      <c r="R476" s="24"/>
      <c r="S476" s="41">
        <f t="shared" si="148"/>
        <v>11880000</v>
      </c>
      <c r="T476" s="24">
        <v>5</v>
      </c>
      <c r="U476" s="41">
        <f t="shared" si="157"/>
        <v>2376000</v>
      </c>
      <c r="V476" s="24">
        <v>0.5</v>
      </c>
      <c r="W476" s="41">
        <f>SUM(U476*V476)-396000</f>
        <v>792000</v>
      </c>
      <c r="X476" s="24"/>
      <c r="Y476" s="41">
        <f t="shared" si="159"/>
        <v>0</v>
      </c>
      <c r="Z476" s="41">
        <f t="shared" si="161"/>
        <v>792000</v>
      </c>
      <c r="AA476" s="72">
        <f t="shared" si="162"/>
        <v>5</v>
      </c>
      <c r="AB476" s="41">
        <f t="shared" si="158"/>
        <v>11880000</v>
      </c>
      <c r="AC476" s="41">
        <f t="shared" si="149"/>
        <v>0</v>
      </c>
      <c r="AD476" s="70" t="s">
        <v>213</v>
      </c>
      <c r="AE476" s="70"/>
      <c r="AF476" s="1">
        <v>11088000</v>
      </c>
      <c r="AG476" s="5">
        <f t="shared" si="150"/>
        <v>0</v>
      </c>
      <c r="AH476" s="5"/>
    </row>
    <row r="477" spans="1:34" s="1" customFormat="1" x14ac:dyDescent="0.25">
      <c r="A477" s="21">
        <v>77</v>
      </c>
      <c r="B477" s="22" t="s">
        <v>1691</v>
      </c>
      <c r="C477" s="22" t="s">
        <v>227</v>
      </c>
      <c r="D477" s="51" t="s">
        <v>555</v>
      </c>
      <c r="E477" s="24" t="s">
        <v>560</v>
      </c>
      <c r="F477" s="24"/>
      <c r="G477" s="24" t="s">
        <v>194</v>
      </c>
      <c r="H477" s="24" t="s">
        <v>62</v>
      </c>
      <c r="I477" s="24">
        <v>2018</v>
      </c>
      <c r="J477" s="24"/>
      <c r="K477" s="24" t="s">
        <v>63</v>
      </c>
      <c r="L477" s="24" t="s">
        <v>64</v>
      </c>
      <c r="M477" s="24">
        <v>1</v>
      </c>
      <c r="N477" s="41">
        <f t="shared" si="154"/>
        <v>5940000</v>
      </c>
      <c r="O477" s="41">
        <v>5940000</v>
      </c>
      <c r="P477" s="24"/>
      <c r="Q477" s="24"/>
      <c r="R477" s="24"/>
      <c r="S477" s="41">
        <f t="shared" si="148"/>
        <v>5940000</v>
      </c>
      <c r="T477" s="24">
        <v>5</v>
      </c>
      <c r="U477" s="41">
        <f t="shared" si="157"/>
        <v>1188000</v>
      </c>
      <c r="V477" s="24">
        <v>0.5</v>
      </c>
      <c r="W477" s="41">
        <f t="shared" ref="W477:W482" si="163">SUM(U477*V477)-198000</f>
        <v>396000</v>
      </c>
      <c r="X477" s="24"/>
      <c r="Y477" s="41">
        <f t="shared" si="159"/>
        <v>0</v>
      </c>
      <c r="Z477" s="41">
        <f t="shared" si="161"/>
        <v>396000</v>
      </c>
      <c r="AA477" s="72">
        <f t="shared" si="162"/>
        <v>5</v>
      </c>
      <c r="AB477" s="41">
        <f t="shared" si="158"/>
        <v>5940000</v>
      </c>
      <c r="AC477" s="41">
        <f t="shared" si="149"/>
        <v>0</v>
      </c>
      <c r="AD477" s="70" t="s">
        <v>557</v>
      </c>
      <c r="AE477" s="70"/>
      <c r="AF477" s="1">
        <v>5544000</v>
      </c>
      <c r="AG477" s="5">
        <f t="shared" si="150"/>
        <v>0</v>
      </c>
      <c r="AH477" s="5"/>
    </row>
    <row r="478" spans="1:34" s="1" customFormat="1" x14ac:dyDescent="0.25">
      <c r="A478" s="21">
        <v>78</v>
      </c>
      <c r="B478" s="22" t="s">
        <v>1691</v>
      </c>
      <c r="C478" s="22" t="s">
        <v>230</v>
      </c>
      <c r="D478" s="51" t="s">
        <v>555</v>
      </c>
      <c r="E478" s="24" t="s">
        <v>560</v>
      </c>
      <c r="F478" s="24"/>
      <c r="G478" s="24" t="s">
        <v>194</v>
      </c>
      <c r="H478" s="24" t="s">
        <v>62</v>
      </c>
      <c r="I478" s="24">
        <v>2018</v>
      </c>
      <c r="J478" s="24"/>
      <c r="K478" s="24" t="s">
        <v>63</v>
      </c>
      <c r="L478" s="24" t="s">
        <v>64</v>
      </c>
      <c r="M478" s="24">
        <v>1</v>
      </c>
      <c r="N478" s="41">
        <f t="shared" si="154"/>
        <v>5940000</v>
      </c>
      <c r="O478" s="41">
        <v>5940000</v>
      </c>
      <c r="P478" s="24"/>
      <c r="Q478" s="24"/>
      <c r="R478" s="24"/>
      <c r="S478" s="41">
        <f t="shared" si="148"/>
        <v>5940000</v>
      </c>
      <c r="T478" s="24">
        <v>5</v>
      </c>
      <c r="U478" s="41">
        <f t="shared" si="157"/>
        <v>1188000</v>
      </c>
      <c r="V478" s="24">
        <v>0.5</v>
      </c>
      <c r="W478" s="41">
        <f t="shared" si="163"/>
        <v>396000</v>
      </c>
      <c r="X478" s="24"/>
      <c r="Y478" s="41">
        <f t="shared" si="159"/>
        <v>0</v>
      </c>
      <c r="Z478" s="41">
        <f t="shared" si="161"/>
        <v>396000</v>
      </c>
      <c r="AA478" s="72">
        <f t="shared" si="162"/>
        <v>5</v>
      </c>
      <c r="AB478" s="41">
        <f t="shared" si="158"/>
        <v>5940000</v>
      </c>
      <c r="AC478" s="41">
        <f t="shared" si="149"/>
        <v>0</v>
      </c>
      <c r="AD478" s="70" t="s">
        <v>373</v>
      </c>
      <c r="AE478" s="70"/>
      <c r="AF478" s="1">
        <v>5544000</v>
      </c>
      <c r="AG478" s="5">
        <f t="shared" si="150"/>
        <v>0</v>
      </c>
      <c r="AH478" s="5"/>
    </row>
    <row r="479" spans="1:34" s="1" customFormat="1" x14ac:dyDescent="0.25">
      <c r="A479" s="21">
        <v>79</v>
      </c>
      <c r="B479" s="22" t="s">
        <v>1691</v>
      </c>
      <c r="C479" s="22" t="s">
        <v>232</v>
      </c>
      <c r="D479" s="51" t="s">
        <v>555</v>
      </c>
      <c r="E479" s="24" t="s">
        <v>560</v>
      </c>
      <c r="F479" s="24"/>
      <c r="G479" s="24" t="s">
        <v>194</v>
      </c>
      <c r="H479" s="24" t="s">
        <v>62</v>
      </c>
      <c r="I479" s="24">
        <v>2018</v>
      </c>
      <c r="J479" s="24"/>
      <c r="K479" s="24" t="s">
        <v>63</v>
      </c>
      <c r="L479" s="24" t="s">
        <v>64</v>
      </c>
      <c r="M479" s="24">
        <v>1</v>
      </c>
      <c r="N479" s="41">
        <f t="shared" si="154"/>
        <v>5940000</v>
      </c>
      <c r="O479" s="41">
        <v>5940000</v>
      </c>
      <c r="P479" s="24"/>
      <c r="Q479" s="24"/>
      <c r="R479" s="24"/>
      <c r="S479" s="41">
        <f t="shared" si="148"/>
        <v>5940000</v>
      </c>
      <c r="T479" s="24">
        <v>5</v>
      </c>
      <c r="U479" s="41">
        <f t="shared" si="157"/>
        <v>1188000</v>
      </c>
      <c r="V479" s="24">
        <v>0.5</v>
      </c>
      <c r="W479" s="41">
        <f t="shared" si="163"/>
        <v>396000</v>
      </c>
      <c r="X479" s="24"/>
      <c r="Y479" s="41">
        <f t="shared" si="159"/>
        <v>0</v>
      </c>
      <c r="Z479" s="41">
        <f t="shared" si="161"/>
        <v>396000</v>
      </c>
      <c r="AA479" s="72">
        <f t="shared" si="162"/>
        <v>5</v>
      </c>
      <c r="AB479" s="41">
        <f t="shared" si="158"/>
        <v>5940000</v>
      </c>
      <c r="AC479" s="41">
        <f t="shared" si="149"/>
        <v>0</v>
      </c>
      <c r="AD479" s="70" t="s">
        <v>363</v>
      </c>
      <c r="AE479" s="70"/>
      <c r="AF479" s="1">
        <v>5544000</v>
      </c>
      <c r="AG479" s="5">
        <f t="shared" si="150"/>
        <v>0</v>
      </c>
      <c r="AH479" s="5"/>
    </row>
    <row r="480" spans="1:34" s="1" customFormat="1" x14ac:dyDescent="0.25">
      <c r="A480" s="21">
        <v>80</v>
      </c>
      <c r="B480" s="22" t="s">
        <v>1691</v>
      </c>
      <c r="C480" s="22" t="s">
        <v>234</v>
      </c>
      <c r="D480" s="51" t="s">
        <v>555</v>
      </c>
      <c r="E480" s="24" t="s">
        <v>560</v>
      </c>
      <c r="F480" s="24"/>
      <c r="G480" s="24" t="s">
        <v>194</v>
      </c>
      <c r="H480" s="24" t="s">
        <v>62</v>
      </c>
      <c r="I480" s="24">
        <v>2018</v>
      </c>
      <c r="J480" s="24"/>
      <c r="K480" s="24" t="s">
        <v>63</v>
      </c>
      <c r="L480" s="24" t="s">
        <v>64</v>
      </c>
      <c r="M480" s="24">
        <v>1</v>
      </c>
      <c r="N480" s="41">
        <f t="shared" si="154"/>
        <v>5940000</v>
      </c>
      <c r="O480" s="41">
        <v>5940000</v>
      </c>
      <c r="P480" s="24"/>
      <c r="Q480" s="24"/>
      <c r="R480" s="24"/>
      <c r="S480" s="41">
        <f t="shared" si="148"/>
        <v>5940000</v>
      </c>
      <c r="T480" s="24">
        <v>5</v>
      </c>
      <c r="U480" s="41">
        <f t="shared" si="157"/>
        <v>1188000</v>
      </c>
      <c r="V480" s="24">
        <v>0.5</v>
      </c>
      <c r="W480" s="41">
        <f t="shared" si="163"/>
        <v>396000</v>
      </c>
      <c r="X480" s="24"/>
      <c r="Y480" s="41">
        <f t="shared" si="159"/>
        <v>0</v>
      </c>
      <c r="Z480" s="41">
        <f t="shared" si="161"/>
        <v>396000</v>
      </c>
      <c r="AA480" s="72">
        <f t="shared" si="162"/>
        <v>5</v>
      </c>
      <c r="AB480" s="41">
        <f t="shared" si="158"/>
        <v>5940000</v>
      </c>
      <c r="AC480" s="41">
        <f t="shared" si="149"/>
        <v>0</v>
      </c>
      <c r="AD480" s="70" t="s">
        <v>564</v>
      </c>
      <c r="AE480" s="70"/>
      <c r="AF480" s="1">
        <v>5544000</v>
      </c>
      <c r="AG480" s="5">
        <f t="shared" si="150"/>
        <v>0</v>
      </c>
      <c r="AH480" s="5"/>
    </row>
    <row r="481" spans="1:34" s="1" customFormat="1" x14ac:dyDescent="0.25">
      <c r="A481" s="21">
        <v>81</v>
      </c>
      <c r="B481" s="22" t="s">
        <v>1691</v>
      </c>
      <c r="C481" s="22" t="s">
        <v>236</v>
      </c>
      <c r="D481" s="51" t="s">
        <v>555</v>
      </c>
      <c r="E481" s="24" t="s">
        <v>560</v>
      </c>
      <c r="F481" s="24"/>
      <c r="G481" s="24" t="s">
        <v>194</v>
      </c>
      <c r="H481" s="24" t="s">
        <v>62</v>
      </c>
      <c r="I481" s="24">
        <v>2018</v>
      </c>
      <c r="J481" s="24"/>
      <c r="K481" s="24" t="s">
        <v>63</v>
      </c>
      <c r="L481" s="24" t="s">
        <v>64</v>
      </c>
      <c r="M481" s="24">
        <v>1</v>
      </c>
      <c r="N481" s="41">
        <f t="shared" si="154"/>
        <v>5940000</v>
      </c>
      <c r="O481" s="41">
        <v>5940000</v>
      </c>
      <c r="P481" s="24"/>
      <c r="Q481" s="24"/>
      <c r="R481" s="24"/>
      <c r="S481" s="41">
        <f t="shared" si="148"/>
        <v>5940000</v>
      </c>
      <c r="T481" s="24">
        <v>5</v>
      </c>
      <c r="U481" s="41">
        <f t="shared" si="157"/>
        <v>1188000</v>
      </c>
      <c r="V481" s="24">
        <v>0.5</v>
      </c>
      <c r="W481" s="41">
        <f t="shared" si="163"/>
        <v>396000</v>
      </c>
      <c r="X481" s="24"/>
      <c r="Y481" s="53">
        <f t="shared" si="159"/>
        <v>0</v>
      </c>
      <c r="Z481" s="53">
        <f t="shared" si="161"/>
        <v>396000</v>
      </c>
      <c r="AA481" s="72">
        <f t="shared" si="162"/>
        <v>5</v>
      </c>
      <c r="AB481" s="53">
        <f t="shared" si="158"/>
        <v>5940000</v>
      </c>
      <c r="AC481" s="53">
        <f t="shared" si="149"/>
        <v>0</v>
      </c>
      <c r="AD481" s="70" t="s">
        <v>245</v>
      </c>
      <c r="AE481" s="70"/>
      <c r="AF481" s="1">
        <v>5544000</v>
      </c>
      <c r="AG481" s="5">
        <f t="shared" si="150"/>
        <v>0</v>
      </c>
      <c r="AH481" s="5"/>
    </row>
    <row r="482" spans="1:34" s="1" customFormat="1" x14ac:dyDescent="0.25">
      <c r="A482" s="21">
        <v>82</v>
      </c>
      <c r="B482" s="22" t="s">
        <v>1691</v>
      </c>
      <c r="C482" s="22" t="s">
        <v>238</v>
      </c>
      <c r="D482" s="51" t="s">
        <v>555</v>
      </c>
      <c r="E482" s="24" t="s">
        <v>560</v>
      </c>
      <c r="F482" s="24"/>
      <c r="G482" s="24" t="s">
        <v>194</v>
      </c>
      <c r="H482" s="24" t="s">
        <v>62</v>
      </c>
      <c r="I482" s="24">
        <v>2018</v>
      </c>
      <c r="J482" s="24"/>
      <c r="K482" s="24" t="s">
        <v>63</v>
      </c>
      <c r="L482" s="24" t="s">
        <v>64</v>
      </c>
      <c r="M482" s="24">
        <v>1</v>
      </c>
      <c r="N482" s="41">
        <f t="shared" si="154"/>
        <v>5940000</v>
      </c>
      <c r="O482" s="41">
        <v>5940000</v>
      </c>
      <c r="P482" s="24"/>
      <c r="Q482" s="24"/>
      <c r="R482" s="24"/>
      <c r="S482" s="41">
        <f t="shared" si="148"/>
        <v>5940000</v>
      </c>
      <c r="T482" s="24">
        <v>5</v>
      </c>
      <c r="U482" s="41">
        <f t="shared" si="157"/>
        <v>1188000</v>
      </c>
      <c r="V482" s="24">
        <v>0.5</v>
      </c>
      <c r="W482" s="41">
        <f t="shared" si="163"/>
        <v>396000</v>
      </c>
      <c r="X482" s="24"/>
      <c r="Y482" s="53">
        <f t="shared" si="159"/>
        <v>0</v>
      </c>
      <c r="Z482" s="53">
        <f t="shared" si="161"/>
        <v>396000</v>
      </c>
      <c r="AA482" s="72">
        <f t="shared" si="162"/>
        <v>5</v>
      </c>
      <c r="AB482" s="53">
        <f t="shared" si="158"/>
        <v>5940000</v>
      </c>
      <c r="AC482" s="53">
        <f t="shared" si="149"/>
        <v>0</v>
      </c>
      <c r="AD482" s="70" t="s">
        <v>565</v>
      </c>
      <c r="AE482" s="70"/>
      <c r="AF482" s="1">
        <v>5544000</v>
      </c>
      <c r="AG482" s="5">
        <f t="shared" si="150"/>
        <v>0</v>
      </c>
      <c r="AH482" s="5"/>
    </row>
    <row r="483" spans="1:34" s="1" customFormat="1" x14ac:dyDescent="0.25">
      <c r="A483" s="21">
        <v>83</v>
      </c>
      <c r="B483" s="22" t="s">
        <v>1691</v>
      </c>
      <c r="C483" s="50" t="s">
        <v>251</v>
      </c>
      <c r="D483" s="51" t="s">
        <v>555</v>
      </c>
      <c r="E483" s="52" t="s">
        <v>566</v>
      </c>
      <c r="F483" s="52"/>
      <c r="G483" s="52" t="s">
        <v>194</v>
      </c>
      <c r="H483" s="52" t="s">
        <v>62</v>
      </c>
      <c r="I483" s="52">
        <v>2019</v>
      </c>
      <c r="J483" s="52"/>
      <c r="K483" s="52" t="s">
        <v>63</v>
      </c>
      <c r="L483" s="52" t="s">
        <v>64</v>
      </c>
      <c r="M483" s="52">
        <v>5</v>
      </c>
      <c r="N483" s="53">
        <f t="shared" si="154"/>
        <v>4996200</v>
      </c>
      <c r="O483" s="53">
        <v>24981000</v>
      </c>
      <c r="P483" s="52"/>
      <c r="Q483" s="52"/>
      <c r="R483" s="52"/>
      <c r="S483" s="53">
        <f t="shared" si="148"/>
        <v>24981000</v>
      </c>
      <c r="T483" s="52">
        <v>5</v>
      </c>
      <c r="U483" s="53">
        <f t="shared" si="157"/>
        <v>4996200</v>
      </c>
      <c r="V483" s="52">
        <v>0.5</v>
      </c>
      <c r="W483" s="53">
        <f t="shared" si="160"/>
        <v>2498100</v>
      </c>
      <c r="X483" s="24">
        <v>0.5</v>
      </c>
      <c r="Y483" s="53">
        <f t="shared" si="159"/>
        <v>2498100</v>
      </c>
      <c r="Z483" s="53">
        <f t="shared" si="161"/>
        <v>4996200</v>
      </c>
      <c r="AA483" s="72">
        <f>2023-I483+V483+X483-4/12</f>
        <v>4.666666666666667</v>
      </c>
      <c r="AB483" s="53">
        <f t="shared" si="158"/>
        <v>23315600</v>
      </c>
      <c r="AC483" s="53">
        <f t="shared" si="149"/>
        <v>1665400</v>
      </c>
      <c r="AD483" s="70" t="s">
        <v>367</v>
      </c>
      <c r="AE483" s="70"/>
      <c r="AF483" s="1">
        <v>18319400</v>
      </c>
      <c r="AG483" s="5">
        <f t="shared" si="150"/>
        <v>0</v>
      </c>
      <c r="AH483" s="5"/>
    </row>
    <row r="484" spans="1:34" s="1" customFormat="1" x14ac:dyDescent="0.25">
      <c r="A484" s="21">
        <v>84</v>
      </c>
      <c r="B484" s="22" t="s">
        <v>1691</v>
      </c>
      <c r="C484" s="50" t="s">
        <v>567</v>
      </c>
      <c r="D484" s="51" t="s">
        <v>555</v>
      </c>
      <c r="E484" s="52" t="s">
        <v>566</v>
      </c>
      <c r="F484" s="52"/>
      <c r="G484" s="52" t="s">
        <v>194</v>
      </c>
      <c r="H484" s="52" t="s">
        <v>62</v>
      </c>
      <c r="I484" s="52">
        <v>2019</v>
      </c>
      <c r="J484" s="52"/>
      <c r="K484" s="52" t="s">
        <v>63</v>
      </c>
      <c r="L484" s="52" t="s">
        <v>64</v>
      </c>
      <c r="M484" s="52">
        <v>2</v>
      </c>
      <c r="N484" s="53">
        <f t="shared" si="154"/>
        <v>4996200</v>
      </c>
      <c r="O484" s="53">
        <v>9992400</v>
      </c>
      <c r="P484" s="52"/>
      <c r="Q484" s="52"/>
      <c r="R484" s="52"/>
      <c r="S484" s="53">
        <f t="shared" si="148"/>
        <v>9992400</v>
      </c>
      <c r="T484" s="52">
        <v>5</v>
      </c>
      <c r="U484" s="53">
        <f t="shared" si="157"/>
        <v>1998480</v>
      </c>
      <c r="V484" s="52">
        <v>0.5</v>
      </c>
      <c r="W484" s="53">
        <f t="shared" si="160"/>
        <v>999240</v>
      </c>
      <c r="X484" s="24">
        <v>0.5</v>
      </c>
      <c r="Y484" s="53">
        <f t="shared" si="159"/>
        <v>999240</v>
      </c>
      <c r="Z484" s="53">
        <f t="shared" si="161"/>
        <v>1998480</v>
      </c>
      <c r="AA484" s="72">
        <f>2023-I484+V484+X484-4/12</f>
        <v>4.666666666666667</v>
      </c>
      <c r="AB484" s="53">
        <f t="shared" si="158"/>
        <v>9326240</v>
      </c>
      <c r="AC484" s="53">
        <f t="shared" si="149"/>
        <v>666160</v>
      </c>
      <c r="AD484" s="70" t="s">
        <v>370</v>
      </c>
      <c r="AE484" s="70"/>
      <c r="AF484" s="1">
        <v>7327760</v>
      </c>
      <c r="AG484" s="5">
        <f t="shared" si="150"/>
        <v>0</v>
      </c>
      <c r="AH484" s="5"/>
    </row>
    <row r="485" spans="1:34" s="1" customFormat="1" x14ac:dyDescent="0.25">
      <c r="A485" s="21">
        <v>85</v>
      </c>
      <c r="B485" s="22" t="s">
        <v>1691</v>
      </c>
      <c r="C485" s="50" t="s">
        <v>568</v>
      </c>
      <c r="D485" s="51" t="s">
        <v>555</v>
      </c>
      <c r="E485" s="52" t="s">
        <v>566</v>
      </c>
      <c r="F485" s="52"/>
      <c r="G485" s="52" t="s">
        <v>194</v>
      </c>
      <c r="H485" s="52" t="s">
        <v>62</v>
      </c>
      <c r="I485" s="52">
        <v>2019</v>
      </c>
      <c r="J485" s="52"/>
      <c r="K485" s="52" t="s">
        <v>63</v>
      </c>
      <c r="L485" s="52" t="s">
        <v>64</v>
      </c>
      <c r="M485" s="52">
        <v>13</v>
      </c>
      <c r="N485" s="53">
        <f t="shared" si="154"/>
        <v>4996200</v>
      </c>
      <c r="O485" s="53">
        <v>64950600</v>
      </c>
      <c r="P485" s="52"/>
      <c r="Q485" s="52"/>
      <c r="R485" s="52"/>
      <c r="S485" s="53">
        <f t="shared" si="148"/>
        <v>64950600</v>
      </c>
      <c r="T485" s="52">
        <v>5</v>
      </c>
      <c r="U485" s="53">
        <f t="shared" si="157"/>
        <v>12990120</v>
      </c>
      <c r="V485" s="52">
        <v>0.5</v>
      </c>
      <c r="W485" s="53">
        <f t="shared" si="160"/>
        <v>6495060</v>
      </c>
      <c r="X485" s="24">
        <v>0.5</v>
      </c>
      <c r="Y485" s="53">
        <f t="shared" si="159"/>
        <v>6495060</v>
      </c>
      <c r="Z485" s="53">
        <f t="shared" si="161"/>
        <v>12990120</v>
      </c>
      <c r="AA485" s="72">
        <f>2023-I485+V485+X485-4/12</f>
        <v>4.666666666666667</v>
      </c>
      <c r="AB485" s="53">
        <f t="shared" si="158"/>
        <v>60620560.000000007</v>
      </c>
      <c r="AC485" s="53">
        <f t="shared" si="149"/>
        <v>4330039.9999999925</v>
      </c>
      <c r="AD485" s="70" t="s">
        <v>569</v>
      </c>
      <c r="AE485" s="70"/>
      <c r="AF485" s="1">
        <v>47630440</v>
      </c>
      <c r="AG485" s="5">
        <f t="shared" si="150"/>
        <v>0</v>
      </c>
      <c r="AH485" s="5"/>
    </row>
    <row r="486" spans="1:34" s="1" customFormat="1" x14ac:dyDescent="0.25">
      <c r="A486" s="21">
        <v>86</v>
      </c>
      <c r="B486" s="22" t="s">
        <v>1691</v>
      </c>
      <c r="C486" s="50" t="s">
        <v>570</v>
      </c>
      <c r="D486" s="51" t="s">
        <v>555</v>
      </c>
      <c r="E486" s="52" t="s">
        <v>571</v>
      </c>
      <c r="F486" s="52"/>
      <c r="G486" s="52" t="s">
        <v>194</v>
      </c>
      <c r="H486" s="52" t="s">
        <v>62</v>
      </c>
      <c r="I486" s="52">
        <v>2019</v>
      </c>
      <c r="J486" s="52"/>
      <c r="K486" s="52" t="s">
        <v>63</v>
      </c>
      <c r="L486" s="52" t="s">
        <v>64</v>
      </c>
      <c r="M486" s="52">
        <v>3</v>
      </c>
      <c r="N486" s="53">
        <v>4996200</v>
      </c>
      <c r="O486" s="53">
        <f>N486*M486</f>
        <v>14988600</v>
      </c>
      <c r="P486" s="52"/>
      <c r="Q486" s="52"/>
      <c r="R486" s="52"/>
      <c r="S486" s="53">
        <f t="shared" si="148"/>
        <v>14988600</v>
      </c>
      <c r="T486" s="52">
        <v>5</v>
      </c>
      <c r="U486" s="53">
        <f t="shared" si="157"/>
        <v>2997720</v>
      </c>
      <c r="V486" s="52">
        <v>0.5</v>
      </c>
      <c r="W486" s="53">
        <f t="shared" si="160"/>
        <v>1498860</v>
      </c>
      <c r="X486" s="24">
        <v>0.5</v>
      </c>
      <c r="Y486" s="53">
        <f t="shared" si="159"/>
        <v>1498860</v>
      </c>
      <c r="Z486" s="53">
        <f t="shared" si="161"/>
        <v>2997720</v>
      </c>
      <c r="AA486" s="72">
        <f>2023-I486+V486+X486-11/12</f>
        <v>4.083333333333333</v>
      </c>
      <c r="AB486" s="53">
        <f t="shared" si="158"/>
        <v>12240690</v>
      </c>
      <c r="AC486" s="53">
        <f t="shared" si="149"/>
        <v>2747910</v>
      </c>
      <c r="AD486" s="70"/>
      <c r="AE486" s="70"/>
      <c r="AF486" s="1">
        <v>9242970</v>
      </c>
      <c r="AG486" s="5">
        <f t="shared" si="150"/>
        <v>0</v>
      </c>
      <c r="AH486" s="5"/>
    </row>
    <row r="487" spans="1:34" s="1" customFormat="1" x14ac:dyDescent="0.25">
      <c r="A487" s="21">
        <v>87</v>
      </c>
      <c r="B487" s="22" t="s">
        <v>1691</v>
      </c>
      <c r="C487" s="50" t="s">
        <v>572</v>
      </c>
      <c r="D487" s="51" t="s">
        <v>555</v>
      </c>
      <c r="E487" s="52" t="s">
        <v>571</v>
      </c>
      <c r="F487" s="52"/>
      <c r="G487" s="52" t="s">
        <v>194</v>
      </c>
      <c r="H487" s="52" t="s">
        <v>62</v>
      </c>
      <c r="I487" s="52">
        <v>2019</v>
      </c>
      <c r="J487" s="52"/>
      <c r="K487" s="52" t="s">
        <v>63</v>
      </c>
      <c r="L487" s="52" t="s">
        <v>64</v>
      </c>
      <c r="M487" s="52">
        <v>2</v>
      </c>
      <c r="N487" s="53">
        <v>4996200</v>
      </c>
      <c r="O487" s="53">
        <f>N487*M487</f>
        <v>9992400</v>
      </c>
      <c r="P487" s="52"/>
      <c r="Q487" s="52"/>
      <c r="R487" s="52"/>
      <c r="S487" s="53">
        <f t="shared" si="148"/>
        <v>9992400</v>
      </c>
      <c r="T487" s="52">
        <v>5</v>
      </c>
      <c r="U487" s="53">
        <f t="shared" si="157"/>
        <v>1998480</v>
      </c>
      <c r="V487" s="52">
        <v>0.5</v>
      </c>
      <c r="W487" s="53">
        <f t="shared" si="160"/>
        <v>999240</v>
      </c>
      <c r="X487" s="24">
        <v>0.5</v>
      </c>
      <c r="Y487" s="53">
        <f t="shared" si="159"/>
        <v>999240</v>
      </c>
      <c r="Z487" s="53">
        <f t="shared" si="161"/>
        <v>1998480</v>
      </c>
      <c r="AA487" s="57">
        <f>2023-I487+V487+X487-11/12</f>
        <v>4.083333333333333</v>
      </c>
      <c r="AB487" s="53">
        <f t="shared" si="158"/>
        <v>8160459.9999999991</v>
      </c>
      <c r="AC487" s="53">
        <f t="shared" si="149"/>
        <v>1831940.0000000009</v>
      </c>
      <c r="AD487" s="56"/>
      <c r="AE487" s="70"/>
      <c r="AF487" s="1">
        <v>6161980</v>
      </c>
      <c r="AG487" s="5">
        <f t="shared" si="150"/>
        <v>0</v>
      </c>
      <c r="AH487" s="5"/>
    </row>
    <row r="488" spans="1:34" s="1" customFormat="1" x14ac:dyDescent="0.25">
      <c r="A488" s="21">
        <v>88</v>
      </c>
      <c r="B488" s="22" t="s">
        <v>1691</v>
      </c>
      <c r="C488" s="50" t="s">
        <v>573</v>
      </c>
      <c r="D488" s="51" t="s">
        <v>555</v>
      </c>
      <c r="E488" s="52" t="s">
        <v>571</v>
      </c>
      <c r="F488" s="52"/>
      <c r="G488" s="52" t="s">
        <v>194</v>
      </c>
      <c r="H488" s="52" t="s">
        <v>62</v>
      </c>
      <c r="I488" s="52">
        <v>2019</v>
      </c>
      <c r="J488" s="52"/>
      <c r="K488" s="52" t="s">
        <v>63</v>
      </c>
      <c r="L488" s="52" t="s">
        <v>64</v>
      </c>
      <c r="M488" s="52">
        <v>2</v>
      </c>
      <c r="N488" s="53">
        <v>4996200</v>
      </c>
      <c r="O488" s="53">
        <f>N488*M488</f>
        <v>9992400</v>
      </c>
      <c r="P488" s="52"/>
      <c r="Q488" s="52"/>
      <c r="R488" s="52"/>
      <c r="S488" s="53">
        <f t="shared" si="148"/>
        <v>9992400</v>
      </c>
      <c r="T488" s="52">
        <v>5</v>
      </c>
      <c r="U488" s="53">
        <f t="shared" si="157"/>
        <v>1998480</v>
      </c>
      <c r="V488" s="52">
        <v>0.5</v>
      </c>
      <c r="W488" s="53">
        <f t="shared" si="160"/>
        <v>999240</v>
      </c>
      <c r="X488" s="24">
        <v>0.5</v>
      </c>
      <c r="Y488" s="53">
        <f t="shared" si="159"/>
        <v>999240</v>
      </c>
      <c r="Z488" s="53">
        <f t="shared" si="161"/>
        <v>1998480</v>
      </c>
      <c r="AA488" s="57">
        <f>2023-I488+V488+X488-11/12</f>
        <v>4.083333333333333</v>
      </c>
      <c r="AB488" s="53">
        <f t="shared" si="158"/>
        <v>8160459.9999999991</v>
      </c>
      <c r="AC488" s="53">
        <f t="shared" si="149"/>
        <v>1831940.0000000009</v>
      </c>
      <c r="AD488" s="56"/>
      <c r="AE488" s="70"/>
      <c r="AF488" s="1">
        <v>6161980</v>
      </c>
      <c r="AG488" s="5">
        <f t="shared" si="150"/>
        <v>0</v>
      </c>
      <c r="AH488" s="5"/>
    </row>
    <row r="489" spans="1:34" s="1" customFormat="1" x14ac:dyDescent="0.25">
      <c r="A489" s="49"/>
      <c r="B489" s="50" t="s">
        <v>1691</v>
      </c>
      <c r="C489" s="73" t="s">
        <v>422</v>
      </c>
      <c r="D489" s="51" t="s">
        <v>555</v>
      </c>
      <c r="E489" s="52" t="s">
        <v>574</v>
      </c>
      <c r="F489" s="52"/>
      <c r="G489" s="52" t="s">
        <v>194</v>
      </c>
      <c r="H489" s="52" t="s">
        <v>62</v>
      </c>
      <c r="I489" s="52">
        <v>2021</v>
      </c>
      <c r="J489" s="52"/>
      <c r="K489" s="52" t="s">
        <v>63</v>
      </c>
      <c r="L489" s="52" t="s">
        <v>64</v>
      </c>
      <c r="M489" s="52">
        <v>1</v>
      </c>
      <c r="N489" s="53">
        <v>6347000</v>
      </c>
      <c r="O489" s="53">
        <v>6347000</v>
      </c>
      <c r="P489" s="52"/>
      <c r="Q489" s="52"/>
      <c r="R489" s="52"/>
      <c r="S489" s="53">
        <f t="shared" si="148"/>
        <v>6347000</v>
      </c>
      <c r="T489" s="52">
        <v>5</v>
      </c>
      <c r="U489" s="53">
        <f t="shared" si="157"/>
        <v>1269400</v>
      </c>
      <c r="V489" s="52">
        <v>0.5</v>
      </c>
      <c r="W489" s="53">
        <f t="shared" si="160"/>
        <v>634700</v>
      </c>
      <c r="X489" s="24">
        <v>0.5</v>
      </c>
      <c r="Y489" s="53">
        <f t="shared" si="159"/>
        <v>634700</v>
      </c>
      <c r="Z489" s="53">
        <f t="shared" si="161"/>
        <v>1269400</v>
      </c>
      <c r="AA489" s="57">
        <f>4/12+0.5+0.5+0.5+0.5+0.5</f>
        <v>2.833333333333333</v>
      </c>
      <c r="AB489" s="53">
        <f t="shared" si="158"/>
        <v>3596633.333333333</v>
      </c>
      <c r="AC489" s="53">
        <f t="shared" si="149"/>
        <v>2750366.666666667</v>
      </c>
      <c r="AD489" s="56" t="s">
        <v>208</v>
      </c>
      <c r="AE489" s="70"/>
      <c r="AF489" s="1">
        <v>2327233.333333333</v>
      </c>
      <c r="AG489" s="5">
        <f t="shared" si="150"/>
        <v>0</v>
      </c>
      <c r="AH489" s="5"/>
    </row>
    <row r="490" spans="1:34" s="1" customFormat="1" x14ac:dyDescent="0.25">
      <c r="A490" s="49"/>
      <c r="B490" s="50" t="s">
        <v>1691</v>
      </c>
      <c r="C490" s="73" t="s">
        <v>423</v>
      </c>
      <c r="D490" s="51" t="s">
        <v>555</v>
      </c>
      <c r="E490" s="52" t="s">
        <v>574</v>
      </c>
      <c r="F490" s="52"/>
      <c r="G490" s="52" t="s">
        <v>194</v>
      </c>
      <c r="H490" s="52" t="s">
        <v>62</v>
      </c>
      <c r="I490" s="52">
        <v>2021</v>
      </c>
      <c r="J490" s="52"/>
      <c r="K490" s="52" t="s">
        <v>63</v>
      </c>
      <c r="L490" s="52" t="s">
        <v>64</v>
      </c>
      <c r="M490" s="52">
        <v>1</v>
      </c>
      <c r="N490" s="53">
        <v>6347000</v>
      </c>
      <c r="O490" s="53">
        <v>6347000</v>
      </c>
      <c r="P490" s="52"/>
      <c r="Q490" s="52"/>
      <c r="R490" s="52"/>
      <c r="S490" s="53">
        <f t="shared" ref="S490:S508" si="164">SUM(O490-R490)</f>
        <v>6347000</v>
      </c>
      <c r="T490" s="52">
        <v>5</v>
      </c>
      <c r="U490" s="53">
        <f t="shared" si="157"/>
        <v>1269400</v>
      </c>
      <c r="V490" s="52">
        <v>0.5</v>
      </c>
      <c r="W490" s="53">
        <f t="shared" si="160"/>
        <v>634700</v>
      </c>
      <c r="X490" s="24">
        <v>0.5</v>
      </c>
      <c r="Y490" s="53">
        <f t="shared" si="159"/>
        <v>634700</v>
      </c>
      <c r="Z490" s="53">
        <f t="shared" si="161"/>
        <v>1269400</v>
      </c>
      <c r="AA490" s="57">
        <f>4/12+0.5+0.5+0.5+0.5+0.5</f>
        <v>2.833333333333333</v>
      </c>
      <c r="AB490" s="53">
        <f t="shared" si="158"/>
        <v>3596633.333333333</v>
      </c>
      <c r="AC490" s="53">
        <f t="shared" ref="AC490:AC508" si="165">SUM(O490-AB490)</f>
        <v>2750366.666666667</v>
      </c>
      <c r="AD490" s="56" t="s">
        <v>331</v>
      </c>
      <c r="AE490" s="70"/>
      <c r="AF490" s="1">
        <v>2327233.333333333</v>
      </c>
      <c r="AG490" s="5">
        <f t="shared" si="150"/>
        <v>0</v>
      </c>
      <c r="AH490" s="5"/>
    </row>
    <row r="491" spans="1:34" s="1" customFormat="1" x14ac:dyDescent="0.25">
      <c r="A491" s="49"/>
      <c r="B491" s="50" t="s">
        <v>1691</v>
      </c>
      <c r="C491" s="73" t="s">
        <v>575</v>
      </c>
      <c r="D491" s="51" t="s">
        <v>555</v>
      </c>
      <c r="E491" s="52" t="s">
        <v>574</v>
      </c>
      <c r="F491" s="52"/>
      <c r="G491" s="52" t="s">
        <v>194</v>
      </c>
      <c r="H491" s="52" t="s">
        <v>62</v>
      </c>
      <c r="I491" s="52">
        <v>2021</v>
      </c>
      <c r="J491" s="52"/>
      <c r="K491" s="52" t="s">
        <v>63</v>
      </c>
      <c r="L491" s="52" t="s">
        <v>64</v>
      </c>
      <c r="M491" s="52">
        <v>1</v>
      </c>
      <c r="N491" s="53">
        <v>6347000</v>
      </c>
      <c r="O491" s="53">
        <v>6347000</v>
      </c>
      <c r="P491" s="52"/>
      <c r="Q491" s="52"/>
      <c r="R491" s="52"/>
      <c r="S491" s="53">
        <f t="shared" si="164"/>
        <v>6347000</v>
      </c>
      <c r="T491" s="52">
        <v>5</v>
      </c>
      <c r="U491" s="53">
        <f t="shared" si="157"/>
        <v>1269400</v>
      </c>
      <c r="V491" s="52">
        <v>0.5</v>
      </c>
      <c r="W491" s="53">
        <f t="shared" si="160"/>
        <v>634700</v>
      </c>
      <c r="X491" s="24">
        <v>0.5</v>
      </c>
      <c r="Y491" s="53">
        <f t="shared" si="159"/>
        <v>634700</v>
      </c>
      <c r="Z491" s="53">
        <f t="shared" si="161"/>
        <v>1269400</v>
      </c>
      <c r="AA491" s="57">
        <f>4/12+0.5+0.5+0.5+0.5+0.5</f>
        <v>2.833333333333333</v>
      </c>
      <c r="AB491" s="53">
        <f t="shared" si="158"/>
        <v>3596633.333333333</v>
      </c>
      <c r="AC491" s="53">
        <f t="shared" si="165"/>
        <v>2750366.666666667</v>
      </c>
      <c r="AD491" s="56" t="s">
        <v>276</v>
      </c>
      <c r="AE491" s="70"/>
      <c r="AF491" s="1">
        <v>2327233.333333333</v>
      </c>
      <c r="AG491" s="5">
        <f t="shared" si="150"/>
        <v>0</v>
      </c>
      <c r="AH491" s="5"/>
    </row>
    <row r="492" spans="1:34" s="1" customFormat="1" x14ac:dyDescent="0.25">
      <c r="A492" s="49"/>
      <c r="B492" s="50" t="s">
        <v>1691</v>
      </c>
      <c r="C492" s="73" t="s">
        <v>576</v>
      </c>
      <c r="D492" s="51" t="s">
        <v>555</v>
      </c>
      <c r="E492" s="52" t="s">
        <v>574</v>
      </c>
      <c r="F492" s="52"/>
      <c r="G492" s="52" t="s">
        <v>194</v>
      </c>
      <c r="H492" s="52" t="s">
        <v>62</v>
      </c>
      <c r="I492" s="52">
        <v>2021</v>
      </c>
      <c r="J492" s="52"/>
      <c r="K492" s="52" t="s">
        <v>63</v>
      </c>
      <c r="L492" s="52" t="s">
        <v>64</v>
      </c>
      <c r="M492" s="52">
        <v>1</v>
      </c>
      <c r="N492" s="53">
        <v>6347000</v>
      </c>
      <c r="O492" s="53">
        <v>6347000</v>
      </c>
      <c r="P492" s="52"/>
      <c r="Q492" s="52"/>
      <c r="R492" s="52"/>
      <c r="S492" s="53">
        <f t="shared" si="164"/>
        <v>6347000</v>
      </c>
      <c r="T492" s="52">
        <v>5</v>
      </c>
      <c r="U492" s="53">
        <f t="shared" si="157"/>
        <v>1269400</v>
      </c>
      <c r="V492" s="52">
        <v>0.5</v>
      </c>
      <c r="W492" s="53">
        <f t="shared" si="160"/>
        <v>634700</v>
      </c>
      <c r="X492" s="24">
        <v>0.5</v>
      </c>
      <c r="Y492" s="53">
        <f t="shared" si="159"/>
        <v>634700</v>
      </c>
      <c r="Z492" s="53">
        <f t="shared" si="161"/>
        <v>1269400</v>
      </c>
      <c r="AA492" s="57">
        <f t="shared" ref="AA492:AA493" si="166">4/12+0.5+0.5+0.5+0.5+0.5</f>
        <v>2.833333333333333</v>
      </c>
      <c r="AB492" s="53">
        <f t="shared" si="158"/>
        <v>3596633.333333333</v>
      </c>
      <c r="AC492" s="53">
        <f t="shared" si="165"/>
        <v>2750366.666666667</v>
      </c>
      <c r="AD492" s="56" t="s">
        <v>311</v>
      </c>
      <c r="AE492" s="70"/>
      <c r="AF492" s="1">
        <v>2327233.333333333</v>
      </c>
      <c r="AG492" s="5">
        <f t="shared" si="150"/>
        <v>0</v>
      </c>
      <c r="AH492" s="5"/>
    </row>
    <row r="493" spans="1:34" s="1" customFormat="1" x14ac:dyDescent="0.25">
      <c r="A493" s="49"/>
      <c r="B493" s="50" t="s">
        <v>1691</v>
      </c>
      <c r="C493" s="73" t="s">
        <v>577</v>
      </c>
      <c r="D493" s="51" t="s">
        <v>555</v>
      </c>
      <c r="E493" s="52" t="s">
        <v>574</v>
      </c>
      <c r="F493" s="52"/>
      <c r="G493" s="52" t="s">
        <v>194</v>
      </c>
      <c r="H493" s="52" t="s">
        <v>62</v>
      </c>
      <c r="I493" s="52">
        <v>2021</v>
      </c>
      <c r="J493" s="52"/>
      <c r="K493" s="52" t="s">
        <v>63</v>
      </c>
      <c r="L493" s="52" t="s">
        <v>64</v>
      </c>
      <c r="M493" s="52">
        <v>1</v>
      </c>
      <c r="N493" s="53">
        <v>6347000</v>
      </c>
      <c r="O493" s="53">
        <v>6347000</v>
      </c>
      <c r="P493" s="52"/>
      <c r="Q493" s="52"/>
      <c r="R493" s="52"/>
      <c r="S493" s="53">
        <f t="shared" si="164"/>
        <v>6347000</v>
      </c>
      <c r="T493" s="52">
        <v>5</v>
      </c>
      <c r="U493" s="53">
        <f t="shared" si="157"/>
        <v>1269400</v>
      </c>
      <c r="V493" s="52">
        <v>0.5</v>
      </c>
      <c r="W493" s="53">
        <f t="shared" si="160"/>
        <v>634700</v>
      </c>
      <c r="X493" s="24">
        <v>0.5</v>
      </c>
      <c r="Y493" s="53">
        <f t="shared" si="159"/>
        <v>634700</v>
      </c>
      <c r="Z493" s="53">
        <f t="shared" si="161"/>
        <v>1269400</v>
      </c>
      <c r="AA493" s="57">
        <f t="shared" si="166"/>
        <v>2.833333333333333</v>
      </c>
      <c r="AB493" s="53">
        <f t="shared" si="158"/>
        <v>3596633.333333333</v>
      </c>
      <c r="AC493" s="53">
        <f t="shared" si="165"/>
        <v>2750366.666666667</v>
      </c>
      <c r="AD493" s="56" t="s">
        <v>578</v>
      </c>
      <c r="AE493" s="70"/>
      <c r="AF493" s="1">
        <v>2327233.333333333</v>
      </c>
      <c r="AG493" s="5">
        <f t="shared" si="150"/>
        <v>0</v>
      </c>
      <c r="AH493" s="5"/>
    </row>
    <row r="494" spans="1:34" s="1" customFormat="1" x14ac:dyDescent="0.25">
      <c r="A494" s="49"/>
      <c r="B494" s="50" t="s">
        <v>1691</v>
      </c>
      <c r="C494" s="73" t="s">
        <v>579</v>
      </c>
      <c r="D494" s="51" t="s">
        <v>555</v>
      </c>
      <c r="E494" s="52" t="s">
        <v>574</v>
      </c>
      <c r="F494" s="52"/>
      <c r="G494" s="52" t="s">
        <v>194</v>
      </c>
      <c r="H494" s="52" t="s">
        <v>62</v>
      </c>
      <c r="I494" s="52">
        <v>2021</v>
      </c>
      <c r="J494" s="52"/>
      <c r="K494" s="52" t="s">
        <v>63</v>
      </c>
      <c r="L494" s="52" t="s">
        <v>64</v>
      </c>
      <c r="M494" s="52">
        <v>5</v>
      </c>
      <c r="N494" s="53">
        <f t="shared" si="154"/>
        <v>6413000</v>
      </c>
      <c r="O494" s="53">
        <v>32065000</v>
      </c>
      <c r="P494" s="52"/>
      <c r="Q494" s="52"/>
      <c r="R494" s="52"/>
      <c r="S494" s="53">
        <f t="shared" si="164"/>
        <v>32065000</v>
      </c>
      <c r="T494" s="52">
        <v>5</v>
      </c>
      <c r="U494" s="53">
        <f t="shared" si="157"/>
        <v>6413000</v>
      </c>
      <c r="V494" s="52">
        <v>0.5</v>
      </c>
      <c r="W494" s="53">
        <f t="shared" si="160"/>
        <v>3206500</v>
      </c>
      <c r="X494" s="24">
        <v>0.5</v>
      </c>
      <c r="Y494" s="53">
        <f t="shared" si="159"/>
        <v>3206500</v>
      </c>
      <c r="Z494" s="53">
        <f t="shared" si="161"/>
        <v>6413000</v>
      </c>
      <c r="AA494" s="57">
        <f>1/12+0.5+0.5+0.5+0.5</f>
        <v>2.0833333333333335</v>
      </c>
      <c r="AB494" s="53">
        <f t="shared" si="158"/>
        <v>13360416.666666668</v>
      </c>
      <c r="AC494" s="53">
        <f t="shared" si="165"/>
        <v>18704583.333333332</v>
      </c>
      <c r="AD494" s="56" t="s">
        <v>580</v>
      </c>
      <c r="AE494" s="70"/>
      <c r="AF494" s="1">
        <v>6947416.6666666679</v>
      </c>
      <c r="AG494" s="5">
        <f t="shared" si="150"/>
        <v>0</v>
      </c>
      <c r="AH494" s="5"/>
    </row>
    <row r="495" spans="1:34" s="1" customFormat="1" x14ac:dyDescent="0.25">
      <c r="A495" s="49"/>
      <c r="B495" s="50" t="s">
        <v>1691</v>
      </c>
      <c r="C495" s="73" t="s">
        <v>581</v>
      </c>
      <c r="D495" s="51" t="s">
        <v>555</v>
      </c>
      <c r="E495" s="52" t="s">
        <v>582</v>
      </c>
      <c r="F495" s="52"/>
      <c r="G495" s="52" t="s">
        <v>194</v>
      </c>
      <c r="H495" s="52" t="s">
        <v>62</v>
      </c>
      <c r="I495" s="52">
        <v>2022</v>
      </c>
      <c r="J495" s="52"/>
      <c r="K495" s="52" t="s">
        <v>63</v>
      </c>
      <c r="L495" s="52" t="s">
        <v>64</v>
      </c>
      <c r="M495" s="52">
        <v>5</v>
      </c>
      <c r="N495" s="53">
        <f t="shared" si="154"/>
        <v>7778214</v>
      </c>
      <c r="O495" s="53">
        <v>38891070</v>
      </c>
      <c r="P495" s="52"/>
      <c r="Q495" s="52"/>
      <c r="R495" s="52"/>
      <c r="S495" s="53">
        <f t="shared" si="164"/>
        <v>38891070</v>
      </c>
      <c r="T495" s="52">
        <v>5</v>
      </c>
      <c r="U495" s="53">
        <f t="shared" si="157"/>
        <v>7778214</v>
      </c>
      <c r="V495" s="175">
        <v>0.5</v>
      </c>
      <c r="W495" s="53">
        <f t="shared" si="160"/>
        <v>3889107</v>
      </c>
      <c r="X495" s="24">
        <v>0.5</v>
      </c>
      <c r="Y495" s="53">
        <f t="shared" si="159"/>
        <v>3889107</v>
      </c>
      <c r="Z495" s="53">
        <f t="shared" si="161"/>
        <v>7778214</v>
      </c>
      <c r="AA495" s="57">
        <f>4/12+0.5+0.5+0.5</f>
        <v>1.8333333333333333</v>
      </c>
      <c r="AB495" s="53">
        <f t="shared" si="158"/>
        <v>14260059</v>
      </c>
      <c r="AC495" s="53">
        <f t="shared" si="165"/>
        <v>24631011</v>
      </c>
      <c r="AD495" s="56"/>
      <c r="AE495" s="70"/>
      <c r="AF495" s="1">
        <v>6481844.9999999991</v>
      </c>
      <c r="AG495" s="5">
        <f t="shared" si="150"/>
        <v>0</v>
      </c>
      <c r="AH495" s="5"/>
    </row>
    <row r="496" spans="1:34" s="1" customFormat="1" x14ac:dyDescent="0.25">
      <c r="A496" s="49"/>
      <c r="B496" s="50" t="s">
        <v>1691</v>
      </c>
      <c r="C496" s="73" t="s">
        <v>438</v>
      </c>
      <c r="D496" s="51" t="s">
        <v>555</v>
      </c>
      <c r="E496" s="52" t="s">
        <v>471</v>
      </c>
      <c r="F496" s="52"/>
      <c r="G496" s="52" t="s">
        <v>194</v>
      </c>
      <c r="H496" s="52" t="s">
        <v>62</v>
      </c>
      <c r="I496" s="52">
        <v>2022</v>
      </c>
      <c r="J496" s="52"/>
      <c r="K496" s="52" t="s">
        <v>63</v>
      </c>
      <c r="L496" s="52" t="s">
        <v>64</v>
      </c>
      <c r="M496" s="52">
        <v>1</v>
      </c>
      <c r="N496" s="53">
        <f t="shared" si="154"/>
        <v>7851666.6666666698</v>
      </c>
      <c r="O496" s="53">
        <v>7851666.6666666698</v>
      </c>
      <c r="P496" s="52"/>
      <c r="Q496" s="52"/>
      <c r="R496" s="52"/>
      <c r="S496" s="53">
        <f t="shared" si="164"/>
        <v>7851666.6666666698</v>
      </c>
      <c r="T496" s="52">
        <v>5</v>
      </c>
      <c r="U496" s="53">
        <f t="shared" si="157"/>
        <v>1570333.333333334</v>
      </c>
      <c r="V496" s="175">
        <v>0.5</v>
      </c>
      <c r="W496" s="53">
        <f t="shared" si="160"/>
        <v>785166.66666666698</v>
      </c>
      <c r="X496" s="24">
        <v>0.5</v>
      </c>
      <c r="Y496" s="53">
        <f t="shared" si="159"/>
        <v>785166.66666666698</v>
      </c>
      <c r="Z496" s="53">
        <f t="shared" si="161"/>
        <v>1570333.333333334</v>
      </c>
      <c r="AA496" s="57">
        <f>1/12+0.5+0.5</f>
        <v>1.0833333333333335</v>
      </c>
      <c r="AB496" s="53">
        <f t="shared" ref="AB496:AB504" si="167">SUM(U496*AA496)</f>
        <v>1701194.4444444454</v>
      </c>
      <c r="AC496" s="53">
        <f t="shared" si="165"/>
        <v>6150472.2222222239</v>
      </c>
      <c r="AD496" s="56" t="s">
        <v>245</v>
      </c>
      <c r="AE496" s="70"/>
      <c r="AF496" s="1">
        <v>130861.11111111115</v>
      </c>
      <c r="AG496" s="5">
        <f t="shared" si="150"/>
        <v>0</v>
      </c>
      <c r="AH496" s="5"/>
    </row>
    <row r="497" spans="1:34" s="170" customFormat="1" x14ac:dyDescent="0.25">
      <c r="A497" s="49"/>
      <c r="B497" s="50" t="s">
        <v>1691</v>
      </c>
      <c r="C497" s="73" t="s">
        <v>440</v>
      </c>
      <c r="D497" s="51" t="s">
        <v>555</v>
      </c>
      <c r="E497" s="52" t="s">
        <v>471</v>
      </c>
      <c r="F497" s="52"/>
      <c r="G497" s="52" t="s">
        <v>194</v>
      </c>
      <c r="H497" s="52" t="s">
        <v>62</v>
      </c>
      <c r="I497" s="52">
        <v>2022</v>
      </c>
      <c r="J497" s="52"/>
      <c r="K497" s="52" t="s">
        <v>63</v>
      </c>
      <c r="L497" s="52" t="s">
        <v>64</v>
      </c>
      <c r="M497" s="52">
        <v>1</v>
      </c>
      <c r="N497" s="53">
        <f t="shared" si="154"/>
        <v>7851666.6666666698</v>
      </c>
      <c r="O497" s="53">
        <v>7851666.6666666698</v>
      </c>
      <c r="P497" s="52"/>
      <c r="Q497" s="52"/>
      <c r="R497" s="52"/>
      <c r="S497" s="53">
        <f t="shared" si="164"/>
        <v>7851666.6666666698</v>
      </c>
      <c r="T497" s="52">
        <v>5</v>
      </c>
      <c r="U497" s="53">
        <f t="shared" si="157"/>
        <v>1570333.333333334</v>
      </c>
      <c r="V497" s="175">
        <v>0.5</v>
      </c>
      <c r="W497" s="53">
        <f t="shared" si="160"/>
        <v>785166.66666666698</v>
      </c>
      <c r="X497" s="24">
        <v>0.5</v>
      </c>
      <c r="Y497" s="53">
        <f t="shared" si="159"/>
        <v>785166.66666666698</v>
      </c>
      <c r="Z497" s="53">
        <f t="shared" si="161"/>
        <v>1570333.333333334</v>
      </c>
      <c r="AA497" s="57">
        <f>1/12+0.5+0.5</f>
        <v>1.0833333333333335</v>
      </c>
      <c r="AB497" s="53">
        <f t="shared" si="167"/>
        <v>1701194.4444444454</v>
      </c>
      <c r="AC497" s="53">
        <f t="shared" si="165"/>
        <v>6150472.2222222239</v>
      </c>
      <c r="AD497" s="56" t="s">
        <v>367</v>
      </c>
      <c r="AE497" s="56"/>
      <c r="AF497" s="170">
        <v>130861.11111111115</v>
      </c>
      <c r="AG497" s="5">
        <f t="shared" si="150"/>
        <v>0</v>
      </c>
      <c r="AH497" s="172"/>
    </row>
    <row r="498" spans="1:34" s="170" customFormat="1" x14ac:dyDescent="0.25">
      <c r="A498" s="49"/>
      <c r="B498" s="50" t="s">
        <v>1691</v>
      </c>
      <c r="C498" s="73" t="s">
        <v>441</v>
      </c>
      <c r="D498" s="51" t="s">
        <v>555</v>
      </c>
      <c r="E498" s="52" t="s">
        <v>471</v>
      </c>
      <c r="F498" s="52"/>
      <c r="G498" s="52" t="s">
        <v>194</v>
      </c>
      <c r="H498" s="52" t="s">
        <v>62</v>
      </c>
      <c r="I498" s="52">
        <v>2022</v>
      </c>
      <c r="J498" s="52"/>
      <c r="K498" s="52" t="s">
        <v>63</v>
      </c>
      <c r="L498" s="52" t="s">
        <v>64</v>
      </c>
      <c r="M498" s="52">
        <v>1</v>
      </c>
      <c r="N498" s="53">
        <f t="shared" si="154"/>
        <v>7851666.6666666698</v>
      </c>
      <c r="O498" s="53">
        <v>7851666.6666666698</v>
      </c>
      <c r="P498" s="52"/>
      <c r="Q498" s="52"/>
      <c r="R498" s="52"/>
      <c r="S498" s="53">
        <f t="shared" si="164"/>
        <v>7851666.6666666698</v>
      </c>
      <c r="T498" s="52">
        <v>5</v>
      </c>
      <c r="U498" s="53">
        <f t="shared" si="157"/>
        <v>1570333.333333334</v>
      </c>
      <c r="V498" s="175">
        <v>0.5</v>
      </c>
      <c r="W498" s="53">
        <f t="shared" si="160"/>
        <v>785166.66666666698</v>
      </c>
      <c r="X498" s="24">
        <v>0.5</v>
      </c>
      <c r="Y498" s="53">
        <f t="shared" si="159"/>
        <v>785166.66666666698</v>
      </c>
      <c r="Z498" s="53">
        <f t="shared" si="161"/>
        <v>1570333.333333334</v>
      </c>
      <c r="AA498" s="57">
        <f>1/12+0.5+0.5</f>
        <v>1.0833333333333335</v>
      </c>
      <c r="AB498" s="53">
        <f t="shared" si="167"/>
        <v>1701194.4444444454</v>
      </c>
      <c r="AC498" s="53">
        <f t="shared" si="165"/>
        <v>6150472.2222222239</v>
      </c>
      <c r="AD498" s="56" t="s">
        <v>308</v>
      </c>
      <c r="AE498" s="56"/>
      <c r="AF498" s="170">
        <v>130861.11111111115</v>
      </c>
      <c r="AG498" s="5">
        <f t="shared" si="150"/>
        <v>0</v>
      </c>
      <c r="AH498" s="172"/>
    </row>
    <row r="499" spans="1:34" s="170" customFormat="1" x14ac:dyDescent="0.25">
      <c r="A499" s="315"/>
      <c r="B499" s="308" t="s">
        <v>1691</v>
      </c>
      <c r="C499" s="314" t="s">
        <v>442</v>
      </c>
      <c r="D499" s="309" t="s">
        <v>555</v>
      </c>
      <c r="E499" s="310"/>
      <c r="F499" s="310" t="s">
        <v>3701</v>
      </c>
      <c r="G499" s="310" t="s">
        <v>194</v>
      </c>
      <c r="H499" s="310" t="s">
        <v>62</v>
      </c>
      <c r="I499" s="310">
        <v>2023</v>
      </c>
      <c r="J499" s="310"/>
      <c r="K499" s="310" t="s">
        <v>63</v>
      </c>
      <c r="L499" s="310" t="s">
        <v>64</v>
      </c>
      <c r="M499" s="310">
        <v>1</v>
      </c>
      <c r="N499" s="311">
        <f t="shared" si="154"/>
        <v>8320000</v>
      </c>
      <c r="O499" s="311">
        <v>8320000</v>
      </c>
      <c r="P499" s="310"/>
      <c r="Q499" s="310"/>
      <c r="R499" s="310"/>
      <c r="S499" s="311">
        <f t="shared" si="164"/>
        <v>8320000</v>
      </c>
      <c r="T499" s="310">
        <v>5</v>
      </c>
      <c r="U499" s="311">
        <f t="shared" si="157"/>
        <v>1664000</v>
      </c>
      <c r="V499" s="362">
        <f>1/12</f>
        <v>8.3333333333333329E-2</v>
      </c>
      <c r="W499" s="311">
        <f t="shared" si="160"/>
        <v>138666.66666666666</v>
      </c>
      <c r="X499" s="363">
        <v>0.5</v>
      </c>
      <c r="Y499" s="311">
        <f t="shared" si="159"/>
        <v>832000</v>
      </c>
      <c r="Z499" s="311">
        <f t="shared" si="161"/>
        <v>970666.66666666663</v>
      </c>
      <c r="AA499" s="312">
        <f>1/12+0.5</f>
        <v>0.58333333333333337</v>
      </c>
      <c r="AB499" s="311">
        <f t="shared" si="167"/>
        <v>970666.66666666674</v>
      </c>
      <c r="AC499" s="311">
        <f t="shared" si="165"/>
        <v>7349333.333333333</v>
      </c>
      <c r="AD499" s="313"/>
      <c r="AE499" s="313"/>
      <c r="AF499" s="170">
        <v>138666.66666666666</v>
      </c>
      <c r="AG499" s="5">
        <f>AF499+Y499-Z499</f>
        <v>0</v>
      </c>
      <c r="AH499" s="172"/>
    </row>
    <row r="500" spans="1:34" s="170" customFormat="1" x14ac:dyDescent="0.25">
      <c r="A500" s="315"/>
      <c r="B500" s="308" t="s">
        <v>1691</v>
      </c>
      <c r="C500" s="314" t="s">
        <v>443</v>
      </c>
      <c r="D500" s="309" t="s">
        <v>555</v>
      </c>
      <c r="E500" s="310"/>
      <c r="F500" s="310" t="s">
        <v>3701</v>
      </c>
      <c r="G500" s="310" t="s">
        <v>194</v>
      </c>
      <c r="H500" s="310" t="s">
        <v>62</v>
      </c>
      <c r="I500" s="310">
        <v>2023</v>
      </c>
      <c r="J500" s="310"/>
      <c r="K500" s="310" t="s">
        <v>63</v>
      </c>
      <c r="L500" s="310" t="s">
        <v>64</v>
      </c>
      <c r="M500" s="310">
        <v>1</v>
      </c>
      <c r="N500" s="311">
        <f t="shared" si="154"/>
        <v>8320000</v>
      </c>
      <c r="O500" s="311">
        <v>8320000</v>
      </c>
      <c r="P500" s="310"/>
      <c r="Q500" s="310"/>
      <c r="R500" s="310"/>
      <c r="S500" s="311">
        <f t="shared" si="164"/>
        <v>8320000</v>
      </c>
      <c r="T500" s="310">
        <v>5</v>
      </c>
      <c r="U500" s="311">
        <f t="shared" si="157"/>
        <v>1664000</v>
      </c>
      <c r="V500" s="362">
        <f t="shared" ref="V500:V503" si="168">1/12</f>
        <v>8.3333333333333329E-2</v>
      </c>
      <c r="W500" s="311">
        <f t="shared" si="160"/>
        <v>138666.66666666666</v>
      </c>
      <c r="X500" s="363">
        <v>0.5</v>
      </c>
      <c r="Y500" s="311">
        <f t="shared" si="159"/>
        <v>832000</v>
      </c>
      <c r="Z500" s="311">
        <f t="shared" si="161"/>
        <v>970666.66666666663</v>
      </c>
      <c r="AA500" s="312">
        <f t="shared" ref="AA500:AA503" si="169">1/12+0.5</f>
        <v>0.58333333333333337</v>
      </c>
      <c r="AB500" s="311">
        <f t="shared" si="167"/>
        <v>970666.66666666674</v>
      </c>
      <c r="AC500" s="311">
        <f t="shared" si="165"/>
        <v>7349333.333333333</v>
      </c>
      <c r="AD500" s="313"/>
      <c r="AE500" s="313"/>
      <c r="AF500" s="170">
        <v>138666.66666666666</v>
      </c>
      <c r="AG500" s="5">
        <f t="shared" ref="AG500:AG503" si="170">AF500+Y500-Z500</f>
        <v>0</v>
      </c>
      <c r="AH500" s="172"/>
    </row>
    <row r="501" spans="1:34" s="170" customFormat="1" x14ac:dyDescent="0.25">
      <c r="A501" s="315"/>
      <c r="B501" s="308" t="s">
        <v>1691</v>
      </c>
      <c r="C501" s="314" t="s">
        <v>3145</v>
      </c>
      <c r="D501" s="309" t="s">
        <v>555</v>
      </c>
      <c r="E501" s="310"/>
      <c r="F501" s="310" t="s">
        <v>3701</v>
      </c>
      <c r="G501" s="310" t="s">
        <v>194</v>
      </c>
      <c r="H501" s="310" t="s">
        <v>62</v>
      </c>
      <c r="I501" s="310">
        <v>2023</v>
      </c>
      <c r="J501" s="310"/>
      <c r="K501" s="310" t="s">
        <v>63</v>
      </c>
      <c r="L501" s="310" t="s">
        <v>64</v>
      </c>
      <c r="M501" s="310">
        <v>1</v>
      </c>
      <c r="N501" s="311">
        <f t="shared" si="154"/>
        <v>8320000</v>
      </c>
      <c r="O501" s="311">
        <v>8320000</v>
      </c>
      <c r="P501" s="310"/>
      <c r="Q501" s="310"/>
      <c r="R501" s="310"/>
      <c r="S501" s="311">
        <f t="shared" si="164"/>
        <v>8320000</v>
      </c>
      <c r="T501" s="310">
        <v>5</v>
      </c>
      <c r="U501" s="311">
        <f t="shared" si="157"/>
        <v>1664000</v>
      </c>
      <c r="V501" s="362">
        <f t="shared" si="168"/>
        <v>8.3333333333333329E-2</v>
      </c>
      <c r="W501" s="311">
        <f t="shared" si="160"/>
        <v>138666.66666666666</v>
      </c>
      <c r="X501" s="363">
        <v>0.5</v>
      </c>
      <c r="Y501" s="311">
        <f t="shared" si="159"/>
        <v>832000</v>
      </c>
      <c r="Z501" s="311">
        <f t="shared" si="161"/>
        <v>970666.66666666663</v>
      </c>
      <c r="AA501" s="312">
        <f t="shared" si="169"/>
        <v>0.58333333333333337</v>
      </c>
      <c r="AB501" s="311">
        <f t="shared" si="167"/>
        <v>970666.66666666674</v>
      </c>
      <c r="AC501" s="311">
        <f t="shared" si="165"/>
        <v>7349333.333333333</v>
      </c>
      <c r="AD501" s="313"/>
      <c r="AE501" s="313"/>
      <c r="AF501" s="170">
        <v>138666.66666666666</v>
      </c>
      <c r="AG501" s="5">
        <f t="shared" si="170"/>
        <v>0</v>
      </c>
      <c r="AH501" s="172"/>
    </row>
    <row r="502" spans="1:34" s="1" customFormat="1" x14ac:dyDescent="0.25">
      <c r="A502" s="315"/>
      <c r="B502" s="308" t="s">
        <v>1691</v>
      </c>
      <c r="C502" s="314" t="s">
        <v>3147</v>
      </c>
      <c r="D502" s="309" t="s">
        <v>555</v>
      </c>
      <c r="E502" s="310"/>
      <c r="F502" s="310" t="s">
        <v>3702</v>
      </c>
      <c r="G502" s="310" t="s">
        <v>194</v>
      </c>
      <c r="H502" s="310" t="s">
        <v>62</v>
      </c>
      <c r="I502" s="310">
        <v>2023</v>
      </c>
      <c r="J502" s="310"/>
      <c r="K502" s="310" t="s">
        <v>63</v>
      </c>
      <c r="L502" s="310" t="s">
        <v>64</v>
      </c>
      <c r="M502" s="310">
        <v>1</v>
      </c>
      <c r="N502" s="311">
        <f t="shared" si="154"/>
        <v>7735000</v>
      </c>
      <c r="O502" s="311">
        <v>7735000</v>
      </c>
      <c r="P502" s="310"/>
      <c r="Q502" s="310"/>
      <c r="R502" s="310"/>
      <c r="S502" s="311">
        <f t="shared" si="164"/>
        <v>7735000</v>
      </c>
      <c r="T502" s="310">
        <v>5</v>
      </c>
      <c r="U502" s="311">
        <f t="shared" si="157"/>
        <v>1547000</v>
      </c>
      <c r="V502" s="362">
        <f t="shared" si="168"/>
        <v>8.3333333333333329E-2</v>
      </c>
      <c r="W502" s="311">
        <f t="shared" si="160"/>
        <v>128916.66666666666</v>
      </c>
      <c r="X502" s="363">
        <v>0.5</v>
      </c>
      <c r="Y502" s="311">
        <f t="shared" si="159"/>
        <v>773500</v>
      </c>
      <c r="Z502" s="311">
        <f t="shared" si="161"/>
        <v>902416.66666666663</v>
      </c>
      <c r="AA502" s="312">
        <f t="shared" si="169"/>
        <v>0.58333333333333337</v>
      </c>
      <c r="AB502" s="311">
        <f t="shared" si="167"/>
        <v>902416.66666666674</v>
      </c>
      <c r="AC502" s="311">
        <f t="shared" si="165"/>
        <v>6832583.333333333</v>
      </c>
      <c r="AD502" s="313"/>
      <c r="AE502" s="313"/>
      <c r="AF502" s="1">
        <v>128916.66666666666</v>
      </c>
      <c r="AG502" s="5">
        <f t="shared" si="170"/>
        <v>0</v>
      </c>
      <c r="AH502" s="5"/>
    </row>
    <row r="503" spans="1:34" s="1" customFormat="1" x14ac:dyDescent="0.25">
      <c r="A503" s="315"/>
      <c r="B503" s="308" t="s">
        <v>1691</v>
      </c>
      <c r="C503" s="314" t="s">
        <v>3149</v>
      </c>
      <c r="D503" s="309" t="s">
        <v>555</v>
      </c>
      <c r="E503" s="310"/>
      <c r="F503" s="310" t="s">
        <v>3702</v>
      </c>
      <c r="G503" s="310" t="s">
        <v>194</v>
      </c>
      <c r="H503" s="310" t="s">
        <v>62</v>
      </c>
      <c r="I503" s="310">
        <v>2023</v>
      </c>
      <c r="J503" s="310"/>
      <c r="K503" s="310" t="s">
        <v>63</v>
      </c>
      <c r="L503" s="310" t="s">
        <v>64</v>
      </c>
      <c r="M503" s="310">
        <v>1</v>
      </c>
      <c r="N503" s="311">
        <f t="shared" si="154"/>
        <v>7735000</v>
      </c>
      <c r="O503" s="311">
        <v>7735000</v>
      </c>
      <c r="P503" s="310"/>
      <c r="Q503" s="310"/>
      <c r="R503" s="310"/>
      <c r="S503" s="311">
        <f t="shared" si="164"/>
        <v>7735000</v>
      </c>
      <c r="T503" s="310">
        <v>5</v>
      </c>
      <c r="U503" s="311">
        <f t="shared" si="157"/>
        <v>1547000</v>
      </c>
      <c r="V503" s="362">
        <f t="shared" si="168"/>
        <v>8.3333333333333329E-2</v>
      </c>
      <c r="W503" s="311">
        <f t="shared" si="160"/>
        <v>128916.66666666666</v>
      </c>
      <c r="X503" s="363">
        <v>0.5</v>
      </c>
      <c r="Y503" s="311">
        <f t="shared" si="159"/>
        <v>773500</v>
      </c>
      <c r="Z503" s="311">
        <f t="shared" si="161"/>
        <v>902416.66666666663</v>
      </c>
      <c r="AA503" s="312">
        <f t="shared" si="169"/>
        <v>0.58333333333333337</v>
      </c>
      <c r="AB503" s="311">
        <f t="shared" si="167"/>
        <v>902416.66666666674</v>
      </c>
      <c r="AC503" s="311">
        <f t="shared" si="165"/>
        <v>6832583.333333333</v>
      </c>
      <c r="AD503" s="313"/>
      <c r="AE503" s="313"/>
      <c r="AF503" s="1">
        <v>128916.66666666666</v>
      </c>
      <c r="AG503" s="5">
        <f t="shared" si="170"/>
        <v>0</v>
      </c>
      <c r="AH503" s="5"/>
    </row>
    <row r="504" spans="1:34" s="1" customFormat="1" x14ac:dyDescent="0.25">
      <c r="A504" s="49"/>
      <c r="B504" s="50" t="s">
        <v>1692</v>
      </c>
      <c r="C504" s="73" t="s">
        <v>784</v>
      </c>
      <c r="D504" s="51" t="s">
        <v>785</v>
      </c>
      <c r="E504" s="52" t="s">
        <v>786</v>
      </c>
      <c r="F504" s="52"/>
      <c r="G504" s="52" t="s">
        <v>194</v>
      </c>
      <c r="H504" s="52" t="s">
        <v>62</v>
      </c>
      <c r="I504" s="52">
        <v>2015</v>
      </c>
      <c r="J504" s="52"/>
      <c r="K504" s="52" t="s">
        <v>63</v>
      </c>
      <c r="L504" s="52" t="s">
        <v>64</v>
      </c>
      <c r="M504" s="52">
        <v>36</v>
      </c>
      <c r="N504" s="53">
        <f t="shared" si="154"/>
        <v>499400</v>
      </c>
      <c r="O504" s="53">
        <v>17978400</v>
      </c>
      <c r="P504" s="52"/>
      <c r="Q504" s="52"/>
      <c r="R504" s="52"/>
      <c r="S504" s="53">
        <f t="shared" si="164"/>
        <v>17978400</v>
      </c>
      <c r="T504" s="52">
        <v>5</v>
      </c>
      <c r="U504" s="53">
        <f t="shared" ref="U504" si="171">SUM(S504/T504)</f>
        <v>3595680</v>
      </c>
      <c r="V504" s="175">
        <v>0.5</v>
      </c>
      <c r="W504" s="53"/>
      <c r="X504" s="54"/>
      <c r="Y504" s="53">
        <f>SUM(U504*X504)</f>
        <v>0</v>
      </c>
      <c r="Z504" s="53"/>
      <c r="AA504" s="57">
        <v>5</v>
      </c>
      <c r="AB504" s="53">
        <f t="shared" si="167"/>
        <v>17978400</v>
      </c>
      <c r="AC504" s="53">
        <f t="shared" si="165"/>
        <v>0</v>
      </c>
      <c r="AD504" s="56" t="s">
        <v>787</v>
      </c>
      <c r="AE504" s="56"/>
      <c r="AF504" s="1">
        <v>17978400</v>
      </c>
      <c r="AG504" s="5">
        <f t="shared" si="150"/>
        <v>0</v>
      </c>
      <c r="AH504" s="5"/>
    </row>
    <row r="505" spans="1:34" s="1" customFormat="1" x14ac:dyDescent="0.25">
      <c r="A505" s="21">
        <v>133</v>
      </c>
      <c r="B505" s="22" t="s">
        <v>1693</v>
      </c>
      <c r="C505" s="22" t="s">
        <v>652</v>
      </c>
      <c r="D505" s="51" t="s">
        <v>653</v>
      </c>
      <c r="E505" s="24" t="s">
        <v>654</v>
      </c>
      <c r="F505" s="24"/>
      <c r="G505" s="24" t="s">
        <v>194</v>
      </c>
      <c r="H505" s="24" t="s">
        <v>62</v>
      </c>
      <c r="I505" s="24">
        <v>2012</v>
      </c>
      <c r="J505" s="24"/>
      <c r="K505" s="24" t="s">
        <v>63</v>
      </c>
      <c r="L505" s="24" t="s">
        <v>64</v>
      </c>
      <c r="M505" s="24">
        <v>14</v>
      </c>
      <c r="N505" s="41">
        <f t="shared" ref="N505:N508" si="172">SUM(O505/M505)</f>
        <v>291000</v>
      </c>
      <c r="O505" s="41">
        <v>4074000</v>
      </c>
      <c r="P505" s="24"/>
      <c r="Q505" s="24"/>
      <c r="R505" s="24"/>
      <c r="S505" s="41">
        <f t="shared" si="164"/>
        <v>4074000</v>
      </c>
      <c r="T505" s="24">
        <v>5</v>
      </c>
      <c r="U505" s="41"/>
      <c r="V505" s="24">
        <v>0.5</v>
      </c>
      <c r="W505" s="41">
        <f t="shared" ref="W505:W507" si="173">SUM(U505*V505)</f>
        <v>0</v>
      </c>
      <c r="X505" s="52"/>
      <c r="Y505" s="53">
        <f t="shared" ref="Y505:Y508" si="174">SUM(U505*X505)</f>
        <v>0</v>
      </c>
      <c r="Z505" s="53">
        <f t="shared" ref="Z505:Z507" si="175">SUM(W505+Y505)</f>
        <v>0</v>
      </c>
      <c r="AA505" s="57">
        <v>5</v>
      </c>
      <c r="AB505" s="53">
        <v>4074000</v>
      </c>
      <c r="AC505" s="53">
        <f t="shared" si="165"/>
        <v>0</v>
      </c>
      <c r="AD505" s="56" t="s">
        <v>350</v>
      </c>
      <c r="AE505" s="56"/>
      <c r="AF505" s="1">
        <v>4074000</v>
      </c>
      <c r="AG505" s="5">
        <f t="shared" si="150"/>
        <v>0</v>
      </c>
      <c r="AH505" s="5"/>
    </row>
    <row r="506" spans="1:34" s="1" customFormat="1" x14ac:dyDescent="0.25">
      <c r="A506" s="21">
        <v>134</v>
      </c>
      <c r="B506" s="22" t="s">
        <v>1693</v>
      </c>
      <c r="C506" s="22" t="s">
        <v>655</v>
      </c>
      <c r="D506" s="51" t="s">
        <v>653</v>
      </c>
      <c r="E506" s="24" t="s">
        <v>654</v>
      </c>
      <c r="F506" s="24"/>
      <c r="G506" s="24" t="s">
        <v>194</v>
      </c>
      <c r="H506" s="24" t="s">
        <v>62</v>
      </c>
      <c r="I506" s="24">
        <v>2012</v>
      </c>
      <c r="J506" s="24"/>
      <c r="K506" s="24" t="s">
        <v>63</v>
      </c>
      <c r="L506" s="24" t="s">
        <v>64</v>
      </c>
      <c r="M506" s="24">
        <v>18</v>
      </c>
      <c r="N506" s="41">
        <f t="shared" si="172"/>
        <v>291000</v>
      </c>
      <c r="O506" s="41">
        <v>5238000</v>
      </c>
      <c r="P506" s="24"/>
      <c r="Q506" s="24"/>
      <c r="R506" s="24"/>
      <c r="S506" s="41">
        <f t="shared" si="164"/>
        <v>5238000</v>
      </c>
      <c r="T506" s="24">
        <v>5</v>
      </c>
      <c r="U506" s="41"/>
      <c r="V506" s="24">
        <v>0.5</v>
      </c>
      <c r="W506" s="41">
        <f t="shared" si="173"/>
        <v>0</v>
      </c>
      <c r="X506" s="24"/>
      <c r="Y506" s="41">
        <f t="shared" si="174"/>
        <v>0</v>
      </c>
      <c r="Z506" s="41">
        <f t="shared" si="175"/>
        <v>0</v>
      </c>
      <c r="AA506" s="69">
        <v>5</v>
      </c>
      <c r="AB506" s="41">
        <v>5238000</v>
      </c>
      <c r="AC506" s="41">
        <f t="shared" si="165"/>
        <v>0</v>
      </c>
      <c r="AD506" s="70" t="s">
        <v>354</v>
      </c>
      <c r="AE506" s="70"/>
      <c r="AF506" s="1">
        <v>5238000</v>
      </c>
      <c r="AG506" s="5">
        <f t="shared" si="150"/>
        <v>0</v>
      </c>
      <c r="AH506" s="5"/>
    </row>
    <row r="507" spans="1:34" s="1" customFormat="1" x14ac:dyDescent="0.25">
      <c r="A507" s="21">
        <v>135</v>
      </c>
      <c r="B507" s="22" t="s">
        <v>1693</v>
      </c>
      <c r="C507" s="22" t="s">
        <v>656</v>
      </c>
      <c r="D507" s="51" t="s">
        <v>653</v>
      </c>
      <c r="E507" s="24" t="s">
        <v>654</v>
      </c>
      <c r="F507" s="24"/>
      <c r="G507" s="24" t="s">
        <v>194</v>
      </c>
      <c r="H507" s="24" t="s">
        <v>62</v>
      </c>
      <c r="I507" s="24">
        <v>2012</v>
      </c>
      <c r="J507" s="24"/>
      <c r="K507" s="24" t="s">
        <v>63</v>
      </c>
      <c r="L507" s="24" t="s">
        <v>64</v>
      </c>
      <c r="M507" s="24">
        <v>2</v>
      </c>
      <c r="N507" s="41">
        <f t="shared" si="172"/>
        <v>291000</v>
      </c>
      <c r="O507" s="41">
        <v>582000</v>
      </c>
      <c r="P507" s="24"/>
      <c r="Q507" s="24"/>
      <c r="R507" s="24"/>
      <c r="S507" s="41">
        <f t="shared" si="164"/>
        <v>582000</v>
      </c>
      <c r="T507" s="24">
        <v>5</v>
      </c>
      <c r="U507" s="41"/>
      <c r="V507" s="24">
        <v>0.5</v>
      </c>
      <c r="W507" s="41">
        <f t="shared" si="173"/>
        <v>0</v>
      </c>
      <c r="X507" s="24"/>
      <c r="Y507" s="41">
        <f t="shared" si="174"/>
        <v>0</v>
      </c>
      <c r="Z507" s="41">
        <f t="shared" si="175"/>
        <v>0</v>
      </c>
      <c r="AA507" s="69">
        <v>5</v>
      </c>
      <c r="AB507" s="41">
        <v>582000</v>
      </c>
      <c r="AC507" s="41">
        <f t="shared" si="165"/>
        <v>0</v>
      </c>
      <c r="AD507" s="70" t="s">
        <v>243</v>
      </c>
      <c r="AE507" s="70"/>
      <c r="AF507" s="1">
        <v>582000</v>
      </c>
      <c r="AG507" s="5">
        <f t="shared" si="150"/>
        <v>0</v>
      </c>
      <c r="AH507" s="5"/>
    </row>
    <row r="508" spans="1:34" s="1" customFormat="1" x14ac:dyDescent="0.25">
      <c r="A508" s="21">
        <v>136</v>
      </c>
      <c r="B508" s="22" t="s">
        <v>1693</v>
      </c>
      <c r="C508" s="22" t="s">
        <v>429</v>
      </c>
      <c r="D508" s="51" t="s">
        <v>653</v>
      </c>
      <c r="E508" s="24" t="s">
        <v>471</v>
      </c>
      <c r="F508" s="24"/>
      <c r="G508" s="24" t="s">
        <v>194</v>
      </c>
      <c r="H508" s="24" t="s">
        <v>62</v>
      </c>
      <c r="I508" s="24">
        <v>2015</v>
      </c>
      <c r="J508" s="24"/>
      <c r="K508" s="24" t="s">
        <v>63</v>
      </c>
      <c r="L508" s="24" t="s">
        <v>64</v>
      </c>
      <c r="M508" s="24">
        <v>1</v>
      </c>
      <c r="N508" s="41">
        <f t="shared" si="172"/>
        <v>500000</v>
      </c>
      <c r="O508" s="41">
        <v>500000</v>
      </c>
      <c r="P508" s="24"/>
      <c r="Q508" s="24"/>
      <c r="R508" s="24"/>
      <c r="S508" s="41">
        <f t="shared" si="164"/>
        <v>500000</v>
      </c>
      <c r="T508" s="24">
        <v>5</v>
      </c>
      <c r="U508" s="41">
        <f>SUM(S508/T508)</f>
        <v>100000</v>
      </c>
      <c r="V508" s="24">
        <v>0.5</v>
      </c>
      <c r="W508" s="41"/>
      <c r="X508" s="24"/>
      <c r="Y508" s="41">
        <f t="shared" si="174"/>
        <v>0</v>
      </c>
      <c r="Z508" s="41"/>
      <c r="AA508" s="69">
        <v>5</v>
      </c>
      <c r="AB508" s="41">
        <f>SUM(U508*AA508)</f>
        <v>500000</v>
      </c>
      <c r="AC508" s="41">
        <f t="shared" si="165"/>
        <v>0</v>
      </c>
      <c r="AD508" s="70" t="s">
        <v>243</v>
      </c>
      <c r="AE508" s="70"/>
      <c r="AF508" s="1">
        <v>500000</v>
      </c>
      <c r="AG508" s="5">
        <f t="shared" si="150"/>
        <v>0</v>
      </c>
      <c r="AH508" s="5"/>
    </row>
    <row r="509" spans="1:34" s="1" customFormat="1" x14ac:dyDescent="0.25">
      <c r="A509" s="21"/>
      <c r="B509" s="22"/>
      <c r="C509" s="22"/>
      <c r="D509" s="51"/>
      <c r="E509" s="24"/>
      <c r="F509" s="24"/>
      <c r="G509" s="24"/>
      <c r="H509" s="24"/>
      <c r="I509" s="24"/>
      <c r="J509" s="24"/>
      <c r="K509" s="24"/>
      <c r="L509" s="24"/>
      <c r="M509" s="24"/>
      <c r="N509" s="41"/>
      <c r="O509" s="41"/>
      <c r="P509" s="24"/>
      <c r="Q509" s="24"/>
      <c r="R509" s="24"/>
      <c r="S509" s="41"/>
      <c r="T509" s="24"/>
      <c r="U509" s="41"/>
      <c r="V509" s="24"/>
      <c r="W509" s="41"/>
      <c r="X509" s="24"/>
      <c r="Y509" s="41"/>
      <c r="Z509" s="41"/>
      <c r="AA509" s="69"/>
      <c r="AB509" s="41"/>
      <c r="AC509" s="41"/>
      <c r="AD509" s="70"/>
      <c r="AE509" s="70"/>
      <c r="AF509" s="1">
        <v>74273120.000000015</v>
      </c>
      <c r="AG509" s="45">
        <f>SUM(AF509+Y510-AB510)</f>
        <v>0</v>
      </c>
      <c r="AH509" s="5"/>
    </row>
    <row r="510" spans="1:34" s="154" customFormat="1" x14ac:dyDescent="0.25">
      <c r="A510" s="25"/>
      <c r="B510" s="26" t="s">
        <v>1694</v>
      </c>
      <c r="C510" s="26"/>
      <c r="D510" s="27" t="s">
        <v>1695</v>
      </c>
      <c r="E510" s="28"/>
      <c r="F510" s="28"/>
      <c r="G510" s="28"/>
      <c r="H510" s="28"/>
      <c r="I510" s="28"/>
      <c r="J510" s="28"/>
      <c r="K510" s="28"/>
      <c r="L510" s="28"/>
      <c r="M510" s="28">
        <f>SUM(M511:M523)</f>
        <v>21</v>
      </c>
      <c r="N510" s="40"/>
      <c r="O510" s="40">
        <f>SUM(O511:O523)</f>
        <v>88055900</v>
      </c>
      <c r="P510" s="28"/>
      <c r="Q510" s="28"/>
      <c r="R510" s="28"/>
      <c r="S510" s="40">
        <f>SUM(S511:S523)</f>
        <v>88055900</v>
      </c>
      <c r="T510" s="28"/>
      <c r="U510" s="40">
        <f>SUM(U511:U523)</f>
        <v>15509680</v>
      </c>
      <c r="V510" s="28"/>
      <c r="W510" s="40">
        <f>SUM(W511:W523)</f>
        <v>5361840</v>
      </c>
      <c r="X510" s="28"/>
      <c r="Y510" s="40">
        <f>SUM(Y511:Y523)</f>
        <v>4229280</v>
      </c>
      <c r="Z510" s="40">
        <f>SUM(Z511:Z523)</f>
        <v>9591120</v>
      </c>
      <c r="AA510" s="176"/>
      <c r="AB510" s="40">
        <f>SUM(AB511:AB523)</f>
        <v>78502400.000000015</v>
      </c>
      <c r="AC510" s="40">
        <f>SUM(AC511:AC523)</f>
        <v>9553499.9999999963</v>
      </c>
      <c r="AD510" s="167"/>
      <c r="AE510" s="167"/>
      <c r="AG510" s="5">
        <f t="shared" ref="AG510:AG572" si="176">AF510+Z510-AB510</f>
        <v>-68911280.000000015</v>
      </c>
      <c r="AH510" s="155"/>
    </row>
    <row r="511" spans="1:34" s="154" customFormat="1" x14ac:dyDescent="0.25">
      <c r="A511" s="49"/>
      <c r="B511" s="50" t="s">
        <v>1696</v>
      </c>
      <c r="C511" s="50" t="s">
        <v>209</v>
      </c>
      <c r="D511" s="51" t="s">
        <v>1058</v>
      </c>
      <c r="E511" s="52" t="s">
        <v>166</v>
      </c>
      <c r="F511" s="52"/>
      <c r="G511" s="52" t="s">
        <v>903</v>
      </c>
      <c r="H511" s="52" t="s">
        <v>62</v>
      </c>
      <c r="I511" s="52">
        <v>2020</v>
      </c>
      <c r="J511" s="52"/>
      <c r="K511" s="52" t="s">
        <v>63</v>
      </c>
      <c r="L511" s="52" t="s">
        <v>64</v>
      </c>
      <c r="M511" s="52">
        <v>2</v>
      </c>
      <c r="N511" s="53">
        <f t="shared" ref="N511:N512" si="177">SUM(O511/M511)</f>
        <v>2300000</v>
      </c>
      <c r="O511" s="53">
        <v>4600000</v>
      </c>
      <c r="P511" s="52"/>
      <c r="Q511" s="52"/>
      <c r="R511" s="52"/>
      <c r="S511" s="53">
        <f t="shared" ref="S511:S523" si="178">SUM(O511-R511)</f>
        <v>4600000</v>
      </c>
      <c r="T511" s="52">
        <v>5</v>
      </c>
      <c r="U511" s="53">
        <f t="shared" ref="U511:U512" si="179">SUM(S511/T511)</f>
        <v>920000</v>
      </c>
      <c r="V511" s="52">
        <v>0.5</v>
      </c>
      <c r="W511" s="53">
        <f>SUM(U511*V511)</f>
        <v>460000</v>
      </c>
      <c r="X511" s="52">
        <v>0.5</v>
      </c>
      <c r="Y511" s="53">
        <f t="shared" ref="Y511:Y512" si="180">SUM(U511*X511)</f>
        <v>460000</v>
      </c>
      <c r="Z511" s="53">
        <f t="shared" ref="Z511:Z512" si="181">SUM(W511+Y511)</f>
        <v>920000</v>
      </c>
      <c r="AA511" s="57">
        <f>2023-I511+V511+X511-11/12</f>
        <v>3.0833333333333335</v>
      </c>
      <c r="AB511" s="53">
        <f t="shared" ref="AB511:AB512" si="182">SUM(U511*AA511)</f>
        <v>2836666.666666667</v>
      </c>
      <c r="AC511" s="53">
        <f t="shared" ref="AC511:AC523" si="183">SUM(O511-AB511)</f>
        <v>1763333.333333333</v>
      </c>
      <c r="AD511" s="56" t="s">
        <v>1059</v>
      </c>
      <c r="AE511" s="56"/>
      <c r="AF511" s="1">
        <v>1916666.6666666667</v>
      </c>
      <c r="AG511" s="5">
        <f t="shared" si="176"/>
        <v>0</v>
      </c>
      <c r="AH511" s="155"/>
    </row>
    <row r="512" spans="1:34" s="154" customFormat="1" x14ac:dyDescent="0.25">
      <c r="A512" s="49"/>
      <c r="B512" s="50" t="s">
        <v>1696</v>
      </c>
      <c r="C512" s="50" t="s">
        <v>291</v>
      </c>
      <c r="D512" s="51" t="s">
        <v>1060</v>
      </c>
      <c r="E512" s="52" t="s">
        <v>166</v>
      </c>
      <c r="F512" s="52"/>
      <c r="G512" s="52" t="s">
        <v>1061</v>
      </c>
      <c r="H512" s="52" t="s">
        <v>62</v>
      </c>
      <c r="I512" s="52">
        <v>2020</v>
      </c>
      <c r="J512" s="52"/>
      <c r="K512" s="52" t="s">
        <v>63</v>
      </c>
      <c r="L512" s="52" t="s">
        <v>64</v>
      </c>
      <c r="M512" s="52">
        <v>4</v>
      </c>
      <c r="N512" s="53">
        <f t="shared" si="177"/>
        <v>1300000</v>
      </c>
      <c r="O512" s="53">
        <v>5200000</v>
      </c>
      <c r="P512" s="52"/>
      <c r="Q512" s="52"/>
      <c r="R512" s="52"/>
      <c r="S512" s="53">
        <f t="shared" si="178"/>
        <v>5200000</v>
      </c>
      <c r="T512" s="52">
        <v>5</v>
      </c>
      <c r="U512" s="53">
        <f t="shared" si="179"/>
        <v>1040000</v>
      </c>
      <c r="V512" s="52">
        <v>0.5</v>
      </c>
      <c r="W512" s="53">
        <f>SUM(U512*V512)</f>
        <v>520000</v>
      </c>
      <c r="X512" s="52">
        <v>0.5</v>
      </c>
      <c r="Y512" s="53">
        <f t="shared" si="180"/>
        <v>520000</v>
      </c>
      <c r="Z512" s="53">
        <f t="shared" si="181"/>
        <v>1040000</v>
      </c>
      <c r="AA512" s="57">
        <f>2023-I512+V512+X512-11/12</f>
        <v>3.0833333333333335</v>
      </c>
      <c r="AB512" s="53">
        <f t="shared" si="182"/>
        <v>3206666.666666667</v>
      </c>
      <c r="AC512" s="53">
        <f t="shared" si="183"/>
        <v>1993333.333333333</v>
      </c>
      <c r="AD512" s="56" t="s">
        <v>778</v>
      </c>
      <c r="AE512" s="56"/>
      <c r="AF512" s="1">
        <v>2166666.666666667</v>
      </c>
      <c r="AG512" s="5">
        <f t="shared" si="176"/>
        <v>0</v>
      </c>
      <c r="AH512" s="155"/>
    </row>
    <row r="513" spans="1:34" s="1" customFormat="1" x14ac:dyDescent="0.25">
      <c r="A513" s="49"/>
      <c r="B513" s="50" t="s">
        <v>1697</v>
      </c>
      <c r="C513" s="50" t="s">
        <v>58</v>
      </c>
      <c r="D513" s="51" t="s">
        <v>841</v>
      </c>
      <c r="E513" s="52" t="s">
        <v>842</v>
      </c>
      <c r="F513" s="52"/>
      <c r="G513" s="52" t="s">
        <v>61</v>
      </c>
      <c r="H513" s="52" t="s">
        <v>62</v>
      </c>
      <c r="I513" s="52">
        <v>2012</v>
      </c>
      <c r="J513" s="52"/>
      <c r="K513" s="52" t="s">
        <v>63</v>
      </c>
      <c r="L513" s="52" t="s">
        <v>64</v>
      </c>
      <c r="M513" s="52">
        <v>1</v>
      </c>
      <c r="N513" s="53">
        <f t="shared" ref="N513:N523" si="184">SUM(O513/M513)</f>
        <v>700000</v>
      </c>
      <c r="O513" s="53">
        <v>700000</v>
      </c>
      <c r="P513" s="52"/>
      <c r="Q513" s="52"/>
      <c r="R513" s="52"/>
      <c r="S513" s="53">
        <f t="shared" si="178"/>
        <v>700000</v>
      </c>
      <c r="T513" s="52">
        <v>5</v>
      </c>
      <c r="U513" s="53"/>
      <c r="V513" s="52">
        <v>0.5</v>
      </c>
      <c r="W513" s="53">
        <f t="shared" ref="W513:W523" si="185">SUM(U513*V513)</f>
        <v>0</v>
      </c>
      <c r="X513" s="52"/>
      <c r="Y513" s="53">
        <f t="shared" ref="Y513:Y523" si="186">SUM(U513*X513)</f>
        <v>0</v>
      </c>
      <c r="Z513" s="53">
        <f t="shared" ref="Z513:Z523" si="187">SUM(W513+Y513)</f>
        <v>0</v>
      </c>
      <c r="AA513" s="169">
        <v>5</v>
      </c>
      <c r="AB513" s="53">
        <v>700000</v>
      </c>
      <c r="AC513" s="53">
        <f t="shared" si="183"/>
        <v>0</v>
      </c>
      <c r="AD513" s="56" t="s">
        <v>350</v>
      </c>
      <c r="AE513" s="56"/>
      <c r="AF513" s="1">
        <v>700000</v>
      </c>
      <c r="AG513" s="5">
        <f t="shared" si="176"/>
        <v>0</v>
      </c>
      <c r="AH513" s="5"/>
    </row>
    <row r="514" spans="1:34" s="1" customFormat="1" x14ac:dyDescent="0.25">
      <c r="A514" s="49"/>
      <c r="B514" s="50" t="s">
        <v>1697</v>
      </c>
      <c r="C514" s="50" t="s">
        <v>75</v>
      </c>
      <c r="D514" s="51" t="s">
        <v>841</v>
      </c>
      <c r="E514" s="52" t="s">
        <v>842</v>
      </c>
      <c r="F514" s="52"/>
      <c r="G514" s="52" t="s">
        <v>61</v>
      </c>
      <c r="H514" s="52" t="s">
        <v>62</v>
      </c>
      <c r="I514" s="52">
        <v>2012</v>
      </c>
      <c r="J514" s="52"/>
      <c r="K514" s="52" t="s">
        <v>63</v>
      </c>
      <c r="L514" s="52" t="s">
        <v>64</v>
      </c>
      <c r="M514" s="52">
        <v>1</v>
      </c>
      <c r="N514" s="53">
        <f t="shared" si="184"/>
        <v>700000</v>
      </c>
      <c r="O514" s="53">
        <v>700000</v>
      </c>
      <c r="P514" s="52"/>
      <c r="Q514" s="52"/>
      <c r="R514" s="52"/>
      <c r="S514" s="53">
        <f t="shared" si="178"/>
        <v>700000</v>
      </c>
      <c r="T514" s="52">
        <v>5</v>
      </c>
      <c r="U514" s="53"/>
      <c r="V514" s="52">
        <v>0.5</v>
      </c>
      <c r="W514" s="53">
        <f t="shared" si="185"/>
        <v>0</v>
      </c>
      <c r="X514" s="52"/>
      <c r="Y514" s="53">
        <f t="shared" si="186"/>
        <v>0</v>
      </c>
      <c r="Z514" s="53">
        <f t="shared" si="187"/>
        <v>0</v>
      </c>
      <c r="AA514" s="169">
        <v>5</v>
      </c>
      <c r="AB514" s="53">
        <v>700000</v>
      </c>
      <c r="AC514" s="53">
        <f t="shared" si="183"/>
        <v>0</v>
      </c>
      <c r="AD514" s="56" t="s">
        <v>354</v>
      </c>
      <c r="AE514" s="56"/>
      <c r="AF514" s="1">
        <v>700000</v>
      </c>
      <c r="AG514" s="5">
        <f t="shared" si="176"/>
        <v>0</v>
      </c>
      <c r="AH514" s="5"/>
    </row>
    <row r="515" spans="1:34" s="1" customFormat="1" x14ac:dyDescent="0.25">
      <c r="A515" s="49"/>
      <c r="B515" s="50" t="s">
        <v>1697</v>
      </c>
      <c r="C515" s="50" t="s">
        <v>79</v>
      </c>
      <c r="D515" s="51" t="s">
        <v>841</v>
      </c>
      <c r="E515" s="52" t="s">
        <v>843</v>
      </c>
      <c r="F515" s="52"/>
      <c r="G515" s="52" t="s">
        <v>61</v>
      </c>
      <c r="H515" s="52" t="s">
        <v>62</v>
      </c>
      <c r="I515" s="52">
        <v>2012</v>
      </c>
      <c r="J515" s="52"/>
      <c r="K515" s="52" t="s">
        <v>63</v>
      </c>
      <c r="L515" s="52" t="s">
        <v>64</v>
      </c>
      <c r="M515" s="52">
        <v>1</v>
      </c>
      <c r="N515" s="53">
        <f t="shared" si="184"/>
        <v>1845000</v>
      </c>
      <c r="O515" s="53">
        <v>1845000</v>
      </c>
      <c r="P515" s="52"/>
      <c r="Q515" s="52"/>
      <c r="R515" s="52"/>
      <c r="S515" s="53">
        <f t="shared" si="178"/>
        <v>1845000</v>
      </c>
      <c r="T515" s="52">
        <v>5</v>
      </c>
      <c r="U515" s="53"/>
      <c r="V515" s="52">
        <v>0.5</v>
      </c>
      <c r="W515" s="53">
        <f t="shared" si="185"/>
        <v>0</v>
      </c>
      <c r="X515" s="52"/>
      <c r="Y515" s="53">
        <f t="shared" si="186"/>
        <v>0</v>
      </c>
      <c r="Z515" s="53">
        <f t="shared" si="187"/>
        <v>0</v>
      </c>
      <c r="AA515" s="169">
        <v>5</v>
      </c>
      <c r="AB515" s="53">
        <v>1845000</v>
      </c>
      <c r="AC515" s="53">
        <f t="shared" si="183"/>
        <v>0</v>
      </c>
      <c r="AD515" s="56" t="s">
        <v>350</v>
      </c>
      <c r="AE515" s="56"/>
      <c r="AF515" s="1">
        <v>1845000</v>
      </c>
      <c r="AG515" s="5">
        <f t="shared" si="176"/>
        <v>0</v>
      </c>
      <c r="AH515" s="5"/>
    </row>
    <row r="516" spans="1:34" s="1" customFormat="1" x14ac:dyDescent="0.25">
      <c r="A516" s="49"/>
      <c r="B516" s="50" t="s">
        <v>1697</v>
      </c>
      <c r="C516" s="50" t="s">
        <v>84</v>
      </c>
      <c r="D516" s="51" t="s">
        <v>841</v>
      </c>
      <c r="E516" s="52" t="s">
        <v>843</v>
      </c>
      <c r="F516" s="52"/>
      <c r="G516" s="52" t="s">
        <v>61</v>
      </c>
      <c r="H516" s="52" t="s">
        <v>62</v>
      </c>
      <c r="I516" s="52">
        <v>2012</v>
      </c>
      <c r="J516" s="52"/>
      <c r="K516" s="52" t="s">
        <v>63</v>
      </c>
      <c r="L516" s="52" t="s">
        <v>64</v>
      </c>
      <c r="M516" s="52">
        <v>1</v>
      </c>
      <c r="N516" s="53">
        <f t="shared" si="184"/>
        <v>1845000</v>
      </c>
      <c r="O516" s="53">
        <v>1845000</v>
      </c>
      <c r="P516" s="52"/>
      <c r="Q516" s="52"/>
      <c r="R516" s="52"/>
      <c r="S516" s="53">
        <f t="shared" si="178"/>
        <v>1845000</v>
      </c>
      <c r="T516" s="52">
        <v>5</v>
      </c>
      <c r="U516" s="53"/>
      <c r="V516" s="52">
        <v>0.5</v>
      </c>
      <c r="W516" s="53">
        <f t="shared" si="185"/>
        <v>0</v>
      </c>
      <c r="X516" s="52"/>
      <c r="Y516" s="53">
        <f t="shared" si="186"/>
        <v>0</v>
      </c>
      <c r="Z516" s="53">
        <f t="shared" si="187"/>
        <v>0</v>
      </c>
      <c r="AA516" s="169">
        <v>5</v>
      </c>
      <c r="AB516" s="53">
        <v>1845000</v>
      </c>
      <c r="AC516" s="53">
        <f t="shared" si="183"/>
        <v>0</v>
      </c>
      <c r="AD516" s="56" t="s">
        <v>354</v>
      </c>
      <c r="AE516" s="56"/>
      <c r="AF516" s="1">
        <v>1845000</v>
      </c>
      <c r="AG516" s="5">
        <f t="shared" si="176"/>
        <v>0</v>
      </c>
      <c r="AH516" s="5"/>
    </row>
    <row r="517" spans="1:34" s="1" customFormat="1" x14ac:dyDescent="0.25">
      <c r="A517" s="49"/>
      <c r="B517" s="50" t="s">
        <v>1697</v>
      </c>
      <c r="C517" s="50" t="s">
        <v>88</v>
      </c>
      <c r="D517" s="51" t="s">
        <v>841</v>
      </c>
      <c r="E517" s="52" t="s">
        <v>844</v>
      </c>
      <c r="F517" s="52"/>
      <c r="G517" s="52" t="s">
        <v>61</v>
      </c>
      <c r="H517" s="52" t="s">
        <v>62</v>
      </c>
      <c r="I517" s="52">
        <v>2014</v>
      </c>
      <c r="J517" s="52"/>
      <c r="K517" s="52" t="s">
        <v>63</v>
      </c>
      <c r="L517" s="52" t="s">
        <v>64</v>
      </c>
      <c r="M517" s="52">
        <v>1</v>
      </c>
      <c r="N517" s="53">
        <f t="shared" si="184"/>
        <v>3630000</v>
      </c>
      <c r="O517" s="53">
        <v>3630000</v>
      </c>
      <c r="P517" s="52"/>
      <c r="Q517" s="52"/>
      <c r="R517" s="52"/>
      <c r="S517" s="53">
        <f t="shared" si="178"/>
        <v>3630000</v>
      </c>
      <c r="T517" s="52">
        <v>5</v>
      </c>
      <c r="U517" s="53"/>
      <c r="V517" s="52">
        <v>0.5</v>
      </c>
      <c r="W517" s="53">
        <f t="shared" si="185"/>
        <v>0</v>
      </c>
      <c r="X517" s="52"/>
      <c r="Y517" s="53">
        <f t="shared" si="186"/>
        <v>0</v>
      </c>
      <c r="Z517" s="53">
        <f t="shared" si="187"/>
        <v>0</v>
      </c>
      <c r="AA517" s="169">
        <v>5</v>
      </c>
      <c r="AB517" s="53">
        <v>3630000</v>
      </c>
      <c r="AC517" s="53">
        <f t="shared" si="183"/>
        <v>0</v>
      </c>
      <c r="AD517" s="56" t="s">
        <v>845</v>
      </c>
      <c r="AE517" s="56"/>
      <c r="AF517" s="1">
        <v>3630000</v>
      </c>
      <c r="AG517" s="5">
        <f t="shared" si="176"/>
        <v>0</v>
      </c>
      <c r="AH517" s="5"/>
    </row>
    <row r="518" spans="1:34" s="1" customFormat="1" x14ac:dyDescent="0.25">
      <c r="A518" s="49"/>
      <c r="B518" s="50" t="s">
        <v>1697</v>
      </c>
      <c r="C518" s="50" t="s">
        <v>92</v>
      </c>
      <c r="D518" s="51" t="s">
        <v>841</v>
      </c>
      <c r="E518" s="52" t="s">
        <v>846</v>
      </c>
      <c r="F518" s="52"/>
      <c r="G518" s="52" t="s">
        <v>61</v>
      </c>
      <c r="H518" s="52" t="s">
        <v>62</v>
      </c>
      <c r="I518" s="52">
        <v>2014</v>
      </c>
      <c r="J518" s="52"/>
      <c r="K518" s="52" t="s">
        <v>63</v>
      </c>
      <c r="L518" s="52" t="s">
        <v>64</v>
      </c>
      <c r="M518" s="52">
        <v>2</v>
      </c>
      <c r="N518" s="53">
        <f t="shared" si="184"/>
        <v>893750</v>
      </c>
      <c r="O518" s="53">
        <v>1787500</v>
      </c>
      <c r="P518" s="52"/>
      <c r="Q518" s="52"/>
      <c r="R518" s="52"/>
      <c r="S518" s="53">
        <f t="shared" si="178"/>
        <v>1787500</v>
      </c>
      <c r="T518" s="52">
        <v>5</v>
      </c>
      <c r="U518" s="53"/>
      <c r="V518" s="52">
        <v>0.5</v>
      </c>
      <c r="W518" s="53">
        <f t="shared" si="185"/>
        <v>0</v>
      </c>
      <c r="X518" s="52"/>
      <c r="Y518" s="53">
        <f t="shared" si="186"/>
        <v>0</v>
      </c>
      <c r="Z518" s="53">
        <f t="shared" si="187"/>
        <v>0</v>
      </c>
      <c r="AA518" s="169">
        <v>5</v>
      </c>
      <c r="AB518" s="53">
        <v>1787500</v>
      </c>
      <c r="AC518" s="53">
        <f t="shared" si="183"/>
        <v>0</v>
      </c>
      <c r="AD518" s="56" t="s">
        <v>845</v>
      </c>
      <c r="AE518" s="56"/>
      <c r="AF518" s="1">
        <v>1787500</v>
      </c>
      <c r="AG518" s="5">
        <f t="shared" si="176"/>
        <v>0</v>
      </c>
      <c r="AH518" s="5"/>
    </row>
    <row r="519" spans="1:34" s="1" customFormat="1" x14ac:dyDescent="0.25">
      <c r="A519" s="49"/>
      <c r="B519" s="50" t="s">
        <v>1697</v>
      </c>
      <c r="C519" s="50" t="s">
        <v>847</v>
      </c>
      <c r="D519" s="51" t="s">
        <v>848</v>
      </c>
      <c r="E519" s="52" t="s">
        <v>849</v>
      </c>
      <c r="F519" s="52"/>
      <c r="G519" s="52" t="s">
        <v>61</v>
      </c>
      <c r="H519" s="52" t="s">
        <v>62</v>
      </c>
      <c r="I519" s="52">
        <v>2016</v>
      </c>
      <c r="J519" s="52"/>
      <c r="K519" s="52" t="s">
        <v>63</v>
      </c>
      <c r="L519" s="52" t="s">
        <v>64</v>
      </c>
      <c r="M519" s="52">
        <v>2</v>
      </c>
      <c r="N519" s="53">
        <f t="shared" si="184"/>
        <v>6975000</v>
      </c>
      <c r="O519" s="53">
        <v>13950000</v>
      </c>
      <c r="P519" s="52"/>
      <c r="Q519" s="52"/>
      <c r="R519" s="52"/>
      <c r="S519" s="53">
        <f t="shared" si="178"/>
        <v>13950000</v>
      </c>
      <c r="T519" s="52">
        <v>5</v>
      </c>
      <c r="U519" s="53">
        <f>SUM(S519/T519)</f>
        <v>2790000</v>
      </c>
      <c r="V519" s="52"/>
      <c r="W519" s="53"/>
      <c r="X519" s="52"/>
      <c r="Y519" s="53">
        <f t="shared" si="186"/>
        <v>0</v>
      </c>
      <c r="Z519" s="53">
        <f t="shared" si="187"/>
        <v>0</v>
      </c>
      <c r="AA519" s="169">
        <v>5</v>
      </c>
      <c r="AB519" s="53">
        <f>SUM(U519*AA519)</f>
        <v>13950000</v>
      </c>
      <c r="AC519" s="53">
        <f t="shared" si="183"/>
        <v>0</v>
      </c>
      <c r="AD519" s="56" t="s">
        <v>434</v>
      </c>
      <c r="AE519" s="56"/>
      <c r="AF519" s="1">
        <v>13950000</v>
      </c>
      <c r="AG519" s="5">
        <f t="shared" si="176"/>
        <v>0</v>
      </c>
      <c r="AH519" s="5"/>
    </row>
    <row r="520" spans="1:34" s="1" customFormat="1" x14ac:dyDescent="0.25">
      <c r="A520" s="49"/>
      <c r="B520" s="50" t="s">
        <v>1697</v>
      </c>
      <c r="C520" s="50" t="s">
        <v>105</v>
      </c>
      <c r="D520" s="51" t="s">
        <v>841</v>
      </c>
      <c r="E520" s="52"/>
      <c r="F520" s="52"/>
      <c r="G520" s="52" t="s">
        <v>61</v>
      </c>
      <c r="H520" s="52" t="s">
        <v>62</v>
      </c>
      <c r="I520" s="52">
        <v>2016</v>
      </c>
      <c r="J520" s="52"/>
      <c r="K520" s="52" t="s">
        <v>63</v>
      </c>
      <c r="L520" s="52" t="s">
        <v>64</v>
      </c>
      <c r="M520" s="52">
        <v>1</v>
      </c>
      <c r="N520" s="53">
        <f t="shared" si="184"/>
        <v>9980000</v>
      </c>
      <c r="O520" s="53">
        <v>9980000</v>
      </c>
      <c r="P520" s="52"/>
      <c r="Q520" s="52"/>
      <c r="R520" s="52"/>
      <c r="S520" s="53">
        <f t="shared" si="178"/>
        <v>9980000</v>
      </c>
      <c r="T520" s="52">
        <v>5</v>
      </c>
      <c r="U520" s="53">
        <f>SUM(S520/T520)</f>
        <v>1996000</v>
      </c>
      <c r="V520" s="52"/>
      <c r="W520" s="53"/>
      <c r="X520" s="52"/>
      <c r="Y520" s="53"/>
      <c r="Z520" s="53"/>
      <c r="AA520" s="169">
        <v>5</v>
      </c>
      <c r="AB520" s="53">
        <f>SUM(U520*AA520)</f>
        <v>9980000</v>
      </c>
      <c r="AC520" s="53">
        <f t="shared" si="183"/>
        <v>0</v>
      </c>
      <c r="AD520" s="56" t="s">
        <v>850</v>
      </c>
      <c r="AE520" s="56"/>
      <c r="AF520" s="1">
        <v>9980000</v>
      </c>
      <c r="AG520" s="5">
        <f t="shared" si="176"/>
        <v>0</v>
      </c>
      <c r="AH520" s="5"/>
    </row>
    <row r="521" spans="1:34" s="1" customFormat="1" x14ac:dyDescent="0.25">
      <c r="A521" s="49"/>
      <c r="B521" s="50" t="s">
        <v>1697</v>
      </c>
      <c r="C521" s="50" t="s">
        <v>339</v>
      </c>
      <c r="D521" s="51" t="s">
        <v>848</v>
      </c>
      <c r="E521" s="52" t="s">
        <v>851</v>
      </c>
      <c r="F521" s="52"/>
      <c r="G521" s="52" t="s">
        <v>61</v>
      </c>
      <c r="H521" s="52" t="s">
        <v>62</v>
      </c>
      <c r="I521" s="52">
        <v>2018</v>
      </c>
      <c r="J521" s="52"/>
      <c r="K521" s="52" t="s">
        <v>63</v>
      </c>
      <c r="L521" s="52" t="s">
        <v>64</v>
      </c>
      <c r="M521" s="52">
        <v>2</v>
      </c>
      <c r="N521" s="53">
        <f t="shared" si="184"/>
        <v>8494200</v>
      </c>
      <c r="O521" s="53">
        <v>16988400</v>
      </c>
      <c r="P521" s="52"/>
      <c r="Q521" s="52"/>
      <c r="R521" s="52"/>
      <c r="S521" s="53">
        <f t="shared" si="178"/>
        <v>16988400</v>
      </c>
      <c r="T521" s="52">
        <v>5</v>
      </c>
      <c r="U521" s="53">
        <f>SUM(S521/T521)</f>
        <v>3397680</v>
      </c>
      <c r="V521" s="52">
        <v>0.5</v>
      </c>
      <c r="W521" s="53">
        <f>SUM(U521*V521)</f>
        <v>1698840</v>
      </c>
      <c r="X521" s="52">
        <v>0.5</v>
      </c>
      <c r="Y521" s="53">
        <f>SUM(U521*X521)-1132560</f>
        <v>566280</v>
      </c>
      <c r="Z521" s="53">
        <f t="shared" si="187"/>
        <v>2265120</v>
      </c>
      <c r="AA521" s="57">
        <v>5</v>
      </c>
      <c r="AB521" s="53">
        <f>SUM(U521*AA521)</f>
        <v>16988400</v>
      </c>
      <c r="AC521" s="53">
        <f t="shared" si="183"/>
        <v>0</v>
      </c>
      <c r="AD521" s="56"/>
      <c r="AE521" s="56"/>
      <c r="AF521" s="1">
        <v>14723279.999999998</v>
      </c>
      <c r="AG521" s="5">
        <f t="shared" si="176"/>
        <v>0</v>
      </c>
      <c r="AH521" s="5"/>
    </row>
    <row r="522" spans="1:34" s="1" customFormat="1" x14ac:dyDescent="0.25">
      <c r="A522" s="49"/>
      <c r="B522" s="50" t="s">
        <v>1697</v>
      </c>
      <c r="C522" s="50" t="s">
        <v>138</v>
      </c>
      <c r="D522" s="51" t="s">
        <v>852</v>
      </c>
      <c r="E522" s="52" t="s">
        <v>853</v>
      </c>
      <c r="F522" s="52"/>
      <c r="G522" s="52" t="s">
        <v>61</v>
      </c>
      <c r="H522" s="52" t="s">
        <v>62</v>
      </c>
      <c r="I522" s="52">
        <v>2019</v>
      </c>
      <c r="J522" s="52"/>
      <c r="K522" s="52" t="s">
        <v>63</v>
      </c>
      <c r="L522" s="52" t="s">
        <v>64</v>
      </c>
      <c r="M522" s="52">
        <v>2</v>
      </c>
      <c r="N522" s="53">
        <v>16830000</v>
      </c>
      <c r="O522" s="53">
        <v>16830000</v>
      </c>
      <c r="P522" s="52"/>
      <c r="Q522" s="52"/>
      <c r="R522" s="52"/>
      <c r="S522" s="53">
        <f t="shared" si="178"/>
        <v>16830000</v>
      </c>
      <c r="T522" s="52">
        <v>5</v>
      </c>
      <c r="U522" s="53">
        <f>SUM(S522/T522)</f>
        <v>3366000</v>
      </c>
      <c r="V522" s="52">
        <v>0.5</v>
      </c>
      <c r="W522" s="53">
        <f t="shared" si="185"/>
        <v>1683000</v>
      </c>
      <c r="X522" s="52">
        <v>0.5</v>
      </c>
      <c r="Y522" s="53">
        <f t="shared" si="186"/>
        <v>1683000</v>
      </c>
      <c r="Z522" s="53">
        <f t="shared" si="187"/>
        <v>3366000</v>
      </c>
      <c r="AA522" s="57">
        <f>2023-I522+V522+X522-7/12</f>
        <v>4.416666666666667</v>
      </c>
      <c r="AB522" s="53">
        <f>SUM(U522*AA522)</f>
        <v>14866500.000000002</v>
      </c>
      <c r="AC522" s="53">
        <f t="shared" si="183"/>
        <v>1963499.9999999981</v>
      </c>
      <c r="AD522" s="56"/>
      <c r="AE522" s="56"/>
      <c r="AF522" s="1">
        <v>11500500</v>
      </c>
      <c r="AG522" s="5">
        <f t="shared" si="176"/>
        <v>0</v>
      </c>
      <c r="AH522" s="5"/>
    </row>
    <row r="523" spans="1:34" s="1" customFormat="1" x14ac:dyDescent="0.25">
      <c r="A523" s="49"/>
      <c r="B523" s="50" t="s">
        <v>1697</v>
      </c>
      <c r="C523" s="50" t="s">
        <v>140</v>
      </c>
      <c r="D523" s="51" t="s">
        <v>848</v>
      </c>
      <c r="E523" s="52"/>
      <c r="F523" s="52"/>
      <c r="G523" s="52" t="s">
        <v>61</v>
      </c>
      <c r="H523" s="52" t="s">
        <v>62</v>
      </c>
      <c r="I523" s="52">
        <v>2020</v>
      </c>
      <c r="J523" s="52"/>
      <c r="K523" s="52" t="s">
        <v>63</v>
      </c>
      <c r="L523" s="52" t="s">
        <v>64</v>
      </c>
      <c r="M523" s="52">
        <v>1</v>
      </c>
      <c r="N523" s="53">
        <f t="shared" si="184"/>
        <v>10000000</v>
      </c>
      <c r="O523" s="53">
        <v>10000000</v>
      </c>
      <c r="P523" s="52"/>
      <c r="Q523" s="52"/>
      <c r="R523" s="52"/>
      <c r="S523" s="53">
        <f t="shared" si="178"/>
        <v>10000000</v>
      </c>
      <c r="T523" s="52">
        <v>5</v>
      </c>
      <c r="U523" s="53">
        <f>SUM(S523/T523)</f>
        <v>2000000</v>
      </c>
      <c r="V523" s="52">
        <v>0.5</v>
      </c>
      <c r="W523" s="53">
        <f t="shared" si="185"/>
        <v>1000000</v>
      </c>
      <c r="X523" s="52">
        <v>0.5</v>
      </c>
      <c r="Y523" s="53">
        <f t="shared" si="186"/>
        <v>1000000</v>
      </c>
      <c r="Z523" s="53">
        <f t="shared" si="187"/>
        <v>2000000</v>
      </c>
      <c r="AA523" s="57">
        <f>2023-I523+V523+X523-11/12</f>
        <v>3.0833333333333335</v>
      </c>
      <c r="AB523" s="53">
        <f>SUM(U523*AA523)</f>
        <v>6166666.666666667</v>
      </c>
      <c r="AC523" s="53">
        <f t="shared" si="183"/>
        <v>3833333.333333333</v>
      </c>
      <c r="AD523" s="56" t="s">
        <v>854</v>
      </c>
      <c r="AE523" s="56"/>
      <c r="AF523" s="1">
        <v>4166666.666666667</v>
      </c>
      <c r="AG523" s="5">
        <f t="shared" si="176"/>
        <v>0</v>
      </c>
      <c r="AH523" s="5"/>
    </row>
    <row r="524" spans="1:34" s="1" customFormat="1" x14ac:dyDescent="0.25">
      <c r="A524" s="49"/>
      <c r="B524" s="50"/>
      <c r="C524" s="50"/>
      <c r="D524" s="51"/>
      <c r="E524" s="52"/>
      <c r="F524" s="52"/>
      <c r="G524" s="52"/>
      <c r="H524" s="52"/>
      <c r="I524" s="52"/>
      <c r="J524" s="52"/>
      <c r="K524" s="52"/>
      <c r="L524" s="52"/>
      <c r="M524" s="52"/>
      <c r="N524" s="53"/>
      <c r="O524" s="53"/>
      <c r="P524" s="52"/>
      <c r="Q524" s="52"/>
      <c r="R524" s="52"/>
      <c r="S524" s="53"/>
      <c r="T524" s="52"/>
      <c r="U524" s="53"/>
      <c r="V524" s="52"/>
      <c r="W524" s="53"/>
      <c r="X524" s="52"/>
      <c r="Y524" s="53"/>
      <c r="Z524" s="53"/>
      <c r="AA524" s="169"/>
      <c r="AB524" s="53"/>
      <c r="AC524" s="53"/>
      <c r="AD524" s="56"/>
      <c r="AE524" s="56"/>
      <c r="AF524" s="1">
        <v>1923316648.7500007</v>
      </c>
      <c r="AG524" s="5">
        <f>SUM(AF524+Y525-AB525)</f>
        <v>3.3334016799926758E-2</v>
      </c>
      <c r="AH524" s="5"/>
    </row>
    <row r="525" spans="1:34" s="1" customFormat="1" x14ac:dyDescent="0.25">
      <c r="A525" s="25"/>
      <c r="B525" s="26" t="s">
        <v>1698</v>
      </c>
      <c r="C525" s="174"/>
      <c r="D525" s="26" t="s">
        <v>1699</v>
      </c>
      <c r="E525" s="28"/>
      <c r="F525" s="28"/>
      <c r="G525" s="28"/>
      <c r="H525" s="28"/>
      <c r="I525" s="28"/>
      <c r="J525" s="28"/>
      <c r="K525" s="28"/>
      <c r="L525" s="28"/>
      <c r="M525" s="67">
        <f>SUM(M526:M702)</f>
        <v>1676</v>
      </c>
      <c r="N525" s="40"/>
      <c r="O525" s="40">
        <f>SUM(O526:O702)</f>
        <v>1999571263</v>
      </c>
      <c r="P525" s="28"/>
      <c r="Q525" s="28"/>
      <c r="R525" s="28"/>
      <c r="S525" s="40">
        <f>SUM(S526:S702)</f>
        <v>1999571263</v>
      </c>
      <c r="T525" s="28"/>
      <c r="U525" s="40">
        <f>SUM(U526:U702)</f>
        <v>111859042.59999999</v>
      </c>
      <c r="V525" s="28"/>
      <c r="W525" s="40">
        <f>SUM(W526:W702)</f>
        <v>22197790.5</v>
      </c>
      <c r="X525" s="28"/>
      <c r="Y525" s="40">
        <f>SUM(Y526:Y702)</f>
        <v>16777357.199999999</v>
      </c>
      <c r="Z525" s="40">
        <f>SUM(Z526:Z702)</f>
        <v>38975147.700000018</v>
      </c>
      <c r="AA525" s="153"/>
      <c r="AB525" s="40">
        <f>SUM(AB526:AB702)</f>
        <v>1940094005.9166667</v>
      </c>
      <c r="AC525" s="40">
        <f>SUM(AC526:AC702)</f>
        <v>59477257.083333328</v>
      </c>
      <c r="AD525" s="167"/>
      <c r="AE525" s="167"/>
      <c r="AF525" s="1">
        <v>1901118858.2500007</v>
      </c>
      <c r="AG525" s="5">
        <f>AF525+Z525-AB525</f>
        <v>3.3334016799926758E-2</v>
      </c>
      <c r="AH525" s="5"/>
    </row>
    <row r="526" spans="1:34" s="1" customFormat="1" x14ac:dyDescent="0.25">
      <c r="A526" s="49">
        <v>1</v>
      </c>
      <c r="B526" s="50" t="s">
        <v>1700</v>
      </c>
      <c r="C526" s="50" t="s">
        <v>108</v>
      </c>
      <c r="D526" s="51" t="s">
        <v>1008</v>
      </c>
      <c r="E526" s="52" t="s">
        <v>1009</v>
      </c>
      <c r="F526" s="52"/>
      <c r="G526" s="52" t="s">
        <v>194</v>
      </c>
      <c r="H526" s="52" t="s">
        <v>62</v>
      </c>
      <c r="I526" s="52">
        <v>2011</v>
      </c>
      <c r="J526" s="52"/>
      <c r="K526" s="52" t="s">
        <v>63</v>
      </c>
      <c r="L526" s="52" t="s">
        <v>64</v>
      </c>
      <c r="M526" s="52">
        <v>1</v>
      </c>
      <c r="N526" s="53">
        <f t="shared" ref="N526:N559" si="188">SUM(O526/M526)</f>
        <v>9950000</v>
      </c>
      <c r="O526" s="53">
        <v>9950000</v>
      </c>
      <c r="P526" s="52"/>
      <c r="Q526" s="52"/>
      <c r="R526" s="52"/>
      <c r="S526" s="53">
        <f t="shared" ref="S526:S589" si="189">SUM(O526-R526)</f>
        <v>9950000</v>
      </c>
      <c r="T526" s="52">
        <v>5</v>
      </c>
      <c r="U526" s="53"/>
      <c r="V526" s="52">
        <v>0.5</v>
      </c>
      <c r="W526" s="53">
        <f t="shared" ref="W526:W539" si="190">SUM(U526*V526)</f>
        <v>0</v>
      </c>
      <c r="X526" s="24"/>
      <c r="Y526" s="41">
        <f t="shared" ref="Y526:Y539" si="191">SUM(U526*X526)</f>
        <v>0</v>
      </c>
      <c r="Z526" s="41">
        <f t="shared" ref="Z526:Z539" si="192">SUM(W526+Y526)</f>
        <v>0</v>
      </c>
      <c r="AA526" s="24">
        <v>5</v>
      </c>
      <c r="AB526" s="41">
        <v>9950000</v>
      </c>
      <c r="AC526" s="41">
        <f t="shared" ref="AC526:AC589" si="193">SUM(O526-AB526)</f>
        <v>0</v>
      </c>
      <c r="AD526" s="70" t="s">
        <v>352</v>
      </c>
      <c r="AE526" s="70"/>
      <c r="AF526" s="1">
        <v>9950000</v>
      </c>
      <c r="AG526" s="5">
        <f t="shared" si="176"/>
        <v>0</v>
      </c>
      <c r="AH526" s="5"/>
    </row>
    <row r="527" spans="1:34" s="1" customFormat="1" x14ac:dyDescent="0.25">
      <c r="A527" s="49">
        <v>2</v>
      </c>
      <c r="B527" s="50" t="s">
        <v>1700</v>
      </c>
      <c r="C527" s="50" t="s">
        <v>1010</v>
      </c>
      <c r="D527" s="51" t="s">
        <v>1008</v>
      </c>
      <c r="E527" s="52" t="s">
        <v>1011</v>
      </c>
      <c r="F527" s="52"/>
      <c r="G527" s="52" t="s">
        <v>194</v>
      </c>
      <c r="H527" s="52" t="s">
        <v>62</v>
      </c>
      <c r="I527" s="52">
        <v>2012</v>
      </c>
      <c r="J527" s="52"/>
      <c r="K527" s="52" t="s">
        <v>63</v>
      </c>
      <c r="L527" s="52" t="s">
        <v>64</v>
      </c>
      <c r="M527" s="52">
        <v>20</v>
      </c>
      <c r="N527" s="53">
        <f t="shared" si="188"/>
        <v>3740000</v>
      </c>
      <c r="O527" s="53">
        <v>74800000</v>
      </c>
      <c r="P527" s="52"/>
      <c r="Q527" s="52"/>
      <c r="R527" s="52"/>
      <c r="S527" s="53">
        <f t="shared" si="189"/>
        <v>74800000</v>
      </c>
      <c r="T527" s="52">
        <v>5</v>
      </c>
      <c r="U527" s="53"/>
      <c r="V527" s="52">
        <v>0.5</v>
      </c>
      <c r="W527" s="53">
        <f t="shared" si="190"/>
        <v>0</v>
      </c>
      <c r="X527" s="24"/>
      <c r="Y527" s="41">
        <f t="shared" si="191"/>
        <v>0</v>
      </c>
      <c r="Z527" s="41">
        <f t="shared" si="192"/>
        <v>0</v>
      </c>
      <c r="AA527" s="24">
        <v>5</v>
      </c>
      <c r="AB527" s="41">
        <v>74800000</v>
      </c>
      <c r="AC527" s="41">
        <f t="shared" si="193"/>
        <v>0</v>
      </c>
      <c r="AD527" s="70" t="s">
        <v>1012</v>
      </c>
      <c r="AE527" s="70"/>
      <c r="AF527" s="1">
        <v>74800000</v>
      </c>
      <c r="AG527" s="5">
        <f t="shared" si="176"/>
        <v>0</v>
      </c>
      <c r="AH527" s="5"/>
    </row>
    <row r="528" spans="1:34" s="1" customFormat="1" x14ac:dyDescent="0.25">
      <c r="A528" s="49">
        <v>3</v>
      </c>
      <c r="B528" s="50" t="s">
        <v>1700</v>
      </c>
      <c r="C528" s="50" t="s">
        <v>312</v>
      </c>
      <c r="D528" s="51" t="s">
        <v>1008</v>
      </c>
      <c r="E528" s="52" t="s">
        <v>1013</v>
      </c>
      <c r="F528" s="52"/>
      <c r="G528" s="52" t="s">
        <v>194</v>
      </c>
      <c r="H528" s="52" t="s">
        <v>62</v>
      </c>
      <c r="I528" s="52">
        <v>2012</v>
      </c>
      <c r="J528" s="52"/>
      <c r="K528" s="52" t="s">
        <v>63</v>
      </c>
      <c r="L528" s="52" t="s">
        <v>64</v>
      </c>
      <c r="M528" s="52">
        <v>1</v>
      </c>
      <c r="N528" s="53">
        <f t="shared" si="188"/>
        <v>6325000</v>
      </c>
      <c r="O528" s="53">
        <v>6325000</v>
      </c>
      <c r="P528" s="52"/>
      <c r="Q528" s="52"/>
      <c r="R528" s="52"/>
      <c r="S528" s="53">
        <f t="shared" si="189"/>
        <v>6325000</v>
      </c>
      <c r="T528" s="52">
        <v>5</v>
      </c>
      <c r="U528" s="53"/>
      <c r="V528" s="52">
        <v>0.5</v>
      </c>
      <c r="W528" s="53">
        <f t="shared" si="190"/>
        <v>0</v>
      </c>
      <c r="X528" s="24"/>
      <c r="Y528" s="41">
        <f t="shared" si="191"/>
        <v>0</v>
      </c>
      <c r="Z528" s="41">
        <f t="shared" si="192"/>
        <v>0</v>
      </c>
      <c r="AA528" s="24">
        <v>5</v>
      </c>
      <c r="AB528" s="41">
        <v>6325000</v>
      </c>
      <c r="AC528" s="41">
        <f t="shared" si="193"/>
        <v>0</v>
      </c>
      <c r="AD528" s="70" t="s">
        <v>942</v>
      </c>
      <c r="AE528" s="70"/>
      <c r="AF528" s="1">
        <v>6325000</v>
      </c>
      <c r="AG528" s="5">
        <f t="shared" si="176"/>
        <v>0</v>
      </c>
      <c r="AH528" s="5"/>
    </row>
    <row r="529" spans="1:34" s="1" customFormat="1" x14ac:dyDescent="0.25">
      <c r="A529" s="49">
        <v>4</v>
      </c>
      <c r="B529" s="50" t="s">
        <v>1700</v>
      </c>
      <c r="C529" s="50" t="s">
        <v>313</v>
      </c>
      <c r="D529" s="51" t="s">
        <v>1008</v>
      </c>
      <c r="E529" s="52" t="s">
        <v>1013</v>
      </c>
      <c r="F529" s="52"/>
      <c r="G529" s="52" t="s">
        <v>194</v>
      </c>
      <c r="H529" s="52" t="s">
        <v>62</v>
      </c>
      <c r="I529" s="52">
        <v>2012</v>
      </c>
      <c r="J529" s="52"/>
      <c r="K529" s="52" t="s">
        <v>63</v>
      </c>
      <c r="L529" s="52" t="s">
        <v>64</v>
      </c>
      <c r="M529" s="52">
        <v>1</v>
      </c>
      <c r="N529" s="53">
        <f t="shared" si="188"/>
        <v>6325000</v>
      </c>
      <c r="O529" s="53">
        <v>6325000</v>
      </c>
      <c r="P529" s="52"/>
      <c r="Q529" s="52"/>
      <c r="R529" s="52"/>
      <c r="S529" s="53">
        <f t="shared" si="189"/>
        <v>6325000</v>
      </c>
      <c r="T529" s="52">
        <v>5</v>
      </c>
      <c r="U529" s="53"/>
      <c r="V529" s="52">
        <v>0.5</v>
      </c>
      <c r="W529" s="53">
        <f t="shared" si="190"/>
        <v>0</v>
      </c>
      <c r="X529" s="24"/>
      <c r="Y529" s="41">
        <f t="shared" si="191"/>
        <v>0</v>
      </c>
      <c r="Z529" s="41">
        <f t="shared" si="192"/>
        <v>0</v>
      </c>
      <c r="AA529" s="24">
        <v>5</v>
      </c>
      <c r="AB529" s="41">
        <v>6325000</v>
      </c>
      <c r="AC529" s="41">
        <f t="shared" si="193"/>
        <v>0</v>
      </c>
      <c r="AD529" s="70" t="s">
        <v>354</v>
      </c>
      <c r="AE529" s="70"/>
      <c r="AF529" s="1">
        <v>6325000</v>
      </c>
      <c r="AG529" s="5">
        <f t="shared" si="176"/>
        <v>0</v>
      </c>
      <c r="AH529" s="5"/>
    </row>
    <row r="530" spans="1:34" s="1" customFormat="1" x14ac:dyDescent="0.25">
      <c r="A530" s="49">
        <v>5</v>
      </c>
      <c r="B530" s="50" t="s">
        <v>1700</v>
      </c>
      <c r="C530" s="50" t="s">
        <v>559</v>
      </c>
      <c r="D530" s="51" t="s">
        <v>1008</v>
      </c>
      <c r="E530" s="52" t="s">
        <v>1013</v>
      </c>
      <c r="F530" s="52"/>
      <c r="G530" s="52" t="s">
        <v>194</v>
      </c>
      <c r="H530" s="52" t="s">
        <v>62</v>
      </c>
      <c r="I530" s="52">
        <v>2012</v>
      </c>
      <c r="J530" s="52"/>
      <c r="K530" s="52" t="s">
        <v>63</v>
      </c>
      <c r="L530" s="52" t="s">
        <v>64</v>
      </c>
      <c r="M530" s="52">
        <v>1</v>
      </c>
      <c r="N530" s="53">
        <f t="shared" si="188"/>
        <v>6325000</v>
      </c>
      <c r="O530" s="53">
        <v>6325000</v>
      </c>
      <c r="P530" s="52"/>
      <c r="Q530" s="52"/>
      <c r="R530" s="52"/>
      <c r="S530" s="53">
        <f t="shared" si="189"/>
        <v>6325000</v>
      </c>
      <c r="T530" s="52">
        <v>5</v>
      </c>
      <c r="U530" s="53"/>
      <c r="V530" s="52">
        <v>0.5</v>
      </c>
      <c r="W530" s="53">
        <f t="shared" si="190"/>
        <v>0</v>
      </c>
      <c r="X530" s="24"/>
      <c r="Y530" s="41">
        <f t="shared" si="191"/>
        <v>0</v>
      </c>
      <c r="Z530" s="41">
        <f t="shared" si="192"/>
        <v>0</v>
      </c>
      <c r="AA530" s="24">
        <v>5</v>
      </c>
      <c r="AB530" s="41">
        <v>6325000</v>
      </c>
      <c r="AC530" s="41">
        <f t="shared" si="193"/>
        <v>0</v>
      </c>
      <c r="AD530" s="70" t="s">
        <v>1014</v>
      </c>
      <c r="AE530" s="70"/>
      <c r="AF530" s="1">
        <v>6325000</v>
      </c>
      <c r="AG530" s="5">
        <f t="shared" si="176"/>
        <v>0</v>
      </c>
      <c r="AH530" s="5"/>
    </row>
    <row r="531" spans="1:34" s="1" customFormat="1" x14ac:dyDescent="0.25">
      <c r="A531" s="49">
        <v>6</v>
      </c>
      <c r="B531" s="50" t="s">
        <v>1700</v>
      </c>
      <c r="C531" s="50" t="s">
        <v>561</v>
      </c>
      <c r="D531" s="51" t="s">
        <v>1008</v>
      </c>
      <c r="E531" s="52" t="s">
        <v>1013</v>
      </c>
      <c r="F531" s="52"/>
      <c r="G531" s="52" t="s">
        <v>194</v>
      </c>
      <c r="H531" s="52" t="s">
        <v>62</v>
      </c>
      <c r="I531" s="52">
        <v>2012</v>
      </c>
      <c r="J531" s="52"/>
      <c r="K531" s="52" t="s">
        <v>63</v>
      </c>
      <c r="L531" s="52" t="s">
        <v>64</v>
      </c>
      <c r="M531" s="52">
        <v>1</v>
      </c>
      <c r="N531" s="53">
        <f t="shared" si="188"/>
        <v>6325000</v>
      </c>
      <c r="O531" s="53">
        <v>6325000</v>
      </c>
      <c r="P531" s="52"/>
      <c r="Q531" s="52"/>
      <c r="R531" s="52"/>
      <c r="S531" s="53">
        <f t="shared" si="189"/>
        <v>6325000</v>
      </c>
      <c r="T531" s="52">
        <v>5</v>
      </c>
      <c r="U531" s="53"/>
      <c r="V531" s="52">
        <v>0.5</v>
      </c>
      <c r="W531" s="53">
        <f t="shared" si="190"/>
        <v>0</v>
      </c>
      <c r="X531" s="24"/>
      <c r="Y531" s="41">
        <f t="shared" si="191"/>
        <v>0</v>
      </c>
      <c r="Z531" s="41">
        <f t="shared" si="192"/>
        <v>0</v>
      </c>
      <c r="AA531" s="24">
        <v>5</v>
      </c>
      <c r="AB531" s="41">
        <v>6325000</v>
      </c>
      <c r="AC531" s="41">
        <f t="shared" si="193"/>
        <v>0</v>
      </c>
      <c r="AD531" s="70" t="s">
        <v>1015</v>
      </c>
      <c r="AE531" s="70"/>
      <c r="AF531" s="1">
        <v>6325000</v>
      </c>
      <c r="AG531" s="5">
        <f t="shared" si="176"/>
        <v>0</v>
      </c>
      <c r="AH531" s="5"/>
    </row>
    <row r="532" spans="1:34" s="1" customFormat="1" x14ac:dyDescent="0.25">
      <c r="A532" s="49">
        <v>7</v>
      </c>
      <c r="B532" s="50" t="s">
        <v>1700</v>
      </c>
      <c r="C532" s="50" t="s">
        <v>563</v>
      </c>
      <c r="D532" s="51" t="s">
        <v>1008</v>
      </c>
      <c r="E532" s="52" t="s">
        <v>1011</v>
      </c>
      <c r="F532" s="52"/>
      <c r="G532" s="52" t="s">
        <v>194</v>
      </c>
      <c r="H532" s="52" t="s">
        <v>62</v>
      </c>
      <c r="I532" s="52">
        <v>2012</v>
      </c>
      <c r="J532" s="52"/>
      <c r="K532" s="52" t="s">
        <v>63</v>
      </c>
      <c r="L532" s="52" t="s">
        <v>64</v>
      </c>
      <c r="M532" s="52">
        <v>1</v>
      </c>
      <c r="N532" s="53">
        <f t="shared" si="188"/>
        <v>3465000</v>
      </c>
      <c r="O532" s="53">
        <v>3465000</v>
      </c>
      <c r="P532" s="52"/>
      <c r="Q532" s="52"/>
      <c r="R532" s="52"/>
      <c r="S532" s="53">
        <f t="shared" si="189"/>
        <v>3465000</v>
      </c>
      <c r="T532" s="52">
        <v>5</v>
      </c>
      <c r="U532" s="53"/>
      <c r="V532" s="52">
        <v>0.5</v>
      </c>
      <c r="W532" s="53">
        <f t="shared" si="190"/>
        <v>0</v>
      </c>
      <c r="X532" s="24"/>
      <c r="Y532" s="41">
        <f t="shared" si="191"/>
        <v>0</v>
      </c>
      <c r="Z532" s="41">
        <f t="shared" si="192"/>
        <v>0</v>
      </c>
      <c r="AA532" s="24">
        <v>5</v>
      </c>
      <c r="AB532" s="41">
        <v>3465000</v>
      </c>
      <c r="AC532" s="41">
        <f t="shared" si="193"/>
        <v>0</v>
      </c>
      <c r="AD532" s="70" t="s">
        <v>348</v>
      </c>
      <c r="AE532" s="70"/>
      <c r="AF532" s="1">
        <v>3465000</v>
      </c>
      <c r="AG532" s="5">
        <f t="shared" si="176"/>
        <v>0</v>
      </c>
      <c r="AH532" s="5"/>
    </row>
    <row r="533" spans="1:34" s="1" customFormat="1" x14ac:dyDescent="0.25">
      <c r="A533" s="49">
        <v>8</v>
      </c>
      <c r="B533" s="50" t="s">
        <v>1700</v>
      </c>
      <c r="C533" s="50" t="s">
        <v>1016</v>
      </c>
      <c r="D533" s="51" t="s">
        <v>1008</v>
      </c>
      <c r="E533" s="52" t="s">
        <v>1011</v>
      </c>
      <c r="F533" s="52"/>
      <c r="G533" s="52" t="s">
        <v>194</v>
      </c>
      <c r="H533" s="52" t="s">
        <v>62</v>
      </c>
      <c r="I533" s="52">
        <v>2012</v>
      </c>
      <c r="J533" s="52"/>
      <c r="K533" s="52" t="s">
        <v>63</v>
      </c>
      <c r="L533" s="52" t="s">
        <v>64</v>
      </c>
      <c r="M533" s="52">
        <v>14</v>
      </c>
      <c r="N533" s="53">
        <f t="shared" si="188"/>
        <v>3465000</v>
      </c>
      <c r="O533" s="53">
        <v>48510000</v>
      </c>
      <c r="P533" s="52"/>
      <c r="Q533" s="52"/>
      <c r="R533" s="52"/>
      <c r="S533" s="53">
        <f t="shared" si="189"/>
        <v>48510000</v>
      </c>
      <c r="T533" s="52">
        <v>5</v>
      </c>
      <c r="U533" s="53"/>
      <c r="V533" s="52">
        <v>0.5</v>
      </c>
      <c r="W533" s="53">
        <f t="shared" si="190"/>
        <v>0</v>
      </c>
      <c r="X533" s="24"/>
      <c r="Y533" s="41">
        <f t="shared" si="191"/>
        <v>0</v>
      </c>
      <c r="Z533" s="41">
        <f t="shared" si="192"/>
        <v>0</v>
      </c>
      <c r="AA533" s="24">
        <v>5</v>
      </c>
      <c r="AB533" s="41">
        <v>48510000</v>
      </c>
      <c r="AC533" s="41">
        <f t="shared" si="193"/>
        <v>0</v>
      </c>
      <c r="AD533" s="70" t="s">
        <v>942</v>
      </c>
      <c r="AE533" s="70"/>
      <c r="AF533" s="1">
        <v>48510000</v>
      </c>
      <c r="AG533" s="5">
        <f t="shared" si="176"/>
        <v>0</v>
      </c>
      <c r="AH533" s="5"/>
    </row>
    <row r="534" spans="1:34" s="1" customFormat="1" x14ac:dyDescent="0.25">
      <c r="A534" s="49">
        <v>9</v>
      </c>
      <c r="B534" s="50" t="s">
        <v>1700</v>
      </c>
      <c r="C534" s="50" t="s">
        <v>1017</v>
      </c>
      <c r="D534" s="51" t="s">
        <v>1008</v>
      </c>
      <c r="E534" s="52" t="s">
        <v>1011</v>
      </c>
      <c r="F534" s="52"/>
      <c r="G534" s="52" t="s">
        <v>194</v>
      </c>
      <c r="H534" s="52" t="s">
        <v>62</v>
      </c>
      <c r="I534" s="52">
        <v>2012</v>
      </c>
      <c r="J534" s="52"/>
      <c r="K534" s="52" t="s">
        <v>63</v>
      </c>
      <c r="L534" s="52" t="s">
        <v>64</v>
      </c>
      <c r="M534" s="52">
        <v>18</v>
      </c>
      <c r="N534" s="53">
        <f t="shared" si="188"/>
        <v>3465000</v>
      </c>
      <c r="O534" s="53">
        <v>62370000</v>
      </c>
      <c r="P534" s="52"/>
      <c r="Q534" s="52"/>
      <c r="R534" s="52"/>
      <c r="S534" s="53">
        <f t="shared" si="189"/>
        <v>62370000</v>
      </c>
      <c r="T534" s="52">
        <v>5</v>
      </c>
      <c r="U534" s="53"/>
      <c r="V534" s="52">
        <v>0.5</v>
      </c>
      <c r="W534" s="53">
        <f t="shared" si="190"/>
        <v>0</v>
      </c>
      <c r="X534" s="24"/>
      <c r="Y534" s="41">
        <f t="shared" si="191"/>
        <v>0</v>
      </c>
      <c r="Z534" s="41">
        <f t="shared" si="192"/>
        <v>0</v>
      </c>
      <c r="AA534" s="24">
        <v>5</v>
      </c>
      <c r="AB534" s="41">
        <v>62370000</v>
      </c>
      <c r="AC534" s="41">
        <f t="shared" si="193"/>
        <v>0</v>
      </c>
      <c r="AD534" s="70" t="s">
        <v>354</v>
      </c>
      <c r="AE534" s="70"/>
      <c r="AF534" s="1">
        <v>62370000</v>
      </c>
      <c r="AG534" s="5">
        <f t="shared" si="176"/>
        <v>0</v>
      </c>
      <c r="AH534" s="5"/>
    </row>
    <row r="535" spans="1:34" s="1" customFormat="1" x14ac:dyDescent="0.25">
      <c r="A535" s="49">
        <v>10</v>
      </c>
      <c r="B535" s="50" t="s">
        <v>1700</v>
      </c>
      <c r="C535" s="50" t="s">
        <v>411</v>
      </c>
      <c r="D535" s="51" t="s">
        <v>1008</v>
      </c>
      <c r="E535" s="52" t="s">
        <v>1011</v>
      </c>
      <c r="F535" s="52"/>
      <c r="G535" s="52" t="s">
        <v>194</v>
      </c>
      <c r="H535" s="52" t="s">
        <v>62</v>
      </c>
      <c r="I535" s="52">
        <v>2012</v>
      </c>
      <c r="J535" s="52"/>
      <c r="K535" s="52" t="s">
        <v>63</v>
      </c>
      <c r="L535" s="52" t="s">
        <v>64</v>
      </c>
      <c r="M535" s="52">
        <v>1</v>
      </c>
      <c r="N535" s="53">
        <f t="shared" si="188"/>
        <v>3465000</v>
      </c>
      <c r="O535" s="53">
        <v>3465000</v>
      </c>
      <c r="P535" s="52"/>
      <c r="Q535" s="52"/>
      <c r="R535" s="52"/>
      <c r="S535" s="53">
        <f t="shared" si="189"/>
        <v>3465000</v>
      </c>
      <c r="T535" s="52">
        <v>5</v>
      </c>
      <c r="U535" s="53"/>
      <c r="V535" s="52">
        <v>0.5</v>
      </c>
      <c r="W535" s="53">
        <f t="shared" si="190"/>
        <v>0</v>
      </c>
      <c r="X535" s="24"/>
      <c r="Y535" s="41">
        <f t="shared" si="191"/>
        <v>0</v>
      </c>
      <c r="Z535" s="41">
        <f t="shared" si="192"/>
        <v>0</v>
      </c>
      <c r="AA535" s="24">
        <v>5</v>
      </c>
      <c r="AB535" s="41">
        <v>3465000</v>
      </c>
      <c r="AC535" s="41">
        <f t="shared" si="193"/>
        <v>0</v>
      </c>
      <c r="AD535" s="70" t="s">
        <v>333</v>
      </c>
      <c r="AE535" s="70"/>
      <c r="AF535" s="1">
        <v>3465000</v>
      </c>
      <c r="AG535" s="5">
        <f t="shared" si="176"/>
        <v>0</v>
      </c>
      <c r="AH535" s="5"/>
    </row>
    <row r="536" spans="1:34" s="1" customFormat="1" x14ac:dyDescent="0.25">
      <c r="A536" s="49">
        <v>11</v>
      </c>
      <c r="B536" s="50" t="s">
        <v>1700</v>
      </c>
      <c r="C536" s="50" t="s">
        <v>247</v>
      </c>
      <c r="D536" s="51" t="s">
        <v>1008</v>
      </c>
      <c r="E536" s="52" t="s">
        <v>1018</v>
      </c>
      <c r="F536" s="52"/>
      <c r="G536" s="52" t="s">
        <v>194</v>
      </c>
      <c r="H536" s="52" t="s">
        <v>62</v>
      </c>
      <c r="I536" s="52">
        <v>2012</v>
      </c>
      <c r="J536" s="52"/>
      <c r="K536" s="52" t="s">
        <v>63</v>
      </c>
      <c r="L536" s="52" t="s">
        <v>64</v>
      </c>
      <c r="M536" s="52">
        <v>1</v>
      </c>
      <c r="N536" s="53">
        <f t="shared" si="188"/>
        <v>11990000</v>
      </c>
      <c r="O536" s="53">
        <v>11990000</v>
      </c>
      <c r="P536" s="52"/>
      <c r="Q536" s="52"/>
      <c r="R536" s="52"/>
      <c r="S536" s="53">
        <f t="shared" si="189"/>
        <v>11990000</v>
      </c>
      <c r="T536" s="52">
        <v>5</v>
      </c>
      <c r="U536" s="53"/>
      <c r="V536" s="52">
        <v>0.5</v>
      </c>
      <c r="W536" s="53">
        <f t="shared" si="190"/>
        <v>0</v>
      </c>
      <c r="X536" s="24"/>
      <c r="Y536" s="41">
        <f t="shared" si="191"/>
        <v>0</v>
      </c>
      <c r="Z536" s="41">
        <f t="shared" si="192"/>
        <v>0</v>
      </c>
      <c r="AA536" s="24">
        <v>5</v>
      </c>
      <c r="AB536" s="41">
        <v>11990000</v>
      </c>
      <c r="AC536" s="41">
        <f t="shared" si="193"/>
        <v>0</v>
      </c>
      <c r="AD536" s="70" t="s">
        <v>985</v>
      </c>
      <c r="AE536" s="70"/>
      <c r="AF536" s="1">
        <v>11990000</v>
      </c>
      <c r="AG536" s="5">
        <f t="shared" si="176"/>
        <v>0</v>
      </c>
      <c r="AH536" s="5"/>
    </row>
    <row r="537" spans="1:34" s="1" customFormat="1" x14ac:dyDescent="0.25">
      <c r="A537" s="49">
        <v>12</v>
      </c>
      <c r="B537" s="50" t="s">
        <v>1700</v>
      </c>
      <c r="C537" s="50" t="s">
        <v>1019</v>
      </c>
      <c r="D537" s="51" t="s">
        <v>1008</v>
      </c>
      <c r="E537" s="52" t="s">
        <v>1020</v>
      </c>
      <c r="F537" s="52"/>
      <c r="G537" s="52" t="s">
        <v>194</v>
      </c>
      <c r="H537" s="52" t="s">
        <v>62</v>
      </c>
      <c r="I537" s="52">
        <v>2012</v>
      </c>
      <c r="J537" s="52"/>
      <c r="K537" s="52" t="s">
        <v>63</v>
      </c>
      <c r="L537" s="52" t="s">
        <v>64</v>
      </c>
      <c r="M537" s="52">
        <v>1</v>
      </c>
      <c r="N537" s="53">
        <f t="shared" si="188"/>
        <v>6050000</v>
      </c>
      <c r="O537" s="53">
        <v>6050000</v>
      </c>
      <c r="P537" s="52"/>
      <c r="Q537" s="52"/>
      <c r="R537" s="52"/>
      <c r="S537" s="53">
        <f t="shared" si="189"/>
        <v>6050000</v>
      </c>
      <c r="T537" s="52">
        <v>5</v>
      </c>
      <c r="U537" s="53"/>
      <c r="V537" s="52">
        <v>0.5</v>
      </c>
      <c r="W537" s="53">
        <f t="shared" si="190"/>
        <v>0</v>
      </c>
      <c r="X537" s="24"/>
      <c r="Y537" s="41">
        <f t="shared" si="191"/>
        <v>0</v>
      </c>
      <c r="Z537" s="41">
        <f t="shared" si="192"/>
        <v>0</v>
      </c>
      <c r="AA537" s="24">
        <v>5</v>
      </c>
      <c r="AB537" s="41">
        <v>6050000</v>
      </c>
      <c r="AC537" s="41">
        <f t="shared" si="193"/>
        <v>0</v>
      </c>
      <c r="AD537" s="70" t="s">
        <v>1021</v>
      </c>
      <c r="AE537" s="70"/>
      <c r="AF537" s="1">
        <v>6050000</v>
      </c>
      <c r="AG537" s="5">
        <f t="shared" si="176"/>
        <v>0</v>
      </c>
      <c r="AH537" s="5"/>
    </row>
    <row r="538" spans="1:34" s="1" customFormat="1" x14ac:dyDescent="0.25">
      <c r="A538" s="49">
        <v>13</v>
      </c>
      <c r="B538" s="50" t="s">
        <v>1700</v>
      </c>
      <c r="C538" s="50" t="s">
        <v>1022</v>
      </c>
      <c r="D538" s="51" t="s">
        <v>1008</v>
      </c>
      <c r="E538" s="52" t="s">
        <v>1023</v>
      </c>
      <c r="F538" s="52"/>
      <c r="G538" s="52" t="s">
        <v>194</v>
      </c>
      <c r="H538" s="52" t="s">
        <v>62</v>
      </c>
      <c r="I538" s="52">
        <v>2013</v>
      </c>
      <c r="J538" s="52"/>
      <c r="K538" s="52" t="s">
        <v>63</v>
      </c>
      <c r="L538" s="52" t="s">
        <v>64</v>
      </c>
      <c r="M538" s="52">
        <v>1</v>
      </c>
      <c r="N538" s="53">
        <f t="shared" si="188"/>
        <v>3750000</v>
      </c>
      <c r="O538" s="53">
        <v>3750000</v>
      </c>
      <c r="P538" s="52"/>
      <c r="Q538" s="52"/>
      <c r="R538" s="52"/>
      <c r="S538" s="53">
        <f t="shared" si="189"/>
        <v>3750000</v>
      </c>
      <c r="T538" s="52">
        <v>5</v>
      </c>
      <c r="U538" s="53"/>
      <c r="V538" s="52">
        <v>0.5</v>
      </c>
      <c r="W538" s="53">
        <f t="shared" si="190"/>
        <v>0</v>
      </c>
      <c r="X538" s="24"/>
      <c r="Y538" s="41">
        <f t="shared" si="191"/>
        <v>0</v>
      </c>
      <c r="Z538" s="41">
        <f t="shared" si="192"/>
        <v>0</v>
      </c>
      <c r="AA538" s="24">
        <v>5</v>
      </c>
      <c r="AB538" s="41">
        <v>3750000</v>
      </c>
      <c r="AC538" s="41">
        <f t="shared" si="193"/>
        <v>0</v>
      </c>
      <c r="AD538" s="70" t="s">
        <v>1012</v>
      </c>
      <c r="AE538" s="70"/>
      <c r="AF538" s="1">
        <v>3750000</v>
      </c>
      <c r="AG538" s="5">
        <f t="shared" si="176"/>
        <v>0</v>
      </c>
      <c r="AH538" s="5"/>
    </row>
    <row r="539" spans="1:34" s="1" customFormat="1" x14ac:dyDescent="0.25">
      <c r="A539" s="49">
        <v>14</v>
      </c>
      <c r="B539" s="50" t="s">
        <v>1700</v>
      </c>
      <c r="C539" s="50" t="s">
        <v>1024</v>
      </c>
      <c r="D539" s="51" t="s">
        <v>1008</v>
      </c>
      <c r="E539" s="52" t="s">
        <v>1025</v>
      </c>
      <c r="F539" s="52"/>
      <c r="G539" s="52" t="s">
        <v>194</v>
      </c>
      <c r="H539" s="52" t="s">
        <v>62</v>
      </c>
      <c r="I539" s="52">
        <v>2014</v>
      </c>
      <c r="J539" s="52"/>
      <c r="K539" s="52" t="s">
        <v>63</v>
      </c>
      <c r="L539" s="52" t="s">
        <v>64</v>
      </c>
      <c r="M539" s="52">
        <v>1</v>
      </c>
      <c r="N539" s="53">
        <f t="shared" si="188"/>
        <v>6462500</v>
      </c>
      <c r="O539" s="53">
        <v>6462500</v>
      </c>
      <c r="P539" s="52"/>
      <c r="Q539" s="52"/>
      <c r="R539" s="52"/>
      <c r="S539" s="53">
        <f t="shared" si="189"/>
        <v>6462500</v>
      </c>
      <c r="T539" s="52">
        <v>5</v>
      </c>
      <c r="U539" s="53"/>
      <c r="V539" s="52">
        <v>0.5</v>
      </c>
      <c r="W539" s="53">
        <f t="shared" si="190"/>
        <v>0</v>
      </c>
      <c r="X539" s="24"/>
      <c r="Y539" s="41">
        <f t="shared" si="191"/>
        <v>0</v>
      </c>
      <c r="Z539" s="41">
        <f t="shared" si="192"/>
        <v>0</v>
      </c>
      <c r="AA539" s="24">
        <v>5</v>
      </c>
      <c r="AB539" s="41">
        <v>6462500</v>
      </c>
      <c r="AC539" s="41">
        <f t="shared" si="193"/>
        <v>0</v>
      </c>
      <c r="AD539" s="70" t="s">
        <v>940</v>
      </c>
      <c r="AE539" s="70"/>
      <c r="AF539" s="1">
        <v>6462500</v>
      </c>
      <c r="AG539" s="5">
        <f t="shared" si="176"/>
        <v>0</v>
      </c>
      <c r="AH539" s="5"/>
    </row>
    <row r="540" spans="1:34" s="1" customFormat="1" x14ac:dyDescent="0.25">
      <c r="A540" s="49">
        <v>15</v>
      </c>
      <c r="B540" s="50" t="s">
        <v>1700</v>
      </c>
      <c r="C540" s="50" t="s">
        <v>1026</v>
      </c>
      <c r="D540" s="51" t="s">
        <v>1008</v>
      </c>
      <c r="E540" s="52" t="s">
        <v>1027</v>
      </c>
      <c r="F540" s="52"/>
      <c r="G540" s="52" t="s">
        <v>194</v>
      </c>
      <c r="H540" s="52" t="s">
        <v>62</v>
      </c>
      <c r="I540" s="52">
        <v>2015</v>
      </c>
      <c r="J540" s="52"/>
      <c r="K540" s="52" t="s">
        <v>63</v>
      </c>
      <c r="L540" s="52" t="s">
        <v>64</v>
      </c>
      <c r="M540" s="52">
        <v>1</v>
      </c>
      <c r="N540" s="53">
        <f t="shared" si="188"/>
        <v>5940000</v>
      </c>
      <c r="O540" s="53">
        <v>5940000</v>
      </c>
      <c r="P540" s="52"/>
      <c r="Q540" s="52"/>
      <c r="R540" s="52"/>
      <c r="S540" s="53">
        <f t="shared" si="189"/>
        <v>5940000</v>
      </c>
      <c r="T540" s="52">
        <v>5</v>
      </c>
      <c r="U540" s="53">
        <f t="shared" ref="U540:U549" si="194">SUM(S540/T540)</f>
        <v>1188000</v>
      </c>
      <c r="V540" s="52">
        <v>0.5</v>
      </c>
      <c r="W540" s="53"/>
      <c r="X540" s="24"/>
      <c r="Y540" s="41">
        <f>SUM(U540*X540)</f>
        <v>0</v>
      </c>
      <c r="Z540" s="41"/>
      <c r="AA540" s="24">
        <v>5</v>
      </c>
      <c r="AB540" s="41">
        <f t="shared" ref="AB540:AB549" si="195">SUM(U540*AA540)</f>
        <v>5940000</v>
      </c>
      <c r="AC540" s="41">
        <f t="shared" si="193"/>
        <v>0</v>
      </c>
      <c r="AD540" s="70" t="s">
        <v>229</v>
      </c>
      <c r="AE540" s="70"/>
      <c r="AF540" s="1">
        <v>5940000</v>
      </c>
      <c r="AG540" s="5">
        <f t="shared" si="176"/>
        <v>0</v>
      </c>
      <c r="AH540" s="5"/>
    </row>
    <row r="541" spans="1:34" s="1" customFormat="1" x14ac:dyDescent="0.25">
      <c r="A541" s="49">
        <v>16</v>
      </c>
      <c r="B541" s="50" t="s">
        <v>1700</v>
      </c>
      <c r="C541" s="50" t="s">
        <v>416</v>
      </c>
      <c r="D541" s="51" t="s">
        <v>1008</v>
      </c>
      <c r="E541" s="52" t="s">
        <v>1027</v>
      </c>
      <c r="F541" s="52"/>
      <c r="G541" s="52" t="s">
        <v>194</v>
      </c>
      <c r="H541" s="52" t="s">
        <v>62</v>
      </c>
      <c r="I541" s="52">
        <v>2015</v>
      </c>
      <c r="J541" s="52"/>
      <c r="K541" s="52" t="s">
        <v>63</v>
      </c>
      <c r="L541" s="52" t="s">
        <v>64</v>
      </c>
      <c r="M541" s="52">
        <v>1</v>
      </c>
      <c r="N541" s="53">
        <f t="shared" si="188"/>
        <v>5940000</v>
      </c>
      <c r="O541" s="53">
        <v>5940000</v>
      </c>
      <c r="P541" s="52"/>
      <c r="Q541" s="52"/>
      <c r="R541" s="52"/>
      <c r="S541" s="53">
        <f t="shared" si="189"/>
        <v>5940000</v>
      </c>
      <c r="T541" s="52">
        <v>5</v>
      </c>
      <c r="U541" s="53">
        <f t="shared" si="194"/>
        <v>1188000</v>
      </c>
      <c r="V541" s="52">
        <v>0.5</v>
      </c>
      <c r="W541" s="53"/>
      <c r="X541" s="24"/>
      <c r="Y541" s="41">
        <f t="shared" ref="Y541:Y547" si="196">SUM(U541*X541)</f>
        <v>0</v>
      </c>
      <c r="Z541" s="41"/>
      <c r="AA541" s="24">
        <v>5</v>
      </c>
      <c r="AB541" s="41">
        <f t="shared" si="195"/>
        <v>5940000</v>
      </c>
      <c r="AC541" s="41">
        <f t="shared" si="193"/>
        <v>0</v>
      </c>
      <c r="AD541" s="70" t="s">
        <v>231</v>
      </c>
      <c r="AE541" s="70"/>
      <c r="AF541" s="1">
        <v>5940000</v>
      </c>
      <c r="AG541" s="5">
        <f t="shared" si="176"/>
        <v>0</v>
      </c>
      <c r="AH541" s="5"/>
    </row>
    <row r="542" spans="1:34" s="1" customFormat="1" x14ac:dyDescent="0.25">
      <c r="A542" s="49">
        <v>17</v>
      </c>
      <c r="B542" s="50" t="s">
        <v>1700</v>
      </c>
      <c r="C542" s="50" t="s">
        <v>417</v>
      </c>
      <c r="D542" s="51" t="s">
        <v>1008</v>
      </c>
      <c r="E542" s="52" t="s">
        <v>1027</v>
      </c>
      <c r="F542" s="52"/>
      <c r="G542" s="52" t="s">
        <v>194</v>
      </c>
      <c r="H542" s="52" t="s">
        <v>62</v>
      </c>
      <c r="I542" s="52">
        <v>2015</v>
      </c>
      <c r="J542" s="52"/>
      <c r="K542" s="52" t="s">
        <v>63</v>
      </c>
      <c r="L542" s="52" t="s">
        <v>64</v>
      </c>
      <c r="M542" s="52">
        <v>1</v>
      </c>
      <c r="N542" s="53">
        <f t="shared" si="188"/>
        <v>5940000</v>
      </c>
      <c r="O542" s="53">
        <v>5940000</v>
      </c>
      <c r="P542" s="52"/>
      <c r="Q542" s="52"/>
      <c r="R542" s="52"/>
      <c r="S542" s="53">
        <f t="shared" si="189"/>
        <v>5940000</v>
      </c>
      <c r="T542" s="52">
        <v>5</v>
      </c>
      <c r="U542" s="53">
        <f t="shared" si="194"/>
        <v>1188000</v>
      </c>
      <c r="V542" s="52">
        <v>0.5</v>
      </c>
      <c r="W542" s="53"/>
      <c r="X542" s="24"/>
      <c r="Y542" s="41">
        <f t="shared" si="196"/>
        <v>0</v>
      </c>
      <c r="Z542" s="41"/>
      <c r="AA542" s="24">
        <v>5</v>
      </c>
      <c r="AB542" s="41">
        <f t="shared" si="195"/>
        <v>5940000</v>
      </c>
      <c r="AC542" s="41">
        <f t="shared" si="193"/>
        <v>0</v>
      </c>
      <c r="AD542" s="70" t="s">
        <v>235</v>
      </c>
      <c r="AE542" s="70"/>
      <c r="AF542" s="1">
        <v>5940000</v>
      </c>
      <c r="AG542" s="5">
        <f t="shared" si="176"/>
        <v>0</v>
      </c>
      <c r="AH542" s="5"/>
    </row>
    <row r="543" spans="1:34" s="1" customFormat="1" x14ac:dyDescent="0.25">
      <c r="A543" s="49">
        <v>18</v>
      </c>
      <c r="B543" s="50" t="s">
        <v>1700</v>
      </c>
      <c r="C543" s="50" t="s">
        <v>1028</v>
      </c>
      <c r="D543" s="51" t="s">
        <v>1008</v>
      </c>
      <c r="E543" s="52" t="s">
        <v>1027</v>
      </c>
      <c r="F543" s="52"/>
      <c r="G543" s="52" t="s">
        <v>194</v>
      </c>
      <c r="H543" s="52" t="s">
        <v>62</v>
      </c>
      <c r="I543" s="52">
        <v>2015</v>
      </c>
      <c r="J543" s="52"/>
      <c r="K543" s="52" t="s">
        <v>63</v>
      </c>
      <c r="L543" s="52" t="s">
        <v>64</v>
      </c>
      <c r="M543" s="52">
        <v>1</v>
      </c>
      <c r="N543" s="53">
        <f t="shared" si="188"/>
        <v>5940000</v>
      </c>
      <c r="O543" s="53">
        <v>5940000</v>
      </c>
      <c r="P543" s="52"/>
      <c r="Q543" s="52"/>
      <c r="R543" s="52"/>
      <c r="S543" s="53">
        <f t="shared" si="189"/>
        <v>5940000</v>
      </c>
      <c r="T543" s="52">
        <v>5</v>
      </c>
      <c r="U543" s="53">
        <f t="shared" si="194"/>
        <v>1188000</v>
      </c>
      <c r="V543" s="52">
        <v>0.5</v>
      </c>
      <c r="W543" s="53"/>
      <c r="X543" s="24"/>
      <c r="Y543" s="41">
        <f t="shared" si="196"/>
        <v>0</v>
      </c>
      <c r="Z543" s="41"/>
      <c r="AA543" s="24">
        <v>5</v>
      </c>
      <c r="AB543" s="41">
        <f t="shared" si="195"/>
        <v>5940000</v>
      </c>
      <c r="AC543" s="41">
        <f t="shared" si="193"/>
        <v>0</v>
      </c>
      <c r="AD543" s="70" t="s">
        <v>245</v>
      </c>
      <c r="AE543" s="70"/>
      <c r="AF543" s="1">
        <v>5940000</v>
      </c>
      <c r="AG543" s="5">
        <f t="shared" si="176"/>
        <v>0</v>
      </c>
      <c r="AH543" s="5"/>
    </row>
    <row r="544" spans="1:34" s="1" customFormat="1" x14ac:dyDescent="0.25">
      <c r="A544" s="49">
        <v>19</v>
      </c>
      <c r="B544" s="50" t="s">
        <v>1700</v>
      </c>
      <c r="C544" s="50" t="s">
        <v>1029</v>
      </c>
      <c r="D544" s="51" t="s">
        <v>1008</v>
      </c>
      <c r="E544" s="52" t="s">
        <v>1027</v>
      </c>
      <c r="F544" s="52"/>
      <c r="G544" s="52" t="s">
        <v>194</v>
      </c>
      <c r="H544" s="52" t="s">
        <v>62</v>
      </c>
      <c r="I544" s="52">
        <v>2015</v>
      </c>
      <c r="J544" s="52"/>
      <c r="K544" s="52" t="s">
        <v>63</v>
      </c>
      <c r="L544" s="52" t="s">
        <v>64</v>
      </c>
      <c r="M544" s="52">
        <v>1</v>
      </c>
      <c r="N544" s="53">
        <f t="shared" si="188"/>
        <v>5940000</v>
      </c>
      <c r="O544" s="53">
        <v>5940000</v>
      </c>
      <c r="P544" s="52"/>
      <c r="Q544" s="52"/>
      <c r="R544" s="52"/>
      <c r="S544" s="53">
        <f t="shared" si="189"/>
        <v>5940000</v>
      </c>
      <c r="T544" s="52">
        <v>5</v>
      </c>
      <c r="U544" s="53">
        <f t="shared" si="194"/>
        <v>1188000</v>
      </c>
      <c r="V544" s="52">
        <v>0.5</v>
      </c>
      <c r="W544" s="53"/>
      <c r="X544" s="24"/>
      <c r="Y544" s="41">
        <f t="shared" si="196"/>
        <v>0</v>
      </c>
      <c r="Z544" s="41"/>
      <c r="AA544" s="24">
        <v>5</v>
      </c>
      <c r="AB544" s="41">
        <f t="shared" si="195"/>
        <v>5940000</v>
      </c>
      <c r="AC544" s="41">
        <f t="shared" si="193"/>
        <v>0</v>
      </c>
      <c r="AD544" s="70" t="s">
        <v>940</v>
      </c>
      <c r="AE544" s="70"/>
      <c r="AF544" s="1">
        <v>5940000</v>
      </c>
      <c r="AG544" s="5">
        <f t="shared" si="176"/>
        <v>0</v>
      </c>
      <c r="AH544" s="5"/>
    </row>
    <row r="545" spans="1:34" s="1" customFormat="1" x14ac:dyDescent="0.25">
      <c r="A545" s="49">
        <v>20</v>
      </c>
      <c r="B545" s="50" t="s">
        <v>1700</v>
      </c>
      <c r="C545" s="50" t="s">
        <v>1030</v>
      </c>
      <c r="D545" s="51" t="s">
        <v>1008</v>
      </c>
      <c r="E545" s="52" t="s">
        <v>1031</v>
      </c>
      <c r="F545" s="52"/>
      <c r="G545" s="52" t="s">
        <v>194</v>
      </c>
      <c r="H545" s="52" t="s">
        <v>62</v>
      </c>
      <c r="I545" s="52">
        <v>2015</v>
      </c>
      <c r="J545" s="52"/>
      <c r="K545" s="52" t="s">
        <v>63</v>
      </c>
      <c r="L545" s="52" t="s">
        <v>64</v>
      </c>
      <c r="M545" s="52">
        <v>7</v>
      </c>
      <c r="N545" s="53">
        <f t="shared" si="188"/>
        <v>3960000</v>
      </c>
      <c r="O545" s="53">
        <v>27720000</v>
      </c>
      <c r="P545" s="52"/>
      <c r="Q545" s="52"/>
      <c r="R545" s="52"/>
      <c r="S545" s="53">
        <f t="shared" si="189"/>
        <v>27720000</v>
      </c>
      <c r="T545" s="52">
        <v>5</v>
      </c>
      <c r="U545" s="53">
        <f t="shared" si="194"/>
        <v>5544000</v>
      </c>
      <c r="V545" s="52">
        <v>0.5</v>
      </c>
      <c r="W545" s="53"/>
      <c r="X545" s="24"/>
      <c r="Y545" s="41">
        <f t="shared" si="196"/>
        <v>0</v>
      </c>
      <c r="Z545" s="41"/>
      <c r="AA545" s="24">
        <v>5</v>
      </c>
      <c r="AB545" s="41">
        <f t="shared" si="195"/>
        <v>27720000</v>
      </c>
      <c r="AC545" s="41">
        <f t="shared" si="193"/>
        <v>0</v>
      </c>
      <c r="AD545" s="70" t="s">
        <v>350</v>
      </c>
      <c r="AE545" s="70"/>
      <c r="AF545" s="1">
        <v>27720000</v>
      </c>
      <c r="AG545" s="5">
        <f t="shared" si="176"/>
        <v>0</v>
      </c>
      <c r="AH545" s="5"/>
    </row>
    <row r="546" spans="1:34" s="1" customFormat="1" x14ac:dyDescent="0.25">
      <c r="A546" s="49">
        <v>21</v>
      </c>
      <c r="B546" s="50" t="s">
        <v>1700</v>
      </c>
      <c r="C546" s="50" t="s">
        <v>1032</v>
      </c>
      <c r="D546" s="51" t="s">
        <v>1008</v>
      </c>
      <c r="E546" s="52"/>
      <c r="F546" s="52"/>
      <c r="G546" s="52" t="s">
        <v>194</v>
      </c>
      <c r="H546" s="52" t="s">
        <v>62</v>
      </c>
      <c r="I546" s="52">
        <v>2017</v>
      </c>
      <c r="J546" s="52"/>
      <c r="K546" s="52" t="s">
        <v>63</v>
      </c>
      <c r="L546" s="52" t="s">
        <v>64</v>
      </c>
      <c r="M546" s="52">
        <v>1</v>
      </c>
      <c r="N546" s="53">
        <f t="shared" si="188"/>
        <v>7029000</v>
      </c>
      <c r="O546" s="53">
        <v>7029000</v>
      </c>
      <c r="P546" s="52"/>
      <c r="Q546" s="52"/>
      <c r="R546" s="52"/>
      <c r="S546" s="53">
        <f t="shared" si="189"/>
        <v>7029000</v>
      </c>
      <c r="T546" s="52">
        <v>5</v>
      </c>
      <c r="U546" s="53">
        <f t="shared" si="194"/>
        <v>1405800</v>
      </c>
      <c r="V546" s="52"/>
      <c r="W546" s="53">
        <f t="shared" ref="W546:W555" si="197">SUM(U546*V546)</f>
        <v>0</v>
      </c>
      <c r="X546" s="24"/>
      <c r="Y546" s="41"/>
      <c r="Z546" s="41">
        <f t="shared" ref="Z546:Z555" si="198">SUM(W546+Y546)</f>
        <v>0</v>
      </c>
      <c r="AA546" s="72">
        <v>5</v>
      </c>
      <c r="AB546" s="41">
        <v>7029000</v>
      </c>
      <c r="AC546" s="41">
        <f t="shared" si="193"/>
        <v>0</v>
      </c>
      <c r="AD546" s="70"/>
      <c r="AE546" s="70"/>
      <c r="AF546" s="1">
        <v>7029000</v>
      </c>
      <c r="AG546" s="5">
        <f t="shared" si="176"/>
        <v>0</v>
      </c>
      <c r="AH546" s="5"/>
    </row>
    <row r="547" spans="1:34" s="1" customFormat="1" x14ac:dyDescent="0.25">
      <c r="A547" s="49">
        <v>22</v>
      </c>
      <c r="B547" s="50" t="s">
        <v>1700</v>
      </c>
      <c r="C547" s="73" t="s">
        <v>1033</v>
      </c>
      <c r="D547" s="51" t="s">
        <v>1008</v>
      </c>
      <c r="E547" s="52" t="s">
        <v>211</v>
      </c>
      <c r="F547" s="52"/>
      <c r="G547" s="52" t="s">
        <v>194</v>
      </c>
      <c r="H547" s="52" t="s">
        <v>62</v>
      </c>
      <c r="I547" s="52">
        <v>2020</v>
      </c>
      <c r="J547" s="52"/>
      <c r="K547" s="52" t="s">
        <v>63</v>
      </c>
      <c r="L547" s="52" t="s">
        <v>64</v>
      </c>
      <c r="M547" s="52">
        <v>3</v>
      </c>
      <c r="N547" s="53">
        <f t="shared" si="188"/>
        <v>3333333.3333333335</v>
      </c>
      <c r="O547" s="53">
        <v>10000000</v>
      </c>
      <c r="P547" s="52"/>
      <c r="Q547" s="52"/>
      <c r="R547" s="52"/>
      <c r="S547" s="53">
        <f t="shared" si="189"/>
        <v>10000000</v>
      </c>
      <c r="T547" s="52">
        <v>5</v>
      </c>
      <c r="U547" s="53">
        <f t="shared" si="194"/>
        <v>2000000</v>
      </c>
      <c r="V547" s="52">
        <v>0.5</v>
      </c>
      <c r="W547" s="53">
        <f t="shared" si="197"/>
        <v>1000000</v>
      </c>
      <c r="X547" s="52">
        <v>0.5</v>
      </c>
      <c r="Y547" s="53">
        <f t="shared" si="196"/>
        <v>1000000</v>
      </c>
      <c r="Z547" s="53">
        <f t="shared" si="198"/>
        <v>2000000</v>
      </c>
      <c r="AA547" s="57">
        <f>2023-I547+V547+X547-11/12</f>
        <v>3.0833333333333335</v>
      </c>
      <c r="AB547" s="53">
        <f t="shared" si="195"/>
        <v>6166666.666666667</v>
      </c>
      <c r="AC547" s="53">
        <f t="shared" si="193"/>
        <v>3833333.333333333</v>
      </c>
      <c r="AD547" s="56"/>
      <c r="AE547" s="70"/>
      <c r="AF547" s="1">
        <v>4166666.666666667</v>
      </c>
      <c r="AG547" s="5">
        <f t="shared" si="176"/>
        <v>0</v>
      </c>
      <c r="AH547" s="5"/>
    </row>
    <row r="548" spans="1:34" s="1" customFormat="1" x14ac:dyDescent="0.25">
      <c r="A548" s="49">
        <v>23</v>
      </c>
      <c r="B548" s="50" t="s">
        <v>1700</v>
      </c>
      <c r="C548" s="73" t="s">
        <v>1034</v>
      </c>
      <c r="D548" s="51" t="s">
        <v>1008</v>
      </c>
      <c r="E548" s="52" t="s">
        <v>1035</v>
      </c>
      <c r="F548" s="52"/>
      <c r="G548" s="52" t="s">
        <v>194</v>
      </c>
      <c r="H548" s="52" t="s">
        <v>62</v>
      </c>
      <c r="I548" s="52">
        <v>2021</v>
      </c>
      <c r="J548" s="52"/>
      <c r="K548" s="52" t="s">
        <v>63</v>
      </c>
      <c r="L548" s="52" t="s">
        <v>64</v>
      </c>
      <c r="M548" s="52">
        <v>4</v>
      </c>
      <c r="N548" s="53">
        <f t="shared" si="188"/>
        <v>5700000</v>
      </c>
      <c r="O548" s="53">
        <v>22800000</v>
      </c>
      <c r="P548" s="52"/>
      <c r="Q548" s="52"/>
      <c r="R548" s="52"/>
      <c r="S548" s="53">
        <f t="shared" si="189"/>
        <v>22800000</v>
      </c>
      <c r="T548" s="52">
        <v>5</v>
      </c>
      <c r="U548" s="53">
        <f t="shared" si="194"/>
        <v>4560000</v>
      </c>
      <c r="V548" s="52">
        <v>0.5</v>
      </c>
      <c r="W548" s="53">
        <f t="shared" si="197"/>
        <v>2280000</v>
      </c>
      <c r="X548" s="52">
        <v>0.5</v>
      </c>
      <c r="Y548" s="53">
        <f t="shared" ref="Y548" si="199">SUM(U548*X548)</f>
        <v>2280000</v>
      </c>
      <c r="Z548" s="53">
        <f t="shared" si="198"/>
        <v>4560000</v>
      </c>
      <c r="AA548" s="57">
        <f>1/12+0.5+0.5+0.5+0.5</f>
        <v>2.0833333333333335</v>
      </c>
      <c r="AB548" s="53">
        <f t="shared" si="195"/>
        <v>9500000</v>
      </c>
      <c r="AC548" s="53">
        <f t="shared" si="193"/>
        <v>13300000</v>
      </c>
      <c r="AD548" s="56"/>
      <c r="AE548" s="70"/>
      <c r="AF548" s="1">
        <v>4940000.0000000009</v>
      </c>
      <c r="AG548" s="5">
        <f t="shared" si="176"/>
        <v>0</v>
      </c>
      <c r="AH548" s="5"/>
    </row>
    <row r="549" spans="1:34" s="1" customFormat="1" x14ac:dyDescent="0.25">
      <c r="A549" s="49">
        <v>24</v>
      </c>
      <c r="B549" s="50" t="s">
        <v>1700</v>
      </c>
      <c r="C549" s="73" t="s">
        <v>422</v>
      </c>
      <c r="D549" s="51" t="s">
        <v>1008</v>
      </c>
      <c r="E549" s="52" t="s">
        <v>1036</v>
      </c>
      <c r="F549" s="52"/>
      <c r="G549" s="52" t="s">
        <v>194</v>
      </c>
      <c r="H549" s="52" t="s">
        <v>62</v>
      </c>
      <c r="I549" s="52">
        <v>2022</v>
      </c>
      <c r="J549" s="52"/>
      <c r="K549" s="52" t="s">
        <v>63</v>
      </c>
      <c r="L549" s="52" t="s">
        <v>64</v>
      </c>
      <c r="M549" s="52">
        <v>1</v>
      </c>
      <c r="N549" s="53">
        <f t="shared" si="188"/>
        <v>18850000</v>
      </c>
      <c r="O549" s="53">
        <v>18850000</v>
      </c>
      <c r="P549" s="52"/>
      <c r="Q549" s="52"/>
      <c r="R549" s="52"/>
      <c r="S549" s="53">
        <f t="shared" si="189"/>
        <v>18850000</v>
      </c>
      <c r="T549" s="52">
        <v>5</v>
      </c>
      <c r="U549" s="53">
        <f t="shared" si="194"/>
        <v>3770000</v>
      </c>
      <c r="V549" s="52">
        <v>0.5</v>
      </c>
      <c r="W549" s="53">
        <f t="shared" si="197"/>
        <v>1885000</v>
      </c>
      <c r="X549" s="52">
        <v>0.5</v>
      </c>
      <c r="Y549" s="53">
        <f t="shared" ref="Y549:Y555" si="200">SUM(U549*X549)</f>
        <v>1885000</v>
      </c>
      <c r="Z549" s="53">
        <f t="shared" si="198"/>
        <v>3770000</v>
      </c>
      <c r="AA549" s="57">
        <f>1/12+0.5+0.5+0.5+0.5</f>
        <v>2.0833333333333335</v>
      </c>
      <c r="AB549" s="53">
        <f t="shared" si="195"/>
        <v>7854166.666666667</v>
      </c>
      <c r="AC549" s="53">
        <f t="shared" si="193"/>
        <v>10995833.333333332</v>
      </c>
      <c r="AD549" s="56" t="s">
        <v>1037</v>
      </c>
      <c r="AE549" s="70"/>
      <c r="AF549" s="1">
        <v>4084166.6666666674</v>
      </c>
      <c r="AG549" s="5">
        <f t="shared" si="176"/>
        <v>0</v>
      </c>
      <c r="AH549" s="5"/>
    </row>
    <row r="550" spans="1:34" s="1" customFormat="1" x14ac:dyDescent="0.25">
      <c r="A550" s="49">
        <v>25</v>
      </c>
      <c r="B550" s="22" t="s">
        <v>1701</v>
      </c>
      <c r="C550" s="22" t="s">
        <v>58</v>
      </c>
      <c r="D550" s="51" t="s">
        <v>918</v>
      </c>
      <c r="E550" s="24" t="s">
        <v>919</v>
      </c>
      <c r="F550" s="24"/>
      <c r="G550" s="24" t="s">
        <v>194</v>
      </c>
      <c r="H550" s="24" t="s">
        <v>62</v>
      </c>
      <c r="I550" s="24">
        <v>2011</v>
      </c>
      <c r="J550" s="24"/>
      <c r="K550" s="24" t="s">
        <v>920</v>
      </c>
      <c r="L550" s="24" t="s">
        <v>64</v>
      </c>
      <c r="M550" s="24">
        <v>1</v>
      </c>
      <c r="N550" s="41">
        <f t="shared" si="188"/>
        <v>7500000</v>
      </c>
      <c r="O550" s="41">
        <v>7500000</v>
      </c>
      <c r="P550" s="24"/>
      <c r="Q550" s="24"/>
      <c r="R550" s="24"/>
      <c r="S550" s="41">
        <f t="shared" si="189"/>
        <v>7500000</v>
      </c>
      <c r="T550" s="24">
        <v>5</v>
      </c>
      <c r="U550" s="41"/>
      <c r="V550" s="24">
        <v>0.5</v>
      </c>
      <c r="W550" s="41">
        <f t="shared" si="197"/>
        <v>0</v>
      </c>
      <c r="X550" s="24"/>
      <c r="Y550" s="41">
        <f t="shared" si="200"/>
        <v>0</v>
      </c>
      <c r="Z550" s="41">
        <f t="shared" si="198"/>
        <v>0</v>
      </c>
      <c r="AA550" s="72">
        <v>5</v>
      </c>
      <c r="AB550" s="41">
        <v>7500000</v>
      </c>
      <c r="AC550" s="41">
        <f t="shared" si="193"/>
        <v>0</v>
      </c>
      <c r="AD550" s="70" t="s">
        <v>287</v>
      </c>
      <c r="AE550" s="70"/>
      <c r="AF550" s="1">
        <v>7500000</v>
      </c>
      <c r="AG550" s="5">
        <f t="shared" si="176"/>
        <v>0</v>
      </c>
      <c r="AH550" s="5"/>
    </row>
    <row r="551" spans="1:34" s="1" customFormat="1" x14ac:dyDescent="0.25">
      <c r="A551" s="49">
        <v>26</v>
      </c>
      <c r="B551" s="22" t="s">
        <v>1701</v>
      </c>
      <c r="C551" s="22" t="s">
        <v>58</v>
      </c>
      <c r="D551" s="51" t="s">
        <v>921</v>
      </c>
      <c r="E551" s="24" t="s">
        <v>922</v>
      </c>
      <c r="F551" s="24"/>
      <c r="G551" s="24" t="s">
        <v>194</v>
      </c>
      <c r="H551" s="24" t="s">
        <v>62</v>
      </c>
      <c r="I551" s="24">
        <v>2011</v>
      </c>
      <c r="J551" s="24"/>
      <c r="K551" s="24" t="s">
        <v>920</v>
      </c>
      <c r="L551" s="24" t="s">
        <v>64</v>
      </c>
      <c r="M551" s="24">
        <v>1</v>
      </c>
      <c r="N551" s="41">
        <f t="shared" si="188"/>
        <v>6500000</v>
      </c>
      <c r="O551" s="41">
        <v>6500000</v>
      </c>
      <c r="P551" s="24"/>
      <c r="Q551" s="24"/>
      <c r="R551" s="24"/>
      <c r="S551" s="41">
        <f t="shared" si="189"/>
        <v>6500000</v>
      </c>
      <c r="T551" s="24">
        <v>5</v>
      </c>
      <c r="U551" s="41"/>
      <c r="V551" s="24">
        <v>0.5</v>
      </c>
      <c r="W551" s="41">
        <f t="shared" si="197"/>
        <v>0</v>
      </c>
      <c r="X551" s="24"/>
      <c r="Y551" s="41">
        <f t="shared" si="200"/>
        <v>0</v>
      </c>
      <c r="Z551" s="41">
        <f t="shared" si="198"/>
        <v>0</v>
      </c>
      <c r="AA551" s="72">
        <v>5</v>
      </c>
      <c r="AB551" s="41">
        <v>6500000</v>
      </c>
      <c r="AC551" s="41">
        <f t="shared" si="193"/>
        <v>0</v>
      </c>
      <c r="AD551" s="70" t="s">
        <v>295</v>
      </c>
      <c r="AE551" s="70"/>
      <c r="AF551" s="1">
        <v>6500000</v>
      </c>
      <c r="AG551" s="5">
        <f t="shared" si="176"/>
        <v>0</v>
      </c>
      <c r="AH551" s="5"/>
    </row>
    <row r="552" spans="1:34" s="1" customFormat="1" x14ac:dyDescent="0.25">
      <c r="A552" s="49">
        <v>27</v>
      </c>
      <c r="B552" s="22" t="s">
        <v>1701</v>
      </c>
      <c r="C552" s="22" t="s">
        <v>75</v>
      </c>
      <c r="D552" s="51" t="s">
        <v>923</v>
      </c>
      <c r="E552" s="24" t="s">
        <v>922</v>
      </c>
      <c r="F552" s="24"/>
      <c r="G552" s="24" t="s">
        <v>194</v>
      </c>
      <c r="H552" s="24" t="s">
        <v>62</v>
      </c>
      <c r="I552" s="24">
        <v>2011</v>
      </c>
      <c r="J552" s="24"/>
      <c r="K552" s="24" t="s">
        <v>920</v>
      </c>
      <c r="L552" s="24" t="s">
        <v>64</v>
      </c>
      <c r="M552" s="24">
        <v>1</v>
      </c>
      <c r="N552" s="41">
        <f t="shared" si="188"/>
        <v>6500000</v>
      </c>
      <c r="O552" s="41">
        <v>6500000</v>
      </c>
      <c r="P552" s="24"/>
      <c r="Q552" s="24"/>
      <c r="R552" s="24"/>
      <c r="S552" s="41">
        <f t="shared" si="189"/>
        <v>6500000</v>
      </c>
      <c r="T552" s="24">
        <v>5</v>
      </c>
      <c r="U552" s="41"/>
      <c r="V552" s="24">
        <v>0.5</v>
      </c>
      <c r="W552" s="41">
        <f t="shared" si="197"/>
        <v>0</v>
      </c>
      <c r="X552" s="24"/>
      <c r="Y552" s="41">
        <f t="shared" si="200"/>
        <v>0</v>
      </c>
      <c r="Z552" s="41">
        <f t="shared" si="198"/>
        <v>0</v>
      </c>
      <c r="AA552" s="72">
        <v>5</v>
      </c>
      <c r="AB552" s="41">
        <v>6500000</v>
      </c>
      <c r="AC552" s="41">
        <f t="shared" si="193"/>
        <v>0</v>
      </c>
      <c r="AD552" s="70" t="s">
        <v>297</v>
      </c>
      <c r="AE552" s="70"/>
      <c r="AF552" s="1">
        <v>6500000</v>
      </c>
      <c r="AG552" s="5">
        <f t="shared" si="176"/>
        <v>0</v>
      </c>
      <c r="AH552" s="5"/>
    </row>
    <row r="553" spans="1:34" s="1" customFormat="1" x14ac:dyDescent="0.25">
      <c r="A553" s="49">
        <v>28</v>
      </c>
      <c r="B553" s="22" t="s">
        <v>1701</v>
      </c>
      <c r="C553" s="22" t="s">
        <v>79</v>
      </c>
      <c r="D553" s="51" t="s">
        <v>923</v>
      </c>
      <c r="E553" s="24" t="s">
        <v>924</v>
      </c>
      <c r="F553" s="24"/>
      <c r="G553" s="24" t="s">
        <v>194</v>
      </c>
      <c r="H553" s="24" t="s">
        <v>62</v>
      </c>
      <c r="I553" s="24">
        <v>2012</v>
      </c>
      <c r="J553" s="24"/>
      <c r="K553" s="24" t="s">
        <v>63</v>
      </c>
      <c r="L553" s="24" t="s">
        <v>64</v>
      </c>
      <c r="M553" s="24">
        <v>1</v>
      </c>
      <c r="N553" s="41">
        <f t="shared" si="188"/>
        <v>7000000</v>
      </c>
      <c r="O553" s="41">
        <v>7000000</v>
      </c>
      <c r="P553" s="24"/>
      <c r="Q553" s="24"/>
      <c r="R553" s="24"/>
      <c r="S553" s="41">
        <f t="shared" si="189"/>
        <v>7000000</v>
      </c>
      <c r="T553" s="24">
        <v>5</v>
      </c>
      <c r="U553" s="41"/>
      <c r="V553" s="24">
        <v>0.5</v>
      </c>
      <c r="W553" s="41">
        <f t="shared" si="197"/>
        <v>0</v>
      </c>
      <c r="X553" s="24"/>
      <c r="Y553" s="41">
        <f t="shared" si="200"/>
        <v>0</v>
      </c>
      <c r="Z553" s="41">
        <f t="shared" si="198"/>
        <v>0</v>
      </c>
      <c r="AA553" s="72">
        <v>5</v>
      </c>
      <c r="AB553" s="41">
        <v>7000000</v>
      </c>
      <c r="AC553" s="41">
        <f t="shared" si="193"/>
        <v>0</v>
      </c>
      <c r="AD553" s="70" t="s">
        <v>295</v>
      </c>
      <c r="AE553" s="70"/>
      <c r="AF553" s="1">
        <v>7000000</v>
      </c>
      <c r="AG553" s="5">
        <f t="shared" si="176"/>
        <v>0</v>
      </c>
      <c r="AH553" s="5"/>
    </row>
    <row r="554" spans="1:34" s="1" customFormat="1" x14ac:dyDescent="0.25">
      <c r="A554" s="49">
        <v>29</v>
      </c>
      <c r="B554" s="22" t="s">
        <v>1701</v>
      </c>
      <c r="C554" s="22" t="s">
        <v>84</v>
      </c>
      <c r="D554" s="51" t="s">
        <v>921</v>
      </c>
      <c r="E554" s="24" t="s">
        <v>924</v>
      </c>
      <c r="F554" s="24"/>
      <c r="G554" s="24" t="s">
        <v>194</v>
      </c>
      <c r="H554" s="24" t="s">
        <v>62</v>
      </c>
      <c r="I554" s="24">
        <v>2012</v>
      </c>
      <c r="J554" s="24"/>
      <c r="K554" s="24" t="s">
        <v>63</v>
      </c>
      <c r="L554" s="24" t="s">
        <v>64</v>
      </c>
      <c r="M554" s="24">
        <v>1</v>
      </c>
      <c r="N554" s="41">
        <f t="shared" si="188"/>
        <v>7000000</v>
      </c>
      <c r="O554" s="41">
        <v>7000000</v>
      </c>
      <c r="P554" s="24"/>
      <c r="Q554" s="24"/>
      <c r="R554" s="24"/>
      <c r="S554" s="41">
        <f t="shared" si="189"/>
        <v>7000000</v>
      </c>
      <c r="T554" s="24">
        <v>5</v>
      </c>
      <c r="U554" s="41"/>
      <c r="V554" s="24">
        <v>0.5</v>
      </c>
      <c r="W554" s="41">
        <f t="shared" si="197"/>
        <v>0</v>
      </c>
      <c r="X554" s="24"/>
      <c r="Y554" s="41">
        <f t="shared" si="200"/>
        <v>0</v>
      </c>
      <c r="Z554" s="41">
        <f t="shared" si="198"/>
        <v>0</v>
      </c>
      <c r="AA554" s="72">
        <v>5</v>
      </c>
      <c r="AB554" s="41">
        <v>7000000</v>
      </c>
      <c r="AC554" s="41">
        <f t="shared" si="193"/>
        <v>0</v>
      </c>
      <c r="AD554" s="70" t="s">
        <v>925</v>
      </c>
      <c r="AE554" s="70"/>
      <c r="AF554" s="1">
        <v>7000000</v>
      </c>
      <c r="AG554" s="5">
        <f t="shared" si="176"/>
        <v>0</v>
      </c>
      <c r="AH554" s="5"/>
    </row>
    <row r="555" spans="1:34" s="1" customFormat="1" x14ac:dyDescent="0.25">
      <c r="A555" s="49">
        <v>30</v>
      </c>
      <c r="B555" s="22" t="s">
        <v>1701</v>
      </c>
      <c r="C555" s="22" t="s">
        <v>88</v>
      </c>
      <c r="D555" s="51" t="s">
        <v>923</v>
      </c>
      <c r="E555" s="24" t="s">
        <v>924</v>
      </c>
      <c r="F555" s="24"/>
      <c r="G555" s="24" t="s">
        <v>194</v>
      </c>
      <c r="H555" s="24" t="s">
        <v>62</v>
      </c>
      <c r="I555" s="24">
        <v>2012</v>
      </c>
      <c r="J555" s="24"/>
      <c r="K555" s="24" t="s">
        <v>63</v>
      </c>
      <c r="L555" s="24" t="s">
        <v>64</v>
      </c>
      <c r="M555" s="24">
        <v>1</v>
      </c>
      <c r="N555" s="41">
        <f t="shared" si="188"/>
        <v>7000000</v>
      </c>
      <c r="O555" s="41">
        <v>7000000</v>
      </c>
      <c r="P555" s="24"/>
      <c r="Q555" s="24"/>
      <c r="R555" s="24"/>
      <c r="S555" s="41">
        <f t="shared" si="189"/>
        <v>7000000</v>
      </c>
      <c r="T555" s="24">
        <v>5</v>
      </c>
      <c r="U555" s="41"/>
      <c r="V555" s="24">
        <v>0.5</v>
      </c>
      <c r="W555" s="41">
        <f t="shared" si="197"/>
        <v>0</v>
      </c>
      <c r="X555" s="24"/>
      <c r="Y555" s="41">
        <f t="shared" si="200"/>
        <v>0</v>
      </c>
      <c r="Z555" s="41">
        <f t="shared" si="198"/>
        <v>0</v>
      </c>
      <c r="AA555" s="72">
        <v>5</v>
      </c>
      <c r="AB555" s="41">
        <v>7000000</v>
      </c>
      <c r="AC555" s="41">
        <f t="shared" si="193"/>
        <v>0</v>
      </c>
      <c r="AD555" s="70" t="s">
        <v>926</v>
      </c>
      <c r="AE555" s="70"/>
      <c r="AF555" s="1">
        <v>7000000</v>
      </c>
      <c r="AG555" s="5">
        <f t="shared" si="176"/>
        <v>0</v>
      </c>
      <c r="AH555" s="5"/>
    </row>
    <row r="556" spans="1:34" s="1" customFormat="1" x14ac:dyDescent="0.25">
      <c r="A556" s="49">
        <v>31</v>
      </c>
      <c r="B556" s="22" t="s">
        <v>1701</v>
      </c>
      <c r="C556" s="22" t="s">
        <v>58</v>
      </c>
      <c r="D556" s="51" t="s">
        <v>589</v>
      </c>
      <c r="E556" s="24" t="s">
        <v>590</v>
      </c>
      <c r="F556" s="24"/>
      <c r="G556" s="24" t="s">
        <v>194</v>
      </c>
      <c r="H556" s="24" t="s">
        <v>62</v>
      </c>
      <c r="I556" s="24">
        <v>2015</v>
      </c>
      <c r="J556" s="24"/>
      <c r="K556" s="24" t="s">
        <v>63</v>
      </c>
      <c r="L556" s="24" t="s">
        <v>64</v>
      </c>
      <c r="M556" s="24">
        <v>1</v>
      </c>
      <c r="N556" s="41">
        <f t="shared" si="188"/>
        <v>2125000</v>
      </c>
      <c r="O556" s="41">
        <v>2125000</v>
      </c>
      <c r="P556" s="24"/>
      <c r="Q556" s="24"/>
      <c r="R556" s="24"/>
      <c r="S556" s="41">
        <f t="shared" si="189"/>
        <v>2125000</v>
      </c>
      <c r="T556" s="24">
        <v>5</v>
      </c>
      <c r="U556" s="41">
        <f t="shared" ref="U556" si="201">SUM(S556/T556)</f>
        <v>425000</v>
      </c>
      <c r="V556" s="24">
        <v>0.5</v>
      </c>
      <c r="W556" s="41"/>
      <c r="X556" s="166"/>
      <c r="Y556" s="53">
        <f>SUM(U556*X556)</f>
        <v>0</v>
      </c>
      <c r="Z556" s="53"/>
      <c r="AA556" s="166">
        <v>5</v>
      </c>
      <c r="AB556" s="53">
        <f t="shared" ref="AB556" si="202">SUM(U556*AA556)</f>
        <v>2125000</v>
      </c>
      <c r="AC556" s="53">
        <f t="shared" si="193"/>
        <v>0</v>
      </c>
      <c r="AD556" s="52" t="s">
        <v>591</v>
      </c>
      <c r="AE556" s="70"/>
      <c r="AF556" s="1">
        <v>2125000</v>
      </c>
      <c r="AG556" s="5">
        <f t="shared" si="176"/>
        <v>0</v>
      </c>
      <c r="AH556" s="5"/>
    </row>
    <row r="557" spans="1:34" s="1" customFormat="1" x14ac:dyDescent="0.25">
      <c r="A557" s="49">
        <v>32</v>
      </c>
      <c r="B557" s="22" t="s">
        <v>1701</v>
      </c>
      <c r="C557" s="22" t="s">
        <v>58</v>
      </c>
      <c r="D557" s="51" t="s">
        <v>878</v>
      </c>
      <c r="E557" s="24" t="s">
        <v>879</v>
      </c>
      <c r="F557" s="24"/>
      <c r="G557" s="24" t="s">
        <v>194</v>
      </c>
      <c r="H557" s="24" t="s">
        <v>62</v>
      </c>
      <c r="I557" s="24">
        <v>2012</v>
      </c>
      <c r="J557" s="24"/>
      <c r="K557" s="24" t="s">
        <v>63</v>
      </c>
      <c r="L557" s="24" t="s">
        <v>64</v>
      </c>
      <c r="M557" s="24">
        <v>1</v>
      </c>
      <c r="N557" s="41">
        <f t="shared" si="188"/>
        <v>5005000</v>
      </c>
      <c r="O557" s="41">
        <v>5005000</v>
      </c>
      <c r="P557" s="24"/>
      <c r="Q557" s="24"/>
      <c r="R557" s="24"/>
      <c r="S557" s="41">
        <f t="shared" si="189"/>
        <v>5005000</v>
      </c>
      <c r="T557" s="24">
        <v>5</v>
      </c>
      <c r="U557" s="41"/>
      <c r="V557" s="24">
        <v>0.5</v>
      </c>
      <c r="W557" s="41">
        <f t="shared" ref="W557:W558" si="203">SUM(U557*V557)</f>
        <v>0</v>
      </c>
      <c r="X557" s="24"/>
      <c r="Y557" s="41">
        <f t="shared" ref="Y557:Y558" si="204">SUM(U557*X557)</f>
        <v>0</v>
      </c>
      <c r="Z557" s="41">
        <f t="shared" ref="Z557:Z559" si="205">SUM(W557+Y557)</f>
        <v>0</v>
      </c>
      <c r="AA557" s="24">
        <v>5</v>
      </c>
      <c r="AB557" s="41">
        <v>5005000</v>
      </c>
      <c r="AC557" s="41">
        <f t="shared" si="193"/>
        <v>0</v>
      </c>
      <c r="AD557" s="70" t="s">
        <v>630</v>
      </c>
      <c r="AE557" s="70"/>
      <c r="AF557" s="1">
        <v>5005000</v>
      </c>
      <c r="AG557" s="5">
        <f t="shared" si="176"/>
        <v>0</v>
      </c>
      <c r="AH557" s="5"/>
    </row>
    <row r="558" spans="1:34" s="1" customFormat="1" x14ac:dyDescent="0.25">
      <c r="A558" s="49">
        <v>33</v>
      </c>
      <c r="B558" s="22" t="s">
        <v>1701</v>
      </c>
      <c r="C558" s="22" t="s">
        <v>277</v>
      </c>
      <c r="D558" s="51" t="s">
        <v>880</v>
      </c>
      <c r="E558" s="24" t="s">
        <v>881</v>
      </c>
      <c r="F558" s="24"/>
      <c r="G558" s="24" t="s">
        <v>61</v>
      </c>
      <c r="H558" s="24" t="s">
        <v>62</v>
      </c>
      <c r="I558" s="24">
        <v>2011</v>
      </c>
      <c r="J558" s="24"/>
      <c r="K558" s="24" t="s">
        <v>63</v>
      </c>
      <c r="L558" s="24" t="s">
        <v>64</v>
      </c>
      <c r="M558" s="24">
        <v>2</v>
      </c>
      <c r="N558" s="41">
        <f t="shared" si="188"/>
        <v>4800000</v>
      </c>
      <c r="O558" s="41">
        <v>9600000</v>
      </c>
      <c r="P558" s="24"/>
      <c r="Q558" s="24"/>
      <c r="R558" s="24"/>
      <c r="S558" s="41">
        <f t="shared" si="189"/>
        <v>9600000</v>
      </c>
      <c r="T558" s="24">
        <v>5</v>
      </c>
      <c r="U558" s="41"/>
      <c r="V558" s="24">
        <v>0.5</v>
      </c>
      <c r="W558" s="41">
        <f t="shared" si="203"/>
        <v>0</v>
      </c>
      <c r="X558" s="24"/>
      <c r="Y558" s="41">
        <f t="shared" si="204"/>
        <v>0</v>
      </c>
      <c r="Z558" s="41">
        <f t="shared" si="205"/>
        <v>0</v>
      </c>
      <c r="AA558" s="24">
        <v>5</v>
      </c>
      <c r="AB558" s="41">
        <v>9600000</v>
      </c>
      <c r="AC558" s="41">
        <f t="shared" si="193"/>
        <v>0</v>
      </c>
      <c r="AD558" s="70" t="s">
        <v>875</v>
      </c>
      <c r="AE558" s="70"/>
      <c r="AF558" s="1">
        <v>9600000</v>
      </c>
      <c r="AG558" s="5">
        <f t="shared" si="176"/>
        <v>0</v>
      </c>
      <c r="AH558" s="5"/>
    </row>
    <row r="559" spans="1:34" s="1" customFormat="1" x14ac:dyDescent="0.25">
      <c r="A559" s="49">
        <v>34</v>
      </c>
      <c r="B559" s="22" t="s">
        <v>1701</v>
      </c>
      <c r="C559" s="22" t="s">
        <v>882</v>
      </c>
      <c r="D559" s="51" t="s">
        <v>883</v>
      </c>
      <c r="E559" s="24" t="s">
        <v>884</v>
      </c>
      <c r="F559" s="24"/>
      <c r="G559" s="24" t="s">
        <v>61</v>
      </c>
      <c r="H559" s="24" t="s">
        <v>62</v>
      </c>
      <c r="I559" s="24">
        <v>2018</v>
      </c>
      <c r="J559" s="24"/>
      <c r="K559" s="24" t="s">
        <v>63</v>
      </c>
      <c r="L559" s="24" t="s">
        <v>64</v>
      </c>
      <c r="M559" s="24">
        <v>5</v>
      </c>
      <c r="N559" s="41">
        <f t="shared" si="188"/>
        <v>2970000</v>
      </c>
      <c r="O559" s="41">
        <v>14850000</v>
      </c>
      <c r="P559" s="24"/>
      <c r="Q559" s="24"/>
      <c r="R559" s="24"/>
      <c r="S559" s="41">
        <f t="shared" si="189"/>
        <v>14850000</v>
      </c>
      <c r="T559" s="24">
        <v>5</v>
      </c>
      <c r="U559" s="41">
        <f t="shared" ref="U559" si="206">SUM(S559/T559)</f>
        <v>2970000</v>
      </c>
      <c r="V559" s="24">
        <v>0.5</v>
      </c>
      <c r="W559" s="41">
        <f>SUM(U559*V559)</f>
        <v>1485000</v>
      </c>
      <c r="X559" s="24">
        <v>0.5</v>
      </c>
      <c r="Y559" s="41">
        <f>SUM(U559*X559)-742500</f>
        <v>742500</v>
      </c>
      <c r="Z559" s="41">
        <f t="shared" si="205"/>
        <v>2227500</v>
      </c>
      <c r="AA559" s="24">
        <v>5</v>
      </c>
      <c r="AB559" s="41">
        <f t="shared" ref="AB559" si="207">SUM(U559*AA559)</f>
        <v>14850000</v>
      </c>
      <c r="AC559" s="41">
        <f t="shared" si="193"/>
        <v>0</v>
      </c>
      <c r="AD559" s="70"/>
      <c r="AE559" s="70"/>
      <c r="AF559" s="1">
        <v>12622500</v>
      </c>
      <c r="AG559" s="5">
        <f t="shared" si="176"/>
        <v>0</v>
      </c>
      <c r="AH559" s="5"/>
    </row>
    <row r="560" spans="1:34" s="1" customFormat="1" x14ac:dyDescent="0.25">
      <c r="A560" s="49">
        <v>35</v>
      </c>
      <c r="B560" s="22" t="s">
        <v>1702</v>
      </c>
      <c r="C560" s="22" t="s">
        <v>58</v>
      </c>
      <c r="D560" s="51" t="s">
        <v>649</v>
      </c>
      <c r="E560" s="24" t="s">
        <v>650</v>
      </c>
      <c r="F560" s="24"/>
      <c r="G560" s="24" t="s">
        <v>61</v>
      </c>
      <c r="H560" s="24" t="s">
        <v>62</v>
      </c>
      <c r="I560" s="24">
        <v>2011</v>
      </c>
      <c r="J560" s="24"/>
      <c r="K560" s="24" t="s">
        <v>63</v>
      </c>
      <c r="L560" s="24" t="s">
        <v>64</v>
      </c>
      <c r="M560" s="24">
        <v>1</v>
      </c>
      <c r="N560" s="41">
        <f t="shared" ref="N560:N580" si="208">SUM(O560/M560)</f>
        <v>1700000</v>
      </c>
      <c r="O560" s="41">
        <v>1700000</v>
      </c>
      <c r="P560" s="24"/>
      <c r="Q560" s="24"/>
      <c r="R560" s="24"/>
      <c r="S560" s="41">
        <f t="shared" si="189"/>
        <v>1700000</v>
      </c>
      <c r="T560" s="24">
        <v>5</v>
      </c>
      <c r="U560" s="41"/>
      <c r="V560" s="24">
        <v>0.5</v>
      </c>
      <c r="W560" s="41">
        <f t="shared" ref="W560:W589" si="209">SUM(U560*V560)</f>
        <v>0</v>
      </c>
      <c r="X560" s="177"/>
      <c r="Y560" s="53">
        <f t="shared" ref="Y560:Y589" si="210">SUM(U560*X560)</f>
        <v>0</v>
      </c>
      <c r="Z560" s="53">
        <f t="shared" ref="Z560:Z589" si="211">SUM(W560+Y560)</f>
        <v>0</v>
      </c>
      <c r="AA560" s="53">
        <v>5</v>
      </c>
      <c r="AB560" s="53">
        <v>1700000</v>
      </c>
      <c r="AC560" s="53">
        <f t="shared" si="193"/>
        <v>0</v>
      </c>
      <c r="AD560" s="52" t="s">
        <v>295</v>
      </c>
      <c r="AE560" s="70"/>
      <c r="AF560" s="1">
        <v>1700000</v>
      </c>
      <c r="AG560" s="5">
        <f t="shared" si="176"/>
        <v>0</v>
      </c>
      <c r="AH560" s="5"/>
    </row>
    <row r="561" spans="1:34" s="1" customFormat="1" x14ac:dyDescent="0.25">
      <c r="A561" s="49">
        <v>36</v>
      </c>
      <c r="B561" s="22" t="s">
        <v>1702</v>
      </c>
      <c r="C561" s="22" t="s">
        <v>75</v>
      </c>
      <c r="D561" s="51" t="s">
        <v>651</v>
      </c>
      <c r="E561" s="24" t="s">
        <v>650</v>
      </c>
      <c r="F561" s="24"/>
      <c r="G561" s="24" t="s">
        <v>61</v>
      </c>
      <c r="H561" s="24" t="s">
        <v>62</v>
      </c>
      <c r="I561" s="24">
        <v>2011</v>
      </c>
      <c r="J561" s="24"/>
      <c r="K561" s="24" t="s">
        <v>63</v>
      </c>
      <c r="L561" s="24" t="s">
        <v>64</v>
      </c>
      <c r="M561" s="24">
        <v>1</v>
      </c>
      <c r="N561" s="41">
        <f t="shared" si="208"/>
        <v>1700000</v>
      </c>
      <c r="O561" s="41">
        <v>1700000</v>
      </c>
      <c r="P561" s="24"/>
      <c r="Q561" s="24"/>
      <c r="R561" s="24"/>
      <c r="S561" s="41">
        <f t="shared" si="189"/>
        <v>1700000</v>
      </c>
      <c r="T561" s="24">
        <v>5</v>
      </c>
      <c r="U561" s="41"/>
      <c r="V561" s="24">
        <v>0.5</v>
      </c>
      <c r="W561" s="41">
        <f t="shared" si="209"/>
        <v>0</v>
      </c>
      <c r="X561" s="24"/>
      <c r="Y561" s="41">
        <f t="shared" si="210"/>
        <v>0</v>
      </c>
      <c r="Z561" s="41">
        <f t="shared" si="211"/>
        <v>0</v>
      </c>
      <c r="AA561" s="69">
        <v>5</v>
      </c>
      <c r="AB561" s="41">
        <v>1700000</v>
      </c>
      <c r="AC561" s="41">
        <f t="shared" si="193"/>
        <v>0</v>
      </c>
      <c r="AD561" s="70" t="s">
        <v>297</v>
      </c>
      <c r="AE561" s="70"/>
      <c r="AF561" s="1">
        <v>1700000</v>
      </c>
      <c r="AG561" s="5">
        <f t="shared" si="176"/>
        <v>0</v>
      </c>
      <c r="AH561" s="5"/>
    </row>
    <row r="562" spans="1:34" s="1" customFormat="1" x14ac:dyDescent="0.25">
      <c r="A562" s="49">
        <v>37</v>
      </c>
      <c r="B562" s="22" t="s">
        <v>1703</v>
      </c>
      <c r="C562" s="22" t="s">
        <v>58</v>
      </c>
      <c r="D562" s="51" t="s">
        <v>947</v>
      </c>
      <c r="E562" s="24" t="s">
        <v>948</v>
      </c>
      <c r="F562" s="24"/>
      <c r="G562" s="24" t="s">
        <v>194</v>
      </c>
      <c r="H562" s="24" t="s">
        <v>62</v>
      </c>
      <c r="I562" s="24">
        <v>2009</v>
      </c>
      <c r="J562" s="24"/>
      <c r="K562" s="24" t="s">
        <v>63</v>
      </c>
      <c r="L562" s="24" t="s">
        <v>64</v>
      </c>
      <c r="M562" s="24">
        <v>1</v>
      </c>
      <c r="N562" s="41">
        <f t="shared" si="208"/>
        <v>6850000</v>
      </c>
      <c r="O562" s="41">
        <v>6850000</v>
      </c>
      <c r="P562" s="24"/>
      <c r="Q562" s="24"/>
      <c r="R562" s="24"/>
      <c r="S562" s="41">
        <f t="shared" si="189"/>
        <v>6850000</v>
      </c>
      <c r="T562" s="24">
        <v>5</v>
      </c>
      <c r="U562" s="41"/>
      <c r="V562" s="24">
        <v>0.5</v>
      </c>
      <c r="W562" s="41">
        <f t="shared" si="209"/>
        <v>0</v>
      </c>
      <c r="X562" s="24"/>
      <c r="Y562" s="41">
        <f t="shared" si="210"/>
        <v>0</v>
      </c>
      <c r="Z562" s="41">
        <f t="shared" si="211"/>
        <v>0</v>
      </c>
      <c r="AA562" s="24">
        <v>5</v>
      </c>
      <c r="AB562" s="41">
        <v>6850000</v>
      </c>
      <c r="AC562" s="41">
        <f t="shared" si="193"/>
        <v>0</v>
      </c>
      <c r="AD562" s="70" t="s">
        <v>949</v>
      </c>
      <c r="AE562" s="70"/>
      <c r="AF562" s="1">
        <v>6850000</v>
      </c>
      <c r="AG562" s="5">
        <f t="shared" si="176"/>
        <v>0</v>
      </c>
      <c r="AH562" s="5"/>
    </row>
    <row r="563" spans="1:34" s="1" customFormat="1" x14ac:dyDescent="0.25">
      <c r="A563" s="49">
        <v>38</v>
      </c>
      <c r="B563" s="22" t="s">
        <v>1703</v>
      </c>
      <c r="C563" s="22" t="s">
        <v>209</v>
      </c>
      <c r="D563" s="51" t="s">
        <v>950</v>
      </c>
      <c r="E563" s="24" t="s">
        <v>951</v>
      </c>
      <c r="F563" s="24"/>
      <c r="G563" s="24" t="s">
        <v>194</v>
      </c>
      <c r="H563" s="24" t="s">
        <v>62</v>
      </c>
      <c r="I563" s="24">
        <v>2011</v>
      </c>
      <c r="J563" s="24"/>
      <c r="K563" s="24" t="s">
        <v>63</v>
      </c>
      <c r="L563" s="24" t="s">
        <v>64</v>
      </c>
      <c r="M563" s="24">
        <v>2</v>
      </c>
      <c r="N563" s="41">
        <f t="shared" si="208"/>
        <v>2750000</v>
      </c>
      <c r="O563" s="41">
        <v>5500000</v>
      </c>
      <c r="P563" s="24"/>
      <c r="Q563" s="24"/>
      <c r="R563" s="24"/>
      <c r="S563" s="41">
        <f t="shared" si="189"/>
        <v>5500000</v>
      </c>
      <c r="T563" s="24">
        <v>5</v>
      </c>
      <c r="U563" s="41"/>
      <c r="V563" s="24">
        <v>0.5</v>
      </c>
      <c r="W563" s="41">
        <f t="shared" si="209"/>
        <v>0</v>
      </c>
      <c r="X563" s="24"/>
      <c r="Y563" s="41">
        <f t="shared" si="210"/>
        <v>0</v>
      </c>
      <c r="Z563" s="41">
        <f t="shared" si="211"/>
        <v>0</v>
      </c>
      <c r="AA563" s="24">
        <v>5</v>
      </c>
      <c r="AB563" s="41">
        <v>5500000</v>
      </c>
      <c r="AC563" s="41">
        <f t="shared" si="193"/>
        <v>0</v>
      </c>
      <c r="AD563" s="70" t="s">
        <v>287</v>
      </c>
      <c r="AE563" s="70"/>
      <c r="AF563" s="1">
        <v>5500000</v>
      </c>
      <c r="AG563" s="5">
        <f t="shared" si="176"/>
        <v>0</v>
      </c>
      <c r="AH563" s="5"/>
    </row>
    <row r="564" spans="1:34" s="1" customFormat="1" x14ac:dyDescent="0.25">
      <c r="A564" s="49">
        <v>39</v>
      </c>
      <c r="B564" s="22" t="s">
        <v>1703</v>
      </c>
      <c r="C564" s="22" t="s">
        <v>633</v>
      </c>
      <c r="D564" s="51" t="s">
        <v>950</v>
      </c>
      <c r="E564" s="24" t="s">
        <v>951</v>
      </c>
      <c r="F564" s="24"/>
      <c r="G564" s="24" t="s">
        <v>194</v>
      </c>
      <c r="H564" s="24" t="s">
        <v>62</v>
      </c>
      <c r="I564" s="24">
        <v>2011</v>
      </c>
      <c r="J564" s="24"/>
      <c r="K564" s="24" t="s">
        <v>63</v>
      </c>
      <c r="L564" s="24" t="s">
        <v>64</v>
      </c>
      <c r="M564" s="24">
        <v>2</v>
      </c>
      <c r="N564" s="41">
        <f t="shared" si="208"/>
        <v>2750000</v>
      </c>
      <c r="O564" s="41">
        <v>5500000</v>
      </c>
      <c r="P564" s="24"/>
      <c r="Q564" s="24"/>
      <c r="R564" s="24"/>
      <c r="S564" s="41">
        <f t="shared" si="189"/>
        <v>5500000</v>
      </c>
      <c r="T564" s="24">
        <v>5</v>
      </c>
      <c r="U564" s="41"/>
      <c r="V564" s="24">
        <v>0.5</v>
      </c>
      <c r="W564" s="41">
        <f t="shared" si="209"/>
        <v>0</v>
      </c>
      <c r="X564" s="24"/>
      <c r="Y564" s="41">
        <f t="shared" si="210"/>
        <v>0</v>
      </c>
      <c r="Z564" s="41">
        <f t="shared" si="211"/>
        <v>0</v>
      </c>
      <c r="AA564" s="24">
        <v>5</v>
      </c>
      <c r="AB564" s="41">
        <v>5500000</v>
      </c>
      <c r="AC564" s="41">
        <f t="shared" si="193"/>
        <v>0</v>
      </c>
      <c r="AD564" s="70" t="s">
        <v>303</v>
      </c>
      <c r="AE564" s="70"/>
      <c r="AF564" s="1">
        <v>5500000</v>
      </c>
      <c r="AG564" s="5">
        <f t="shared" si="176"/>
        <v>0</v>
      </c>
      <c r="AH564" s="5"/>
    </row>
    <row r="565" spans="1:34" s="1" customFormat="1" x14ac:dyDescent="0.25">
      <c r="A565" s="49">
        <v>40</v>
      </c>
      <c r="B565" s="22" t="s">
        <v>1703</v>
      </c>
      <c r="C565" s="22" t="s">
        <v>952</v>
      </c>
      <c r="D565" s="51" t="s">
        <v>950</v>
      </c>
      <c r="E565" s="24" t="s">
        <v>953</v>
      </c>
      <c r="F565" s="24"/>
      <c r="G565" s="24" t="s">
        <v>194</v>
      </c>
      <c r="H565" s="24" t="s">
        <v>62</v>
      </c>
      <c r="I565" s="24">
        <v>2011</v>
      </c>
      <c r="J565" s="24"/>
      <c r="K565" s="24" t="s">
        <v>63</v>
      </c>
      <c r="L565" s="24" t="s">
        <v>64</v>
      </c>
      <c r="M565" s="24">
        <v>4</v>
      </c>
      <c r="N565" s="41">
        <f t="shared" si="208"/>
        <v>3000000</v>
      </c>
      <c r="O565" s="41">
        <v>12000000</v>
      </c>
      <c r="P565" s="24"/>
      <c r="Q565" s="24"/>
      <c r="R565" s="24"/>
      <c r="S565" s="41">
        <f t="shared" si="189"/>
        <v>12000000</v>
      </c>
      <c r="T565" s="24">
        <v>5</v>
      </c>
      <c r="U565" s="41"/>
      <c r="V565" s="24">
        <v>0.5</v>
      </c>
      <c r="W565" s="41">
        <f t="shared" si="209"/>
        <v>0</v>
      </c>
      <c r="X565" s="24"/>
      <c r="Y565" s="41">
        <f t="shared" si="210"/>
        <v>0</v>
      </c>
      <c r="Z565" s="41">
        <f t="shared" si="211"/>
        <v>0</v>
      </c>
      <c r="AA565" s="24">
        <v>5</v>
      </c>
      <c r="AB565" s="41">
        <v>12000000</v>
      </c>
      <c r="AC565" s="41">
        <f t="shared" si="193"/>
        <v>0</v>
      </c>
      <c r="AD565" s="70" t="s">
        <v>295</v>
      </c>
      <c r="AE565" s="70"/>
      <c r="AF565" s="1">
        <v>12000000</v>
      </c>
      <c r="AG565" s="5">
        <f t="shared" si="176"/>
        <v>0</v>
      </c>
      <c r="AH565" s="5"/>
    </row>
    <row r="566" spans="1:34" s="1" customFormat="1" x14ac:dyDescent="0.25">
      <c r="A566" s="49">
        <v>41</v>
      </c>
      <c r="B566" s="22" t="s">
        <v>1703</v>
      </c>
      <c r="C566" s="22" t="s">
        <v>954</v>
      </c>
      <c r="D566" s="51" t="s">
        <v>950</v>
      </c>
      <c r="E566" s="24" t="s">
        <v>953</v>
      </c>
      <c r="F566" s="24"/>
      <c r="G566" s="24" t="s">
        <v>194</v>
      </c>
      <c r="H566" s="24" t="s">
        <v>62</v>
      </c>
      <c r="I566" s="24">
        <v>2011</v>
      </c>
      <c r="J566" s="24"/>
      <c r="K566" s="24" t="s">
        <v>63</v>
      </c>
      <c r="L566" s="24" t="s">
        <v>64</v>
      </c>
      <c r="M566" s="24">
        <v>4</v>
      </c>
      <c r="N566" s="41">
        <f t="shared" si="208"/>
        <v>3000000</v>
      </c>
      <c r="O566" s="41">
        <v>12000000</v>
      </c>
      <c r="P566" s="24"/>
      <c r="Q566" s="24"/>
      <c r="R566" s="24"/>
      <c r="S566" s="41">
        <f t="shared" si="189"/>
        <v>12000000</v>
      </c>
      <c r="T566" s="24">
        <v>5</v>
      </c>
      <c r="U566" s="41"/>
      <c r="V566" s="24">
        <v>0.5</v>
      </c>
      <c r="W566" s="41">
        <f t="shared" si="209"/>
        <v>0</v>
      </c>
      <c r="X566" s="24"/>
      <c r="Y566" s="41">
        <f t="shared" si="210"/>
        <v>0</v>
      </c>
      <c r="Z566" s="41">
        <f t="shared" si="211"/>
        <v>0</v>
      </c>
      <c r="AA566" s="24">
        <v>5</v>
      </c>
      <c r="AB566" s="41">
        <v>12000000</v>
      </c>
      <c r="AC566" s="41">
        <f t="shared" si="193"/>
        <v>0</v>
      </c>
      <c r="AD566" s="70" t="s">
        <v>297</v>
      </c>
      <c r="AE566" s="70"/>
      <c r="AF566" s="1">
        <v>12000000</v>
      </c>
      <c r="AG566" s="5">
        <f t="shared" si="176"/>
        <v>0</v>
      </c>
      <c r="AH566" s="5"/>
    </row>
    <row r="567" spans="1:34" s="1" customFormat="1" x14ac:dyDescent="0.25">
      <c r="A567" s="49">
        <v>42</v>
      </c>
      <c r="B567" s="22" t="s">
        <v>1703</v>
      </c>
      <c r="C567" s="22" t="s">
        <v>955</v>
      </c>
      <c r="D567" s="51" t="s">
        <v>950</v>
      </c>
      <c r="E567" s="24" t="s">
        <v>956</v>
      </c>
      <c r="F567" s="24"/>
      <c r="G567" s="24" t="s">
        <v>194</v>
      </c>
      <c r="H567" s="24" t="s">
        <v>62</v>
      </c>
      <c r="I567" s="24">
        <v>2012</v>
      </c>
      <c r="J567" s="24"/>
      <c r="K567" s="24" t="s">
        <v>63</v>
      </c>
      <c r="L567" s="24" t="s">
        <v>64</v>
      </c>
      <c r="M567" s="24">
        <v>4</v>
      </c>
      <c r="N567" s="41">
        <f t="shared" si="208"/>
        <v>5700000</v>
      </c>
      <c r="O567" s="41">
        <v>22800000</v>
      </c>
      <c r="P567" s="24"/>
      <c r="Q567" s="24"/>
      <c r="R567" s="24"/>
      <c r="S567" s="41">
        <f t="shared" si="189"/>
        <v>22800000</v>
      </c>
      <c r="T567" s="24">
        <v>5</v>
      </c>
      <c r="U567" s="41"/>
      <c r="V567" s="24">
        <v>0.5</v>
      </c>
      <c r="W567" s="41">
        <f t="shared" si="209"/>
        <v>0</v>
      </c>
      <c r="X567" s="24"/>
      <c r="Y567" s="41">
        <f t="shared" si="210"/>
        <v>0</v>
      </c>
      <c r="Z567" s="41">
        <f t="shared" si="211"/>
        <v>0</v>
      </c>
      <c r="AA567" s="24">
        <v>5</v>
      </c>
      <c r="AB567" s="41">
        <v>22800000</v>
      </c>
      <c r="AC567" s="41">
        <f t="shared" si="193"/>
        <v>0</v>
      </c>
      <c r="AD567" s="70" t="s">
        <v>957</v>
      </c>
      <c r="AE567" s="70"/>
      <c r="AF567" s="1">
        <v>22800000</v>
      </c>
      <c r="AG567" s="5">
        <f t="shared" si="176"/>
        <v>0</v>
      </c>
      <c r="AH567" s="5"/>
    </row>
    <row r="568" spans="1:34" s="1" customFormat="1" x14ac:dyDescent="0.25">
      <c r="A568" s="49">
        <v>43</v>
      </c>
      <c r="B568" s="22" t="s">
        <v>1703</v>
      </c>
      <c r="C568" s="22" t="s">
        <v>153</v>
      </c>
      <c r="D568" s="51" t="s">
        <v>958</v>
      </c>
      <c r="E568" s="24" t="s">
        <v>959</v>
      </c>
      <c r="F568" s="24"/>
      <c r="G568" s="24" t="s">
        <v>194</v>
      </c>
      <c r="H568" s="24" t="s">
        <v>62</v>
      </c>
      <c r="I568" s="24">
        <v>2012</v>
      </c>
      <c r="J568" s="24"/>
      <c r="K568" s="24" t="s">
        <v>63</v>
      </c>
      <c r="L568" s="24" t="s">
        <v>64</v>
      </c>
      <c r="M568" s="24">
        <v>1</v>
      </c>
      <c r="N568" s="41">
        <f t="shared" si="208"/>
        <v>10075000</v>
      </c>
      <c r="O568" s="41">
        <v>10075000</v>
      </c>
      <c r="P568" s="24"/>
      <c r="Q568" s="24"/>
      <c r="R568" s="24"/>
      <c r="S568" s="41">
        <f t="shared" si="189"/>
        <v>10075000</v>
      </c>
      <c r="T568" s="24">
        <v>5</v>
      </c>
      <c r="U568" s="41"/>
      <c r="V568" s="24">
        <v>0.5</v>
      </c>
      <c r="W568" s="41">
        <f t="shared" si="209"/>
        <v>0</v>
      </c>
      <c r="X568" s="24"/>
      <c r="Y568" s="41">
        <f t="shared" si="210"/>
        <v>0</v>
      </c>
      <c r="Z568" s="41">
        <f t="shared" si="211"/>
        <v>0</v>
      </c>
      <c r="AA568" s="24">
        <v>5</v>
      </c>
      <c r="AB568" s="41">
        <v>10075000</v>
      </c>
      <c r="AC568" s="41">
        <f t="shared" si="193"/>
        <v>0</v>
      </c>
      <c r="AD568" s="70" t="s">
        <v>939</v>
      </c>
      <c r="AE568" s="70"/>
      <c r="AF568" s="1">
        <v>10075000</v>
      </c>
      <c r="AG568" s="5">
        <f t="shared" si="176"/>
        <v>0</v>
      </c>
      <c r="AH568" s="5"/>
    </row>
    <row r="569" spans="1:34" s="1" customFormat="1" x14ac:dyDescent="0.25">
      <c r="A569" s="49">
        <v>44</v>
      </c>
      <c r="B569" s="22" t="s">
        <v>1703</v>
      </c>
      <c r="C569" s="22" t="s">
        <v>209</v>
      </c>
      <c r="D569" s="51" t="s">
        <v>990</v>
      </c>
      <c r="E569" s="24" t="s">
        <v>991</v>
      </c>
      <c r="F569" s="24"/>
      <c r="G569" s="24" t="s">
        <v>194</v>
      </c>
      <c r="H569" s="24" t="s">
        <v>62</v>
      </c>
      <c r="I569" s="24">
        <v>2011</v>
      </c>
      <c r="J569" s="24"/>
      <c r="K569" s="24" t="s">
        <v>63</v>
      </c>
      <c r="L569" s="24" t="s">
        <v>64</v>
      </c>
      <c r="M569" s="24">
        <v>2</v>
      </c>
      <c r="N569" s="41">
        <f t="shared" si="208"/>
        <v>14750000</v>
      </c>
      <c r="O569" s="41">
        <v>29500000</v>
      </c>
      <c r="P569" s="24"/>
      <c r="Q569" s="24"/>
      <c r="R569" s="24"/>
      <c r="S569" s="41">
        <f t="shared" si="189"/>
        <v>29500000</v>
      </c>
      <c r="T569" s="24">
        <v>5</v>
      </c>
      <c r="U569" s="41"/>
      <c r="V569" s="24">
        <v>0.5</v>
      </c>
      <c r="W569" s="41">
        <f t="shared" si="209"/>
        <v>0</v>
      </c>
      <c r="X569" s="24"/>
      <c r="Y569" s="41">
        <f t="shared" si="210"/>
        <v>0</v>
      </c>
      <c r="Z569" s="41">
        <f t="shared" si="211"/>
        <v>0</v>
      </c>
      <c r="AA569" s="24">
        <v>5</v>
      </c>
      <c r="AB569" s="41">
        <v>29500000</v>
      </c>
      <c r="AC569" s="41">
        <f t="shared" si="193"/>
        <v>0</v>
      </c>
      <c r="AD569" s="70" t="s">
        <v>295</v>
      </c>
      <c r="AE569" s="70"/>
      <c r="AF569" s="1">
        <v>29500000</v>
      </c>
      <c r="AG569" s="5">
        <f t="shared" si="176"/>
        <v>0</v>
      </c>
      <c r="AH569" s="5"/>
    </row>
    <row r="570" spans="1:34" s="1" customFormat="1" x14ac:dyDescent="0.25">
      <c r="A570" s="49">
        <v>45</v>
      </c>
      <c r="B570" s="22" t="s">
        <v>1703</v>
      </c>
      <c r="C570" s="22" t="s">
        <v>633</v>
      </c>
      <c r="D570" s="51" t="s">
        <v>992</v>
      </c>
      <c r="E570" s="24" t="s">
        <v>993</v>
      </c>
      <c r="F570" s="24"/>
      <c r="G570" s="24" t="s">
        <v>194</v>
      </c>
      <c r="H570" s="24" t="s">
        <v>62</v>
      </c>
      <c r="I570" s="24">
        <v>2012</v>
      </c>
      <c r="J570" s="24"/>
      <c r="K570" s="24" t="s">
        <v>63</v>
      </c>
      <c r="L570" s="24" t="s">
        <v>64</v>
      </c>
      <c r="M570" s="24">
        <v>2</v>
      </c>
      <c r="N570" s="41">
        <f t="shared" si="208"/>
        <v>7800000</v>
      </c>
      <c r="O570" s="41">
        <v>15600000</v>
      </c>
      <c r="P570" s="24"/>
      <c r="Q570" s="24"/>
      <c r="R570" s="24"/>
      <c r="S570" s="41">
        <f t="shared" si="189"/>
        <v>15600000</v>
      </c>
      <c r="T570" s="24">
        <v>5</v>
      </c>
      <c r="U570" s="41"/>
      <c r="V570" s="24">
        <v>0.5</v>
      </c>
      <c r="W570" s="41">
        <f t="shared" si="209"/>
        <v>0</v>
      </c>
      <c r="X570" s="24"/>
      <c r="Y570" s="41">
        <f t="shared" si="210"/>
        <v>0</v>
      </c>
      <c r="Z570" s="41">
        <f t="shared" si="211"/>
        <v>0</v>
      </c>
      <c r="AA570" s="24">
        <v>5</v>
      </c>
      <c r="AB570" s="41">
        <v>15600000</v>
      </c>
      <c r="AC570" s="41">
        <f t="shared" si="193"/>
        <v>0</v>
      </c>
      <c r="AD570" s="70" t="s">
        <v>985</v>
      </c>
      <c r="AE570" s="70"/>
      <c r="AF570" s="1">
        <v>15600000</v>
      </c>
      <c r="AG570" s="5">
        <f t="shared" si="176"/>
        <v>0</v>
      </c>
      <c r="AH570" s="5"/>
    </row>
    <row r="571" spans="1:34" s="1" customFormat="1" x14ac:dyDescent="0.25">
      <c r="A571" s="49">
        <v>46</v>
      </c>
      <c r="B571" s="22" t="s">
        <v>1703</v>
      </c>
      <c r="C571" s="22" t="s">
        <v>58</v>
      </c>
      <c r="D571" s="51" t="s">
        <v>998</v>
      </c>
      <c r="E571" s="24" t="s">
        <v>999</v>
      </c>
      <c r="F571" s="24" t="s">
        <v>1000</v>
      </c>
      <c r="G571" s="24" t="s">
        <v>194</v>
      </c>
      <c r="H571" s="24" t="s">
        <v>62</v>
      </c>
      <c r="I571" s="24">
        <v>2015</v>
      </c>
      <c r="J571" s="24"/>
      <c r="K571" s="24" t="s">
        <v>63</v>
      </c>
      <c r="L571" s="24" t="s">
        <v>64</v>
      </c>
      <c r="M571" s="24">
        <v>1</v>
      </c>
      <c r="N571" s="41">
        <f t="shared" si="208"/>
        <v>10950000</v>
      </c>
      <c r="O571" s="41">
        <v>10950000</v>
      </c>
      <c r="P571" s="24"/>
      <c r="Q571" s="24"/>
      <c r="R571" s="24"/>
      <c r="S571" s="41">
        <f t="shared" si="189"/>
        <v>10950000</v>
      </c>
      <c r="T571" s="24">
        <v>5</v>
      </c>
      <c r="U571" s="41">
        <f t="shared" ref="U571:U580" si="212">SUM(S571/T571)</f>
        <v>2190000</v>
      </c>
      <c r="V571" s="24">
        <v>0.5</v>
      </c>
      <c r="W571" s="41"/>
      <c r="X571" s="24"/>
      <c r="Y571" s="41">
        <f t="shared" si="210"/>
        <v>0</v>
      </c>
      <c r="Z571" s="41"/>
      <c r="AA571" s="24">
        <v>5</v>
      </c>
      <c r="AB571" s="41">
        <f t="shared" ref="AB571:AB580" si="213">SUM(U571*AA571)</f>
        <v>10950000</v>
      </c>
      <c r="AC571" s="41">
        <f t="shared" si="193"/>
        <v>0</v>
      </c>
      <c r="AD571" s="70" t="s">
        <v>213</v>
      </c>
      <c r="AE571" s="70"/>
      <c r="AF571" s="1">
        <v>10950000</v>
      </c>
      <c r="AG571" s="5">
        <f t="shared" si="176"/>
        <v>0</v>
      </c>
      <c r="AH571" s="5"/>
    </row>
    <row r="572" spans="1:34" s="1" customFormat="1" x14ac:dyDescent="0.25">
      <c r="A572" s="49">
        <v>47</v>
      </c>
      <c r="B572" s="22" t="s">
        <v>1703</v>
      </c>
      <c r="C572" s="22" t="s">
        <v>58</v>
      </c>
      <c r="D572" s="51" t="s">
        <v>1001</v>
      </c>
      <c r="E572" s="24" t="s">
        <v>654</v>
      </c>
      <c r="F572" s="24"/>
      <c r="G572" s="24" t="s">
        <v>194</v>
      </c>
      <c r="H572" s="24" t="s">
        <v>62</v>
      </c>
      <c r="I572" s="24">
        <v>2015</v>
      </c>
      <c r="J572" s="24"/>
      <c r="K572" s="24" t="s">
        <v>63</v>
      </c>
      <c r="L572" s="24" t="s">
        <v>64</v>
      </c>
      <c r="M572" s="24">
        <v>1</v>
      </c>
      <c r="N572" s="41">
        <f t="shared" si="208"/>
        <v>775000</v>
      </c>
      <c r="O572" s="41">
        <v>775000</v>
      </c>
      <c r="P572" s="24"/>
      <c r="Q572" s="24"/>
      <c r="R572" s="24"/>
      <c r="S572" s="41">
        <f t="shared" si="189"/>
        <v>775000</v>
      </c>
      <c r="T572" s="24">
        <v>5</v>
      </c>
      <c r="U572" s="41">
        <f t="shared" si="212"/>
        <v>155000</v>
      </c>
      <c r="V572" s="24">
        <v>0.5</v>
      </c>
      <c r="W572" s="41"/>
      <c r="X572" s="24"/>
      <c r="Y572" s="41">
        <f>SUM(U572*X572)</f>
        <v>0</v>
      </c>
      <c r="Z572" s="41"/>
      <c r="AA572" s="72">
        <v>5</v>
      </c>
      <c r="AB572" s="41">
        <f t="shared" si="213"/>
        <v>775000</v>
      </c>
      <c r="AC572" s="41">
        <f t="shared" si="193"/>
        <v>0</v>
      </c>
      <c r="AD572" s="70" t="s">
        <v>243</v>
      </c>
      <c r="AE572" s="70"/>
      <c r="AF572" s="1">
        <v>775000</v>
      </c>
      <c r="AG572" s="5">
        <f t="shared" si="176"/>
        <v>0</v>
      </c>
      <c r="AH572" s="5"/>
    </row>
    <row r="573" spans="1:34" s="1" customFormat="1" x14ac:dyDescent="0.25">
      <c r="A573" s="49">
        <v>48</v>
      </c>
      <c r="B573" s="22" t="s">
        <v>1703</v>
      </c>
      <c r="C573" s="22" t="s">
        <v>75</v>
      </c>
      <c r="D573" s="51" t="s">
        <v>1001</v>
      </c>
      <c r="E573" s="24" t="s">
        <v>654</v>
      </c>
      <c r="F573" s="24"/>
      <c r="G573" s="24" t="s">
        <v>194</v>
      </c>
      <c r="H573" s="24" t="s">
        <v>62</v>
      </c>
      <c r="I573" s="24">
        <v>2015</v>
      </c>
      <c r="J573" s="24"/>
      <c r="K573" s="24" t="s">
        <v>63</v>
      </c>
      <c r="L573" s="24" t="s">
        <v>64</v>
      </c>
      <c r="M573" s="24">
        <v>1</v>
      </c>
      <c r="N573" s="41">
        <f t="shared" si="208"/>
        <v>775000</v>
      </c>
      <c r="O573" s="41">
        <v>775000</v>
      </c>
      <c r="P573" s="24"/>
      <c r="Q573" s="24"/>
      <c r="R573" s="24"/>
      <c r="S573" s="41">
        <f t="shared" si="189"/>
        <v>775000</v>
      </c>
      <c r="T573" s="24">
        <v>5</v>
      </c>
      <c r="U573" s="41">
        <f t="shared" si="212"/>
        <v>155000</v>
      </c>
      <c r="V573" s="24">
        <v>0.5</v>
      </c>
      <c r="W573" s="41"/>
      <c r="X573" s="24"/>
      <c r="Y573" s="41">
        <f>SUM(U573*X573)</f>
        <v>0</v>
      </c>
      <c r="Z573" s="41"/>
      <c r="AA573" s="72">
        <v>5</v>
      </c>
      <c r="AB573" s="41">
        <f t="shared" si="213"/>
        <v>775000</v>
      </c>
      <c r="AC573" s="41">
        <f t="shared" si="193"/>
        <v>0</v>
      </c>
      <c r="AD573" s="70" t="s">
        <v>562</v>
      </c>
      <c r="AE573" s="70"/>
      <c r="AF573" s="1">
        <v>775000</v>
      </c>
      <c r="AG573" s="5">
        <f t="shared" ref="AG573:AG636" si="214">AF573+Z573-AB573</f>
        <v>0</v>
      </c>
      <c r="AH573" s="5"/>
    </row>
    <row r="574" spans="1:34" s="1" customFormat="1" x14ac:dyDescent="0.25">
      <c r="A574" s="49">
        <v>49</v>
      </c>
      <c r="B574" s="22" t="s">
        <v>1703</v>
      </c>
      <c r="C574" s="22" t="s">
        <v>79</v>
      </c>
      <c r="D574" s="51" t="s">
        <v>1001</v>
      </c>
      <c r="E574" s="24" t="s">
        <v>654</v>
      </c>
      <c r="F574" s="24"/>
      <c r="G574" s="24" t="s">
        <v>194</v>
      </c>
      <c r="H574" s="24" t="s">
        <v>62</v>
      </c>
      <c r="I574" s="24">
        <v>2015</v>
      </c>
      <c r="J574" s="24"/>
      <c r="K574" s="24" t="s">
        <v>63</v>
      </c>
      <c r="L574" s="24" t="s">
        <v>64</v>
      </c>
      <c r="M574" s="24">
        <v>1</v>
      </c>
      <c r="N574" s="41">
        <f t="shared" si="208"/>
        <v>775000</v>
      </c>
      <c r="O574" s="41">
        <v>775000</v>
      </c>
      <c r="P574" s="24"/>
      <c r="Q574" s="24"/>
      <c r="R574" s="24"/>
      <c r="S574" s="41">
        <f t="shared" si="189"/>
        <v>775000</v>
      </c>
      <c r="T574" s="24">
        <v>5</v>
      </c>
      <c r="U574" s="41">
        <f t="shared" si="212"/>
        <v>155000</v>
      </c>
      <c r="V574" s="24">
        <v>0.5</v>
      </c>
      <c r="W574" s="41"/>
      <c r="X574" s="24"/>
      <c r="Y574" s="41">
        <f t="shared" ref="Y574:Y575" si="215">SUM(U574*X574)</f>
        <v>0</v>
      </c>
      <c r="Z574" s="41"/>
      <c r="AA574" s="72">
        <v>5</v>
      </c>
      <c r="AB574" s="41">
        <f t="shared" si="213"/>
        <v>775000</v>
      </c>
      <c r="AC574" s="41">
        <f t="shared" si="193"/>
        <v>0</v>
      </c>
      <c r="AD574" s="70" t="s">
        <v>363</v>
      </c>
      <c r="AE574" s="70"/>
      <c r="AF574" s="1">
        <v>775000</v>
      </c>
      <c r="AG574" s="5">
        <f t="shared" si="214"/>
        <v>0</v>
      </c>
      <c r="AH574" s="5"/>
    </row>
    <row r="575" spans="1:34" s="1" customFormat="1" x14ac:dyDescent="0.25">
      <c r="A575" s="49">
        <v>50</v>
      </c>
      <c r="B575" s="22" t="s">
        <v>1703</v>
      </c>
      <c r="C575" s="22" t="s">
        <v>84</v>
      </c>
      <c r="D575" s="51" t="s">
        <v>1001</v>
      </c>
      <c r="E575" s="24" t="s">
        <v>654</v>
      </c>
      <c r="F575" s="24"/>
      <c r="G575" s="24" t="s">
        <v>194</v>
      </c>
      <c r="H575" s="24" t="s">
        <v>62</v>
      </c>
      <c r="I575" s="24">
        <v>2015</v>
      </c>
      <c r="J575" s="24"/>
      <c r="K575" s="24" t="s">
        <v>63</v>
      </c>
      <c r="L575" s="24" t="s">
        <v>64</v>
      </c>
      <c r="M575" s="24">
        <v>1</v>
      </c>
      <c r="N575" s="41">
        <f t="shared" si="208"/>
        <v>775000</v>
      </c>
      <c r="O575" s="41">
        <v>775000</v>
      </c>
      <c r="P575" s="24"/>
      <c r="Q575" s="24"/>
      <c r="R575" s="24"/>
      <c r="S575" s="41">
        <f t="shared" si="189"/>
        <v>775000</v>
      </c>
      <c r="T575" s="24">
        <v>5</v>
      </c>
      <c r="U575" s="41">
        <f t="shared" si="212"/>
        <v>155000</v>
      </c>
      <c r="V575" s="24">
        <v>0.5</v>
      </c>
      <c r="W575" s="41"/>
      <c r="X575" s="24"/>
      <c r="Y575" s="41">
        <f t="shared" si="215"/>
        <v>0</v>
      </c>
      <c r="Z575" s="41"/>
      <c r="AA575" s="72">
        <v>5</v>
      </c>
      <c r="AB575" s="41">
        <f t="shared" si="213"/>
        <v>775000</v>
      </c>
      <c r="AC575" s="41">
        <f t="shared" si="193"/>
        <v>0</v>
      </c>
      <c r="AD575" s="70" t="s">
        <v>1002</v>
      </c>
      <c r="AE575" s="70"/>
      <c r="AF575" s="1">
        <v>775000</v>
      </c>
      <c r="AG575" s="5">
        <f t="shared" si="214"/>
        <v>0</v>
      </c>
      <c r="AH575" s="5"/>
    </row>
    <row r="576" spans="1:34" s="1" customFormat="1" x14ac:dyDescent="0.25">
      <c r="A576" s="49">
        <v>51</v>
      </c>
      <c r="B576" s="22" t="s">
        <v>1703</v>
      </c>
      <c r="C576" s="22" t="s">
        <v>88</v>
      </c>
      <c r="D576" s="51" t="s">
        <v>1001</v>
      </c>
      <c r="E576" s="24" t="s">
        <v>654</v>
      </c>
      <c r="F576" s="24"/>
      <c r="G576" s="24" t="s">
        <v>194</v>
      </c>
      <c r="H576" s="24" t="s">
        <v>62</v>
      </c>
      <c r="I576" s="24">
        <v>2016</v>
      </c>
      <c r="J576" s="24"/>
      <c r="K576" s="24" t="s">
        <v>63</v>
      </c>
      <c r="L576" s="24" t="s">
        <v>64</v>
      </c>
      <c r="M576" s="24">
        <v>1</v>
      </c>
      <c r="N576" s="41">
        <f t="shared" si="208"/>
        <v>790000</v>
      </c>
      <c r="O576" s="41">
        <v>790000</v>
      </c>
      <c r="P576" s="24"/>
      <c r="Q576" s="24"/>
      <c r="R576" s="24"/>
      <c r="S576" s="41">
        <f t="shared" si="189"/>
        <v>790000</v>
      </c>
      <c r="T576" s="24">
        <v>5</v>
      </c>
      <c r="U576" s="41">
        <f t="shared" si="212"/>
        <v>158000</v>
      </c>
      <c r="V576" s="24"/>
      <c r="W576" s="41"/>
      <c r="X576" s="24"/>
      <c r="Y576" s="41">
        <f t="shared" si="210"/>
        <v>0</v>
      </c>
      <c r="Z576" s="41">
        <f t="shared" si="211"/>
        <v>0</v>
      </c>
      <c r="AA576" s="24">
        <v>5</v>
      </c>
      <c r="AB576" s="41">
        <f t="shared" si="213"/>
        <v>790000</v>
      </c>
      <c r="AC576" s="41">
        <f t="shared" si="193"/>
        <v>0</v>
      </c>
      <c r="AD576" s="70" t="s">
        <v>365</v>
      </c>
      <c r="AE576" s="70"/>
      <c r="AF576" s="1">
        <v>790000</v>
      </c>
      <c r="AG576" s="5">
        <f t="shared" si="214"/>
        <v>0</v>
      </c>
      <c r="AH576" s="5"/>
    </row>
    <row r="577" spans="1:34" s="1" customFormat="1" x14ac:dyDescent="0.25">
      <c r="A577" s="49">
        <v>52</v>
      </c>
      <c r="B577" s="22" t="s">
        <v>1703</v>
      </c>
      <c r="C577" s="22" t="s">
        <v>92</v>
      </c>
      <c r="D577" s="51" t="s">
        <v>1001</v>
      </c>
      <c r="E577" s="24" t="s">
        <v>654</v>
      </c>
      <c r="F577" s="24"/>
      <c r="G577" s="24" t="s">
        <v>194</v>
      </c>
      <c r="H577" s="24" t="s">
        <v>62</v>
      </c>
      <c r="I577" s="24">
        <v>2016</v>
      </c>
      <c r="J577" s="24"/>
      <c r="K577" s="24" t="s">
        <v>63</v>
      </c>
      <c r="L577" s="24" t="s">
        <v>64</v>
      </c>
      <c r="M577" s="24">
        <v>1</v>
      </c>
      <c r="N577" s="41">
        <f t="shared" si="208"/>
        <v>790000</v>
      </c>
      <c r="O577" s="41">
        <v>790000</v>
      </c>
      <c r="P577" s="24"/>
      <c r="Q577" s="24"/>
      <c r="R577" s="24"/>
      <c r="S577" s="41">
        <f t="shared" si="189"/>
        <v>790000</v>
      </c>
      <c r="T577" s="24">
        <v>5</v>
      </c>
      <c r="U577" s="41">
        <f t="shared" si="212"/>
        <v>158000</v>
      </c>
      <c r="V577" s="24"/>
      <c r="W577" s="41"/>
      <c r="X577" s="24"/>
      <c r="Y577" s="41">
        <f t="shared" si="210"/>
        <v>0</v>
      </c>
      <c r="Z577" s="41">
        <f t="shared" si="211"/>
        <v>0</v>
      </c>
      <c r="AA577" s="24">
        <v>5</v>
      </c>
      <c r="AB577" s="41">
        <f t="shared" si="213"/>
        <v>790000</v>
      </c>
      <c r="AC577" s="41">
        <f t="shared" si="193"/>
        <v>0</v>
      </c>
      <c r="AD577" s="70" t="s">
        <v>562</v>
      </c>
      <c r="AE577" s="70"/>
      <c r="AF577" s="1">
        <v>790000</v>
      </c>
      <c r="AG577" s="5">
        <f t="shared" si="214"/>
        <v>0</v>
      </c>
      <c r="AH577" s="5"/>
    </row>
    <row r="578" spans="1:34" s="1" customFormat="1" x14ac:dyDescent="0.25">
      <c r="A578" s="49">
        <v>53</v>
      </c>
      <c r="B578" s="22" t="s">
        <v>1703</v>
      </c>
      <c r="C578" s="22" t="s">
        <v>96</v>
      </c>
      <c r="D578" s="51" t="s">
        <v>1001</v>
      </c>
      <c r="E578" s="24" t="s">
        <v>654</v>
      </c>
      <c r="F578" s="24"/>
      <c r="G578" s="24" t="s">
        <v>194</v>
      </c>
      <c r="H578" s="24" t="s">
        <v>62</v>
      </c>
      <c r="I578" s="24">
        <v>2016</v>
      </c>
      <c r="J578" s="24"/>
      <c r="K578" s="24" t="s">
        <v>63</v>
      </c>
      <c r="L578" s="24" t="s">
        <v>64</v>
      </c>
      <c r="M578" s="24">
        <v>1</v>
      </c>
      <c r="N578" s="41">
        <f t="shared" si="208"/>
        <v>790000</v>
      </c>
      <c r="O578" s="41">
        <v>790000</v>
      </c>
      <c r="P578" s="24"/>
      <c r="Q578" s="24"/>
      <c r="R578" s="24"/>
      <c r="S578" s="41">
        <f t="shared" si="189"/>
        <v>790000</v>
      </c>
      <c r="T578" s="24">
        <v>5</v>
      </c>
      <c r="U578" s="41">
        <f t="shared" si="212"/>
        <v>158000</v>
      </c>
      <c r="V578" s="24"/>
      <c r="W578" s="41"/>
      <c r="X578" s="24"/>
      <c r="Y578" s="41">
        <f t="shared" si="210"/>
        <v>0</v>
      </c>
      <c r="Z578" s="41">
        <f t="shared" si="211"/>
        <v>0</v>
      </c>
      <c r="AA578" s="24">
        <v>5</v>
      </c>
      <c r="AB578" s="41">
        <f t="shared" si="213"/>
        <v>790000</v>
      </c>
      <c r="AC578" s="41">
        <f t="shared" si="193"/>
        <v>0</v>
      </c>
      <c r="AD578" s="70" t="s">
        <v>557</v>
      </c>
      <c r="AE578" s="70"/>
      <c r="AF578" s="1">
        <v>790000</v>
      </c>
      <c r="AG578" s="5">
        <f t="shared" si="214"/>
        <v>0</v>
      </c>
      <c r="AH578" s="5"/>
    </row>
    <row r="579" spans="1:34" s="1" customFormat="1" x14ac:dyDescent="0.25">
      <c r="A579" s="49">
        <v>54</v>
      </c>
      <c r="B579" s="22" t="s">
        <v>1703</v>
      </c>
      <c r="C579" s="22" t="s">
        <v>100</v>
      </c>
      <c r="D579" s="51" t="s">
        <v>1001</v>
      </c>
      <c r="E579" s="24" t="s">
        <v>654</v>
      </c>
      <c r="F579" s="24"/>
      <c r="G579" s="24" t="s">
        <v>194</v>
      </c>
      <c r="H579" s="24" t="s">
        <v>62</v>
      </c>
      <c r="I579" s="24">
        <v>2016</v>
      </c>
      <c r="J579" s="24"/>
      <c r="K579" s="24" t="s">
        <v>63</v>
      </c>
      <c r="L579" s="24" t="s">
        <v>64</v>
      </c>
      <c r="M579" s="24">
        <v>1</v>
      </c>
      <c r="N579" s="41">
        <f t="shared" si="208"/>
        <v>790000</v>
      </c>
      <c r="O579" s="41">
        <v>790000</v>
      </c>
      <c r="P579" s="24"/>
      <c r="Q579" s="24"/>
      <c r="R579" s="24"/>
      <c r="S579" s="41">
        <f t="shared" si="189"/>
        <v>790000</v>
      </c>
      <c r="T579" s="24">
        <v>5</v>
      </c>
      <c r="U579" s="41">
        <f t="shared" si="212"/>
        <v>158000</v>
      </c>
      <c r="V579" s="24"/>
      <c r="W579" s="41"/>
      <c r="X579" s="24"/>
      <c r="Y579" s="41">
        <f t="shared" si="210"/>
        <v>0</v>
      </c>
      <c r="Z579" s="41">
        <f t="shared" si="211"/>
        <v>0</v>
      </c>
      <c r="AA579" s="24">
        <v>5</v>
      </c>
      <c r="AB579" s="41">
        <f t="shared" si="213"/>
        <v>790000</v>
      </c>
      <c r="AC579" s="41">
        <f t="shared" si="193"/>
        <v>0</v>
      </c>
      <c r="AD579" s="70" t="s">
        <v>373</v>
      </c>
      <c r="AE579" s="70"/>
      <c r="AF579" s="1">
        <v>790000</v>
      </c>
      <c r="AG579" s="5">
        <f t="shared" si="214"/>
        <v>0</v>
      </c>
      <c r="AH579" s="5"/>
    </row>
    <row r="580" spans="1:34" s="1" customFormat="1" x14ac:dyDescent="0.25">
      <c r="A580" s="49">
        <v>55</v>
      </c>
      <c r="B580" s="22" t="s">
        <v>1703</v>
      </c>
      <c r="C580" s="22" t="s">
        <v>1003</v>
      </c>
      <c r="D580" s="51" t="s">
        <v>1001</v>
      </c>
      <c r="E580" s="24" t="s">
        <v>1004</v>
      </c>
      <c r="F580" s="24"/>
      <c r="G580" s="24" t="s">
        <v>194</v>
      </c>
      <c r="H580" s="24" t="s">
        <v>62</v>
      </c>
      <c r="I580" s="24">
        <v>2018</v>
      </c>
      <c r="J580" s="24"/>
      <c r="K580" s="24" t="s">
        <v>63</v>
      </c>
      <c r="L580" s="24" t="s">
        <v>64</v>
      </c>
      <c r="M580" s="24">
        <v>5</v>
      </c>
      <c r="N580" s="41">
        <f t="shared" si="208"/>
        <v>7491000</v>
      </c>
      <c r="O580" s="41">
        <v>37455000</v>
      </c>
      <c r="P580" s="24"/>
      <c r="Q580" s="24"/>
      <c r="R580" s="24"/>
      <c r="S580" s="41">
        <f t="shared" si="189"/>
        <v>37455000</v>
      </c>
      <c r="T580" s="24">
        <v>5</v>
      </c>
      <c r="U580" s="41">
        <f t="shared" si="212"/>
        <v>7491000</v>
      </c>
      <c r="V580" s="24">
        <v>0.5</v>
      </c>
      <c r="W580" s="41">
        <f>SUM(U580*V580)</f>
        <v>3745500</v>
      </c>
      <c r="X580" s="24">
        <v>0.5</v>
      </c>
      <c r="Y580" s="41">
        <f>SUM(U580*X580)-1872750</f>
        <v>1872750</v>
      </c>
      <c r="Z580" s="41">
        <f t="shared" si="211"/>
        <v>5618250</v>
      </c>
      <c r="AA580" s="24">
        <v>5</v>
      </c>
      <c r="AB580" s="41">
        <f t="shared" si="213"/>
        <v>37455000</v>
      </c>
      <c r="AC580" s="41">
        <f t="shared" si="193"/>
        <v>0</v>
      </c>
      <c r="AD580" s="70"/>
      <c r="AE580" s="70"/>
      <c r="AF580" s="1">
        <v>31836750</v>
      </c>
      <c r="AG580" s="5">
        <f t="shared" si="214"/>
        <v>0</v>
      </c>
      <c r="AH580" s="5"/>
    </row>
    <row r="581" spans="1:34" s="1" customFormat="1" x14ac:dyDescent="0.25">
      <c r="A581" s="49">
        <v>56</v>
      </c>
      <c r="B581" s="22" t="s">
        <v>1704</v>
      </c>
      <c r="C581" s="22" t="s">
        <v>75</v>
      </c>
      <c r="D581" s="51" t="s">
        <v>944</v>
      </c>
      <c r="E581" s="24" t="s">
        <v>945</v>
      </c>
      <c r="F581" s="24"/>
      <c r="G581" s="24" t="s">
        <v>194</v>
      </c>
      <c r="H581" s="24" t="s">
        <v>62</v>
      </c>
      <c r="I581" s="24">
        <v>2008</v>
      </c>
      <c r="J581" s="24"/>
      <c r="K581" s="24" t="s">
        <v>63</v>
      </c>
      <c r="L581" s="24" t="s">
        <v>64</v>
      </c>
      <c r="M581" s="24">
        <v>1</v>
      </c>
      <c r="N581" s="41">
        <f t="shared" ref="N581:N588" si="216">SUM(O581/M581)</f>
        <v>47600000</v>
      </c>
      <c r="O581" s="41">
        <v>47600000</v>
      </c>
      <c r="P581" s="24"/>
      <c r="Q581" s="24"/>
      <c r="R581" s="24"/>
      <c r="S581" s="41">
        <f t="shared" si="189"/>
        <v>47600000</v>
      </c>
      <c r="T581" s="24">
        <v>5</v>
      </c>
      <c r="U581" s="41"/>
      <c r="V581" s="24">
        <v>0.5</v>
      </c>
      <c r="W581" s="41">
        <f t="shared" si="209"/>
        <v>0</v>
      </c>
      <c r="X581" s="24"/>
      <c r="Y581" s="41">
        <f t="shared" si="210"/>
        <v>0</v>
      </c>
      <c r="Z581" s="41">
        <f t="shared" si="211"/>
        <v>0</v>
      </c>
      <c r="AA581" s="24">
        <v>5</v>
      </c>
      <c r="AB581" s="41">
        <v>47600000</v>
      </c>
      <c r="AC581" s="41">
        <f t="shared" si="193"/>
        <v>0</v>
      </c>
      <c r="AD581" s="70" t="s">
        <v>295</v>
      </c>
      <c r="AE581" s="70"/>
      <c r="AF581" s="1">
        <v>47600000</v>
      </c>
      <c r="AG581" s="5">
        <f t="shared" si="214"/>
        <v>0</v>
      </c>
      <c r="AH581" s="5"/>
    </row>
    <row r="582" spans="1:34" s="1" customFormat="1" x14ac:dyDescent="0.25">
      <c r="A582" s="49">
        <v>57</v>
      </c>
      <c r="B582" s="22" t="s">
        <v>1704</v>
      </c>
      <c r="C582" s="22" t="s">
        <v>79</v>
      </c>
      <c r="D582" s="51" t="s">
        <v>944</v>
      </c>
      <c r="E582" s="24" t="s">
        <v>945</v>
      </c>
      <c r="F582" s="24"/>
      <c r="G582" s="24" t="s">
        <v>194</v>
      </c>
      <c r="H582" s="24" t="s">
        <v>62</v>
      </c>
      <c r="I582" s="24">
        <v>2009</v>
      </c>
      <c r="J582" s="24"/>
      <c r="K582" s="24" t="s">
        <v>63</v>
      </c>
      <c r="L582" s="24" t="s">
        <v>64</v>
      </c>
      <c r="M582" s="24">
        <v>1</v>
      </c>
      <c r="N582" s="41">
        <f t="shared" si="216"/>
        <v>5450000</v>
      </c>
      <c r="O582" s="41">
        <v>5450000</v>
      </c>
      <c r="P582" s="24"/>
      <c r="Q582" s="24"/>
      <c r="R582" s="24"/>
      <c r="S582" s="41">
        <f t="shared" si="189"/>
        <v>5450000</v>
      </c>
      <c r="T582" s="24">
        <v>5</v>
      </c>
      <c r="U582" s="41"/>
      <c r="V582" s="24">
        <v>0.5</v>
      </c>
      <c r="W582" s="41">
        <f t="shared" si="209"/>
        <v>0</v>
      </c>
      <c r="X582" s="24"/>
      <c r="Y582" s="41">
        <f t="shared" si="210"/>
        <v>0</v>
      </c>
      <c r="Z582" s="41">
        <f t="shared" si="211"/>
        <v>0</v>
      </c>
      <c r="AA582" s="24">
        <v>5</v>
      </c>
      <c r="AB582" s="41">
        <v>5450000</v>
      </c>
      <c r="AC582" s="41">
        <f t="shared" si="193"/>
        <v>0</v>
      </c>
      <c r="AD582" s="70" t="s">
        <v>250</v>
      </c>
      <c r="AE582" s="70"/>
      <c r="AF582" s="1">
        <v>5450000</v>
      </c>
      <c r="AG582" s="5">
        <f t="shared" si="214"/>
        <v>0</v>
      </c>
      <c r="AH582" s="5"/>
    </row>
    <row r="583" spans="1:34" s="1" customFormat="1" x14ac:dyDescent="0.25">
      <c r="A583" s="49">
        <v>58</v>
      </c>
      <c r="B583" s="22" t="s">
        <v>1704</v>
      </c>
      <c r="C583" s="22" t="s">
        <v>84</v>
      </c>
      <c r="D583" s="51" t="s">
        <v>944</v>
      </c>
      <c r="E583" s="24" t="s">
        <v>945</v>
      </c>
      <c r="F583" s="24"/>
      <c r="G583" s="24" t="s">
        <v>194</v>
      </c>
      <c r="H583" s="24" t="s">
        <v>62</v>
      </c>
      <c r="I583" s="24">
        <v>2009</v>
      </c>
      <c r="J583" s="24"/>
      <c r="K583" s="24" t="s">
        <v>63</v>
      </c>
      <c r="L583" s="24" t="s">
        <v>64</v>
      </c>
      <c r="M583" s="24">
        <v>1</v>
      </c>
      <c r="N583" s="41">
        <f t="shared" si="216"/>
        <v>5450000</v>
      </c>
      <c r="O583" s="41">
        <v>5450000</v>
      </c>
      <c r="P583" s="24"/>
      <c r="Q583" s="24"/>
      <c r="R583" s="24"/>
      <c r="S583" s="41">
        <f t="shared" si="189"/>
        <v>5450000</v>
      </c>
      <c r="T583" s="24">
        <v>5</v>
      </c>
      <c r="U583" s="41"/>
      <c r="V583" s="24">
        <v>0.5</v>
      </c>
      <c r="W583" s="41">
        <f t="shared" si="209"/>
        <v>0</v>
      </c>
      <c r="X583" s="24"/>
      <c r="Y583" s="41">
        <f t="shared" si="210"/>
        <v>0</v>
      </c>
      <c r="Z583" s="41">
        <f t="shared" si="211"/>
        <v>0</v>
      </c>
      <c r="AA583" s="24">
        <v>5</v>
      </c>
      <c r="AB583" s="41">
        <v>5450000</v>
      </c>
      <c r="AC583" s="41">
        <f t="shared" si="193"/>
        <v>0</v>
      </c>
      <c r="AD583" s="70" t="s">
        <v>297</v>
      </c>
      <c r="AE583" s="70"/>
      <c r="AF583" s="1">
        <v>5450000</v>
      </c>
      <c r="AG583" s="5">
        <f t="shared" si="214"/>
        <v>0</v>
      </c>
      <c r="AH583" s="5"/>
    </row>
    <row r="584" spans="1:34" s="1" customFormat="1" x14ac:dyDescent="0.25">
      <c r="A584" s="49">
        <v>59</v>
      </c>
      <c r="B584" s="22" t="s">
        <v>1704</v>
      </c>
      <c r="C584" s="22" t="s">
        <v>88</v>
      </c>
      <c r="D584" s="51" t="s">
        <v>944</v>
      </c>
      <c r="E584" s="24" t="s">
        <v>945</v>
      </c>
      <c r="F584" s="24"/>
      <c r="G584" s="24" t="s">
        <v>194</v>
      </c>
      <c r="H584" s="24" t="s">
        <v>62</v>
      </c>
      <c r="I584" s="24">
        <v>2009</v>
      </c>
      <c r="J584" s="24"/>
      <c r="K584" s="24" t="s">
        <v>63</v>
      </c>
      <c r="L584" s="24" t="s">
        <v>64</v>
      </c>
      <c r="M584" s="24">
        <v>1</v>
      </c>
      <c r="N584" s="41">
        <f t="shared" si="216"/>
        <v>5450000</v>
      </c>
      <c r="O584" s="41">
        <v>5450000</v>
      </c>
      <c r="P584" s="24"/>
      <c r="Q584" s="24"/>
      <c r="R584" s="24"/>
      <c r="S584" s="41">
        <f t="shared" si="189"/>
        <v>5450000</v>
      </c>
      <c r="T584" s="24">
        <v>5</v>
      </c>
      <c r="U584" s="41"/>
      <c r="V584" s="24">
        <v>0.5</v>
      </c>
      <c r="W584" s="41">
        <f t="shared" si="209"/>
        <v>0</v>
      </c>
      <c r="X584" s="24"/>
      <c r="Y584" s="41">
        <f t="shared" si="210"/>
        <v>0</v>
      </c>
      <c r="Z584" s="41">
        <f t="shared" si="211"/>
        <v>0</v>
      </c>
      <c r="AA584" s="24">
        <v>5</v>
      </c>
      <c r="AB584" s="41">
        <v>5450000</v>
      </c>
      <c r="AC584" s="41">
        <f t="shared" si="193"/>
        <v>0</v>
      </c>
      <c r="AD584" s="70" t="s">
        <v>287</v>
      </c>
      <c r="AE584" s="70"/>
      <c r="AF584" s="1">
        <v>5450000</v>
      </c>
      <c r="AG584" s="5">
        <f t="shared" si="214"/>
        <v>0</v>
      </c>
      <c r="AH584" s="5"/>
    </row>
    <row r="585" spans="1:34" s="1" customFormat="1" x14ac:dyDescent="0.25">
      <c r="A585" s="49">
        <v>60</v>
      </c>
      <c r="B585" s="22" t="s">
        <v>1704</v>
      </c>
      <c r="C585" s="22" t="s">
        <v>92</v>
      </c>
      <c r="D585" s="51" t="s">
        <v>944</v>
      </c>
      <c r="E585" s="24" t="s">
        <v>945</v>
      </c>
      <c r="F585" s="24"/>
      <c r="G585" s="24" t="s">
        <v>194</v>
      </c>
      <c r="H585" s="24" t="s">
        <v>62</v>
      </c>
      <c r="I585" s="24">
        <v>2009</v>
      </c>
      <c r="J585" s="24"/>
      <c r="K585" s="24" t="s">
        <v>63</v>
      </c>
      <c r="L585" s="24" t="s">
        <v>64</v>
      </c>
      <c r="M585" s="24">
        <v>1</v>
      </c>
      <c r="N585" s="41">
        <f t="shared" si="216"/>
        <v>5450000</v>
      </c>
      <c r="O585" s="41">
        <v>5450000</v>
      </c>
      <c r="P585" s="24"/>
      <c r="Q585" s="24"/>
      <c r="R585" s="24"/>
      <c r="S585" s="41">
        <f t="shared" si="189"/>
        <v>5450000</v>
      </c>
      <c r="T585" s="24">
        <v>5</v>
      </c>
      <c r="U585" s="41"/>
      <c r="V585" s="24">
        <v>0.5</v>
      </c>
      <c r="W585" s="41">
        <f t="shared" si="209"/>
        <v>0</v>
      </c>
      <c r="X585" s="24"/>
      <c r="Y585" s="41">
        <f t="shared" si="210"/>
        <v>0</v>
      </c>
      <c r="Z585" s="41">
        <f t="shared" si="211"/>
        <v>0</v>
      </c>
      <c r="AA585" s="24">
        <v>5</v>
      </c>
      <c r="AB585" s="41">
        <v>5450000</v>
      </c>
      <c r="AC585" s="41">
        <f t="shared" si="193"/>
        <v>0</v>
      </c>
      <c r="AD585" s="70" t="s">
        <v>303</v>
      </c>
      <c r="AE585" s="70"/>
      <c r="AF585" s="1">
        <v>5450000</v>
      </c>
      <c r="AG585" s="5">
        <f t="shared" si="214"/>
        <v>0</v>
      </c>
      <c r="AH585" s="5"/>
    </row>
    <row r="586" spans="1:34" s="1" customFormat="1" x14ac:dyDescent="0.25">
      <c r="A586" s="49">
        <v>61</v>
      </c>
      <c r="B586" s="22" t="s">
        <v>1704</v>
      </c>
      <c r="C586" s="22" t="s">
        <v>96</v>
      </c>
      <c r="D586" s="51" t="s">
        <v>944</v>
      </c>
      <c r="E586" s="24" t="s">
        <v>945</v>
      </c>
      <c r="F586" s="24"/>
      <c r="G586" s="24" t="s">
        <v>194</v>
      </c>
      <c r="H586" s="24" t="s">
        <v>62</v>
      </c>
      <c r="I586" s="24">
        <v>2009</v>
      </c>
      <c r="J586" s="24"/>
      <c r="K586" s="24" t="s">
        <v>63</v>
      </c>
      <c r="L586" s="24" t="s">
        <v>64</v>
      </c>
      <c r="M586" s="24">
        <v>1</v>
      </c>
      <c r="N586" s="41">
        <f t="shared" si="216"/>
        <v>5450000</v>
      </c>
      <c r="O586" s="41">
        <v>5450000</v>
      </c>
      <c r="P586" s="24"/>
      <c r="Q586" s="24"/>
      <c r="R586" s="24"/>
      <c r="S586" s="41">
        <f t="shared" si="189"/>
        <v>5450000</v>
      </c>
      <c r="T586" s="24">
        <v>5</v>
      </c>
      <c r="U586" s="41"/>
      <c r="V586" s="24">
        <v>0.5</v>
      </c>
      <c r="W586" s="41">
        <f t="shared" si="209"/>
        <v>0</v>
      </c>
      <c r="X586" s="24"/>
      <c r="Y586" s="41">
        <f t="shared" si="210"/>
        <v>0</v>
      </c>
      <c r="Z586" s="41">
        <f t="shared" si="211"/>
        <v>0</v>
      </c>
      <c r="AA586" s="24">
        <v>5</v>
      </c>
      <c r="AB586" s="41">
        <v>5450000</v>
      </c>
      <c r="AC586" s="41">
        <f t="shared" si="193"/>
        <v>0</v>
      </c>
      <c r="AD586" s="70" t="s">
        <v>305</v>
      </c>
      <c r="AE586" s="70"/>
      <c r="AF586" s="1">
        <v>5450000</v>
      </c>
      <c r="AG586" s="5">
        <f t="shared" si="214"/>
        <v>0</v>
      </c>
      <c r="AH586" s="5"/>
    </row>
    <row r="587" spans="1:34" s="1" customFormat="1" x14ac:dyDescent="0.25">
      <c r="A587" s="49">
        <v>62</v>
      </c>
      <c r="B587" s="22" t="s">
        <v>1704</v>
      </c>
      <c r="C587" s="22" t="s">
        <v>100</v>
      </c>
      <c r="D587" s="51" t="s">
        <v>944</v>
      </c>
      <c r="E587" s="24" t="s">
        <v>945</v>
      </c>
      <c r="F587" s="24"/>
      <c r="G587" s="24" t="s">
        <v>194</v>
      </c>
      <c r="H587" s="24" t="s">
        <v>62</v>
      </c>
      <c r="I587" s="24">
        <v>2009</v>
      </c>
      <c r="J587" s="24"/>
      <c r="K587" s="24" t="s">
        <v>63</v>
      </c>
      <c r="L587" s="24" t="s">
        <v>64</v>
      </c>
      <c r="M587" s="24">
        <v>1</v>
      </c>
      <c r="N587" s="41">
        <f t="shared" si="216"/>
        <v>5450000</v>
      </c>
      <c r="O587" s="41">
        <v>5450000</v>
      </c>
      <c r="P587" s="24"/>
      <c r="Q587" s="24"/>
      <c r="R587" s="24"/>
      <c r="S587" s="41">
        <f t="shared" si="189"/>
        <v>5450000</v>
      </c>
      <c r="T587" s="24">
        <v>5</v>
      </c>
      <c r="U587" s="41"/>
      <c r="V587" s="24">
        <v>0.5</v>
      </c>
      <c r="W587" s="41">
        <f t="shared" si="209"/>
        <v>0</v>
      </c>
      <c r="X587" s="24"/>
      <c r="Y587" s="41">
        <f t="shared" si="210"/>
        <v>0</v>
      </c>
      <c r="Z587" s="41">
        <f t="shared" si="211"/>
        <v>0</v>
      </c>
      <c r="AA587" s="24">
        <v>5</v>
      </c>
      <c r="AB587" s="41">
        <v>5450000</v>
      </c>
      <c r="AC587" s="41">
        <f t="shared" si="193"/>
        <v>0</v>
      </c>
      <c r="AD587" s="70" t="s">
        <v>473</v>
      </c>
      <c r="AE587" s="70"/>
      <c r="AF587" s="1">
        <v>5450000</v>
      </c>
      <c r="AG587" s="5">
        <f t="shared" si="214"/>
        <v>0</v>
      </c>
      <c r="AH587" s="5"/>
    </row>
    <row r="588" spans="1:34" s="1" customFormat="1" x14ac:dyDescent="0.25">
      <c r="A588" s="49">
        <v>63</v>
      </c>
      <c r="B588" s="22" t="s">
        <v>1704</v>
      </c>
      <c r="C588" s="22" t="s">
        <v>105</v>
      </c>
      <c r="D588" s="51" t="s">
        <v>944</v>
      </c>
      <c r="E588" s="24" t="s">
        <v>945</v>
      </c>
      <c r="F588" s="24"/>
      <c r="G588" s="24" t="s">
        <v>194</v>
      </c>
      <c r="H588" s="24" t="s">
        <v>62</v>
      </c>
      <c r="I588" s="24">
        <v>2009</v>
      </c>
      <c r="J588" s="24"/>
      <c r="K588" s="24" t="s">
        <v>63</v>
      </c>
      <c r="L588" s="24" t="s">
        <v>64</v>
      </c>
      <c r="M588" s="24">
        <v>1</v>
      </c>
      <c r="N588" s="41">
        <f t="shared" si="216"/>
        <v>5450000</v>
      </c>
      <c r="O588" s="41">
        <v>5450000</v>
      </c>
      <c r="P588" s="24"/>
      <c r="Q588" s="24"/>
      <c r="R588" s="24"/>
      <c r="S588" s="41">
        <f t="shared" si="189"/>
        <v>5450000</v>
      </c>
      <c r="T588" s="24">
        <v>5</v>
      </c>
      <c r="U588" s="41"/>
      <c r="V588" s="24">
        <v>0.5</v>
      </c>
      <c r="W588" s="41">
        <f t="shared" si="209"/>
        <v>0</v>
      </c>
      <c r="X588" s="24"/>
      <c r="Y588" s="41">
        <f t="shared" si="210"/>
        <v>0</v>
      </c>
      <c r="Z588" s="41">
        <f t="shared" si="211"/>
        <v>0</v>
      </c>
      <c r="AA588" s="24">
        <v>5</v>
      </c>
      <c r="AB588" s="41">
        <v>5450000</v>
      </c>
      <c r="AC588" s="41">
        <f t="shared" si="193"/>
        <v>0</v>
      </c>
      <c r="AD588" s="70" t="s">
        <v>477</v>
      </c>
      <c r="AE588" s="70"/>
      <c r="AF588" s="1">
        <v>5450000</v>
      </c>
      <c r="AG588" s="5">
        <f t="shared" si="214"/>
        <v>0</v>
      </c>
      <c r="AH588" s="5"/>
    </row>
    <row r="589" spans="1:34" s="1" customFormat="1" x14ac:dyDescent="0.25">
      <c r="A589" s="49">
        <v>64</v>
      </c>
      <c r="B589" s="22" t="s">
        <v>1704</v>
      </c>
      <c r="C589" s="22" t="s">
        <v>108</v>
      </c>
      <c r="D589" s="51" t="s">
        <v>944</v>
      </c>
      <c r="E589" s="24" t="s">
        <v>945</v>
      </c>
      <c r="F589" s="24"/>
      <c r="G589" s="24" t="s">
        <v>194</v>
      </c>
      <c r="H589" s="24" t="s">
        <v>62</v>
      </c>
      <c r="I589" s="24">
        <v>2011</v>
      </c>
      <c r="J589" s="24"/>
      <c r="K589" s="24" t="s">
        <v>63</v>
      </c>
      <c r="L589" s="24" t="s">
        <v>64</v>
      </c>
      <c r="M589" s="24">
        <v>1</v>
      </c>
      <c r="N589" s="41">
        <f t="shared" ref="N589:N600" si="217">SUM(O589/M589)</f>
        <v>6000000</v>
      </c>
      <c r="O589" s="41">
        <v>6000000</v>
      </c>
      <c r="P589" s="24"/>
      <c r="Q589" s="24"/>
      <c r="R589" s="24"/>
      <c r="S589" s="41">
        <f t="shared" si="189"/>
        <v>6000000</v>
      </c>
      <c r="T589" s="24">
        <v>5</v>
      </c>
      <c r="U589" s="41"/>
      <c r="V589" s="24">
        <v>0.5</v>
      </c>
      <c r="W589" s="41">
        <f t="shared" si="209"/>
        <v>0</v>
      </c>
      <c r="X589" s="24"/>
      <c r="Y589" s="41">
        <f t="shared" si="210"/>
        <v>0</v>
      </c>
      <c r="Z589" s="41">
        <f t="shared" si="211"/>
        <v>0</v>
      </c>
      <c r="AA589" s="24">
        <v>5</v>
      </c>
      <c r="AB589" s="41">
        <v>6000000</v>
      </c>
      <c r="AC589" s="41">
        <f t="shared" si="193"/>
        <v>0</v>
      </c>
      <c r="AD589" s="70" t="s">
        <v>250</v>
      </c>
      <c r="AE589" s="70"/>
      <c r="AF589" s="1">
        <v>6000000</v>
      </c>
      <c r="AG589" s="5">
        <f t="shared" si="214"/>
        <v>0</v>
      </c>
      <c r="AH589" s="5"/>
    </row>
    <row r="590" spans="1:34" s="1" customFormat="1" x14ac:dyDescent="0.25">
      <c r="A590" s="49">
        <v>65</v>
      </c>
      <c r="B590" s="22" t="s">
        <v>1704</v>
      </c>
      <c r="C590" s="22" t="s">
        <v>135</v>
      </c>
      <c r="D590" s="51" t="s">
        <v>944</v>
      </c>
      <c r="E590" s="24" t="s">
        <v>946</v>
      </c>
      <c r="F590" s="24"/>
      <c r="G590" s="24" t="s">
        <v>194</v>
      </c>
      <c r="H590" s="24" t="s">
        <v>62</v>
      </c>
      <c r="I590" s="24">
        <v>2015</v>
      </c>
      <c r="J590" s="24"/>
      <c r="K590" s="24" t="s">
        <v>63</v>
      </c>
      <c r="L590" s="24" t="s">
        <v>64</v>
      </c>
      <c r="M590" s="24">
        <v>1</v>
      </c>
      <c r="N590" s="41">
        <f t="shared" si="217"/>
        <v>73216000</v>
      </c>
      <c r="O590" s="41">
        <v>73216000</v>
      </c>
      <c r="P590" s="24"/>
      <c r="Q590" s="24"/>
      <c r="R590" s="24"/>
      <c r="S590" s="41">
        <f t="shared" ref="S590:S653" si="218">SUM(O590-R590)</f>
        <v>73216000</v>
      </c>
      <c r="T590" s="24">
        <v>5</v>
      </c>
      <c r="U590" s="41">
        <f>SUM(S590/T590)</f>
        <v>14643200</v>
      </c>
      <c r="V590" s="24">
        <v>0.5</v>
      </c>
      <c r="W590" s="41"/>
      <c r="X590" s="24"/>
      <c r="Y590" s="41">
        <f>SUM(U590*X590)</f>
        <v>0</v>
      </c>
      <c r="Z590" s="41"/>
      <c r="AA590" s="72">
        <v>5</v>
      </c>
      <c r="AB590" s="41">
        <f>SUM(U590*AA590)</f>
        <v>73216000</v>
      </c>
      <c r="AC590" s="41">
        <f t="shared" ref="AC590:AC653" si="219">SUM(O590-AB590)</f>
        <v>0</v>
      </c>
      <c r="AD590" s="70" t="s">
        <v>199</v>
      </c>
      <c r="AE590" s="70"/>
      <c r="AF590" s="1">
        <v>73216000</v>
      </c>
      <c r="AG590" s="5">
        <f t="shared" si="214"/>
        <v>0</v>
      </c>
      <c r="AH590" s="5"/>
    </row>
    <row r="591" spans="1:34" s="1" customFormat="1" x14ac:dyDescent="0.25">
      <c r="A591" s="49">
        <v>66</v>
      </c>
      <c r="B591" s="22" t="s">
        <v>1705</v>
      </c>
      <c r="C591" s="22" t="s">
        <v>209</v>
      </c>
      <c r="D591" s="51" t="s">
        <v>855</v>
      </c>
      <c r="E591" s="24" t="s">
        <v>856</v>
      </c>
      <c r="F591" s="24"/>
      <c r="G591" s="24" t="s">
        <v>194</v>
      </c>
      <c r="H591" s="24" t="s">
        <v>62</v>
      </c>
      <c r="I591" s="24">
        <v>2012</v>
      </c>
      <c r="J591" s="24"/>
      <c r="K591" s="24" t="s">
        <v>63</v>
      </c>
      <c r="L591" s="24" t="s">
        <v>64</v>
      </c>
      <c r="M591" s="24">
        <v>2</v>
      </c>
      <c r="N591" s="41">
        <f t="shared" si="217"/>
        <v>1875000</v>
      </c>
      <c r="O591" s="41">
        <v>3750000</v>
      </c>
      <c r="P591" s="24"/>
      <c r="Q591" s="24"/>
      <c r="R591" s="24"/>
      <c r="S591" s="41">
        <f t="shared" si="218"/>
        <v>3750000</v>
      </c>
      <c r="T591" s="24">
        <v>5</v>
      </c>
      <c r="U591" s="41"/>
      <c r="V591" s="24">
        <v>0.5</v>
      </c>
      <c r="W591" s="41">
        <f t="shared" ref="W591:W599" si="220">SUM(U591*V591)</f>
        <v>0</v>
      </c>
      <c r="X591" s="24"/>
      <c r="Y591" s="41">
        <f t="shared" ref="Y591:Y601" si="221">SUM(U591*X591)</f>
        <v>0</v>
      </c>
      <c r="Z591" s="41">
        <f t="shared" ref="Z591:Z599" si="222">SUM(W591+Y591)</f>
        <v>0</v>
      </c>
      <c r="AA591" s="24">
        <v>5</v>
      </c>
      <c r="AB591" s="41">
        <v>3750000</v>
      </c>
      <c r="AC591" s="41">
        <f t="shared" si="219"/>
        <v>0</v>
      </c>
      <c r="AD591" s="70" t="s">
        <v>288</v>
      </c>
      <c r="AE591" s="70"/>
      <c r="AF591" s="1">
        <v>3750000</v>
      </c>
      <c r="AG591" s="5">
        <f t="shared" si="214"/>
        <v>0</v>
      </c>
      <c r="AH591" s="5"/>
    </row>
    <row r="592" spans="1:34" s="1" customFormat="1" x14ac:dyDescent="0.25">
      <c r="A592" s="49">
        <v>67</v>
      </c>
      <c r="B592" s="22" t="s">
        <v>1705</v>
      </c>
      <c r="C592" s="22" t="s">
        <v>79</v>
      </c>
      <c r="D592" s="51" t="s">
        <v>855</v>
      </c>
      <c r="E592" s="24" t="s">
        <v>857</v>
      </c>
      <c r="F592" s="24"/>
      <c r="G592" s="24" t="s">
        <v>194</v>
      </c>
      <c r="H592" s="24" t="s">
        <v>62</v>
      </c>
      <c r="I592" s="24">
        <v>2012</v>
      </c>
      <c r="J592" s="24"/>
      <c r="K592" s="24" t="s">
        <v>63</v>
      </c>
      <c r="L592" s="24" t="s">
        <v>64</v>
      </c>
      <c r="M592" s="24">
        <v>1</v>
      </c>
      <c r="N592" s="41">
        <f t="shared" si="217"/>
        <v>1495000</v>
      </c>
      <c r="O592" s="41">
        <v>1495000</v>
      </c>
      <c r="P592" s="24"/>
      <c r="Q592" s="24"/>
      <c r="R592" s="24"/>
      <c r="S592" s="41">
        <f t="shared" si="218"/>
        <v>1495000</v>
      </c>
      <c r="T592" s="24">
        <v>5</v>
      </c>
      <c r="U592" s="41"/>
      <c r="V592" s="24">
        <v>0.5</v>
      </c>
      <c r="W592" s="41">
        <f t="shared" si="220"/>
        <v>0</v>
      </c>
      <c r="X592" s="24"/>
      <c r="Y592" s="41">
        <f t="shared" si="221"/>
        <v>0</v>
      </c>
      <c r="Z592" s="41">
        <f t="shared" si="222"/>
        <v>0</v>
      </c>
      <c r="AA592" s="24">
        <v>5</v>
      </c>
      <c r="AB592" s="41">
        <v>1495000</v>
      </c>
      <c r="AC592" s="41">
        <f t="shared" si="219"/>
        <v>0</v>
      </c>
      <c r="AD592" s="70" t="s">
        <v>630</v>
      </c>
      <c r="AE592" s="70"/>
      <c r="AF592" s="1">
        <v>1495000</v>
      </c>
      <c r="AG592" s="5">
        <f t="shared" si="214"/>
        <v>0</v>
      </c>
      <c r="AH592" s="5"/>
    </row>
    <row r="593" spans="1:34" s="1" customFormat="1" x14ac:dyDescent="0.25">
      <c r="A593" s="49">
        <v>68</v>
      </c>
      <c r="B593" s="22" t="s">
        <v>1705</v>
      </c>
      <c r="C593" s="22" t="s">
        <v>657</v>
      </c>
      <c r="D593" s="51" t="s">
        <v>861</v>
      </c>
      <c r="E593" s="24" t="s">
        <v>862</v>
      </c>
      <c r="F593" s="24"/>
      <c r="G593" s="24" t="s">
        <v>194</v>
      </c>
      <c r="H593" s="24" t="s">
        <v>62</v>
      </c>
      <c r="I593" s="24">
        <v>2011</v>
      </c>
      <c r="J593" s="24"/>
      <c r="K593" s="24" t="s">
        <v>202</v>
      </c>
      <c r="L593" s="24" t="s">
        <v>64</v>
      </c>
      <c r="M593" s="24">
        <v>3</v>
      </c>
      <c r="N593" s="41">
        <f t="shared" si="217"/>
        <v>2500000</v>
      </c>
      <c r="O593" s="41">
        <v>7500000</v>
      </c>
      <c r="P593" s="24"/>
      <c r="Q593" s="24"/>
      <c r="R593" s="24"/>
      <c r="S593" s="41">
        <f t="shared" si="218"/>
        <v>7500000</v>
      </c>
      <c r="T593" s="24">
        <v>5</v>
      </c>
      <c r="U593" s="41"/>
      <c r="V593" s="24">
        <v>0.5</v>
      </c>
      <c r="W593" s="41">
        <f t="shared" si="220"/>
        <v>0</v>
      </c>
      <c r="X593" s="24"/>
      <c r="Y593" s="41">
        <f t="shared" si="221"/>
        <v>0</v>
      </c>
      <c r="Z593" s="41">
        <f t="shared" si="222"/>
        <v>0</v>
      </c>
      <c r="AA593" s="24">
        <v>5</v>
      </c>
      <c r="AB593" s="41">
        <v>7500000</v>
      </c>
      <c r="AC593" s="41">
        <f t="shared" si="219"/>
        <v>0</v>
      </c>
      <c r="AD593" s="70" t="s">
        <v>863</v>
      </c>
      <c r="AE593" s="70"/>
      <c r="AF593" s="1">
        <v>7500000</v>
      </c>
      <c r="AG593" s="5">
        <f t="shared" si="214"/>
        <v>0</v>
      </c>
      <c r="AH593" s="5"/>
    </row>
    <row r="594" spans="1:34" s="1" customFormat="1" x14ac:dyDescent="0.25">
      <c r="A594" s="49">
        <v>69</v>
      </c>
      <c r="B594" s="22" t="s">
        <v>1705</v>
      </c>
      <c r="C594" s="22" t="s">
        <v>84</v>
      </c>
      <c r="D594" s="51" t="s">
        <v>855</v>
      </c>
      <c r="E594" s="24" t="s">
        <v>864</v>
      </c>
      <c r="F594" s="24"/>
      <c r="G594" s="24" t="s">
        <v>194</v>
      </c>
      <c r="H594" s="24" t="s">
        <v>62</v>
      </c>
      <c r="I594" s="24">
        <v>2012</v>
      </c>
      <c r="J594" s="24"/>
      <c r="K594" s="24" t="s">
        <v>63</v>
      </c>
      <c r="L594" s="24" t="s">
        <v>64</v>
      </c>
      <c r="M594" s="24">
        <v>1</v>
      </c>
      <c r="N594" s="41">
        <f t="shared" si="217"/>
        <v>4875000</v>
      </c>
      <c r="O594" s="41">
        <v>4875000</v>
      </c>
      <c r="P594" s="24"/>
      <c r="Q594" s="24"/>
      <c r="R594" s="24"/>
      <c r="S594" s="41">
        <f t="shared" si="218"/>
        <v>4875000</v>
      </c>
      <c r="T594" s="24">
        <v>5</v>
      </c>
      <c r="U594" s="41"/>
      <c r="V594" s="24">
        <v>0.5</v>
      </c>
      <c r="W594" s="41">
        <f t="shared" si="220"/>
        <v>0</v>
      </c>
      <c r="X594" s="24"/>
      <c r="Y594" s="41">
        <f t="shared" si="221"/>
        <v>0</v>
      </c>
      <c r="Z594" s="41">
        <f t="shared" si="222"/>
        <v>0</v>
      </c>
      <c r="AA594" s="24">
        <v>5</v>
      </c>
      <c r="AB594" s="41">
        <v>4875000</v>
      </c>
      <c r="AC594" s="41">
        <f t="shared" si="219"/>
        <v>0</v>
      </c>
      <c r="AD594" s="70" t="s">
        <v>630</v>
      </c>
      <c r="AE594" s="70"/>
      <c r="AF594" s="1">
        <v>4875000</v>
      </c>
      <c r="AG594" s="5">
        <f t="shared" si="214"/>
        <v>0</v>
      </c>
      <c r="AH594" s="5"/>
    </row>
    <row r="595" spans="1:34" s="1" customFormat="1" x14ac:dyDescent="0.25">
      <c r="A595" s="49">
        <v>70</v>
      </c>
      <c r="B595" s="22" t="s">
        <v>1705</v>
      </c>
      <c r="C595" s="22" t="s">
        <v>634</v>
      </c>
      <c r="D595" s="51" t="s">
        <v>865</v>
      </c>
      <c r="E595" s="24" t="s">
        <v>866</v>
      </c>
      <c r="F595" s="24"/>
      <c r="G595" s="24" t="s">
        <v>194</v>
      </c>
      <c r="H595" s="24" t="s">
        <v>62</v>
      </c>
      <c r="I595" s="24">
        <v>2012</v>
      </c>
      <c r="J595" s="24"/>
      <c r="K595" s="24" t="s">
        <v>63</v>
      </c>
      <c r="L595" s="24" t="s">
        <v>64</v>
      </c>
      <c r="M595" s="24">
        <v>2</v>
      </c>
      <c r="N595" s="41">
        <f t="shared" si="217"/>
        <v>5100000</v>
      </c>
      <c r="O595" s="41">
        <v>10200000</v>
      </c>
      <c r="P595" s="24"/>
      <c r="Q595" s="24"/>
      <c r="R595" s="24"/>
      <c r="S595" s="41">
        <f t="shared" si="218"/>
        <v>10200000</v>
      </c>
      <c r="T595" s="24">
        <v>5</v>
      </c>
      <c r="U595" s="41"/>
      <c r="V595" s="24">
        <v>0.5</v>
      </c>
      <c r="W595" s="41">
        <f t="shared" si="220"/>
        <v>0</v>
      </c>
      <c r="X595" s="24"/>
      <c r="Y595" s="41">
        <f t="shared" si="221"/>
        <v>0</v>
      </c>
      <c r="Z595" s="41">
        <f t="shared" si="222"/>
        <v>0</v>
      </c>
      <c r="AA595" s="24">
        <v>5</v>
      </c>
      <c r="AB595" s="41">
        <v>10200000</v>
      </c>
      <c r="AC595" s="41">
        <f t="shared" si="219"/>
        <v>0</v>
      </c>
      <c r="AD595" s="70" t="s">
        <v>867</v>
      </c>
      <c r="AE595" s="70"/>
      <c r="AF595" s="1">
        <v>10200000</v>
      </c>
      <c r="AG595" s="5">
        <f t="shared" si="214"/>
        <v>0</v>
      </c>
      <c r="AH595" s="5"/>
    </row>
    <row r="596" spans="1:34" s="1" customFormat="1" x14ac:dyDescent="0.25">
      <c r="A596" s="49">
        <v>71</v>
      </c>
      <c r="B596" s="22" t="s">
        <v>1705</v>
      </c>
      <c r="C596" s="22" t="s">
        <v>868</v>
      </c>
      <c r="D596" s="51" t="s">
        <v>869</v>
      </c>
      <c r="E596" s="24" t="s">
        <v>870</v>
      </c>
      <c r="F596" s="24"/>
      <c r="G596" s="24" t="s">
        <v>194</v>
      </c>
      <c r="H596" s="24" t="s">
        <v>62</v>
      </c>
      <c r="I596" s="24">
        <v>2012</v>
      </c>
      <c r="J596" s="24"/>
      <c r="K596" s="24" t="s">
        <v>63</v>
      </c>
      <c r="L596" s="24" t="s">
        <v>64</v>
      </c>
      <c r="M596" s="24">
        <v>4</v>
      </c>
      <c r="N596" s="41">
        <f t="shared" si="217"/>
        <v>3350000</v>
      </c>
      <c r="O596" s="41">
        <v>13400000</v>
      </c>
      <c r="P596" s="24"/>
      <c r="Q596" s="24"/>
      <c r="R596" s="24"/>
      <c r="S596" s="41">
        <f t="shared" si="218"/>
        <v>13400000</v>
      </c>
      <c r="T596" s="24">
        <v>5</v>
      </c>
      <c r="U596" s="41"/>
      <c r="V596" s="24">
        <v>0.5</v>
      </c>
      <c r="W596" s="41">
        <f t="shared" si="220"/>
        <v>0</v>
      </c>
      <c r="X596" s="24"/>
      <c r="Y596" s="41">
        <f t="shared" si="221"/>
        <v>0</v>
      </c>
      <c r="Z596" s="41">
        <f t="shared" si="222"/>
        <v>0</v>
      </c>
      <c r="AA596" s="24">
        <v>5</v>
      </c>
      <c r="AB596" s="41">
        <v>13400000</v>
      </c>
      <c r="AC596" s="41">
        <f t="shared" si="219"/>
        <v>0</v>
      </c>
      <c r="AD596" s="70" t="s">
        <v>871</v>
      </c>
      <c r="AE596" s="70"/>
      <c r="AF596" s="1">
        <v>13400000</v>
      </c>
      <c r="AG596" s="5">
        <f t="shared" si="214"/>
        <v>0</v>
      </c>
      <c r="AH596" s="5"/>
    </row>
    <row r="597" spans="1:34" s="1" customFormat="1" x14ac:dyDescent="0.25">
      <c r="A597" s="49">
        <v>72</v>
      </c>
      <c r="B597" s="22" t="s">
        <v>1705</v>
      </c>
      <c r="C597" s="22" t="s">
        <v>872</v>
      </c>
      <c r="D597" s="51" t="s">
        <v>869</v>
      </c>
      <c r="E597" s="24" t="s">
        <v>870</v>
      </c>
      <c r="F597" s="24"/>
      <c r="G597" s="24" t="s">
        <v>194</v>
      </c>
      <c r="H597" s="24" t="s">
        <v>62</v>
      </c>
      <c r="I597" s="24">
        <v>2012</v>
      </c>
      <c r="J597" s="24"/>
      <c r="K597" s="24" t="s">
        <v>63</v>
      </c>
      <c r="L597" s="24" t="s">
        <v>64</v>
      </c>
      <c r="M597" s="24">
        <v>3</v>
      </c>
      <c r="N597" s="41">
        <f t="shared" si="217"/>
        <v>3350000</v>
      </c>
      <c r="O597" s="41">
        <v>10050000</v>
      </c>
      <c r="P597" s="24"/>
      <c r="Q597" s="24"/>
      <c r="R597" s="24"/>
      <c r="S597" s="41">
        <f t="shared" si="218"/>
        <v>10050000</v>
      </c>
      <c r="T597" s="24">
        <v>5</v>
      </c>
      <c r="U597" s="41"/>
      <c r="V597" s="24">
        <v>0.5</v>
      </c>
      <c r="W597" s="41">
        <f t="shared" si="220"/>
        <v>0</v>
      </c>
      <c r="X597" s="24"/>
      <c r="Y597" s="41">
        <f t="shared" si="221"/>
        <v>0</v>
      </c>
      <c r="Z597" s="41">
        <f t="shared" si="222"/>
        <v>0</v>
      </c>
      <c r="AA597" s="24">
        <v>5</v>
      </c>
      <c r="AB597" s="41">
        <v>10050000</v>
      </c>
      <c r="AC597" s="41">
        <f t="shared" si="219"/>
        <v>0</v>
      </c>
      <c r="AD597" s="70" t="s">
        <v>873</v>
      </c>
      <c r="AE597" s="70"/>
      <c r="AF597" s="1">
        <v>10050000</v>
      </c>
      <c r="AG597" s="5">
        <f t="shared" si="214"/>
        <v>0</v>
      </c>
      <c r="AH597" s="5"/>
    </row>
    <row r="598" spans="1:34" s="1" customFormat="1" x14ac:dyDescent="0.25">
      <c r="A598" s="49">
        <v>73</v>
      </c>
      <c r="B598" s="22" t="s">
        <v>1705</v>
      </c>
      <c r="C598" s="22" t="s">
        <v>338</v>
      </c>
      <c r="D598" s="51" t="s">
        <v>869</v>
      </c>
      <c r="E598" s="24" t="s">
        <v>874</v>
      </c>
      <c r="F598" s="24"/>
      <c r="G598" s="24" t="s">
        <v>194</v>
      </c>
      <c r="H598" s="24" t="s">
        <v>62</v>
      </c>
      <c r="I598" s="24">
        <v>2014</v>
      </c>
      <c r="J598" s="24"/>
      <c r="K598" s="24" t="s">
        <v>63</v>
      </c>
      <c r="L598" s="24" t="s">
        <v>64</v>
      </c>
      <c r="M598" s="24">
        <v>2</v>
      </c>
      <c r="N598" s="41">
        <f t="shared" si="217"/>
        <v>3707000</v>
      </c>
      <c r="O598" s="41">
        <v>7414000</v>
      </c>
      <c r="P598" s="24"/>
      <c r="Q598" s="24"/>
      <c r="R598" s="24"/>
      <c r="S598" s="41">
        <f t="shared" si="218"/>
        <v>7414000</v>
      </c>
      <c r="T598" s="24">
        <v>5</v>
      </c>
      <c r="U598" s="41"/>
      <c r="V598" s="24">
        <v>0.5</v>
      </c>
      <c r="W598" s="41">
        <f t="shared" si="220"/>
        <v>0</v>
      </c>
      <c r="X598" s="24"/>
      <c r="Y598" s="41">
        <f t="shared" si="221"/>
        <v>0</v>
      </c>
      <c r="Z598" s="41">
        <f t="shared" si="222"/>
        <v>0</v>
      </c>
      <c r="AA598" s="24">
        <v>5</v>
      </c>
      <c r="AB598" s="41">
        <v>7414000</v>
      </c>
      <c r="AC598" s="41">
        <f t="shared" si="219"/>
        <v>0</v>
      </c>
      <c r="AD598" s="70" t="s">
        <v>875</v>
      </c>
      <c r="AE598" s="70"/>
      <c r="AF598" s="1">
        <v>7414000</v>
      </c>
      <c r="AG598" s="5">
        <f t="shared" si="214"/>
        <v>0</v>
      </c>
      <c r="AH598" s="5"/>
    </row>
    <row r="599" spans="1:34" s="1" customFormat="1" x14ac:dyDescent="0.25">
      <c r="A599" s="49">
        <v>74</v>
      </c>
      <c r="B599" s="22" t="s">
        <v>1705</v>
      </c>
      <c r="C599" s="50" t="s">
        <v>832</v>
      </c>
      <c r="D599" s="51" t="s">
        <v>869</v>
      </c>
      <c r="E599" s="52" t="s">
        <v>876</v>
      </c>
      <c r="F599" s="52"/>
      <c r="G599" s="52" t="s">
        <v>194</v>
      </c>
      <c r="H599" s="52" t="s">
        <v>62</v>
      </c>
      <c r="I599" s="52">
        <v>2021</v>
      </c>
      <c r="J599" s="52"/>
      <c r="K599" s="52" t="s">
        <v>63</v>
      </c>
      <c r="L599" s="52" t="s">
        <v>64</v>
      </c>
      <c r="M599" s="52">
        <v>4</v>
      </c>
      <c r="N599" s="53">
        <f t="shared" si="217"/>
        <v>2450000</v>
      </c>
      <c r="O599" s="53">
        <v>9800000</v>
      </c>
      <c r="P599" s="52"/>
      <c r="Q599" s="52"/>
      <c r="R599" s="52"/>
      <c r="S599" s="53">
        <f t="shared" si="218"/>
        <v>9800000</v>
      </c>
      <c r="T599" s="52">
        <v>5</v>
      </c>
      <c r="U599" s="53">
        <f>SUM(S599/T599)</f>
        <v>1960000</v>
      </c>
      <c r="V599" s="52">
        <v>0.5</v>
      </c>
      <c r="W599" s="53">
        <f t="shared" si="220"/>
        <v>980000</v>
      </c>
      <c r="X599" s="52">
        <v>0.5</v>
      </c>
      <c r="Y599" s="53">
        <f t="shared" si="221"/>
        <v>980000</v>
      </c>
      <c r="Z599" s="53">
        <f t="shared" si="222"/>
        <v>1960000</v>
      </c>
      <c r="AA599" s="57">
        <f>1/12+0.5+0.5+0.5+0.5</f>
        <v>2.0833333333333335</v>
      </c>
      <c r="AB599" s="53">
        <f>SUM(U599*AA599)</f>
        <v>4083333.3333333335</v>
      </c>
      <c r="AC599" s="53">
        <f t="shared" si="219"/>
        <v>5716666.666666666</v>
      </c>
      <c r="AD599" s="56" t="s">
        <v>877</v>
      </c>
      <c r="AE599" s="70"/>
      <c r="AF599" s="1">
        <v>2123333.3333333335</v>
      </c>
      <c r="AG599" s="5">
        <f t="shared" si="214"/>
        <v>0</v>
      </c>
      <c r="AH599" s="5"/>
    </row>
    <row r="600" spans="1:34" s="1" customFormat="1" x14ac:dyDescent="0.25">
      <c r="A600" s="49">
        <v>75</v>
      </c>
      <c r="B600" s="22" t="s">
        <v>1705</v>
      </c>
      <c r="C600" s="22" t="s">
        <v>108</v>
      </c>
      <c r="D600" s="51" t="s">
        <v>887</v>
      </c>
      <c r="E600" s="24" t="s">
        <v>888</v>
      </c>
      <c r="F600" s="24"/>
      <c r="G600" s="24" t="s">
        <v>194</v>
      </c>
      <c r="H600" s="24" t="s">
        <v>62</v>
      </c>
      <c r="I600" s="24">
        <v>2015</v>
      </c>
      <c r="J600" s="24"/>
      <c r="K600" s="24" t="s">
        <v>63</v>
      </c>
      <c r="L600" s="24" t="s">
        <v>64</v>
      </c>
      <c r="M600" s="24">
        <v>1</v>
      </c>
      <c r="N600" s="41">
        <f t="shared" si="217"/>
        <v>3600000</v>
      </c>
      <c r="O600" s="41">
        <v>3600000</v>
      </c>
      <c r="P600" s="24"/>
      <c r="Q600" s="24"/>
      <c r="R600" s="24"/>
      <c r="S600" s="41">
        <f t="shared" si="218"/>
        <v>3600000</v>
      </c>
      <c r="T600" s="24">
        <v>5</v>
      </c>
      <c r="U600" s="41">
        <f t="shared" ref="U600:U603" si="223">SUM(S600/T600)</f>
        <v>720000</v>
      </c>
      <c r="V600" s="24">
        <v>0.5</v>
      </c>
      <c r="W600" s="41"/>
      <c r="X600" s="24"/>
      <c r="Y600" s="41">
        <f t="shared" si="221"/>
        <v>0</v>
      </c>
      <c r="Z600" s="41"/>
      <c r="AA600" s="24">
        <v>5</v>
      </c>
      <c r="AB600" s="41">
        <f t="shared" ref="AB600:AB602" si="224">SUM(U600*AA600)</f>
        <v>3600000</v>
      </c>
      <c r="AC600" s="41">
        <f t="shared" si="219"/>
        <v>0</v>
      </c>
      <c r="AD600" s="70" t="s">
        <v>889</v>
      </c>
      <c r="AE600" s="70"/>
      <c r="AF600" s="1">
        <v>3600000</v>
      </c>
      <c r="AG600" s="5">
        <f t="shared" si="214"/>
        <v>0</v>
      </c>
      <c r="AH600" s="5"/>
    </row>
    <row r="601" spans="1:34" s="1" customFormat="1" x14ac:dyDescent="0.25">
      <c r="A601" s="49">
        <v>76</v>
      </c>
      <c r="B601" s="22" t="s">
        <v>1705</v>
      </c>
      <c r="C601" s="22" t="s">
        <v>135</v>
      </c>
      <c r="D601" s="51" t="s">
        <v>891</v>
      </c>
      <c r="E601" s="24" t="s">
        <v>892</v>
      </c>
      <c r="F601" s="24"/>
      <c r="G601" s="24" t="s">
        <v>194</v>
      </c>
      <c r="H601" s="24" t="s">
        <v>62</v>
      </c>
      <c r="I601" s="24">
        <v>2015</v>
      </c>
      <c r="J601" s="24"/>
      <c r="K601" s="24" t="s">
        <v>63</v>
      </c>
      <c r="L601" s="24" t="s">
        <v>64</v>
      </c>
      <c r="M601" s="24">
        <v>1</v>
      </c>
      <c r="N601" s="41">
        <f t="shared" ref="N601:N612" si="225">SUM(O601/M601)</f>
        <v>3150000</v>
      </c>
      <c r="O601" s="41">
        <v>3150000</v>
      </c>
      <c r="P601" s="24"/>
      <c r="Q601" s="24"/>
      <c r="R601" s="24"/>
      <c r="S601" s="41">
        <f t="shared" si="218"/>
        <v>3150000</v>
      </c>
      <c r="T601" s="24">
        <v>5</v>
      </c>
      <c r="U601" s="41">
        <f t="shared" si="223"/>
        <v>630000</v>
      </c>
      <c r="V601" s="24">
        <v>0.5</v>
      </c>
      <c r="W601" s="41"/>
      <c r="X601" s="24"/>
      <c r="Y601" s="41">
        <f t="shared" si="221"/>
        <v>0</v>
      </c>
      <c r="Z601" s="41"/>
      <c r="AA601" s="24">
        <v>5</v>
      </c>
      <c r="AB601" s="41">
        <f t="shared" si="224"/>
        <v>3150000</v>
      </c>
      <c r="AC601" s="41">
        <f t="shared" si="219"/>
        <v>0</v>
      </c>
      <c r="AD601" s="70" t="s">
        <v>199</v>
      </c>
      <c r="AE601" s="70"/>
      <c r="AF601" s="1">
        <v>3150000</v>
      </c>
      <c r="AG601" s="5">
        <f t="shared" si="214"/>
        <v>0</v>
      </c>
      <c r="AH601" s="5"/>
    </row>
    <row r="602" spans="1:34" s="1" customFormat="1" x14ac:dyDescent="0.25">
      <c r="A602" s="49">
        <v>77</v>
      </c>
      <c r="B602" s="22" t="s">
        <v>1705</v>
      </c>
      <c r="C602" s="22" t="s">
        <v>472</v>
      </c>
      <c r="D602" s="51" t="s">
        <v>869</v>
      </c>
      <c r="E602" s="24" t="s">
        <v>893</v>
      </c>
      <c r="F602" s="24"/>
      <c r="G602" s="24" t="s">
        <v>194</v>
      </c>
      <c r="H602" s="24" t="s">
        <v>62</v>
      </c>
      <c r="I602" s="24">
        <v>2016</v>
      </c>
      <c r="J602" s="24"/>
      <c r="K602" s="24" t="s">
        <v>63</v>
      </c>
      <c r="L602" s="24" t="s">
        <v>64</v>
      </c>
      <c r="M602" s="24">
        <v>3</v>
      </c>
      <c r="N602" s="41">
        <f t="shared" si="225"/>
        <v>6985000</v>
      </c>
      <c r="O602" s="41">
        <v>20955000</v>
      </c>
      <c r="P602" s="24"/>
      <c r="Q602" s="24"/>
      <c r="R602" s="24"/>
      <c r="S602" s="41">
        <f t="shared" si="218"/>
        <v>20955000</v>
      </c>
      <c r="T602" s="24">
        <v>5</v>
      </c>
      <c r="U602" s="41">
        <f t="shared" si="223"/>
        <v>4191000</v>
      </c>
      <c r="V602" s="24"/>
      <c r="W602" s="41"/>
      <c r="X602" s="24"/>
      <c r="Y602" s="41"/>
      <c r="Z602" s="53"/>
      <c r="AA602" s="24">
        <v>5</v>
      </c>
      <c r="AB602" s="41">
        <f t="shared" si="224"/>
        <v>20955000</v>
      </c>
      <c r="AC602" s="41">
        <f t="shared" si="219"/>
        <v>0</v>
      </c>
      <c r="AD602" s="70" t="s">
        <v>894</v>
      </c>
      <c r="AE602" s="70"/>
      <c r="AF602" s="1">
        <v>20955000</v>
      </c>
      <c r="AG602" s="5">
        <f t="shared" si="214"/>
        <v>0</v>
      </c>
      <c r="AH602" s="5"/>
    </row>
    <row r="603" spans="1:34" s="1" customFormat="1" x14ac:dyDescent="0.25">
      <c r="A603" s="49">
        <v>78</v>
      </c>
      <c r="B603" s="22" t="s">
        <v>1705</v>
      </c>
      <c r="C603" s="22" t="s">
        <v>159</v>
      </c>
      <c r="D603" s="51" t="s">
        <v>869</v>
      </c>
      <c r="E603" s="24" t="s">
        <v>895</v>
      </c>
      <c r="F603" s="24"/>
      <c r="G603" s="24" t="s">
        <v>194</v>
      </c>
      <c r="H603" s="24" t="s">
        <v>62</v>
      </c>
      <c r="I603" s="24">
        <v>2017</v>
      </c>
      <c r="J603" s="24"/>
      <c r="K603" s="24" t="s">
        <v>63</v>
      </c>
      <c r="L603" s="24" t="s">
        <v>64</v>
      </c>
      <c r="M603" s="24">
        <v>2</v>
      </c>
      <c r="N603" s="41">
        <f t="shared" si="225"/>
        <v>7490000</v>
      </c>
      <c r="O603" s="41">
        <v>14980000</v>
      </c>
      <c r="P603" s="24"/>
      <c r="Q603" s="24"/>
      <c r="R603" s="24"/>
      <c r="S603" s="41">
        <f t="shared" si="218"/>
        <v>14980000</v>
      </c>
      <c r="T603" s="24">
        <v>5</v>
      </c>
      <c r="U603" s="41">
        <f t="shared" si="223"/>
        <v>2996000</v>
      </c>
      <c r="V603" s="24"/>
      <c r="W603" s="41">
        <f t="shared" ref="W603:W609" si="226">SUM(U603*V603)</f>
        <v>0</v>
      </c>
      <c r="X603" s="24"/>
      <c r="Y603" s="41"/>
      <c r="Z603" s="41">
        <f t="shared" ref="Z603:Z609" si="227">SUM(W603+Y603)</f>
        <v>0</v>
      </c>
      <c r="AA603" s="72">
        <v>5</v>
      </c>
      <c r="AB603" s="41">
        <v>14980000</v>
      </c>
      <c r="AC603" s="41">
        <f t="shared" si="219"/>
        <v>0</v>
      </c>
      <c r="AD603" s="70" t="s">
        <v>365</v>
      </c>
      <c r="AE603" s="70"/>
      <c r="AF603" s="1">
        <v>14980000</v>
      </c>
      <c r="AG603" s="5">
        <f t="shared" si="214"/>
        <v>0</v>
      </c>
      <c r="AH603" s="5"/>
    </row>
    <row r="604" spans="1:34" s="1" customFormat="1" x14ac:dyDescent="0.25">
      <c r="A604" s="49">
        <v>79</v>
      </c>
      <c r="B604" s="22" t="s">
        <v>1706</v>
      </c>
      <c r="C604" s="22" t="s">
        <v>868</v>
      </c>
      <c r="D604" s="51" t="s">
        <v>982</v>
      </c>
      <c r="E604" s="24" t="s">
        <v>860</v>
      </c>
      <c r="F604" s="24"/>
      <c r="G604" s="24" t="s">
        <v>61</v>
      </c>
      <c r="H604" s="24" t="s">
        <v>62</v>
      </c>
      <c r="I604" s="24">
        <v>2011</v>
      </c>
      <c r="J604" s="24"/>
      <c r="K604" s="24" t="s">
        <v>63</v>
      </c>
      <c r="L604" s="24" t="s">
        <v>64</v>
      </c>
      <c r="M604" s="24">
        <v>4</v>
      </c>
      <c r="N604" s="41">
        <f t="shared" si="225"/>
        <v>400000</v>
      </c>
      <c r="O604" s="41">
        <v>1600000</v>
      </c>
      <c r="P604" s="24"/>
      <c r="Q604" s="24"/>
      <c r="R604" s="24"/>
      <c r="S604" s="41">
        <f t="shared" si="218"/>
        <v>1600000</v>
      </c>
      <c r="T604" s="24">
        <v>5</v>
      </c>
      <c r="U604" s="41"/>
      <c r="V604" s="24">
        <v>0.5</v>
      </c>
      <c r="W604" s="41">
        <f t="shared" si="226"/>
        <v>0</v>
      </c>
      <c r="X604" s="24"/>
      <c r="Y604" s="41">
        <f t="shared" ref="Y604:Y609" si="228">SUM(U604*X604)</f>
        <v>0</v>
      </c>
      <c r="Z604" s="41">
        <f t="shared" si="227"/>
        <v>0</v>
      </c>
      <c r="AA604" s="24">
        <v>5</v>
      </c>
      <c r="AB604" s="41">
        <v>1600000</v>
      </c>
      <c r="AC604" s="41">
        <f t="shared" si="219"/>
        <v>0</v>
      </c>
      <c r="AD604" s="70" t="s">
        <v>295</v>
      </c>
      <c r="AE604" s="70"/>
      <c r="AF604" s="1">
        <v>1600000</v>
      </c>
      <c r="AG604" s="5">
        <f t="shared" si="214"/>
        <v>0</v>
      </c>
      <c r="AH604" s="5"/>
    </row>
    <row r="605" spans="1:34" s="1" customFormat="1" x14ac:dyDescent="0.25">
      <c r="A605" s="49">
        <v>80</v>
      </c>
      <c r="B605" s="22" t="s">
        <v>1706</v>
      </c>
      <c r="C605" s="22" t="s">
        <v>634</v>
      </c>
      <c r="D605" s="51" t="s">
        <v>982</v>
      </c>
      <c r="E605" s="24" t="s">
        <v>860</v>
      </c>
      <c r="F605" s="24"/>
      <c r="G605" s="24" t="s">
        <v>61</v>
      </c>
      <c r="H605" s="24" t="s">
        <v>62</v>
      </c>
      <c r="I605" s="24">
        <v>2011</v>
      </c>
      <c r="J605" s="24"/>
      <c r="K605" s="24" t="s">
        <v>63</v>
      </c>
      <c r="L605" s="24" t="s">
        <v>64</v>
      </c>
      <c r="M605" s="24">
        <v>2</v>
      </c>
      <c r="N605" s="41">
        <f t="shared" si="225"/>
        <v>400000</v>
      </c>
      <c r="O605" s="41">
        <v>800000</v>
      </c>
      <c r="P605" s="24"/>
      <c r="Q605" s="24"/>
      <c r="R605" s="24"/>
      <c r="S605" s="41">
        <f t="shared" si="218"/>
        <v>800000</v>
      </c>
      <c r="T605" s="24">
        <v>5</v>
      </c>
      <c r="U605" s="41"/>
      <c r="V605" s="24">
        <v>0.5</v>
      </c>
      <c r="W605" s="41">
        <f t="shared" si="226"/>
        <v>0</v>
      </c>
      <c r="X605" s="24"/>
      <c r="Y605" s="41">
        <f t="shared" si="228"/>
        <v>0</v>
      </c>
      <c r="Z605" s="41">
        <f t="shared" si="227"/>
        <v>0</v>
      </c>
      <c r="AA605" s="24">
        <v>5</v>
      </c>
      <c r="AB605" s="41">
        <v>800000</v>
      </c>
      <c r="AC605" s="41">
        <f t="shared" si="219"/>
        <v>0</v>
      </c>
      <c r="AD605" s="70" t="s">
        <v>297</v>
      </c>
      <c r="AE605" s="70"/>
      <c r="AF605" s="1">
        <v>800000</v>
      </c>
      <c r="AG605" s="5">
        <f t="shared" si="214"/>
        <v>0</v>
      </c>
      <c r="AH605" s="5"/>
    </row>
    <row r="606" spans="1:34" s="1" customFormat="1" x14ac:dyDescent="0.25">
      <c r="A606" s="49">
        <v>81</v>
      </c>
      <c r="B606" s="22" t="s">
        <v>1706</v>
      </c>
      <c r="C606" s="22" t="s">
        <v>847</v>
      </c>
      <c r="D606" s="51" t="s">
        <v>983</v>
      </c>
      <c r="E606" s="24" t="s">
        <v>860</v>
      </c>
      <c r="F606" s="24"/>
      <c r="G606" s="24" t="s">
        <v>61</v>
      </c>
      <c r="H606" s="24" t="s">
        <v>62</v>
      </c>
      <c r="I606" s="24">
        <v>2012</v>
      </c>
      <c r="J606" s="24"/>
      <c r="K606" s="24" t="s">
        <v>63</v>
      </c>
      <c r="L606" s="24" t="s">
        <v>64</v>
      </c>
      <c r="M606" s="24">
        <v>2</v>
      </c>
      <c r="N606" s="41">
        <f t="shared" si="225"/>
        <v>242000</v>
      </c>
      <c r="O606" s="41">
        <v>484000</v>
      </c>
      <c r="P606" s="24"/>
      <c r="Q606" s="24"/>
      <c r="R606" s="24"/>
      <c r="S606" s="41">
        <f t="shared" si="218"/>
        <v>484000</v>
      </c>
      <c r="T606" s="24">
        <v>5</v>
      </c>
      <c r="U606" s="41"/>
      <c r="V606" s="24">
        <v>0.5</v>
      </c>
      <c r="W606" s="41">
        <f t="shared" si="226"/>
        <v>0</v>
      </c>
      <c r="X606" s="24"/>
      <c r="Y606" s="41">
        <f t="shared" si="228"/>
        <v>0</v>
      </c>
      <c r="Z606" s="41">
        <f t="shared" si="227"/>
        <v>0</v>
      </c>
      <c r="AA606" s="24">
        <v>5</v>
      </c>
      <c r="AB606" s="41">
        <v>484000</v>
      </c>
      <c r="AC606" s="41">
        <f t="shared" si="219"/>
        <v>0</v>
      </c>
      <c r="AD606" s="70" t="s">
        <v>957</v>
      </c>
      <c r="AE606" s="70"/>
      <c r="AF606" s="1">
        <v>484000</v>
      </c>
      <c r="AG606" s="5">
        <f t="shared" si="214"/>
        <v>0</v>
      </c>
      <c r="AH606" s="5"/>
    </row>
    <row r="607" spans="1:34" s="1" customFormat="1" x14ac:dyDescent="0.25">
      <c r="A607" s="49">
        <v>82</v>
      </c>
      <c r="B607" s="22" t="s">
        <v>1706</v>
      </c>
      <c r="C607" s="22" t="s">
        <v>298</v>
      </c>
      <c r="D607" s="51" t="s">
        <v>984</v>
      </c>
      <c r="E607" s="24" t="s">
        <v>860</v>
      </c>
      <c r="F607" s="24"/>
      <c r="G607" s="24" t="s">
        <v>61</v>
      </c>
      <c r="H607" s="24" t="s">
        <v>62</v>
      </c>
      <c r="I607" s="24">
        <v>2012</v>
      </c>
      <c r="J607" s="24"/>
      <c r="K607" s="24" t="s">
        <v>63</v>
      </c>
      <c r="L607" s="24" t="s">
        <v>64</v>
      </c>
      <c r="M607" s="24">
        <v>2</v>
      </c>
      <c r="N607" s="41">
        <f t="shared" si="225"/>
        <v>605000</v>
      </c>
      <c r="O607" s="41">
        <v>1210000</v>
      </c>
      <c r="P607" s="24"/>
      <c r="Q607" s="24"/>
      <c r="R607" s="24"/>
      <c r="S607" s="41">
        <f t="shared" si="218"/>
        <v>1210000</v>
      </c>
      <c r="T607" s="24">
        <v>5</v>
      </c>
      <c r="U607" s="41"/>
      <c r="V607" s="24">
        <v>0.5</v>
      </c>
      <c r="W607" s="41">
        <f t="shared" si="226"/>
        <v>0</v>
      </c>
      <c r="X607" s="24"/>
      <c r="Y607" s="41">
        <f t="shared" si="228"/>
        <v>0</v>
      </c>
      <c r="Z607" s="41">
        <f t="shared" si="227"/>
        <v>0</v>
      </c>
      <c r="AA607" s="24">
        <v>5</v>
      </c>
      <c r="AB607" s="41">
        <v>1210000</v>
      </c>
      <c r="AC607" s="41">
        <f t="shared" si="219"/>
        <v>0</v>
      </c>
      <c r="AD607" s="70" t="s">
        <v>985</v>
      </c>
      <c r="AE607" s="70"/>
      <c r="AF607" s="1">
        <v>1210000</v>
      </c>
      <c r="AG607" s="5">
        <f t="shared" si="214"/>
        <v>0</v>
      </c>
      <c r="AH607" s="5"/>
    </row>
    <row r="608" spans="1:34" s="1" customFormat="1" x14ac:dyDescent="0.25">
      <c r="A608" s="49">
        <v>83</v>
      </c>
      <c r="B608" s="22" t="s">
        <v>1707</v>
      </c>
      <c r="C608" s="22" t="s">
        <v>858</v>
      </c>
      <c r="D608" s="51" t="s">
        <v>859</v>
      </c>
      <c r="E608" s="24" t="s">
        <v>860</v>
      </c>
      <c r="F608" s="24"/>
      <c r="G608" s="24" t="s">
        <v>194</v>
      </c>
      <c r="H608" s="24" t="s">
        <v>62</v>
      </c>
      <c r="I608" s="24">
        <v>2012</v>
      </c>
      <c r="J608" s="24"/>
      <c r="K608" s="24" t="s">
        <v>63</v>
      </c>
      <c r="L608" s="24" t="s">
        <v>64</v>
      </c>
      <c r="M608" s="24">
        <v>40</v>
      </c>
      <c r="N608" s="41">
        <f t="shared" si="225"/>
        <v>500000</v>
      </c>
      <c r="O608" s="41">
        <v>20000000</v>
      </c>
      <c r="P608" s="24"/>
      <c r="Q608" s="24"/>
      <c r="R608" s="24"/>
      <c r="S608" s="41">
        <f t="shared" si="218"/>
        <v>20000000</v>
      </c>
      <c r="T608" s="24">
        <v>5</v>
      </c>
      <c r="U608" s="41"/>
      <c r="V608" s="24">
        <v>0.5</v>
      </c>
      <c r="W608" s="41">
        <f t="shared" si="226"/>
        <v>0</v>
      </c>
      <c r="X608" s="24"/>
      <c r="Y608" s="41">
        <f t="shared" si="228"/>
        <v>0</v>
      </c>
      <c r="Z608" s="41">
        <f t="shared" si="227"/>
        <v>0</v>
      </c>
      <c r="AA608" s="24">
        <v>5</v>
      </c>
      <c r="AB608" s="41">
        <v>20000000</v>
      </c>
      <c r="AC608" s="41">
        <f t="shared" si="219"/>
        <v>0</v>
      </c>
      <c r="AD608" s="70" t="s">
        <v>288</v>
      </c>
      <c r="AE608" s="70"/>
      <c r="AF608" s="1">
        <v>20000000</v>
      </c>
      <c r="AG608" s="5">
        <f t="shared" si="214"/>
        <v>0</v>
      </c>
      <c r="AH608" s="5"/>
    </row>
    <row r="609" spans="1:34" s="1" customFormat="1" x14ac:dyDescent="0.25">
      <c r="A609" s="49">
        <v>84</v>
      </c>
      <c r="B609" s="22" t="s">
        <v>1708</v>
      </c>
      <c r="C609" s="22" t="s">
        <v>79</v>
      </c>
      <c r="D609" s="51" t="s">
        <v>697</v>
      </c>
      <c r="E609" s="24" t="s">
        <v>698</v>
      </c>
      <c r="F609" s="24"/>
      <c r="G609" s="24" t="s">
        <v>194</v>
      </c>
      <c r="H609" s="24" t="s">
        <v>62</v>
      </c>
      <c r="I609" s="24">
        <v>2014</v>
      </c>
      <c r="J609" s="24"/>
      <c r="K609" s="24" t="s">
        <v>63</v>
      </c>
      <c r="L609" s="24" t="s">
        <v>64</v>
      </c>
      <c r="M609" s="24">
        <v>1</v>
      </c>
      <c r="N609" s="41">
        <f t="shared" si="225"/>
        <v>19178000</v>
      </c>
      <c r="O609" s="41">
        <v>19178000</v>
      </c>
      <c r="P609" s="24"/>
      <c r="Q609" s="24"/>
      <c r="R609" s="24"/>
      <c r="S609" s="41">
        <f t="shared" si="218"/>
        <v>19178000</v>
      </c>
      <c r="T609" s="24">
        <v>5</v>
      </c>
      <c r="U609" s="41"/>
      <c r="V609" s="24">
        <v>0.5</v>
      </c>
      <c r="W609" s="41">
        <f t="shared" si="226"/>
        <v>0</v>
      </c>
      <c r="X609" s="24"/>
      <c r="Y609" s="41">
        <f t="shared" si="228"/>
        <v>0</v>
      </c>
      <c r="Z609" s="41">
        <f t="shared" si="227"/>
        <v>0</v>
      </c>
      <c r="AA609" s="24">
        <v>5</v>
      </c>
      <c r="AB609" s="41">
        <v>19178000</v>
      </c>
      <c r="AC609" s="41">
        <f t="shared" si="219"/>
        <v>0</v>
      </c>
      <c r="AD609" s="70" t="s">
        <v>237</v>
      </c>
      <c r="AE609" s="70"/>
      <c r="AF609" s="1">
        <v>19178000</v>
      </c>
      <c r="AG609" s="5">
        <f t="shared" si="214"/>
        <v>0</v>
      </c>
      <c r="AH609" s="5"/>
    </row>
    <row r="610" spans="1:34" s="1" customFormat="1" x14ac:dyDescent="0.25">
      <c r="A610" s="49">
        <v>85</v>
      </c>
      <c r="B610" s="22" t="s">
        <v>1708</v>
      </c>
      <c r="C610" s="22" t="s">
        <v>58</v>
      </c>
      <c r="D610" s="51" t="s">
        <v>781</v>
      </c>
      <c r="E610" s="24" t="s">
        <v>782</v>
      </c>
      <c r="F610" s="24"/>
      <c r="G610" s="24" t="s">
        <v>194</v>
      </c>
      <c r="H610" s="24" t="s">
        <v>62</v>
      </c>
      <c r="I610" s="24">
        <v>2015</v>
      </c>
      <c r="J610" s="24"/>
      <c r="K610" s="24" t="s">
        <v>63</v>
      </c>
      <c r="L610" s="24" t="s">
        <v>64</v>
      </c>
      <c r="M610" s="24">
        <v>1</v>
      </c>
      <c r="N610" s="41">
        <f t="shared" si="225"/>
        <v>2175000</v>
      </c>
      <c r="O610" s="41">
        <v>2175000</v>
      </c>
      <c r="P610" s="24"/>
      <c r="Q610" s="24"/>
      <c r="R610" s="24"/>
      <c r="S610" s="41">
        <f t="shared" si="218"/>
        <v>2175000</v>
      </c>
      <c r="T610" s="24">
        <v>5</v>
      </c>
      <c r="U610" s="41">
        <f t="shared" ref="U610:U611" si="229">SUM(S610/T610)</f>
        <v>435000</v>
      </c>
      <c r="V610" s="24">
        <v>0.5</v>
      </c>
      <c r="W610" s="41"/>
      <c r="X610" s="24"/>
      <c r="Y610" s="41">
        <f>SUM(U610*X610)</f>
        <v>0</v>
      </c>
      <c r="Z610" s="41"/>
      <c r="AA610" s="72">
        <v>5</v>
      </c>
      <c r="AB610" s="41">
        <f t="shared" ref="AB610:AB611" si="230">SUM(U610*AA610)</f>
        <v>2175000</v>
      </c>
      <c r="AC610" s="41">
        <f t="shared" si="219"/>
        <v>0</v>
      </c>
      <c r="AD610" s="70" t="s">
        <v>783</v>
      </c>
      <c r="AE610" s="70"/>
      <c r="AG610" s="5">
        <f t="shared" si="214"/>
        <v>-2175000</v>
      </c>
      <c r="AH610" s="5"/>
    </row>
    <row r="611" spans="1:34" s="1" customFormat="1" x14ac:dyDescent="0.25">
      <c r="A611" s="49">
        <v>86</v>
      </c>
      <c r="B611" s="22" t="s">
        <v>1708</v>
      </c>
      <c r="C611" s="22" t="s">
        <v>75</v>
      </c>
      <c r="D611" s="51" t="s">
        <v>781</v>
      </c>
      <c r="E611" s="24" t="s">
        <v>782</v>
      </c>
      <c r="F611" s="24"/>
      <c r="G611" s="24" t="s">
        <v>194</v>
      </c>
      <c r="H611" s="24" t="s">
        <v>62</v>
      </c>
      <c r="I611" s="24">
        <v>2015</v>
      </c>
      <c r="J611" s="24"/>
      <c r="K611" s="24" t="s">
        <v>63</v>
      </c>
      <c r="L611" s="24" t="s">
        <v>64</v>
      </c>
      <c r="M611" s="24">
        <v>1</v>
      </c>
      <c r="N611" s="41">
        <f t="shared" si="225"/>
        <v>2175000</v>
      </c>
      <c r="O611" s="41">
        <v>2175000</v>
      </c>
      <c r="P611" s="24"/>
      <c r="Q611" s="24"/>
      <c r="R611" s="24"/>
      <c r="S611" s="41">
        <f t="shared" si="218"/>
        <v>2175000</v>
      </c>
      <c r="T611" s="24">
        <v>5</v>
      </c>
      <c r="U611" s="41">
        <f t="shared" si="229"/>
        <v>435000</v>
      </c>
      <c r="V611" s="24">
        <v>0.5</v>
      </c>
      <c r="W611" s="41"/>
      <c r="X611" s="24"/>
      <c r="Y611" s="41">
        <f>SUM(U611*X611)</f>
        <v>0</v>
      </c>
      <c r="Z611" s="41"/>
      <c r="AA611" s="72">
        <v>5</v>
      </c>
      <c r="AB611" s="41">
        <f t="shared" si="230"/>
        <v>2175000</v>
      </c>
      <c r="AC611" s="41">
        <f t="shared" si="219"/>
        <v>0</v>
      </c>
      <c r="AD611" s="70" t="s">
        <v>213</v>
      </c>
      <c r="AE611" s="70"/>
      <c r="AG611" s="5">
        <f t="shared" si="214"/>
        <v>-2175000</v>
      </c>
      <c r="AH611" s="5"/>
    </row>
    <row r="612" spans="1:34" s="1" customFormat="1" x14ac:dyDescent="0.25">
      <c r="A612" s="49">
        <v>87</v>
      </c>
      <c r="B612" s="22" t="s">
        <v>1709</v>
      </c>
      <c r="C612" s="22" t="s">
        <v>657</v>
      </c>
      <c r="D612" s="51" t="s">
        <v>658</v>
      </c>
      <c r="E612" s="24" t="s">
        <v>659</v>
      </c>
      <c r="F612" s="24"/>
      <c r="G612" s="24" t="s">
        <v>194</v>
      </c>
      <c r="H612" s="24" t="s">
        <v>62</v>
      </c>
      <c r="I612" s="24">
        <v>2018</v>
      </c>
      <c r="J612" s="24"/>
      <c r="K612" s="24" t="s">
        <v>63</v>
      </c>
      <c r="L612" s="24" t="s">
        <v>64</v>
      </c>
      <c r="M612" s="24">
        <v>3</v>
      </c>
      <c r="N612" s="41">
        <f t="shared" si="225"/>
        <v>4364250</v>
      </c>
      <c r="O612" s="41">
        <v>13092750</v>
      </c>
      <c r="P612" s="24"/>
      <c r="Q612" s="24"/>
      <c r="R612" s="24"/>
      <c r="S612" s="41">
        <f t="shared" si="218"/>
        <v>13092750</v>
      </c>
      <c r="T612" s="24">
        <v>5</v>
      </c>
      <c r="U612" s="41">
        <f>SUM(S612/T612)</f>
        <v>2618550</v>
      </c>
      <c r="V612" s="24">
        <v>0.5</v>
      </c>
      <c r="W612" s="41">
        <f>SUM(U612*V612)</f>
        <v>1309275</v>
      </c>
      <c r="X612" s="24">
        <v>0.5</v>
      </c>
      <c r="Y612" s="41">
        <f>SUM(U612*X612)-872850</f>
        <v>436425</v>
      </c>
      <c r="Z612" s="41">
        <f t="shared" ref="Z612" si="231">SUM(W612+Y612)</f>
        <v>1745700</v>
      </c>
      <c r="AA612" s="72">
        <v>5</v>
      </c>
      <c r="AB612" s="41">
        <f>SUM(U612*AA612)</f>
        <v>13092750</v>
      </c>
      <c r="AC612" s="41">
        <f t="shared" si="219"/>
        <v>0</v>
      </c>
      <c r="AD612" s="70"/>
      <c r="AE612" s="70"/>
      <c r="AF612" s="1">
        <v>11347050</v>
      </c>
      <c r="AG612" s="5">
        <f t="shared" si="214"/>
        <v>0</v>
      </c>
      <c r="AH612" s="5"/>
    </row>
    <row r="613" spans="1:34" s="1" customFormat="1" x14ac:dyDescent="0.25">
      <c r="A613" s="49">
        <v>88</v>
      </c>
      <c r="B613" s="22" t="s">
        <v>1710</v>
      </c>
      <c r="C613" s="22" t="s">
        <v>58</v>
      </c>
      <c r="D613" s="51" t="s">
        <v>1048</v>
      </c>
      <c r="E613" s="24" t="s">
        <v>166</v>
      </c>
      <c r="F613" s="24"/>
      <c r="G613" s="24" t="s">
        <v>903</v>
      </c>
      <c r="H613" s="24" t="s">
        <v>62</v>
      </c>
      <c r="I613" s="24">
        <v>2015</v>
      </c>
      <c r="J613" s="24"/>
      <c r="K613" s="24" t="s">
        <v>63</v>
      </c>
      <c r="L613" s="24" t="s">
        <v>64</v>
      </c>
      <c r="M613" s="24">
        <v>1</v>
      </c>
      <c r="N613" s="41">
        <f t="shared" ref="N613:N629" si="232">SUM(O613/M613)</f>
        <v>4550000</v>
      </c>
      <c r="O613" s="41">
        <v>4550000</v>
      </c>
      <c r="P613" s="24"/>
      <c r="Q613" s="24"/>
      <c r="R613" s="24"/>
      <c r="S613" s="41">
        <f t="shared" si="218"/>
        <v>4550000</v>
      </c>
      <c r="T613" s="24">
        <v>5</v>
      </c>
      <c r="U613" s="41">
        <f>SUM(S613/T613)</f>
        <v>910000</v>
      </c>
      <c r="V613" s="24">
        <v>0.5</v>
      </c>
      <c r="W613" s="41"/>
      <c r="X613" s="24"/>
      <c r="Y613" s="41">
        <f t="shared" ref="Y613:Y629" si="233">SUM(U613*X613)</f>
        <v>0</v>
      </c>
      <c r="Z613" s="41"/>
      <c r="AA613" s="69">
        <v>5</v>
      </c>
      <c r="AB613" s="41">
        <f>SUM(U613*AA613)</f>
        <v>4550000</v>
      </c>
      <c r="AC613" s="41">
        <f t="shared" si="219"/>
        <v>0</v>
      </c>
      <c r="AD613" s="70" t="s">
        <v>295</v>
      </c>
      <c r="AE613" s="70"/>
      <c r="AF613" s="1">
        <v>4550000</v>
      </c>
      <c r="AG613" s="5">
        <f t="shared" si="214"/>
        <v>0</v>
      </c>
      <c r="AH613" s="5"/>
    </row>
    <row r="614" spans="1:34" s="1" customFormat="1" x14ac:dyDescent="0.25">
      <c r="A614" s="49">
        <v>89</v>
      </c>
      <c r="B614" s="22" t="s">
        <v>1710</v>
      </c>
      <c r="C614" s="22" t="s">
        <v>75</v>
      </c>
      <c r="D614" s="51" t="s">
        <v>1049</v>
      </c>
      <c r="E614" s="24" t="s">
        <v>166</v>
      </c>
      <c r="F614" s="24"/>
      <c r="G614" s="24" t="s">
        <v>903</v>
      </c>
      <c r="H614" s="24" t="s">
        <v>62</v>
      </c>
      <c r="I614" s="24">
        <v>2015</v>
      </c>
      <c r="J614" s="24"/>
      <c r="K614" s="24" t="s">
        <v>63</v>
      </c>
      <c r="L614" s="24" t="s">
        <v>64</v>
      </c>
      <c r="M614" s="24">
        <v>1</v>
      </c>
      <c r="N614" s="41">
        <f t="shared" si="232"/>
        <v>3400000</v>
      </c>
      <c r="O614" s="41">
        <v>3400000</v>
      </c>
      <c r="P614" s="24"/>
      <c r="Q614" s="24"/>
      <c r="R614" s="24"/>
      <c r="S614" s="41">
        <f t="shared" si="218"/>
        <v>3400000</v>
      </c>
      <c r="T614" s="24">
        <v>5</v>
      </c>
      <c r="U614" s="41">
        <f>SUM(S614/T614)</f>
        <v>680000</v>
      </c>
      <c r="V614" s="24">
        <v>0.5</v>
      </c>
      <c r="W614" s="41"/>
      <c r="X614" s="24"/>
      <c r="Y614" s="41">
        <f t="shared" si="233"/>
        <v>0</v>
      </c>
      <c r="Z614" s="41"/>
      <c r="AA614" s="69">
        <v>5</v>
      </c>
      <c r="AB614" s="41">
        <f>SUM(U614*AA614)</f>
        <v>3400000</v>
      </c>
      <c r="AC614" s="41">
        <f t="shared" si="219"/>
        <v>0</v>
      </c>
      <c r="AD614" s="70" t="s">
        <v>295</v>
      </c>
      <c r="AE614" s="70"/>
      <c r="AF614" s="1">
        <v>3400000</v>
      </c>
      <c r="AG614" s="5">
        <f t="shared" si="214"/>
        <v>0</v>
      </c>
      <c r="AH614" s="5"/>
    </row>
    <row r="615" spans="1:34" s="1" customFormat="1" x14ac:dyDescent="0.25">
      <c r="A615" s="49">
        <v>90</v>
      </c>
      <c r="B615" s="22" t="s">
        <v>1711</v>
      </c>
      <c r="C615" s="22" t="s">
        <v>209</v>
      </c>
      <c r="D615" s="51" t="s">
        <v>631</v>
      </c>
      <c r="E615" s="24" t="s">
        <v>632</v>
      </c>
      <c r="F615" s="24"/>
      <c r="G615" s="24" t="s">
        <v>194</v>
      </c>
      <c r="H615" s="24" t="s">
        <v>62</v>
      </c>
      <c r="I615" s="24">
        <v>2015</v>
      </c>
      <c r="J615" s="24"/>
      <c r="K615" s="24" t="s">
        <v>63</v>
      </c>
      <c r="L615" s="24" t="s">
        <v>64</v>
      </c>
      <c r="M615" s="24">
        <v>2</v>
      </c>
      <c r="N615" s="41">
        <f t="shared" si="232"/>
        <v>990000</v>
      </c>
      <c r="O615" s="41">
        <v>1980000</v>
      </c>
      <c r="P615" s="24"/>
      <c r="Q615" s="24"/>
      <c r="R615" s="24"/>
      <c r="S615" s="41">
        <f t="shared" si="218"/>
        <v>1980000</v>
      </c>
      <c r="T615" s="24">
        <v>5</v>
      </c>
      <c r="U615" s="41">
        <f t="shared" ref="U615:U627" si="234">SUM(S615/T615)</f>
        <v>396000</v>
      </c>
      <c r="V615" s="24"/>
      <c r="W615" s="41"/>
      <c r="X615" s="24"/>
      <c r="Y615" s="41">
        <f t="shared" si="233"/>
        <v>0</v>
      </c>
      <c r="Z615" s="41">
        <f t="shared" ref="Z615:Z629" si="235">SUM(W615+Y615)</f>
        <v>0</v>
      </c>
      <c r="AA615" s="69">
        <v>5.25</v>
      </c>
      <c r="AB615" s="41">
        <f t="shared" ref="AB615:AB629" si="236">SUM(U615*AA615)</f>
        <v>2079000</v>
      </c>
      <c r="AC615" s="41">
        <f t="shared" si="219"/>
        <v>-99000</v>
      </c>
      <c r="AD615" s="70" t="s">
        <v>354</v>
      </c>
      <c r="AE615" s="70"/>
      <c r="AF615" s="1">
        <v>2079000</v>
      </c>
      <c r="AG615" s="5">
        <f t="shared" si="214"/>
        <v>0</v>
      </c>
      <c r="AH615" s="5"/>
    </row>
    <row r="616" spans="1:34" s="1" customFormat="1" x14ac:dyDescent="0.25">
      <c r="A616" s="49">
        <v>91</v>
      </c>
      <c r="B616" s="22" t="s">
        <v>1711</v>
      </c>
      <c r="C616" s="22" t="s">
        <v>633</v>
      </c>
      <c r="D616" s="51" t="s">
        <v>631</v>
      </c>
      <c r="E616" s="24" t="s">
        <v>632</v>
      </c>
      <c r="F616" s="24"/>
      <c r="G616" s="24" t="s">
        <v>194</v>
      </c>
      <c r="H616" s="24" t="s">
        <v>62</v>
      </c>
      <c r="I616" s="24">
        <v>2015</v>
      </c>
      <c r="J616" s="24"/>
      <c r="K616" s="24" t="s">
        <v>63</v>
      </c>
      <c r="L616" s="24" t="s">
        <v>64</v>
      </c>
      <c r="M616" s="24">
        <v>2</v>
      </c>
      <c r="N616" s="41">
        <f t="shared" si="232"/>
        <v>990000</v>
      </c>
      <c r="O616" s="41">
        <v>1980000</v>
      </c>
      <c r="P616" s="24"/>
      <c r="Q616" s="24"/>
      <c r="R616" s="24"/>
      <c r="S616" s="41">
        <f t="shared" si="218"/>
        <v>1980000</v>
      </c>
      <c r="T616" s="24">
        <v>5</v>
      </c>
      <c r="U616" s="41">
        <f t="shared" si="234"/>
        <v>396000</v>
      </c>
      <c r="V616" s="24"/>
      <c r="W616" s="41"/>
      <c r="X616" s="24"/>
      <c r="Y616" s="41">
        <f t="shared" si="233"/>
        <v>0</v>
      </c>
      <c r="Z616" s="41">
        <f t="shared" si="235"/>
        <v>0</v>
      </c>
      <c r="AA616" s="69">
        <v>5.25</v>
      </c>
      <c r="AB616" s="41">
        <f t="shared" si="236"/>
        <v>2079000</v>
      </c>
      <c r="AC616" s="41">
        <f t="shared" si="219"/>
        <v>-99000</v>
      </c>
      <c r="AD616" s="70" t="s">
        <v>350</v>
      </c>
      <c r="AE616" s="70"/>
      <c r="AF616" s="1">
        <v>2079000</v>
      </c>
      <c r="AG616" s="5">
        <f t="shared" si="214"/>
        <v>0</v>
      </c>
      <c r="AH616" s="5"/>
    </row>
    <row r="617" spans="1:34" s="1" customFormat="1" x14ac:dyDescent="0.25">
      <c r="A617" s="49">
        <v>92</v>
      </c>
      <c r="B617" s="22" t="s">
        <v>1711</v>
      </c>
      <c r="C617" s="22" t="s">
        <v>634</v>
      </c>
      <c r="D617" s="51" t="s">
        <v>631</v>
      </c>
      <c r="E617" s="24" t="s">
        <v>632</v>
      </c>
      <c r="F617" s="24"/>
      <c r="G617" s="24" t="s">
        <v>194</v>
      </c>
      <c r="H617" s="24" t="s">
        <v>62</v>
      </c>
      <c r="I617" s="24">
        <v>2015</v>
      </c>
      <c r="J617" s="24"/>
      <c r="K617" s="24" t="s">
        <v>63</v>
      </c>
      <c r="L617" s="24" t="s">
        <v>64</v>
      </c>
      <c r="M617" s="24">
        <v>2</v>
      </c>
      <c r="N617" s="41">
        <f t="shared" si="232"/>
        <v>990000</v>
      </c>
      <c r="O617" s="41">
        <v>1980000</v>
      </c>
      <c r="P617" s="24"/>
      <c r="Q617" s="24"/>
      <c r="R617" s="24"/>
      <c r="S617" s="41">
        <f t="shared" si="218"/>
        <v>1980000</v>
      </c>
      <c r="T617" s="24">
        <v>5</v>
      </c>
      <c r="U617" s="41">
        <f t="shared" si="234"/>
        <v>396000</v>
      </c>
      <c r="V617" s="24"/>
      <c r="W617" s="41"/>
      <c r="X617" s="24"/>
      <c r="Y617" s="41">
        <f t="shared" si="233"/>
        <v>0</v>
      </c>
      <c r="Z617" s="41">
        <f t="shared" si="235"/>
        <v>0</v>
      </c>
      <c r="AA617" s="69">
        <v>5.25</v>
      </c>
      <c r="AB617" s="41">
        <f t="shared" si="236"/>
        <v>2079000</v>
      </c>
      <c r="AC617" s="41">
        <f t="shared" si="219"/>
        <v>-99000</v>
      </c>
      <c r="AD617" s="70" t="s">
        <v>635</v>
      </c>
      <c r="AE617" s="70"/>
      <c r="AF617" s="1">
        <v>2079000</v>
      </c>
      <c r="AG617" s="5">
        <f t="shared" si="214"/>
        <v>0</v>
      </c>
      <c r="AH617" s="5"/>
    </row>
    <row r="618" spans="1:34" s="1" customFormat="1" x14ac:dyDescent="0.25">
      <c r="A618" s="49">
        <v>93</v>
      </c>
      <c r="B618" s="22" t="s">
        <v>1711</v>
      </c>
      <c r="C618" s="22" t="s">
        <v>96</v>
      </c>
      <c r="D618" s="51" t="s">
        <v>631</v>
      </c>
      <c r="E618" s="24" t="s">
        <v>632</v>
      </c>
      <c r="F618" s="24"/>
      <c r="G618" s="24" t="s">
        <v>194</v>
      </c>
      <c r="H618" s="24" t="s">
        <v>62</v>
      </c>
      <c r="I618" s="24">
        <v>2015</v>
      </c>
      <c r="J618" s="24"/>
      <c r="K618" s="24" t="s">
        <v>63</v>
      </c>
      <c r="L618" s="24" t="s">
        <v>64</v>
      </c>
      <c r="M618" s="24">
        <v>1</v>
      </c>
      <c r="N618" s="41">
        <f t="shared" si="232"/>
        <v>990000</v>
      </c>
      <c r="O618" s="41">
        <v>990000</v>
      </c>
      <c r="P618" s="24"/>
      <c r="Q618" s="24"/>
      <c r="R618" s="24"/>
      <c r="S618" s="41">
        <f t="shared" si="218"/>
        <v>990000</v>
      </c>
      <c r="T618" s="24">
        <v>5</v>
      </c>
      <c r="U618" s="41">
        <f t="shared" si="234"/>
        <v>198000</v>
      </c>
      <c r="V618" s="24"/>
      <c r="W618" s="41"/>
      <c r="X618" s="24"/>
      <c r="Y618" s="41">
        <f t="shared" si="233"/>
        <v>0</v>
      </c>
      <c r="Z618" s="41">
        <f t="shared" si="235"/>
        <v>0</v>
      </c>
      <c r="AA618" s="69">
        <v>5.25</v>
      </c>
      <c r="AB618" s="41">
        <f t="shared" si="236"/>
        <v>1039500</v>
      </c>
      <c r="AC618" s="41">
        <f t="shared" si="219"/>
        <v>-49500</v>
      </c>
      <c r="AD618" s="70" t="s">
        <v>243</v>
      </c>
      <c r="AE618" s="70"/>
      <c r="AF618" s="1">
        <v>1039500</v>
      </c>
      <c r="AG618" s="5">
        <f t="shared" si="214"/>
        <v>0</v>
      </c>
      <c r="AH618" s="5"/>
    </row>
    <row r="619" spans="1:34" s="1" customFormat="1" x14ac:dyDescent="0.25">
      <c r="A619" s="49">
        <v>94</v>
      </c>
      <c r="B619" s="22" t="s">
        <v>1711</v>
      </c>
      <c r="C619" s="22" t="s">
        <v>100</v>
      </c>
      <c r="D619" s="51" t="s">
        <v>636</v>
      </c>
      <c r="E619" s="24" t="s">
        <v>637</v>
      </c>
      <c r="F619" s="24"/>
      <c r="G619" s="24" t="s">
        <v>194</v>
      </c>
      <c r="H619" s="24" t="s">
        <v>62</v>
      </c>
      <c r="I619" s="24">
        <v>2018</v>
      </c>
      <c r="J619" s="24"/>
      <c r="K619" s="24" t="s">
        <v>63</v>
      </c>
      <c r="L619" s="24" t="s">
        <v>64</v>
      </c>
      <c r="M619" s="24">
        <v>1</v>
      </c>
      <c r="N619" s="41">
        <f t="shared" si="232"/>
        <v>2898500</v>
      </c>
      <c r="O619" s="41">
        <v>2898500</v>
      </c>
      <c r="P619" s="24"/>
      <c r="Q619" s="24"/>
      <c r="R619" s="24"/>
      <c r="S619" s="41">
        <f t="shared" si="218"/>
        <v>2898500</v>
      </c>
      <c r="T619" s="24">
        <v>5</v>
      </c>
      <c r="U619" s="41">
        <f t="shared" si="234"/>
        <v>579700</v>
      </c>
      <c r="V619" s="24">
        <v>0.5</v>
      </c>
      <c r="W619" s="41">
        <f>SUM(U619*V619)</f>
        <v>289850</v>
      </c>
      <c r="X619" s="24">
        <v>0.5</v>
      </c>
      <c r="Y619" s="41">
        <f>SUM(U619*X619)-193233.33</f>
        <v>96616.670000000013</v>
      </c>
      <c r="Z619" s="41">
        <f t="shared" si="235"/>
        <v>386466.67000000004</v>
      </c>
      <c r="AA619" s="72">
        <v>5</v>
      </c>
      <c r="AB619" s="41">
        <f t="shared" si="236"/>
        <v>2898500</v>
      </c>
      <c r="AC619" s="41">
        <f t="shared" si="219"/>
        <v>0</v>
      </c>
      <c r="AD619" s="70" t="s">
        <v>638</v>
      </c>
      <c r="AE619" s="70"/>
      <c r="AF619" s="1">
        <v>2512033.333333333</v>
      </c>
      <c r="AG619" s="45">
        <f t="shared" si="214"/>
        <v>3.3333329483866692E-3</v>
      </c>
      <c r="AH619" s="5"/>
    </row>
    <row r="620" spans="1:34" s="1" customFormat="1" x14ac:dyDescent="0.25">
      <c r="A620" s="49">
        <v>95</v>
      </c>
      <c r="B620" s="22" t="s">
        <v>1711</v>
      </c>
      <c r="C620" s="22" t="s">
        <v>105</v>
      </c>
      <c r="D620" s="51" t="s">
        <v>636</v>
      </c>
      <c r="E620" s="24" t="s">
        <v>637</v>
      </c>
      <c r="F620" s="24"/>
      <c r="G620" s="24" t="s">
        <v>194</v>
      </c>
      <c r="H620" s="24" t="s">
        <v>62</v>
      </c>
      <c r="I620" s="24">
        <v>2018</v>
      </c>
      <c r="J620" s="24"/>
      <c r="K620" s="24" t="s">
        <v>63</v>
      </c>
      <c r="L620" s="24" t="s">
        <v>64</v>
      </c>
      <c r="M620" s="24">
        <v>1</v>
      </c>
      <c r="N620" s="41">
        <f t="shared" si="232"/>
        <v>2898500</v>
      </c>
      <c r="O620" s="41">
        <v>2898500</v>
      </c>
      <c r="P620" s="24"/>
      <c r="Q620" s="24"/>
      <c r="R620" s="24"/>
      <c r="S620" s="41">
        <f t="shared" si="218"/>
        <v>2898500</v>
      </c>
      <c r="T620" s="24">
        <v>5</v>
      </c>
      <c r="U620" s="41">
        <f t="shared" si="234"/>
        <v>579700</v>
      </c>
      <c r="V620" s="24">
        <v>0.5</v>
      </c>
      <c r="W620" s="41">
        <f t="shared" ref="W620:W628" si="237">SUM(U620*V620)</f>
        <v>289850</v>
      </c>
      <c r="X620" s="24">
        <v>0.5</v>
      </c>
      <c r="Y620" s="41">
        <f t="shared" ref="Y620:Y628" si="238">SUM(U620*X620)-193233.33</f>
        <v>96616.670000000013</v>
      </c>
      <c r="Z620" s="41">
        <f t="shared" si="235"/>
        <v>386466.67000000004</v>
      </c>
      <c r="AA620" s="72">
        <v>5</v>
      </c>
      <c r="AB620" s="41">
        <f t="shared" si="236"/>
        <v>2898500</v>
      </c>
      <c r="AC620" s="41">
        <f t="shared" si="219"/>
        <v>0</v>
      </c>
      <c r="AD620" s="70" t="s">
        <v>639</v>
      </c>
      <c r="AE620" s="70"/>
      <c r="AF620" s="1">
        <v>2512033.333333333</v>
      </c>
      <c r="AG620" s="5">
        <f t="shared" si="214"/>
        <v>3.3333329483866692E-3</v>
      </c>
      <c r="AH620" s="5"/>
    </row>
    <row r="621" spans="1:34" s="1" customFormat="1" x14ac:dyDescent="0.25">
      <c r="A621" s="49">
        <v>96</v>
      </c>
      <c r="B621" s="22" t="s">
        <v>1711</v>
      </c>
      <c r="C621" s="22" t="s">
        <v>108</v>
      </c>
      <c r="D621" s="51" t="s">
        <v>636</v>
      </c>
      <c r="E621" s="24" t="s">
        <v>637</v>
      </c>
      <c r="F621" s="24"/>
      <c r="G621" s="24" t="s">
        <v>194</v>
      </c>
      <c r="H621" s="24" t="s">
        <v>62</v>
      </c>
      <c r="I621" s="24">
        <v>2018</v>
      </c>
      <c r="J621" s="24"/>
      <c r="K621" s="24" t="s">
        <v>63</v>
      </c>
      <c r="L621" s="24" t="s">
        <v>64</v>
      </c>
      <c r="M621" s="24">
        <v>1</v>
      </c>
      <c r="N621" s="41">
        <f t="shared" si="232"/>
        <v>2898500</v>
      </c>
      <c r="O621" s="41">
        <v>2898500</v>
      </c>
      <c r="P621" s="24"/>
      <c r="Q621" s="24"/>
      <c r="R621" s="24"/>
      <c r="S621" s="41">
        <f t="shared" si="218"/>
        <v>2898500</v>
      </c>
      <c r="T621" s="24">
        <v>5</v>
      </c>
      <c r="U621" s="41">
        <f t="shared" si="234"/>
        <v>579700</v>
      </c>
      <c r="V621" s="24">
        <v>0.5</v>
      </c>
      <c r="W621" s="41">
        <f t="shared" si="237"/>
        <v>289850</v>
      </c>
      <c r="X621" s="24">
        <v>0.5</v>
      </c>
      <c r="Y621" s="41">
        <f t="shared" si="238"/>
        <v>96616.670000000013</v>
      </c>
      <c r="Z621" s="41">
        <f t="shared" si="235"/>
        <v>386466.67000000004</v>
      </c>
      <c r="AA621" s="72">
        <v>5</v>
      </c>
      <c r="AB621" s="41">
        <f t="shared" si="236"/>
        <v>2898500</v>
      </c>
      <c r="AC621" s="41">
        <f t="shared" si="219"/>
        <v>0</v>
      </c>
      <c r="AD621" s="70" t="s">
        <v>640</v>
      </c>
      <c r="AE621" s="70"/>
      <c r="AF621" s="1">
        <v>2512033.333333333</v>
      </c>
      <c r="AG621" s="5">
        <f t="shared" si="214"/>
        <v>3.3333329483866692E-3</v>
      </c>
      <c r="AH621" s="5"/>
    </row>
    <row r="622" spans="1:34" s="1" customFormat="1" x14ac:dyDescent="0.25">
      <c r="A622" s="49">
        <v>97</v>
      </c>
      <c r="B622" s="22" t="s">
        <v>1711</v>
      </c>
      <c r="C622" s="22" t="s">
        <v>135</v>
      </c>
      <c r="D622" s="51" t="s">
        <v>636</v>
      </c>
      <c r="E622" s="24" t="s">
        <v>637</v>
      </c>
      <c r="F622" s="24"/>
      <c r="G622" s="24" t="s">
        <v>194</v>
      </c>
      <c r="H622" s="24" t="s">
        <v>62</v>
      </c>
      <c r="I622" s="24">
        <v>2018</v>
      </c>
      <c r="J622" s="24"/>
      <c r="K622" s="24" t="s">
        <v>63</v>
      </c>
      <c r="L622" s="24" t="s">
        <v>64</v>
      </c>
      <c r="M622" s="24">
        <v>1</v>
      </c>
      <c r="N622" s="41">
        <f t="shared" si="232"/>
        <v>2898500</v>
      </c>
      <c r="O622" s="41">
        <v>2898500</v>
      </c>
      <c r="P622" s="24"/>
      <c r="Q622" s="24"/>
      <c r="R622" s="24"/>
      <c r="S622" s="41">
        <f t="shared" si="218"/>
        <v>2898500</v>
      </c>
      <c r="T622" s="24">
        <v>5</v>
      </c>
      <c r="U622" s="41">
        <f t="shared" si="234"/>
        <v>579700</v>
      </c>
      <c r="V622" s="24">
        <v>0.5</v>
      </c>
      <c r="W622" s="41">
        <f t="shared" si="237"/>
        <v>289850</v>
      </c>
      <c r="X622" s="24">
        <v>0.5</v>
      </c>
      <c r="Y622" s="41">
        <f t="shared" si="238"/>
        <v>96616.670000000013</v>
      </c>
      <c r="Z622" s="41">
        <f t="shared" si="235"/>
        <v>386466.67000000004</v>
      </c>
      <c r="AA622" s="72">
        <v>5</v>
      </c>
      <c r="AB622" s="41">
        <f t="shared" si="236"/>
        <v>2898500</v>
      </c>
      <c r="AC622" s="41">
        <f t="shared" si="219"/>
        <v>0</v>
      </c>
      <c r="AD622" s="70" t="s">
        <v>641</v>
      </c>
      <c r="AE622" s="70"/>
      <c r="AF622" s="1">
        <v>2512033.333333333</v>
      </c>
      <c r="AG622" s="5">
        <f t="shared" si="214"/>
        <v>3.3333329483866692E-3</v>
      </c>
      <c r="AH622" s="5"/>
    </row>
    <row r="623" spans="1:34" s="1" customFormat="1" x14ac:dyDescent="0.25">
      <c r="A623" s="49">
        <v>98</v>
      </c>
      <c r="B623" s="22" t="s">
        <v>1711</v>
      </c>
      <c r="C623" s="22" t="s">
        <v>138</v>
      </c>
      <c r="D623" s="51" t="s">
        <v>636</v>
      </c>
      <c r="E623" s="24" t="s">
        <v>637</v>
      </c>
      <c r="F623" s="24"/>
      <c r="G623" s="24" t="s">
        <v>194</v>
      </c>
      <c r="H623" s="24" t="s">
        <v>62</v>
      </c>
      <c r="I623" s="24">
        <v>2018</v>
      </c>
      <c r="J623" s="24"/>
      <c r="K623" s="24" t="s">
        <v>63</v>
      </c>
      <c r="L623" s="24" t="s">
        <v>64</v>
      </c>
      <c r="M623" s="24">
        <v>1</v>
      </c>
      <c r="N623" s="41">
        <f t="shared" si="232"/>
        <v>2898500</v>
      </c>
      <c r="O623" s="41">
        <v>2898500</v>
      </c>
      <c r="P623" s="24"/>
      <c r="Q623" s="24"/>
      <c r="R623" s="24"/>
      <c r="S623" s="41">
        <f t="shared" si="218"/>
        <v>2898500</v>
      </c>
      <c r="T623" s="24">
        <v>5</v>
      </c>
      <c r="U623" s="41">
        <f t="shared" si="234"/>
        <v>579700</v>
      </c>
      <c r="V623" s="24">
        <v>0.5</v>
      </c>
      <c r="W623" s="41">
        <f t="shared" si="237"/>
        <v>289850</v>
      </c>
      <c r="X623" s="24">
        <v>0.5</v>
      </c>
      <c r="Y623" s="41">
        <f t="shared" si="238"/>
        <v>96616.670000000013</v>
      </c>
      <c r="Z623" s="41">
        <f t="shared" si="235"/>
        <v>386466.67000000004</v>
      </c>
      <c r="AA623" s="72">
        <v>5</v>
      </c>
      <c r="AB623" s="41">
        <f t="shared" si="236"/>
        <v>2898500</v>
      </c>
      <c r="AC623" s="41">
        <f t="shared" si="219"/>
        <v>0</v>
      </c>
      <c r="AD623" s="70" t="s">
        <v>642</v>
      </c>
      <c r="AE623" s="70"/>
      <c r="AF623" s="1">
        <v>2512033.333333333</v>
      </c>
      <c r="AG623" s="5">
        <f t="shared" si="214"/>
        <v>3.3333329483866692E-3</v>
      </c>
      <c r="AH623" s="5"/>
    </row>
    <row r="624" spans="1:34" s="1" customFormat="1" x14ac:dyDescent="0.25">
      <c r="A624" s="49">
        <v>99</v>
      </c>
      <c r="B624" s="22" t="s">
        <v>1711</v>
      </c>
      <c r="C624" s="22" t="s">
        <v>140</v>
      </c>
      <c r="D624" s="51" t="s">
        <v>636</v>
      </c>
      <c r="E624" s="24" t="s">
        <v>637</v>
      </c>
      <c r="F624" s="24"/>
      <c r="G624" s="24" t="s">
        <v>194</v>
      </c>
      <c r="H624" s="24" t="s">
        <v>62</v>
      </c>
      <c r="I624" s="24">
        <v>2018</v>
      </c>
      <c r="J624" s="24"/>
      <c r="K624" s="24" t="s">
        <v>63</v>
      </c>
      <c r="L624" s="24" t="s">
        <v>64</v>
      </c>
      <c r="M624" s="24">
        <v>1</v>
      </c>
      <c r="N624" s="41">
        <f t="shared" si="232"/>
        <v>2898500</v>
      </c>
      <c r="O624" s="41">
        <v>2898500</v>
      </c>
      <c r="P624" s="24"/>
      <c r="Q624" s="24"/>
      <c r="R624" s="24"/>
      <c r="S624" s="41">
        <f t="shared" si="218"/>
        <v>2898500</v>
      </c>
      <c r="T624" s="24">
        <v>5</v>
      </c>
      <c r="U624" s="41">
        <f t="shared" si="234"/>
        <v>579700</v>
      </c>
      <c r="V624" s="24">
        <v>0.5</v>
      </c>
      <c r="W624" s="41">
        <f t="shared" si="237"/>
        <v>289850</v>
      </c>
      <c r="X624" s="24">
        <v>0.5</v>
      </c>
      <c r="Y624" s="41">
        <f t="shared" si="238"/>
        <v>96616.670000000013</v>
      </c>
      <c r="Z624" s="41">
        <f t="shared" si="235"/>
        <v>386466.67000000004</v>
      </c>
      <c r="AA624" s="72">
        <v>5</v>
      </c>
      <c r="AB624" s="41">
        <f t="shared" si="236"/>
        <v>2898500</v>
      </c>
      <c r="AC624" s="41">
        <f t="shared" si="219"/>
        <v>0</v>
      </c>
      <c r="AD624" s="70" t="s">
        <v>643</v>
      </c>
      <c r="AE624" s="70"/>
      <c r="AF624" s="1">
        <v>2512033.333333333</v>
      </c>
      <c r="AG624" s="5">
        <f t="shared" si="214"/>
        <v>3.3333329483866692E-3</v>
      </c>
      <c r="AH624" s="5"/>
    </row>
    <row r="625" spans="1:34" s="1" customFormat="1" x14ac:dyDescent="0.25">
      <c r="A625" s="49">
        <v>100</v>
      </c>
      <c r="B625" s="22" t="s">
        <v>1711</v>
      </c>
      <c r="C625" s="22" t="s">
        <v>143</v>
      </c>
      <c r="D625" s="51" t="s">
        <v>636</v>
      </c>
      <c r="E625" s="24" t="s">
        <v>637</v>
      </c>
      <c r="F625" s="24"/>
      <c r="G625" s="24" t="s">
        <v>194</v>
      </c>
      <c r="H625" s="24" t="s">
        <v>62</v>
      </c>
      <c r="I625" s="24">
        <v>2018</v>
      </c>
      <c r="J625" s="24"/>
      <c r="K625" s="24" t="s">
        <v>63</v>
      </c>
      <c r="L625" s="24" t="s">
        <v>64</v>
      </c>
      <c r="M625" s="24">
        <v>1</v>
      </c>
      <c r="N625" s="41">
        <f t="shared" si="232"/>
        <v>2898500</v>
      </c>
      <c r="O625" s="41">
        <v>2898500</v>
      </c>
      <c r="P625" s="24"/>
      <c r="Q625" s="24"/>
      <c r="R625" s="24"/>
      <c r="S625" s="41">
        <f t="shared" si="218"/>
        <v>2898500</v>
      </c>
      <c r="T625" s="24">
        <v>5</v>
      </c>
      <c r="U625" s="41">
        <f t="shared" si="234"/>
        <v>579700</v>
      </c>
      <c r="V625" s="24">
        <v>0.5</v>
      </c>
      <c r="W625" s="41">
        <f t="shared" si="237"/>
        <v>289850</v>
      </c>
      <c r="X625" s="24">
        <v>0.5</v>
      </c>
      <c r="Y625" s="41">
        <f t="shared" si="238"/>
        <v>96616.670000000013</v>
      </c>
      <c r="Z625" s="41">
        <f t="shared" si="235"/>
        <v>386466.67000000004</v>
      </c>
      <c r="AA625" s="72">
        <v>5</v>
      </c>
      <c r="AB625" s="41">
        <f t="shared" si="236"/>
        <v>2898500</v>
      </c>
      <c r="AC625" s="41">
        <f t="shared" si="219"/>
        <v>0</v>
      </c>
      <c r="AD625" s="70" t="s">
        <v>644</v>
      </c>
      <c r="AE625" s="70"/>
      <c r="AF625" s="1">
        <v>2512033.333333333</v>
      </c>
      <c r="AG625" s="5">
        <f t="shared" si="214"/>
        <v>3.3333329483866692E-3</v>
      </c>
      <c r="AH625" s="5"/>
    </row>
    <row r="626" spans="1:34" s="1" customFormat="1" x14ac:dyDescent="0.25">
      <c r="A626" s="49">
        <v>101</v>
      </c>
      <c r="B626" s="22" t="s">
        <v>1711</v>
      </c>
      <c r="C626" s="22" t="s">
        <v>146</v>
      </c>
      <c r="D626" s="51" t="s">
        <v>636</v>
      </c>
      <c r="E626" s="24" t="s">
        <v>637</v>
      </c>
      <c r="F626" s="24"/>
      <c r="G626" s="24" t="s">
        <v>194</v>
      </c>
      <c r="H626" s="24" t="s">
        <v>62</v>
      </c>
      <c r="I626" s="24">
        <v>2018</v>
      </c>
      <c r="J626" s="24"/>
      <c r="K626" s="24" t="s">
        <v>63</v>
      </c>
      <c r="L626" s="24" t="s">
        <v>64</v>
      </c>
      <c r="M626" s="24">
        <v>1</v>
      </c>
      <c r="N626" s="41">
        <f t="shared" si="232"/>
        <v>2898500</v>
      </c>
      <c r="O626" s="41">
        <v>2898500</v>
      </c>
      <c r="P626" s="24"/>
      <c r="Q626" s="24"/>
      <c r="R626" s="24"/>
      <c r="S626" s="41">
        <f t="shared" si="218"/>
        <v>2898500</v>
      </c>
      <c r="T626" s="24">
        <v>5</v>
      </c>
      <c r="U626" s="41">
        <f t="shared" si="234"/>
        <v>579700</v>
      </c>
      <c r="V626" s="24">
        <v>0.5</v>
      </c>
      <c r="W626" s="41">
        <f t="shared" si="237"/>
        <v>289850</v>
      </c>
      <c r="X626" s="24">
        <v>0.5</v>
      </c>
      <c r="Y626" s="41">
        <f t="shared" si="238"/>
        <v>96616.670000000013</v>
      </c>
      <c r="Z626" s="41">
        <f t="shared" si="235"/>
        <v>386466.67000000004</v>
      </c>
      <c r="AA626" s="72">
        <v>5</v>
      </c>
      <c r="AB626" s="41">
        <f t="shared" si="236"/>
        <v>2898500</v>
      </c>
      <c r="AC626" s="41">
        <f t="shared" si="219"/>
        <v>0</v>
      </c>
      <c r="AD626" s="70" t="s">
        <v>645</v>
      </c>
      <c r="AE626" s="70"/>
      <c r="AF626" s="1">
        <v>2512033.333333333</v>
      </c>
      <c r="AG626" s="5">
        <f t="shared" si="214"/>
        <v>3.3333329483866692E-3</v>
      </c>
      <c r="AH626" s="5"/>
    </row>
    <row r="627" spans="1:34" s="1" customFormat="1" x14ac:dyDescent="0.25">
      <c r="A627" s="49">
        <v>102</v>
      </c>
      <c r="B627" s="22" t="s">
        <v>1711</v>
      </c>
      <c r="C627" s="22" t="s">
        <v>150</v>
      </c>
      <c r="D627" s="51" t="s">
        <v>636</v>
      </c>
      <c r="E627" s="24" t="s">
        <v>637</v>
      </c>
      <c r="F627" s="24"/>
      <c r="G627" s="24" t="s">
        <v>194</v>
      </c>
      <c r="H627" s="24" t="s">
        <v>62</v>
      </c>
      <c r="I627" s="24">
        <v>2018</v>
      </c>
      <c r="J627" s="24"/>
      <c r="K627" s="24" t="s">
        <v>63</v>
      </c>
      <c r="L627" s="24" t="s">
        <v>64</v>
      </c>
      <c r="M627" s="24">
        <v>1</v>
      </c>
      <c r="N627" s="41">
        <f t="shared" si="232"/>
        <v>2898500</v>
      </c>
      <c r="O627" s="41">
        <v>2898500</v>
      </c>
      <c r="P627" s="24"/>
      <c r="Q627" s="24"/>
      <c r="R627" s="24"/>
      <c r="S627" s="41">
        <f t="shared" si="218"/>
        <v>2898500</v>
      </c>
      <c r="T627" s="24">
        <v>5</v>
      </c>
      <c r="U627" s="41">
        <f t="shared" si="234"/>
        <v>579700</v>
      </c>
      <c r="V627" s="24">
        <v>0.5</v>
      </c>
      <c r="W627" s="41">
        <f t="shared" si="237"/>
        <v>289850</v>
      </c>
      <c r="X627" s="24">
        <v>0.5</v>
      </c>
      <c r="Y627" s="41">
        <f t="shared" si="238"/>
        <v>96616.670000000013</v>
      </c>
      <c r="Z627" s="41">
        <f t="shared" si="235"/>
        <v>386466.67000000004</v>
      </c>
      <c r="AA627" s="72">
        <v>5</v>
      </c>
      <c r="AB627" s="41">
        <f t="shared" si="236"/>
        <v>2898500</v>
      </c>
      <c r="AC627" s="41">
        <f t="shared" si="219"/>
        <v>0</v>
      </c>
      <c r="AD627" s="70" t="s">
        <v>646</v>
      </c>
      <c r="AE627" s="70"/>
      <c r="AF627" s="1">
        <v>2512033.333333333</v>
      </c>
      <c r="AG627" s="5">
        <f t="shared" si="214"/>
        <v>3.3333329483866692E-3</v>
      </c>
      <c r="AH627" s="5"/>
    </row>
    <row r="628" spans="1:34" s="1" customFormat="1" x14ac:dyDescent="0.25">
      <c r="A628" s="49">
        <v>103</v>
      </c>
      <c r="B628" s="22" t="s">
        <v>1711</v>
      </c>
      <c r="C628" s="22" t="s">
        <v>153</v>
      </c>
      <c r="D628" s="51" t="s">
        <v>636</v>
      </c>
      <c r="E628" s="24" t="s">
        <v>637</v>
      </c>
      <c r="F628" s="24"/>
      <c r="G628" s="24" t="s">
        <v>194</v>
      </c>
      <c r="H628" s="24" t="s">
        <v>62</v>
      </c>
      <c r="I628" s="24">
        <v>2018</v>
      </c>
      <c r="J628" s="24"/>
      <c r="K628" s="24" t="s">
        <v>63</v>
      </c>
      <c r="L628" s="24" t="s">
        <v>64</v>
      </c>
      <c r="M628" s="24">
        <v>1</v>
      </c>
      <c r="N628" s="41">
        <f t="shared" si="232"/>
        <v>2898500</v>
      </c>
      <c r="O628" s="41">
        <v>2898500</v>
      </c>
      <c r="P628" s="24"/>
      <c r="Q628" s="24"/>
      <c r="R628" s="24"/>
      <c r="S628" s="41">
        <f t="shared" si="218"/>
        <v>2898500</v>
      </c>
      <c r="T628" s="24">
        <v>5</v>
      </c>
      <c r="U628" s="41">
        <f>SUM(S628/T628)</f>
        <v>579700</v>
      </c>
      <c r="V628" s="24">
        <v>0.5</v>
      </c>
      <c r="W628" s="41">
        <f t="shared" si="237"/>
        <v>289850</v>
      </c>
      <c r="X628" s="24">
        <v>0.5</v>
      </c>
      <c r="Y628" s="41">
        <f t="shared" si="238"/>
        <v>96616.670000000013</v>
      </c>
      <c r="Z628" s="41">
        <f t="shared" si="235"/>
        <v>386466.67000000004</v>
      </c>
      <c r="AA628" s="72">
        <v>5</v>
      </c>
      <c r="AB628" s="41">
        <f t="shared" si="236"/>
        <v>2898500</v>
      </c>
      <c r="AC628" s="41">
        <f t="shared" si="219"/>
        <v>0</v>
      </c>
      <c r="AD628" s="70" t="s">
        <v>647</v>
      </c>
      <c r="AE628" s="70"/>
      <c r="AF628" s="1">
        <v>2512033.333333333</v>
      </c>
      <c r="AG628" s="5">
        <f t="shared" si="214"/>
        <v>3.3333329483866692E-3</v>
      </c>
      <c r="AH628" s="5"/>
    </row>
    <row r="629" spans="1:34" s="1" customFormat="1" x14ac:dyDescent="0.25">
      <c r="A629" s="49">
        <v>104</v>
      </c>
      <c r="B629" s="22" t="s">
        <v>1711</v>
      </c>
      <c r="C629" s="73" t="s">
        <v>806</v>
      </c>
      <c r="D629" s="51" t="s">
        <v>636</v>
      </c>
      <c r="E629" s="52" t="s">
        <v>648</v>
      </c>
      <c r="F629" s="52"/>
      <c r="G629" s="52" t="s">
        <v>194</v>
      </c>
      <c r="H629" s="52" t="s">
        <v>62</v>
      </c>
      <c r="I629" s="52">
        <v>2019</v>
      </c>
      <c r="J629" s="52"/>
      <c r="K629" s="52" t="s">
        <v>63</v>
      </c>
      <c r="L629" s="52" t="s">
        <v>64</v>
      </c>
      <c r="M629" s="52">
        <v>6</v>
      </c>
      <c r="N629" s="53">
        <f t="shared" si="232"/>
        <v>2900000</v>
      </c>
      <c r="O629" s="53">
        <v>17400000</v>
      </c>
      <c r="P629" s="52"/>
      <c r="Q629" s="52"/>
      <c r="R629" s="52"/>
      <c r="S629" s="53">
        <f t="shared" si="218"/>
        <v>17400000</v>
      </c>
      <c r="T629" s="52">
        <v>5</v>
      </c>
      <c r="U629" s="53">
        <f>SUM(S629/T629)</f>
        <v>3480000</v>
      </c>
      <c r="V629" s="52">
        <v>0.5</v>
      </c>
      <c r="W629" s="53">
        <f t="shared" ref="W629:W635" si="239">SUM(U629*V629)</f>
        <v>1740000</v>
      </c>
      <c r="X629" s="24">
        <v>0.5</v>
      </c>
      <c r="Y629" s="41">
        <f t="shared" si="233"/>
        <v>1740000</v>
      </c>
      <c r="Z629" s="41">
        <f t="shared" si="235"/>
        <v>3480000</v>
      </c>
      <c r="AA629" s="72">
        <f>2023-I629+V629+X629-11/12</f>
        <v>4.083333333333333</v>
      </c>
      <c r="AB629" s="41">
        <f t="shared" si="236"/>
        <v>14209999.999999998</v>
      </c>
      <c r="AC629" s="41">
        <f t="shared" si="219"/>
        <v>3190000.0000000019</v>
      </c>
      <c r="AD629" s="70"/>
      <c r="AE629" s="70"/>
      <c r="AF629" s="1">
        <v>10730000</v>
      </c>
      <c r="AG629" s="5">
        <f t="shared" si="214"/>
        <v>0</v>
      </c>
      <c r="AH629" s="5"/>
    </row>
    <row r="630" spans="1:34" s="1" customFormat="1" x14ac:dyDescent="0.25">
      <c r="A630" s="49">
        <v>105</v>
      </c>
      <c r="B630" s="22" t="s">
        <v>1712</v>
      </c>
      <c r="C630" s="22" t="s">
        <v>75</v>
      </c>
      <c r="D630" s="51" t="s">
        <v>914</v>
      </c>
      <c r="E630" s="24" t="s">
        <v>166</v>
      </c>
      <c r="F630" s="24"/>
      <c r="G630" s="24" t="s">
        <v>915</v>
      </c>
      <c r="H630" s="24" t="s">
        <v>62</v>
      </c>
      <c r="I630" s="24">
        <v>2012</v>
      </c>
      <c r="J630" s="24"/>
      <c r="K630" s="24" t="s">
        <v>63</v>
      </c>
      <c r="L630" s="24" t="s">
        <v>64</v>
      </c>
      <c r="M630" s="24">
        <v>1</v>
      </c>
      <c r="N630" s="41">
        <f t="shared" ref="N630:N632" si="240">SUM(O630/M630)</f>
        <v>11687500</v>
      </c>
      <c r="O630" s="41">
        <v>11687500</v>
      </c>
      <c r="P630" s="24"/>
      <c r="Q630" s="24"/>
      <c r="R630" s="24"/>
      <c r="S630" s="41">
        <f t="shared" si="218"/>
        <v>11687500</v>
      </c>
      <c r="T630" s="24">
        <v>5</v>
      </c>
      <c r="U630" s="41"/>
      <c r="V630" s="24">
        <v>0.5</v>
      </c>
      <c r="W630" s="41">
        <f t="shared" si="239"/>
        <v>0</v>
      </c>
      <c r="X630" s="24"/>
      <c r="Y630" s="41">
        <f t="shared" ref="Y630:Y644" si="241">SUM(U630*X630)</f>
        <v>0</v>
      </c>
      <c r="Z630" s="41">
        <f t="shared" ref="Z630:Z637" si="242">SUM(W630+Y630)</f>
        <v>0</v>
      </c>
      <c r="AA630" s="72">
        <v>5</v>
      </c>
      <c r="AB630" s="41">
        <v>11687500</v>
      </c>
      <c r="AC630" s="41">
        <f t="shared" si="219"/>
        <v>0</v>
      </c>
      <c r="AD630" s="70" t="s">
        <v>295</v>
      </c>
      <c r="AE630" s="70"/>
      <c r="AF630" s="1">
        <v>11687500</v>
      </c>
      <c r="AG630" s="5">
        <f t="shared" si="214"/>
        <v>0</v>
      </c>
      <c r="AH630" s="5"/>
    </row>
    <row r="631" spans="1:34" s="1" customFormat="1" x14ac:dyDescent="0.25">
      <c r="A631" s="49">
        <v>106</v>
      </c>
      <c r="B631" s="22" t="s">
        <v>1712</v>
      </c>
      <c r="C631" s="22" t="s">
        <v>79</v>
      </c>
      <c r="D631" s="51" t="s">
        <v>914</v>
      </c>
      <c r="E631" s="24" t="s">
        <v>166</v>
      </c>
      <c r="F631" s="24"/>
      <c r="G631" s="24" t="s">
        <v>915</v>
      </c>
      <c r="H631" s="24" t="s">
        <v>62</v>
      </c>
      <c r="I631" s="24">
        <v>2012</v>
      </c>
      <c r="J631" s="24"/>
      <c r="K631" s="24" t="s">
        <v>63</v>
      </c>
      <c r="L631" s="24" t="s">
        <v>64</v>
      </c>
      <c r="M631" s="24">
        <v>1</v>
      </c>
      <c r="N631" s="41">
        <f t="shared" si="240"/>
        <v>11687500</v>
      </c>
      <c r="O631" s="41">
        <v>11687500</v>
      </c>
      <c r="P631" s="24"/>
      <c r="Q631" s="24"/>
      <c r="R631" s="24"/>
      <c r="S631" s="41">
        <f t="shared" si="218"/>
        <v>11687500</v>
      </c>
      <c r="T631" s="24">
        <v>5</v>
      </c>
      <c r="U631" s="41"/>
      <c r="V631" s="24">
        <v>0.5</v>
      </c>
      <c r="W631" s="41">
        <f t="shared" si="239"/>
        <v>0</v>
      </c>
      <c r="X631" s="24"/>
      <c r="Y631" s="41">
        <f t="shared" si="241"/>
        <v>0</v>
      </c>
      <c r="Z631" s="41">
        <f t="shared" si="242"/>
        <v>0</v>
      </c>
      <c r="AA631" s="72">
        <v>5</v>
      </c>
      <c r="AB631" s="41">
        <v>11687500</v>
      </c>
      <c r="AC631" s="41">
        <f t="shared" si="219"/>
        <v>0</v>
      </c>
      <c r="AD631" s="70" t="s">
        <v>297</v>
      </c>
      <c r="AE631" s="70"/>
      <c r="AF631" s="1">
        <v>11687500</v>
      </c>
      <c r="AG631" s="5">
        <f t="shared" si="214"/>
        <v>0</v>
      </c>
      <c r="AH631" s="5"/>
    </row>
    <row r="632" spans="1:34" s="1" customFormat="1" x14ac:dyDescent="0.25">
      <c r="A632" s="49">
        <v>107</v>
      </c>
      <c r="B632" s="22" t="s">
        <v>1712</v>
      </c>
      <c r="C632" s="22" t="s">
        <v>84</v>
      </c>
      <c r="D632" s="51" t="s">
        <v>916</v>
      </c>
      <c r="E632" s="24" t="s">
        <v>166</v>
      </c>
      <c r="F632" s="24"/>
      <c r="G632" s="24" t="s">
        <v>319</v>
      </c>
      <c r="H632" s="24" t="s">
        <v>62</v>
      </c>
      <c r="I632" s="24">
        <v>2012</v>
      </c>
      <c r="J632" s="24"/>
      <c r="K632" s="24" t="s">
        <v>63</v>
      </c>
      <c r="L632" s="24" t="s">
        <v>64</v>
      </c>
      <c r="M632" s="24">
        <v>1</v>
      </c>
      <c r="N632" s="41">
        <f t="shared" si="240"/>
        <v>4294000</v>
      </c>
      <c r="O632" s="41">
        <v>4294000</v>
      </c>
      <c r="P632" s="24"/>
      <c r="Q632" s="24"/>
      <c r="R632" s="24"/>
      <c r="S632" s="41">
        <f t="shared" si="218"/>
        <v>4294000</v>
      </c>
      <c r="T632" s="24">
        <v>5</v>
      </c>
      <c r="U632" s="41"/>
      <c r="V632" s="24">
        <v>0.5</v>
      </c>
      <c r="W632" s="41">
        <f t="shared" si="239"/>
        <v>0</v>
      </c>
      <c r="X632" s="24"/>
      <c r="Y632" s="41">
        <f t="shared" si="241"/>
        <v>0</v>
      </c>
      <c r="Z632" s="41">
        <f t="shared" si="242"/>
        <v>0</v>
      </c>
      <c r="AA632" s="72">
        <v>5</v>
      </c>
      <c r="AB632" s="41">
        <v>4294000</v>
      </c>
      <c r="AC632" s="41">
        <f t="shared" si="219"/>
        <v>0</v>
      </c>
      <c r="AD632" s="70" t="s">
        <v>917</v>
      </c>
      <c r="AE632" s="70"/>
      <c r="AF632" s="1">
        <v>4294000</v>
      </c>
      <c r="AG632" s="5">
        <f t="shared" si="214"/>
        <v>0</v>
      </c>
      <c r="AH632" s="5"/>
    </row>
    <row r="633" spans="1:34" s="1" customFormat="1" x14ac:dyDescent="0.25">
      <c r="A633" s="49">
        <v>108</v>
      </c>
      <c r="B633" s="22" t="s">
        <v>1713</v>
      </c>
      <c r="C633" s="22" t="s">
        <v>58</v>
      </c>
      <c r="D633" s="51" t="s">
        <v>674</v>
      </c>
      <c r="E633" s="24" t="s">
        <v>675</v>
      </c>
      <c r="F633" s="24"/>
      <c r="G633" s="24" t="s">
        <v>194</v>
      </c>
      <c r="H633" s="24" t="s">
        <v>62</v>
      </c>
      <c r="I633" s="24">
        <v>2012</v>
      </c>
      <c r="J633" s="24"/>
      <c r="K633" s="24" t="s">
        <v>63</v>
      </c>
      <c r="L633" s="24" t="s">
        <v>64</v>
      </c>
      <c r="M633" s="24">
        <v>1</v>
      </c>
      <c r="N633" s="41">
        <f t="shared" ref="N633:N636" si="243">SUM(O633/M633)</f>
        <v>6500000</v>
      </c>
      <c r="O633" s="41">
        <v>6500000</v>
      </c>
      <c r="P633" s="24"/>
      <c r="Q633" s="24"/>
      <c r="R633" s="24"/>
      <c r="S633" s="41">
        <f t="shared" si="218"/>
        <v>6500000</v>
      </c>
      <c r="T633" s="24">
        <v>5</v>
      </c>
      <c r="U633" s="41"/>
      <c r="V633" s="24">
        <v>0.5</v>
      </c>
      <c r="W633" s="41">
        <f t="shared" si="239"/>
        <v>0</v>
      </c>
      <c r="X633" s="24"/>
      <c r="Y633" s="41">
        <f t="shared" si="241"/>
        <v>0</v>
      </c>
      <c r="Z633" s="41">
        <f t="shared" si="242"/>
        <v>0</v>
      </c>
      <c r="AA633" s="24">
        <v>5</v>
      </c>
      <c r="AB633" s="41">
        <v>6500000</v>
      </c>
      <c r="AC633" s="41">
        <f t="shared" si="219"/>
        <v>0</v>
      </c>
      <c r="AD633" s="70" t="s">
        <v>354</v>
      </c>
      <c r="AE633" s="70"/>
      <c r="AG633" s="5">
        <f t="shared" si="214"/>
        <v>-6500000</v>
      </c>
      <c r="AH633" s="5"/>
    </row>
    <row r="634" spans="1:34" s="1" customFormat="1" x14ac:dyDescent="0.25">
      <c r="A634" s="49">
        <v>109</v>
      </c>
      <c r="B634" s="22" t="s">
        <v>1714</v>
      </c>
      <c r="C634" s="22" t="s">
        <v>58</v>
      </c>
      <c r="D634" s="51" t="s">
        <v>699</v>
      </c>
      <c r="E634" s="24" t="s">
        <v>700</v>
      </c>
      <c r="F634" s="24"/>
      <c r="G634" s="24" t="s">
        <v>701</v>
      </c>
      <c r="H634" s="24" t="s">
        <v>62</v>
      </c>
      <c r="I634" s="24">
        <v>2011</v>
      </c>
      <c r="J634" s="24"/>
      <c r="K634" s="24" t="s">
        <v>63</v>
      </c>
      <c r="L634" s="24" t="s">
        <v>64</v>
      </c>
      <c r="M634" s="24">
        <v>1</v>
      </c>
      <c r="N634" s="41">
        <f t="shared" si="243"/>
        <v>11881800</v>
      </c>
      <c r="O634" s="41">
        <v>11881800</v>
      </c>
      <c r="P634" s="24"/>
      <c r="Q634" s="24"/>
      <c r="R634" s="24"/>
      <c r="S634" s="41">
        <f t="shared" si="218"/>
        <v>11881800</v>
      </c>
      <c r="T634" s="24">
        <v>5</v>
      </c>
      <c r="U634" s="41"/>
      <c r="V634" s="24">
        <v>0.5</v>
      </c>
      <c r="W634" s="41">
        <f t="shared" si="239"/>
        <v>0</v>
      </c>
      <c r="X634" s="24"/>
      <c r="Y634" s="41">
        <f t="shared" si="241"/>
        <v>0</v>
      </c>
      <c r="Z634" s="41">
        <f t="shared" si="242"/>
        <v>0</v>
      </c>
      <c r="AA634" s="72">
        <v>5</v>
      </c>
      <c r="AB634" s="41">
        <v>11881800</v>
      </c>
      <c r="AC634" s="41">
        <f t="shared" si="219"/>
        <v>0</v>
      </c>
      <c r="AD634" s="70" t="s">
        <v>630</v>
      </c>
      <c r="AE634" s="70"/>
      <c r="AG634" s="5">
        <f t="shared" si="214"/>
        <v>-11881800</v>
      </c>
      <c r="AH634" s="5"/>
    </row>
    <row r="635" spans="1:34" s="1" customFormat="1" x14ac:dyDescent="0.25">
      <c r="A635" s="49">
        <v>110</v>
      </c>
      <c r="B635" s="22" t="s">
        <v>1714</v>
      </c>
      <c r="C635" s="22" t="s">
        <v>75</v>
      </c>
      <c r="D635" s="51" t="s">
        <v>699</v>
      </c>
      <c r="E635" s="24" t="s">
        <v>705</v>
      </c>
      <c r="F635" s="24"/>
      <c r="G635" s="24" t="s">
        <v>201</v>
      </c>
      <c r="H635" s="24" t="s">
        <v>62</v>
      </c>
      <c r="I635" s="24">
        <v>2014</v>
      </c>
      <c r="J635" s="24"/>
      <c r="K635" s="24" t="s">
        <v>285</v>
      </c>
      <c r="L635" s="24" t="s">
        <v>64</v>
      </c>
      <c r="M635" s="24">
        <v>74</v>
      </c>
      <c r="N635" s="41">
        <f t="shared" si="243"/>
        <v>550000</v>
      </c>
      <c r="O635" s="41">
        <v>40700000</v>
      </c>
      <c r="P635" s="24"/>
      <c r="Q635" s="24"/>
      <c r="R635" s="24"/>
      <c r="S635" s="41">
        <f t="shared" si="218"/>
        <v>40700000</v>
      </c>
      <c r="T635" s="24">
        <v>5</v>
      </c>
      <c r="U635" s="41"/>
      <c r="V635" s="24">
        <v>0.5</v>
      </c>
      <c r="W635" s="41">
        <f t="shared" si="239"/>
        <v>0</v>
      </c>
      <c r="X635" s="24"/>
      <c r="Y635" s="41">
        <f t="shared" si="241"/>
        <v>0</v>
      </c>
      <c r="Z635" s="41">
        <f t="shared" si="242"/>
        <v>0</v>
      </c>
      <c r="AA635" s="69">
        <v>5.25</v>
      </c>
      <c r="AB635" s="41">
        <v>40700000</v>
      </c>
      <c r="AC635" s="41">
        <f t="shared" si="219"/>
        <v>0</v>
      </c>
      <c r="AD635" s="70" t="s">
        <v>354</v>
      </c>
      <c r="AE635" s="70"/>
      <c r="AG635" s="5">
        <f t="shared" si="214"/>
        <v>-40700000</v>
      </c>
      <c r="AH635" s="5"/>
    </row>
    <row r="636" spans="1:34" s="1" customFormat="1" x14ac:dyDescent="0.25">
      <c r="A636" s="49">
        <v>111</v>
      </c>
      <c r="B636" s="22" t="s">
        <v>1714</v>
      </c>
      <c r="C636" s="22" t="s">
        <v>79</v>
      </c>
      <c r="D636" s="51" t="s">
        <v>699</v>
      </c>
      <c r="E636" s="24" t="s">
        <v>166</v>
      </c>
      <c r="F636" s="24"/>
      <c r="G636" s="24" t="s">
        <v>201</v>
      </c>
      <c r="H636" s="24" t="s">
        <v>62</v>
      </c>
      <c r="I636" s="24">
        <v>2015</v>
      </c>
      <c r="J636" s="24"/>
      <c r="K636" s="24" t="s">
        <v>63</v>
      </c>
      <c r="L636" s="24" t="s">
        <v>64</v>
      </c>
      <c r="M636" s="24">
        <v>1</v>
      </c>
      <c r="N636" s="41">
        <f t="shared" si="243"/>
        <v>3498000</v>
      </c>
      <c r="O636" s="41">
        <v>3498000</v>
      </c>
      <c r="P636" s="24"/>
      <c r="Q636" s="24"/>
      <c r="R636" s="24"/>
      <c r="S636" s="41">
        <f t="shared" si="218"/>
        <v>3498000</v>
      </c>
      <c r="T636" s="24">
        <v>5</v>
      </c>
      <c r="U636" s="41">
        <f>SUM(S636/T636)</f>
        <v>699600</v>
      </c>
      <c r="V636" s="24">
        <v>0.5</v>
      </c>
      <c r="W636" s="41"/>
      <c r="X636" s="24"/>
      <c r="Y636" s="41">
        <f t="shared" si="241"/>
        <v>0</v>
      </c>
      <c r="Z636" s="41">
        <f t="shared" si="242"/>
        <v>0</v>
      </c>
      <c r="AA636" s="69">
        <v>5.25</v>
      </c>
      <c r="AB636" s="41">
        <v>3498000</v>
      </c>
      <c r="AC636" s="41">
        <f t="shared" si="219"/>
        <v>0</v>
      </c>
      <c r="AD636" s="70" t="s">
        <v>350</v>
      </c>
      <c r="AE636" s="70"/>
      <c r="AG636" s="5">
        <f t="shared" si="214"/>
        <v>-3498000</v>
      </c>
      <c r="AH636" s="5"/>
    </row>
    <row r="637" spans="1:34" s="1" customFormat="1" x14ac:dyDescent="0.25">
      <c r="A637" s="49">
        <v>112</v>
      </c>
      <c r="B637" s="22" t="s">
        <v>1714</v>
      </c>
      <c r="C637" s="50" t="s">
        <v>84</v>
      </c>
      <c r="D637" s="51" t="s">
        <v>699</v>
      </c>
      <c r="E637" s="52" t="s">
        <v>166</v>
      </c>
      <c r="F637" s="52"/>
      <c r="G637" s="52" t="s">
        <v>201</v>
      </c>
      <c r="H637" s="52" t="s">
        <v>62</v>
      </c>
      <c r="I637" s="52">
        <v>2019</v>
      </c>
      <c r="J637" s="52"/>
      <c r="K637" s="52" t="s">
        <v>63</v>
      </c>
      <c r="L637" s="52" t="s">
        <v>64</v>
      </c>
      <c r="M637" s="52">
        <v>1</v>
      </c>
      <c r="N637" s="53">
        <v>3000000</v>
      </c>
      <c r="O637" s="53">
        <v>3000000</v>
      </c>
      <c r="P637" s="52"/>
      <c r="Q637" s="52"/>
      <c r="R637" s="52"/>
      <c r="S637" s="53">
        <f t="shared" si="218"/>
        <v>3000000</v>
      </c>
      <c r="T637" s="52">
        <v>5</v>
      </c>
      <c r="U637" s="53">
        <f>SUM(S637/T637)</f>
        <v>600000</v>
      </c>
      <c r="V637" s="52">
        <v>0.5</v>
      </c>
      <c r="W637" s="53">
        <f t="shared" ref="W637:W638" si="244">SUM(U637*V637)</f>
        <v>300000</v>
      </c>
      <c r="X637" s="24">
        <v>0.5</v>
      </c>
      <c r="Y637" s="41">
        <f t="shared" si="241"/>
        <v>300000</v>
      </c>
      <c r="Z637" s="41">
        <f t="shared" si="242"/>
        <v>600000</v>
      </c>
      <c r="AA637" s="178">
        <f>2023-I637+V637+X637-11/12</f>
        <v>4.083333333333333</v>
      </c>
      <c r="AB637" s="41">
        <f>SUM(U637*AA637)</f>
        <v>2450000</v>
      </c>
      <c r="AC637" s="41">
        <f t="shared" si="219"/>
        <v>550000</v>
      </c>
      <c r="AD637" s="70" t="s">
        <v>635</v>
      </c>
      <c r="AE637" s="70"/>
      <c r="AG637" s="5">
        <f t="shared" ref="AG637:AG700" si="245">AF637+Z637-AB637</f>
        <v>-1850000</v>
      </c>
      <c r="AH637" s="5"/>
    </row>
    <row r="638" spans="1:34" s="1" customFormat="1" x14ac:dyDescent="0.25">
      <c r="A638" s="49">
        <v>113</v>
      </c>
      <c r="B638" s="22" t="s">
        <v>1714</v>
      </c>
      <c r="C638" s="73" t="s">
        <v>88</v>
      </c>
      <c r="D638" s="51" t="s">
        <v>699</v>
      </c>
      <c r="E638" s="52" t="s">
        <v>166</v>
      </c>
      <c r="F638" s="52"/>
      <c r="G638" s="52" t="s">
        <v>201</v>
      </c>
      <c r="H638" s="52" t="s">
        <v>62</v>
      </c>
      <c r="I638" s="52">
        <v>2020</v>
      </c>
      <c r="J638" s="52"/>
      <c r="K638" s="52" t="s">
        <v>63</v>
      </c>
      <c r="L638" s="52" t="s">
        <v>64</v>
      </c>
      <c r="M638" s="52">
        <v>1</v>
      </c>
      <c r="N638" s="53">
        <f t="shared" ref="N638" si="246">SUM(O638/M638)</f>
        <v>5000000</v>
      </c>
      <c r="O638" s="53">
        <v>5000000</v>
      </c>
      <c r="P638" s="52"/>
      <c r="Q638" s="52"/>
      <c r="R638" s="52"/>
      <c r="S638" s="53">
        <f t="shared" si="218"/>
        <v>5000000</v>
      </c>
      <c r="T638" s="52">
        <v>5</v>
      </c>
      <c r="U638" s="53">
        <f>SUM(S638/T638)</f>
        <v>1000000</v>
      </c>
      <c r="V638" s="52">
        <v>0.5</v>
      </c>
      <c r="W638" s="53">
        <f t="shared" si="244"/>
        <v>500000</v>
      </c>
      <c r="X638" s="24">
        <v>0.5</v>
      </c>
      <c r="Y638" s="41">
        <f t="shared" si="241"/>
        <v>500000</v>
      </c>
      <c r="Z638" s="41">
        <f t="shared" ref="Z638" si="247">SUM(W638+Y638)</f>
        <v>1000000</v>
      </c>
      <c r="AA638" s="178">
        <f>2023-I638+V638+X638-11/12</f>
        <v>3.0833333333333335</v>
      </c>
      <c r="AB638" s="41">
        <f>SUM(U638*AA638)</f>
        <v>3083333.3333333335</v>
      </c>
      <c r="AC638" s="41">
        <f t="shared" si="219"/>
        <v>1916666.6666666665</v>
      </c>
      <c r="AD638" s="70" t="s">
        <v>243</v>
      </c>
      <c r="AE638" s="70"/>
      <c r="AG638" s="5">
        <f t="shared" si="245"/>
        <v>-2083333.3333333335</v>
      </c>
      <c r="AH638" s="5"/>
    </row>
    <row r="639" spans="1:34" s="1" customFormat="1" x14ac:dyDescent="0.25">
      <c r="A639" s="49">
        <v>114</v>
      </c>
      <c r="B639" s="22" t="s">
        <v>1715</v>
      </c>
      <c r="C639" s="22" t="s">
        <v>58</v>
      </c>
      <c r="D639" s="51" t="s">
        <v>1050</v>
      </c>
      <c r="E639" s="24" t="s">
        <v>166</v>
      </c>
      <c r="F639" s="24"/>
      <c r="G639" s="24" t="s">
        <v>201</v>
      </c>
      <c r="H639" s="24" t="s">
        <v>62</v>
      </c>
      <c r="I639" s="24">
        <v>2017</v>
      </c>
      <c r="J639" s="24"/>
      <c r="K639" s="24" t="s">
        <v>261</v>
      </c>
      <c r="L639" s="24" t="s">
        <v>64</v>
      </c>
      <c r="M639" s="24">
        <v>1</v>
      </c>
      <c r="N639" s="41">
        <f t="shared" ref="N639:N645" si="248">SUM(O639/M639)</f>
        <v>19950000</v>
      </c>
      <c r="O639" s="41">
        <v>19950000</v>
      </c>
      <c r="P639" s="24"/>
      <c r="Q639" s="24"/>
      <c r="R639" s="24"/>
      <c r="S639" s="41">
        <f t="shared" si="218"/>
        <v>19950000</v>
      </c>
      <c r="T639" s="24">
        <v>5</v>
      </c>
      <c r="U639" s="41">
        <f>SUM(S639/T639)</f>
        <v>3990000</v>
      </c>
      <c r="V639" s="24"/>
      <c r="W639" s="41"/>
      <c r="X639" s="24"/>
      <c r="Y639" s="41">
        <f t="shared" si="241"/>
        <v>0</v>
      </c>
      <c r="Z639" s="41"/>
      <c r="AA639" s="72">
        <v>5</v>
      </c>
      <c r="AB639" s="41">
        <v>19950000</v>
      </c>
      <c r="AC639" s="41">
        <f t="shared" si="219"/>
        <v>0</v>
      </c>
      <c r="AD639" s="70" t="s">
        <v>195</v>
      </c>
      <c r="AE639" s="70"/>
      <c r="AF639" s="1">
        <v>19950000</v>
      </c>
      <c r="AG639" s="5">
        <f t="shared" si="245"/>
        <v>0</v>
      </c>
      <c r="AH639" s="5"/>
    </row>
    <row r="640" spans="1:34" s="1" customFormat="1" x14ac:dyDescent="0.25">
      <c r="A640" s="49">
        <v>115</v>
      </c>
      <c r="B640" s="22" t="s">
        <v>1716</v>
      </c>
      <c r="C640" s="22" t="s">
        <v>75</v>
      </c>
      <c r="D640" s="51" t="s">
        <v>629</v>
      </c>
      <c r="E640" s="24" t="s">
        <v>211</v>
      </c>
      <c r="F640" s="24"/>
      <c r="G640" s="24" t="s">
        <v>194</v>
      </c>
      <c r="H640" s="24" t="s">
        <v>62</v>
      </c>
      <c r="I640" s="24">
        <v>2012</v>
      </c>
      <c r="J640" s="24"/>
      <c r="K640" s="24" t="s">
        <v>63</v>
      </c>
      <c r="L640" s="24" t="s">
        <v>64</v>
      </c>
      <c r="M640" s="24">
        <v>1</v>
      </c>
      <c r="N640" s="41">
        <f t="shared" si="248"/>
        <v>582000</v>
      </c>
      <c r="O640" s="41">
        <v>582000</v>
      </c>
      <c r="P640" s="24"/>
      <c r="Q640" s="24"/>
      <c r="R640" s="24"/>
      <c r="S640" s="41">
        <f t="shared" si="218"/>
        <v>582000</v>
      </c>
      <c r="T640" s="24">
        <v>5</v>
      </c>
      <c r="U640" s="41"/>
      <c r="V640" s="24">
        <v>0.5</v>
      </c>
      <c r="W640" s="41">
        <f t="shared" ref="W640:W645" si="249">SUM(U640*V640)</f>
        <v>0</v>
      </c>
      <c r="X640" s="24"/>
      <c r="Y640" s="41">
        <f t="shared" si="241"/>
        <v>0</v>
      </c>
      <c r="Z640" s="41">
        <f t="shared" ref="Z640:Z645" si="250">SUM(W640+Y640)</f>
        <v>0</v>
      </c>
      <c r="AA640" s="72">
        <v>5</v>
      </c>
      <c r="AB640" s="41">
        <v>582000</v>
      </c>
      <c r="AC640" s="41">
        <f t="shared" si="219"/>
        <v>0</v>
      </c>
      <c r="AD640" s="70" t="s">
        <v>630</v>
      </c>
      <c r="AE640" s="70"/>
      <c r="AF640" s="1">
        <v>582000</v>
      </c>
      <c r="AG640" s="5">
        <f t="shared" si="245"/>
        <v>0</v>
      </c>
      <c r="AH640" s="5"/>
    </row>
    <row r="641" spans="1:34" s="1" customFormat="1" x14ac:dyDescent="0.25">
      <c r="A641" s="49">
        <v>116</v>
      </c>
      <c r="B641" s="50" t="s">
        <v>1717</v>
      </c>
      <c r="C641" s="50" t="s">
        <v>58</v>
      </c>
      <c r="D641" s="51" t="s">
        <v>399</v>
      </c>
      <c r="E641" s="52" t="s">
        <v>166</v>
      </c>
      <c r="F641" s="52"/>
      <c r="G641" s="52" t="s">
        <v>194</v>
      </c>
      <c r="H641" s="52" t="s">
        <v>62</v>
      </c>
      <c r="I641" s="52">
        <v>2017</v>
      </c>
      <c r="J641" s="52"/>
      <c r="K641" s="52" t="s">
        <v>261</v>
      </c>
      <c r="L641" s="52" t="s">
        <v>64</v>
      </c>
      <c r="M641" s="52">
        <v>1</v>
      </c>
      <c r="N641" s="53">
        <f>SUM(O641/M641)</f>
        <v>39270000</v>
      </c>
      <c r="O641" s="53">
        <v>39270000</v>
      </c>
      <c r="P641" s="52"/>
      <c r="Q641" s="52"/>
      <c r="R641" s="52"/>
      <c r="S641" s="53">
        <f t="shared" si="218"/>
        <v>39270000</v>
      </c>
      <c r="T641" s="52">
        <v>5</v>
      </c>
      <c r="U641" s="53">
        <f>SUM(S641/T641)</f>
        <v>7854000</v>
      </c>
      <c r="V641" s="52"/>
      <c r="W641" s="53"/>
      <c r="X641" s="52"/>
      <c r="Y641" s="53"/>
      <c r="Z641" s="53"/>
      <c r="AA641" s="57">
        <v>5</v>
      </c>
      <c r="AB641" s="53">
        <v>39270000</v>
      </c>
      <c r="AC641" s="53">
        <f t="shared" si="219"/>
        <v>0</v>
      </c>
      <c r="AD641" s="56" t="s">
        <v>400</v>
      </c>
      <c r="AE641" s="70"/>
      <c r="AF641" s="1">
        <v>39270000</v>
      </c>
      <c r="AG641" s="5">
        <f t="shared" si="245"/>
        <v>0</v>
      </c>
      <c r="AH641" s="5"/>
    </row>
    <row r="642" spans="1:34" s="1" customFormat="1" x14ac:dyDescent="0.25">
      <c r="A642" s="49">
        <v>117</v>
      </c>
      <c r="B642" s="22" t="s">
        <v>1718</v>
      </c>
      <c r="C642" s="22" t="s">
        <v>58</v>
      </c>
      <c r="D642" s="51" t="s">
        <v>1005</v>
      </c>
      <c r="E642" s="24" t="s">
        <v>1006</v>
      </c>
      <c r="F642" s="24"/>
      <c r="G642" s="24" t="s">
        <v>194</v>
      </c>
      <c r="H642" s="24" t="s">
        <v>62</v>
      </c>
      <c r="I642" s="24">
        <v>2012</v>
      </c>
      <c r="J642" s="24"/>
      <c r="K642" s="24" t="s">
        <v>63</v>
      </c>
      <c r="L642" s="24" t="s">
        <v>64</v>
      </c>
      <c r="M642" s="24">
        <v>1</v>
      </c>
      <c r="N642" s="41">
        <f t="shared" si="248"/>
        <v>948500</v>
      </c>
      <c r="O642" s="41">
        <v>948500</v>
      </c>
      <c r="P642" s="24"/>
      <c r="Q642" s="24"/>
      <c r="R642" s="24"/>
      <c r="S642" s="41">
        <f t="shared" si="218"/>
        <v>948500</v>
      </c>
      <c r="T642" s="24">
        <v>5</v>
      </c>
      <c r="U642" s="41"/>
      <c r="V642" s="24">
        <v>0.5</v>
      </c>
      <c r="W642" s="41">
        <f t="shared" si="249"/>
        <v>0</v>
      </c>
      <c r="X642" s="24"/>
      <c r="Y642" s="41">
        <f t="shared" si="241"/>
        <v>0</v>
      </c>
      <c r="Z642" s="41">
        <f t="shared" si="250"/>
        <v>0</v>
      </c>
      <c r="AA642" s="24">
        <v>5</v>
      </c>
      <c r="AB642" s="41">
        <v>948500</v>
      </c>
      <c r="AC642" s="41">
        <f t="shared" si="219"/>
        <v>0</v>
      </c>
      <c r="AD642" s="70" t="s">
        <v>942</v>
      </c>
      <c r="AE642" s="70"/>
      <c r="AF642" s="1">
        <v>948500</v>
      </c>
      <c r="AG642" s="5">
        <f t="shared" si="245"/>
        <v>0</v>
      </c>
      <c r="AH642" s="5"/>
    </row>
    <row r="643" spans="1:34" s="1" customFormat="1" x14ac:dyDescent="0.25">
      <c r="A643" s="49">
        <v>118</v>
      </c>
      <c r="B643" s="22" t="s">
        <v>1718</v>
      </c>
      <c r="C643" s="22" t="s">
        <v>75</v>
      </c>
      <c r="D643" s="51" t="s">
        <v>1007</v>
      </c>
      <c r="E643" s="24" t="s">
        <v>1006</v>
      </c>
      <c r="F643" s="24"/>
      <c r="G643" s="24" t="s">
        <v>194</v>
      </c>
      <c r="H643" s="24" t="s">
        <v>62</v>
      </c>
      <c r="I643" s="24">
        <v>2012</v>
      </c>
      <c r="J643" s="24"/>
      <c r="K643" s="24" t="s">
        <v>63</v>
      </c>
      <c r="L643" s="24" t="s">
        <v>64</v>
      </c>
      <c r="M643" s="24">
        <v>1</v>
      </c>
      <c r="N643" s="41">
        <f t="shared" si="248"/>
        <v>948500</v>
      </c>
      <c r="O643" s="41">
        <v>948500</v>
      </c>
      <c r="P643" s="24"/>
      <c r="Q643" s="24"/>
      <c r="R643" s="24"/>
      <c r="S643" s="41">
        <f t="shared" si="218"/>
        <v>948500</v>
      </c>
      <c r="T643" s="24">
        <v>5</v>
      </c>
      <c r="U643" s="41"/>
      <c r="V643" s="24">
        <v>0.5</v>
      </c>
      <c r="W643" s="41">
        <f t="shared" si="249"/>
        <v>0</v>
      </c>
      <c r="X643" s="24"/>
      <c r="Y643" s="41">
        <f t="shared" si="241"/>
        <v>0</v>
      </c>
      <c r="Z643" s="41">
        <f t="shared" si="250"/>
        <v>0</v>
      </c>
      <c r="AA643" s="24">
        <v>5</v>
      </c>
      <c r="AB643" s="41">
        <v>948500</v>
      </c>
      <c r="AC643" s="41">
        <f t="shared" si="219"/>
        <v>0</v>
      </c>
      <c r="AD643" s="70" t="s">
        <v>354</v>
      </c>
      <c r="AE643" s="70"/>
      <c r="AF643" s="1">
        <v>948500</v>
      </c>
      <c r="AG643" s="5">
        <f t="shared" si="245"/>
        <v>0</v>
      </c>
      <c r="AH643" s="5"/>
    </row>
    <row r="644" spans="1:34" s="1" customFormat="1" x14ac:dyDescent="0.25">
      <c r="A644" s="49">
        <v>119</v>
      </c>
      <c r="B644" s="22" t="s">
        <v>1718</v>
      </c>
      <c r="C644" s="73" t="s">
        <v>633</v>
      </c>
      <c r="D644" s="51" t="s">
        <v>1007</v>
      </c>
      <c r="E644" s="412"/>
      <c r="F644" s="413"/>
      <c r="G644" s="52" t="s">
        <v>194</v>
      </c>
      <c r="H644" s="52" t="s">
        <v>62</v>
      </c>
      <c r="I644" s="52">
        <v>2021</v>
      </c>
      <c r="J644" s="52"/>
      <c r="K644" s="52" t="s">
        <v>63</v>
      </c>
      <c r="L644" s="52" t="s">
        <v>64</v>
      </c>
      <c r="M644" s="52">
        <v>2</v>
      </c>
      <c r="N644" s="53">
        <f t="shared" si="248"/>
        <v>4280077.5</v>
      </c>
      <c r="O644" s="53">
        <v>8560155</v>
      </c>
      <c r="P644" s="52"/>
      <c r="Q644" s="52"/>
      <c r="R644" s="52"/>
      <c r="S644" s="53">
        <f t="shared" si="218"/>
        <v>8560155</v>
      </c>
      <c r="T644" s="52">
        <v>5</v>
      </c>
      <c r="U644" s="53">
        <f t="shared" ref="U644:U645" si="251">SUM(S644/T644)</f>
        <v>1712031</v>
      </c>
      <c r="V644" s="52">
        <v>0.5</v>
      </c>
      <c r="W644" s="53">
        <f t="shared" si="249"/>
        <v>856015.5</v>
      </c>
      <c r="X644" s="52">
        <v>0.5</v>
      </c>
      <c r="Y644" s="53">
        <f t="shared" si="241"/>
        <v>856015.5</v>
      </c>
      <c r="Z644" s="53">
        <f t="shared" si="250"/>
        <v>1712031</v>
      </c>
      <c r="AA644" s="57">
        <f>1/12+0.5+0.5+0.5+0.5</f>
        <v>2.0833333333333335</v>
      </c>
      <c r="AB644" s="53">
        <f t="shared" ref="AB644:AB645" si="252">SUM(U644*AA644)</f>
        <v>3566731.2500000005</v>
      </c>
      <c r="AC644" s="53">
        <f t="shared" si="219"/>
        <v>4993423.75</v>
      </c>
      <c r="AD644" s="56" t="s">
        <v>400</v>
      </c>
      <c r="AE644" s="70"/>
      <c r="AF644" s="1">
        <v>1854700.2500000002</v>
      </c>
      <c r="AG644" s="5">
        <f t="shared" si="245"/>
        <v>0</v>
      </c>
      <c r="AH644" s="5"/>
    </row>
    <row r="645" spans="1:34" s="1" customFormat="1" x14ac:dyDescent="0.25">
      <c r="A645" s="49">
        <v>120</v>
      </c>
      <c r="B645" s="22" t="s">
        <v>1718</v>
      </c>
      <c r="C645" s="73"/>
      <c r="D645" s="51" t="s">
        <v>1007</v>
      </c>
      <c r="E645" s="179"/>
      <c r="F645" s="180"/>
      <c r="G645" s="52" t="s">
        <v>194</v>
      </c>
      <c r="H645" s="52" t="s">
        <v>62</v>
      </c>
      <c r="I645" s="52">
        <v>2022</v>
      </c>
      <c r="J645" s="52"/>
      <c r="K645" s="52" t="s">
        <v>261</v>
      </c>
      <c r="L645" s="52" t="s">
        <v>64</v>
      </c>
      <c r="M645" s="52">
        <v>1</v>
      </c>
      <c r="N645" s="53">
        <f t="shared" si="248"/>
        <v>10000000</v>
      </c>
      <c r="O645" s="53">
        <v>10000000</v>
      </c>
      <c r="P645" s="52"/>
      <c r="Q645" s="52"/>
      <c r="R645" s="52"/>
      <c r="S645" s="53">
        <f t="shared" si="218"/>
        <v>10000000</v>
      </c>
      <c r="T645" s="52">
        <v>5</v>
      </c>
      <c r="U645" s="53">
        <f t="shared" si="251"/>
        <v>2000000</v>
      </c>
      <c r="V645" s="52">
        <v>0.5</v>
      </c>
      <c r="W645" s="53">
        <f t="shared" si="249"/>
        <v>1000000</v>
      </c>
      <c r="X645" s="57">
        <v>0.5</v>
      </c>
      <c r="Y645" s="53">
        <f t="shared" ref="Y645:Y655" si="253">SUM(U645*X645)</f>
        <v>1000000</v>
      </c>
      <c r="Z645" s="53">
        <f t="shared" si="250"/>
        <v>2000000</v>
      </c>
      <c r="AA645" s="57">
        <f>1/12+0.5+0.5</f>
        <v>1.0833333333333335</v>
      </c>
      <c r="AB645" s="53">
        <f t="shared" si="252"/>
        <v>2166666.666666667</v>
      </c>
      <c r="AC645" s="53">
        <f t="shared" si="219"/>
        <v>7833333.333333333</v>
      </c>
      <c r="AD645" s="56"/>
      <c r="AE645" s="70"/>
      <c r="AF645" s="1">
        <v>166666.66666666666</v>
      </c>
      <c r="AG645" s="5">
        <f t="shared" si="245"/>
        <v>0</v>
      </c>
      <c r="AH645" s="5"/>
    </row>
    <row r="646" spans="1:34" s="1" customFormat="1" x14ac:dyDescent="0.25">
      <c r="A646" s="49">
        <v>121</v>
      </c>
      <c r="B646" s="22" t="s">
        <v>1719</v>
      </c>
      <c r="C646" s="22" t="s">
        <v>662</v>
      </c>
      <c r="D646" s="51" t="s">
        <v>663</v>
      </c>
      <c r="E646" s="24" t="s">
        <v>166</v>
      </c>
      <c r="F646" s="24"/>
      <c r="G646" s="24" t="s">
        <v>201</v>
      </c>
      <c r="H646" s="24" t="s">
        <v>62</v>
      </c>
      <c r="I646" s="24">
        <v>2011</v>
      </c>
      <c r="J646" s="24"/>
      <c r="K646" s="24" t="s">
        <v>664</v>
      </c>
      <c r="L646" s="24" t="s">
        <v>64</v>
      </c>
      <c r="M646" s="24">
        <v>1</v>
      </c>
      <c r="N646" s="41">
        <f t="shared" ref="N646:N656" si="254">SUM(O646/M646)</f>
        <v>2695000</v>
      </c>
      <c r="O646" s="41">
        <v>2695000</v>
      </c>
      <c r="P646" s="24"/>
      <c r="Q646" s="24"/>
      <c r="R646" s="24"/>
      <c r="S646" s="41">
        <f t="shared" si="218"/>
        <v>2695000</v>
      </c>
      <c r="T646" s="24">
        <v>5</v>
      </c>
      <c r="U646" s="41"/>
      <c r="V646" s="24">
        <v>0.5</v>
      </c>
      <c r="W646" s="41">
        <f t="shared" ref="W646:W655" si="255">SUM(U646*V646)</f>
        <v>0</v>
      </c>
      <c r="X646" s="24"/>
      <c r="Y646" s="41">
        <f t="shared" si="253"/>
        <v>0</v>
      </c>
      <c r="Z646" s="41">
        <f t="shared" ref="Z646:Z655" si="256">SUM(W646+Y646)</f>
        <v>0</v>
      </c>
      <c r="AA646" s="72">
        <v>5</v>
      </c>
      <c r="AB646" s="41">
        <v>2695000</v>
      </c>
      <c r="AC646" s="41">
        <f t="shared" si="219"/>
        <v>0</v>
      </c>
      <c r="AD646" s="70" t="s">
        <v>616</v>
      </c>
      <c r="AE646" s="70"/>
      <c r="AF646" s="1">
        <v>2695000</v>
      </c>
      <c r="AG646" s="5">
        <f t="shared" si="245"/>
        <v>0</v>
      </c>
      <c r="AH646" s="5"/>
    </row>
    <row r="647" spans="1:34" s="1" customFormat="1" x14ac:dyDescent="0.25">
      <c r="A647" s="49">
        <v>122</v>
      </c>
      <c r="B647" s="22" t="s">
        <v>1719</v>
      </c>
      <c r="C647" s="22" t="s">
        <v>665</v>
      </c>
      <c r="D647" s="51" t="s">
        <v>663</v>
      </c>
      <c r="E647" s="24" t="s">
        <v>666</v>
      </c>
      <c r="F647" s="24"/>
      <c r="G647" s="24" t="s">
        <v>201</v>
      </c>
      <c r="H647" s="24" t="s">
        <v>62</v>
      </c>
      <c r="I647" s="24">
        <v>2012</v>
      </c>
      <c r="J647" s="24"/>
      <c r="K647" s="24"/>
      <c r="L647" s="24" t="s">
        <v>64</v>
      </c>
      <c r="M647" s="24">
        <v>1</v>
      </c>
      <c r="N647" s="41">
        <f t="shared" si="254"/>
        <v>29486600</v>
      </c>
      <c r="O647" s="41">
        <v>29486600</v>
      </c>
      <c r="P647" s="24"/>
      <c r="Q647" s="24"/>
      <c r="R647" s="24"/>
      <c r="S647" s="41">
        <f t="shared" si="218"/>
        <v>29486600</v>
      </c>
      <c r="T647" s="24">
        <v>5</v>
      </c>
      <c r="U647" s="41"/>
      <c r="V647" s="24">
        <v>0.5</v>
      </c>
      <c r="W647" s="41">
        <f t="shared" si="255"/>
        <v>0</v>
      </c>
      <c r="X647" s="24"/>
      <c r="Y647" s="41">
        <f t="shared" si="253"/>
        <v>0</v>
      </c>
      <c r="Z647" s="41">
        <f t="shared" si="256"/>
        <v>0</v>
      </c>
      <c r="AA647" s="72">
        <v>5</v>
      </c>
      <c r="AB647" s="41">
        <v>29486600</v>
      </c>
      <c r="AC647" s="41">
        <f t="shared" si="219"/>
        <v>0</v>
      </c>
      <c r="AD647" s="70" t="s">
        <v>354</v>
      </c>
      <c r="AE647" s="70"/>
      <c r="AF647" s="1">
        <v>29486600</v>
      </c>
      <c r="AG647" s="5">
        <f t="shared" si="245"/>
        <v>0</v>
      </c>
      <c r="AH647" s="5"/>
    </row>
    <row r="648" spans="1:34" s="1" customFormat="1" x14ac:dyDescent="0.25">
      <c r="A648" s="49">
        <v>123</v>
      </c>
      <c r="B648" s="22" t="s">
        <v>1719</v>
      </c>
      <c r="C648" s="22" t="s">
        <v>667</v>
      </c>
      <c r="D648" s="51" t="s">
        <v>668</v>
      </c>
      <c r="E648" s="24" t="s">
        <v>166</v>
      </c>
      <c r="F648" s="24"/>
      <c r="G648" s="24" t="s">
        <v>669</v>
      </c>
      <c r="H648" s="24" t="s">
        <v>62</v>
      </c>
      <c r="I648" s="24">
        <v>2008</v>
      </c>
      <c r="J648" s="24"/>
      <c r="K648" s="24" t="s">
        <v>664</v>
      </c>
      <c r="L648" s="24" t="s">
        <v>64</v>
      </c>
      <c r="M648" s="24">
        <v>1</v>
      </c>
      <c r="N648" s="41">
        <f t="shared" si="254"/>
        <v>29249500</v>
      </c>
      <c r="O648" s="41">
        <v>29249500</v>
      </c>
      <c r="P648" s="24"/>
      <c r="Q648" s="24"/>
      <c r="R648" s="24"/>
      <c r="S648" s="41">
        <f t="shared" si="218"/>
        <v>29249500</v>
      </c>
      <c r="T648" s="24">
        <v>5</v>
      </c>
      <c r="U648" s="41"/>
      <c r="V648" s="24">
        <v>0.5</v>
      </c>
      <c r="W648" s="41">
        <f t="shared" si="255"/>
        <v>0</v>
      </c>
      <c r="X648" s="24"/>
      <c r="Y648" s="41">
        <f t="shared" si="253"/>
        <v>0</v>
      </c>
      <c r="Z648" s="41">
        <f t="shared" si="256"/>
        <v>0</v>
      </c>
      <c r="AA648" s="72">
        <v>5</v>
      </c>
      <c r="AB648" s="41">
        <v>29249500</v>
      </c>
      <c r="AC648" s="41">
        <f t="shared" si="219"/>
        <v>0</v>
      </c>
      <c r="AD648" s="70" t="s">
        <v>616</v>
      </c>
      <c r="AE648" s="70"/>
      <c r="AF648" s="1">
        <v>29249500</v>
      </c>
      <c r="AG648" s="5">
        <f t="shared" si="245"/>
        <v>0</v>
      </c>
      <c r="AH648" s="5"/>
    </row>
    <row r="649" spans="1:34" s="1" customFormat="1" x14ac:dyDescent="0.25">
      <c r="A649" s="49">
        <v>124</v>
      </c>
      <c r="B649" s="22" t="s">
        <v>1719</v>
      </c>
      <c r="C649" s="22" t="s">
        <v>670</v>
      </c>
      <c r="D649" s="51" t="s">
        <v>668</v>
      </c>
      <c r="E649" s="24" t="s">
        <v>166</v>
      </c>
      <c r="F649" s="24"/>
      <c r="G649" s="24" t="s">
        <v>669</v>
      </c>
      <c r="H649" s="24" t="s">
        <v>62</v>
      </c>
      <c r="I649" s="24">
        <v>2011</v>
      </c>
      <c r="J649" s="24"/>
      <c r="K649" s="24" t="s">
        <v>664</v>
      </c>
      <c r="L649" s="24" t="s">
        <v>64</v>
      </c>
      <c r="M649" s="24">
        <v>1</v>
      </c>
      <c r="N649" s="41">
        <f t="shared" si="254"/>
        <v>17232750</v>
      </c>
      <c r="O649" s="41">
        <v>17232750</v>
      </c>
      <c r="P649" s="24"/>
      <c r="Q649" s="24"/>
      <c r="R649" s="24"/>
      <c r="S649" s="41">
        <f t="shared" si="218"/>
        <v>17232750</v>
      </c>
      <c r="T649" s="24">
        <v>5</v>
      </c>
      <c r="U649" s="41"/>
      <c r="V649" s="24">
        <v>0.5</v>
      </c>
      <c r="W649" s="41">
        <f t="shared" si="255"/>
        <v>0</v>
      </c>
      <c r="X649" s="24"/>
      <c r="Y649" s="41">
        <f t="shared" si="253"/>
        <v>0</v>
      </c>
      <c r="Z649" s="41">
        <f t="shared" si="256"/>
        <v>0</v>
      </c>
      <c r="AA649" s="72">
        <v>5</v>
      </c>
      <c r="AB649" s="41">
        <v>17232750</v>
      </c>
      <c r="AC649" s="41">
        <f t="shared" si="219"/>
        <v>0</v>
      </c>
      <c r="AD649" s="70" t="s">
        <v>616</v>
      </c>
      <c r="AE649" s="70"/>
      <c r="AF649" s="1">
        <v>17232750</v>
      </c>
      <c r="AG649" s="5">
        <f t="shared" si="245"/>
        <v>0</v>
      </c>
      <c r="AH649" s="5"/>
    </row>
    <row r="650" spans="1:34" s="1" customFormat="1" x14ac:dyDescent="0.25">
      <c r="A650" s="49">
        <v>125</v>
      </c>
      <c r="B650" s="22" t="s">
        <v>1719</v>
      </c>
      <c r="C650" s="22">
        <v>1548</v>
      </c>
      <c r="D650" s="51" t="s">
        <v>671</v>
      </c>
      <c r="E650" s="24" t="s">
        <v>166</v>
      </c>
      <c r="F650" s="24"/>
      <c r="G650" s="24" t="s">
        <v>669</v>
      </c>
      <c r="H650" s="24" t="s">
        <v>62</v>
      </c>
      <c r="I650" s="24">
        <v>2012</v>
      </c>
      <c r="J650" s="24"/>
      <c r="K650" s="24" t="s">
        <v>664</v>
      </c>
      <c r="L650" s="24" t="s">
        <v>64</v>
      </c>
      <c r="M650" s="24">
        <v>1</v>
      </c>
      <c r="N650" s="41">
        <f t="shared" si="254"/>
        <v>3309900</v>
      </c>
      <c r="O650" s="41">
        <v>3309900</v>
      </c>
      <c r="P650" s="24"/>
      <c r="Q650" s="24"/>
      <c r="R650" s="24"/>
      <c r="S650" s="41">
        <f t="shared" si="218"/>
        <v>3309900</v>
      </c>
      <c r="T650" s="24">
        <v>5</v>
      </c>
      <c r="U650" s="41"/>
      <c r="V650" s="24">
        <v>0.5</v>
      </c>
      <c r="W650" s="41">
        <f t="shared" si="255"/>
        <v>0</v>
      </c>
      <c r="X650" s="24"/>
      <c r="Y650" s="41">
        <f t="shared" si="253"/>
        <v>0</v>
      </c>
      <c r="Z650" s="41">
        <f t="shared" si="256"/>
        <v>0</v>
      </c>
      <c r="AA650" s="72">
        <v>5</v>
      </c>
      <c r="AB650" s="41">
        <v>3309900</v>
      </c>
      <c r="AC650" s="41">
        <f t="shared" si="219"/>
        <v>0</v>
      </c>
      <c r="AD650" s="70" t="s">
        <v>618</v>
      </c>
      <c r="AE650" s="70"/>
      <c r="AF650" s="1">
        <v>3309900</v>
      </c>
      <c r="AG650" s="5">
        <f t="shared" si="245"/>
        <v>0</v>
      </c>
      <c r="AH650" s="5"/>
    </row>
    <row r="651" spans="1:34" s="1" customFormat="1" x14ac:dyDescent="0.25">
      <c r="A651" s="49">
        <v>126</v>
      </c>
      <c r="B651" s="22" t="s">
        <v>1719</v>
      </c>
      <c r="C651" s="22">
        <v>1549</v>
      </c>
      <c r="D651" s="51" t="s">
        <v>672</v>
      </c>
      <c r="E651" s="24" t="s">
        <v>166</v>
      </c>
      <c r="F651" s="24"/>
      <c r="G651" s="24" t="s">
        <v>669</v>
      </c>
      <c r="H651" s="24" t="s">
        <v>62</v>
      </c>
      <c r="I651" s="24">
        <v>2012</v>
      </c>
      <c r="J651" s="24"/>
      <c r="K651" s="24" t="s">
        <v>664</v>
      </c>
      <c r="L651" s="24" t="s">
        <v>64</v>
      </c>
      <c r="M651" s="24">
        <v>1</v>
      </c>
      <c r="N651" s="41">
        <f t="shared" si="254"/>
        <v>21683200</v>
      </c>
      <c r="O651" s="41">
        <v>21683200</v>
      </c>
      <c r="P651" s="24"/>
      <c r="Q651" s="24"/>
      <c r="R651" s="24"/>
      <c r="S651" s="41">
        <f t="shared" si="218"/>
        <v>21683200</v>
      </c>
      <c r="T651" s="24">
        <v>5</v>
      </c>
      <c r="U651" s="41"/>
      <c r="V651" s="24">
        <v>0.5</v>
      </c>
      <c r="W651" s="41">
        <f t="shared" si="255"/>
        <v>0</v>
      </c>
      <c r="X651" s="24"/>
      <c r="Y651" s="41">
        <f t="shared" si="253"/>
        <v>0</v>
      </c>
      <c r="Z651" s="41">
        <f t="shared" si="256"/>
        <v>0</v>
      </c>
      <c r="AA651" s="72">
        <v>5</v>
      </c>
      <c r="AB651" s="41">
        <v>21683200</v>
      </c>
      <c r="AC651" s="41">
        <f t="shared" si="219"/>
        <v>0</v>
      </c>
      <c r="AD651" s="70" t="s">
        <v>635</v>
      </c>
      <c r="AE651" s="70"/>
      <c r="AF651" s="1">
        <v>21683200</v>
      </c>
      <c r="AG651" s="5">
        <f t="shared" si="245"/>
        <v>0</v>
      </c>
      <c r="AH651" s="5"/>
    </row>
    <row r="652" spans="1:34" s="1" customFormat="1" x14ac:dyDescent="0.25">
      <c r="A652" s="49">
        <v>127</v>
      </c>
      <c r="B652" s="22" t="s">
        <v>1719</v>
      </c>
      <c r="C652" s="22">
        <v>1550</v>
      </c>
      <c r="D652" s="51" t="s">
        <v>663</v>
      </c>
      <c r="E652" s="24" t="s">
        <v>166</v>
      </c>
      <c r="F652" s="24"/>
      <c r="G652" s="24" t="s">
        <v>201</v>
      </c>
      <c r="H652" s="24" t="s">
        <v>62</v>
      </c>
      <c r="I652" s="24">
        <v>2015</v>
      </c>
      <c r="J652" s="24"/>
      <c r="K652" s="24" t="s">
        <v>664</v>
      </c>
      <c r="L652" s="24" t="s">
        <v>64</v>
      </c>
      <c r="M652" s="24">
        <v>1</v>
      </c>
      <c r="N652" s="41">
        <f t="shared" si="254"/>
        <v>37735940</v>
      </c>
      <c r="O652" s="41">
        <v>37735940</v>
      </c>
      <c r="P652" s="24"/>
      <c r="Q652" s="24"/>
      <c r="R652" s="24"/>
      <c r="S652" s="41">
        <f t="shared" si="218"/>
        <v>37735940</v>
      </c>
      <c r="T652" s="24">
        <v>5</v>
      </c>
      <c r="U652" s="41">
        <f>SUM(S652/T652)</f>
        <v>7547188</v>
      </c>
      <c r="V652" s="24">
        <v>0.5</v>
      </c>
      <c r="W652" s="41"/>
      <c r="X652" s="24"/>
      <c r="Y652" s="41">
        <f>SUM(U652*X652)</f>
        <v>0</v>
      </c>
      <c r="Z652" s="41"/>
      <c r="AA652" s="72">
        <v>5</v>
      </c>
      <c r="AB652" s="41">
        <f>SUM(U652*AA652)</f>
        <v>37735940</v>
      </c>
      <c r="AC652" s="41">
        <f t="shared" si="219"/>
        <v>0</v>
      </c>
      <c r="AD652" s="70" t="s">
        <v>673</v>
      </c>
      <c r="AE652" s="70"/>
      <c r="AF652" s="1">
        <v>37735940</v>
      </c>
      <c r="AG652" s="5">
        <f t="shared" si="245"/>
        <v>0</v>
      </c>
      <c r="AH652" s="5"/>
    </row>
    <row r="653" spans="1:34" s="1" customFormat="1" x14ac:dyDescent="0.25">
      <c r="A653" s="49">
        <v>128</v>
      </c>
      <c r="B653" s="22" t="s">
        <v>1719</v>
      </c>
      <c r="C653" s="22">
        <v>1551</v>
      </c>
      <c r="D653" s="51" t="s">
        <v>663</v>
      </c>
      <c r="E653" s="24" t="s">
        <v>166</v>
      </c>
      <c r="F653" s="24"/>
      <c r="G653" s="24" t="s">
        <v>201</v>
      </c>
      <c r="H653" s="24" t="s">
        <v>62</v>
      </c>
      <c r="I653" s="24">
        <v>2015</v>
      </c>
      <c r="J653" s="24"/>
      <c r="K653" s="24" t="s">
        <v>664</v>
      </c>
      <c r="L653" s="24" t="s">
        <v>64</v>
      </c>
      <c r="M653" s="24">
        <v>1</v>
      </c>
      <c r="N653" s="41">
        <f t="shared" si="254"/>
        <v>3998368</v>
      </c>
      <c r="O653" s="41">
        <v>3998368</v>
      </c>
      <c r="P653" s="24"/>
      <c r="Q653" s="24"/>
      <c r="R653" s="24"/>
      <c r="S653" s="41">
        <f t="shared" si="218"/>
        <v>3998368</v>
      </c>
      <c r="T653" s="24">
        <v>5</v>
      </c>
      <c r="U653" s="41">
        <f>SUM(S653/T653)</f>
        <v>799673.6</v>
      </c>
      <c r="V653" s="24">
        <v>0.5</v>
      </c>
      <c r="W653" s="41"/>
      <c r="X653" s="24"/>
      <c r="Y653" s="41">
        <f>SUM(U653*X653)</f>
        <v>0</v>
      </c>
      <c r="Z653" s="41"/>
      <c r="AA653" s="72">
        <v>5</v>
      </c>
      <c r="AB653" s="41">
        <f>SUM(U653*AA653)</f>
        <v>3998368</v>
      </c>
      <c r="AC653" s="41">
        <f t="shared" si="219"/>
        <v>0</v>
      </c>
      <c r="AD653" s="70" t="s">
        <v>553</v>
      </c>
      <c r="AE653" s="70"/>
      <c r="AF653" s="1">
        <v>3998368</v>
      </c>
      <c r="AG653" s="5">
        <f t="shared" si="245"/>
        <v>0</v>
      </c>
      <c r="AH653" s="5"/>
    </row>
    <row r="654" spans="1:34" s="1" customFormat="1" x14ac:dyDescent="0.25">
      <c r="A654" s="49">
        <v>129</v>
      </c>
      <c r="B654" s="22" t="s">
        <v>1719</v>
      </c>
      <c r="C654" s="22">
        <v>1552</v>
      </c>
      <c r="D654" s="51" t="s">
        <v>663</v>
      </c>
      <c r="E654" s="52" t="s">
        <v>166</v>
      </c>
      <c r="F654" s="52"/>
      <c r="G654" s="52" t="s">
        <v>201</v>
      </c>
      <c r="H654" s="52" t="s">
        <v>62</v>
      </c>
      <c r="I654" s="52">
        <v>2021</v>
      </c>
      <c r="J654" s="52"/>
      <c r="K654" s="52" t="s">
        <v>664</v>
      </c>
      <c r="L654" s="52" t="s">
        <v>64</v>
      </c>
      <c r="M654" s="52">
        <v>1</v>
      </c>
      <c r="N654" s="53">
        <f t="shared" si="254"/>
        <v>5010000</v>
      </c>
      <c r="O654" s="53">
        <v>5010000</v>
      </c>
      <c r="P654" s="52"/>
      <c r="Q654" s="52"/>
      <c r="R654" s="52"/>
      <c r="S654" s="53">
        <f t="shared" ref="S654:S656" si="257">SUM(O654-R654)</f>
        <v>5010000</v>
      </c>
      <c r="T654" s="52">
        <v>5</v>
      </c>
      <c r="U654" s="53">
        <f>SUM(S654/T654)</f>
        <v>1002000</v>
      </c>
      <c r="V654" s="52">
        <v>0.5</v>
      </c>
      <c r="W654" s="53">
        <f t="shared" si="255"/>
        <v>501000</v>
      </c>
      <c r="X654" s="24">
        <v>0.5</v>
      </c>
      <c r="Y654" s="41">
        <f t="shared" si="253"/>
        <v>501000</v>
      </c>
      <c r="Z654" s="41">
        <f t="shared" si="256"/>
        <v>1002000</v>
      </c>
      <c r="AA654" s="72">
        <f>1/12+0.5+0.5+0.5+0.5</f>
        <v>2.0833333333333335</v>
      </c>
      <c r="AB654" s="41">
        <f>SUM(U654*AA654)</f>
        <v>2087500.0000000002</v>
      </c>
      <c r="AC654" s="41">
        <f t="shared" ref="AC654:AC685" si="258">SUM(O654-AB654)</f>
        <v>2922500</v>
      </c>
      <c r="AD654" s="70"/>
      <c r="AE654" s="70"/>
      <c r="AF654" s="1">
        <v>1085500.0000000002</v>
      </c>
      <c r="AG654" s="5">
        <f t="shared" si="245"/>
        <v>0</v>
      </c>
      <c r="AH654" s="5"/>
    </row>
    <row r="655" spans="1:34" s="1" customFormat="1" x14ac:dyDescent="0.25">
      <c r="A655" s="49">
        <v>130</v>
      </c>
      <c r="B655" s="22" t="s">
        <v>1720</v>
      </c>
      <c r="C655" s="22" t="s">
        <v>58</v>
      </c>
      <c r="D655" s="51" t="s">
        <v>702</v>
      </c>
      <c r="E655" s="24" t="s">
        <v>703</v>
      </c>
      <c r="F655" s="24"/>
      <c r="G655" s="24" t="s">
        <v>701</v>
      </c>
      <c r="H655" s="24" t="s">
        <v>62</v>
      </c>
      <c r="I655" s="24">
        <v>2012</v>
      </c>
      <c r="J655" s="24"/>
      <c r="K655" s="24" t="s">
        <v>63</v>
      </c>
      <c r="L655" s="24" t="s">
        <v>64</v>
      </c>
      <c r="M655" s="24">
        <v>30</v>
      </c>
      <c r="N655" s="41">
        <f t="shared" si="254"/>
        <v>332800</v>
      </c>
      <c r="O655" s="41">
        <v>9984000</v>
      </c>
      <c r="P655" s="24"/>
      <c r="Q655" s="24"/>
      <c r="R655" s="24"/>
      <c r="S655" s="41">
        <f t="shared" si="257"/>
        <v>9984000</v>
      </c>
      <c r="T655" s="24">
        <v>5</v>
      </c>
      <c r="U655" s="41"/>
      <c r="V655" s="24">
        <v>0.5</v>
      </c>
      <c r="W655" s="41">
        <f t="shared" si="255"/>
        <v>0</v>
      </c>
      <c r="X655" s="24"/>
      <c r="Y655" s="53">
        <f t="shared" si="253"/>
        <v>0</v>
      </c>
      <c r="Z655" s="53">
        <f t="shared" si="256"/>
        <v>0</v>
      </c>
      <c r="AA655" s="72">
        <v>5</v>
      </c>
      <c r="AB655" s="53">
        <v>9984000</v>
      </c>
      <c r="AC655" s="53">
        <f t="shared" si="258"/>
        <v>0</v>
      </c>
      <c r="AD655" s="56" t="s">
        <v>704</v>
      </c>
      <c r="AE655" s="70"/>
      <c r="AF655" s="1">
        <v>9984000</v>
      </c>
      <c r="AG655" s="5">
        <f t="shared" si="245"/>
        <v>0</v>
      </c>
      <c r="AH655" s="5"/>
    </row>
    <row r="656" spans="1:34" s="1" customFormat="1" x14ac:dyDescent="0.25">
      <c r="A656" s="49">
        <v>131</v>
      </c>
      <c r="B656" s="22" t="s">
        <v>1721</v>
      </c>
      <c r="C656" s="73" t="s">
        <v>58</v>
      </c>
      <c r="D656" s="51" t="s">
        <v>464</v>
      </c>
      <c r="E656" s="52" t="s">
        <v>465</v>
      </c>
      <c r="F656" s="52"/>
      <c r="G656" s="52" t="s">
        <v>466</v>
      </c>
      <c r="H656" s="52" t="s">
        <v>62</v>
      </c>
      <c r="I656" s="52">
        <v>2019</v>
      </c>
      <c r="J656" s="52"/>
      <c r="K656" s="52" t="s">
        <v>63</v>
      </c>
      <c r="L656" s="52" t="s">
        <v>64</v>
      </c>
      <c r="M656" s="52">
        <v>5</v>
      </c>
      <c r="N656" s="53">
        <f t="shared" si="254"/>
        <v>2000000</v>
      </c>
      <c r="O656" s="53">
        <v>10000000</v>
      </c>
      <c r="P656" s="52"/>
      <c r="Q656" s="52"/>
      <c r="R656" s="52"/>
      <c r="S656" s="53">
        <f t="shared" si="257"/>
        <v>10000000</v>
      </c>
      <c r="T656" s="52">
        <v>5</v>
      </c>
      <c r="U656" s="53">
        <f>SUM(S656/T656)</f>
        <v>2000000</v>
      </c>
      <c r="V656" s="52">
        <v>0.5</v>
      </c>
      <c r="W656" s="53">
        <f>SUM(U656*V656)</f>
        <v>1000000</v>
      </c>
      <c r="X656" s="24">
        <v>0.5</v>
      </c>
      <c r="Y656" s="53">
        <f>SUM(U656*X656)</f>
        <v>1000000</v>
      </c>
      <c r="Z656" s="53">
        <f>SUM(W656+Y656)</f>
        <v>2000000</v>
      </c>
      <c r="AA656" s="72">
        <f>2023-I656+V656+X656-11/12</f>
        <v>4.083333333333333</v>
      </c>
      <c r="AB656" s="53">
        <f>SUM(U656*AA656)</f>
        <v>8166666.666666666</v>
      </c>
      <c r="AC656" s="53">
        <f t="shared" si="258"/>
        <v>1833333.333333334</v>
      </c>
      <c r="AD656" s="56"/>
      <c r="AE656" s="56"/>
      <c r="AF656" s="1">
        <v>6166666.666666667</v>
      </c>
      <c r="AG656" s="5">
        <f t="shared" si="245"/>
        <v>0</v>
      </c>
      <c r="AH656" s="5"/>
    </row>
    <row r="657" spans="1:34" s="1" customFormat="1" x14ac:dyDescent="0.25">
      <c r="A657" s="49">
        <v>132</v>
      </c>
      <c r="B657" s="22" t="s">
        <v>1721</v>
      </c>
      <c r="C657" s="73" t="s">
        <v>75</v>
      </c>
      <c r="D657" s="51" t="s">
        <v>464</v>
      </c>
      <c r="E657" s="52" t="s">
        <v>467</v>
      </c>
      <c r="F657" s="52"/>
      <c r="G657" s="52" t="s">
        <v>466</v>
      </c>
      <c r="H657" s="52" t="s">
        <v>62</v>
      </c>
      <c r="I657" s="52">
        <v>2019</v>
      </c>
      <c r="J657" s="52"/>
      <c r="K657" s="52" t="s">
        <v>63</v>
      </c>
      <c r="L657" s="52" t="s">
        <v>64</v>
      </c>
      <c r="M657" s="52">
        <v>1</v>
      </c>
      <c r="N657" s="53">
        <v>3215000</v>
      </c>
      <c r="O657" s="53">
        <v>3215000</v>
      </c>
      <c r="P657" s="52"/>
      <c r="Q657" s="52"/>
      <c r="R657" s="52"/>
      <c r="S657" s="53">
        <v>3215000</v>
      </c>
      <c r="T657" s="52">
        <v>5</v>
      </c>
      <c r="U657" s="53">
        <f>SUM(S657/T657)</f>
        <v>643000</v>
      </c>
      <c r="V657" s="52">
        <v>0.5</v>
      </c>
      <c r="W657" s="53">
        <f>SUM(U657*V657)</f>
        <v>321500</v>
      </c>
      <c r="X657" s="24">
        <v>0.5</v>
      </c>
      <c r="Y657" s="53">
        <f>SUM(U657*X657)</f>
        <v>321500</v>
      </c>
      <c r="Z657" s="53">
        <f>SUM(W657+Y657)</f>
        <v>643000</v>
      </c>
      <c r="AA657" s="57">
        <f>2023-I657+V657+X657-8/12</f>
        <v>4.333333333333333</v>
      </c>
      <c r="AB657" s="53">
        <f>SUM(U657*AA657)</f>
        <v>2786333.333333333</v>
      </c>
      <c r="AC657" s="53">
        <f t="shared" si="258"/>
        <v>428666.66666666698</v>
      </c>
      <c r="AD657" s="56" t="s">
        <v>331</v>
      </c>
      <c r="AE657" s="56" t="s">
        <v>451</v>
      </c>
      <c r="AF657" s="1">
        <v>2143333.3333333335</v>
      </c>
      <c r="AG657" s="5">
        <f t="shared" si="245"/>
        <v>0</v>
      </c>
      <c r="AH657" s="5"/>
    </row>
    <row r="658" spans="1:34" s="1" customFormat="1" x14ac:dyDescent="0.25">
      <c r="A658" s="49">
        <v>133</v>
      </c>
      <c r="B658" s="50" t="s">
        <v>1722</v>
      </c>
      <c r="C658" s="50" t="s">
        <v>58</v>
      </c>
      <c r="D658" s="51" t="s">
        <v>200</v>
      </c>
      <c r="E658" s="52" t="s">
        <v>166</v>
      </c>
      <c r="F658" s="52"/>
      <c r="G658" s="52" t="s">
        <v>201</v>
      </c>
      <c r="H658" s="52" t="s">
        <v>62</v>
      </c>
      <c r="I658" s="52">
        <v>2017</v>
      </c>
      <c r="J658" s="52"/>
      <c r="K658" s="52" t="s">
        <v>202</v>
      </c>
      <c r="L658" s="52" t="s">
        <v>64</v>
      </c>
      <c r="M658" s="166">
        <v>1</v>
      </c>
      <c r="N658" s="166">
        <f t="shared" ref="N658:N699" si="259">SUM(O658/M658)</f>
        <v>4950000</v>
      </c>
      <c r="O658" s="53">
        <v>4950000</v>
      </c>
      <c r="P658" s="166"/>
      <c r="Q658" s="166"/>
      <c r="R658" s="166"/>
      <c r="S658" s="53">
        <f t="shared" ref="S658:S702" si="260">SUM(O658-R658)</f>
        <v>4950000</v>
      </c>
      <c r="T658" s="166">
        <v>5</v>
      </c>
      <c r="U658" s="53">
        <f>SUM(S658/T658)</f>
        <v>990000</v>
      </c>
      <c r="V658" s="166"/>
      <c r="W658" s="53"/>
      <c r="X658" s="24"/>
      <c r="Y658" s="41"/>
      <c r="Z658" s="41"/>
      <c r="AA658" s="24">
        <v>5</v>
      </c>
      <c r="AB658" s="41">
        <v>4950000</v>
      </c>
      <c r="AC658" s="41">
        <f t="shared" si="258"/>
        <v>0</v>
      </c>
      <c r="AD658" s="70" t="s">
        <v>195</v>
      </c>
      <c r="AE658" s="70"/>
      <c r="AF658" s="1">
        <v>4950000</v>
      </c>
      <c r="AG658" s="5">
        <f t="shared" si="245"/>
        <v>0</v>
      </c>
      <c r="AH658" s="5"/>
    </row>
    <row r="659" spans="1:34" s="1" customFormat="1" x14ac:dyDescent="0.25">
      <c r="A659" s="49">
        <v>134</v>
      </c>
      <c r="B659" s="50" t="s">
        <v>1722</v>
      </c>
      <c r="C659" s="50" t="s">
        <v>75</v>
      </c>
      <c r="D659" s="51" t="s">
        <v>203</v>
      </c>
      <c r="E659" s="52" t="s">
        <v>166</v>
      </c>
      <c r="F659" s="52"/>
      <c r="G659" s="52" t="s">
        <v>201</v>
      </c>
      <c r="H659" s="52" t="s">
        <v>62</v>
      </c>
      <c r="I659" s="52">
        <v>2021</v>
      </c>
      <c r="J659" s="52"/>
      <c r="K659" s="52" t="s">
        <v>202</v>
      </c>
      <c r="L659" s="52" t="s">
        <v>64</v>
      </c>
      <c r="M659" s="166">
        <v>1</v>
      </c>
      <c r="N659" s="166">
        <f t="shared" si="259"/>
        <v>3960000</v>
      </c>
      <c r="O659" s="53">
        <v>3960000</v>
      </c>
      <c r="P659" s="166"/>
      <c r="Q659" s="166"/>
      <c r="R659" s="166"/>
      <c r="S659" s="53">
        <f t="shared" si="260"/>
        <v>3960000</v>
      </c>
      <c r="T659" s="166">
        <v>5</v>
      </c>
      <c r="U659" s="53">
        <f>SUM(S659/T659)</f>
        <v>792000</v>
      </c>
      <c r="V659" s="177">
        <v>0.5</v>
      </c>
      <c r="W659" s="53">
        <f t="shared" ref="W659:W693" si="261">SUM(U659*V659)</f>
        <v>396000</v>
      </c>
      <c r="X659" s="24">
        <v>0.5</v>
      </c>
      <c r="Y659" s="41">
        <f t="shared" ref="Y659:Y699" si="262">SUM(U659*X659)</f>
        <v>396000</v>
      </c>
      <c r="Z659" s="41">
        <f t="shared" ref="Z659:Z693" si="263">SUM(W659+Y659)</f>
        <v>792000</v>
      </c>
      <c r="AA659" s="72">
        <f>2023-I659+V659+X659-1/12-10/12</f>
        <v>2.083333333333333</v>
      </c>
      <c r="AB659" s="41">
        <f>SUM(U659*AA659)</f>
        <v>1649999.9999999998</v>
      </c>
      <c r="AC659" s="41">
        <f t="shared" si="258"/>
        <v>2310000</v>
      </c>
      <c r="AD659" s="70"/>
      <c r="AE659" s="70"/>
      <c r="AF659" s="1">
        <v>858000.00000000012</v>
      </c>
      <c r="AG659" s="5">
        <f t="shared" si="245"/>
        <v>0</v>
      </c>
      <c r="AH659" s="5"/>
    </row>
    <row r="660" spans="1:34" s="1" customFormat="1" x14ac:dyDescent="0.25">
      <c r="A660" s="49">
        <v>135</v>
      </c>
      <c r="B660" s="22" t="s">
        <v>1723</v>
      </c>
      <c r="C660" s="22" t="s">
        <v>592</v>
      </c>
      <c r="D660" s="51" t="s">
        <v>593</v>
      </c>
      <c r="E660" s="24" t="s">
        <v>594</v>
      </c>
      <c r="F660" s="24"/>
      <c r="G660" s="24" t="s">
        <v>201</v>
      </c>
      <c r="H660" s="24" t="s">
        <v>62</v>
      </c>
      <c r="I660" s="24">
        <v>2012</v>
      </c>
      <c r="J660" s="24"/>
      <c r="K660" s="24" t="s">
        <v>63</v>
      </c>
      <c r="L660" s="24" t="s">
        <v>64</v>
      </c>
      <c r="M660" s="24">
        <v>2</v>
      </c>
      <c r="N660" s="41">
        <f t="shared" si="259"/>
        <v>48400</v>
      </c>
      <c r="O660" s="41">
        <v>96800</v>
      </c>
      <c r="P660" s="24"/>
      <c r="Q660" s="24"/>
      <c r="R660" s="24"/>
      <c r="S660" s="41">
        <f t="shared" si="260"/>
        <v>96800</v>
      </c>
      <c r="T660" s="24">
        <v>5</v>
      </c>
      <c r="U660" s="41"/>
      <c r="V660" s="24">
        <v>0.5</v>
      </c>
      <c r="W660" s="41">
        <f t="shared" si="261"/>
        <v>0</v>
      </c>
      <c r="X660" s="24"/>
      <c r="Y660" s="41">
        <f t="shared" si="262"/>
        <v>0</v>
      </c>
      <c r="Z660" s="41">
        <f t="shared" si="263"/>
        <v>0</v>
      </c>
      <c r="AA660" s="24">
        <v>5</v>
      </c>
      <c r="AB660" s="41">
        <v>96800</v>
      </c>
      <c r="AC660" s="41">
        <f t="shared" si="258"/>
        <v>0</v>
      </c>
      <c r="AD660" s="70" t="s">
        <v>348</v>
      </c>
      <c r="AE660" s="70"/>
      <c r="AF660" s="1">
        <v>96800</v>
      </c>
      <c r="AG660" s="5">
        <f t="shared" si="245"/>
        <v>0</v>
      </c>
      <c r="AH660" s="5"/>
    </row>
    <row r="661" spans="1:34" s="1" customFormat="1" x14ac:dyDescent="0.25">
      <c r="A661" s="49">
        <v>136</v>
      </c>
      <c r="B661" s="22" t="s">
        <v>1723</v>
      </c>
      <c r="C661" s="22" t="s">
        <v>595</v>
      </c>
      <c r="D661" s="51" t="s">
        <v>593</v>
      </c>
      <c r="E661" s="24" t="s">
        <v>594</v>
      </c>
      <c r="F661" s="24"/>
      <c r="G661" s="24" t="s">
        <v>201</v>
      </c>
      <c r="H661" s="24" t="s">
        <v>62</v>
      </c>
      <c r="I661" s="24">
        <v>2012</v>
      </c>
      <c r="J661" s="24"/>
      <c r="K661" s="24" t="s">
        <v>63</v>
      </c>
      <c r="L661" s="24" t="s">
        <v>64</v>
      </c>
      <c r="M661" s="24">
        <v>28</v>
      </c>
      <c r="N661" s="41">
        <f t="shared" si="259"/>
        <v>48400</v>
      </c>
      <c r="O661" s="41">
        <v>1355200</v>
      </c>
      <c r="P661" s="24"/>
      <c r="Q661" s="24"/>
      <c r="R661" s="24"/>
      <c r="S661" s="41">
        <f t="shared" si="260"/>
        <v>1355200</v>
      </c>
      <c r="T661" s="24">
        <v>5</v>
      </c>
      <c r="U661" s="41"/>
      <c r="V661" s="24">
        <v>0.5</v>
      </c>
      <c r="W661" s="41">
        <f t="shared" si="261"/>
        <v>0</v>
      </c>
      <c r="X661" s="24"/>
      <c r="Y661" s="41">
        <f t="shared" si="262"/>
        <v>0</v>
      </c>
      <c r="Z661" s="41">
        <f t="shared" si="263"/>
        <v>0</v>
      </c>
      <c r="AA661" s="24">
        <v>5</v>
      </c>
      <c r="AB661" s="41">
        <v>1355200</v>
      </c>
      <c r="AC661" s="41">
        <f t="shared" si="258"/>
        <v>0</v>
      </c>
      <c r="AD661" s="70" t="s">
        <v>350</v>
      </c>
      <c r="AE661" s="70"/>
      <c r="AF661" s="1">
        <v>1355200</v>
      </c>
      <c r="AG661" s="5">
        <f t="shared" si="245"/>
        <v>0</v>
      </c>
      <c r="AH661" s="5"/>
    </row>
    <row r="662" spans="1:34" s="1" customFormat="1" x14ac:dyDescent="0.25">
      <c r="A662" s="49">
        <v>137</v>
      </c>
      <c r="B662" s="22" t="s">
        <v>1723</v>
      </c>
      <c r="C662" s="22" t="s">
        <v>596</v>
      </c>
      <c r="D662" s="51" t="s">
        <v>593</v>
      </c>
      <c r="E662" s="24" t="s">
        <v>594</v>
      </c>
      <c r="F662" s="24"/>
      <c r="G662" s="24" t="s">
        <v>201</v>
      </c>
      <c r="H662" s="24" t="s">
        <v>62</v>
      </c>
      <c r="I662" s="24">
        <v>2012</v>
      </c>
      <c r="J662" s="24"/>
      <c r="K662" s="24" t="s">
        <v>63</v>
      </c>
      <c r="L662" s="24" t="s">
        <v>64</v>
      </c>
      <c r="M662" s="24">
        <v>7</v>
      </c>
      <c r="N662" s="41">
        <f t="shared" si="259"/>
        <v>48400</v>
      </c>
      <c r="O662" s="41">
        <v>338800</v>
      </c>
      <c r="P662" s="24"/>
      <c r="Q662" s="24"/>
      <c r="R662" s="24"/>
      <c r="S662" s="41">
        <f t="shared" si="260"/>
        <v>338800</v>
      </c>
      <c r="T662" s="24">
        <v>5</v>
      </c>
      <c r="U662" s="41"/>
      <c r="V662" s="24">
        <v>0.5</v>
      </c>
      <c r="W662" s="41">
        <f t="shared" si="261"/>
        <v>0</v>
      </c>
      <c r="X662" s="24"/>
      <c r="Y662" s="41">
        <f t="shared" si="262"/>
        <v>0</v>
      </c>
      <c r="Z662" s="41">
        <f t="shared" si="263"/>
        <v>0</v>
      </c>
      <c r="AA662" s="24">
        <v>5</v>
      </c>
      <c r="AB662" s="41">
        <v>338800</v>
      </c>
      <c r="AC662" s="41">
        <f t="shared" si="258"/>
        <v>0</v>
      </c>
      <c r="AD662" s="70" t="s">
        <v>597</v>
      </c>
      <c r="AE662" s="70"/>
      <c r="AF662" s="1">
        <v>338800</v>
      </c>
      <c r="AG662" s="5">
        <f t="shared" si="245"/>
        <v>0</v>
      </c>
      <c r="AH662" s="5"/>
    </row>
    <row r="663" spans="1:34" s="1" customFormat="1" x14ac:dyDescent="0.25">
      <c r="A663" s="49">
        <v>138</v>
      </c>
      <c r="B663" s="22" t="s">
        <v>1723</v>
      </c>
      <c r="C663" s="22" t="s">
        <v>598</v>
      </c>
      <c r="D663" s="51" t="s">
        <v>593</v>
      </c>
      <c r="E663" s="24" t="s">
        <v>594</v>
      </c>
      <c r="F663" s="24"/>
      <c r="G663" s="24" t="s">
        <v>201</v>
      </c>
      <c r="H663" s="24" t="s">
        <v>62</v>
      </c>
      <c r="I663" s="24">
        <v>2012</v>
      </c>
      <c r="J663" s="24"/>
      <c r="K663" s="24" t="s">
        <v>63</v>
      </c>
      <c r="L663" s="24" t="s">
        <v>64</v>
      </c>
      <c r="M663" s="24">
        <v>7</v>
      </c>
      <c r="N663" s="41">
        <f t="shared" si="259"/>
        <v>48400</v>
      </c>
      <c r="O663" s="41">
        <v>338800</v>
      </c>
      <c r="P663" s="24"/>
      <c r="Q663" s="24"/>
      <c r="R663" s="24"/>
      <c r="S663" s="41">
        <f t="shared" si="260"/>
        <v>338800</v>
      </c>
      <c r="T663" s="24">
        <v>5</v>
      </c>
      <c r="U663" s="41"/>
      <c r="V663" s="24">
        <v>0.5</v>
      </c>
      <c r="W663" s="41">
        <f t="shared" si="261"/>
        <v>0</v>
      </c>
      <c r="X663" s="24"/>
      <c r="Y663" s="41">
        <f t="shared" si="262"/>
        <v>0</v>
      </c>
      <c r="Z663" s="41">
        <f t="shared" si="263"/>
        <v>0</v>
      </c>
      <c r="AA663" s="72">
        <v>5</v>
      </c>
      <c r="AB663" s="41">
        <v>338800</v>
      </c>
      <c r="AC663" s="41">
        <f t="shared" si="258"/>
        <v>0</v>
      </c>
      <c r="AD663" s="70" t="s">
        <v>540</v>
      </c>
      <c r="AE663" s="70"/>
      <c r="AF663" s="1">
        <v>338800</v>
      </c>
      <c r="AG663" s="5">
        <f t="shared" si="245"/>
        <v>0</v>
      </c>
      <c r="AH663" s="5"/>
    </row>
    <row r="664" spans="1:34" s="1" customFormat="1" x14ac:dyDescent="0.25">
      <c r="A664" s="49">
        <v>139</v>
      </c>
      <c r="B664" s="22" t="s">
        <v>1723</v>
      </c>
      <c r="C664" s="22" t="s">
        <v>599</v>
      </c>
      <c r="D664" s="51" t="s">
        <v>593</v>
      </c>
      <c r="E664" s="24" t="s">
        <v>594</v>
      </c>
      <c r="F664" s="24"/>
      <c r="G664" s="24" t="s">
        <v>201</v>
      </c>
      <c r="H664" s="24" t="s">
        <v>62</v>
      </c>
      <c r="I664" s="24">
        <v>2012</v>
      </c>
      <c r="J664" s="24"/>
      <c r="K664" s="24" t="s">
        <v>63</v>
      </c>
      <c r="L664" s="24" t="s">
        <v>64</v>
      </c>
      <c r="M664" s="24">
        <v>7</v>
      </c>
      <c r="N664" s="41">
        <f t="shared" si="259"/>
        <v>48400</v>
      </c>
      <c r="O664" s="41">
        <v>338800</v>
      </c>
      <c r="P664" s="24"/>
      <c r="Q664" s="24"/>
      <c r="R664" s="24"/>
      <c r="S664" s="41">
        <f t="shared" si="260"/>
        <v>338800</v>
      </c>
      <c r="T664" s="24">
        <v>5</v>
      </c>
      <c r="U664" s="41"/>
      <c r="V664" s="24">
        <v>0.5</v>
      </c>
      <c r="W664" s="41">
        <f t="shared" si="261"/>
        <v>0</v>
      </c>
      <c r="X664" s="24"/>
      <c r="Y664" s="41">
        <f t="shared" si="262"/>
        <v>0</v>
      </c>
      <c r="Z664" s="41">
        <f t="shared" si="263"/>
        <v>0</v>
      </c>
      <c r="AA664" s="72">
        <v>5</v>
      </c>
      <c r="AB664" s="41">
        <v>338800</v>
      </c>
      <c r="AC664" s="41">
        <f t="shared" si="258"/>
        <v>0</v>
      </c>
      <c r="AD664" s="70" t="s">
        <v>351</v>
      </c>
      <c r="AE664" s="70"/>
      <c r="AF664" s="1">
        <v>338800</v>
      </c>
      <c r="AG664" s="5">
        <f t="shared" si="245"/>
        <v>0</v>
      </c>
      <c r="AH664" s="5"/>
    </row>
    <row r="665" spans="1:34" s="1" customFormat="1" x14ac:dyDescent="0.25">
      <c r="A665" s="49">
        <v>140</v>
      </c>
      <c r="B665" s="22" t="s">
        <v>1723</v>
      </c>
      <c r="C665" s="22" t="s">
        <v>600</v>
      </c>
      <c r="D665" s="51" t="s">
        <v>593</v>
      </c>
      <c r="E665" s="24" t="s">
        <v>594</v>
      </c>
      <c r="F665" s="24"/>
      <c r="G665" s="24" t="s">
        <v>201</v>
      </c>
      <c r="H665" s="24" t="s">
        <v>62</v>
      </c>
      <c r="I665" s="24">
        <v>2012</v>
      </c>
      <c r="J665" s="24"/>
      <c r="K665" s="24" t="s">
        <v>63</v>
      </c>
      <c r="L665" s="24" t="s">
        <v>64</v>
      </c>
      <c r="M665" s="24">
        <v>7</v>
      </c>
      <c r="N665" s="41">
        <f t="shared" si="259"/>
        <v>48400</v>
      </c>
      <c r="O665" s="41">
        <v>338800</v>
      </c>
      <c r="P665" s="24"/>
      <c r="Q665" s="24"/>
      <c r="R665" s="24"/>
      <c r="S665" s="41">
        <f t="shared" si="260"/>
        <v>338800</v>
      </c>
      <c r="T665" s="24">
        <v>5</v>
      </c>
      <c r="U665" s="41"/>
      <c r="V665" s="24">
        <v>0.5</v>
      </c>
      <c r="W665" s="41">
        <f t="shared" si="261"/>
        <v>0</v>
      </c>
      <c r="X665" s="24"/>
      <c r="Y665" s="41">
        <f t="shared" si="262"/>
        <v>0</v>
      </c>
      <c r="Z665" s="41">
        <f t="shared" si="263"/>
        <v>0</v>
      </c>
      <c r="AA665" s="24">
        <v>5</v>
      </c>
      <c r="AB665" s="41">
        <v>338800</v>
      </c>
      <c r="AC665" s="41">
        <f t="shared" si="258"/>
        <v>0</v>
      </c>
      <c r="AD665" s="70" t="s">
        <v>601</v>
      </c>
      <c r="AE665" s="70"/>
      <c r="AF665" s="1">
        <v>338800</v>
      </c>
      <c r="AG665" s="5">
        <f t="shared" si="245"/>
        <v>0</v>
      </c>
      <c r="AH665" s="5"/>
    </row>
    <row r="666" spans="1:34" s="1" customFormat="1" x14ac:dyDescent="0.25">
      <c r="A666" s="49">
        <v>141</v>
      </c>
      <c r="B666" s="22" t="s">
        <v>1723</v>
      </c>
      <c r="C666" s="22" t="s">
        <v>602</v>
      </c>
      <c r="D666" s="51" t="s">
        <v>593</v>
      </c>
      <c r="E666" s="24" t="s">
        <v>594</v>
      </c>
      <c r="F666" s="24"/>
      <c r="G666" s="24" t="s">
        <v>201</v>
      </c>
      <c r="H666" s="24" t="s">
        <v>62</v>
      </c>
      <c r="I666" s="24">
        <v>2012</v>
      </c>
      <c r="J666" s="24"/>
      <c r="K666" s="24" t="s">
        <v>63</v>
      </c>
      <c r="L666" s="24" t="s">
        <v>64</v>
      </c>
      <c r="M666" s="24">
        <v>7</v>
      </c>
      <c r="N666" s="41">
        <f t="shared" si="259"/>
        <v>48400</v>
      </c>
      <c r="O666" s="41">
        <v>338800</v>
      </c>
      <c r="P666" s="24"/>
      <c r="Q666" s="24"/>
      <c r="R666" s="24"/>
      <c r="S666" s="41">
        <f t="shared" si="260"/>
        <v>338800</v>
      </c>
      <c r="T666" s="24">
        <v>5</v>
      </c>
      <c r="U666" s="41"/>
      <c r="V666" s="24">
        <v>0.5</v>
      </c>
      <c r="W666" s="41">
        <f t="shared" si="261"/>
        <v>0</v>
      </c>
      <c r="X666" s="24"/>
      <c r="Y666" s="41">
        <f t="shared" si="262"/>
        <v>0</v>
      </c>
      <c r="Z666" s="41">
        <f t="shared" si="263"/>
        <v>0</v>
      </c>
      <c r="AA666" s="24">
        <v>5</v>
      </c>
      <c r="AB666" s="41">
        <v>338800</v>
      </c>
      <c r="AC666" s="41">
        <f t="shared" si="258"/>
        <v>0</v>
      </c>
      <c r="AD666" s="70" t="s">
        <v>603</v>
      </c>
      <c r="AE666" s="70"/>
      <c r="AF666" s="1">
        <v>338800</v>
      </c>
      <c r="AG666" s="5">
        <f t="shared" si="245"/>
        <v>0</v>
      </c>
      <c r="AH666" s="5"/>
    </row>
    <row r="667" spans="1:34" s="1" customFormat="1" x14ac:dyDescent="0.25">
      <c r="A667" s="49">
        <v>142</v>
      </c>
      <c r="B667" s="22" t="s">
        <v>1723</v>
      </c>
      <c r="C667" s="22" t="s">
        <v>604</v>
      </c>
      <c r="D667" s="51" t="s">
        <v>593</v>
      </c>
      <c r="E667" s="24" t="s">
        <v>594</v>
      </c>
      <c r="F667" s="24"/>
      <c r="G667" s="24" t="s">
        <v>201</v>
      </c>
      <c r="H667" s="24" t="s">
        <v>62</v>
      </c>
      <c r="I667" s="24">
        <v>2012</v>
      </c>
      <c r="J667" s="24"/>
      <c r="K667" s="24" t="s">
        <v>63</v>
      </c>
      <c r="L667" s="24" t="s">
        <v>64</v>
      </c>
      <c r="M667" s="24">
        <v>7</v>
      </c>
      <c r="N667" s="41">
        <f t="shared" si="259"/>
        <v>48400</v>
      </c>
      <c r="O667" s="41">
        <v>338800</v>
      </c>
      <c r="P667" s="24"/>
      <c r="Q667" s="24"/>
      <c r="R667" s="24"/>
      <c r="S667" s="41">
        <f t="shared" si="260"/>
        <v>338800</v>
      </c>
      <c r="T667" s="24">
        <v>5</v>
      </c>
      <c r="U667" s="41"/>
      <c r="V667" s="24">
        <v>0.5</v>
      </c>
      <c r="W667" s="41">
        <f t="shared" si="261"/>
        <v>0</v>
      </c>
      <c r="X667" s="24"/>
      <c r="Y667" s="41">
        <f t="shared" si="262"/>
        <v>0</v>
      </c>
      <c r="Z667" s="41">
        <f t="shared" si="263"/>
        <v>0</v>
      </c>
      <c r="AA667" s="24">
        <v>5</v>
      </c>
      <c r="AB667" s="41">
        <v>338800</v>
      </c>
      <c r="AC667" s="41">
        <f t="shared" si="258"/>
        <v>0</v>
      </c>
      <c r="AD667" s="70" t="s">
        <v>605</v>
      </c>
      <c r="AE667" s="70"/>
      <c r="AF667" s="1">
        <v>338800</v>
      </c>
      <c r="AG667" s="5">
        <f t="shared" si="245"/>
        <v>0</v>
      </c>
      <c r="AH667" s="5"/>
    </row>
    <row r="668" spans="1:34" s="1" customFormat="1" x14ac:dyDescent="0.25">
      <c r="A668" s="49">
        <v>143</v>
      </c>
      <c r="B668" s="22" t="s">
        <v>1723</v>
      </c>
      <c r="C668" s="22" t="s">
        <v>606</v>
      </c>
      <c r="D668" s="51" t="s">
        <v>593</v>
      </c>
      <c r="E668" s="24" t="s">
        <v>594</v>
      </c>
      <c r="F668" s="24"/>
      <c r="G668" s="24" t="s">
        <v>201</v>
      </c>
      <c r="H668" s="24" t="s">
        <v>62</v>
      </c>
      <c r="I668" s="24">
        <v>2012</v>
      </c>
      <c r="J668" s="24"/>
      <c r="K668" s="24" t="s">
        <v>63</v>
      </c>
      <c r="L668" s="24" t="s">
        <v>64</v>
      </c>
      <c r="M668" s="24">
        <v>36</v>
      </c>
      <c r="N668" s="41">
        <f t="shared" si="259"/>
        <v>48400</v>
      </c>
      <c r="O668" s="41">
        <v>1742400</v>
      </c>
      <c r="P668" s="24"/>
      <c r="Q668" s="24"/>
      <c r="R668" s="24"/>
      <c r="S668" s="41">
        <f t="shared" si="260"/>
        <v>1742400</v>
      </c>
      <c r="T668" s="24">
        <v>5</v>
      </c>
      <c r="U668" s="41"/>
      <c r="V668" s="24">
        <v>0.5</v>
      </c>
      <c r="W668" s="41">
        <f t="shared" si="261"/>
        <v>0</v>
      </c>
      <c r="X668" s="24"/>
      <c r="Y668" s="41">
        <f t="shared" si="262"/>
        <v>0</v>
      </c>
      <c r="Z668" s="41">
        <f t="shared" si="263"/>
        <v>0</v>
      </c>
      <c r="AA668" s="24">
        <v>5</v>
      </c>
      <c r="AB668" s="41">
        <v>1742400</v>
      </c>
      <c r="AC668" s="41">
        <f t="shared" si="258"/>
        <v>0</v>
      </c>
      <c r="AD668" s="70" t="s">
        <v>354</v>
      </c>
      <c r="AE668" s="70"/>
      <c r="AF668" s="1">
        <v>1742400</v>
      </c>
      <c r="AG668" s="5">
        <f t="shared" si="245"/>
        <v>0</v>
      </c>
      <c r="AH668" s="5"/>
    </row>
    <row r="669" spans="1:34" s="1" customFormat="1" x14ac:dyDescent="0.25">
      <c r="A669" s="49">
        <v>144</v>
      </c>
      <c r="B669" s="22" t="s">
        <v>1723</v>
      </c>
      <c r="C669" s="22" t="s">
        <v>607</v>
      </c>
      <c r="D669" s="51" t="s">
        <v>593</v>
      </c>
      <c r="E669" s="24" t="s">
        <v>594</v>
      </c>
      <c r="F669" s="24"/>
      <c r="G669" s="24" t="s">
        <v>201</v>
      </c>
      <c r="H669" s="24" t="s">
        <v>62</v>
      </c>
      <c r="I669" s="24">
        <v>2012</v>
      </c>
      <c r="J669" s="24"/>
      <c r="K669" s="24" t="s">
        <v>63</v>
      </c>
      <c r="L669" s="24" t="s">
        <v>64</v>
      </c>
      <c r="M669" s="24">
        <v>7</v>
      </c>
      <c r="N669" s="41">
        <f t="shared" si="259"/>
        <v>48400</v>
      </c>
      <c r="O669" s="41">
        <v>338800</v>
      </c>
      <c r="P669" s="24"/>
      <c r="Q669" s="24"/>
      <c r="R669" s="24"/>
      <c r="S669" s="41">
        <f t="shared" si="260"/>
        <v>338800</v>
      </c>
      <c r="T669" s="24">
        <v>5</v>
      </c>
      <c r="U669" s="41"/>
      <c r="V669" s="24">
        <v>0.5</v>
      </c>
      <c r="W669" s="41">
        <f t="shared" si="261"/>
        <v>0</v>
      </c>
      <c r="X669" s="24"/>
      <c r="Y669" s="41">
        <f t="shared" si="262"/>
        <v>0</v>
      </c>
      <c r="Z669" s="41">
        <f t="shared" si="263"/>
        <v>0</v>
      </c>
      <c r="AA669" s="24">
        <v>5</v>
      </c>
      <c r="AB669" s="41">
        <v>338800</v>
      </c>
      <c r="AC669" s="41">
        <f t="shared" si="258"/>
        <v>0</v>
      </c>
      <c r="AD669" s="70" t="s">
        <v>608</v>
      </c>
      <c r="AE669" s="70"/>
      <c r="AF669" s="1">
        <v>338800</v>
      </c>
      <c r="AG669" s="5">
        <f t="shared" si="245"/>
        <v>0</v>
      </c>
      <c r="AH669" s="5"/>
    </row>
    <row r="670" spans="1:34" s="1" customFormat="1" x14ac:dyDescent="0.25">
      <c r="A670" s="49">
        <v>145</v>
      </c>
      <c r="B670" s="22" t="s">
        <v>1723</v>
      </c>
      <c r="C670" s="22" t="s">
        <v>609</v>
      </c>
      <c r="D670" s="51" t="s">
        <v>593</v>
      </c>
      <c r="E670" s="24" t="s">
        <v>594</v>
      </c>
      <c r="F670" s="24"/>
      <c r="G670" s="24" t="s">
        <v>201</v>
      </c>
      <c r="H670" s="24" t="s">
        <v>62</v>
      </c>
      <c r="I670" s="24">
        <v>2012</v>
      </c>
      <c r="J670" s="24"/>
      <c r="K670" s="24" t="s">
        <v>63</v>
      </c>
      <c r="L670" s="24" t="s">
        <v>64</v>
      </c>
      <c r="M670" s="24">
        <v>40</v>
      </c>
      <c r="N670" s="41">
        <f t="shared" si="259"/>
        <v>48400</v>
      </c>
      <c r="O670" s="41">
        <v>1936000</v>
      </c>
      <c r="P670" s="24"/>
      <c r="Q670" s="24"/>
      <c r="R670" s="24"/>
      <c r="S670" s="41">
        <f t="shared" si="260"/>
        <v>1936000</v>
      </c>
      <c r="T670" s="24">
        <v>5</v>
      </c>
      <c r="U670" s="41"/>
      <c r="V670" s="24">
        <v>0.5</v>
      </c>
      <c r="W670" s="41">
        <f t="shared" si="261"/>
        <v>0</v>
      </c>
      <c r="X670" s="24"/>
      <c r="Y670" s="41">
        <f t="shared" si="262"/>
        <v>0</v>
      </c>
      <c r="Z670" s="41">
        <f t="shared" si="263"/>
        <v>0</v>
      </c>
      <c r="AA670" s="24">
        <v>5</v>
      </c>
      <c r="AB670" s="41">
        <v>1936000</v>
      </c>
      <c r="AC670" s="41">
        <f t="shared" si="258"/>
        <v>0</v>
      </c>
      <c r="AD670" s="70" t="s">
        <v>610</v>
      </c>
      <c r="AE670" s="70"/>
      <c r="AF670" s="1">
        <v>1936000</v>
      </c>
      <c r="AG670" s="5">
        <f t="shared" si="245"/>
        <v>0</v>
      </c>
      <c r="AH670" s="5"/>
    </row>
    <row r="671" spans="1:34" s="1" customFormat="1" x14ac:dyDescent="0.25">
      <c r="A671" s="49">
        <v>146</v>
      </c>
      <c r="B671" s="22" t="s">
        <v>1723</v>
      </c>
      <c r="C671" s="22" t="s">
        <v>611</v>
      </c>
      <c r="D671" s="51" t="s">
        <v>593</v>
      </c>
      <c r="E671" s="24" t="s">
        <v>594</v>
      </c>
      <c r="F671" s="24"/>
      <c r="G671" s="24" t="s">
        <v>201</v>
      </c>
      <c r="H671" s="24" t="s">
        <v>62</v>
      </c>
      <c r="I671" s="24">
        <v>2012</v>
      </c>
      <c r="J671" s="24"/>
      <c r="K671" s="24" t="s">
        <v>63</v>
      </c>
      <c r="L671" s="24" t="s">
        <v>64</v>
      </c>
      <c r="M671" s="24">
        <v>40</v>
      </c>
      <c r="N671" s="41">
        <f t="shared" si="259"/>
        <v>48400</v>
      </c>
      <c r="O671" s="41">
        <v>1936000</v>
      </c>
      <c r="P671" s="24"/>
      <c r="Q671" s="24"/>
      <c r="R671" s="24"/>
      <c r="S671" s="41">
        <f t="shared" si="260"/>
        <v>1936000</v>
      </c>
      <c r="T671" s="24">
        <v>5</v>
      </c>
      <c r="U671" s="41"/>
      <c r="V671" s="24">
        <v>0.5</v>
      </c>
      <c r="W671" s="41">
        <f t="shared" si="261"/>
        <v>0</v>
      </c>
      <c r="X671" s="24"/>
      <c r="Y671" s="41">
        <f t="shared" si="262"/>
        <v>0</v>
      </c>
      <c r="Z671" s="41">
        <f t="shared" si="263"/>
        <v>0</v>
      </c>
      <c r="AA671" s="72">
        <v>5</v>
      </c>
      <c r="AB671" s="41">
        <v>1936000</v>
      </c>
      <c r="AC671" s="41">
        <f t="shared" si="258"/>
        <v>0</v>
      </c>
      <c r="AD671" s="70" t="s">
        <v>612</v>
      </c>
      <c r="AE671" s="70"/>
      <c r="AF671" s="1">
        <v>1936000</v>
      </c>
      <c r="AG671" s="5">
        <f t="shared" si="245"/>
        <v>0</v>
      </c>
      <c r="AH671" s="5"/>
    </row>
    <row r="672" spans="1:34" s="1" customFormat="1" x14ac:dyDescent="0.25">
      <c r="A672" s="49">
        <v>147</v>
      </c>
      <c r="B672" s="22" t="s">
        <v>1723</v>
      </c>
      <c r="C672" s="22" t="s">
        <v>613</v>
      </c>
      <c r="D672" s="51" t="s">
        <v>593</v>
      </c>
      <c r="E672" s="24" t="s">
        <v>594</v>
      </c>
      <c r="F672" s="24"/>
      <c r="G672" s="24" t="s">
        <v>201</v>
      </c>
      <c r="H672" s="24" t="s">
        <v>62</v>
      </c>
      <c r="I672" s="24">
        <v>2012</v>
      </c>
      <c r="J672" s="24"/>
      <c r="K672" s="24" t="s">
        <v>63</v>
      </c>
      <c r="L672" s="24" t="s">
        <v>64</v>
      </c>
      <c r="M672" s="24">
        <v>105</v>
      </c>
      <c r="N672" s="41">
        <f t="shared" si="259"/>
        <v>48400</v>
      </c>
      <c r="O672" s="41">
        <v>5082000</v>
      </c>
      <c r="P672" s="24"/>
      <c r="Q672" s="24"/>
      <c r="R672" s="24"/>
      <c r="S672" s="41">
        <f t="shared" si="260"/>
        <v>5082000</v>
      </c>
      <c r="T672" s="24">
        <v>5</v>
      </c>
      <c r="U672" s="41"/>
      <c r="V672" s="24">
        <v>0.5</v>
      </c>
      <c r="W672" s="41">
        <f t="shared" si="261"/>
        <v>0</v>
      </c>
      <c r="X672" s="24"/>
      <c r="Y672" s="41">
        <f t="shared" si="262"/>
        <v>0</v>
      </c>
      <c r="Z672" s="41">
        <f t="shared" si="263"/>
        <v>0</v>
      </c>
      <c r="AA672" s="72">
        <v>5</v>
      </c>
      <c r="AB672" s="41">
        <v>5082000</v>
      </c>
      <c r="AC672" s="41">
        <f t="shared" si="258"/>
        <v>0</v>
      </c>
      <c r="AD672" s="70" t="s">
        <v>250</v>
      </c>
      <c r="AE672" s="70"/>
      <c r="AF672" s="1">
        <v>5082000</v>
      </c>
      <c r="AG672" s="5">
        <f t="shared" si="245"/>
        <v>0</v>
      </c>
      <c r="AH672" s="5"/>
    </row>
    <row r="673" spans="1:34" s="1" customFormat="1" x14ac:dyDescent="0.25">
      <c r="A673" s="49">
        <v>148</v>
      </c>
      <c r="B673" s="22" t="s">
        <v>1723</v>
      </c>
      <c r="C673" s="22" t="s">
        <v>614</v>
      </c>
      <c r="D673" s="51" t="s">
        <v>615</v>
      </c>
      <c r="E673" s="24" t="s">
        <v>166</v>
      </c>
      <c r="F673" s="24"/>
      <c r="G673" s="24" t="s">
        <v>201</v>
      </c>
      <c r="H673" s="24" t="s">
        <v>62</v>
      </c>
      <c r="I673" s="24">
        <v>2011</v>
      </c>
      <c r="J673" s="24"/>
      <c r="K673" s="24" t="s">
        <v>63</v>
      </c>
      <c r="L673" s="24" t="s">
        <v>64</v>
      </c>
      <c r="M673" s="24">
        <v>200</v>
      </c>
      <c r="N673" s="41">
        <f t="shared" si="259"/>
        <v>35000</v>
      </c>
      <c r="O673" s="41">
        <v>7000000</v>
      </c>
      <c r="P673" s="24"/>
      <c r="Q673" s="24"/>
      <c r="R673" s="24"/>
      <c r="S673" s="41">
        <f t="shared" si="260"/>
        <v>7000000</v>
      </c>
      <c r="T673" s="24">
        <v>5</v>
      </c>
      <c r="U673" s="41"/>
      <c r="V673" s="24">
        <v>0.5</v>
      </c>
      <c r="W673" s="41">
        <f t="shared" si="261"/>
        <v>0</v>
      </c>
      <c r="X673" s="52"/>
      <c r="Y673" s="53">
        <f t="shared" si="262"/>
        <v>0</v>
      </c>
      <c r="Z673" s="53">
        <f t="shared" si="263"/>
        <v>0</v>
      </c>
      <c r="AA673" s="57">
        <v>5</v>
      </c>
      <c r="AB673" s="53">
        <v>7000000</v>
      </c>
      <c r="AC673" s="53">
        <f t="shared" si="258"/>
        <v>0</v>
      </c>
      <c r="AD673" s="56" t="s">
        <v>616</v>
      </c>
      <c r="AE673" s="70"/>
      <c r="AF673" s="1">
        <v>7000000</v>
      </c>
      <c r="AG673" s="5">
        <f t="shared" si="245"/>
        <v>0</v>
      </c>
      <c r="AH673" s="5"/>
    </row>
    <row r="674" spans="1:34" s="1" customFormat="1" x14ac:dyDescent="0.25">
      <c r="A674" s="49">
        <v>149</v>
      </c>
      <c r="B674" s="22" t="s">
        <v>1723</v>
      </c>
      <c r="C674" s="22" t="s">
        <v>617</v>
      </c>
      <c r="D674" s="51" t="s">
        <v>615</v>
      </c>
      <c r="E674" s="24" t="s">
        <v>166</v>
      </c>
      <c r="F674" s="24"/>
      <c r="G674" s="24" t="s">
        <v>201</v>
      </c>
      <c r="H674" s="24" t="s">
        <v>62</v>
      </c>
      <c r="I674" s="24">
        <v>2012</v>
      </c>
      <c r="J674" s="24"/>
      <c r="K674" s="24" t="s">
        <v>63</v>
      </c>
      <c r="L674" s="24" t="s">
        <v>64</v>
      </c>
      <c r="M674" s="24">
        <v>40</v>
      </c>
      <c r="N674" s="41">
        <f t="shared" si="259"/>
        <v>74800</v>
      </c>
      <c r="O674" s="41">
        <v>2992000</v>
      </c>
      <c r="P674" s="24"/>
      <c r="Q674" s="24"/>
      <c r="R674" s="24"/>
      <c r="S674" s="41">
        <f t="shared" si="260"/>
        <v>2992000</v>
      </c>
      <c r="T674" s="24">
        <v>5</v>
      </c>
      <c r="U674" s="41"/>
      <c r="V674" s="24">
        <v>0.5</v>
      </c>
      <c r="W674" s="41">
        <f t="shared" si="261"/>
        <v>0</v>
      </c>
      <c r="X674" s="24"/>
      <c r="Y674" s="41">
        <f t="shared" si="262"/>
        <v>0</v>
      </c>
      <c r="Z674" s="41">
        <f t="shared" si="263"/>
        <v>0</v>
      </c>
      <c r="AA674" s="72">
        <v>5</v>
      </c>
      <c r="AB674" s="41">
        <v>2992000</v>
      </c>
      <c r="AC674" s="41">
        <f t="shared" si="258"/>
        <v>0</v>
      </c>
      <c r="AD674" s="70" t="s">
        <v>618</v>
      </c>
      <c r="AE674" s="70"/>
      <c r="AF674" s="1">
        <v>2992000</v>
      </c>
      <c r="AG674" s="5">
        <f t="shared" si="245"/>
        <v>0</v>
      </c>
      <c r="AH674" s="5"/>
    </row>
    <row r="675" spans="1:34" s="1" customFormat="1" x14ac:dyDescent="0.25">
      <c r="A675" s="49">
        <v>150</v>
      </c>
      <c r="B675" s="22" t="s">
        <v>1724</v>
      </c>
      <c r="C675" s="22" t="s">
        <v>960</v>
      </c>
      <c r="D675" s="51" t="s">
        <v>961</v>
      </c>
      <c r="E675" s="24" t="s">
        <v>166</v>
      </c>
      <c r="F675" s="24"/>
      <c r="G675" s="24" t="s">
        <v>201</v>
      </c>
      <c r="H675" s="24" t="s">
        <v>62</v>
      </c>
      <c r="I675" s="24">
        <v>2011</v>
      </c>
      <c r="J675" s="24"/>
      <c r="K675" s="24" t="s">
        <v>63</v>
      </c>
      <c r="L675" s="24" t="s">
        <v>64</v>
      </c>
      <c r="M675" s="24">
        <v>120</v>
      </c>
      <c r="N675" s="41">
        <f t="shared" si="259"/>
        <v>148000</v>
      </c>
      <c r="O675" s="41">
        <v>17760000</v>
      </c>
      <c r="P675" s="24"/>
      <c r="Q675" s="24"/>
      <c r="R675" s="24"/>
      <c r="S675" s="41">
        <f t="shared" si="260"/>
        <v>17760000</v>
      </c>
      <c r="T675" s="24">
        <v>5</v>
      </c>
      <c r="U675" s="41"/>
      <c r="V675" s="24">
        <v>0.5</v>
      </c>
      <c r="W675" s="41">
        <f t="shared" si="261"/>
        <v>0</v>
      </c>
      <c r="X675" s="24"/>
      <c r="Y675" s="41">
        <f t="shared" si="262"/>
        <v>0</v>
      </c>
      <c r="Z675" s="41">
        <f t="shared" si="263"/>
        <v>0</v>
      </c>
      <c r="AA675" s="24">
        <v>5</v>
      </c>
      <c r="AB675" s="41">
        <v>17760000</v>
      </c>
      <c r="AC675" s="41">
        <f t="shared" si="258"/>
        <v>0</v>
      </c>
      <c r="AD675" s="70" t="s">
        <v>962</v>
      </c>
      <c r="AE675" s="70"/>
      <c r="AF675" s="1">
        <v>17760000</v>
      </c>
      <c r="AG675" s="5">
        <f t="shared" si="245"/>
        <v>0</v>
      </c>
      <c r="AH675" s="5"/>
    </row>
    <row r="676" spans="1:34" s="1" customFormat="1" x14ac:dyDescent="0.25">
      <c r="A676" s="49">
        <v>151</v>
      </c>
      <c r="B676" s="22" t="s">
        <v>1724</v>
      </c>
      <c r="C676" s="22" t="s">
        <v>963</v>
      </c>
      <c r="D676" s="51" t="s">
        <v>961</v>
      </c>
      <c r="E676" s="24" t="s">
        <v>166</v>
      </c>
      <c r="F676" s="24"/>
      <c r="G676" s="24" t="s">
        <v>201</v>
      </c>
      <c r="H676" s="24" t="s">
        <v>62</v>
      </c>
      <c r="I676" s="24">
        <v>2012</v>
      </c>
      <c r="J676" s="24"/>
      <c r="K676" s="24" t="s">
        <v>63</v>
      </c>
      <c r="L676" s="24" t="s">
        <v>64</v>
      </c>
      <c r="M676" s="24">
        <v>40</v>
      </c>
      <c r="N676" s="41">
        <f t="shared" si="259"/>
        <v>176000</v>
      </c>
      <c r="O676" s="41">
        <v>7040000</v>
      </c>
      <c r="P676" s="24"/>
      <c r="Q676" s="24"/>
      <c r="R676" s="24"/>
      <c r="S676" s="41">
        <f t="shared" si="260"/>
        <v>7040000</v>
      </c>
      <c r="T676" s="24">
        <v>5</v>
      </c>
      <c r="U676" s="41"/>
      <c r="V676" s="24">
        <v>0.5</v>
      </c>
      <c r="W676" s="41">
        <f t="shared" si="261"/>
        <v>0</v>
      </c>
      <c r="X676" s="24"/>
      <c r="Y676" s="41">
        <f t="shared" si="262"/>
        <v>0</v>
      </c>
      <c r="Z676" s="41">
        <f t="shared" si="263"/>
        <v>0</v>
      </c>
      <c r="AA676" s="24">
        <v>5</v>
      </c>
      <c r="AB676" s="41">
        <v>7040000</v>
      </c>
      <c r="AC676" s="41">
        <f t="shared" si="258"/>
        <v>0</v>
      </c>
      <c r="AD676" s="70" t="s">
        <v>964</v>
      </c>
      <c r="AE676" s="70"/>
      <c r="AF676" s="1">
        <v>7040000</v>
      </c>
      <c r="AG676" s="5">
        <f t="shared" si="245"/>
        <v>0</v>
      </c>
      <c r="AH676" s="5"/>
    </row>
    <row r="677" spans="1:34" s="1" customFormat="1" x14ac:dyDescent="0.25">
      <c r="A677" s="49">
        <v>152</v>
      </c>
      <c r="B677" s="22" t="s">
        <v>1724</v>
      </c>
      <c r="C677" s="22" t="s">
        <v>965</v>
      </c>
      <c r="D677" s="51" t="s">
        <v>966</v>
      </c>
      <c r="E677" s="24" t="s">
        <v>166</v>
      </c>
      <c r="F677" s="24"/>
      <c r="G677" s="24" t="s">
        <v>201</v>
      </c>
      <c r="H677" s="24" t="s">
        <v>62</v>
      </c>
      <c r="I677" s="24">
        <v>2012</v>
      </c>
      <c r="J677" s="24"/>
      <c r="K677" s="24" t="s">
        <v>63</v>
      </c>
      <c r="L677" s="24" t="s">
        <v>64</v>
      </c>
      <c r="M677" s="24">
        <v>20</v>
      </c>
      <c r="N677" s="41">
        <f t="shared" si="259"/>
        <v>148500</v>
      </c>
      <c r="O677" s="41">
        <v>2970000</v>
      </c>
      <c r="P677" s="24"/>
      <c r="Q677" s="24"/>
      <c r="R677" s="24"/>
      <c r="S677" s="41">
        <f t="shared" si="260"/>
        <v>2970000</v>
      </c>
      <c r="T677" s="24">
        <v>5</v>
      </c>
      <c r="U677" s="41"/>
      <c r="V677" s="24">
        <v>0.5</v>
      </c>
      <c r="W677" s="41">
        <f t="shared" si="261"/>
        <v>0</v>
      </c>
      <c r="X677" s="24"/>
      <c r="Y677" s="41">
        <f t="shared" si="262"/>
        <v>0</v>
      </c>
      <c r="Z677" s="41">
        <f t="shared" si="263"/>
        <v>0</v>
      </c>
      <c r="AA677" s="24">
        <v>5</v>
      </c>
      <c r="AB677" s="41">
        <v>2970000</v>
      </c>
      <c r="AC677" s="41">
        <f t="shared" si="258"/>
        <v>0</v>
      </c>
      <c r="AD677" s="70" t="s">
        <v>942</v>
      </c>
      <c r="AE677" s="70"/>
      <c r="AF677" s="1">
        <v>2970000</v>
      </c>
      <c r="AG677" s="5">
        <f t="shared" si="245"/>
        <v>0</v>
      </c>
      <c r="AH677" s="5"/>
    </row>
    <row r="678" spans="1:34" s="1" customFormat="1" x14ac:dyDescent="0.25">
      <c r="A678" s="49">
        <v>153</v>
      </c>
      <c r="B678" s="22" t="s">
        <v>1724</v>
      </c>
      <c r="C678" s="22" t="s">
        <v>967</v>
      </c>
      <c r="D678" s="51" t="s">
        <v>966</v>
      </c>
      <c r="E678" s="24" t="s">
        <v>166</v>
      </c>
      <c r="F678" s="24"/>
      <c r="G678" s="24" t="s">
        <v>201</v>
      </c>
      <c r="H678" s="24" t="s">
        <v>62</v>
      </c>
      <c r="I678" s="24">
        <v>2012</v>
      </c>
      <c r="J678" s="24"/>
      <c r="K678" s="24" t="s">
        <v>63</v>
      </c>
      <c r="L678" s="24" t="s">
        <v>64</v>
      </c>
      <c r="M678" s="24">
        <v>20</v>
      </c>
      <c r="N678" s="41">
        <f t="shared" si="259"/>
        <v>148500</v>
      </c>
      <c r="O678" s="41">
        <v>2970000</v>
      </c>
      <c r="P678" s="24"/>
      <c r="Q678" s="24"/>
      <c r="R678" s="24"/>
      <c r="S678" s="41">
        <f t="shared" si="260"/>
        <v>2970000</v>
      </c>
      <c r="T678" s="24">
        <v>5</v>
      </c>
      <c r="U678" s="41"/>
      <c r="V678" s="24">
        <v>0.5</v>
      </c>
      <c r="W678" s="41">
        <f t="shared" si="261"/>
        <v>0</v>
      </c>
      <c r="X678" s="24"/>
      <c r="Y678" s="41">
        <f t="shared" si="262"/>
        <v>0</v>
      </c>
      <c r="Z678" s="41">
        <f t="shared" si="263"/>
        <v>0</v>
      </c>
      <c r="AA678" s="24">
        <v>5</v>
      </c>
      <c r="AB678" s="41">
        <v>2970000</v>
      </c>
      <c r="AC678" s="41">
        <f t="shared" si="258"/>
        <v>0</v>
      </c>
      <c r="AD678" s="70" t="s">
        <v>597</v>
      </c>
      <c r="AE678" s="70"/>
      <c r="AF678" s="1">
        <v>2970000</v>
      </c>
      <c r="AG678" s="5">
        <f t="shared" si="245"/>
        <v>0</v>
      </c>
      <c r="AH678" s="5"/>
    </row>
    <row r="679" spans="1:34" s="1" customFormat="1" x14ac:dyDescent="0.25">
      <c r="A679" s="49">
        <v>154</v>
      </c>
      <c r="B679" s="22" t="s">
        <v>1724</v>
      </c>
      <c r="C679" s="22" t="s">
        <v>968</v>
      </c>
      <c r="D679" s="51" t="s">
        <v>966</v>
      </c>
      <c r="E679" s="24" t="s">
        <v>166</v>
      </c>
      <c r="F679" s="24"/>
      <c r="G679" s="24" t="s">
        <v>201</v>
      </c>
      <c r="H679" s="24" t="s">
        <v>62</v>
      </c>
      <c r="I679" s="24">
        <v>2012</v>
      </c>
      <c r="J679" s="24"/>
      <c r="K679" s="24" t="s">
        <v>63</v>
      </c>
      <c r="L679" s="24" t="s">
        <v>64</v>
      </c>
      <c r="M679" s="24">
        <v>10</v>
      </c>
      <c r="N679" s="41">
        <f t="shared" si="259"/>
        <v>148500</v>
      </c>
      <c r="O679" s="41">
        <v>1485000</v>
      </c>
      <c r="P679" s="24"/>
      <c r="Q679" s="24"/>
      <c r="R679" s="24"/>
      <c r="S679" s="41">
        <f t="shared" si="260"/>
        <v>1485000</v>
      </c>
      <c r="T679" s="24">
        <v>5</v>
      </c>
      <c r="U679" s="41"/>
      <c r="V679" s="24">
        <v>0.5</v>
      </c>
      <c r="W679" s="41">
        <f t="shared" si="261"/>
        <v>0</v>
      </c>
      <c r="X679" s="24"/>
      <c r="Y679" s="41">
        <f t="shared" si="262"/>
        <v>0</v>
      </c>
      <c r="Z679" s="41">
        <f t="shared" si="263"/>
        <v>0</v>
      </c>
      <c r="AA679" s="24">
        <v>5</v>
      </c>
      <c r="AB679" s="41">
        <v>1485000</v>
      </c>
      <c r="AC679" s="41">
        <f t="shared" si="258"/>
        <v>0</v>
      </c>
      <c r="AD679" s="70" t="s">
        <v>540</v>
      </c>
      <c r="AE679" s="70"/>
      <c r="AF679" s="1">
        <v>1485000</v>
      </c>
      <c r="AG679" s="5">
        <f t="shared" si="245"/>
        <v>0</v>
      </c>
      <c r="AH679" s="5"/>
    </row>
    <row r="680" spans="1:34" s="1" customFormat="1" x14ac:dyDescent="0.25">
      <c r="A680" s="49">
        <v>155</v>
      </c>
      <c r="B680" s="22" t="s">
        <v>1724</v>
      </c>
      <c r="C680" s="22" t="s">
        <v>969</v>
      </c>
      <c r="D680" s="51" t="s">
        <v>966</v>
      </c>
      <c r="E680" s="24" t="s">
        <v>166</v>
      </c>
      <c r="F680" s="24"/>
      <c r="G680" s="24" t="s">
        <v>201</v>
      </c>
      <c r="H680" s="24" t="s">
        <v>62</v>
      </c>
      <c r="I680" s="24">
        <v>2012</v>
      </c>
      <c r="J680" s="24"/>
      <c r="K680" s="24" t="s">
        <v>63</v>
      </c>
      <c r="L680" s="24" t="s">
        <v>64</v>
      </c>
      <c r="M680" s="24">
        <v>20</v>
      </c>
      <c r="N680" s="41">
        <f t="shared" si="259"/>
        <v>148500</v>
      </c>
      <c r="O680" s="41">
        <v>2970000</v>
      </c>
      <c r="P680" s="24"/>
      <c r="Q680" s="24"/>
      <c r="R680" s="24"/>
      <c r="S680" s="41">
        <f t="shared" si="260"/>
        <v>2970000</v>
      </c>
      <c r="T680" s="24">
        <v>5</v>
      </c>
      <c r="U680" s="41"/>
      <c r="V680" s="24">
        <v>0.5</v>
      </c>
      <c r="W680" s="41">
        <f t="shared" si="261"/>
        <v>0</v>
      </c>
      <c r="X680" s="24"/>
      <c r="Y680" s="41">
        <f t="shared" si="262"/>
        <v>0</v>
      </c>
      <c r="Z680" s="41">
        <f t="shared" si="263"/>
        <v>0</v>
      </c>
      <c r="AA680" s="24">
        <v>5</v>
      </c>
      <c r="AB680" s="41">
        <v>2970000</v>
      </c>
      <c r="AC680" s="41">
        <f t="shared" si="258"/>
        <v>0</v>
      </c>
      <c r="AD680" s="70" t="s">
        <v>351</v>
      </c>
      <c r="AE680" s="70"/>
      <c r="AF680" s="1">
        <v>2970000</v>
      </c>
      <c r="AG680" s="5">
        <f t="shared" si="245"/>
        <v>0</v>
      </c>
      <c r="AH680" s="5"/>
    </row>
    <row r="681" spans="1:34" s="1" customFormat="1" x14ac:dyDescent="0.25">
      <c r="A681" s="49">
        <v>156</v>
      </c>
      <c r="B681" s="22" t="s">
        <v>1724</v>
      </c>
      <c r="C681" s="22" t="s">
        <v>970</v>
      </c>
      <c r="D681" s="51" t="s">
        <v>966</v>
      </c>
      <c r="E681" s="24" t="s">
        <v>166</v>
      </c>
      <c r="F681" s="24"/>
      <c r="G681" s="24" t="s">
        <v>201</v>
      </c>
      <c r="H681" s="24" t="s">
        <v>62</v>
      </c>
      <c r="I681" s="24">
        <v>2012</v>
      </c>
      <c r="J681" s="24"/>
      <c r="K681" s="24" t="s">
        <v>63</v>
      </c>
      <c r="L681" s="24" t="s">
        <v>64</v>
      </c>
      <c r="M681" s="24">
        <v>20</v>
      </c>
      <c r="N681" s="41">
        <f t="shared" si="259"/>
        <v>148500</v>
      </c>
      <c r="O681" s="41">
        <v>2970000</v>
      </c>
      <c r="P681" s="24"/>
      <c r="Q681" s="24"/>
      <c r="R681" s="24"/>
      <c r="S681" s="41">
        <f t="shared" si="260"/>
        <v>2970000</v>
      </c>
      <c r="T681" s="24">
        <v>5</v>
      </c>
      <c r="U681" s="41"/>
      <c r="V681" s="24">
        <v>0.5</v>
      </c>
      <c r="W681" s="41">
        <f t="shared" si="261"/>
        <v>0</v>
      </c>
      <c r="X681" s="24"/>
      <c r="Y681" s="41">
        <f t="shared" si="262"/>
        <v>0</v>
      </c>
      <c r="Z681" s="41">
        <f t="shared" si="263"/>
        <v>0</v>
      </c>
      <c r="AA681" s="24">
        <v>5</v>
      </c>
      <c r="AB681" s="41">
        <v>2970000</v>
      </c>
      <c r="AC681" s="41">
        <f t="shared" si="258"/>
        <v>0</v>
      </c>
      <c r="AD681" s="70" t="s">
        <v>601</v>
      </c>
      <c r="AE681" s="70"/>
      <c r="AF681" s="1">
        <v>2970000</v>
      </c>
      <c r="AG681" s="5">
        <f t="shared" si="245"/>
        <v>0</v>
      </c>
      <c r="AH681" s="5"/>
    </row>
    <row r="682" spans="1:34" s="1" customFormat="1" x14ac:dyDescent="0.25">
      <c r="A682" s="49">
        <v>157</v>
      </c>
      <c r="B682" s="22" t="s">
        <v>1724</v>
      </c>
      <c r="C682" s="22" t="s">
        <v>971</v>
      </c>
      <c r="D682" s="51" t="s">
        <v>966</v>
      </c>
      <c r="E682" s="24" t="s">
        <v>166</v>
      </c>
      <c r="F682" s="24"/>
      <c r="G682" s="24" t="s">
        <v>201</v>
      </c>
      <c r="H682" s="24" t="s">
        <v>62</v>
      </c>
      <c r="I682" s="24">
        <v>2012</v>
      </c>
      <c r="J682" s="24"/>
      <c r="K682" s="24" t="s">
        <v>63</v>
      </c>
      <c r="L682" s="24" t="s">
        <v>64</v>
      </c>
      <c r="M682" s="24">
        <v>20</v>
      </c>
      <c r="N682" s="41">
        <f t="shared" si="259"/>
        <v>148500</v>
      </c>
      <c r="O682" s="41">
        <v>2970000</v>
      </c>
      <c r="P682" s="24"/>
      <c r="Q682" s="24"/>
      <c r="R682" s="24"/>
      <c r="S682" s="41">
        <f t="shared" si="260"/>
        <v>2970000</v>
      </c>
      <c r="T682" s="24">
        <v>5</v>
      </c>
      <c r="U682" s="41"/>
      <c r="V682" s="24">
        <v>0.5</v>
      </c>
      <c r="W682" s="41">
        <f t="shared" si="261"/>
        <v>0</v>
      </c>
      <c r="X682" s="24"/>
      <c r="Y682" s="41">
        <f t="shared" si="262"/>
        <v>0</v>
      </c>
      <c r="Z682" s="41">
        <f t="shared" si="263"/>
        <v>0</v>
      </c>
      <c r="AA682" s="24">
        <v>5</v>
      </c>
      <c r="AB682" s="41">
        <v>2970000</v>
      </c>
      <c r="AC682" s="41">
        <f t="shared" si="258"/>
        <v>0</v>
      </c>
      <c r="AD682" s="70" t="s">
        <v>603</v>
      </c>
      <c r="AE682" s="70"/>
      <c r="AF682" s="1">
        <v>2970000</v>
      </c>
      <c r="AG682" s="5">
        <f t="shared" si="245"/>
        <v>0</v>
      </c>
      <c r="AH682" s="5"/>
    </row>
    <row r="683" spans="1:34" s="1" customFormat="1" x14ac:dyDescent="0.25">
      <c r="A683" s="49">
        <v>158</v>
      </c>
      <c r="B683" s="22" t="s">
        <v>1724</v>
      </c>
      <c r="C683" s="22" t="s">
        <v>972</v>
      </c>
      <c r="D683" s="51" t="s">
        <v>966</v>
      </c>
      <c r="E683" s="24" t="s">
        <v>166</v>
      </c>
      <c r="F683" s="24"/>
      <c r="G683" s="24" t="s">
        <v>201</v>
      </c>
      <c r="H683" s="24" t="s">
        <v>62</v>
      </c>
      <c r="I683" s="24">
        <v>2012</v>
      </c>
      <c r="J683" s="24"/>
      <c r="K683" s="24" t="s">
        <v>63</v>
      </c>
      <c r="L683" s="24" t="s">
        <v>64</v>
      </c>
      <c r="M683" s="24">
        <v>20</v>
      </c>
      <c r="N683" s="41">
        <f t="shared" si="259"/>
        <v>148500</v>
      </c>
      <c r="O683" s="41">
        <v>2970000</v>
      </c>
      <c r="P683" s="24"/>
      <c r="Q683" s="24"/>
      <c r="R683" s="24"/>
      <c r="S683" s="41">
        <f t="shared" si="260"/>
        <v>2970000</v>
      </c>
      <c r="T683" s="24">
        <v>5</v>
      </c>
      <c r="U683" s="41"/>
      <c r="V683" s="24">
        <v>0.5</v>
      </c>
      <c r="W683" s="41">
        <f t="shared" si="261"/>
        <v>0</v>
      </c>
      <c r="X683" s="24"/>
      <c r="Y683" s="41">
        <f t="shared" si="262"/>
        <v>0</v>
      </c>
      <c r="Z683" s="41">
        <f t="shared" si="263"/>
        <v>0</v>
      </c>
      <c r="AA683" s="24">
        <v>5</v>
      </c>
      <c r="AB683" s="41">
        <v>2970000</v>
      </c>
      <c r="AC683" s="41">
        <f t="shared" si="258"/>
        <v>0</v>
      </c>
      <c r="AD683" s="70" t="s">
        <v>605</v>
      </c>
      <c r="AE683" s="70"/>
      <c r="AF683" s="1">
        <v>2970000</v>
      </c>
      <c r="AG683" s="5">
        <f t="shared" si="245"/>
        <v>0</v>
      </c>
      <c r="AH683" s="5"/>
    </row>
    <row r="684" spans="1:34" s="1" customFormat="1" x14ac:dyDescent="0.25">
      <c r="A684" s="49">
        <v>159</v>
      </c>
      <c r="B684" s="22" t="s">
        <v>1724</v>
      </c>
      <c r="C684" s="22" t="s">
        <v>973</v>
      </c>
      <c r="D684" s="51" t="s">
        <v>966</v>
      </c>
      <c r="E684" s="24" t="s">
        <v>166</v>
      </c>
      <c r="F684" s="24"/>
      <c r="G684" s="24" t="s">
        <v>201</v>
      </c>
      <c r="H684" s="24" t="s">
        <v>62</v>
      </c>
      <c r="I684" s="24">
        <v>2012</v>
      </c>
      <c r="J684" s="24"/>
      <c r="K684" s="24" t="s">
        <v>63</v>
      </c>
      <c r="L684" s="24" t="s">
        <v>64</v>
      </c>
      <c r="M684" s="24">
        <v>20</v>
      </c>
      <c r="N684" s="41">
        <f t="shared" si="259"/>
        <v>148500</v>
      </c>
      <c r="O684" s="41">
        <v>2970000</v>
      </c>
      <c r="P684" s="24"/>
      <c r="Q684" s="24"/>
      <c r="R684" s="24"/>
      <c r="S684" s="41">
        <f t="shared" si="260"/>
        <v>2970000</v>
      </c>
      <c r="T684" s="24">
        <v>5</v>
      </c>
      <c r="U684" s="41"/>
      <c r="V684" s="24">
        <v>0.5</v>
      </c>
      <c r="W684" s="41">
        <f t="shared" si="261"/>
        <v>0</v>
      </c>
      <c r="X684" s="24"/>
      <c r="Y684" s="41">
        <f t="shared" si="262"/>
        <v>0</v>
      </c>
      <c r="Z684" s="41">
        <f t="shared" si="263"/>
        <v>0</v>
      </c>
      <c r="AA684" s="24">
        <v>5</v>
      </c>
      <c r="AB684" s="41">
        <v>2970000</v>
      </c>
      <c r="AC684" s="41">
        <f t="shared" si="258"/>
        <v>0</v>
      </c>
      <c r="AD684" s="70" t="s">
        <v>354</v>
      </c>
      <c r="AE684" s="70"/>
      <c r="AF684" s="1">
        <v>2970000</v>
      </c>
      <c r="AG684" s="5">
        <f t="shared" si="245"/>
        <v>0</v>
      </c>
      <c r="AH684" s="5"/>
    </row>
    <row r="685" spans="1:34" s="1" customFormat="1" x14ac:dyDescent="0.25">
      <c r="A685" s="49">
        <v>160</v>
      </c>
      <c r="B685" s="22" t="s">
        <v>1724</v>
      </c>
      <c r="C685" s="22" t="s">
        <v>974</v>
      </c>
      <c r="D685" s="51" t="s">
        <v>966</v>
      </c>
      <c r="E685" s="24" t="s">
        <v>166</v>
      </c>
      <c r="F685" s="24"/>
      <c r="G685" s="24" t="s">
        <v>201</v>
      </c>
      <c r="H685" s="24" t="s">
        <v>62</v>
      </c>
      <c r="I685" s="24">
        <v>2012</v>
      </c>
      <c r="J685" s="24"/>
      <c r="K685" s="24" t="s">
        <v>63</v>
      </c>
      <c r="L685" s="24" t="s">
        <v>64</v>
      </c>
      <c r="M685" s="24">
        <v>40</v>
      </c>
      <c r="N685" s="41">
        <f t="shared" si="259"/>
        <v>148500</v>
      </c>
      <c r="O685" s="41">
        <v>5940000</v>
      </c>
      <c r="P685" s="24"/>
      <c r="Q685" s="24"/>
      <c r="R685" s="24"/>
      <c r="S685" s="41">
        <f t="shared" si="260"/>
        <v>5940000</v>
      </c>
      <c r="T685" s="24">
        <v>5</v>
      </c>
      <c r="U685" s="41"/>
      <c r="V685" s="24">
        <v>0.5</v>
      </c>
      <c r="W685" s="41">
        <f t="shared" si="261"/>
        <v>0</v>
      </c>
      <c r="X685" s="24"/>
      <c r="Y685" s="41">
        <f t="shared" si="262"/>
        <v>0</v>
      </c>
      <c r="Z685" s="41">
        <f t="shared" si="263"/>
        <v>0</v>
      </c>
      <c r="AA685" s="24">
        <v>5</v>
      </c>
      <c r="AB685" s="41">
        <v>5940000</v>
      </c>
      <c r="AC685" s="41">
        <f t="shared" si="258"/>
        <v>0</v>
      </c>
      <c r="AD685" s="70" t="s">
        <v>610</v>
      </c>
      <c r="AE685" s="70"/>
      <c r="AF685" s="1">
        <v>5940000</v>
      </c>
      <c r="AG685" s="5">
        <f t="shared" si="245"/>
        <v>0</v>
      </c>
      <c r="AH685" s="5"/>
    </row>
    <row r="686" spans="1:34" s="1" customFormat="1" x14ac:dyDescent="0.25">
      <c r="A686" s="49">
        <v>161</v>
      </c>
      <c r="B686" s="22" t="s">
        <v>1724</v>
      </c>
      <c r="C686" s="22" t="s">
        <v>975</v>
      </c>
      <c r="D686" s="51" t="s">
        <v>966</v>
      </c>
      <c r="E686" s="24" t="s">
        <v>166</v>
      </c>
      <c r="F686" s="24"/>
      <c r="G686" s="24" t="s">
        <v>201</v>
      </c>
      <c r="H686" s="24" t="s">
        <v>62</v>
      </c>
      <c r="I686" s="24">
        <v>2012</v>
      </c>
      <c r="J686" s="24"/>
      <c r="K686" s="24" t="s">
        <v>63</v>
      </c>
      <c r="L686" s="24" t="s">
        <v>64</v>
      </c>
      <c r="M686" s="24">
        <v>40</v>
      </c>
      <c r="N686" s="41">
        <f t="shared" si="259"/>
        <v>148500</v>
      </c>
      <c r="O686" s="41">
        <v>5940000</v>
      </c>
      <c r="P686" s="24"/>
      <c r="Q686" s="24"/>
      <c r="R686" s="24"/>
      <c r="S686" s="41">
        <f t="shared" si="260"/>
        <v>5940000</v>
      </c>
      <c r="T686" s="24">
        <v>5</v>
      </c>
      <c r="U686" s="41"/>
      <c r="V686" s="24">
        <v>0.5</v>
      </c>
      <c r="W686" s="41">
        <f t="shared" si="261"/>
        <v>0</v>
      </c>
      <c r="X686" s="24"/>
      <c r="Y686" s="41">
        <f t="shared" si="262"/>
        <v>0</v>
      </c>
      <c r="Z686" s="41">
        <f t="shared" si="263"/>
        <v>0</v>
      </c>
      <c r="AA686" s="24">
        <v>5</v>
      </c>
      <c r="AB686" s="41">
        <v>5940000</v>
      </c>
      <c r="AC686" s="41">
        <f t="shared" ref="AC686:AC702" si="264">SUM(O686-AB686)</f>
        <v>0</v>
      </c>
      <c r="AD686" s="70" t="s">
        <v>612</v>
      </c>
      <c r="AE686" s="70"/>
      <c r="AF686" s="1">
        <v>5940000</v>
      </c>
      <c r="AG686" s="5">
        <f t="shared" si="245"/>
        <v>0</v>
      </c>
      <c r="AH686" s="5"/>
    </row>
    <row r="687" spans="1:34" s="1" customFormat="1" x14ac:dyDescent="0.25">
      <c r="A687" s="49">
        <v>162</v>
      </c>
      <c r="B687" s="22" t="s">
        <v>1724</v>
      </c>
      <c r="C687" s="22" t="s">
        <v>718</v>
      </c>
      <c r="D687" s="51" t="s">
        <v>976</v>
      </c>
      <c r="E687" s="24" t="s">
        <v>166</v>
      </c>
      <c r="F687" s="24"/>
      <c r="G687" s="24" t="s">
        <v>712</v>
      </c>
      <c r="H687" s="24" t="s">
        <v>62</v>
      </c>
      <c r="I687" s="24">
        <v>2005</v>
      </c>
      <c r="J687" s="24"/>
      <c r="K687" s="24" t="s">
        <v>63</v>
      </c>
      <c r="L687" s="24" t="s">
        <v>212</v>
      </c>
      <c r="M687" s="24">
        <v>40</v>
      </c>
      <c r="N687" s="41">
        <f t="shared" si="259"/>
        <v>1395000</v>
      </c>
      <c r="O687" s="41">
        <v>55800000</v>
      </c>
      <c r="P687" s="24"/>
      <c r="Q687" s="24"/>
      <c r="R687" s="24"/>
      <c r="S687" s="41">
        <f t="shared" si="260"/>
        <v>55800000</v>
      </c>
      <c r="T687" s="24">
        <v>5</v>
      </c>
      <c r="U687" s="41"/>
      <c r="V687" s="24">
        <v>0.5</v>
      </c>
      <c r="W687" s="41">
        <f t="shared" si="261"/>
        <v>0</v>
      </c>
      <c r="X687" s="24"/>
      <c r="Y687" s="41">
        <f t="shared" si="262"/>
        <v>0</v>
      </c>
      <c r="Z687" s="41">
        <f t="shared" si="263"/>
        <v>0</v>
      </c>
      <c r="AA687" s="24">
        <v>5</v>
      </c>
      <c r="AB687" s="41">
        <v>55800000</v>
      </c>
      <c r="AC687" s="41">
        <f t="shared" si="264"/>
        <v>0</v>
      </c>
      <c r="AD687" s="70" t="s">
        <v>962</v>
      </c>
      <c r="AE687" s="70"/>
      <c r="AF687" s="1">
        <v>55800000</v>
      </c>
      <c r="AG687" s="5">
        <f t="shared" si="245"/>
        <v>0</v>
      </c>
      <c r="AH687" s="5"/>
    </row>
    <row r="688" spans="1:34" s="1" customFormat="1" x14ac:dyDescent="0.25">
      <c r="A688" s="49">
        <v>163</v>
      </c>
      <c r="B688" s="22" t="s">
        <v>1724</v>
      </c>
      <c r="C688" s="22" t="s">
        <v>896</v>
      </c>
      <c r="D688" s="51" t="s">
        <v>977</v>
      </c>
      <c r="E688" s="24" t="s">
        <v>978</v>
      </c>
      <c r="F688" s="24"/>
      <c r="G688" s="24" t="s">
        <v>712</v>
      </c>
      <c r="H688" s="24" t="s">
        <v>62</v>
      </c>
      <c r="I688" s="24">
        <v>2012</v>
      </c>
      <c r="J688" s="24"/>
      <c r="K688" s="24" t="s">
        <v>63</v>
      </c>
      <c r="L688" s="24" t="s">
        <v>64</v>
      </c>
      <c r="M688" s="24">
        <v>2</v>
      </c>
      <c r="N688" s="41">
        <f t="shared" si="259"/>
        <v>2475000</v>
      </c>
      <c r="O688" s="41">
        <v>4950000</v>
      </c>
      <c r="P688" s="24"/>
      <c r="Q688" s="24"/>
      <c r="R688" s="24"/>
      <c r="S688" s="41">
        <f t="shared" si="260"/>
        <v>4950000</v>
      </c>
      <c r="T688" s="24">
        <v>5</v>
      </c>
      <c r="U688" s="41"/>
      <c r="V688" s="24">
        <v>0.5</v>
      </c>
      <c r="W688" s="41">
        <f t="shared" si="261"/>
        <v>0</v>
      </c>
      <c r="X688" s="24"/>
      <c r="Y688" s="41">
        <f t="shared" si="262"/>
        <v>0</v>
      </c>
      <c r="Z688" s="41">
        <f t="shared" si="263"/>
        <v>0</v>
      </c>
      <c r="AA688" s="24">
        <v>5</v>
      </c>
      <c r="AB688" s="41">
        <v>4950000</v>
      </c>
      <c r="AC688" s="41">
        <f t="shared" si="264"/>
        <v>0</v>
      </c>
      <c r="AD688" s="70" t="s">
        <v>348</v>
      </c>
      <c r="AE688" s="70"/>
      <c r="AF688" s="1">
        <v>4950000</v>
      </c>
      <c r="AG688" s="5">
        <f t="shared" si="245"/>
        <v>0</v>
      </c>
      <c r="AH688" s="5"/>
    </row>
    <row r="689" spans="1:34" s="1" customFormat="1" x14ac:dyDescent="0.25">
      <c r="A689" s="49">
        <v>164</v>
      </c>
      <c r="B689" s="22" t="s">
        <v>1724</v>
      </c>
      <c r="C689" s="22" t="s">
        <v>979</v>
      </c>
      <c r="D689" s="51" t="s">
        <v>977</v>
      </c>
      <c r="E689" s="24" t="s">
        <v>978</v>
      </c>
      <c r="F689" s="24"/>
      <c r="G689" s="24" t="s">
        <v>712</v>
      </c>
      <c r="H689" s="24" t="s">
        <v>62</v>
      </c>
      <c r="I689" s="24">
        <v>2012</v>
      </c>
      <c r="J689" s="24"/>
      <c r="K689" s="24" t="s">
        <v>63</v>
      </c>
      <c r="L689" s="24" t="s">
        <v>64</v>
      </c>
      <c r="M689" s="24">
        <v>28</v>
      </c>
      <c r="N689" s="41">
        <f t="shared" si="259"/>
        <v>2475000</v>
      </c>
      <c r="O689" s="41">
        <v>69300000</v>
      </c>
      <c r="P689" s="24"/>
      <c r="Q689" s="24"/>
      <c r="R689" s="24"/>
      <c r="S689" s="41">
        <f t="shared" si="260"/>
        <v>69300000</v>
      </c>
      <c r="T689" s="24">
        <v>5</v>
      </c>
      <c r="U689" s="41"/>
      <c r="V689" s="24">
        <v>0.5</v>
      </c>
      <c r="W689" s="41">
        <f t="shared" si="261"/>
        <v>0</v>
      </c>
      <c r="X689" s="24"/>
      <c r="Y689" s="41">
        <f t="shared" si="262"/>
        <v>0</v>
      </c>
      <c r="Z689" s="41">
        <f t="shared" si="263"/>
        <v>0</v>
      </c>
      <c r="AA689" s="24">
        <v>5</v>
      </c>
      <c r="AB689" s="41">
        <v>69300000</v>
      </c>
      <c r="AC689" s="41">
        <f t="shared" si="264"/>
        <v>0</v>
      </c>
      <c r="AD689" s="70" t="s">
        <v>942</v>
      </c>
      <c r="AE689" s="70"/>
      <c r="AF689" s="1">
        <v>69300000</v>
      </c>
      <c r="AG689" s="5">
        <f t="shared" si="245"/>
        <v>0</v>
      </c>
      <c r="AH689" s="5"/>
    </row>
    <row r="690" spans="1:34" s="1" customFormat="1" x14ac:dyDescent="0.25">
      <c r="A690" s="49">
        <v>165</v>
      </c>
      <c r="B690" s="22" t="s">
        <v>1724</v>
      </c>
      <c r="C690" s="22" t="s">
        <v>980</v>
      </c>
      <c r="D690" s="51" t="s">
        <v>977</v>
      </c>
      <c r="E690" s="24" t="s">
        <v>978</v>
      </c>
      <c r="F690" s="24"/>
      <c r="G690" s="24" t="s">
        <v>712</v>
      </c>
      <c r="H690" s="24" t="s">
        <v>62</v>
      </c>
      <c r="I690" s="24">
        <v>2012</v>
      </c>
      <c r="J690" s="24"/>
      <c r="K690" s="24" t="s">
        <v>63</v>
      </c>
      <c r="L690" s="24" t="s">
        <v>64</v>
      </c>
      <c r="M690" s="24">
        <v>2</v>
      </c>
      <c r="N690" s="41">
        <f t="shared" si="259"/>
        <v>2475000</v>
      </c>
      <c r="O690" s="41">
        <v>4950000</v>
      </c>
      <c r="P690" s="24"/>
      <c r="Q690" s="24"/>
      <c r="R690" s="24"/>
      <c r="S690" s="41">
        <f t="shared" si="260"/>
        <v>4950000</v>
      </c>
      <c r="T690" s="24">
        <v>5</v>
      </c>
      <c r="U690" s="41"/>
      <c r="V690" s="24">
        <v>0.5</v>
      </c>
      <c r="W690" s="41">
        <f t="shared" si="261"/>
        <v>0</v>
      </c>
      <c r="X690" s="24"/>
      <c r="Y690" s="41">
        <f t="shared" si="262"/>
        <v>0</v>
      </c>
      <c r="Z690" s="41">
        <f t="shared" si="263"/>
        <v>0</v>
      </c>
      <c r="AA690" s="24">
        <v>5</v>
      </c>
      <c r="AB690" s="41">
        <v>4950000</v>
      </c>
      <c r="AC690" s="41">
        <f t="shared" si="264"/>
        <v>0</v>
      </c>
      <c r="AD690" s="70" t="s">
        <v>351</v>
      </c>
      <c r="AE690" s="70"/>
      <c r="AF690" s="1">
        <v>4950000</v>
      </c>
      <c r="AG690" s="5">
        <f t="shared" si="245"/>
        <v>0</v>
      </c>
      <c r="AH690" s="5"/>
    </row>
    <row r="691" spans="1:34" s="1" customFormat="1" x14ac:dyDescent="0.25">
      <c r="A691" s="49">
        <v>166</v>
      </c>
      <c r="B691" s="22" t="s">
        <v>1724</v>
      </c>
      <c r="C691" s="22" t="s">
        <v>981</v>
      </c>
      <c r="D691" s="51" t="s">
        <v>977</v>
      </c>
      <c r="E691" s="24" t="s">
        <v>978</v>
      </c>
      <c r="F691" s="24"/>
      <c r="G691" s="24" t="s">
        <v>712</v>
      </c>
      <c r="H691" s="24" t="s">
        <v>62</v>
      </c>
      <c r="I691" s="24">
        <v>2012</v>
      </c>
      <c r="J691" s="24"/>
      <c r="K691" s="24" t="s">
        <v>63</v>
      </c>
      <c r="L691" s="24" t="s">
        <v>64</v>
      </c>
      <c r="M691" s="24">
        <v>36</v>
      </c>
      <c r="N691" s="41">
        <f t="shared" si="259"/>
        <v>2475000</v>
      </c>
      <c r="O691" s="41">
        <v>89100000</v>
      </c>
      <c r="P691" s="24"/>
      <c r="Q691" s="24"/>
      <c r="R691" s="24"/>
      <c r="S691" s="41">
        <f t="shared" si="260"/>
        <v>89100000</v>
      </c>
      <c r="T691" s="24">
        <v>5</v>
      </c>
      <c r="U691" s="41"/>
      <c r="V691" s="24">
        <v>0.5</v>
      </c>
      <c r="W691" s="41">
        <f t="shared" si="261"/>
        <v>0</v>
      </c>
      <c r="X691" s="24"/>
      <c r="Y691" s="41">
        <f t="shared" si="262"/>
        <v>0</v>
      </c>
      <c r="Z691" s="41">
        <f t="shared" si="263"/>
        <v>0</v>
      </c>
      <c r="AA691" s="24">
        <v>5</v>
      </c>
      <c r="AB691" s="41">
        <v>89100000</v>
      </c>
      <c r="AC691" s="41">
        <f t="shared" si="264"/>
        <v>0</v>
      </c>
      <c r="AD691" s="70" t="s">
        <v>354</v>
      </c>
      <c r="AE691" s="70"/>
      <c r="AF691" s="1">
        <v>89100000</v>
      </c>
      <c r="AG691" s="5">
        <f t="shared" si="245"/>
        <v>0</v>
      </c>
      <c r="AH691" s="5"/>
    </row>
    <row r="692" spans="1:34" s="1" customFormat="1" x14ac:dyDescent="0.25">
      <c r="A692" s="49">
        <v>167</v>
      </c>
      <c r="B692" s="22" t="s">
        <v>1725</v>
      </c>
      <c r="C692" s="22" t="s">
        <v>58</v>
      </c>
      <c r="D692" s="51" t="s">
        <v>836</v>
      </c>
      <c r="E692" s="24" t="s">
        <v>166</v>
      </c>
      <c r="F692" s="24"/>
      <c r="G692" s="24" t="s">
        <v>319</v>
      </c>
      <c r="H692" s="24" t="s">
        <v>62</v>
      </c>
      <c r="I692" s="24">
        <v>2012</v>
      </c>
      <c r="J692" s="24"/>
      <c r="K692" s="24" t="s">
        <v>63</v>
      </c>
      <c r="L692" s="24" t="s">
        <v>64</v>
      </c>
      <c r="M692" s="24">
        <v>1</v>
      </c>
      <c r="N692" s="41">
        <f t="shared" si="259"/>
        <v>6010300</v>
      </c>
      <c r="O692" s="41">
        <v>6010300</v>
      </c>
      <c r="P692" s="24"/>
      <c r="Q692" s="24"/>
      <c r="R692" s="24"/>
      <c r="S692" s="41">
        <f t="shared" si="260"/>
        <v>6010300</v>
      </c>
      <c r="T692" s="24">
        <v>5</v>
      </c>
      <c r="U692" s="41"/>
      <c r="V692" s="24">
        <v>0.5</v>
      </c>
      <c r="W692" s="41">
        <f t="shared" si="261"/>
        <v>0</v>
      </c>
      <c r="X692" s="24"/>
      <c r="Y692" s="41">
        <f t="shared" si="262"/>
        <v>0</v>
      </c>
      <c r="Z692" s="41">
        <f t="shared" si="263"/>
        <v>0</v>
      </c>
      <c r="AA692" s="24">
        <v>5</v>
      </c>
      <c r="AB692" s="41">
        <v>6010300</v>
      </c>
      <c r="AC692" s="41">
        <f t="shared" si="264"/>
        <v>0</v>
      </c>
      <c r="AD692" s="70" t="s">
        <v>630</v>
      </c>
      <c r="AE692" s="70"/>
      <c r="AF692" s="1">
        <v>6010300</v>
      </c>
      <c r="AG692" s="5">
        <f t="shared" si="245"/>
        <v>0</v>
      </c>
      <c r="AH692" s="5"/>
    </row>
    <row r="693" spans="1:34" s="1" customFormat="1" x14ac:dyDescent="0.25">
      <c r="A693" s="49">
        <v>168</v>
      </c>
      <c r="B693" s="22" t="s">
        <v>1725</v>
      </c>
      <c r="C693" s="22" t="s">
        <v>837</v>
      </c>
      <c r="D693" s="51" t="s">
        <v>836</v>
      </c>
      <c r="E693" s="24" t="s">
        <v>166</v>
      </c>
      <c r="F693" s="24"/>
      <c r="G693" s="24" t="s">
        <v>319</v>
      </c>
      <c r="H693" s="24" t="s">
        <v>62</v>
      </c>
      <c r="I693" s="24">
        <v>2012</v>
      </c>
      <c r="J693" s="24"/>
      <c r="K693" s="24" t="s">
        <v>63</v>
      </c>
      <c r="L693" s="24" t="s">
        <v>64</v>
      </c>
      <c r="M693" s="24">
        <v>20</v>
      </c>
      <c r="N693" s="41">
        <f t="shared" si="259"/>
        <v>2005975</v>
      </c>
      <c r="O693" s="41">
        <v>40119500</v>
      </c>
      <c r="P693" s="24"/>
      <c r="Q693" s="24"/>
      <c r="R693" s="24"/>
      <c r="S693" s="41">
        <f t="shared" si="260"/>
        <v>40119500</v>
      </c>
      <c r="T693" s="24">
        <v>5</v>
      </c>
      <c r="U693" s="41"/>
      <c r="V693" s="24">
        <v>0.5</v>
      </c>
      <c r="W693" s="41">
        <f t="shared" si="261"/>
        <v>0</v>
      </c>
      <c r="X693" s="24"/>
      <c r="Y693" s="41">
        <f t="shared" si="262"/>
        <v>0</v>
      </c>
      <c r="Z693" s="41">
        <f t="shared" si="263"/>
        <v>0</v>
      </c>
      <c r="AA693" s="24">
        <v>5</v>
      </c>
      <c r="AB693" s="41">
        <v>40119500</v>
      </c>
      <c r="AC693" s="41">
        <f t="shared" si="264"/>
        <v>0</v>
      </c>
      <c r="AD693" s="70" t="s">
        <v>357</v>
      </c>
      <c r="AE693" s="70"/>
      <c r="AF693" s="1">
        <v>40119500</v>
      </c>
      <c r="AG693" s="5">
        <f t="shared" si="245"/>
        <v>0</v>
      </c>
      <c r="AH693" s="5"/>
    </row>
    <row r="694" spans="1:34" s="1" customFormat="1" x14ac:dyDescent="0.25">
      <c r="A694" s="49">
        <v>169</v>
      </c>
      <c r="B694" s="22" t="s">
        <v>1726</v>
      </c>
      <c r="C694" s="22" t="s">
        <v>58</v>
      </c>
      <c r="D694" s="51" t="s">
        <v>587</v>
      </c>
      <c r="E694" s="24" t="s">
        <v>471</v>
      </c>
      <c r="F694" s="24"/>
      <c r="G694" s="24" t="s">
        <v>194</v>
      </c>
      <c r="H694" s="24" t="s">
        <v>62</v>
      </c>
      <c r="I694" s="24">
        <v>2015</v>
      </c>
      <c r="J694" s="24"/>
      <c r="K694" s="24" t="s">
        <v>63</v>
      </c>
      <c r="L694" s="24" t="s">
        <v>64</v>
      </c>
      <c r="M694" s="24">
        <v>1</v>
      </c>
      <c r="N694" s="41">
        <f t="shared" si="259"/>
        <v>3000000</v>
      </c>
      <c r="O694" s="41">
        <v>3000000</v>
      </c>
      <c r="P694" s="24"/>
      <c r="Q694" s="24"/>
      <c r="R694" s="24"/>
      <c r="S694" s="41">
        <f t="shared" si="260"/>
        <v>3000000</v>
      </c>
      <c r="T694" s="24">
        <v>5</v>
      </c>
      <c r="U694" s="41">
        <f t="shared" ref="U694:U696" si="265">SUM(S694/T694)</f>
        <v>600000</v>
      </c>
      <c r="V694" s="24">
        <v>0.5</v>
      </c>
      <c r="W694" s="41"/>
      <c r="X694" s="24"/>
      <c r="Y694" s="41">
        <f t="shared" si="262"/>
        <v>0</v>
      </c>
      <c r="Z694" s="41"/>
      <c r="AA694" s="72">
        <v>5</v>
      </c>
      <c r="AB694" s="41">
        <f t="shared" ref="AB694:AB696" si="266">SUM(U694*AA694)</f>
        <v>3000000</v>
      </c>
      <c r="AC694" s="41">
        <f t="shared" si="264"/>
        <v>0</v>
      </c>
      <c r="AD694" s="70" t="s">
        <v>588</v>
      </c>
      <c r="AE694" s="70"/>
      <c r="AF694" s="1">
        <v>3000000</v>
      </c>
      <c r="AG694" s="5">
        <f t="shared" si="245"/>
        <v>0</v>
      </c>
      <c r="AH694" s="5"/>
    </row>
    <row r="695" spans="1:34" s="1" customFormat="1" x14ac:dyDescent="0.25">
      <c r="A695" s="49">
        <v>170</v>
      </c>
      <c r="B695" s="22" t="s">
        <v>1726</v>
      </c>
      <c r="C695" s="22" t="s">
        <v>75</v>
      </c>
      <c r="D695" s="51" t="s">
        <v>587</v>
      </c>
      <c r="E695" s="24" t="s">
        <v>471</v>
      </c>
      <c r="F695" s="24"/>
      <c r="G695" s="24" t="s">
        <v>194</v>
      </c>
      <c r="H695" s="24" t="s">
        <v>62</v>
      </c>
      <c r="I695" s="24">
        <v>2015</v>
      </c>
      <c r="J695" s="24"/>
      <c r="K695" s="24" t="s">
        <v>63</v>
      </c>
      <c r="L695" s="24" t="s">
        <v>64</v>
      </c>
      <c r="M695" s="24">
        <v>1</v>
      </c>
      <c r="N695" s="41">
        <f t="shared" si="259"/>
        <v>3000000</v>
      </c>
      <c r="O695" s="41">
        <v>3000000</v>
      </c>
      <c r="P695" s="24"/>
      <c r="Q695" s="24"/>
      <c r="R695" s="24"/>
      <c r="S695" s="41">
        <f t="shared" si="260"/>
        <v>3000000</v>
      </c>
      <c r="T695" s="24">
        <v>5</v>
      </c>
      <c r="U695" s="41">
        <f t="shared" si="265"/>
        <v>600000</v>
      </c>
      <c r="V695" s="24">
        <v>0.5</v>
      </c>
      <c r="W695" s="41"/>
      <c r="X695" s="24"/>
      <c r="Y695" s="41">
        <f t="shared" si="262"/>
        <v>0</v>
      </c>
      <c r="Z695" s="41"/>
      <c r="AA695" s="72">
        <v>5</v>
      </c>
      <c r="AB695" s="41">
        <f t="shared" si="266"/>
        <v>3000000</v>
      </c>
      <c r="AC695" s="41">
        <f t="shared" si="264"/>
        <v>0</v>
      </c>
      <c r="AD695" s="70" t="s">
        <v>237</v>
      </c>
      <c r="AE695" s="70"/>
      <c r="AF695" s="1">
        <v>3000000</v>
      </c>
      <c r="AG695" s="5">
        <f t="shared" si="245"/>
        <v>0</v>
      </c>
      <c r="AH695" s="5"/>
    </row>
    <row r="696" spans="1:34" s="1" customFormat="1" x14ac:dyDescent="0.25">
      <c r="A696" s="49">
        <v>171</v>
      </c>
      <c r="B696" s="22" t="s">
        <v>1726</v>
      </c>
      <c r="C696" s="22" t="s">
        <v>79</v>
      </c>
      <c r="D696" s="51" t="s">
        <v>587</v>
      </c>
      <c r="E696" s="24" t="s">
        <v>471</v>
      </c>
      <c r="F696" s="24"/>
      <c r="G696" s="24" t="s">
        <v>194</v>
      </c>
      <c r="H696" s="24" t="s">
        <v>62</v>
      </c>
      <c r="I696" s="24">
        <v>2015</v>
      </c>
      <c r="J696" s="24"/>
      <c r="K696" s="24" t="s">
        <v>63</v>
      </c>
      <c r="L696" s="24" t="s">
        <v>64</v>
      </c>
      <c r="M696" s="24">
        <v>1</v>
      </c>
      <c r="N696" s="41">
        <f t="shared" si="259"/>
        <v>3000000</v>
      </c>
      <c r="O696" s="41">
        <v>3000000</v>
      </c>
      <c r="P696" s="24"/>
      <c r="Q696" s="24"/>
      <c r="R696" s="24"/>
      <c r="S696" s="41">
        <f t="shared" si="260"/>
        <v>3000000</v>
      </c>
      <c r="T696" s="24">
        <v>5</v>
      </c>
      <c r="U696" s="41">
        <f t="shared" si="265"/>
        <v>600000</v>
      </c>
      <c r="V696" s="24">
        <v>0.5</v>
      </c>
      <c r="W696" s="41"/>
      <c r="X696" s="24"/>
      <c r="Y696" s="41">
        <f t="shared" si="262"/>
        <v>0</v>
      </c>
      <c r="Z696" s="41"/>
      <c r="AA696" s="72">
        <v>5</v>
      </c>
      <c r="AB696" s="41">
        <f t="shared" si="266"/>
        <v>3000000</v>
      </c>
      <c r="AC696" s="41">
        <f t="shared" si="264"/>
        <v>0</v>
      </c>
      <c r="AD696" s="70" t="s">
        <v>239</v>
      </c>
      <c r="AE696" s="70"/>
      <c r="AF696" s="1">
        <v>3000000</v>
      </c>
      <c r="AG696" s="5">
        <f t="shared" si="245"/>
        <v>0</v>
      </c>
      <c r="AH696" s="5"/>
    </row>
    <row r="697" spans="1:34" s="1" customFormat="1" x14ac:dyDescent="0.25">
      <c r="A697" s="49">
        <v>172</v>
      </c>
      <c r="B697" s="22" t="s">
        <v>1727</v>
      </c>
      <c r="C697" s="22" t="s">
        <v>619</v>
      </c>
      <c r="D697" s="51" t="s">
        <v>620</v>
      </c>
      <c r="E697" s="24" t="s">
        <v>166</v>
      </c>
      <c r="F697" s="24"/>
      <c r="G697" s="24" t="s">
        <v>201</v>
      </c>
      <c r="H697" s="24" t="s">
        <v>62</v>
      </c>
      <c r="I697" s="24">
        <v>2012</v>
      </c>
      <c r="J697" s="24"/>
      <c r="K697" s="24" t="s">
        <v>63</v>
      </c>
      <c r="L697" s="24" t="s">
        <v>64</v>
      </c>
      <c r="M697" s="24">
        <v>64</v>
      </c>
      <c r="N697" s="41">
        <f t="shared" si="259"/>
        <v>247500</v>
      </c>
      <c r="O697" s="41">
        <v>15840000</v>
      </c>
      <c r="P697" s="24"/>
      <c r="Q697" s="24"/>
      <c r="R697" s="24"/>
      <c r="S697" s="41">
        <f t="shared" si="260"/>
        <v>15840000</v>
      </c>
      <c r="T697" s="24">
        <v>5</v>
      </c>
      <c r="U697" s="41"/>
      <c r="V697" s="24">
        <v>0.5</v>
      </c>
      <c r="W697" s="41">
        <f t="shared" ref="W697:W699" si="267">SUM(U697*V697)</f>
        <v>0</v>
      </c>
      <c r="X697" s="24"/>
      <c r="Y697" s="41">
        <f t="shared" si="262"/>
        <v>0</v>
      </c>
      <c r="Z697" s="41">
        <f t="shared" ref="Z697:Z699" si="268">SUM(W697+Y697)</f>
        <v>0</v>
      </c>
      <c r="AA697" s="24">
        <v>5</v>
      </c>
      <c r="AB697" s="41">
        <v>15840000</v>
      </c>
      <c r="AC697" s="41">
        <f t="shared" si="264"/>
        <v>0</v>
      </c>
      <c r="AD697" s="70" t="s">
        <v>350</v>
      </c>
      <c r="AE697" s="70"/>
      <c r="AF697" s="1">
        <v>15840000</v>
      </c>
      <c r="AG697" s="5">
        <f t="shared" si="245"/>
        <v>0</v>
      </c>
      <c r="AH697" s="5"/>
    </row>
    <row r="698" spans="1:34" s="1" customFormat="1" x14ac:dyDescent="0.25">
      <c r="A698" s="49">
        <v>173</v>
      </c>
      <c r="B698" s="22" t="s">
        <v>1727</v>
      </c>
      <c r="C698" s="22" t="s">
        <v>621</v>
      </c>
      <c r="D698" s="51" t="s">
        <v>620</v>
      </c>
      <c r="E698" s="24" t="s">
        <v>166</v>
      </c>
      <c r="F698" s="24"/>
      <c r="G698" s="24" t="s">
        <v>201</v>
      </c>
      <c r="H698" s="24" t="s">
        <v>62</v>
      </c>
      <c r="I698" s="24">
        <v>2012</v>
      </c>
      <c r="J698" s="24"/>
      <c r="K698" s="24" t="s">
        <v>63</v>
      </c>
      <c r="L698" s="24" t="s">
        <v>64</v>
      </c>
      <c r="M698" s="24">
        <v>80</v>
      </c>
      <c r="N698" s="41">
        <f t="shared" si="259"/>
        <v>247500</v>
      </c>
      <c r="O698" s="41">
        <v>19800000</v>
      </c>
      <c r="P698" s="24"/>
      <c r="Q698" s="24"/>
      <c r="R698" s="24"/>
      <c r="S698" s="41">
        <f t="shared" si="260"/>
        <v>19800000</v>
      </c>
      <c r="T698" s="24">
        <v>5</v>
      </c>
      <c r="U698" s="41"/>
      <c r="V698" s="24">
        <v>0.5</v>
      </c>
      <c r="W698" s="41">
        <f t="shared" si="267"/>
        <v>0</v>
      </c>
      <c r="X698" s="24"/>
      <c r="Y698" s="41">
        <f t="shared" si="262"/>
        <v>0</v>
      </c>
      <c r="Z698" s="41">
        <f t="shared" si="268"/>
        <v>0</v>
      </c>
      <c r="AA698" s="72">
        <v>5</v>
      </c>
      <c r="AB698" s="41">
        <v>19800000</v>
      </c>
      <c r="AC698" s="41">
        <f t="shared" si="264"/>
        <v>0</v>
      </c>
      <c r="AD698" s="70" t="s">
        <v>618</v>
      </c>
      <c r="AE698" s="70"/>
      <c r="AF698" s="1">
        <v>19800000</v>
      </c>
      <c r="AG698" s="5">
        <f t="shared" si="245"/>
        <v>0</v>
      </c>
      <c r="AH698" s="5"/>
    </row>
    <row r="699" spans="1:34" s="1" customFormat="1" x14ac:dyDescent="0.25">
      <c r="A699" s="49">
        <v>174</v>
      </c>
      <c r="B699" s="22" t="s">
        <v>1727</v>
      </c>
      <c r="C699" s="22" t="s">
        <v>622</v>
      </c>
      <c r="D699" s="51" t="s">
        <v>620</v>
      </c>
      <c r="E699" s="24" t="s">
        <v>166</v>
      </c>
      <c r="F699" s="24"/>
      <c r="G699" s="24" t="s">
        <v>201</v>
      </c>
      <c r="H699" s="24" t="s">
        <v>62</v>
      </c>
      <c r="I699" s="24">
        <v>2012</v>
      </c>
      <c r="J699" s="24"/>
      <c r="K699" s="24" t="s">
        <v>63</v>
      </c>
      <c r="L699" s="24" t="s">
        <v>64</v>
      </c>
      <c r="M699" s="24">
        <v>72</v>
      </c>
      <c r="N699" s="41">
        <f t="shared" si="259"/>
        <v>247500</v>
      </c>
      <c r="O699" s="41">
        <v>17820000</v>
      </c>
      <c r="P699" s="24"/>
      <c r="Q699" s="24"/>
      <c r="R699" s="24"/>
      <c r="S699" s="41">
        <f t="shared" si="260"/>
        <v>17820000</v>
      </c>
      <c r="T699" s="24">
        <v>5</v>
      </c>
      <c r="U699" s="41"/>
      <c r="V699" s="24">
        <v>0.5</v>
      </c>
      <c r="W699" s="41">
        <f t="shared" si="267"/>
        <v>0</v>
      </c>
      <c r="X699" s="24"/>
      <c r="Y699" s="53">
        <f t="shared" si="262"/>
        <v>0</v>
      </c>
      <c r="Z699" s="53">
        <f t="shared" si="268"/>
        <v>0</v>
      </c>
      <c r="AA699" s="57">
        <v>5</v>
      </c>
      <c r="AB699" s="53">
        <v>17820000</v>
      </c>
      <c r="AC699" s="53">
        <f t="shared" si="264"/>
        <v>0</v>
      </c>
      <c r="AD699" s="56" t="s">
        <v>354</v>
      </c>
      <c r="AE699" s="70"/>
      <c r="AF699" s="1">
        <v>17820000</v>
      </c>
      <c r="AG699" s="5">
        <f t="shared" si="245"/>
        <v>0</v>
      </c>
      <c r="AH699" s="5"/>
    </row>
    <row r="700" spans="1:34" s="1" customFormat="1" x14ac:dyDescent="0.25">
      <c r="A700" s="49">
        <v>175</v>
      </c>
      <c r="B700" s="50" t="s">
        <v>1728</v>
      </c>
      <c r="C700" s="22" t="s">
        <v>58</v>
      </c>
      <c r="D700" s="51" t="s">
        <v>193</v>
      </c>
      <c r="E700" s="24" t="s">
        <v>166</v>
      </c>
      <c r="F700" s="24"/>
      <c r="G700" s="24" t="s">
        <v>194</v>
      </c>
      <c r="H700" s="24" t="s">
        <v>62</v>
      </c>
      <c r="I700" s="24">
        <v>2014</v>
      </c>
      <c r="J700" s="24"/>
      <c r="K700" s="24" t="s">
        <v>63</v>
      </c>
      <c r="L700" s="24" t="s">
        <v>64</v>
      </c>
      <c r="M700" s="24">
        <v>1</v>
      </c>
      <c r="N700" s="41">
        <f>SUM(O700/M700)</f>
        <v>193600000</v>
      </c>
      <c r="O700" s="41">
        <v>193600000</v>
      </c>
      <c r="P700" s="24"/>
      <c r="Q700" s="24"/>
      <c r="R700" s="24"/>
      <c r="S700" s="41">
        <f t="shared" si="260"/>
        <v>193600000</v>
      </c>
      <c r="T700" s="24">
        <v>5</v>
      </c>
      <c r="U700" s="41"/>
      <c r="V700" s="24">
        <v>0.5</v>
      </c>
      <c r="W700" s="41">
        <f>SUM(U700*V700)</f>
        <v>0</v>
      </c>
      <c r="X700" s="52"/>
      <c r="Y700" s="53">
        <f>SUM(U700*X700)</f>
        <v>0</v>
      </c>
      <c r="Z700" s="53">
        <f>SUM(W700+Y700)</f>
        <v>0</v>
      </c>
      <c r="AA700" s="57">
        <v>5</v>
      </c>
      <c r="AB700" s="53">
        <v>193600000</v>
      </c>
      <c r="AC700" s="53">
        <f t="shared" si="264"/>
        <v>0</v>
      </c>
      <c r="AD700" s="56" t="s">
        <v>195</v>
      </c>
      <c r="AE700" s="70"/>
      <c r="AF700" s="1">
        <v>193600000</v>
      </c>
      <c r="AG700" s="5">
        <f t="shared" si="245"/>
        <v>0</v>
      </c>
      <c r="AH700" s="5"/>
    </row>
    <row r="701" spans="1:34" s="1" customFormat="1" x14ac:dyDescent="0.25">
      <c r="A701" s="49">
        <v>176</v>
      </c>
      <c r="B701" s="22" t="s">
        <v>1729</v>
      </c>
      <c r="C701" s="22" t="s">
        <v>209</v>
      </c>
      <c r="D701" s="51" t="s">
        <v>927</v>
      </c>
      <c r="E701" s="24" t="s">
        <v>928</v>
      </c>
      <c r="F701" s="24"/>
      <c r="G701" s="24" t="s">
        <v>61</v>
      </c>
      <c r="H701" s="24" t="s">
        <v>62</v>
      </c>
      <c r="I701" s="24">
        <v>2011</v>
      </c>
      <c r="J701" s="24"/>
      <c r="K701" s="24" t="s">
        <v>63</v>
      </c>
      <c r="L701" s="24" t="s">
        <v>64</v>
      </c>
      <c r="M701" s="24">
        <v>2</v>
      </c>
      <c r="N701" s="41">
        <f t="shared" ref="N701:N702" si="269">SUM(O701/M701)</f>
        <v>2500000</v>
      </c>
      <c r="O701" s="41">
        <v>5000000</v>
      </c>
      <c r="P701" s="24"/>
      <c r="Q701" s="24"/>
      <c r="R701" s="24"/>
      <c r="S701" s="41">
        <f t="shared" si="260"/>
        <v>5000000</v>
      </c>
      <c r="T701" s="24">
        <v>5</v>
      </c>
      <c r="U701" s="41"/>
      <c r="V701" s="24">
        <v>0.5</v>
      </c>
      <c r="W701" s="41">
        <f t="shared" ref="W701:W702" si="270">SUM(U701*V701)</f>
        <v>0</v>
      </c>
      <c r="X701" s="24"/>
      <c r="Y701" s="41">
        <f t="shared" ref="Y701:Y702" si="271">SUM(U701*X701)</f>
        <v>0</v>
      </c>
      <c r="Z701" s="41">
        <f t="shared" ref="Z701:Z702" si="272">SUM(W701+Y701)</f>
        <v>0</v>
      </c>
      <c r="AA701" s="72">
        <v>5</v>
      </c>
      <c r="AB701" s="41">
        <v>5000000</v>
      </c>
      <c r="AC701" s="41">
        <f t="shared" si="264"/>
        <v>0</v>
      </c>
      <c r="AD701" s="70" t="s">
        <v>295</v>
      </c>
      <c r="AE701" s="70"/>
      <c r="AF701" s="1">
        <v>5000000</v>
      </c>
      <c r="AG701" s="5">
        <f t="shared" ref="AG701:AG713" si="273">AF701+Z701-AB701</f>
        <v>0</v>
      </c>
      <c r="AH701" s="5"/>
    </row>
    <row r="702" spans="1:34" s="1" customFormat="1" x14ac:dyDescent="0.25">
      <c r="A702" s="49">
        <v>177</v>
      </c>
      <c r="B702" s="22" t="s">
        <v>1729</v>
      </c>
      <c r="C702" s="22" t="s">
        <v>84</v>
      </c>
      <c r="D702" s="51" t="s">
        <v>927</v>
      </c>
      <c r="E702" s="24" t="s">
        <v>928</v>
      </c>
      <c r="F702" s="24"/>
      <c r="G702" s="24" t="s">
        <v>61</v>
      </c>
      <c r="H702" s="24" t="s">
        <v>62</v>
      </c>
      <c r="I702" s="24">
        <v>2011</v>
      </c>
      <c r="J702" s="24"/>
      <c r="K702" s="24" t="s">
        <v>63</v>
      </c>
      <c r="L702" s="24" t="s">
        <v>64</v>
      </c>
      <c r="M702" s="24">
        <v>1</v>
      </c>
      <c r="N702" s="41">
        <f t="shared" si="269"/>
        <v>2500000</v>
      </c>
      <c r="O702" s="41">
        <v>2500000</v>
      </c>
      <c r="P702" s="24"/>
      <c r="Q702" s="24"/>
      <c r="R702" s="24"/>
      <c r="S702" s="41">
        <f t="shared" si="260"/>
        <v>2500000</v>
      </c>
      <c r="T702" s="24">
        <v>5</v>
      </c>
      <c r="U702" s="41"/>
      <c r="V702" s="24">
        <v>0.5</v>
      </c>
      <c r="W702" s="41">
        <f t="shared" si="270"/>
        <v>0</v>
      </c>
      <c r="X702" s="24"/>
      <c r="Y702" s="41">
        <f t="shared" si="271"/>
        <v>0</v>
      </c>
      <c r="Z702" s="41">
        <f t="shared" si="272"/>
        <v>0</v>
      </c>
      <c r="AA702" s="72">
        <v>5</v>
      </c>
      <c r="AB702" s="41">
        <v>2500000</v>
      </c>
      <c r="AC702" s="41">
        <f t="shared" si="264"/>
        <v>0</v>
      </c>
      <c r="AD702" s="70" t="s">
        <v>297</v>
      </c>
      <c r="AE702" s="70"/>
      <c r="AF702" s="1">
        <v>2500000</v>
      </c>
      <c r="AG702" s="5">
        <f t="shared" si="273"/>
        <v>0</v>
      </c>
      <c r="AH702" s="5"/>
    </row>
    <row r="703" spans="1:34" s="1" customFormat="1" x14ac:dyDescent="0.25">
      <c r="A703" s="21"/>
      <c r="B703" s="22"/>
      <c r="C703" s="22"/>
      <c r="D703" s="51"/>
      <c r="E703" s="24"/>
      <c r="F703" s="24"/>
      <c r="G703" s="24"/>
      <c r="H703" s="24"/>
      <c r="I703" s="24"/>
      <c r="J703" s="24"/>
      <c r="K703" s="24"/>
      <c r="L703" s="24"/>
      <c r="M703" s="24"/>
      <c r="N703" s="41"/>
      <c r="O703" s="41"/>
      <c r="P703" s="24"/>
      <c r="Q703" s="24"/>
      <c r="R703" s="24"/>
      <c r="S703" s="41"/>
      <c r="T703" s="24"/>
      <c r="U703" s="41"/>
      <c r="V703" s="24"/>
      <c r="W703" s="41"/>
      <c r="X703" s="24"/>
      <c r="Y703" s="41"/>
      <c r="Z703" s="41"/>
      <c r="AA703" s="72"/>
      <c r="AB703" s="41"/>
      <c r="AC703" s="41"/>
      <c r="AD703" s="70"/>
      <c r="AE703" s="70"/>
      <c r="AG703" s="5">
        <f t="shared" si="273"/>
        <v>0</v>
      </c>
      <c r="AH703" s="5"/>
    </row>
    <row r="704" spans="1:34" s="1" customFormat="1" x14ac:dyDescent="0.25">
      <c r="A704" s="25"/>
      <c r="B704" s="26" t="s">
        <v>1730</v>
      </c>
      <c r="C704" s="26"/>
      <c r="D704" s="27" t="s">
        <v>1731</v>
      </c>
      <c r="E704" s="28"/>
      <c r="F704" s="28"/>
      <c r="G704" s="28"/>
      <c r="H704" s="28"/>
      <c r="I704" s="28"/>
      <c r="J704" s="28"/>
      <c r="K704" s="28"/>
      <c r="L704" s="28"/>
      <c r="M704" s="28">
        <f>SUM(M705:M711)</f>
        <v>10</v>
      </c>
      <c r="N704" s="40"/>
      <c r="O704" s="40">
        <f>SUM(O705:O711)</f>
        <v>15066000</v>
      </c>
      <c r="P704" s="28"/>
      <c r="Q704" s="28"/>
      <c r="R704" s="28"/>
      <c r="S704" s="40">
        <f>SUM(S705:S711)</f>
        <v>15066000</v>
      </c>
      <c r="T704" s="28"/>
      <c r="U704" s="40">
        <f>SUM(U705:U711)</f>
        <v>3013200</v>
      </c>
      <c r="V704" s="28"/>
      <c r="W704" s="40">
        <f>SUM(W705)</f>
        <v>0</v>
      </c>
      <c r="X704" s="28"/>
      <c r="Y704" s="40"/>
      <c r="Z704" s="40">
        <f>SUM(Z705:Z711)</f>
        <v>0</v>
      </c>
      <c r="AA704" s="153"/>
      <c r="AB704" s="40">
        <f>SUM(AB705:AB711)</f>
        <v>15066000</v>
      </c>
      <c r="AC704" s="40">
        <f>SUM(AC705:AC711)</f>
        <v>0</v>
      </c>
      <c r="AD704" s="167"/>
      <c r="AE704" s="167"/>
      <c r="AG704" s="5">
        <f t="shared" si="273"/>
        <v>-15066000</v>
      </c>
      <c r="AH704" s="5"/>
    </row>
    <row r="705" spans="1:34" s="1" customFormat="1" x14ac:dyDescent="0.25">
      <c r="A705" s="49">
        <v>1</v>
      </c>
      <c r="B705" s="22" t="s">
        <v>1732</v>
      </c>
      <c r="C705" s="22" t="s">
        <v>75</v>
      </c>
      <c r="D705" s="51" t="s">
        <v>929</v>
      </c>
      <c r="E705" s="24" t="s">
        <v>930</v>
      </c>
      <c r="F705" s="24"/>
      <c r="G705" s="24" t="s">
        <v>61</v>
      </c>
      <c r="H705" s="24" t="s">
        <v>62</v>
      </c>
      <c r="I705" s="24">
        <v>2015</v>
      </c>
      <c r="J705" s="24"/>
      <c r="K705" s="24" t="s">
        <v>63</v>
      </c>
      <c r="L705" s="24" t="s">
        <v>64</v>
      </c>
      <c r="M705" s="24">
        <v>1</v>
      </c>
      <c r="N705" s="41">
        <f t="shared" ref="N705:N711" si="274">SUM(O705/M705)</f>
        <v>1506600</v>
      </c>
      <c r="O705" s="41">
        <v>1506600</v>
      </c>
      <c r="P705" s="24"/>
      <c r="Q705" s="24"/>
      <c r="R705" s="24"/>
      <c r="S705" s="41">
        <f t="shared" ref="S705:S711" si="275">SUM(O705-R705)</f>
        <v>1506600</v>
      </c>
      <c r="T705" s="24">
        <v>5</v>
      </c>
      <c r="U705" s="41">
        <f t="shared" ref="U705:U711" si="276">SUM(S705/T705)</f>
        <v>301320</v>
      </c>
      <c r="V705" s="24">
        <v>0.5</v>
      </c>
      <c r="W705" s="41"/>
      <c r="X705" s="24"/>
      <c r="Y705" s="41">
        <f t="shared" ref="Y705:Y711" si="277">SUM(U705*X705)</f>
        <v>0</v>
      </c>
      <c r="Z705" s="41"/>
      <c r="AA705" s="72">
        <v>5</v>
      </c>
      <c r="AB705" s="41">
        <f t="shared" ref="AB705:AB711" si="278">SUM(U705*AA705)</f>
        <v>1506600</v>
      </c>
      <c r="AC705" s="41">
        <f t="shared" ref="AC705:AC711" si="279">SUM(O705-AB705)</f>
        <v>0</v>
      </c>
      <c r="AD705" s="70" t="s">
        <v>195</v>
      </c>
      <c r="AE705" s="70"/>
      <c r="AF705" s="1">
        <v>1506600</v>
      </c>
      <c r="AG705" s="5">
        <f t="shared" si="273"/>
        <v>0</v>
      </c>
      <c r="AH705" s="5"/>
    </row>
    <row r="706" spans="1:34" s="1" customFormat="1" x14ac:dyDescent="0.25">
      <c r="A706" s="49">
        <v>2</v>
      </c>
      <c r="B706" s="22" t="s">
        <v>1732</v>
      </c>
      <c r="C706" s="22" t="s">
        <v>79</v>
      </c>
      <c r="D706" s="51" t="s">
        <v>929</v>
      </c>
      <c r="E706" s="24" t="s">
        <v>930</v>
      </c>
      <c r="F706" s="24"/>
      <c r="G706" s="24" t="s">
        <v>61</v>
      </c>
      <c r="H706" s="24" t="s">
        <v>62</v>
      </c>
      <c r="I706" s="24">
        <v>2015</v>
      </c>
      <c r="J706" s="24"/>
      <c r="K706" s="24" t="s">
        <v>63</v>
      </c>
      <c r="L706" s="24" t="s">
        <v>64</v>
      </c>
      <c r="M706" s="24">
        <v>1</v>
      </c>
      <c r="N706" s="41">
        <f t="shared" si="274"/>
        <v>1506600</v>
      </c>
      <c r="O706" s="41">
        <v>1506600</v>
      </c>
      <c r="P706" s="24"/>
      <c r="Q706" s="24"/>
      <c r="R706" s="24"/>
      <c r="S706" s="41">
        <f t="shared" si="275"/>
        <v>1506600</v>
      </c>
      <c r="T706" s="24">
        <v>5</v>
      </c>
      <c r="U706" s="41">
        <f t="shared" si="276"/>
        <v>301320</v>
      </c>
      <c r="V706" s="24">
        <v>0.5</v>
      </c>
      <c r="W706" s="41"/>
      <c r="X706" s="24"/>
      <c r="Y706" s="41">
        <f t="shared" si="277"/>
        <v>0</v>
      </c>
      <c r="Z706" s="41"/>
      <c r="AA706" s="72">
        <v>5</v>
      </c>
      <c r="AB706" s="41">
        <f t="shared" si="278"/>
        <v>1506600</v>
      </c>
      <c r="AC706" s="41">
        <f t="shared" si="279"/>
        <v>0</v>
      </c>
      <c r="AD706" s="70" t="s">
        <v>295</v>
      </c>
      <c r="AE706" s="70"/>
      <c r="AF706" s="1">
        <v>1506600</v>
      </c>
      <c r="AG706" s="5">
        <f t="shared" si="273"/>
        <v>0</v>
      </c>
      <c r="AH706" s="5"/>
    </row>
    <row r="707" spans="1:34" s="1" customFormat="1" x14ac:dyDescent="0.25">
      <c r="A707" s="49">
        <v>3</v>
      </c>
      <c r="B707" s="22" t="s">
        <v>1732</v>
      </c>
      <c r="C707" s="22" t="s">
        <v>84</v>
      </c>
      <c r="D707" s="51" t="s">
        <v>929</v>
      </c>
      <c r="E707" s="24" t="s">
        <v>930</v>
      </c>
      <c r="F707" s="24"/>
      <c r="G707" s="24" t="s">
        <v>61</v>
      </c>
      <c r="H707" s="24" t="s">
        <v>62</v>
      </c>
      <c r="I707" s="24">
        <v>2015</v>
      </c>
      <c r="J707" s="24"/>
      <c r="K707" s="24" t="s">
        <v>63</v>
      </c>
      <c r="L707" s="24" t="s">
        <v>64</v>
      </c>
      <c r="M707" s="24">
        <v>1</v>
      </c>
      <c r="N707" s="41">
        <f t="shared" si="274"/>
        <v>1506600</v>
      </c>
      <c r="O707" s="41">
        <v>1506600</v>
      </c>
      <c r="P707" s="24"/>
      <c r="Q707" s="24"/>
      <c r="R707" s="24"/>
      <c r="S707" s="41">
        <f t="shared" si="275"/>
        <v>1506600</v>
      </c>
      <c r="T707" s="24">
        <v>5</v>
      </c>
      <c r="U707" s="41">
        <f t="shared" si="276"/>
        <v>301320</v>
      </c>
      <c r="V707" s="24">
        <v>0.5</v>
      </c>
      <c r="W707" s="41"/>
      <c r="X707" s="24"/>
      <c r="Y707" s="41">
        <f t="shared" si="277"/>
        <v>0</v>
      </c>
      <c r="Z707" s="41"/>
      <c r="AA707" s="72">
        <v>5</v>
      </c>
      <c r="AB707" s="41">
        <f t="shared" si="278"/>
        <v>1506600</v>
      </c>
      <c r="AC707" s="41">
        <f t="shared" si="279"/>
        <v>0</v>
      </c>
      <c r="AD707" s="70" t="s">
        <v>245</v>
      </c>
      <c r="AE707" s="70"/>
      <c r="AF707" s="1">
        <v>1506600</v>
      </c>
      <c r="AG707" s="5">
        <f t="shared" si="273"/>
        <v>0</v>
      </c>
      <c r="AH707" s="5"/>
    </row>
    <row r="708" spans="1:34" s="1" customFormat="1" x14ac:dyDescent="0.25">
      <c r="A708" s="49">
        <v>4</v>
      </c>
      <c r="B708" s="22" t="s">
        <v>1732</v>
      </c>
      <c r="C708" s="22" t="s">
        <v>88</v>
      </c>
      <c r="D708" s="51" t="s">
        <v>929</v>
      </c>
      <c r="E708" s="24" t="s">
        <v>930</v>
      </c>
      <c r="F708" s="24"/>
      <c r="G708" s="24" t="s">
        <v>61</v>
      </c>
      <c r="H708" s="24" t="s">
        <v>62</v>
      </c>
      <c r="I708" s="24">
        <v>2015</v>
      </c>
      <c r="J708" s="24"/>
      <c r="K708" s="24" t="s">
        <v>63</v>
      </c>
      <c r="L708" s="24" t="s">
        <v>64</v>
      </c>
      <c r="M708" s="24">
        <v>1</v>
      </c>
      <c r="N708" s="41">
        <f t="shared" si="274"/>
        <v>1506600</v>
      </c>
      <c r="O708" s="41">
        <v>1506600</v>
      </c>
      <c r="P708" s="24"/>
      <c r="Q708" s="24"/>
      <c r="R708" s="24"/>
      <c r="S708" s="41">
        <f t="shared" si="275"/>
        <v>1506600</v>
      </c>
      <c r="T708" s="24">
        <v>5</v>
      </c>
      <c r="U708" s="41">
        <f t="shared" si="276"/>
        <v>301320</v>
      </c>
      <c r="V708" s="24">
        <v>0.5</v>
      </c>
      <c r="W708" s="41"/>
      <c r="X708" s="24"/>
      <c r="Y708" s="41">
        <f t="shared" si="277"/>
        <v>0</v>
      </c>
      <c r="Z708" s="41"/>
      <c r="AA708" s="72">
        <v>5</v>
      </c>
      <c r="AB708" s="41">
        <f t="shared" si="278"/>
        <v>1506600</v>
      </c>
      <c r="AC708" s="41">
        <f t="shared" si="279"/>
        <v>0</v>
      </c>
      <c r="AD708" s="70" t="s">
        <v>931</v>
      </c>
      <c r="AE708" s="70"/>
      <c r="AF708" s="1">
        <v>1506600</v>
      </c>
      <c r="AG708" s="5">
        <f t="shared" si="273"/>
        <v>0</v>
      </c>
      <c r="AH708" s="5"/>
    </row>
    <row r="709" spans="1:34" s="1" customFormat="1" x14ac:dyDescent="0.25">
      <c r="A709" s="49">
        <v>5</v>
      </c>
      <c r="B709" s="22" t="s">
        <v>1732</v>
      </c>
      <c r="C709" s="22" t="s">
        <v>337</v>
      </c>
      <c r="D709" s="51" t="s">
        <v>929</v>
      </c>
      <c r="E709" s="24" t="s">
        <v>930</v>
      </c>
      <c r="F709" s="24"/>
      <c r="G709" s="24" t="s">
        <v>61</v>
      </c>
      <c r="H709" s="24" t="s">
        <v>62</v>
      </c>
      <c r="I709" s="24">
        <v>2015</v>
      </c>
      <c r="J709" s="24"/>
      <c r="K709" s="24" t="s">
        <v>63</v>
      </c>
      <c r="L709" s="24" t="s">
        <v>64</v>
      </c>
      <c r="M709" s="24">
        <v>2</v>
      </c>
      <c r="N709" s="41">
        <f t="shared" si="274"/>
        <v>1506600</v>
      </c>
      <c r="O709" s="41">
        <v>3013200</v>
      </c>
      <c r="P709" s="24"/>
      <c r="Q709" s="24"/>
      <c r="R709" s="24"/>
      <c r="S709" s="41">
        <f t="shared" si="275"/>
        <v>3013200</v>
      </c>
      <c r="T709" s="24">
        <v>5</v>
      </c>
      <c r="U709" s="41">
        <f t="shared" si="276"/>
        <v>602640</v>
      </c>
      <c r="V709" s="24">
        <v>0.5</v>
      </c>
      <c r="W709" s="41"/>
      <c r="X709" s="24"/>
      <c r="Y709" s="41">
        <f t="shared" si="277"/>
        <v>0</v>
      </c>
      <c r="Z709" s="41"/>
      <c r="AA709" s="72">
        <v>5</v>
      </c>
      <c r="AB709" s="41">
        <f t="shared" si="278"/>
        <v>3013200</v>
      </c>
      <c r="AC709" s="41">
        <f t="shared" si="279"/>
        <v>0</v>
      </c>
      <c r="AD709" s="70" t="s">
        <v>932</v>
      </c>
      <c r="AE709" s="70"/>
      <c r="AF709" s="1">
        <v>3013200</v>
      </c>
      <c r="AG709" s="5">
        <f t="shared" si="273"/>
        <v>0</v>
      </c>
      <c r="AH709" s="5"/>
    </row>
    <row r="710" spans="1:34" s="1" customFormat="1" x14ac:dyDescent="0.25">
      <c r="A710" s="49">
        <v>6</v>
      </c>
      <c r="B710" s="22" t="s">
        <v>1732</v>
      </c>
      <c r="C710" s="22" t="s">
        <v>338</v>
      </c>
      <c r="D710" s="51" t="s">
        <v>929</v>
      </c>
      <c r="E710" s="24" t="s">
        <v>930</v>
      </c>
      <c r="F710" s="24"/>
      <c r="G710" s="24" t="s">
        <v>61</v>
      </c>
      <c r="H710" s="24" t="s">
        <v>62</v>
      </c>
      <c r="I710" s="24">
        <v>2015</v>
      </c>
      <c r="J710" s="24"/>
      <c r="K710" s="24" t="s">
        <v>63</v>
      </c>
      <c r="L710" s="24" t="s">
        <v>64</v>
      </c>
      <c r="M710" s="24">
        <v>2</v>
      </c>
      <c r="N710" s="41">
        <f t="shared" si="274"/>
        <v>1506600</v>
      </c>
      <c r="O710" s="41">
        <v>3013200</v>
      </c>
      <c r="P710" s="24"/>
      <c r="Q710" s="24"/>
      <c r="R710" s="24"/>
      <c r="S710" s="41">
        <f t="shared" si="275"/>
        <v>3013200</v>
      </c>
      <c r="T710" s="24">
        <v>5</v>
      </c>
      <c r="U710" s="41">
        <f t="shared" si="276"/>
        <v>602640</v>
      </c>
      <c r="V710" s="24">
        <v>0.5</v>
      </c>
      <c r="W710" s="41"/>
      <c r="X710" s="24"/>
      <c r="Y710" s="41">
        <f t="shared" si="277"/>
        <v>0</v>
      </c>
      <c r="Z710" s="41"/>
      <c r="AA710" s="72">
        <v>5</v>
      </c>
      <c r="AB710" s="41">
        <f t="shared" si="278"/>
        <v>3013200</v>
      </c>
      <c r="AC710" s="41">
        <f t="shared" si="279"/>
        <v>0</v>
      </c>
      <c r="AD710" s="70" t="s">
        <v>933</v>
      </c>
      <c r="AE710" s="70"/>
      <c r="AF710" s="1">
        <v>3013200</v>
      </c>
      <c r="AG710" s="5">
        <f t="shared" si="273"/>
        <v>0</v>
      </c>
      <c r="AH710" s="5"/>
    </row>
    <row r="711" spans="1:34" s="1" customFormat="1" x14ac:dyDescent="0.25">
      <c r="A711" s="49">
        <v>7</v>
      </c>
      <c r="B711" s="22" t="s">
        <v>1732</v>
      </c>
      <c r="C711" s="22" t="s">
        <v>339</v>
      </c>
      <c r="D711" s="51" t="s">
        <v>929</v>
      </c>
      <c r="E711" s="24" t="s">
        <v>930</v>
      </c>
      <c r="F711" s="24"/>
      <c r="G711" s="24" t="s">
        <v>61</v>
      </c>
      <c r="H711" s="24" t="s">
        <v>62</v>
      </c>
      <c r="I711" s="24">
        <v>2015</v>
      </c>
      <c r="J711" s="24"/>
      <c r="K711" s="24" t="s">
        <v>63</v>
      </c>
      <c r="L711" s="24" t="s">
        <v>64</v>
      </c>
      <c r="M711" s="24">
        <v>2</v>
      </c>
      <c r="N711" s="41">
        <f t="shared" si="274"/>
        <v>1506600</v>
      </c>
      <c r="O711" s="41">
        <v>3013200</v>
      </c>
      <c r="P711" s="24"/>
      <c r="Q711" s="24"/>
      <c r="R711" s="24"/>
      <c r="S711" s="41">
        <f t="shared" si="275"/>
        <v>3013200</v>
      </c>
      <c r="T711" s="24">
        <v>5</v>
      </c>
      <c r="U711" s="41">
        <f t="shared" si="276"/>
        <v>602640</v>
      </c>
      <c r="V711" s="24">
        <v>0.5</v>
      </c>
      <c r="W711" s="41"/>
      <c r="X711" s="24"/>
      <c r="Y711" s="41">
        <f t="shared" si="277"/>
        <v>0</v>
      </c>
      <c r="Z711" s="41"/>
      <c r="AA711" s="72">
        <v>5</v>
      </c>
      <c r="AB711" s="41">
        <f t="shared" si="278"/>
        <v>3013200</v>
      </c>
      <c r="AC711" s="41">
        <f t="shared" si="279"/>
        <v>0</v>
      </c>
      <c r="AD711" s="70" t="s">
        <v>787</v>
      </c>
      <c r="AE711" s="70"/>
      <c r="AF711" s="1">
        <v>3013200</v>
      </c>
      <c r="AG711" s="5">
        <f t="shared" si="273"/>
        <v>0</v>
      </c>
      <c r="AH711" s="5"/>
    </row>
    <row r="712" spans="1:34" s="1" customFormat="1" x14ac:dyDescent="0.25">
      <c r="A712" s="21"/>
      <c r="B712" s="22"/>
      <c r="C712" s="73"/>
      <c r="D712" s="51"/>
      <c r="E712" s="52"/>
      <c r="F712" s="52"/>
      <c r="G712" s="52"/>
      <c r="H712" s="52"/>
      <c r="I712" s="52"/>
      <c r="J712" s="52"/>
      <c r="K712" s="52"/>
      <c r="L712" s="52"/>
      <c r="M712" s="52"/>
      <c r="N712" s="53"/>
      <c r="O712" s="53"/>
      <c r="P712" s="52"/>
      <c r="Q712" s="52"/>
      <c r="R712" s="52"/>
      <c r="S712" s="53"/>
      <c r="T712" s="52"/>
      <c r="U712" s="53"/>
      <c r="V712" s="52"/>
      <c r="W712" s="53"/>
      <c r="X712" s="57"/>
      <c r="Y712" s="53"/>
      <c r="Z712" s="53"/>
      <c r="AA712" s="57"/>
      <c r="AB712" s="53"/>
      <c r="AC712" s="53"/>
      <c r="AD712" s="56"/>
      <c r="AE712" s="70"/>
      <c r="AF712" s="1">
        <v>650411186.41666698</v>
      </c>
      <c r="AG712" s="5">
        <f>SUM(AF712+Y713-AB713)</f>
        <v>0</v>
      </c>
    </row>
    <row r="713" spans="1:34" s="160" customFormat="1" ht="25.5" x14ac:dyDescent="0.25">
      <c r="A713" s="138"/>
      <c r="B713" s="139" t="s">
        <v>1062</v>
      </c>
      <c r="C713" s="139"/>
      <c r="D713" s="140" t="s">
        <v>1063</v>
      </c>
      <c r="E713" s="141"/>
      <c r="F713" s="141"/>
      <c r="G713" s="141"/>
      <c r="H713" s="141"/>
      <c r="I713" s="141"/>
      <c r="J713" s="141"/>
      <c r="K713" s="141"/>
      <c r="L713" s="141"/>
      <c r="M713" s="141">
        <f>SUM(M714)</f>
        <v>469</v>
      </c>
      <c r="N713" s="141"/>
      <c r="O713" s="142">
        <f>SUM(O714)</f>
        <v>686799837.99000001</v>
      </c>
      <c r="P713" s="141">
        <f>SUM(P749:P784)</f>
        <v>0</v>
      </c>
      <c r="Q713" s="141">
        <f>SUM(Q749:Q784)</f>
        <v>0</v>
      </c>
      <c r="R713" s="141">
        <f>SUM(R749:R784)</f>
        <v>0</v>
      </c>
      <c r="S713" s="142">
        <f>SUM(S714)</f>
        <v>686799837.99000001</v>
      </c>
      <c r="T713" s="141"/>
      <c r="U713" s="142">
        <f>SUM(U714)</f>
        <v>8146591.5999999996</v>
      </c>
      <c r="V713" s="141"/>
      <c r="W713" s="142">
        <f>SUM(W714)</f>
        <v>1987962.4666666668</v>
      </c>
      <c r="X713" s="141"/>
      <c r="Y713" s="142">
        <f>SUM(Y714)</f>
        <v>4073295.8</v>
      </c>
      <c r="Z713" s="142">
        <f>SUM(Z714)</f>
        <v>6061258.2666666666</v>
      </c>
      <c r="AA713" s="141"/>
      <c r="AB713" s="142">
        <f>SUM(AB714)</f>
        <v>654484482.21666694</v>
      </c>
      <c r="AC713" s="142">
        <f>SUM(AC714)</f>
        <v>32315356.033333331</v>
      </c>
      <c r="AD713" s="141"/>
      <c r="AE713" s="173"/>
      <c r="AF713" s="181">
        <v>648423223.95000005</v>
      </c>
      <c r="AG713" s="391">
        <f t="shared" si="273"/>
        <v>0</v>
      </c>
    </row>
    <row r="714" spans="1:34" s="1" customFormat="1" x14ac:dyDescent="0.25">
      <c r="A714" s="25"/>
      <c r="B714" s="26" t="s">
        <v>1733</v>
      </c>
      <c r="C714" s="26"/>
      <c r="D714" s="27" t="s">
        <v>1734</v>
      </c>
      <c r="E714" s="28"/>
      <c r="F714" s="28"/>
      <c r="G714" s="28"/>
      <c r="H714" s="28"/>
      <c r="I714" s="28"/>
      <c r="J714" s="28"/>
      <c r="K714" s="28"/>
      <c r="L714" s="28"/>
      <c r="M714" s="28">
        <f>SUM(M715:M784)</f>
        <v>469</v>
      </c>
      <c r="N714" s="28"/>
      <c r="O714" s="40">
        <f>SUM(O715:O784)</f>
        <v>686799837.99000001</v>
      </c>
      <c r="P714" s="28"/>
      <c r="Q714" s="28"/>
      <c r="R714" s="28"/>
      <c r="S714" s="40">
        <f>SUM(S715:S784)</f>
        <v>686799837.99000001</v>
      </c>
      <c r="T714" s="28"/>
      <c r="U714" s="40">
        <f>SUM(U715:U784)</f>
        <v>8146591.5999999996</v>
      </c>
      <c r="V714" s="28"/>
      <c r="W714" s="40">
        <f>SUM(W715:W784)</f>
        <v>1987962.4666666668</v>
      </c>
      <c r="X714" s="28"/>
      <c r="Y714" s="40">
        <f>SUM(Y715:Y784)</f>
        <v>4073295.8</v>
      </c>
      <c r="Z714" s="40">
        <f>SUM(Z715:Z784)</f>
        <v>6061258.2666666666</v>
      </c>
      <c r="AA714" s="28"/>
      <c r="AB714" s="40">
        <f>SUM(AB715:AB784)</f>
        <v>654484482.21666694</v>
      </c>
      <c r="AC714" s="40">
        <f>SUM(AC715:AC784)</f>
        <v>32315356.033333331</v>
      </c>
      <c r="AD714" s="28"/>
      <c r="AE714" s="70"/>
      <c r="AF714" s="5">
        <f>AB714-AF713</f>
        <v>6061258.2666668892</v>
      </c>
      <c r="AG714" s="80"/>
    </row>
    <row r="715" spans="1:34" s="1" customFormat="1" x14ac:dyDescent="0.25">
      <c r="A715" s="49">
        <v>1</v>
      </c>
      <c r="B715" s="22" t="s">
        <v>1735</v>
      </c>
      <c r="C715" s="22" t="s">
        <v>58</v>
      </c>
      <c r="D715" s="51" t="s">
        <v>1113</v>
      </c>
      <c r="E715" s="24" t="s">
        <v>166</v>
      </c>
      <c r="F715" s="24"/>
      <c r="G715" s="24" t="s">
        <v>319</v>
      </c>
      <c r="H715" s="24" t="s">
        <v>62</v>
      </c>
      <c r="I715" s="24">
        <v>2011</v>
      </c>
      <c r="J715" s="24"/>
      <c r="K715" s="24" t="s">
        <v>1114</v>
      </c>
      <c r="L715" s="24" t="s">
        <v>64</v>
      </c>
      <c r="M715" s="24">
        <v>1</v>
      </c>
      <c r="N715" s="41">
        <f t="shared" ref="N715:N778" si="280">SUM(O715/M715)</f>
        <v>9878000</v>
      </c>
      <c r="O715" s="41">
        <v>9878000</v>
      </c>
      <c r="P715" s="24"/>
      <c r="Q715" s="24"/>
      <c r="R715" s="24"/>
      <c r="S715" s="41">
        <f t="shared" ref="S715:S778" si="281">SUM(O715-R715)</f>
        <v>9878000</v>
      </c>
      <c r="T715" s="24">
        <v>5</v>
      </c>
      <c r="U715" s="41"/>
      <c r="V715" s="24">
        <v>0.5</v>
      </c>
      <c r="W715" s="41">
        <f t="shared" ref="W715:W743" si="282">SUM(U715*V715)</f>
        <v>0</v>
      </c>
      <c r="X715" s="24"/>
      <c r="Y715" s="41">
        <f t="shared" ref="Y715:Y742" si="283">SUM(U715*X715)</f>
        <v>0</v>
      </c>
      <c r="Z715" s="41">
        <f t="shared" ref="Z715:Z743" si="284">SUM(W715+Y715)</f>
        <v>0</v>
      </c>
      <c r="AA715" s="24">
        <v>5</v>
      </c>
      <c r="AB715" s="41">
        <v>9878000</v>
      </c>
      <c r="AC715" s="41">
        <f t="shared" ref="AC715:AC725" si="285">SUM(O715-AB715)</f>
        <v>0</v>
      </c>
      <c r="AD715" s="70" t="s">
        <v>616</v>
      </c>
      <c r="AE715" s="70"/>
      <c r="AG715" s="80"/>
    </row>
    <row r="716" spans="1:34" s="1" customFormat="1" x14ac:dyDescent="0.25">
      <c r="A716" s="49">
        <v>2</v>
      </c>
      <c r="B716" s="22" t="s">
        <v>1735</v>
      </c>
      <c r="C716" s="22" t="s">
        <v>277</v>
      </c>
      <c r="D716" s="51" t="s">
        <v>1113</v>
      </c>
      <c r="E716" s="24" t="s">
        <v>166</v>
      </c>
      <c r="F716" s="24"/>
      <c r="G716" s="24" t="s">
        <v>319</v>
      </c>
      <c r="H716" s="24" t="s">
        <v>62</v>
      </c>
      <c r="I716" s="24">
        <v>2013</v>
      </c>
      <c r="J716" s="24"/>
      <c r="K716" s="24" t="s">
        <v>1114</v>
      </c>
      <c r="L716" s="24" t="s">
        <v>64</v>
      </c>
      <c r="M716" s="24">
        <v>2</v>
      </c>
      <c r="N716" s="41">
        <f t="shared" si="280"/>
        <v>4838900</v>
      </c>
      <c r="O716" s="41">
        <v>9677800</v>
      </c>
      <c r="P716" s="24"/>
      <c r="Q716" s="24"/>
      <c r="R716" s="24"/>
      <c r="S716" s="41">
        <f t="shared" si="281"/>
        <v>9677800</v>
      </c>
      <c r="T716" s="24">
        <v>5</v>
      </c>
      <c r="U716" s="41"/>
      <c r="V716" s="24">
        <v>0.5</v>
      </c>
      <c r="W716" s="41">
        <f t="shared" si="282"/>
        <v>0</v>
      </c>
      <c r="X716" s="24"/>
      <c r="Y716" s="41">
        <f t="shared" si="283"/>
        <v>0</v>
      </c>
      <c r="Z716" s="41">
        <f t="shared" si="284"/>
        <v>0</v>
      </c>
      <c r="AA716" s="24">
        <v>5</v>
      </c>
      <c r="AB716" s="41">
        <v>9677800</v>
      </c>
      <c r="AC716" s="41">
        <f t="shared" si="285"/>
        <v>0</v>
      </c>
      <c r="AD716" s="70" t="s">
        <v>540</v>
      </c>
      <c r="AE716" s="70"/>
      <c r="AG716" s="80"/>
    </row>
    <row r="717" spans="1:34" s="1" customFormat="1" x14ac:dyDescent="0.25">
      <c r="A717" s="49">
        <v>3</v>
      </c>
      <c r="B717" s="22" t="s">
        <v>1735</v>
      </c>
      <c r="C717" s="22" t="s">
        <v>280</v>
      </c>
      <c r="D717" s="51" t="s">
        <v>1113</v>
      </c>
      <c r="E717" s="24" t="s">
        <v>166</v>
      </c>
      <c r="F717" s="24"/>
      <c r="G717" s="24" t="s">
        <v>319</v>
      </c>
      <c r="H717" s="24" t="s">
        <v>62</v>
      </c>
      <c r="I717" s="24">
        <v>2013</v>
      </c>
      <c r="J717" s="24"/>
      <c r="K717" s="24" t="s">
        <v>63</v>
      </c>
      <c r="L717" s="24" t="s">
        <v>64</v>
      </c>
      <c r="M717" s="24">
        <v>6</v>
      </c>
      <c r="N717" s="41">
        <f t="shared" si="280"/>
        <v>1500000</v>
      </c>
      <c r="O717" s="41">
        <v>9000000</v>
      </c>
      <c r="P717" s="24"/>
      <c r="Q717" s="24"/>
      <c r="R717" s="24"/>
      <c r="S717" s="41">
        <f t="shared" si="281"/>
        <v>9000000</v>
      </c>
      <c r="T717" s="24">
        <v>5</v>
      </c>
      <c r="U717" s="41"/>
      <c r="V717" s="24">
        <v>0.5</v>
      </c>
      <c r="W717" s="41">
        <f t="shared" si="282"/>
        <v>0</v>
      </c>
      <c r="X717" s="24"/>
      <c r="Y717" s="41">
        <f t="shared" si="283"/>
        <v>0</v>
      </c>
      <c r="Z717" s="41">
        <f t="shared" si="284"/>
        <v>0</v>
      </c>
      <c r="AA717" s="24">
        <v>5</v>
      </c>
      <c r="AB717" s="41">
        <v>9000000</v>
      </c>
      <c r="AC717" s="41">
        <f t="shared" si="285"/>
        <v>0</v>
      </c>
      <c r="AD717" s="70" t="s">
        <v>540</v>
      </c>
      <c r="AE717" s="70"/>
      <c r="AG717" s="80"/>
    </row>
    <row r="718" spans="1:34" s="1" customFormat="1" x14ac:dyDescent="0.25">
      <c r="A718" s="49">
        <v>4</v>
      </c>
      <c r="B718" s="22" t="s">
        <v>1735</v>
      </c>
      <c r="C718" s="22" t="s">
        <v>832</v>
      </c>
      <c r="D718" s="51" t="s">
        <v>1115</v>
      </c>
      <c r="E718" s="24" t="s">
        <v>166</v>
      </c>
      <c r="F718" s="24"/>
      <c r="G718" s="24" t="s">
        <v>319</v>
      </c>
      <c r="H718" s="24" t="s">
        <v>62</v>
      </c>
      <c r="I718" s="24">
        <v>2014</v>
      </c>
      <c r="J718" s="24"/>
      <c r="K718" s="24" t="s">
        <v>63</v>
      </c>
      <c r="L718" s="24" t="s">
        <v>64</v>
      </c>
      <c r="M718" s="24">
        <v>3</v>
      </c>
      <c r="N718" s="41">
        <f t="shared" si="280"/>
        <v>5500000</v>
      </c>
      <c r="O718" s="41">
        <v>16500000</v>
      </c>
      <c r="P718" s="24"/>
      <c r="Q718" s="24"/>
      <c r="R718" s="24"/>
      <c r="S718" s="41">
        <f t="shared" si="281"/>
        <v>16500000</v>
      </c>
      <c r="T718" s="24">
        <v>5</v>
      </c>
      <c r="U718" s="41"/>
      <c r="V718" s="24">
        <v>0.5</v>
      </c>
      <c r="W718" s="41">
        <f t="shared" si="282"/>
        <v>0</v>
      </c>
      <c r="X718" s="24"/>
      <c r="Y718" s="41">
        <f t="shared" si="283"/>
        <v>0</v>
      </c>
      <c r="Z718" s="41">
        <f t="shared" si="284"/>
        <v>0</v>
      </c>
      <c r="AA718" s="24">
        <v>5</v>
      </c>
      <c r="AB718" s="41">
        <v>16500000</v>
      </c>
      <c r="AC718" s="41">
        <f t="shared" si="285"/>
        <v>0</v>
      </c>
      <c r="AD718" s="70" t="s">
        <v>218</v>
      </c>
      <c r="AE718" s="70"/>
      <c r="AG718" s="80"/>
    </row>
    <row r="719" spans="1:34" s="1" customFormat="1" x14ac:dyDescent="0.25">
      <c r="A719" s="49">
        <v>5</v>
      </c>
      <c r="B719" s="22" t="s">
        <v>1735</v>
      </c>
      <c r="C719" s="22" t="s">
        <v>1116</v>
      </c>
      <c r="D719" s="51" t="s">
        <v>1115</v>
      </c>
      <c r="E719" s="24" t="s">
        <v>166</v>
      </c>
      <c r="F719" s="24"/>
      <c r="G719" s="24" t="s">
        <v>319</v>
      </c>
      <c r="H719" s="24" t="s">
        <v>62</v>
      </c>
      <c r="I719" s="24">
        <v>2014</v>
      </c>
      <c r="J719" s="24"/>
      <c r="K719" s="24" t="s">
        <v>63</v>
      </c>
      <c r="L719" s="24" t="s">
        <v>64</v>
      </c>
      <c r="M719" s="24">
        <v>3</v>
      </c>
      <c r="N719" s="41">
        <f t="shared" si="280"/>
        <v>5500000</v>
      </c>
      <c r="O719" s="41">
        <v>16500000</v>
      </c>
      <c r="P719" s="24"/>
      <c r="Q719" s="24"/>
      <c r="R719" s="24"/>
      <c r="S719" s="41">
        <f t="shared" si="281"/>
        <v>16500000</v>
      </c>
      <c r="T719" s="24">
        <v>5</v>
      </c>
      <c r="U719" s="41"/>
      <c r="V719" s="24">
        <v>0.5</v>
      </c>
      <c r="W719" s="41">
        <f t="shared" si="282"/>
        <v>0</v>
      </c>
      <c r="X719" s="24"/>
      <c r="Y719" s="41">
        <f t="shared" si="283"/>
        <v>0</v>
      </c>
      <c r="Z719" s="41">
        <f t="shared" si="284"/>
        <v>0</v>
      </c>
      <c r="AA719" s="24">
        <v>5</v>
      </c>
      <c r="AB719" s="41">
        <v>16500000</v>
      </c>
      <c r="AC719" s="41">
        <f t="shared" si="285"/>
        <v>0</v>
      </c>
      <c r="AD719" s="70" t="s">
        <v>322</v>
      </c>
      <c r="AE719" s="70"/>
      <c r="AG719" s="80"/>
    </row>
    <row r="720" spans="1:34" s="1" customFormat="1" x14ac:dyDescent="0.25">
      <c r="A720" s="49">
        <v>6</v>
      </c>
      <c r="B720" s="22" t="s">
        <v>1735</v>
      </c>
      <c r="C720" s="22" t="s">
        <v>1117</v>
      </c>
      <c r="D720" s="51" t="s">
        <v>1115</v>
      </c>
      <c r="E720" s="24" t="s">
        <v>166</v>
      </c>
      <c r="F720" s="24"/>
      <c r="G720" s="24" t="s">
        <v>319</v>
      </c>
      <c r="H720" s="24" t="s">
        <v>62</v>
      </c>
      <c r="I720" s="24">
        <v>2014</v>
      </c>
      <c r="J720" s="24"/>
      <c r="K720" s="24" t="s">
        <v>63</v>
      </c>
      <c r="L720" s="24" t="s">
        <v>64</v>
      </c>
      <c r="M720" s="24">
        <v>3</v>
      </c>
      <c r="N720" s="41">
        <f t="shared" si="280"/>
        <v>5500000</v>
      </c>
      <c r="O720" s="41">
        <v>16500000</v>
      </c>
      <c r="P720" s="24"/>
      <c r="Q720" s="24"/>
      <c r="R720" s="24"/>
      <c r="S720" s="41">
        <f t="shared" si="281"/>
        <v>16500000</v>
      </c>
      <c r="T720" s="24">
        <v>5</v>
      </c>
      <c r="U720" s="41"/>
      <c r="V720" s="24">
        <v>0.5</v>
      </c>
      <c r="W720" s="41">
        <f t="shared" si="282"/>
        <v>0</v>
      </c>
      <c r="X720" s="24"/>
      <c r="Y720" s="41">
        <f t="shared" si="283"/>
        <v>0</v>
      </c>
      <c r="Z720" s="41">
        <f t="shared" si="284"/>
        <v>0</v>
      </c>
      <c r="AA720" s="24">
        <v>5</v>
      </c>
      <c r="AB720" s="41">
        <v>16500000</v>
      </c>
      <c r="AC720" s="41">
        <f t="shared" si="285"/>
        <v>0</v>
      </c>
      <c r="AD720" s="70" t="s">
        <v>324</v>
      </c>
      <c r="AE720" s="70"/>
      <c r="AG720" s="80"/>
    </row>
    <row r="721" spans="1:33" s="1" customFormat="1" x14ac:dyDescent="0.25">
      <c r="A721" s="49">
        <v>7</v>
      </c>
      <c r="B721" s="22" t="s">
        <v>1735</v>
      </c>
      <c r="C721" s="22" t="s">
        <v>554</v>
      </c>
      <c r="D721" s="51" t="s">
        <v>1115</v>
      </c>
      <c r="E721" s="24" t="s">
        <v>166</v>
      </c>
      <c r="F721" s="24"/>
      <c r="G721" s="24" t="s">
        <v>319</v>
      </c>
      <c r="H721" s="24" t="s">
        <v>62</v>
      </c>
      <c r="I721" s="24">
        <v>2014</v>
      </c>
      <c r="J721" s="24"/>
      <c r="K721" s="24" t="s">
        <v>63</v>
      </c>
      <c r="L721" s="24" t="s">
        <v>64</v>
      </c>
      <c r="M721" s="24">
        <v>3</v>
      </c>
      <c r="N721" s="41">
        <f t="shared" si="280"/>
        <v>5500000</v>
      </c>
      <c r="O721" s="41">
        <v>16500000</v>
      </c>
      <c r="P721" s="24"/>
      <c r="Q721" s="24"/>
      <c r="R721" s="24"/>
      <c r="S721" s="41">
        <f t="shared" si="281"/>
        <v>16500000</v>
      </c>
      <c r="T721" s="24">
        <v>5</v>
      </c>
      <c r="U721" s="41"/>
      <c r="V721" s="24">
        <v>0.5</v>
      </c>
      <c r="W721" s="41">
        <f t="shared" si="282"/>
        <v>0</v>
      </c>
      <c r="X721" s="24"/>
      <c r="Y721" s="41">
        <f t="shared" si="283"/>
        <v>0</v>
      </c>
      <c r="Z721" s="41">
        <f t="shared" si="284"/>
        <v>0</v>
      </c>
      <c r="AA721" s="24">
        <v>5</v>
      </c>
      <c r="AB721" s="41">
        <v>16500000</v>
      </c>
      <c r="AC721" s="41">
        <f t="shared" si="285"/>
        <v>0</v>
      </c>
      <c r="AD721" s="70" t="s">
        <v>326</v>
      </c>
      <c r="AE721" s="70"/>
      <c r="AG721" s="80"/>
    </row>
    <row r="722" spans="1:33" s="1" customFormat="1" x14ac:dyDescent="0.25">
      <c r="A722" s="49">
        <v>8</v>
      </c>
      <c r="B722" s="22" t="s">
        <v>1735</v>
      </c>
      <c r="C722" s="22" t="s">
        <v>312</v>
      </c>
      <c r="D722" s="51" t="s">
        <v>1115</v>
      </c>
      <c r="E722" s="24" t="s">
        <v>166</v>
      </c>
      <c r="F722" s="24"/>
      <c r="G722" s="24" t="s">
        <v>319</v>
      </c>
      <c r="H722" s="24" t="s">
        <v>62</v>
      </c>
      <c r="I722" s="24">
        <v>2014</v>
      </c>
      <c r="J722" s="24"/>
      <c r="K722" s="24" t="s">
        <v>63</v>
      </c>
      <c r="L722" s="24" t="s">
        <v>64</v>
      </c>
      <c r="M722" s="24">
        <v>1</v>
      </c>
      <c r="N722" s="41">
        <f t="shared" si="280"/>
        <v>5500000</v>
      </c>
      <c r="O722" s="41">
        <v>5500000</v>
      </c>
      <c r="P722" s="24"/>
      <c r="Q722" s="24"/>
      <c r="R722" s="24"/>
      <c r="S722" s="41">
        <f t="shared" si="281"/>
        <v>5500000</v>
      </c>
      <c r="T722" s="24">
        <v>5</v>
      </c>
      <c r="U722" s="41"/>
      <c r="V722" s="24">
        <v>0.5</v>
      </c>
      <c r="W722" s="41">
        <f t="shared" si="282"/>
        <v>0</v>
      </c>
      <c r="X722" s="24"/>
      <c r="Y722" s="41">
        <f t="shared" si="283"/>
        <v>0</v>
      </c>
      <c r="Z722" s="41">
        <f t="shared" si="284"/>
        <v>0</v>
      </c>
      <c r="AA722" s="24">
        <v>5</v>
      </c>
      <c r="AB722" s="41">
        <v>5500000</v>
      </c>
      <c r="AC722" s="41">
        <f t="shared" si="285"/>
        <v>0</v>
      </c>
      <c r="AD722" s="70" t="s">
        <v>328</v>
      </c>
      <c r="AE722" s="70"/>
      <c r="AG722" s="80"/>
    </row>
    <row r="723" spans="1:33" s="1" customFormat="1" x14ac:dyDescent="0.25">
      <c r="A723" s="49">
        <v>9</v>
      </c>
      <c r="B723" s="22" t="s">
        <v>1735</v>
      </c>
      <c r="C723" s="22" t="s">
        <v>313</v>
      </c>
      <c r="D723" s="51" t="s">
        <v>1115</v>
      </c>
      <c r="E723" s="24" t="s">
        <v>166</v>
      </c>
      <c r="F723" s="24"/>
      <c r="G723" s="24" t="s">
        <v>319</v>
      </c>
      <c r="H723" s="24" t="s">
        <v>62</v>
      </c>
      <c r="I723" s="24">
        <v>2014</v>
      </c>
      <c r="J723" s="24"/>
      <c r="K723" s="24" t="s">
        <v>63</v>
      </c>
      <c r="L723" s="24" t="s">
        <v>64</v>
      </c>
      <c r="M723" s="24">
        <v>1</v>
      </c>
      <c r="N723" s="41">
        <f t="shared" si="280"/>
        <v>5500000</v>
      </c>
      <c r="O723" s="41">
        <v>5500000</v>
      </c>
      <c r="P723" s="24"/>
      <c r="Q723" s="24"/>
      <c r="R723" s="24"/>
      <c r="S723" s="41">
        <f t="shared" si="281"/>
        <v>5500000</v>
      </c>
      <c r="T723" s="24">
        <v>5</v>
      </c>
      <c r="U723" s="41"/>
      <c r="V723" s="24">
        <v>0.5</v>
      </c>
      <c r="W723" s="41">
        <f t="shared" si="282"/>
        <v>0</v>
      </c>
      <c r="X723" s="24"/>
      <c r="Y723" s="41">
        <f t="shared" si="283"/>
        <v>0</v>
      </c>
      <c r="Z723" s="41">
        <f t="shared" si="284"/>
        <v>0</v>
      </c>
      <c r="AA723" s="24">
        <v>5</v>
      </c>
      <c r="AB723" s="41">
        <v>5500000</v>
      </c>
      <c r="AC723" s="41">
        <f t="shared" si="285"/>
        <v>0</v>
      </c>
      <c r="AD723" s="70" t="s">
        <v>276</v>
      </c>
      <c r="AE723" s="70"/>
      <c r="AG723" s="80"/>
    </row>
    <row r="724" spans="1:33" s="1" customFormat="1" x14ac:dyDescent="0.25">
      <c r="A724" s="49">
        <v>10</v>
      </c>
      <c r="B724" s="22" t="s">
        <v>1735</v>
      </c>
      <c r="C724" s="22" t="s">
        <v>559</v>
      </c>
      <c r="D724" s="51" t="s">
        <v>1115</v>
      </c>
      <c r="E724" s="24" t="s">
        <v>166</v>
      </c>
      <c r="F724" s="24"/>
      <c r="G724" s="24" t="s">
        <v>319</v>
      </c>
      <c r="H724" s="24" t="s">
        <v>62</v>
      </c>
      <c r="I724" s="24">
        <v>2014</v>
      </c>
      <c r="J724" s="24"/>
      <c r="K724" s="24" t="s">
        <v>63</v>
      </c>
      <c r="L724" s="24" t="s">
        <v>64</v>
      </c>
      <c r="M724" s="24">
        <v>1</v>
      </c>
      <c r="N724" s="41">
        <f t="shared" si="280"/>
        <v>5500000</v>
      </c>
      <c r="O724" s="41">
        <v>5500000</v>
      </c>
      <c r="P724" s="24"/>
      <c r="Q724" s="24"/>
      <c r="R724" s="24"/>
      <c r="S724" s="41">
        <f t="shared" si="281"/>
        <v>5500000</v>
      </c>
      <c r="T724" s="24">
        <v>5</v>
      </c>
      <c r="U724" s="41"/>
      <c r="V724" s="24">
        <v>0.5</v>
      </c>
      <c r="W724" s="41">
        <f t="shared" si="282"/>
        <v>0</v>
      </c>
      <c r="X724" s="24"/>
      <c r="Y724" s="41">
        <f t="shared" si="283"/>
        <v>0</v>
      </c>
      <c r="Z724" s="41">
        <f t="shared" si="284"/>
        <v>0</v>
      </c>
      <c r="AA724" s="24">
        <v>5</v>
      </c>
      <c r="AB724" s="41">
        <v>5500000</v>
      </c>
      <c r="AC724" s="41">
        <f t="shared" si="285"/>
        <v>0</v>
      </c>
      <c r="AD724" s="70" t="s">
        <v>331</v>
      </c>
      <c r="AE724" s="70"/>
      <c r="AG724" s="80"/>
    </row>
    <row r="725" spans="1:33" s="1" customFormat="1" x14ac:dyDescent="0.25">
      <c r="A725" s="49">
        <v>11</v>
      </c>
      <c r="B725" s="22" t="s">
        <v>1735</v>
      </c>
      <c r="C725" s="22" t="s">
        <v>561</v>
      </c>
      <c r="D725" s="51" t="s">
        <v>1115</v>
      </c>
      <c r="E725" s="24" t="s">
        <v>166</v>
      </c>
      <c r="F725" s="24"/>
      <c r="G725" s="24" t="s">
        <v>319</v>
      </c>
      <c r="H725" s="24" t="s">
        <v>62</v>
      </c>
      <c r="I725" s="24">
        <v>2014</v>
      </c>
      <c r="J725" s="24"/>
      <c r="K725" s="24" t="s">
        <v>63</v>
      </c>
      <c r="L725" s="24" t="s">
        <v>64</v>
      </c>
      <c r="M725" s="24">
        <v>1</v>
      </c>
      <c r="N725" s="41">
        <f t="shared" si="280"/>
        <v>5500000</v>
      </c>
      <c r="O725" s="41">
        <v>5500000</v>
      </c>
      <c r="P725" s="24"/>
      <c r="Q725" s="24"/>
      <c r="R725" s="24"/>
      <c r="S725" s="41">
        <f t="shared" si="281"/>
        <v>5500000</v>
      </c>
      <c r="T725" s="24">
        <v>5</v>
      </c>
      <c r="U725" s="41"/>
      <c r="V725" s="24">
        <v>0.5</v>
      </c>
      <c r="W725" s="41">
        <f t="shared" si="282"/>
        <v>0</v>
      </c>
      <c r="X725" s="24"/>
      <c r="Y725" s="41">
        <f t="shared" si="283"/>
        <v>0</v>
      </c>
      <c r="Z725" s="41">
        <f t="shared" si="284"/>
        <v>0</v>
      </c>
      <c r="AA725" s="24">
        <v>5</v>
      </c>
      <c r="AB725" s="41">
        <v>5500000</v>
      </c>
      <c r="AC725" s="41">
        <f t="shared" si="285"/>
        <v>0</v>
      </c>
      <c r="AD725" s="70" t="s">
        <v>333</v>
      </c>
      <c r="AE725" s="70"/>
      <c r="AG725" s="80"/>
    </row>
    <row r="726" spans="1:33" s="1" customFormat="1" x14ac:dyDescent="0.25">
      <c r="A726" s="49">
        <v>12</v>
      </c>
      <c r="B726" s="22" t="s">
        <v>1735</v>
      </c>
      <c r="C726" s="22" t="s">
        <v>1118</v>
      </c>
      <c r="D726" s="76" t="s">
        <v>1119</v>
      </c>
      <c r="E726" s="24" t="s">
        <v>166</v>
      </c>
      <c r="F726" s="24"/>
      <c r="G726" s="24" t="s">
        <v>319</v>
      </c>
      <c r="H726" s="24" t="s">
        <v>62</v>
      </c>
      <c r="I726" s="24">
        <v>2014</v>
      </c>
      <c r="J726" s="24"/>
      <c r="K726" s="24" t="s">
        <v>63</v>
      </c>
      <c r="L726" s="24" t="s">
        <v>64</v>
      </c>
      <c r="M726" s="24">
        <v>51</v>
      </c>
      <c r="N726" s="41">
        <f t="shared" si="280"/>
        <v>5484609.9017647058</v>
      </c>
      <c r="O726" s="41">
        <v>279715104.99000001</v>
      </c>
      <c r="P726" s="24"/>
      <c r="Q726" s="24"/>
      <c r="R726" s="24"/>
      <c r="S726" s="41">
        <f t="shared" si="281"/>
        <v>279715104.99000001</v>
      </c>
      <c r="T726" s="24">
        <v>5</v>
      </c>
      <c r="U726" s="41"/>
      <c r="V726" s="24">
        <v>0.5</v>
      </c>
      <c r="W726" s="41">
        <f t="shared" si="282"/>
        <v>0</v>
      </c>
      <c r="X726" s="24"/>
      <c r="Y726" s="41">
        <f t="shared" si="283"/>
        <v>0</v>
      </c>
      <c r="Z726" s="41">
        <f t="shared" si="284"/>
        <v>0</v>
      </c>
      <c r="AA726" s="24">
        <v>5</v>
      </c>
      <c r="AB726" s="41">
        <v>279715105.25</v>
      </c>
      <c r="AC726" s="82" t="s">
        <v>263</v>
      </c>
      <c r="AD726" s="70" t="s">
        <v>1120</v>
      </c>
      <c r="AE726" s="70"/>
      <c r="AG726" s="80"/>
    </row>
    <row r="727" spans="1:33" s="1" customFormat="1" x14ac:dyDescent="0.25">
      <c r="A727" s="49">
        <v>13</v>
      </c>
      <c r="B727" s="308" t="s">
        <v>1735</v>
      </c>
      <c r="C727" s="314" t="s">
        <v>1226</v>
      </c>
      <c r="D727" s="309" t="s">
        <v>1113</v>
      </c>
      <c r="E727" s="310" t="s">
        <v>166</v>
      </c>
      <c r="F727" s="310"/>
      <c r="G727" s="310" t="s">
        <v>319</v>
      </c>
      <c r="H727" s="310" t="s">
        <v>62</v>
      </c>
      <c r="I727" s="310">
        <v>2023</v>
      </c>
      <c r="J727" s="310"/>
      <c r="K727" s="310" t="s">
        <v>63</v>
      </c>
      <c r="L727" s="310" t="s">
        <v>64</v>
      </c>
      <c r="M727" s="310">
        <v>1</v>
      </c>
      <c r="N727" s="311">
        <f t="shared" si="280"/>
        <v>1564000</v>
      </c>
      <c r="O727" s="311">
        <v>1564000</v>
      </c>
      <c r="P727" s="310"/>
      <c r="Q727" s="310"/>
      <c r="R727" s="310"/>
      <c r="S727" s="311">
        <f t="shared" si="281"/>
        <v>1564000</v>
      </c>
      <c r="T727" s="310">
        <v>5</v>
      </c>
      <c r="U727" s="311">
        <f t="shared" ref="U727:U742" si="286">SUM(S727/T727)</f>
        <v>312800</v>
      </c>
      <c r="V727" s="312">
        <f>1/12</f>
        <v>8.3333333333333329E-2</v>
      </c>
      <c r="W727" s="311">
        <f t="shared" si="282"/>
        <v>26066.666666666664</v>
      </c>
      <c r="X727" s="310">
        <v>0.5</v>
      </c>
      <c r="Y727" s="311">
        <f t="shared" si="283"/>
        <v>156400</v>
      </c>
      <c r="Z727" s="311">
        <f t="shared" si="284"/>
        <v>182466.66666666666</v>
      </c>
      <c r="AA727" s="312">
        <f>1/12+0.5</f>
        <v>0.58333333333333337</v>
      </c>
      <c r="AB727" s="311">
        <f t="shared" ref="AB727:AB742" si="287">SUM(U727*AA727)</f>
        <v>182466.66666666669</v>
      </c>
      <c r="AC727" s="316">
        <f t="shared" ref="AC727:AC784" si="288">SUM(O727-AB727)</f>
        <v>1381533.3333333333</v>
      </c>
      <c r="AD727" s="313"/>
      <c r="AE727" s="313"/>
      <c r="AG727" s="80"/>
    </row>
    <row r="728" spans="1:33" s="1" customFormat="1" x14ac:dyDescent="0.25">
      <c r="A728" s="49">
        <v>14</v>
      </c>
      <c r="B728" s="308" t="s">
        <v>1735</v>
      </c>
      <c r="C728" s="314" t="s">
        <v>2198</v>
      </c>
      <c r="D728" s="309" t="s">
        <v>1113</v>
      </c>
      <c r="E728" s="310" t="s">
        <v>166</v>
      </c>
      <c r="F728" s="310"/>
      <c r="G728" s="310" t="s">
        <v>319</v>
      </c>
      <c r="H728" s="310" t="s">
        <v>62</v>
      </c>
      <c r="I728" s="310">
        <v>2023</v>
      </c>
      <c r="J728" s="310"/>
      <c r="K728" s="310" t="s">
        <v>63</v>
      </c>
      <c r="L728" s="310" t="s">
        <v>64</v>
      </c>
      <c r="M728" s="310">
        <v>1</v>
      </c>
      <c r="N728" s="311">
        <f t="shared" si="280"/>
        <v>1564000</v>
      </c>
      <c r="O728" s="311">
        <v>1564000</v>
      </c>
      <c r="P728" s="310"/>
      <c r="Q728" s="310"/>
      <c r="R728" s="310"/>
      <c r="S728" s="311">
        <f t="shared" si="281"/>
        <v>1564000</v>
      </c>
      <c r="T728" s="310">
        <v>5</v>
      </c>
      <c r="U728" s="311">
        <f t="shared" si="286"/>
        <v>312800</v>
      </c>
      <c r="V728" s="312">
        <f t="shared" ref="V728:V742" si="289">1/12</f>
        <v>8.3333333333333329E-2</v>
      </c>
      <c r="W728" s="311">
        <f t="shared" si="282"/>
        <v>26066.666666666664</v>
      </c>
      <c r="X728" s="310">
        <v>0.5</v>
      </c>
      <c r="Y728" s="311">
        <f t="shared" si="283"/>
        <v>156400</v>
      </c>
      <c r="Z728" s="311">
        <f t="shared" si="284"/>
        <v>182466.66666666666</v>
      </c>
      <c r="AA728" s="312">
        <f t="shared" ref="AA728:AA742" si="290">1/12+0.5</f>
        <v>0.58333333333333337</v>
      </c>
      <c r="AB728" s="311">
        <f t="shared" si="287"/>
        <v>182466.66666666669</v>
      </c>
      <c r="AC728" s="316">
        <f t="shared" si="288"/>
        <v>1381533.3333333333</v>
      </c>
      <c r="AD728" s="313"/>
      <c r="AE728" s="313"/>
      <c r="AG728" s="80"/>
    </row>
    <row r="729" spans="1:33" s="1" customFormat="1" x14ac:dyDescent="0.25">
      <c r="A729" s="49">
        <v>15</v>
      </c>
      <c r="B729" s="308" t="s">
        <v>1735</v>
      </c>
      <c r="C729" s="314" t="s">
        <v>422</v>
      </c>
      <c r="D729" s="309" t="s">
        <v>1113</v>
      </c>
      <c r="E729" s="310" t="s">
        <v>166</v>
      </c>
      <c r="F729" s="310"/>
      <c r="G729" s="310" t="s">
        <v>319</v>
      </c>
      <c r="H729" s="310" t="s">
        <v>62</v>
      </c>
      <c r="I729" s="310">
        <v>2023</v>
      </c>
      <c r="J729" s="310"/>
      <c r="K729" s="310" t="s">
        <v>63</v>
      </c>
      <c r="L729" s="310" t="s">
        <v>64</v>
      </c>
      <c r="M729" s="310">
        <v>1</v>
      </c>
      <c r="N729" s="311">
        <f t="shared" si="280"/>
        <v>1564000</v>
      </c>
      <c r="O729" s="311">
        <v>1564000</v>
      </c>
      <c r="P729" s="310"/>
      <c r="Q729" s="310"/>
      <c r="R729" s="310"/>
      <c r="S729" s="311">
        <f t="shared" si="281"/>
        <v>1564000</v>
      </c>
      <c r="T729" s="310">
        <v>5</v>
      </c>
      <c r="U729" s="311">
        <f t="shared" si="286"/>
        <v>312800</v>
      </c>
      <c r="V729" s="312">
        <f t="shared" si="289"/>
        <v>8.3333333333333329E-2</v>
      </c>
      <c r="W729" s="311">
        <f t="shared" si="282"/>
        <v>26066.666666666664</v>
      </c>
      <c r="X729" s="310">
        <v>0.5</v>
      </c>
      <c r="Y729" s="311">
        <f t="shared" si="283"/>
        <v>156400</v>
      </c>
      <c r="Z729" s="311">
        <f t="shared" si="284"/>
        <v>182466.66666666666</v>
      </c>
      <c r="AA729" s="312">
        <f t="shared" si="290"/>
        <v>0.58333333333333337</v>
      </c>
      <c r="AB729" s="311">
        <f t="shared" si="287"/>
        <v>182466.66666666669</v>
      </c>
      <c r="AC729" s="316">
        <f t="shared" si="288"/>
        <v>1381533.3333333333</v>
      </c>
      <c r="AD729" s="313"/>
      <c r="AE729" s="313"/>
      <c r="AG729" s="80"/>
    </row>
    <row r="730" spans="1:33" s="1" customFormat="1" x14ac:dyDescent="0.25">
      <c r="A730" s="49">
        <v>16</v>
      </c>
      <c r="B730" s="308" t="s">
        <v>1735</v>
      </c>
      <c r="C730" s="314" t="s">
        <v>423</v>
      </c>
      <c r="D730" s="309" t="s">
        <v>1113</v>
      </c>
      <c r="E730" s="310" t="s">
        <v>166</v>
      </c>
      <c r="F730" s="310"/>
      <c r="G730" s="310" t="s">
        <v>319</v>
      </c>
      <c r="H730" s="310" t="s">
        <v>62</v>
      </c>
      <c r="I730" s="310">
        <v>2023</v>
      </c>
      <c r="J730" s="310"/>
      <c r="K730" s="310" t="s">
        <v>63</v>
      </c>
      <c r="L730" s="310" t="s">
        <v>64</v>
      </c>
      <c r="M730" s="310">
        <v>1</v>
      </c>
      <c r="N730" s="311">
        <f t="shared" si="280"/>
        <v>1564000</v>
      </c>
      <c r="O730" s="311">
        <v>1564000</v>
      </c>
      <c r="P730" s="310"/>
      <c r="Q730" s="310"/>
      <c r="R730" s="310"/>
      <c r="S730" s="311">
        <f t="shared" si="281"/>
        <v>1564000</v>
      </c>
      <c r="T730" s="310">
        <v>5</v>
      </c>
      <c r="U730" s="311">
        <f t="shared" si="286"/>
        <v>312800</v>
      </c>
      <c r="V730" s="312">
        <f t="shared" si="289"/>
        <v>8.3333333333333329E-2</v>
      </c>
      <c r="W730" s="311">
        <f t="shared" si="282"/>
        <v>26066.666666666664</v>
      </c>
      <c r="X730" s="310">
        <v>0.5</v>
      </c>
      <c r="Y730" s="311">
        <f t="shared" si="283"/>
        <v>156400</v>
      </c>
      <c r="Z730" s="311">
        <f t="shared" si="284"/>
        <v>182466.66666666666</v>
      </c>
      <c r="AA730" s="312">
        <f t="shared" si="290"/>
        <v>0.58333333333333337</v>
      </c>
      <c r="AB730" s="311">
        <f t="shared" si="287"/>
        <v>182466.66666666669</v>
      </c>
      <c r="AC730" s="316">
        <f t="shared" si="288"/>
        <v>1381533.3333333333</v>
      </c>
      <c r="AD730" s="313"/>
      <c r="AE730" s="313"/>
      <c r="AG730" s="80"/>
    </row>
    <row r="731" spans="1:33" s="1" customFormat="1" x14ac:dyDescent="0.25">
      <c r="A731" s="49">
        <v>17</v>
      </c>
      <c r="B731" s="308" t="s">
        <v>1735</v>
      </c>
      <c r="C731" s="314" t="s">
        <v>575</v>
      </c>
      <c r="D731" s="309" t="s">
        <v>1113</v>
      </c>
      <c r="E731" s="310" t="s">
        <v>166</v>
      </c>
      <c r="F731" s="310"/>
      <c r="G731" s="310" t="s">
        <v>319</v>
      </c>
      <c r="H731" s="310" t="s">
        <v>62</v>
      </c>
      <c r="I731" s="310">
        <v>2023</v>
      </c>
      <c r="J731" s="310"/>
      <c r="K731" s="310" t="s">
        <v>63</v>
      </c>
      <c r="L731" s="310" t="s">
        <v>64</v>
      </c>
      <c r="M731" s="310">
        <v>1</v>
      </c>
      <c r="N731" s="311">
        <f t="shared" si="280"/>
        <v>1564000</v>
      </c>
      <c r="O731" s="311">
        <v>1564000</v>
      </c>
      <c r="P731" s="310"/>
      <c r="Q731" s="310"/>
      <c r="R731" s="310"/>
      <c r="S731" s="311">
        <f t="shared" si="281"/>
        <v>1564000</v>
      </c>
      <c r="T731" s="310">
        <v>5</v>
      </c>
      <c r="U731" s="311">
        <f t="shared" si="286"/>
        <v>312800</v>
      </c>
      <c r="V731" s="312">
        <f t="shared" si="289"/>
        <v>8.3333333333333329E-2</v>
      </c>
      <c r="W731" s="311">
        <f t="shared" si="282"/>
        <v>26066.666666666664</v>
      </c>
      <c r="X731" s="310">
        <v>0.5</v>
      </c>
      <c r="Y731" s="311">
        <f t="shared" si="283"/>
        <v>156400</v>
      </c>
      <c r="Z731" s="311">
        <f t="shared" si="284"/>
        <v>182466.66666666666</v>
      </c>
      <c r="AA731" s="312">
        <f t="shared" si="290"/>
        <v>0.58333333333333337</v>
      </c>
      <c r="AB731" s="311">
        <f t="shared" si="287"/>
        <v>182466.66666666669</v>
      </c>
      <c r="AC731" s="316">
        <f t="shared" si="288"/>
        <v>1381533.3333333333</v>
      </c>
      <c r="AD731" s="313"/>
      <c r="AE731" s="313"/>
      <c r="AG731" s="80"/>
    </row>
    <row r="732" spans="1:33" s="1" customFormat="1" x14ac:dyDescent="0.25">
      <c r="A732" s="49">
        <v>18</v>
      </c>
      <c r="B732" s="308" t="s">
        <v>1735</v>
      </c>
      <c r="C732" s="314" t="s">
        <v>576</v>
      </c>
      <c r="D732" s="309" t="s">
        <v>1113</v>
      </c>
      <c r="E732" s="310" t="s">
        <v>166</v>
      </c>
      <c r="F732" s="310"/>
      <c r="G732" s="310" t="s">
        <v>319</v>
      </c>
      <c r="H732" s="310" t="s">
        <v>62</v>
      </c>
      <c r="I732" s="310">
        <v>2023</v>
      </c>
      <c r="J732" s="310"/>
      <c r="K732" s="310" t="s">
        <v>63</v>
      </c>
      <c r="L732" s="310" t="s">
        <v>64</v>
      </c>
      <c r="M732" s="310">
        <v>1</v>
      </c>
      <c r="N732" s="311">
        <f t="shared" si="280"/>
        <v>1564000</v>
      </c>
      <c r="O732" s="311">
        <v>1564000</v>
      </c>
      <c r="P732" s="310"/>
      <c r="Q732" s="310"/>
      <c r="R732" s="310"/>
      <c r="S732" s="311">
        <f t="shared" si="281"/>
        <v>1564000</v>
      </c>
      <c r="T732" s="310">
        <v>5</v>
      </c>
      <c r="U732" s="311">
        <f t="shared" si="286"/>
        <v>312800</v>
      </c>
      <c r="V732" s="312">
        <f t="shared" si="289"/>
        <v>8.3333333333333329E-2</v>
      </c>
      <c r="W732" s="311">
        <f t="shared" si="282"/>
        <v>26066.666666666664</v>
      </c>
      <c r="X732" s="310">
        <v>0.5</v>
      </c>
      <c r="Y732" s="311">
        <f t="shared" si="283"/>
        <v>156400</v>
      </c>
      <c r="Z732" s="311">
        <f t="shared" si="284"/>
        <v>182466.66666666666</v>
      </c>
      <c r="AA732" s="312">
        <f t="shared" si="290"/>
        <v>0.58333333333333337</v>
      </c>
      <c r="AB732" s="311">
        <f t="shared" si="287"/>
        <v>182466.66666666669</v>
      </c>
      <c r="AC732" s="316">
        <f t="shared" si="288"/>
        <v>1381533.3333333333</v>
      </c>
      <c r="AD732" s="313"/>
      <c r="AE732" s="313"/>
      <c r="AG732" s="80"/>
    </row>
    <row r="733" spans="1:33" s="1" customFormat="1" x14ac:dyDescent="0.25">
      <c r="A733" s="49">
        <v>19</v>
      </c>
      <c r="B733" s="308" t="s">
        <v>1735</v>
      </c>
      <c r="C733" s="314" t="s">
        <v>577</v>
      </c>
      <c r="D733" s="309" t="s">
        <v>1113</v>
      </c>
      <c r="E733" s="310" t="s">
        <v>166</v>
      </c>
      <c r="F733" s="310"/>
      <c r="G733" s="310" t="s">
        <v>319</v>
      </c>
      <c r="H733" s="310" t="s">
        <v>62</v>
      </c>
      <c r="I733" s="310">
        <v>2023</v>
      </c>
      <c r="J733" s="310"/>
      <c r="K733" s="310" t="s">
        <v>63</v>
      </c>
      <c r="L733" s="310" t="s">
        <v>64</v>
      </c>
      <c r="M733" s="310">
        <v>1</v>
      </c>
      <c r="N733" s="311">
        <f t="shared" si="280"/>
        <v>1564000</v>
      </c>
      <c r="O733" s="311">
        <v>1564000</v>
      </c>
      <c r="P733" s="310"/>
      <c r="Q733" s="310"/>
      <c r="R733" s="310"/>
      <c r="S733" s="311">
        <f t="shared" si="281"/>
        <v>1564000</v>
      </c>
      <c r="T733" s="310">
        <v>5</v>
      </c>
      <c r="U733" s="311">
        <f t="shared" si="286"/>
        <v>312800</v>
      </c>
      <c r="V733" s="312">
        <f t="shared" si="289"/>
        <v>8.3333333333333329E-2</v>
      </c>
      <c r="W733" s="311">
        <f t="shared" si="282"/>
        <v>26066.666666666664</v>
      </c>
      <c r="X733" s="310">
        <v>0.5</v>
      </c>
      <c r="Y733" s="311">
        <f t="shared" si="283"/>
        <v>156400</v>
      </c>
      <c r="Z733" s="311">
        <f t="shared" si="284"/>
        <v>182466.66666666666</v>
      </c>
      <c r="AA733" s="312">
        <f t="shared" si="290"/>
        <v>0.58333333333333337</v>
      </c>
      <c r="AB733" s="311">
        <f t="shared" si="287"/>
        <v>182466.66666666669</v>
      </c>
      <c r="AC733" s="316">
        <f t="shared" si="288"/>
        <v>1381533.3333333333</v>
      </c>
      <c r="AD733" s="313"/>
      <c r="AE733" s="313"/>
      <c r="AG733" s="80"/>
    </row>
    <row r="734" spans="1:33" s="1" customFormat="1" x14ac:dyDescent="0.25">
      <c r="A734" s="49">
        <v>20</v>
      </c>
      <c r="B734" s="308" t="s">
        <v>1735</v>
      </c>
      <c r="C734" s="314" t="s">
        <v>2205</v>
      </c>
      <c r="D734" s="309" t="s">
        <v>1113</v>
      </c>
      <c r="E734" s="310" t="s">
        <v>166</v>
      </c>
      <c r="F734" s="310"/>
      <c r="G734" s="310" t="s">
        <v>319</v>
      </c>
      <c r="H734" s="310" t="s">
        <v>62</v>
      </c>
      <c r="I734" s="310">
        <v>2023</v>
      </c>
      <c r="J734" s="310"/>
      <c r="K734" s="310" t="s">
        <v>63</v>
      </c>
      <c r="L734" s="310" t="s">
        <v>64</v>
      </c>
      <c r="M734" s="310">
        <v>1</v>
      </c>
      <c r="N734" s="311">
        <f t="shared" si="280"/>
        <v>1564000</v>
      </c>
      <c r="O734" s="311">
        <v>1564000</v>
      </c>
      <c r="P734" s="310"/>
      <c r="Q734" s="310"/>
      <c r="R734" s="310"/>
      <c r="S734" s="311">
        <f t="shared" si="281"/>
        <v>1564000</v>
      </c>
      <c r="T734" s="310">
        <v>5</v>
      </c>
      <c r="U734" s="311">
        <f t="shared" si="286"/>
        <v>312800</v>
      </c>
      <c r="V734" s="312">
        <f t="shared" si="289"/>
        <v>8.3333333333333329E-2</v>
      </c>
      <c r="W734" s="311">
        <f t="shared" si="282"/>
        <v>26066.666666666664</v>
      </c>
      <c r="X734" s="310">
        <v>0.5</v>
      </c>
      <c r="Y734" s="311">
        <f t="shared" si="283"/>
        <v>156400</v>
      </c>
      <c r="Z734" s="311">
        <f t="shared" si="284"/>
        <v>182466.66666666666</v>
      </c>
      <c r="AA734" s="312">
        <f t="shared" si="290"/>
        <v>0.58333333333333337</v>
      </c>
      <c r="AB734" s="311">
        <f t="shared" si="287"/>
        <v>182466.66666666669</v>
      </c>
      <c r="AC734" s="316">
        <f t="shared" si="288"/>
        <v>1381533.3333333333</v>
      </c>
      <c r="AD734" s="313"/>
      <c r="AE734" s="313"/>
      <c r="AG734" s="80"/>
    </row>
    <row r="735" spans="1:33" s="1" customFormat="1" x14ac:dyDescent="0.25">
      <c r="A735" s="49">
        <v>21</v>
      </c>
      <c r="B735" s="308" t="s">
        <v>1735</v>
      </c>
      <c r="C735" s="314" t="s">
        <v>3022</v>
      </c>
      <c r="D735" s="309" t="s">
        <v>1113</v>
      </c>
      <c r="E735" s="310" t="s">
        <v>166</v>
      </c>
      <c r="F735" s="310"/>
      <c r="G735" s="310" t="s">
        <v>319</v>
      </c>
      <c r="H735" s="310" t="s">
        <v>62</v>
      </c>
      <c r="I735" s="310">
        <v>2023</v>
      </c>
      <c r="J735" s="310"/>
      <c r="K735" s="310" t="s">
        <v>63</v>
      </c>
      <c r="L735" s="310" t="s">
        <v>64</v>
      </c>
      <c r="M735" s="310">
        <v>1</v>
      </c>
      <c r="N735" s="311">
        <f t="shared" si="280"/>
        <v>1564000</v>
      </c>
      <c r="O735" s="311">
        <v>1564000</v>
      </c>
      <c r="P735" s="310"/>
      <c r="Q735" s="310"/>
      <c r="R735" s="310"/>
      <c r="S735" s="311">
        <f t="shared" si="281"/>
        <v>1564000</v>
      </c>
      <c r="T735" s="310">
        <v>5</v>
      </c>
      <c r="U735" s="311">
        <f t="shared" si="286"/>
        <v>312800</v>
      </c>
      <c r="V735" s="312">
        <f t="shared" si="289"/>
        <v>8.3333333333333329E-2</v>
      </c>
      <c r="W735" s="311">
        <f t="shared" si="282"/>
        <v>26066.666666666664</v>
      </c>
      <c r="X735" s="310">
        <v>0.5</v>
      </c>
      <c r="Y735" s="311">
        <f t="shared" si="283"/>
        <v>156400</v>
      </c>
      <c r="Z735" s="311">
        <f t="shared" si="284"/>
        <v>182466.66666666666</v>
      </c>
      <c r="AA735" s="312">
        <f t="shared" si="290"/>
        <v>0.58333333333333337</v>
      </c>
      <c r="AB735" s="311">
        <f t="shared" si="287"/>
        <v>182466.66666666669</v>
      </c>
      <c r="AC735" s="316">
        <f t="shared" si="288"/>
        <v>1381533.3333333333</v>
      </c>
      <c r="AD735" s="313"/>
      <c r="AE735" s="313"/>
      <c r="AG735" s="80"/>
    </row>
    <row r="736" spans="1:33" s="1" customFormat="1" x14ac:dyDescent="0.25">
      <c r="A736" s="49">
        <v>22</v>
      </c>
      <c r="B736" s="308" t="s">
        <v>1735</v>
      </c>
      <c r="C736" s="314" t="s">
        <v>427</v>
      </c>
      <c r="D736" s="309" t="s">
        <v>1113</v>
      </c>
      <c r="E736" s="310" t="s">
        <v>166</v>
      </c>
      <c r="F736" s="310"/>
      <c r="G736" s="310" t="s">
        <v>319</v>
      </c>
      <c r="H736" s="310" t="s">
        <v>62</v>
      </c>
      <c r="I736" s="310">
        <v>2023</v>
      </c>
      <c r="J736" s="310"/>
      <c r="K736" s="310" t="s">
        <v>63</v>
      </c>
      <c r="L736" s="310" t="s">
        <v>64</v>
      </c>
      <c r="M736" s="310">
        <v>1</v>
      </c>
      <c r="N736" s="311">
        <f t="shared" si="280"/>
        <v>1564000</v>
      </c>
      <c r="O736" s="311">
        <v>1564000</v>
      </c>
      <c r="P736" s="310"/>
      <c r="Q736" s="310"/>
      <c r="R736" s="310"/>
      <c r="S736" s="311">
        <f t="shared" si="281"/>
        <v>1564000</v>
      </c>
      <c r="T736" s="310">
        <v>5</v>
      </c>
      <c r="U736" s="311">
        <f t="shared" si="286"/>
        <v>312800</v>
      </c>
      <c r="V736" s="312">
        <f t="shared" si="289"/>
        <v>8.3333333333333329E-2</v>
      </c>
      <c r="W736" s="311">
        <f t="shared" si="282"/>
        <v>26066.666666666664</v>
      </c>
      <c r="X736" s="310">
        <v>0.5</v>
      </c>
      <c r="Y736" s="311">
        <f t="shared" si="283"/>
        <v>156400</v>
      </c>
      <c r="Z736" s="311">
        <f t="shared" si="284"/>
        <v>182466.66666666666</v>
      </c>
      <c r="AA736" s="312">
        <f t="shared" si="290"/>
        <v>0.58333333333333337</v>
      </c>
      <c r="AB736" s="311">
        <f t="shared" si="287"/>
        <v>182466.66666666669</v>
      </c>
      <c r="AC736" s="316">
        <f t="shared" si="288"/>
        <v>1381533.3333333333</v>
      </c>
      <c r="AD736" s="313"/>
      <c r="AE736" s="313"/>
      <c r="AG736" s="80"/>
    </row>
    <row r="737" spans="1:33" s="1" customFormat="1" x14ac:dyDescent="0.25">
      <c r="A737" s="49">
        <v>23</v>
      </c>
      <c r="B737" s="308" t="s">
        <v>1735</v>
      </c>
      <c r="C737" s="314" t="s">
        <v>428</v>
      </c>
      <c r="D737" s="309" t="s">
        <v>1113</v>
      </c>
      <c r="E737" s="310" t="s">
        <v>166</v>
      </c>
      <c r="F737" s="310"/>
      <c r="G737" s="310" t="s">
        <v>319</v>
      </c>
      <c r="H737" s="310" t="s">
        <v>62</v>
      </c>
      <c r="I737" s="310">
        <v>2023</v>
      </c>
      <c r="J737" s="310"/>
      <c r="K737" s="310" t="s">
        <v>63</v>
      </c>
      <c r="L737" s="310" t="s">
        <v>64</v>
      </c>
      <c r="M737" s="310">
        <v>1</v>
      </c>
      <c r="N737" s="311">
        <f t="shared" si="280"/>
        <v>1564000</v>
      </c>
      <c r="O737" s="311">
        <v>1564000</v>
      </c>
      <c r="P737" s="310"/>
      <c r="Q737" s="310"/>
      <c r="R737" s="310"/>
      <c r="S737" s="311">
        <f t="shared" si="281"/>
        <v>1564000</v>
      </c>
      <c r="T737" s="310">
        <v>5</v>
      </c>
      <c r="U737" s="311">
        <f t="shared" si="286"/>
        <v>312800</v>
      </c>
      <c r="V737" s="312">
        <f t="shared" si="289"/>
        <v>8.3333333333333329E-2</v>
      </c>
      <c r="W737" s="311">
        <f t="shared" si="282"/>
        <v>26066.666666666664</v>
      </c>
      <c r="X737" s="310">
        <v>0.5</v>
      </c>
      <c r="Y737" s="311">
        <f t="shared" si="283"/>
        <v>156400</v>
      </c>
      <c r="Z737" s="311">
        <f t="shared" si="284"/>
        <v>182466.66666666666</v>
      </c>
      <c r="AA737" s="312">
        <f t="shared" si="290"/>
        <v>0.58333333333333337</v>
      </c>
      <c r="AB737" s="311">
        <f t="shared" si="287"/>
        <v>182466.66666666669</v>
      </c>
      <c r="AC737" s="316">
        <f t="shared" si="288"/>
        <v>1381533.3333333333</v>
      </c>
      <c r="AD737" s="313"/>
      <c r="AE737" s="313"/>
      <c r="AG737" s="80"/>
    </row>
    <row r="738" spans="1:33" s="1" customFormat="1" x14ac:dyDescent="0.25">
      <c r="A738" s="49">
        <v>24</v>
      </c>
      <c r="B738" s="308" t="s">
        <v>1735</v>
      </c>
      <c r="C738" s="314" t="s">
        <v>429</v>
      </c>
      <c r="D738" s="309" t="s">
        <v>1113</v>
      </c>
      <c r="E738" s="310" t="s">
        <v>166</v>
      </c>
      <c r="F738" s="310"/>
      <c r="G738" s="310" t="s">
        <v>319</v>
      </c>
      <c r="H738" s="310" t="s">
        <v>62</v>
      </c>
      <c r="I738" s="310">
        <v>2023</v>
      </c>
      <c r="J738" s="310"/>
      <c r="K738" s="310" t="s">
        <v>63</v>
      </c>
      <c r="L738" s="310" t="s">
        <v>64</v>
      </c>
      <c r="M738" s="310">
        <v>1</v>
      </c>
      <c r="N738" s="311">
        <f t="shared" si="280"/>
        <v>1564000</v>
      </c>
      <c r="O738" s="311">
        <v>1564000</v>
      </c>
      <c r="P738" s="310"/>
      <c r="Q738" s="310"/>
      <c r="R738" s="310"/>
      <c r="S738" s="311">
        <f t="shared" si="281"/>
        <v>1564000</v>
      </c>
      <c r="T738" s="310">
        <v>5</v>
      </c>
      <c r="U738" s="311">
        <f t="shared" si="286"/>
        <v>312800</v>
      </c>
      <c r="V738" s="312">
        <f t="shared" si="289"/>
        <v>8.3333333333333329E-2</v>
      </c>
      <c r="W738" s="311">
        <f t="shared" si="282"/>
        <v>26066.666666666664</v>
      </c>
      <c r="X738" s="310">
        <v>0.5</v>
      </c>
      <c r="Y738" s="311">
        <f t="shared" si="283"/>
        <v>156400</v>
      </c>
      <c r="Z738" s="311">
        <f t="shared" si="284"/>
        <v>182466.66666666666</v>
      </c>
      <c r="AA738" s="312">
        <f t="shared" si="290"/>
        <v>0.58333333333333337</v>
      </c>
      <c r="AB738" s="311">
        <f t="shared" si="287"/>
        <v>182466.66666666669</v>
      </c>
      <c r="AC738" s="316">
        <f t="shared" si="288"/>
        <v>1381533.3333333333</v>
      </c>
      <c r="AD738" s="313"/>
      <c r="AE738" s="313"/>
      <c r="AG738" s="80"/>
    </row>
    <row r="739" spans="1:33" s="1" customFormat="1" x14ac:dyDescent="0.25">
      <c r="A739" s="49">
        <v>25</v>
      </c>
      <c r="B739" s="308" t="s">
        <v>1735</v>
      </c>
      <c r="C739" s="314" t="s">
        <v>431</v>
      </c>
      <c r="D739" s="309" t="s">
        <v>1113</v>
      </c>
      <c r="E739" s="310" t="s">
        <v>166</v>
      </c>
      <c r="F739" s="310"/>
      <c r="G739" s="310" t="s">
        <v>319</v>
      </c>
      <c r="H739" s="310" t="s">
        <v>62</v>
      </c>
      <c r="I739" s="310">
        <v>2023</v>
      </c>
      <c r="J739" s="310"/>
      <c r="K739" s="310" t="s">
        <v>63</v>
      </c>
      <c r="L739" s="310" t="s">
        <v>64</v>
      </c>
      <c r="M739" s="310">
        <v>1</v>
      </c>
      <c r="N739" s="311">
        <f t="shared" si="280"/>
        <v>1564000</v>
      </c>
      <c r="O739" s="311">
        <v>1564000</v>
      </c>
      <c r="P739" s="310"/>
      <c r="Q739" s="310"/>
      <c r="R739" s="310"/>
      <c r="S739" s="311">
        <f t="shared" si="281"/>
        <v>1564000</v>
      </c>
      <c r="T739" s="310">
        <v>5</v>
      </c>
      <c r="U739" s="311">
        <f t="shared" si="286"/>
        <v>312800</v>
      </c>
      <c r="V739" s="312">
        <f t="shared" si="289"/>
        <v>8.3333333333333329E-2</v>
      </c>
      <c r="W739" s="311">
        <f t="shared" si="282"/>
        <v>26066.666666666664</v>
      </c>
      <c r="X739" s="310">
        <v>0.5</v>
      </c>
      <c r="Y739" s="311">
        <f t="shared" si="283"/>
        <v>156400</v>
      </c>
      <c r="Z739" s="311">
        <f t="shared" si="284"/>
        <v>182466.66666666666</v>
      </c>
      <c r="AA739" s="312">
        <f t="shared" si="290"/>
        <v>0.58333333333333337</v>
      </c>
      <c r="AB739" s="311">
        <f t="shared" si="287"/>
        <v>182466.66666666669</v>
      </c>
      <c r="AC739" s="316">
        <f t="shared" si="288"/>
        <v>1381533.3333333333</v>
      </c>
      <c r="AD739" s="313"/>
      <c r="AE739" s="313"/>
      <c r="AG739" s="80"/>
    </row>
    <row r="740" spans="1:33" s="1" customFormat="1" x14ac:dyDescent="0.25">
      <c r="A740" s="49">
        <v>26</v>
      </c>
      <c r="B740" s="308" t="s">
        <v>1735</v>
      </c>
      <c r="C740" s="314" t="s">
        <v>432</v>
      </c>
      <c r="D740" s="309" t="s">
        <v>1113</v>
      </c>
      <c r="E740" s="310" t="s">
        <v>166</v>
      </c>
      <c r="F740" s="310"/>
      <c r="G740" s="310" t="s">
        <v>319</v>
      </c>
      <c r="H740" s="310" t="s">
        <v>62</v>
      </c>
      <c r="I740" s="310">
        <v>2023</v>
      </c>
      <c r="J740" s="310"/>
      <c r="K740" s="310" t="s">
        <v>63</v>
      </c>
      <c r="L740" s="310" t="s">
        <v>64</v>
      </c>
      <c r="M740" s="310">
        <v>1</v>
      </c>
      <c r="N740" s="311">
        <f t="shared" si="280"/>
        <v>1564000</v>
      </c>
      <c r="O740" s="311">
        <v>1564000</v>
      </c>
      <c r="P740" s="310"/>
      <c r="Q740" s="310"/>
      <c r="R740" s="310"/>
      <c r="S740" s="311">
        <f t="shared" si="281"/>
        <v>1564000</v>
      </c>
      <c r="T740" s="310">
        <v>5</v>
      </c>
      <c r="U740" s="311">
        <f t="shared" si="286"/>
        <v>312800</v>
      </c>
      <c r="V740" s="312">
        <f t="shared" si="289"/>
        <v>8.3333333333333329E-2</v>
      </c>
      <c r="W740" s="311">
        <f t="shared" si="282"/>
        <v>26066.666666666664</v>
      </c>
      <c r="X740" s="310">
        <v>0.5</v>
      </c>
      <c r="Y740" s="311">
        <f t="shared" si="283"/>
        <v>156400</v>
      </c>
      <c r="Z740" s="311">
        <f t="shared" si="284"/>
        <v>182466.66666666666</v>
      </c>
      <c r="AA740" s="312">
        <f t="shared" si="290"/>
        <v>0.58333333333333337</v>
      </c>
      <c r="AB740" s="311">
        <f t="shared" si="287"/>
        <v>182466.66666666669</v>
      </c>
      <c r="AC740" s="316">
        <f t="shared" si="288"/>
        <v>1381533.3333333333</v>
      </c>
      <c r="AD740" s="313"/>
      <c r="AE740" s="313"/>
      <c r="AG740" s="80"/>
    </row>
    <row r="741" spans="1:33" s="1" customFormat="1" x14ac:dyDescent="0.25">
      <c r="A741" s="49">
        <v>27</v>
      </c>
      <c r="B741" s="308" t="s">
        <v>1735</v>
      </c>
      <c r="C741" s="314" t="s">
        <v>435</v>
      </c>
      <c r="D741" s="309" t="s">
        <v>1113</v>
      </c>
      <c r="E741" s="310" t="s">
        <v>166</v>
      </c>
      <c r="F741" s="310"/>
      <c r="G741" s="310" t="s">
        <v>319</v>
      </c>
      <c r="H741" s="310" t="s">
        <v>62</v>
      </c>
      <c r="I741" s="310">
        <v>2023</v>
      </c>
      <c r="J741" s="310"/>
      <c r="K741" s="310" t="s">
        <v>63</v>
      </c>
      <c r="L741" s="310" t="s">
        <v>64</v>
      </c>
      <c r="M741" s="310">
        <v>1</v>
      </c>
      <c r="N741" s="311">
        <f t="shared" si="280"/>
        <v>1564000</v>
      </c>
      <c r="O741" s="311">
        <v>1564000</v>
      </c>
      <c r="P741" s="310"/>
      <c r="Q741" s="310"/>
      <c r="R741" s="310"/>
      <c r="S741" s="311">
        <f t="shared" si="281"/>
        <v>1564000</v>
      </c>
      <c r="T741" s="310">
        <v>5</v>
      </c>
      <c r="U741" s="311">
        <f t="shared" si="286"/>
        <v>312800</v>
      </c>
      <c r="V741" s="312">
        <f t="shared" si="289"/>
        <v>8.3333333333333329E-2</v>
      </c>
      <c r="W741" s="311">
        <f t="shared" si="282"/>
        <v>26066.666666666664</v>
      </c>
      <c r="X741" s="310">
        <v>0.5</v>
      </c>
      <c r="Y741" s="311">
        <f t="shared" si="283"/>
        <v>156400</v>
      </c>
      <c r="Z741" s="311">
        <f t="shared" si="284"/>
        <v>182466.66666666666</v>
      </c>
      <c r="AA741" s="312">
        <f t="shared" si="290"/>
        <v>0.58333333333333337</v>
      </c>
      <c r="AB741" s="311">
        <f t="shared" si="287"/>
        <v>182466.66666666669</v>
      </c>
      <c r="AC741" s="316">
        <f t="shared" si="288"/>
        <v>1381533.3333333333</v>
      </c>
      <c r="AD741" s="313"/>
      <c r="AE741" s="313"/>
      <c r="AG741" s="80"/>
    </row>
    <row r="742" spans="1:33" s="1" customFormat="1" x14ac:dyDescent="0.25">
      <c r="A742" s="49">
        <v>28</v>
      </c>
      <c r="B742" s="308" t="s">
        <v>1735</v>
      </c>
      <c r="C742" s="314" t="s">
        <v>436</v>
      </c>
      <c r="D742" s="309" t="s">
        <v>1113</v>
      </c>
      <c r="E742" s="310" t="s">
        <v>166</v>
      </c>
      <c r="F742" s="310"/>
      <c r="G742" s="310" t="s">
        <v>319</v>
      </c>
      <c r="H742" s="310" t="s">
        <v>62</v>
      </c>
      <c r="I742" s="310">
        <v>2023</v>
      </c>
      <c r="J742" s="310"/>
      <c r="K742" s="310" t="s">
        <v>63</v>
      </c>
      <c r="L742" s="310" t="s">
        <v>64</v>
      </c>
      <c r="M742" s="310">
        <v>1</v>
      </c>
      <c r="N742" s="311">
        <f t="shared" si="280"/>
        <v>1564000</v>
      </c>
      <c r="O742" s="311">
        <v>1564000</v>
      </c>
      <c r="P742" s="310"/>
      <c r="Q742" s="310"/>
      <c r="R742" s="310"/>
      <c r="S742" s="311">
        <f t="shared" si="281"/>
        <v>1564000</v>
      </c>
      <c r="T742" s="310">
        <v>5</v>
      </c>
      <c r="U742" s="311">
        <f t="shared" si="286"/>
        <v>312800</v>
      </c>
      <c r="V742" s="312">
        <f t="shared" si="289"/>
        <v>8.3333333333333329E-2</v>
      </c>
      <c r="W742" s="311">
        <f t="shared" si="282"/>
        <v>26066.666666666664</v>
      </c>
      <c r="X742" s="310">
        <v>0.5</v>
      </c>
      <c r="Y742" s="311">
        <f t="shared" si="283"/>
        <v>156400</v>
      </c>
      <c r="Z742" s="311">
        <f t="shared" si="284"/>
        <v>182466.66666666666</v>
      </c>
      <c r="AA742" s="312">
        <f t="shared" si="290"/>
        <v>0.58333333333333337</v>
      </c>
      <c r="AB742" s="311">
        <f t="shared" si="287"/>
        <v>182466.66666666669</v>
      </c>
      <c r="AC742" s="316">
        <f t="shared" si="288"/>
        <v>1381533.3333333333</v>
      </c>
      <c r="AD742" s="313"/>
      <c r="AE742" s="313"/>
      <c r="AG742" s="80"/>
    </row>
    <row r="743" spans="1:33" s="1" customFormat="1" x14ac:dyDescent="0.25">
      <c r="A743" s="49">
        <v>29</v>
      </c>
      <c r="B743" s="22" t="s">
        <v>1735</v>
      </c>
      <c r="C743" s="22" t="s">
        <v>575</v>
      </c>
      <c r="D743" s="51" t="s">
        <v>1121</v>
      </c>
      <c r="E743" s="24" t="s">
        <v>166</v>
      </c>
      <c r="F743" s="24"/>
      <c r="G743" s="24" t="s">
        <v>319</v>
      </c>
      <c r="H743" s="24" t="s">
        <v>62</v>
      </c>
      <c r="I743" s="24">
        <v>2011</v>
      </c>
      <c r="J743" s="24"/>
      <c r="K743" s="24" t="s">
        <v>202</v>
      </c>
      <c r="L743" s="24" t="s">
        <v>64</v>
      </c>
      <c r="M743" s="24">
        <v>1</v>
      </c>
      <c r="N743" s="41">
        <f t="shared" si="280"/>
        <v>11886000</v>
      </c>
      <c r="O743" s="41">
        <v>11886000</v>
      </c>
      <c r="P743" s="24"/>
      <c r="Q743" s="24"/>
      <c r="R743" s="24"/>
      <c r="S743" s="41">
        <f t="shared" si="281"/>
        <v>11886000</v>
      </c>
      <c r="T743" s="24">
        <v>5</v>
      </c>
      <c r="U743" s="41"/>
      <c r="V743" s="24">
        <v>0.5</v>
      </c>
      <c r="W743" s="41">
        <f t="shared" si="282"/>
        <v>0</v>
      </c>
      <c r="X743" s="24"/>
      <c r="Y743" s="41">
        <f>SUM(U743*X743)</f>
        <v>0</v>
      </c>
      <c r="Z743" s="41">
        <f t="shared" si="284"/>
        <v>0</v>
      </c>
      <c r="AA743" s="24">
        <v>5</v>
      </c>
      <c r="AB743" s="41">
        <v>11886000</v>
      </c>
      <c r="AC743" s="41">
        <f t="shared" si="288"/>
        <v>0</v>
      </c>
      <c r="AD743" s="70" t="s">
        <v>311</v>
      </c>
      <c r="AE743" s="70"/>
      <c r="AG743" s="80"/>
    </row>
    <row r="744" spans="1:33" s="1" customFormat="1" x14ac:dyDescent="0.25">
      <c r="A744" s="49">
        <v>30</v>
      </c>
      <c r="B744" s="22" t="s">
        <v>1735</v>
      </c>
      <c r="C744" s="22" t="s">
        <v>159</v>
      </c>
      <c r="D744" s="51" t="s">
        <v>1122</v>
      </c>
      <c r="E744" s="24" t="s">
        <v>166</v>
      </c>
      <c r="F744" s="24"/>
      <c r="G744" s="24" t="s">
        <v>319</v>
      </c>
      <c r="H744" s="24" t="s">
        <v>62</v>
      </c>
      <c r="I744" s="24">
        <v>2017</v>
      </c>
      <c r="J744" s="24"/>
      <c r="K744" s="24" t="s">
        <v>63</v>
      </c>
      <c r="L744" s="24" t="s">
        <v>64</v>
      </c>
      <c r="M744" s="24">
        <v>1</v>
      </c>
      <c r="N744" s="41">
        <f t="shared" si="280"/>
        <v>5384500</v>
      </c>
      <c r="O744" s="41">
        <v>5384500</v>
      </c>
      <c r="P744" s="24"/>
      <c r="Q744" s="24"/>
      <c r="R744" s="24"/>
      <c r="S744" s="41">
        <f t="shared" si="281"/>
        <v>5384500</v>
      </c>
      <c r="T744" s="24">
        <v>5</v>
      </c>
      <c r="U744" s="41"/>
      <c r="V744" s="24"/>
      <c r="W744" s="41"/>
      <c r="X744" s="24"/>
      <c r="Y744" s="41"/>
      <c r="Z744" s="41"/>
      <c r="AA744" s="72">
        <v>5</v>
      </c>
      <c r="AB744" s="41">
        <v>5384500</v>
      </c>
      <c r="AC744" s="41">
        <f t="shared" si="288"/>
        <v>0</v>
      </c>
      <c r="AD744" s="70" t="s">
        <v>439</v>
      </c>
      <c r="AE744" s="70"/>
      <c r="AG744" s="80"/>
    </row>
    <row r="745" spans="1:33" s="1" customFormat="1" x14ac:dyDescent="0.25">
      <c r="A745" s="49">
        <v>31</v>
      </c>
      <c r="B745" s="22" t="s">
        <v>1735</v>
      </c>
      <c r="C745" s="22" t="s">
        <v>162</v>
      </c>
      <c r="D745" s="51" t="s">
        <v>1122</v>
      </c>
      <c r="E745" s="24" t="s">
        <v>166</v>
      </c>
      <c r="F745" s="24"/>
      <c r="G745" s="24" t="s">
        <v>319</v>
      </c>
      <c r="H745" s="24" t="s">
        <v>62</v>
      </c>
      <c r="I745" s="24">
        <v>2017</v>
      </c>
      <c r="J745" s="24"/>
      <c r="K745" s="24" t="s">
        <v>63</v>
      </c>
      <c r="L745" s="24" t="s">
        <v>64</v>
      </c>
      <c r="M745" s="24">
        <v>1</v>
      </c>
      <c r="N745" s="41">
        <f t="shared" si="280"/>
        <v>5384500</v>
      </c>
      <c r="O745" s="41">
        <v>5384500</v>
      </c>
      <c r="P745" s="24"/>
      <c r="Q745" s="24"/>
      <c r="R745" s="24"/>
      <c r="S745" s="41">
        <f t="shared" si="281"/>
        <v>5384500</v>
      </c>
      <c r="T745" s="24">
        <v>5</v>
      </c>
      <c r="U745" s="41"/>
      <c r="V745" s="24">
        <v>0.5</v>
      </c>
      <c r="W745" s="41"/>
      <c r="X745" s="24"/>
      <c r="Y745" s="41">
        <f>SUM(U745*X745)</f>
        <v>0</v>
      </c>
      <c r="Z745" s="41">
        <f>SUM(W745+Y745)</f>
        <v>0</v>
      </c>
      <c r="AA745" s="72">
        <v>5</v>
      </c>
      <c r="AB745" s="41">
        <v>5384500</v>
      </c>
      <c r="AC745" s="41">
        <f t="shared" si="288"/>
        <v>0</v>
      </c>
      <c r="AD745" s="70" t="s">
        <v>326</v>
      </c>
      <c r="AE745" s="70"/>
      <c r="AG745" s="80"/>
    </row>
    <row r="746" spans="1:33" s="1" customFormat="1" x14ac:dyDescent="0.25">
      <c r="A746" s="49">
        <v>32</v>
      </c>
      <c r="B746" s="22" t="s">
        <v>1735</v>
      </c>
      <c r="C746" s="22" t="s">
        <v>312</v>
      </c>
      <c r="D746" s="51" t="s">
        <v>1122</v>
      </c>
      <c r="E746" s="24" t="s">
        <v>166</v>
      </c>
      <c r="F746" s="24"/>
      <c r="G746" s="24" t="s">
        <v>319</v>
      </c>
      <c r="H746" s="24" t="s">
        <v>62</v>
      </c>
      <c r="I746" s="24">
        <v>2017</v>
      </c>
      <c r="J746" s="24"/>
      <c r="K746" s="24" t="s">
        <v>63</v>
      </c>
      <c r="L746" s="24" t="s">
        <v>64</v>
      </c>
      <c r="M746" s="24">
        <v>1</v>
      </c>
      <c r="N746" s="41">
        <f t="shared" si="280"/>
        <v>5384500</v>
      </c>
      <c r="O746" s="41">
        <v>5384500</v>
      </c>
      <c r="P746" s="24"/>
      <c r="Q746" s="24"/>
      <c r="R746" s="24"/>
      <c r="S746" s="41">
        <f t="shared" si="281"/>
        <v>5384500</v>
      </c>
      <c r="T746" s="24">
        <v>5</v>
      </c>
      <c r="U746" s="41"/>
      <c r="V746" s="24">
        <v>0.5</v>
      </c>
      <c r="W746" s="41"/>
      <c r="X746" s="24"/>
      <c r="Y746" s="41">
        <f>SUM(U746*X746)</f>
        <v>0</v>
      </c>
      <c r="Z746" s="41">
        <f>SUM(W746+Y746)</f>
        <v>0</v>
      </c>
      <c r="AA746" s="72">
        <v>5</v>
      </c>
      <c r="AB746" s="41">
        <v>5384500</v>
      </c>
      <c r="AC746" s="41">
        <f t="shared" si="288"/>
        <v>0</v>
      </c>
      <c r="AD746" s="70" t="s">
        <v>218</v>
      </c>
      <c r="AE746" s="70"/>
      <c r="AG746" s="80"/>
    </row>
    <row r="747" spans="1:33" s="1" customFormat="1" x14ac:dyDescent="0.25">
      <c r="A747" s="49">
        <v>33</v>
      </c>
      <c r="B747" s="22" t="s">
        <v>1735</v>
      </c>
      <c r="C747" s="22" t="s">
        <v>313</v>
      </c>
      <c r="D747" s="51" t="s">
        <v>1122</v>
      </c>
      <c r="E747" s="24" t="s">
        <v>166</v>
      </c>
      <c r="F747" s="24"/>
      <c r="G747" s="24" t="s">
        <v>319</v>
      </c>
      <c r="H747" s="24" t="s">
        <v>62</v>
      </c>
      <c r="I747" s="24">
        <v>2017</v>
      </c>
      <c r="J747" s="24"/>
      <c r="K747" s="24" t="s">
        <v>63</v>
      </c>
      <c r="L747" s="24" t="s">
        <v>64</v>
      </c>
      <c r="M747" s="24">
        <v>1</v>
      </c>
      <c r="N747" s="41">
        <f t="shared" si="280"/>
        <v>5384500</v>
      </c>
      <c r="O747" s="41">
        <v>5384500</v>
      </c>
      <c r="P747" s="24"/>
      <c r="Q747" s="24"/>
      <c r="R747" s="24"/>
      <c r="S747" s="41">
        <f t="shared" si="281"/>
        <v>5384500</v>
      </c>
      <c r="T747" s="24">
        <v>5</v>
      </c>
      <c r="U747" s="41"/>
      <c r="V747" s="24">
        <v>0.5</v>
      </c>
      <c r="W747" s="41"/>
      <c r="X747" s="24"/>
      <c r="Y747" s="41">
        <f>SUM(U747*X747)</f>
        <v>0</v>
      </c>
      <c r="Z747" s="41">
        <f>SUM(W747+Y747)</f>
        <v>0</v>
      </c>
      <c r="AA747" s="72">
        <v>5</v>
      </c>
      <c r="AB747" s="41">
        <v>5384500</v>
      </c>
      <c r="AC747" s="41">
        <f t="shared" si="288"/>
        <v>0</v>
      </c>
      <c r="AD747" s="70" t="s">
        <v>324</v>
      </c>
      <c r="AE747" s="70"/>
      <c r="AG747" s="80"/>
    </row>
    <row r="748" spans="1:33" s="1" customFormat="1" x14ac:dyDescent="0.25">
      <c r="A748" s="49">
        <v>34</v>
      </c>
      <c r="B748" s="22" t="s">
        <v>1735</v>
      </c>
      <c r="C748" s="22"/>
      <c r="D748" s="51" t="s">
        <v>1123</v>
      </c>
      <c r="E748" s="52" t="s">
        <v>166</v>
      </c>
      <c r="F748" s="52"/>
      <c r="G748" s="52" t="s">
        <v>319</v>
      </c>
      <c r="H748" s="52" t="s">
        <v>62</v>
      </c>
      <c r="I748" s="52">
        <v>2022</v>
      </c>
      <c r="J748" s="52"/>
      <c r="K748" s="52" t="s">
        <v>202</v>
      </c>
      <c r="L748" s="52" t="s">
        <v>64</v>
      </c>
      <c r="M748" s="52">
        <v>5</v>
      </c>
      <c r="N748" s="53">
        <f t="shared" si="280"/>
        <v>3141791.6</v>
      </c>
      <c r="O748" s="53">
        <v>15708958</v>
      </c>
      <c r="P748" s="52"/>
      <c r="Q748" s="52"/>
      <c r="R748" s="52"/>
      <c r="S748" s="53">
        <f t="shared" si="281"/>
        <v>15708958</v>
      </c>
      <c r="T748" s="52">
        <v>5</v>
      </c>
      <c r="U748" s="53">
        <f>SUM(S748/T748)</f>
        <v>3141791.6</v>
      </c>
      <c r="V748" s="52">
        <v>0.5</v>
      </c>
      <c r="W748" s="53">
        <f t="shared" ref="W748:W784" si="291">SUM(U748*V748)</f>
        <v>1570895.8</v>
      </c>
      <c r="X748" s="52">
        <v>0.5</v>
      </c>
      <c r="Y748" s="53">
        <f>SUM(U748*X748)</f>
        <v>1570895.8</v>
      </c>
      <c r="Z748" s="53">
        <f>SUM(W748+Y748)</f>
        <v>3141791.6</v>
      </c>
      <c r="AA748" s="57">
        <f>9/12+0.5+0.5</f>
        <v>1.75</v>
      </c>
      <c r="AB748" s="53">
        <f>SUM(U748*AA748)</f>
        <v>5498135.2999999998</v>
      </c>
      <c r="AC748" s="53">
        <f t="shared" si="288"/>
        <v>10210822.699999999</v>
      </c>
      <c r="AD748" s="56"/>
      <c r="AE748" s="70"/>
      <c r="AG748" s="80"/>
    </row>
    <row r="749" spans="1:33" s="1" customFormat="1" x14ac:dyDescent="0.25">
      <c r="A749" s="49">
        <v>35</v>
      </c>
      <c r="B749" s="22" t="s">
        <v>1736</v>
      </c>
      <c r="C749" s="22" t="s">
        <v>1064</v>
      </c>
      <c r="D749" s="51" t="s">
        <v>1065</v>
      </c>
      <c r="E749" s="24" t="s">
        <v>1066</v>
      </c>
      <c r="F749" s="24"/>
      <c r="G749" s="24" t="s">
        <v>737</v>
      </c>
      <c r="H749" s="24" t="s">
        <v>62</v>
      </c>
      <c r="I749" s="24">
        <v>2012</v>
      </c>
      <c r="J749" s="24"/>
      <c r="K749" s="24" t="s">
        <v>63</v>
      </c>
      <c r="L749" s="24" t="s">
        <v>64</v>
      </c>
      <c r="M749" s="24">
        <v>14</v>
      </c>
      <c r="N749" s="41">
        <f t="shared" si="280"/>
        <v>499400</v>
      </c>
      <c r="O749" s="41">
        <v>6991600</v>
      </c>
      <c r="P749" s="24"/>
      <c r="Q749" s="24"/>
      <c r="R749" s="24"/>
      <c r="S749" s="41">
        <f t="shared" si="281"/>
        <v>6991600</v>
      </c>
      <c r="T749" s="24">
        <v>5</v>
      </c>
      <c r="U749" s="41"/>
      <c r="V749" s="24">
        <v>0.5</v>
      </c>
      <c r="W749" s="41">
        <f t="shared" si="291"/>
        <v>0</v>
      </c>
      <c r="X749" s="24"/>
      <c r="Y749" s="41">
        <f t="shared" ref="Y749:Y784" si="292">SUM(U749*X749)</f>
        <v>0</v>
      </c>
      <c r="Z749" s="41">
        <f t="shared" ref="Z749:Z784" si="293">SUM(W749+Y749)</f>
        <v>0</v>
      </c>
      <c r="AA749" s="24">
        <v>5</v>
      </c>
      <c r="AB749" s="41">
        <v>6991600</v>
      </c>
      <c r="AC749" s="41">
        <f t="shared" si="288"/>
        <v>0</v>
      </c>
      <c r="AD749" s="70" t="s">
        <v>350</v>
      </c>
      <c r="AE749" s="70"/>
      <c r="AG749" s="81"/>
    </row>
    <row r="750" spans="1:33" s="1" customFormat="1" ht="12" customHeight="1" x14ac:dyDescent="0.25">
      <c r="A750" s="49">
        <v>36</v>
      </c>
      <c r="B750" s="22" t="s">
        <v>1736</v>
      </c>
      <c r="C750" s="22" t="s">
        <v>1067</v>
      </c>
      <c r="D750" s="51" t="s">
        <v>1065</v>
      </c>
      <c r="E750" s="24" t="s">
        <v>1066</v>
      </c>
      <c r="F750" s="24"/>
      <c r="G750" s="24" t="s">
        <v>737</v>
      </c>
      <c r="H750" s="24" t="s">
        <v>62</v>
      </c>
      <c r="I750" s="24">
        <v>2012</v>
      </c>
      <c r="J750" s="24"/>
      <c r="K750" s="24" t="s">
        <v>63</v>
      </c>
      <c r="L750" s="24" t="s">
        <v>64</v>
      </c>
      <c r="M750" s="24">
        <v>18</v>
      </c>
      <c r="N750" s="41">
        <f t="shared" si="280"/>
        <v>499400</v>
      </c>
      <c r="O750" s="41">
        <v>8989200</v>
      </c>
      <c r="P750" s="24"/>
      <c r="Q750" s="24"/>
      <c r="R750" s="24"/>
      <c r="S750" s="41">
        <f t="shared" si="281"/>
        <v>8989200</v>
      </c>
      <c r="T750" s="24">
        <v>5</v>
      </c>
      <c r="U750" s="41"/>
      <c r="V750" s="24">
        <v>0.5</v>
      </c>
      <c r="W750" s="41">
        <f t="shared" si="291"/>
        <v>0</v>
      </c>
      <c r="X750" s="24"/>
      <c r="Y750" s="41">
        <f t="shared" si="292"/>
        <v>0</v>
      </c>
      <c r="Z750" s="41">
        <f t="shared" si="293"/>
        <v>0</v>
      </c>
      <c r="AA750" s="24">
        <v>5</v>
      </c>
      <c r="AB750" s="41">
        <v>8989200</v>
      </c>
      <c r="AC750" s="41">
        <f t="shared" si="288"/>
        <v>0</v>
      </c>
      <c r="AD750" s="70" t="s">
        <v>354</v>
      </c>
      <c r="AE750" s="70"/>
      <c r="AG750" s="81"/>
    </row>
    <row r="751" spans="1:33" s="1" customFormat="1" ht="12" customHeight="1" x14ac:dyDescent="0.25">
      <c r="A751" s="49">
        <v>37</v>
      </c>
      <c r="B751" s="22" t="s">
        <v>1736</v>
      </c>
      <c r="C751" s="22" t="s">
        <v>404</v>
      </c>
      <c r="D751" s="51" t="s">
        <v>1065</v>
      </c>
      <c r="E751" s="24" t="s">
        <v>1066</v>
      </c>
      <c r="F751" s="24"/>
      <c r="G751" s="24" t="s">
        <v>737</v>
      </c>
      <c r="H751" s="24" t="s">
        <v>62</v>
      </c>
      <c r="I751" s="24">
        <v>2012</v>
      </c>
      <c r="J751" s="24"/>
      <c r="K751" s="24" t="s">
        <v>63</v>
      </c>
      <c r="L751" s="24" t="s">
        <v>64</v>
      </c>
      <c r="M751" s="24">
        <v>2</v>
      </c>
      <c r="N751" s="41">
        <f t="shared" si="280"/>
        <v>499400</v>
      </c>
      <c r="O751" s="41">
        <v>998800</v>
      </c>
      <c r="P751" s="24"/>
      <c r="Q751" s="24"/>
      <c r="R751" s="24"/>
      <c r="S751" s="41">
        <f t="shared" si="281"/>
        <v>998800</v>
      </c>
      <c r="T751" s="24">
        <v>5</v>
      </c>
      <c r="U751" s="41"/>
      <c r="V751" s="24">
        <v>0.5</v>
      </c>
      <c r="W751" s="41">
        <f t="shared" si="291"/>
        <v>0</v>
      </c>
      <c r="X751" s="24"/>
      <c r="Y751" s="41">
        <f t="shared" si="292"/>
        <v>0</v>
      </c>
      <c r="Z751" s="41">
        <f t="shared" si="293"/>
        <v>0</v>
      </c>
      <c r="AA751" s="24">
        <v>5</v>
      </c>
      <c r="AB751" s="41">
        <v>998800</v>
      </c>
      <c r="AC751" s="41">
        <f t="shared" si="288"/>
        <v>0</v>
      </c>
      <c r="AD751" s="70" t="s">
        <v>259</v>
      </c>
      <c r="AE751" s="70"/>
      <c r="AG751" s="81"/>
    </row>
    <row r="752" spans="1:33" s="1" customFormat="1" ht="12" customHeight="1" x14ac:dyDescent="0.25">
      <c r="A752" s="49">
        <v>38</v>
      </c>
      <c r="B752" s="22" t="s">
        <v>1736</v>
      </c>
      <c r="C752" s="22" t="s">
        <v>1068</v>
      </c>
      <c r="D752" s="51" t="s">
        <v>1069</v>
      </c>
      <c r="E752" s="24" t="s">
        <v>166</v>
      </c>
      <c r="F752" s="24"/>
      <c r="G752" s="24" t="s">
        <v>737</v>
      </c>
      <c r="H752" s="24" t="s">
        <v>62</v>
      </c>
      <c r="I752" s="24">
        <v>2013</v>
      </c>
      <c r="J752" s="24"/>
      <c r="K752" s="24" t="s">
        <v>63</v>
      </c>
      <c r="L752" s="24" t="s">
        <v>64</v>
      </c>
      <c r="M752" s="24">
        <v>4</v>
      </c>
      <c r="N752" s="41">
        <f t="shared" si="280"/>
        <v>6533100</v>
      </c>
      <c r="O752" s="41">
        <v>26132400</v>
      </c>
      <c r="P752" s="24"/>
      <c r="Q752" s="24"/>
      <c r="R752" s="24"/>
      <c r="S752" s="41">
        <f t="shared" si="281"/>
        <v>26132400</v>
      </c>
      <c r="T752" s="24">
        <v>5</v>
      </c>
      <c r="U752" s="41"/>
      <c r="V752" s="24">
        <v>0.5</v>
      </c>
      <c r="W752" s="41">
        <f t="shared" si="291"/>
        <v>0</v>
      </c>
      <c r="X752" s="24"/>
      <c r="Y752" s="41">
        <f t="shared" si="292"/>
        <v>0</v>
      </c>
      <c r="Z752" s="41">
        <f t="shared" si="293"/>
        <v>0</v>
      </c>
      <c r="AA752" s="24">
        <v>5</v>
      </c>
      <c r="AB752" s="41">
        <v>26132400</v>
      </c>
      <c r="AC752" s="41">
        <f t="shared" si="288"/>
        <v>0</v>
      </c>
      <c r="AD752" s="70" t="s">
        <v>1070</v>
      </c>
      <c r="AE752" s="70"/>
      <c r="AG752" s="81"/>
    </row>
    <row r="753" spans="1:33" s="1" customFormat="1" ht="12" customHeight="1" x14ac:dyDescent="0.25">
      <c r="A753" s="49">
        <v>39</v>
      </c>
      <c r="B753" s="22" t="s">
        <v>1736</v>
      </c>
      <c r="C753" s="22" t="s">
        <v>1071</v>
      </c>
      <c r="D753" s="50" t="s">
        <v>1072</v>
      </c>
      <c r="E753" s="24" t="s">
        <v>166</v>
      </c>
      <c r="F753" s="24"/>
      <c r="G753" s="24" t="s">
        <v>767</v>
      </c>
      <c r="H753" s="24" t="s">
        <v>62</v>
      </c>
      <c r="I753" s="24">
        <v>2014</v>
      </c>
      <c r="J753" s="24"/>
      <c r="K753" s="24" t="s">
        <v>63</v>
      </c>
      <c r="L753" s="24" t="s">
        <v>64</v>
      </c>
      <c r="M753" s="24">
        <v>5</v>
      </c>
      <c r="N753" s="41">
        <f t="shared" si="280"/>
        <v>999955</v>
      </c>
      <c r="O753" s="41">
        <v>4999775</v>
      </c>
      <c r="P753" s="24"/>
      <c r="Q753" s="24"/>
      <c r="R753" s="24"/>
      <c r="S753" s="41">
        <f t="shared" si="281"/>
        <v>4999775</v>
      </c>
      <c r="T753" s="24">
        <v>5</v>
      </c>
      <c r="U753" s="41"/>
      <c r="V753" s="24">
        <v>0.5</v>
      </c>
      <c r="W753" s="41">
        <f t="shared" si="291"/>
        <v>0</v>
      </c>
      <c r="X753" s="24"/>
      <c r="Y753" s="41">
        <f t="shared" si="292"/>
        <v>0</v>
      </c>
      <c r="Z753" s="41">
        <f t="shared" si="293"/>
        <v>0</v>
      </c>
      <c r="AA753" s="72">
        <v>5</v>
      </c>
      <c r="AB753" s="41">
        <v>4999775</v>
      </c>
      <c r="AC753" s="41">
        <f t="shared" si="288"/>
        <v>0</v>
      </c>
      <c r="AD753" s="70" t="s">
        <v>1073</v>
      </c>
      <c r="AE753" s="70"/>
      <c r="AG753" s="81"/>
    </row>
    <row r="754" spans="1:33" s="1" customFormat="1" ht="12" customHeight="1" x14ac:dyDescent="0.25">
      <c r="A754" s="49">
        <v>40</v>
      </c>
      <c r="B754" s="22" t="s">
        <v>1736</v>
      </c>
      <c r="C754" s="22" t="s">
        <v>1074</v>
      </c>
      <c r="D754" s="50" t="s">
        <v>1072</v>
      </c>
      <c r="E754" s="24" t="s">
        <v>166</v>
      </c>
      <c r="F754" s="24"/>
      <c r="G754" s="24" t="s">
        <v>767</v>
      </c>
      <c r="H754" s="24" t="s">
        <v>62</v>
      </c>
      <c r="I754" s="24">
        <v>2014</v>
      </c>
      <c r="J754" s="24"/>
      <c r="K754" s="24" t="s">
        <v>63</v>
      </c>
      <c r="L754" s="24" t="s">
        <v>64</v>
      </c>
      <c r="M754" s="24">
        <v>6</v>
      </c>
      <c r="N754" s="41">
        <f t="shared" si="280"/>
        <v>999955</v>
      </c>
      <c r="O754" s="41">
        <v>5999730</v>
      </c>
      <c r="P754" s="24"/>
      <c r="Q754" s="24"/>
      <c r="R754" s="24"/>
      <c r="S754" s="41">
        <f t="shared" si="281"/>
        <v>5999730</v>
      </c>
      <c r="T754" s="24">
        <v>5</v>
      </c>
      <c r="U754" s="41"/>
      <c r="V754" s="24">
        <v>0.5</v>
      </c>
      <c r="W754" s="41">
        <f t="shared" si="291"/>
        <v>0</v>
      </c>
      <c r="X754" s="24"/>
      <c r="Y754" s="41">
        <f t="shared" si="292"/>
        <v>0</v>
      </c>
      <c r="Z754" s="41">
        <f t="shared" si="293"/>
        <v>0</v>
      </c>
      <c r="AA754" s="72">
        <v>5</v>
      </c>
      <c r="AB754" s="41">
        <v>5999730</v>
      </c>
      <c r="AC754" s="41">
        <f t="shared" si="288"/>
        <v>0</v>
      </c>
      <c r="AD754" s="70" t="s">
        <v>220</v>
      </c>
      <c r="AE754" s="70"/>
      <c r="AG754" s="81"/>
    </row>
    <row r="755" spans="1:33" s="1" customFormat="1" ht="12" customHeight="1" x14ac:dyDescent="0.25">
      <c r="A755" s="49">
        <v>41</v>
      </c>
      <c r="B755" s="22" t="s">
        <v>1736</v>
      </c>
      <c r="C755" s="22" t="s">
        <v>1075</v>
      </c>
      <c r="D755" s="50" t="s">
        <v>1072</v>
      </c>
      <c r="E755" s="24" t="s">
        <v>166</v>
      </c>
      <c r="F755" s="24"/>
      <c r="G755" s="24" t="s">
        <v>767</v>
      </c>
      <c r="H755" s="24" t="s">
        <v>62</v>
      </c>
      <c r="I755" s="24">
        <v>2014</v>
      </c>
      <c r="J755" s="24"/>
      <c r="K755" s="24" t="s">
        <v>63</v>
      </c>
      <c r="L755" s="24" t="s">
        <v>64</v>
      </c>
      <c r="M755" s="24">
        <v>5</v>
      </c>
      <c r="N755" s="41">
        <f t="shared" si="280"/>
        <v>999955</v>
      </c>
      <c r="O755" s="41">
        <v>4999775</v>
      </c>
      <c r="P755" s="24"/>
      <c r="Q755" s="24"/>
      <c r="R755" s="24"/>
      <c r="S755" s="41">
        <f t="shared" si="281"/>
        <v>4999775</v>
      </c>
      <c r="T755" s="24">
        <v>5</v>
      </c>
      <c r="U755" s="41"/>
      <c r="V755" s="24">
        <v>0.5</v>
      </c>
      <c r="W755" s="41">
        <f t="shared" si="291"/>
        <v>0</v>
      </c>
      <c r="X755" s="24"/>
      <c r="Y755" s="41">
        <f t="shared" si="292"/>
        <v>0</v>
      </c>
      <c r="Z755" s="41">
        <f t="shared" si="293"/>
        <v>0</v>
      </c>
      <c r="AA755" s="72">
        <v>5</v>
      </c>
      <c r="AB755" s="41">
        <v>4999775</v>
      </c>
      <c r="AC755" s="41">
        <f t="shared" si="288"/>
        <v>0</v>
      </c>
      <c r="AD755" s="70" t="s">
        <v>221</v>
      </c>
      <c r="AE755" s="70"/>
      <c r="AG755" s="81"/>
    </row>
    <row r="756" spans="1:33" s="1" customFormat="1" ht="12" customHeight="1" x14ac:dyDescent="0.25">
      <c r="A756" s="49">
        <v>42</v>
      </c>
      <c r="B756" s="22" t="s">
        <v>1736</v>
      </c>
      <c r="C756" s="22" t="s">
        <v>1076</v>
      </c>
      <c r="D756" s="50" t="s">
        <v>1072</v>
      </c>
      <c r="E756" s="24" t="s">
        <v>166</v>
      </c>
      <c r="F756" s="24"/>
      <c r="G756" s="24" t="s">
        <v>767</v>
      </c>
      <c r="H756" s="24" t="s">
        <v>62</v>
      </c>
      <c r="I756" s="24">
        <v>2014</v>
      </c>
      <c r="J756" s="24"/>
      <c r="K756" s="24" t="s">
        <v>63</v>
      </c>
      <c r="L756" s="24" t="s">
        <v>64</v>
      </c>
      <c r="M756" s="24">
        <v>5</v>
      </c>
      <c r="N756" s="41">
        <f t="shared" si="280"/>
        <v>999955</v>
      </c>
      <c r="O756" s="41">
        <v>4999775</v>
      </c>
      <c r="P756" s="24"/>
      <c r="Q756" s="24"/>
      <c r="R756" s="24"/>
      <c r="S756" s="41">
        <f t="shared" si="281"/>
        <v>4999775</v>
      </c>
      <c r="T756" s="24">
        <v>5</v>
      </c>
      <c r="U756" s="41"/>
      <c r="V756" s="24">
        <v>0.5</v>
      </c>
      <c r="W756" s="41">
        <f t="shared" si="291"/>
        <v>0</v>
      </c>
      <c r="X756" s="24"/>
      <c r="Y756" s="41">
        <f t="shared" si="292"/>
        <v>0</v>
      </c>
      <c r="Z756" s="41">
        <f t="shared" si="293"/>
        <v>0</v>
      </c>
      <c r="AA756" s="72">
        <v>5</v>
      </c>
      <c r="AB756" s="41">
        <v>4999775</v>
      </c>
      <c r="AC756" s="41">
        <f t="shared" si="288"/>
        <v>0</v>
      </c>
      <c r="AD756" s="70" t="s">
        <v>218</v>
      </c>
      <c r="AE756" s="70"/>
      <c r="AG756" s="81"/>
    </row>
    <row r="757" spans="1:33" s="1" customFormat="1" ht="12" customHeight="1" x14ac:dyDescent="0.25">
      <c r="A757" s="49">
        <v>43</v>
      </c>
      <c r="B757" s="22" t="s">
        <v>1736</v>
      </c>
      <c r="C757" s="22" t="s">
        <v>1077</v>
      </c>
      <c r="D757" s="50" t="s">
        <v>1072</v>
      </c>
      <c r="E757" s="24" t="s">
        <v>166</v>
      </c>
      <c r="F757" s="24"/>
      <c r="G757" s="24" t="s">
        <v>767</v>
      </c>
      <c r="H757" s="24" t="s">
        <v>62</v>
      </c>
      <c r="I757" s="24">
        <v>2014</v>
      </c>
      <c r="J757" s="24"/>
      <c r="K757" s="24" t="s">
        <v>63</v>
      </c>
      <c r="L757" s="24" t="s">
        <v>64</v>
      </c>
      <c r="M757" s="24">
        <v>5</v>
      </c>
      <c r="N757" s="41">
        <f t="shared" si="280"/>
        <v>999955</v>
      </c>
      <c r="O757" s="41">
        <v>4999775</v>
      </c>
      <c r="P757" s="24"/>
      <c r="Q757" s="24"/>
      <c r="R757" s="24"/>
      <c r="S757" s="41">
        <f t="shared" si="281"/>
        <v>4999775</v>
      </c>
      <c r="T757" s="24">
        <v>5</v>
      </c>
      <c r="U757" s="41"/>
      <c r="V757" s="24">
        <v>0.5</v>
      </c>
      <c r="W757" s="41">
        <f t="shared" si="291"/>
        <v>0</v>
      </c>
      <c r="X757" s="24"/>
      <c r="Y757" s="41">
        <f t="shared" si="292"/>
        <v>0</v>
      </c>
      <c r="Z757" s="41">
        <f t="shared" si="293"/>
        <v>0</v>
      </c>
      <c r="AA757" s="24">
        <v>5</v>
      </c>
      <c r="AB757" s="41">
        <v>4999775</v>
      </c>
      <c r="AC757" s="41">
        <f t="shared" si="288"/>
        <v>0</v>
      </c>
      <c r="AD757" s="70" t="s">
        <v>217</v>
      </c>
      <c r="AE757" s="70"/>
      <c r="AG757" s="81"/>
    </row>
    <row r="758" spans="1:33" s="1" customFormat="1" ht="12" customHeight="1" x14ac:dyDescent="0.25">
      <c r="A758" s="49">
        <v>44</v>
      </c>
      <c r="B758" s="22" t="s">
        <v>1736</v>
      </c>
      <c r="C758" s="22" t="s">
        <v>1078</v>
      </c>
      <c r="D758" s="50" t="s">
        <v>1072</v>
      </c>
      <c r="E758" s="24" t="s">
        <v>166</v>
      </c>
      <c r="F758" s="24"/>
      <c r="G758" s="24" t="s">
        <v>767</v>
      </c>
      <c r="H758" s="24" t="s">
        <v>62</v>
      </c>
      <c r="I758" s="24">
        <v>2014</v>
      </c>
      <c r="J758" s="24"/>
      <c r="K758" s="24" t="s">
        <v>63</v>
      </c>
      <c r="L758" s="24" t="s">
        <v>64</v>
      </c>
      <c r="M758" s="24">
        <v>2</v>
      </c>
      <c r="N758" s="41">
        <f t="shared" si="280"/>
        <v>999955</v>
      </c>
      <c r="O758" s="41">
        <v>1999910</v>
      </c>
      <c r="P758" s="24"/>
      <c r="Q758" s="24"/>
      <c r="R758" s="24"/>
      <c r="S758" s="41">
        <f t="shared" si="281"/>
        <v>1999910</v>
      </c>
      <c r="T758" s="24">
        <v>5</v>
      </c>
      <c r="U758" s="41"/>
      <c r="V758" s="24">
        <v>0.5</v>
      </c>
      <c r="W758" s="41">
        <f t="shared" si="291"/>
        <v>0</v>
      </c>
      <c r="X758" s="24"/>
      <c r="Y758" s="41">
        <f t="shared" si="292"/>
        <v>0</v>
      </c>
      <c r="Z758" s="41">
        <f t="shared" si="293"/>
        <v>0</v>
      </c>
      <c r="AA758" s="24">
        <v>5</v>
      </c>
      <c r="AB758" s="41">
        <v>1999910</v>
      </c>
      <c r="AC758" s="41">
        <f t="shared" si="288"/>
        <v>0</v>
      </c>
      <c r="AD758" s="70" t="s">
        <v>224</v>
      </c>
      <c r="AE758" s="70"/>
      <c r="AG758" s="81"/>
    </row>
    <row r="759" spans="1:33" s="1" customFormat="1" ht="12" customHeight="1" x14ac:dyDescent="0.25">
      <c r="A759" s="49">
        <v>45</v>
      </c>
      <c r="B759" s="22" t="s">
        <v>1736</v>
      </c>
      <c r="C759" s="22" t="s">
        <v>1079</v>
      </c>
      <c r="D759" s="50" t="s">
        <v>1072</v>
      </c>
      <c r="E759" s="24" t="s">
        <v>166</v>
      </c>
      <c r="F759" s="24"/>
      <c r="G759" s="24" t="s">
        <v>767</v>
      </c>
      <c r="H759" s="24" t="s">
        <v>62</v>
      </c>
      <c r="I759" s="24">
        <v>2014</v>
      </c>
      <c r="J759" s="24"/>
      <c r="K759" s="24" t="s">
        <v>63</v>
      </c>
      <c r="L759" s="24" t="s">
        <v>64</v>
      </c>
      <c r="M759" s="24">
        <v>9</v>
      </c>
      <c r="N759" s="41">
        <f t="shared" si="280"/>
        <v>999955</v>
      </c>
      <c r="O759" s="41">
        <v>8999595</v>
      </c>
      <c r="P759" s="24"/>
      <c r="Q759" s="24"/>
      <c r="R759" s="24"/>
      <c r="S759" s="41">
        <f t="shared" si="281"/>
        <v>8999595</v>
      </c>
      <c r="T759" s="24">
        <v>5</v>
      </c>
      <c r="U759" s="41"/>
      <c r="V759" s="24">
        <v>0.5</v>
      </c>
      <c r="W759" s="41">
        <f t="shared" si="291"/>
        <v>0</v>
      </c>
      <c r="X759" s="24"/>
      <c r="Y759" s="41">
        <f t="shared" si="292"/>
        <v>0</v>
      </c>
      <c r="Z759" s="41">
        <f t="shared" si="293"/>
        <v>0</v>
      </c>
      <c r="AA759" s="24">
        <v>5</v>
      </c>
      <c r="AB759" s="41">
        <v>8999595</v>
      </c>
      <c r="AC759" s="41">
        <f t="shared" si="288"/>
        <v>0</v>
      </c>
      <c r="AD759" s="70" t="s">
        <v>276</v>
      </c>
      <c r="AE759" s="70"/>
      <c r="AG759" s="81"/>
    </row>
    <row r="760" spans="1:33" s="1" customFormat="1" ht="12" customHeight="1" x14ac:dyDescent="0.25">
      <c r="A760" s="49">
        <v>46</v>
      </c>
      <c r="B760" s="22" t="s">
        <v>1736</v>
      </c>
      <c r="C760" s="22" t="s">
        <v>1080</v>
      </c>
      <c r="D760" s="50" t="s">
        <v>1072</v>
      </c>
      <c r="E760" s="24" t="s">
        <v>166</v>
      </c>
      <c r="F760" s="24"/>
      <c r="G760" s="24" t="s">
        <v>767</v>
      </c>
      <c r="H760" s="24" t="s">
        <v>62</v>
      </c>
      <c r="I760" s="24">
        <v>2014</v>
      </c>
      <c r="J760" s="24"/>
      <c r="K760" s="24" t="s">
        <v>63</v>
      </c>
      <c r="L760" s="24" t="s">
        <v>64</v>
      </c>
      <c r="M760" s="24">
        <v>2</v>
      </c>
      <c r="N760" s="41">
        <f t="shared" si="280"/>
        <v>999955</v>
      </c>
      <c r="O760" s="41">
        <v>1999910</v>
      </c>
      <c r="P760" s="24"/>
      <c r="Q760" s="24"/>
      <c r="R760" s="24"/>
      <c r="S760" s="41">
        <f t="shared" si="281"/>
        <v>1999910</v>
      </c>
      <c r="T760" s="24">
        <v>5</v>
      </c>
      <c r="U760" s="41"/>
      <c r="V760" s="24">
        <v>0.5</v>
      </c>
      <c r="W760" s="41">
        <f t="shared" si="291"/>
        <v>0</v>
      </c>
      <c r="X760" s="24"/>
      <c r="Y760" s="41">
        <f t="shared" si="292"/>
        <v>0</v>
      </c>
      <c r="Z760" s="41">
        <f t="shared" si="293"/>
        <v>0</v>
      </c>
      <c r="AA760" s="24">
        <v>5</v>
      </c>
      <c r="AB760" s="41">
        <v>1999910</v>
      </c>
      <c r="AC760" s="41">
        <f t="shared" si="288"/>
        <v>0</v>
      </c>
      <c r="AD760" s="70" t="s">
        <v>331</v>
      </c>
      <c r="AE760" s="70"/>
      <c r="AG760" s="81"/>
    </row>
    <row r="761" spans="1:33" s="1" customFormat="1" ht="12" customHeight="1" x14ac:dyDescent="0.25">
      <c r="A761" s="49">
        <v>47</v>
      </c>
      <c r="B761" s="22" t="s">
        <v>1736</v>
      </c>
      <c r="C761" s="22" t="s">
        <v>1081</v>
      </c>
      <c r="D761" s="50" t="s">
        <v>1072</v>
      </c>
      <c r="E761" s="24" t="s">
        <v>166</v>
      </c>
      <c r="F761" s="24"/>
      <c r="G761" s="24" t="s">
        <v>767</v>
      </c>
      <c r="H761" s="24" t="s">
        <v>62</v>
      </c>
      <c r="I761" s="24">
        <v>2014</v>
      </c>
      <c r="J761" s="24"/>
      <c r="K761" s="24" t="s">
        <v>63</v>
      </c>
      <c r="L761" s="24" t="s">
        <v>64</v>
      </c>
      <c r="M761" s="24">
        <v>3</v>
      </c>
      <c r="N761" s="41">
        <f t="shared" si="280"/>
        <v>999955</v>
      </c>
      <c r="O761" s="41">
        <v>2999865</v>
      </c>
      <c r="P761" s="24"/>
      <c r="Q761" s="24"/>
      <c r="R761" s="24"/>
      <c r="S761" s="41">
        <f t="shared" si="281"/>
        <v>2999865</v>
      </c>
      <c r="T761" s="24">
        <v>5</v>
      </c>
      <c r="U761" s="41"/>
      <c r="V761" s="24">
        <v>0.5</v>
      </c>
      <c r="W761" s="41">
        <f t="shared" si="291"/>
        <v>0</v>
      </c>
      <c r="X761" s="24"/>
      <c r="Y761" s="41">
        <f t="shared" si="292"/>
        <v>0</v>
      </c>
      <c r="Z761" s="41">
        <f t="shared" si="293"/>
        <v>0</v>
      </c>
      <c r="AA761" s="24">
        <v>5</v>
      </c>
      <c r="AB761" s="41">
        <v>2999865</v>
      </c>
      <c r="AC761" s="41">
        <f t="shared" si="288"/>
        <v>0</v>
      </c>
      <c r="AD761" s="70" t="s">
        <v>352</v>
      </c>
      <c r="AE761" s="70"/>
      <c r="AG761" s="81"/>
    </row>
    <row r="762" spans="1:33" s="1" customFormat="1" ht="12" customHeight="1" x14ac:dyDescent="0.25">
      <c r="A762" s="49">
        <v>48</v>
      </c>
      <c r="B762" s="22" t="s">
        <v>1736</v>
      </c>
      <c r="C762" s="22" t="s">
        <v>1082</v>
      </c>
      <c r="D762" s="50" t="s">
        <v>1072</v>
      </c>
      <c r="E762" s="24" t="s">
        <v>166</v>
      </c>
      <c r="F762" s="24"/>
      <c r="G762" s="24" t="s">
        <v>767</v>
      </c>
      <c r="H762" s="24" t="s">
        <v>62</v>
      </c>
      <c r="I762" s="24">
        <v>2014</v>
      </c>
      <c r="J762" s="24"/>
      <c r="K762" s="24" t="s">
        <v>63</v>
      </c>
      <c r="L762" s="24" t="s">
        <v>64</v>
      </c>
      <c r="M762" s="24">
        <v>2</v>
      </c>
      <c r="N762" s="41">
        <f t="shared" si="280"/>
        <v>999955</v>
      </c>
      <c r="O762" s="41">
        <v>1999910</v>
      </c>
      <c r="P762" s="24"/>
      <c r="Q762" s="24"/>
      <c r="R762" s="24"/>
      <c r="S762" s="41">
        <f t="shared" si="281"/>
        <v>1999910</v>
      </c>
      <c r="T762" s="24">
        <v>5</v>
      </c>
      <c r="U762" s="41"/>
      <c r="V762" s="24">
        <v>0.5</v>
      </c>
      <c r="W762" s="41">
        <f t="shared" si="291"/>
        <v>0</v>
      </c>
      <c r="X762" s="24"/>
      <c r="Y762" s="41">
        <f t="shared" si="292"/>
        <v>0</v>
      </c>
      <c r="Z762" s="41">
        <f t="shared" si="293"/>
        <v>0</v>
      </c>
      <c r="AA762" s="24">
        <v>5</v>
      </c>
      <c r="AB762" s="41">
        <v>1999910</v>
      </c>
      <c r="AC762" s="41">
        <f t="shared" si="288"/>
        <v>0</v>
      </c>
      <c r="AD762" s="70" t="s">
        <v>311</v>
      </c>
      <c r="AE762" s="70"/>
      <c r="AG762" s="81"/>
    </row>
    <row r="763" spans="1:33" s="1" customFormat="1" ht="12" customHeight="1" x14ac:dyDescent="0.25">
      <c r="A763" s="49">
        <v>49</v>
      </c>
      <c r="B763" s="22" t="s">
        <v>1736</v>
      </c>
      <c r="C763" s="22" t="s">
        <v>1083</v>
      </c>
      <c r="D763" s="50" t="s">
        <v>1072</v>
      </c>
      <c r="E763" s="24" t="s">
        <v>166</v>
      </c>
      <c r="F763" s="24"/>
      <c r="G763" s="24" t="s">
        <v>767</v>
      </c>
      <c r="H763" s="24" t="s">
        <v>62</v>
      </c>
      <c r="I763" s="24">
        <v>2014</v>
      </c>
      <c r="J763" s="24"/>
      <c r="K763" s="24" t="s">
        <v>63</v>
      </c>
      <c r="L763" s="24" t="s">
        <v>64</v>
      </c>
      <c r="M763" s="24">
        <v>1</v>
      </c>
      <c r="N763" s="41">
        <f t="shared" si="280"/>
        <v>999955</v>
      </c>
      <c r="O763" s="41">
        <v>999955</v>
      </c>
      <c r="P763" s="24"/>
      <c r="Q763" s="24"/>
      <c r="R763" s="24"/>
      <c r="S763" s="41">
        <f t="shared" si="281"/>
        <v>999955</v>
      </c>
      <c r="T763" s="24">
        <v>5</v>
      </c>
      <c r="U763" s="41"/>
      <c r="V763" s="24">
        <v>0.5</v>
      </c>
      <c r="W763" s="41">
        <f t="shared" si="291"/>
        <v>0</v>
      </c>
      <c r="X763" s="24"/>
      <c r="Y763" s="41">
        <f t="shared" si="292"/>
        <v>0</v>
      </c>
      <c r="Z763" s="41">
        <f t="shared" si="293"/>
        <v>0</v>
      </c>
      <c r="AA763" s="24">
        <v>5</v>
      </c>
      <c r="AB763" s="41">
        <v>999955</v>
      </c>
      <c r="AC763" s="41">
        <f t="shared" si="288"/>
        <v>0</v>
      </c>
      <c r="AD763" s="70" t="s">
        <v>1084</v>
      </c>
      <c r="AE763" s="70"/>
      <c r="AG763" s="81"/>
    </row>
    <row r="764" spans="1:33" s="1" customFormat="1" ht="12" customHeight="1" x14ac:dyDescent="0.25">
      <c r="A764" s="49">
        <v>50</v>
      </c>
      <c r="B764" s="22" t="s">
        <v>1736</v>
      </c>
      <c r="C764" s="22" t="s">
        <v>1085</v>
      </c>
      <c r="D764" s="51" t="s">
        <v>1086</v>
      </c>
      <c r="E764" s="24" t="s">
        <v>166</v>
      </c>
      <c r="F764" s="24"/>
      <c r="G764" s="24" t="s">
        <v>767</v>
      </c>
      <c r="H764" s="24" t="s">
        <v>62</v>
      </c>
      <c r="I764" s="24">
        <v>2014</v>
      </c>
      <c r="J764" s="24"/>
      <c r="K764" s="24" t="s">
        <v>63</v>
      </c>
      <c r="L764" s="24" t="s">
        <v>64</v>
      </c>
      <c r="M764" s="24">
        <v>3</v>
      </c>
      <c r="N764" s="41">
        <f t="shared" si="280"/>
        <v>2486000</v>
      </c>
      <c r="O764" s="41">
        <v>7458000</v>
      </c>
      <c r="P764" s="24"/>
      <c r="Q764" s="24"/>
      <c r="R764" s="24"/>
      <c r="S764" s="41">
        <f t="shared" si="281"/>
        <v>7458000</v>
      </c>
      <c r="T764" s="24">
        <v>5</v>
      </c>
      <c r="U764" s="41"/>
      <c r="V764" s="24">
        <v>0.5</v>
      </c>
      <c r="W764" s="41">
        <f t="shared" si="291"/>
        <v>0</v>
      </c>
      <c r="X764" s="24"/>
      <c r="Y764" s="41">
        <f t="shared" si="292"/>
        <v>0</v>
      </c>
      <c r="Z764" s="41">
        <f t="shared" si="293"/>
        <v>0</v>
      </c>
      <c r="AA764" s="24">
        <v>5</v>
      </c>
      <c r="AB764" s="41">
        <v>7458000</v>
      </c>
      <c r="AC764" s="41">
        <f t="shared" si="288"/>
        <v>0</v>
      </c>
      <c r="AD764" s="70" t="s">
        <v>218</v>
      </c>
      <c r="AE764" s="70"/>
      <c r="AG764" s="81"/>
    </row>
    <row r="765" spans="1:33" s="1" customFormat="1" ht="12" customHeight="1" x14ac:dyDescent="0.25">
      <c r="A765" s="49">
        <v>51</v>
      </c>
      <c r="B765" s="22" t="s">
        <v>1736</v>
      </c>
      <c r="C765" s="22" t="s">
        <v>1087</v>
      </c>
      <c r="D765" s="51" t="s">
        <v>1086</v>
      </c>
      <c r="E765" s="24" t="s">
        <v>166</v>
      </c>
      <c r="F765" s="24"/>
      <c r="G765" s="24" t="s">
        <v>767</v>
      </c>
      <c r="H765" s="24" t="s">
        <v>62</v>
      </c>
      <c r="I765" s="24">
        <v>2014</v>
      </c>
      <c r="J765" s="24"/>
      <c r="K765" s="24" t="s">
        <v>63</v>
      </c>
      <c r="L765" s="24" t="s">
        <v>64</v>
      </c>
      <c r="M765" s="24">
        <v>3</v>
      </c>
      <c r="N765" s="41">
        <f t="shared" si="280"/>
        <v>2486000</v>
      </c>
      <c r="O765" s="41">
        <v>7458000</v>
      </c>
      <c r="P765" s="24"/>
      <c r="Q765" s="24"/>
      <c r="R765" s="24"/>
      <c r="S765" s="41">
        <f t="shared" si="281"/>
        <v>7458000</v>
      </c>
      <c r="T765" s="24">
        <v>5</v>
      </c>
      <c r="U765" s="41"/>
      <c r="V765" s="24">
        <v>0.5</v>
      </c>
      <c r="W765" s="41">
        <f t="shared" si="291"/>
        <v>0</v>
      </c>
      <c r="X765" s="24"/>
      <c r="Y765" s="41">
        <f t="shared" si="292"/>
        <v>0</v>
      </c>
      <c r="Z765" s="41">
        <f t="shared" si="293"/>
        <v>0</v>
      </c>
      <c r="AA765" s="24">
        <v>5</v>
      </c>
      <c r="AB765" s="41">
        <v>7458000</v>
      </c>
      <c r="AC765" s="41">
        <f t="shared" si="288"/>
        <v>0</v>
      </c>
      <c r="AD765" s="70" t="s">
        <v>219</v>
      </c>
      <c r="AE765" s="70"/>
      <c r="AG765" s="81"/>
    </row>
    <row r="766" spans="1:33" s="1" customFormat="1" ht="12" customHeight="1" x14ac:dyDescent="0.25">
      <c r="A766" s="49">
        <v>52</v>
      </c>
      <c r="B766" s="22" t="s">
        <v>1736</v>
      </c>
      <c r="C766" s="22" t="s">
        <v>1088</v>
      </c>
      <c r="D766" s="51" t="s">
        <v>1086</v>
      </c>
      <c r="E766" s="24" t="s">
        <v>166</v>
      </c>
      <c r="F766" s="24"/>
      <c r="G766" s="24" t="s">
        <v>767</v>
      </c>
      <c r="H766" s="24" t="s">
        <v>62</v>
      </c>
      <c r="I766" s="24">
        <v>2014</v>
      </c>
      <c r="J766" s="24"/>
      <c r="K766" s="24" t="s">
        <v>63</v>
      </c>
      <c r="L766" s="24" t="s">
        <v>64</v>
      </c>
      <c r="M766" s="24">
        <v>3</v>
      </c>
      <c r="N766" s="41">
        <f t="shared" si="280"/>
        <v>2486000</v>
      </c>
      <c r="O766" s="41">
        <v>7458000</v>
      </c>
      <c r="P766" s="24"/>
      <c r="Q766" s="24"/>
      <c r="R766" s="24"/>
      <c r="S766" s="41">
        <f t="shared" si="281"/>
        <v>7458000</v>
      </c>
      <c r="T766" s="24">
        <v>5</v>
      </c>
      <c r="U766" s="41"/>
      <c r="V766" s="24">
        <v>0.5</v>
      </c>
      <c r="W766" s="41">
        <f t="shared" si="291"/>
        <v>0</v>
      </c>
      <c r="X766" s="24"/>
      <c r="Y766" s="41">
        <f t="shared" si="292"/>
        <v>0</v>
      </c>
      <c r="Z766" s="41">
        <f t="shared" si="293"/>
        <v>0</v>
      </c>
      <c r="AA766" s="24">
        <v>5</v>
      </c>
      <c r="AB766" s="41">
        <v>7458000</v>
      </c>
      <c r="AC766" s="41">
        <f t="shared" si="288"/>
        <v>0</v>
      </c>
      <c r="AD766" s="70" t="s">
        <v>220</v>
      </c>
      <c r="AE766" s="70"/>
      <c r="AG766" s="81"/>
    </row>
    <row r="767" spans="1:33" s="1" customFormat="1" ht="12" customHeight="1" x14ac:dyDescent="0.25">
      <c r="A767" s="49">
        <v>53</v>
      </c>
      <c r="B767" s="22" t="s">
        <v>1736</v>
      </c>
      <c r="C767" s="22" t="s">
        <v>1089</v>
      </c>
      <c r="D767" s="51" t="s">
        <v>1086</v>
      </c>
      <c r="E767" s="24" t="s">
        <v>166</v>
      </c>
      <c r="F767" s="24"/>
      <c r="G767" s="24" t="s">
        <v>767</v>
      </c>
      <c r="H767" s="24" t="s">
        <v>62</v>
      </c>
      <c r="I767" s="24">
        <v>2014</v>
      </c>
      <c r="J767" s="24"/>
      <c r="K767" s="24" t="s">
        <v>63</v>
      </c>
      <c r="L767" s="24" t="s">
        <v>64</v>
      </c>
      <c r="M767" s="24">
        <v>3</v>
      </c>
      <c r="N767" s="41">
        <f t="shared" si="280"/>
        <v>2486000</v>
      </c>
      <c r="O767" s="41">
        <v>7458000</v>
      </c>
      <c r="P767" s="24"/>
      <c r="Q767" s="24"/>
      <c r="R767" s="24"/>
      <c r="S767" s="41">
        <f t="shared" si="281"/>
        <v>7458000</v>
      </c>
      <c r="T767" s="24">
        <v>5</v>
      </c>
      <c r="U767" s="41"/>
      <c r="V767" s="24">
        <v>0.5</v>
      </c>
      <c r="W767" s="41">
        <f t="shared" si="291"/>
        <v>0</v>
      </c>
      <c r="X767" s="24"/>
      <c r="Y767" s="41">
        <f t="shared" si="292"/>
        <v>0</v>
      </c>
      <c r="Z767" s="41">
        <f t="shared" si="293"/>
        <v>0</v>
      </c>
      <c r="AA767" s="24">
        <v>5</v>
      </c>
      <c r="AB767" s="41">
        <v>7458000</v>
      </c>
      <c r="AC767" s="41">
        <f t="shared" si="288"/>
        <v>0</v>
      </c>
      <c r="AD767" s="70" t="s">
        <v>221</v>
      </c>
      <c r="AE767" s="70"/>
      <c r="AG767" s="81"/>
    </row>
    <row r="768" spans="1:33" s="1" customFormat="1" ht="12" customHeight="1" x14ac:dyDescent="0.25">
      <c r="A768" s="49">
        <v>54</v>
      </c>
      <c r="B768" s="22" t="s">
        <v>1736</v>
      </c>
      <c r="C768" s="22" t="s">
        <v>1090</v>
      </c>
      <c r="D768" s="51" t="s">
        <v>1086</v>
      </c>
      <c r="E768" s="24" t="s">
        <v>166</v>
      </c>
      <c r="F768" s="24"/>
      <c r="G768" s="24" t="s">
        <v>767</v>
      </c>
      <c r="H768" s="24" t="s">
        <v>62</v>
      </c>
      <c r="I768" s="24">
        <v>2014</v>
      </c>
      <c r="J768" s="24"/>
      <c r="K768" s="24" t="s">
        <v>63</v>
      </c>
      <c r="L768" s="24" t="s">
        <v>64</v>
      </c>
      <c r="M768" s="24">
        <v>1</v>
      </c>
      <c r="N768" s="41">
        <f t="shared" si="280"/>
        <v>2486000</v>
      </c>
      <c r="O768" s="41">
        <v>2486000</v>
      </c>
      <c r="P768" s="24"/>
      <c r="Q768" s="24"/>
      <c r="R768" s="24"/>
      <c r="S768" s="41">
        <f t="shared" si="281"/>
        <v>2486000</v>
      </c>
      <c r="T768" s="24">
        <v>5</v>
      </c>
      <c r="U768" s="41"/>
      <c r="V768" s="24">
        <v>0.5</v>
      </c>
      <c r="W768" s="41">
        <f t="shared" si="291"/>
        <v>0</v>
      </c>
      <c r="X768" s="24"/>
      <c r="Y768" s="41">
        <f t="shared" si="292"/>
        <v>0</v>
      </c>
      <c r="Z768" s="41">
        <f t="shared" si="293"/>
        <v>0</v>
      </c>
      <c r="AA768" s="24">
        <v>5</v>
      </c>
      <c r="AB768" s="41">
        <v>2486000</v>
      </c>
      <c r="AC768" s="41">
        <f t="shared" si="288"/>
        <v>0</v>
      </c>
      <c r="AD768" s="70" t="s">
        <v>276</v>
      </c>
      <c r="AE768" s="70"/>
      <c r="AG768" s="81"/>
    </row>
    <row r="769" spans="1:33" s="1" customFormat="1" ht="12" customHeight="1" x14ac:dyDescent="0.25">
      <c r="A769" s="49">
        <v>55</v>
      </c>
      <c r="B769" s="22" t="s">
        <v>1736</v>
      </c>
      <c r="C769" s="22" t="s">
        <v>1091</v>
      </c>
      <c r="D769" s="51" t="s">
        <v>1086</v>
      </c>
      <c r="E769" s="24" t="s">
        <v>166</v>
      </c>
      <c r="F769" s="24"/>
      <c r="G769" s="24" t="s">
        <v>767</v>
      </c>
      <c r="H769" s="24" t="s">
        <v>62</v>
      </c>
      <c r="I769" s="24">
        <v>2014</v>
      </c>
      <c r="J769" s="24"/>
      <c r="K769" s="24" t="s">
        <v>63</v>
      </c>
      <c r="L769" s="24" t="s">
        <v>64</v>
      </c>
      <c r="M769" s="24">
        <v>1</v>
      </c>
      <c r="N769" s="41">
        <f t="shared" si="280"/>
        <v>2486000</v>
      </c>
      <c r="O769" s="41">
        <v>2486000</v>
      </c>
      <c r="P769" s="24"/>
      <c r="Q769" s="24"/>
      <c r="R769" s="24"/>
      <c r="S769" s="41">
        <f t="shared" si="281"/>
        <v>2486000</v>
      </c>
      <c r="T769" s="24">
        <v>5</v>
      </c>
      <c r="U769" s="41"/>
      <c r="V769" s="24">
        <v>0.5</v>
      </c>
      <c r="W769" s="41">
        <f t="shared" si="291"/>
        <v>0</v>
      </c>
      <c r="X769" s="24"/>
      <c r="Y769" s="41">
        <f t="shared" si="292"/>
        <v>0</v>
      </c>
      <c r="Z769" s="41">
        <f t="shared" si="293"/>
        <v>0</v>
      </c>
      <c r="AA769" s="24">
        <v>5</v>
      </c>
      <c r="AB769" s="41">
        <v>2486000</v>
      </c>
      <c r="AC769" s="41">
        <f t="shared" si="288"/>
        <v>0</v>
      </c>
      <c r="AD769" s="70" t="s">
        <v>328</v>
      </c>
      <c r="AE769" s="70"/>
      <c r="AG769" s="81"/>
    </row>
    <row r="770" spans="1:33" s="1" customFormat="1" ht="12" customHeight="1" x14ac:dyDescent="0.25">
      <c r="A770" s="49">
        <v>56</v>
      </c>
      <c r="B770" s="22" t="s">
        <v>1736</v>
      </c>
      <c r="C770" s="22" t="s">
        <v>1092</v>
      </c>
      <c r="D770" s="51" t="s">
        <v>1086</v>
      </c>
      <c r="E770" s="24" t="s">
        <v>166</v>
      </c>
      <c r="F770" s="24"/>
      <c r="G770" s="24" t="s">
        <v>767</v>
      </c>
      <c r="H770" s="24" t="s">
        <v>62</v>
      </c>
      <c r="I770" s="24">
        <v>2014</v>
      </c>
      <c r="J770" s="24"/>
      <c r="K770" s="24" t="s">
        <v>63</v>
      </c>
      <c r="L770" s="24" t="s">
        <v>64</v>
      </c>
      <c r="M770" s="24">
        <v>1</v>
      </c>
      <c r="N770" s="41">
        <f t="shared" si="280"/>
        <v>2486000</v>
      </c>
      <c r="O770" s="41">
        <v>2486000</v>
      </c>
      <c r="P770" s="24"/>
      <c r="Q770" s="24"/>
      <c r="R770" s="24"/>
      <c r="S770" s="41">
        <f t="shared" si="281"/>
        <v>2486000</v>
      </c>
      <c r="T770" s="24">
        <v>5</v>
      </c>
      <c r="U770" s="41"/>
      <c r="V770" s="24">
        <v>0.5</v>
      </c>
      <c r="W770" s="41">
        <f t="shared" si="291"/>
        <v>0</v>
      </c>
      <c r="X770" s="24"/>
      <c r="Y770" s="41">
        <f t="shared" si="292"/>
        <v>0</v>
      </c>
      <c r="Z770" s="41">
        <f t="shared" si="293"/>
        <v>0</v>
      </c>
      <c r="AA770" s="24">
        <v>5</v>
      </c>
      <c r="AB770" s="41">
        <v>2486000</v>
      </c>
      <c r="AC770" s="41">
        <f t="shared" si="288"/>
        <v>0</v>
      </c>
      <c r="AD770" s="70" t="s">
        <v>331</v>
      </c>
      <c r="AE770" s="70"/>
      <c r="AG770" s="81"/>
    </row>
    <row r="771" spans="1:33" s="1" customFormat="1" ht="12" customHeight="1" x14ac:dyDescent="0.25">
      <c r="A771" s="49">
        <v>57</v>
      </c>
      <c r="B771" s="22" t="s">
        <v>1736</v>
      </c>
      <c r="C771" s="22" t="s">
        <v>1093</v>
      </c>
      <c r="D771" s="51" t="s">
        <v>1086</v>
      </c>
      <c r="E771" s="24" t="s">
        <v>166</v>
      </c>
      <c r="F771" s="24"/>
      <c r="G771" s="24" t="s">
        <v>767</v>
      </c>
      <c r="H771" s="24" t="s">
        <v>62</v>
      </c>
      <c r="I771" s="24">
        <v>2014</v>
      </c>
      <c r="J771" s="24"/>
      <c r="K771" s="24" t="s">
        <v>63</v>
      </c>
      <c r="L771" s="24" t="s">
        <v>64</v>
      </c>
      <c r="M771" s="24">
        <v>1</v>
      </c>
      <c r="N771" s="41">
        <f t="shared" si="280"/>
        <v>2486000</v>
      </c>
      <c r="O771" s="41">
        <v>2486000</v>
      </c>
      <c r="P771" s="24"/>
      <c r="Q771" s="24"/>
      <c r="R771" s="24"/>
      <c r="S771" s="41">
        <f t="shared" si="281"/>
        <v>2486000</v>
      </c>
      <c r="T771" s="24">
        <v>5</v>
      </c>
      <c r="U771" s="41"/>
      <c r="V771" s="24">
        <v>0.5</v>
      </c>
      <c r="W771" s="41">
        <f t="shared" si="291"/>
        <v>0</v>
      </c>
      <c r="X771" s="24"/>
      <c r="Y771" s="41">
        <f t="shared" si="292"/>
        <v>0</v>
      </c>
      <c r="Z771" s="41">
        <f t="shared" si="293"/>
        <v>0</v>
      </c>
      <c r="AA771" s="24">
        <v>5</v>
      </c>
      <c r="AB771" s="41">
        <v>2486000</v>
      </c>
      <c r="AC771" s="41">
        <f t="shared" si="288"/>
        <v>0</v>
      </c>
      <c r="AD771" s="70" t="s">
        <v>208</v>
      </c>
      <c r="AE771" s="70"/>
      <c r="AG771" s="81"/>
    </row>
    <row r="772" spans="1:33" s="1" customFormat="1" ht="12" customHeight="1" x14ac:dyDescent="0.25">
      <c r="A772" s="49">
        <v>58</v>
      </c>
      <c r="B772" s="22" t="s">
        <v>1736</v>
      </c>
      <c r="C772" s="22" t="s">
        <v>1094</v>
      </c>
      <c r="D772" s="51" t="s">
        <v>1086</v>
      </c>
      <c r="E772" s="24" t="s">
        <v>166</v>
      </c>
      <c r="F772" s="24"/>
      <c r="G772" s="24" t="s">
        <v>767</v>
      </c>
      <c r="H772" s="24" t="s">
        <v>62</v>
      </c>
      <c r="I772" s="24">
        <v>2014</v>
      </c>
      <c r="J772" s="24"/>
      <c r="K772" s="24" t="s">
        <v>63</v>
      </c>
      <c r="L772" s="24" t="s">
        <v>64</v>
      </c>
      <c r="M772" s="24">
        <v>6</v>
      </c>
      <c r="N772" s="41">
        <f t="shared" si="280"/>
        <v>2486000</v>
      </c>
      <c r="O772" s="41">
        <v>14916000</v>
      </c>
      <c r="P772" s="24"/>
      <c r="Q772" s="24"/>
      <c r="R772" s="24"/>
      <c r="S772" s="41">
        <f t="shared" si="281"/>
        <v>14916000</v>
      </c>
      <c r="T772" s="24">
        <v>5</v>
      </c>
      <c r="U772" s="41"/>
      <c r="V772" s="24">
        <v>0.5</v>
      </c>
      <c r="W772" s="41">
        <f t="shared" si="291"/>
        <v>0</v>
      </c>
      <c r="X772" s="24"/>
      <c r="Y772" s="41">
        <f t="shared" si="292"/>
        <v>0</v>
      </c>
      <c r="Z772" s="41">
        <f t="shared" si="293"/>
        <v>0</v>
      </c>
      <c r="AA772" s="24">
        <v>5</v>
      </c>
      <c r="AB772" s="41">
        <v>14916000</v>
      </c>
      <c r="AC772" s="41">
        <f t="shared" si="288"/>
        <v>0</v>
      </c>
      <c r="AD772" s="70" t="s">
        <v>608</v>
      </c>
      <c r="AE772" s="70"/>
      <c r="AG772" s="81"/>
    </row>
    <row r="773" spans="1:33" s="1" customFormat="1" ht="12" customHeight="1" x14ac:dyDescent="0.25">
      <c r="A773" s="49">
        <v>59</v>
      </c>
      <c r="B773" s="22" t="s">
        <v>1736</v>
      </c>
      <c r="C773" s="22" t="s">
        <v>1095</v>
      </c>
      <c r="D773" s="51" t="s">
        <v>1096</v>
      </c>
      <c r="E773" s="24" t="s">
        <v>166</v>
      </c>
      <c r="F773" s="24"/>
      <c r="G773" s="24" t="s">
        <v>767</v>
      </c>
      <c r="H773" s="24" t="s">
        <v>62</v>
      </c>
      <c r="I773" s="24">
        <v>2014</v>
      </c>
      <c r="J773" s="24"/>
      <c r="K773" s="24" t="s">
        <v>63</v>
      </c>
      <c r="L773" s="24" t="s">
        <v>64</v>
      </c>
      <c r="M773" s="24">
        <v>1</v>
      </c>
      <c r="N773" s="41">
        <f t="shared" si="280"/>
        <v>4950000</v>
      </c>
      <c r="O773" s="41">
        <v>4950000</v>
      </c>
      <c r="P773" s="24"/>
      <c r="Q773" s="24"/>
      <c r="R773" s="24"/>
      <c r="S773" s="41">
        <f t="shared" si="281"/>
        <v>4950000</v>
      </c>
      <c r="T773" s="24">
        <v>5</v>
      </c>
      <c r="U773" s="41"/>
      <c r="V773" s="24">
        <v>0.5</v>
      </c>
      <c r="W773" s="41">
        <f t="shared" si="291"/>
        <v>0</v>
      </c>
      <c r="X773" s="24"/>
      <c r="Y773" s="41">
        <f t="shared" si="292"/>
        <v>0</v>
      </c>
      <c r="Z773" s="41">
        <f t="shared" si="293"/>
        <v>0</v>
      </c>
      <c r="AA773" s="24">
        <v>5</v>
      </c>
      <c r="AB773" s="41">
        <v>4950000</v>
      </c>
      <c r="AC773" s="41">
        <f t="shared" si="288"/>
        <v>0</v>
      </c>
      <c r="AD773" s="70" t="s">
        <v>311</v>
      </c>
      <c r="AE773" s="70"/>
      <c r="AG773" s="81"/>
    </row>
    <row r="774" spans="1:33" s="1" customFormat="1" ht="12" customHeight="1" x14ac:dyDescent="0.25">
      <c r="A774" s="49">
        <v>60</v>
      </c>
      <c r="B774" s="22" t="s">
        <v>1736</v>
      </c>
      <c r="C774" s="22" t="s">
        <v>1097</v>
      </c>
      <c r="D774" s="51" t="s">
        <v>1096</v>
      </c>
      <c r="E774" s="24" t="s">
        <v>166</v>
      </c>
      <c r="F774" s="24"/>
      <c r="G774" s="24" t="s">
        <v>767</v>
      </c>
      <c r="H774" s="24" t="s">
        <v>62</v>
      </c>
      <c r="I774" s="24">
        <v>2014</v>
      </c>
      <c r="J774" s="24"/>
      <c r="K774" s="24" t="s">
        <v>63</v>
      </c>
      <c r="L774" s="24" t="s">
        <v>64</v>
      </c>
      <c r="M774" s="24">
        <v>1</v>
      </c>
      <c r="N774" s="41">
        <f t="shared" si="280"/>
        <v>4950000</v>
      </c>
      <c r="O774" s="41">
        <v>4950000</v>
      </c>
      <c r="P774" s="24"/>
      <c r="Q774" s="24"/>
      <c r="R774" s="24"/>
      <c r="S774" s="41">
        <f t="shared" si="281"/>
        <v>4950000</v>
      </c>
      <c r="T774" s="24">
        <v>5</v>
      </c>
      <c r="U774" s="41"/>
      <c r="V774" s="24">
        <v>0.5</v>
      </c>
      <c r="W774" s="41">
        <f t="shared" si="291"/>
        <v>0</v>
      </c>
      <c r="X774" s="24"/>
      <c r="Y774" s="41">
        <f t="shared" si="292"/>
        <v>0</v>
      </c>
      <c r="Z774" s="41">
        <f t="shared" si="293"/>
        <v>0</v>
      </c>
      <c r="AA774" s="24">
        <v>5</v>
      </c>
      <c r="AB774" s="41">
        <v>4950000</v>
      </c>
      <c r="AC774" s="41">
        <f t="shared" si="288"/>
        <v>0</v>
      </c>
      <c r="AD774" s="70" t="s">
        <v>352</v>
      </c>
      <c r="AE774" s="70"/>
      <c r="AG774" s="81"/>
    </row>
    <row r="775" spans="1:33" s="1" customFormat="1" ht="12" customHeight="1" x14ac:dyDescent="0.25">
      <c r="A775" s="49">
        <v>61</v>
      </c>
      <c r="B775" s="22" t="s">
        <v>1737</v>
      </c>
      <c r="C775" s="22" t="s">
        <v>1098</v>
      </c>
      <c r="D775" s="51" t="s">
        <v>1099</v>
      </c>
      <c r="E775" s="24" t="s">
        <v>1100</v>
      </c>
      <c r="F775" s="24"/>
      <c r="G775" s="24" t="s">
        <v>737</v>
      </c>
      <c r="H775" s="24" t="s">
        <v>62</v>
      </c>
      <c r="I775" s="24">
        <v>2007</v>
      </c>
      <c r="J775" s="24"/>
      <c r="K775" s="24" t="s">
        <v>63</v>
      </c>
      <c r="L775" s="24" t="s">
        <v>64</v>
      </c>
      <c r="M775" s="24">
        <v>6</v>
      </c>
      <c r="N775" s="41">
        <f t="shared" si="280"/>
        <v>370000</v>
      </c>
      <c r="O775" s="41">
        <v>2220000</v>
      </c>
      <c r="P775" s="24"/>
      <c r="Q775" s="24"/>
      <c r="R775" s="24"/>
      <c r="S775" s="41">
        <f t="shared" si="281"/>
        <v>2220000</v>
      </c>
      <c r="T775" s="24">
        <v>5</v>
      </c>
      <c r="U775" s="41"/>
      <c r="V775" s="24">
        <v>0.5</v>
      </c>
      <c r="W775" s="41">
        <f t="shared" si="291"/>
        <v>0</v>
      </c>
      <c r="X775" s="24"/>
      <c r="Y775" s="41">
        <f t="shared" si="292"/>
        <v>0</v>
      </c>
      <c r="Z775" s="41">
        <f t="shared" si="293"/>
        <v>0</v>
      </c>
      <c r="AA775" s="24">
        <v>5</v>
      </c>
      <c r="AB775" s="41">
        <v>2220000</v>
      </c>
      <c r="AC775" s="41">
        <f t="shared" si="288"/>
        <v>0</v>
      </c>
      <c r="AD775" s="70" t="s">
        <v>208</v>
      </c>
      <c r="AE775" s="70"/>
      <c r="AG775" s="81"/>
    </row>
    <row r="776" spans="1:33" s="1" customFormat="1" ht="12" customHeight="1" x14ac:dyDescent="0.25">
      <c r="A776" s="49">
        <v>62</v>
      </c>
      <c r="B776" s="22" t="s">
        <v>1737</v>
      </c>
      <c r="C776" s="22" t="s">
        <v>1101</v>
      </c>
      <c r="D776" s="51" t="s">
        <v>1099</v>
      </c>
      <c r="E776" s="24" t="s">
        <v>1100</v>
      </c>
      <c r="F776" s="24"/>
      <c r="G776" s="24" t="s">
        <v>737</v>
      </c>
      <c r="H776" s="24" t="s">
        <v>62</v>
      </c>
      <c r="I776" s="24">
        <v>2007</v>
      </c>
      <c r="J776" s="24"/>
      <c r="K776" s="24" t="s">
        <v>63</v>
      </c>
      <c r="L776" s="24" t="s">
        <v>64</v>
      </c>
      <c r="M776" s="24">
        <v>13</v>
      </c>
      <c r="N776" s="41">
        <f t="shared" si="280"/>
        <v>370000</v>
      </c>
      <c r="O776" s="41">
        <v>4810000</v>
      </c>
      <c r="P776" s="24"/>
      <c r="Q776" s="24"/>
      <c r="R776" s="24"/>
      <c r="S776" s="41">
        <f t="shared" si="281"/>
        <v>4810000</v>
      </c>
      <c r="T776" s="24">
        <v>5</v>
      </c>
      <c r="U776" s="41"/>
      <c r="V776" s="24">
        <v>0.5</v>
      </c>
      <c r="W776" s="41">
        <f t="shared" si="291"/>
        <v>0</v>
      </c>
      <c r="X776" s="24"/>
      <c r="Y776" s="41">
        <f t="shared" si="292"/>
        <v>0</v>
      </c>
      <c r="Z776" s="41">
        <f t="shared" si="293"/>
        <v>0</v>
      </c>
      <c r="AA776" s="24">
        <v>5</v>
      </c>
      <c r="AB776" s="41">
        <v>4810000</v>
      </c>
      <c r="AC776" s="41">
        <f t="shared" si="288"/>
        <v>0</v>
      </c>
      <c r="AD776" s="70" t="s">
        <v>311</v>
      </c>
      <c r="AE776" s="70"/>
      <c r="AG776" s="81"/>
    </row>
    <row r="777" spans="1:33" s="1" customFormat="1" ht="12" customHeight="1" x14ac:dyDescent="0.25">
      <c r="A777" s="49">
        <v>63</v>
      </c>
      <c r="B777" s="22" t="s">
        <v>1737</v>
      </c>
      <c r="C777" s="22" t="s">
        <v>1102</v>
      </c>
      <c r="D777" s="51" t="s">
        <v>1099</v>
      </c>
      <c r="E777" s="24" t="s">
        <v>1100</v>
      </c>
      <c r="F777" s="24"/>
      <c r="G777" s="24" t="s">
        <v>737</v>
      </c>
      <c r="H777" s="24" t="s">
        <v>62</v>
      </c>
      <c r="I777" s="24">
        <v>2007</v>
      </c>
      <c r="J777" s="24"/>
      <c r="K777" s="24" t="s">
        <v>63</v>
      </c>
      <c r="L777" s="24" t="s">
        <v>64</v>
      </c>
      <c r="M777" s="24">
        <v>2</v>
      </c>
      <c r="N777" s="41">
        <f t="shared" si="280"/>
        <v>370000</v>
      </c>
      <c r="O777" s="41">
        <v>740000</v>
      </c>
      <c r="P777" s="24"/>
      <c r="Q777" s="24"/>
      <c r="R777" s="24"/>
      <c r="S777" s="41">
        <f t="shared" si="281"/>
        <v>740000</v>
      </c>
      <c r="T777" s="24">
        <v>5</v>
      </c>
      <c r="U777" s="41"/>
      <c r="V777" s="24">
        <v>0.5</v>
      </c>
      <c r="W777" s="41">
        <f t="shared" si="291"/>
        <v>0</v>
      </c>
      <c r="X777" s="24"/>
      <c r="Y777" s="41">
        <f t="shared" si="292"/>
        <v>0</v>
      </c>
      <c r="Z777" s="41">
        <f t="shared" si="293"/>
        <v>0</v>
      </c>
      <c r="AA777" s="24">
        <v>5</v>
      </c>
      <c r="AB777" s="41">
        <v>740000</v>
      </c>
      <c r="AC777" s="41">
        <f t="shared" si="288"/>
        <v>0</v>
      </c>
      <c r="AD777" s="70" t="s">
        <v>1103</v>
      </c>
      <c r="AE777" s="70"/>
      <c r="AG777" s="81"/>
    </row>
    <row r="778" spans="1:33" s="1" customFormat="1" ht="12" customHeight="1" x14ac:dyDescent="0.25">
      <c r="A778" s="49">
        <v>64</v>
      </c>
      <c r="B778" s="22" t="s">
        <v>1737</v>
      </c>
      <c r="C778" s="22" t="s">
        <v>1104</v>
      </c>
      <c r="D778" s="51" t="s">
        <v>1099</v>
      </c>
      <c r="E778" s="24" t="s">
        <v>1100</v>
      </c>
      <c r="F778" s="24"/>
      <c r="G778" s="24" t="s">
        <v>737</v>
      </c>
      <c r="H778" s="24" t="s">
        <v>62</v>
      </c>
      <c r="I778" s="24">
        <v>2007</v>
      </c>
      <c r="J778" s="24"/>
      <c r="K778" s="24" t="s">
        <v>63</v>
      </c>
      <c r="L778" s="24" t="s">
        <v>64</v>
      </c>
      <c r="M778" s="24">
        <v>3</v>
      </c>
      <c r="N778" s="41">
        <f t="shared" si="280"/>
        <v>370000</v>
      </c>
      <c r="O778" s="41">
        <v>1110000</v>
      </c>
      <c r="P778" s="24"/>
      <c r="Q778" s="24"/>
      <c r="R778" s="24"/>
      <c r="S778" s="41">
        <f t="shared" si="281"/>
        <v>1110000</v>
      </c>
      <c r="T778" s="24">
        <v>5</v>
      </c>
      <c r="U778" s="41"/>
      <c r="V778" s="24">
        <v>0.5</v>
      </c>
      <c r="W778" s="41">
        <f t="shared" si="291"/>
        <v>0</v>
      </c>
      <c r="X778" s="24"/>
      <c r="Y778" s="41">
        <f t="shared" si="292"/>
        <v>0</v>
      </c>
      <c r="Z778" s="41">
        <f t="shared" si="293"/>
        <v>0</v>
      </c>
      <c r="AA778" s="72">
        <v>5</v>
      </c>
      <c r="AB778" s="41">
        <v>1110000</v>
      </c>
      <c r="AC778" s="41">
        <f t="shared" si="288"/>
        <v>0</v>
      </c>
      <c r="AD778" s="70" t="s">
        <v>1105</v>
      </c>
      <c r="AE778" s="70"/>
      <c r="AG778" s="81"/>
    </row>
    <row r="779" spans="1:33" s="1" customFormat="1" ht="12" customHeight="1" x14ac:dyDescent="0.25">
      <c r="A779" s="49">
        <v>65</v>
      </c>
      <c r="B779" s="22" t="s">
        <v>1737</v>
      </c>
      <c r="C779" s="22" t="s">
        <v>1106</v>
      </c>
      <c r="D779" s="51" t="s">
        <v>1099</v>
      </c>
      <c r="E779" s="24" t="s">
        <v>1100</v>
      </c>
      <c r="F779" s="24"/>
      <c r="G779" s="24" t="s">
        <v>737</v>
      </c>
      <c r="H779" s="24" t="s">
        <v>62</v>
      </c>
      <c r="I779" s="24">
        <v>2007</v>
      </c>
      <c r="J779" s="24"/>
      <c r="K779" s="24" t="s">
        <v>63</v>
      </c>
      <c r="L779" s="24" t="s">
        <v>64</v>
      </c>
      <c r="M779" s="24">
        <v>6</v>
      </c>
      <c r="N779" s="41">
        <f t="shared" ref="N779:N784" si="294">SUM(O779/M779)</f>
        <v>370000</v>
      </c>
      <c r="O779" s="41">
        <v>2220000</v>
      </c>
      <c r="P779" s="24"/>
      <c r="Q779" s="24"/>
      <c r="R779" s="24"/>
      <c r="S779" s="41">
        <f t="shared" ref="S779:S784" si="295">SUM(O779-R779)</f>
        <v>2220000</v>
      </c>
      <c r="T779" s="24">
        <v>5</v>
      </c>
      <c r="U779" s="41"/>
      <c r="V779" s="24">
        <v>0.5</v>
      </c>
      <c r="W779" s="41">
        <f t="shared" si="291"/>
        <v>0</v>
      </c>
      <c r="X779" s="24"/>
      <c r="Y779" s="41">
        <f t="shared" si="292"/>
        <v>0</v>
      </c>
      <c r="Z779" s="41">
        <f t="shared" si="293"/>
        <v>0</v>
      </c>
      <c r="AA779" s="24">
        <v>5</v>
      </c>
      <c r="AB779" s="41">
        <v>2220000</v>
      </c>
      <c r="AC779" s="41">
        <f t="shared" si="288"/>
        <v>0</v>
      </c>
      <c r="AD779" s="70" t="s">
        <v>259</v>
      </c>
      <c r="AE779" s="70"/>
      <c r="AG779" s="81"/>
    </row>
    <row r="780" spans="1:33" s="1" customFormat="1" ht="12" customHeight="1" x14ac:dyDescent="0.25">
      <c r="A780" s="49">
        <v>66</v>
      </c>
      <c r="B780" s="22" t="s">
        <v>1737</v>
      </c>
      <c r="C780" s="22" t="s">
        <v>1107</v>
      </c>
      <c r="D780" s="51" t="s">
        <v>1099</v>
      </c>
      <c r="E780" s="24" t="s">
        <v>1100</v>
      </c>
      <c r="F780" s="24"/>
      <c r="G780" s="24" t="s">
        <v>737</v>
      </c>
      <c r="H780" s="24" t="s">
        <v>62</v>
      </c>
      <c r="I780" s="24">
        <v>2007</v>
      </c>
      <c r="J780" s="24"/>
      <c r="K780" s="24" t="s">
        <v>63</v>
      </c>
      <c r="L780" s="24" t="s">
        <v>64</v>
      </c>
      <c r="M780" s="24">
        <v>8</v>
      </c>
      <c r="N780" s="41">
        <f t="shared" si="294"/>
        <v>370000</v>
      </c>
      <c r="O780" s="41">
        <v>2960000</v>
      </c>
      <c r="P780" s="24"/>
      <c r="Q780" s="24"/>
      <c r="R780" s="24"/>
      <c r="S780" s="41">
        <f t="shared" si="295"/>
        <v>2960000</v>
      </c>
      <c r="T780" s="24">
        <v>5</v>
      </c>
      <c r="U780" s="41"/>
      <c r="V780" s="24">
        <v>0.5</v>
      </c>
      <c r="W780" s="41">
        <f t="shared" si="291"/>
        <v>0</v>
      </c>
      <c r="X780" s="24"/>
      <c r="Y780" s="41">
        <f t="shared" si="292"/>
        <v>0</v>
      </c>
      <c r="Z780" s="41">
        <f t="shared" si="293"/>
        <v>0</v>
      </c>
      <c r="AA780" s="24">
        <v>5</v>
      </c>
      <c r="AB780" s="41">
        <v>2960000</v>
      </c>
      <c r="AC780" s="41">
        <f t="shared" si="288"/>
        <v>0</v>
      </c>
      <c r="AD780" s="70" t="s">
        <v>385</v>
      </c>
      <c r="AE780" s="70"/>
      <c r="AG780" s="81"/>
    </row>
    <row r="781" spans="1:33" s="1" customFormat="1" ht="12" customHeight="1" x14ac:dyDescent="0.25">
      <c r="A781" s="49">
        <v>67</v>
      </c>
      <c r="B781" s="22" t="s">
        <v>1737</v>
      </c>
      <c r="C781" s="22" t="s">
        <v>1108</v>
      </c>
      <c r="D781" s="51" t="s">
        <v>1099</v>
      </c>
      <c r="E781" s="24" t="s">
        <v>1100</v>
      </c>
      <c r="F781" s="24"/>
      <c r="G781" s="24" t="s">
        <v>737</v>
      </c>
      <c r="H781" s="24" t="s">
        <v>62</v>
      </c>
      <c r="I781" s="24">
        <v>2007</v>
      </c>
      <c r="J781" s="24"/>
      <c r="K781" s="24" t="s">
        <v>63</v>
      </c>
      <c r="L781" s="24" t="s">
        <v>64</v>
      </c>
      <c r="M781" s="24">
        <v>2</v>
      </c>
      <c r="N781" s="41">
        <f t="shared" si="294"/>
        <v>370000</v>
      </c>
      <c r="O781" s="41">
        <v>740000</v>
      </c>
      <c r="P781" s="24"/>
      <c r="Q781" s="24"/>
      <c r="R781" s="24"/>
      <c r="S781" s="41">
        <f t="shared" si="295"/>
        <v>740000</v>
      </c>
      <c r="T781" s="24">
        <v>5</v>
      </c>
      <c r="U781" s="41"/>
      <c r="V781" s="24">
        <v>0.5</v>
      </c>
      <c r="W781" s="41">
        <f t="shared" si="291"/>
        <v>0</v>
      </c>
      <c r="X781" s="24"/>
      <c r="Y781" s="41">
        <f t="shared" si="292"/>
        <v>0</v>
      </c>
      <c r="Z781" s="41">
        <f t="shared" si="293"/>
        <v>0</v>
      </c>
      <c r="AA781" s="24">
        <v>5</v>
      </c>
      <c r="AB781" s="41">
        <v>740000</v>
      </c>
      <c r="AC781" s="41">
        <f t="shared" si="288"/>
        <v>0</v>
      </c>
      <c r="AD781" s="70" t="s">
        <v>479</v>
      </c>
      <c r="AE781" s="70"/>
      <c r="AG781" s="81"/>
    </row>
    <row r="782" spans="1:33" s="1" customFormat="1" ht="12" customHeight="1" x14ac:dyDescent="0.25">
      <c r="A782" s="49">
        <v>68</v>
      </c>
      <c r="B782" s="22" t="s">
        <v>1737</v>
      </c>
      <c r="C782" s="22" t="s">
        <v>1109</v>
      </c>
      <c r="D782" s="51" t="s">
        <v>1099</v>
      </c>
      <c r="E782" s="24" t="s">
        <v>1100</v>
      </c>
      <c r="F782" s="24"/>
      <c r="G782" s="24" t="s">
        <v>737</v>
      </c>
      <c r="H782" s="24" t="s">
        <v>62</v>
      </c>
      <c r="I782" s="24">
        <v>2009</v>
      </c>
      <c r="J782" s="24"/>
      <c r="K782" s="24" t="s">
        <v>63</v>
      </c>
      <c r="L782" s="24" t="s">
        <v>64</v>
      </c>
      <c r="M782" s="24">
        <v>200</v>
      </c>
      <c r="N782" s="41">
        <f t="shared" si="294"/>
        <v>194350</v>
      </c>
      <c r="O782" s="41">
        <v>38870000</v>
      </c>
      <c r="P782" s="24"/>
      <c r="Q782" s="24"/>
      <c r="R782" s="24"/>
      <c r="S782" s="41">
        <f t="shared" si="295"/>
        <v>38870000</v>
      </c>
      <c r="T782" s="24">
        <v>5</v>
      </c>
      <c r="U782" s="41"/>
      <c r="V782" s="24">
        <v>0.5</v>
      </c>
      <c r="W782" s="41">
        <f t="shared" si="291"/>
        <v>0</v>
      </c>
      <c r="X782" s="24"/>
      <c r="Y782" s="41">
        <f t="shared" si="292"/>
        <v>0</v>
      </c>
      <c r="Z782" s="41">
        <f t="shared" si="293"/>
        <v>0</v>
      </c>
      <c r="AA782" s="24">
        <v>5</v>
      </c>
      <c r="AB782" s="41">
        <v>38870000</v>
      </c>
      <c r="AC782" s="41">
        <f t="shared" si="288"/>
        <v>0</v>
      </c>
      <c r="AD782" s="70" t="s">
        <v>295</v>
      </c>
      <c r="AE782" s="70"/>
      <c r="AG782" s="81"/>
    </row>
    <row r="783" spans="1:33" s="1" customFormat="1" ht="12" customHeight="1" x14ac:dyDescent="0.25">
      <c r="A783" s="49">
        <v>69</v>
      </c>
      <c r="B783" s="22" t="s">
        <v>1737</v>
      </c>
      <c r="C783" s="22" t="s">
        <v>1110</v>
      </c>
      <c r="D783" s="51" t="s">
        <v>1099</v>
      </c>
      <c r="E783" s="24" t="s">
        <v>1111</v>
      </c>
      <c r="F783" s="24"/>
      <c r="G783" s="24" t="s">
        <v>737</v>
      </c>
      <c r="H783" s="24" t="s">
        <v>62</v>
      </c>
      <c r="I783" s="24">
        <v>2011</v>
      </c>
      <c r="J783" s="24"/>
      <c r="K783" s="24" t="s">
        <v>63</v>
      </c>
      <c r="L783" s="24" t="s">
        <v>64</v>
      </c>
      <c r="M783" s="24">
        <v>18</v>
      </c>
      <c r="N783" s="41">
        <f t="shared" si="294"/>
        <v>500000</v>
      </c>
      <c r="O783" s="41">
        <v>9000000</v>
      </c>
      <c r="P783" s="24"/>
      <c r="Q783" s="24"/>
      <c r="R783" s="24"/>
      <c r="S783" s="41">
        <f t="shared" si="295"/>
        <v>9000000</v>
      </c>
      <c r="T783" s="24">
        <v>5</v>
      </c>
      <c r="U783" s="41"/>
      <c r="V783" s="24">
        <v>0.5</v>
      </c>
      <c r="W783" s="41">
        <f t="shared" si="291"/>
        <v>0</v>
      </c>
      <c r="X783" s="24"/>
      <c r="Y783" s="41">
        <f t="shared" si="292"/>
        <v>0</v>
      </c>
      <c r="Z783" s="41">
        <f t="shared" si="293"/>
        <v>0</v>
      </c>
      <c r="AA783" s="24">
        <v>5</v>
      </c>
      <c r="AB783" s="41">
        <v>9000000</v>
      </c>
      <c r="AC783" s="41">
        <f t="shared" si="288"/>
        <v>0</v>
      </c>
      <c r="AD783" s="70" t="s">
        <v>616</v>
      </c>
      <c r="AE783" s="70"/>
      <c r="AG783" s="81"/>
    </row>
    <row r="784" spans="1:33" s="1" customFormat="1" ht="12" customHeight="1" x14ac:dyDescent="0.25">
      <c r="A784" s="49">
        <v>70</v>
      </c>
      <c r="B784" s="22" t="s">
        <v>1737</v>
      </c>
      <c r="C784" s="22" t="s">
        <v>1112</v>
      </c>
      <c r="D784" s="51" t="s">
        <v>1099</v>
      </c>
      <c r="E784" s="24" t="s">
        <v>1111</v>
      </c>
      <c r="F784" s="24"/>
      <c r="G784" s="24" t="s">
        <v>737</v>
      </c>
      <c r="H784" s="24" t="s">
        <v>62</v>
      </c>
      <c r="I784" s="24">
        <v>2011</v>
      </c>
      <c r="J784" s="24"/>
      <c r="K784" s="24" t="s">
        <v>63</v>
      </c>
      <c r="L784" s="24" t="s">
        <v>64</v>
      </c>
      <c r="M784" s="24">
        <v>2</v>
      </c>
      <c r="N784" s="41">
        <f t="shared" si="294"/>
        <v>500000</v>
      </c>
      <c r="O784" s="41">
        <v>1000000</v>
      </c>
      <c r="P784" s="24"/>
      <c r="Q784" s="24"/>
      <c r="R784" s="24"/>
      <c r="S784" s="41">
        <f t="shared" si="295"/>
        <v>1000000</v>
      </c>
      <c r="T784" s="24">
        <v>5</v>
      </c>
      <c r="U784" s="41"/>
      <c r="V784" s="24">
        <v>0.5</v>
      </c>
      <c r="W784" s="41">
        <f t="shared" si="291"/>
        <v>0</v>
      </c>
      <c r="X784" s="24"/>
      <c r="Y784" s="41">
        <f t="shared" si="292"/>
        <v>0</v>
      </c>
      <c r="Z784" s="41">
        <f t="shared" si="293"/>
        <v>0</v>
      </c>
      <c r="AA784" s="24">
        <v>5</v>
      </c>
      <c r="AB784" s="41">
        <v>1000000</v>
      </c>
      <c r="AC784" s="41">
        <f t="shared" si="288"/>
        <v>0</v>
      </c>
      <c r="AD784" s="70" t="s">
        <v>335</v>
      </c>
      <c r="AE784" s="70"/>
      <c r="AG784" s="81"/>
    </row>
    <row r="785" spans="1:33" s="1" customFormat="1" x14ac:dyDescent="0.25">
      <c r="A785" s="21"/>
      <c r="B785" s="22"/>
      <c r="C785" s="22"/>
      <c r="D785" s="23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  <c r="AA785" s="24"/>
      <c r="AB785" s="24"/>
      <c r="AC785" s="24"/>
      <c r="AD785" s="24"/>
      <c r="AE785" s="70"/>
      <c r="AG785" s="83"/>
    </row>
    <row r="786" spans="1:33" s="1" customFormat="1" ht="25.5" x14ac:dyDescent="0.25">
      <c r="A786" s="17"/>
      <c r="B786" s="18" t="s">
        <v>1124</v>
      </c>
      <c r="C786" s="18"/>
      <c r="D786" s="84" t="s">
        <v>1125</v>
      </c>
      <c r="E786" s="20"/>
      <c r="F786" s="20"/>
      <c r="G786" s="20"/>
      <c r="H786" s="20"/>
      <c r="I786" s="20"/>
      <c r="J786" s="20"/>
      <c r="K786" s="20"/>
      <c r="L786" s="20"/>
      <c r="M786" s="20">
        <f>SUM(M787+M794+M803)</f>
        <v>91</v>
      </c>
      <c r="N786" s="20"/>
      <c r="O786" s="37">
        <f>SUM(O787+O794+O803)</f>
        <v>188450500</v>
      </c>
      <c r="P786" s="20">
        <f>P787+P794+P803+P806</f>
        <v>0</v>
      </c>
      <c r="Q786" s="20">
        <f>Q787+Q794+Q803+Q806</f>
        <v>0</v>
      </c>
      <c r="R786" s="20">
        <f>R787+R794+R803+R806</f>
        <v>0</v>
      </c>
      <c r="S786" s="37">
        <f>SUM(S787+S794+S803)</f>
        <v>188450500</v>
      </c>
      <c r="T786" s="20"/>
      <c r="U786" s="183">
        <f>SUM(U787+U794+U803)</f>
        <v>1300000</v>
      </c>
      <c r="V786" s="183"/>
      <c r="W786" s="183">
        <f>SUM(W787+W794+W803)</f>
        <v>400000</v>
      </c>
      <c r="X786" s="183"/>
      <c r="Y786" s="183">
        <f>Y787+Y794+Y803+Y806</f>
        <v>400000</v>
      </c>
      <c r="Z786" s="37">
        <f>SUM(Z787+Z794+Z803)</f>
        <v>800000</v>
      </c>
      <c r="AA786" s="183"/>
      <c r="AB786" s="37">
        <f>SUM(AB787+AB794+AB803)</f>
        <v>187850500</v>
      </c>
      <c r="AC786" s="37">
        <f>SUM(AC787+AC794+AC803)</f>
        <v>600000</v>
      </c>
      <c r="AD786" s="20"/>
      <c r="AE786" s="70"/>
      <c r="AF786" s="1">
        <v>187450500</v>
      </c>
      <c r="AG786" s="372">
        <f>AF786+Y786-AB786</f>
        <v>0</v>
      </c>
    </row>
    <row r="787" spans="1:33" s="1" customFormat="1" x14ac:dyDescent="0.25">
      <c r="A787" s="25"/>
      <c r="B787" s="26" t="s">
        <v>1126</v>
      </c>
      <c r="C787" s="26"/>
      <c r="D787" s="64" t="s">
        <v>1127</v>
      </c>
      <c r="E787" s="28"/>
      <c r="F787" s="28"/>
      <c r="G787" s="28"/>
      <c r="H787" s="28"/>
      <c r="I787" s="28"/>
      <c r="J787" s="28"/>
      <c r="K787" s="28"/>
      <c r="L787" s="28"/>
      <c r="M787" s="28">
        <f>SUM(M788:M792)</f>
        <v>81</v>
      </c>
      <c r="N787" s="28"/>
      <c r="O787" s="86">
        <f>SUM(O788:O792)</f>
        <v>10503000</v>
      </c>
      <c r="P787" s="28">
        <f>SUM(P788:P792)</f>
        <v>0</v>
      </c>
      <c r="Q787" s="28">
        <f>SUM(Q788:Q792)</f>
        <v>0</v>
      </c>
      <c r="R787" s="28">
        <f>SUM(R788:R792)</f>
        <v>0</v>
      </c>
      <c r="S787" s="40">
        <f>SUM(S788:S792)</f>
        <v>10503000</v>
      </c>
      <c r="T787" s="28"/>
      <c r="U787" s="86">
        <f>SUM(U788:U792)</f>
        <v>1300000</v>
      </c>
      <c r="V787" s="86"/>
      <c r="W787" s="86">
        <f>SUM(W788:W792)</f>
        <v>400000</v>
      </c>
      <c r="X787" s="86"/>
      <c r="Y787" s="86">
        <f>SUM(Y788:Y792)</f>
        <v>400000</v>
      </c>
      <c r="Z787" s="40">
        <f>SUM(Z788:Z792)</f>
        <v>800000</v>
      </c>
      <c r="AA787" s="86"/>
      <c r="AB787" s="86">
        <f>SUM(AB788:AB792)</f>
        <v>9903000</v>
      </c>
      <c r="AC787" s="40">
        <f>SUM(AC788:AC792)</f>
        <v>600000</v>
      </c>
      <c r="AD787" s="28"/>
      <c r="AE787" s="70"/>
      <c r="AF787" s="5">
        <f>AB786-AF786</f>
        <v>400000</v>
      </c>
      <c r="AG787" s="83"/>
    </row>
    <row r="788" spans="1:33" s="1" customFormat="1" x14ac:dyDescent="0.25">
      <c r="A788" s="21">
        <v>1</v>
      </c>
      <c r="B788" s="22" t="s">
        <v>1738</v>
      </c>
      <c r="C788" s="22" t="s">
        <v>58</v>
      </c>
      <c r="D788" s="51" t="s">
        <v>623</v>
      </c>
      <c r="E788" s="24" t="s">
        <v>624</v>
      </c>
      <c r="F788" s="24"/>
      <c r="G788" s="24" t="s">
        <v>194</v>
      </c>
      <c r="H788" s="24" t="s">
        <v>62</v>
      </c>
      <c r="I788" s="24">
        <v>2012</v>
      </c>
      <c r="J788" s="24"/>
      <c r="K788" s="24" t="s">
        <v>63</v>
      </c>
      <c r="L788" s="24" t="s">
        <v>64</v>
      </c>
      <c r="M788" s="24">
        <v>1</v>
      </c>
      <c r="N788" s="41">
        <f>SUM(O788/M788)</f>
        <v>2903000</v>
      </c>
      <c r="O788" s="41">
        <v>2903000</v>
      </c>
      <c r="P788" s="24"/>
      <c r="Q788" s="24"/>
      <c r="R788" s="24"/>
      <c r="S788" s="41">
        <f>SUM(O788-R788)</f>
        <v>2903000</v>
      </c>
      <c r="T788" s="24">
        <v>5</v>
      </c>
      <c r="U788" s="41"/>
      <c r="V788" s="24">
        <v>0.5</v>
      </c>
      <c r="W788" s="41">
        <f>SUM(U788*V788)</f>
        <v>0</v>
      </c>
      <c r="X788" s="24"/>
      <c r="Y788" s="41">
        <f>SUM(U788*X788)</f>
        <v>0</v>
      </c>
      <c r="Z788" s="41">
        <f>SUM(W788+Y788)</f>
        <v>0</v>
      </c>
      <c r="AA788" s="72">
        <v>5</v>
      </c>
      <c r="AB788" s="41">
        <v>2903000</v>
      </c>
      <c r="AC788" s="41">
        <f>SUM(O788-AB788)</f>
        <v>0</v>
      </c>
      <c r="AD788" s="70" t="s">
        <v>295</v>
      </c>
      <c r="AE788" s="70"/>
      <c r="AG788" s="83"/>
    </row>
    <row r="789" spans="1:33" s="1" customFormat="1" x14ac:dyDescent="0.25">
      <c r="A789" s="21">
        <v>2</v>
      </c>
      <c r="B789" s="22" t="s">
        <v>1739</v>
      </c>
      <c r="C789" s="22" t="s">
        <v>868</v>
      </c>
      <c r="D789" s="85" t="s">
        <v>628</v>
      </c>
      <c r="E789" s="24" t="s">
        <v>166</v>
      </c>
      <c r="F789" s="24"/>
      <c r="G789" s="24" t="s">
        <v>194</v>
      </c>
      <c r="H789" s="24" t="s">
        <v>62</v>
      </c>
      <c r="I789" s="24">
        <v>2019</v>
      </c>
      <c r="J789" s="24"/>
      <c r="K789" s="24" t="s">
        <v>63</v>
      </c>
      <c r="L789" s="24" t="s">
        <v>64</v>
      </c>
      <c r="M789" s="24">
        <v>4</v>
      </c>
      <c r="N789" s="41">
        <f>SUM(O789/M789)</f>
        <v>1000000</v>
      </c>
      <c r="O789" s="41">
        <v>4000000</v>
      </c>
      <c r="P789" s="24"/>
      <c r="Q789" s="24"/>
      <c r="R789" s="24"/>
      <c r="S789" s="41">
        <f>SUM(O789-R789)</f>
        <v>4000000</v>
      </c>
      <c r="T789" s="24">
        <v>5</v>
      </c>
      <c r="U789" s="41">
        <f>SUM(S789/T789)</f>
        <v>800000</v>
      </c>
      <c r="V789" s="24">
        <v>0.5</v>
      </c>
      <c r="W789" s="41">
        <f>SUM(U789*V789)</f>
        <v>400000</v>
      </c>
      <c r="X789" s="24">
        <v>0.5</v>
      </c>
      <c r="Y789" s="41">
        <f>SUM(U789*X789)</f>
        <v>400000</v>
      </c>
      <c r="Z789" s="41">
        <f>SUM(W789+Y789)</f>
        <v>800000</v>
      </c>
      <c r="AA789" s="24">
        <f>2023-I789+V789+X789-9/12</f>
        <v>4.25</v>
      </c>
      <c r="AB789" s="41">
        <f>SUM(U789*AA789)</f>
        <v>3400000</v>
      </c>
      <c r="AC789" s="41">
        <f>SUM(O789-AB789)</f>
        <v>600000</v>
      </c>
      <c r="AD789" s="24"/>
      <c r="AE789" s="70"/>
      <c r="AG789" s="83"/>
    </row>
    <row r="790" spans="1:33" s="1" customFormat="1" x14ac:dyDescent="0.25">
      <c r="A790" s="21">
        <v>3</v>
      </c>
      <c r="B790" s="22" t="s">
        <v>1740</v>
      </c>
      <c r="C790" s="22" t="s">
        <v>625</v>
      </c>
      <c r="D790" s="51" t="s">
        <v>626</v>
      </c>
      <c r="E790" s="24" t="s">
        <v>627</v>
      </c>
      <c r="F790" s="24"/>
      <c r="G790" s="24" t="s">
        <v>194</v>
      </c>
      <c r="H790" s="24" t="s">
        <v>62</v>
      </c>
      <c r="I790" s="24">
        <v>2015</v>
      </c>
      <c r="J790" s="24"/>
      <c r="K790" s="24" t="s">
        <v>63</v>
      </c>
      <c r="L790" s="24" t="s">
        <v>64</v>
      </c>
      <c r="M790" s="24">
        <v>50</v>
      </c>
      <c r="N790" s="41">
        <f>SUM(O790/M790)</f>
        <v>50000</v>
      </c>
      <c r="O790" s="41">
        <v>2500000</v>
      </c>
      <c r="P790" s="24"/>
      <c r="Q790" s="24"/>
      <c r="R790" s="24"/>
      <c r="S790" s="41">
        <f>SUM(O790-R790)</f>
        <v>2500000</v>
      </c>
      <c r="T790" s="24">
        <v>5</v>
      </c>
      <c r="U790" s="41">
        <f>SUM(S790/T790)</f>
        <v>500000</v>
      </c>
      <c r="V790" s="24">
        <v>0.5</v>
      </c>
      <c r="W790" s="41"/>
      <c r="X790" s="24"/>
      <c r="Y790" s="41">
        <f>SUM(U790*X790)</f>
        <v>0</v>
      </c>
      <c r="Z790" s="41"/>
      <c r="AA790" s="72">
        <v>5</v>
      </c>
      <c r="AB790" s="41">
        <f>SUM(U790*AA790)</f>
        <v>2500000</v>
      </c>
      <c r="AC790" s="41">
        <f>SUM(O790-AB790)</f>
        <v>0</v>
      </c>
      <c r="AD790" s="70" t="s">
        <v>199</v>
      </c>
      <c r="AE790" s="70"/>
      <c r="AG790" s="83"/>
    </row>
    <row r="791" spans="1:33" s="1" customFormat="1" x14ac:dyDescent="0.25">
      <c r="A791" s="21">
        <v>4</v>
      </c>
      <c r="B791" s="22" t="s">
        <v>1740</v>
      </c>
      <c r="C791" s="22" t="s">
        <v>317</v>
      </c>
      <c r="D791" s="51" t="s">
        <v>676</v>
      </c>
      <c r="E791" s="24" t="s">
        <v>677</v>
      </c>
      <c r="F791" s="24"/>
      <c r="G791" s="24" t="s">
        <v>61</v>
      </c>
      <c r="H791" s="24" t="s">
        <v>62</v>
      </c>
      <c r="I791" s="24">
        <v>2012</v>
      </c>
      <c r="J791" s="24"/>
      <c r="K791" s="24" t="s">
        <v>63</v>
      </c>
      <c r="L791" s="24" t="s">
        <v>64</v>
      </c>
      <c r="M791" s="24">
        <v>16</v>
      </c>
      <c r="N791" s="41">
        <f>SUM(O791/M791)</f>
        <v>45000</v>
      </c>
      <c r="O791" s="41">
        <v>720000</v>
      </c>
      <c r="P791" s="24"/>
      <c r="Q791" s="24"/>
      <c r="R791" s="24"/>
      <c r="S791" s="41">
        <f>SUM(O791-R791)</f>
        <v>720000</v>
      </c>
      <c r="T791" s="24">
        <v>5</v>
      </c>
      <c r="U791" s="41"/>
      <c r="V791" s="24">
        <v>0.5</v>
      </c>
      <c r="W791" s="41">
        <f>SUM(U791*V791)</f>
        <v>0</v>
      </c>
      <c r="X791" s="24"/>
      <c r="Y791" s="41">
        <f>SUM(U791*X791)</f>
        <v>0</v>
      </c>
      <c r="Z791" s="41">
        <f>SUM(W791+Y791)</f>
        <v>0</v>
      </c>
      <c r="AA791" s="24">
        <v>5</v>
      </c>
      <c r="AB791" s="41">
        <v>720000</v>
      </c>
      <c r="AC791" s="41">
        <f>SUM(O791-AB791)</f>
        <v>0</v>
      </c>
      <c r="AD791" s="70" t="s">
        <v>630</v>
      </c>
      <c r="AE791" s="70"/>
      <c r="AG791" s="83"/>
    </row>
    <row r="792" spans="1:33" s="1" customFormat="1" x14ac:dyDescent="0.25">
      <c r="A792" s="21">
        <v>5</v>
      </c>
      <c r="B792" s="22" t="s">
        <v>1740</v>
      </c>
      <c r="C792" s="22" t="s">
        <v>678</v>
      </c>
      <c r="D792" s="51" t="s">
        <v>679</v>
      </c>
      <c r="E792" s="24" t="s">
        <v>680</v>
      </c>
      <c r="F792" s="24"/>
      <c r="G792" s="24" t="s">
        <v>61</v>
      </c>
      <c r="H792" s="24" t="s">
        <v>62</v>
      </c>
      <c r="I792" s="24">
        <v>2012</v>
      </c>
      <c r="J792" s="24"/>
      <c r="K792" s="24" t="s">
        <v>63</v>
      </c>
      <c r="L792" s="24" t="s">
        <v>64</v>
      </c>
      <c r="M792" s="24">
        <v>10</v>
      </c>
      <c r="N792" s="41">
        <f>SUM(O792/M792)</f>
        <v>38000</v>
      </c>
      <c r="O792" s="41">
        <v>380000</v>
      </c>
      <c r="P792" s="24"/>
      <c r="Q792" s="24"/>
      <c r="R792" s="24"/>
      <c r="S792" s="41">
        <f>SUM(O792-R792)</f>
        <v>380000</v>
      </c>
      <c r="T792" s="24">
        <v>5</v>
      </c>
      <c r="U792" s="41"/>
      <c r="V792" s="24">
        <v>0.5</v>
      </c>
      <c r="W792" s="41">
        <f>SUM(U792*V792)</f>
        <v>0</v>
      </c>
      <c r="X792" s="24"/>
      <c r="Y792" s="41">
        <f>SUM(U792*X792)</f>
        <v>0</v>
      </c>
      <c r="Z792" s="41">
        <f>SUM(W792+Y792)</f>
        <v>0</v>
      </c>
      <c r="AA792" s="24">
        <v>5</v>
      </c>
      <c r="AB792" s="41">
        <v>380000</v>
      </c>
      <c r="AC792" s="41">
        <f>SUM(O792-AB792)</f>
        <v>0</v>
      </c>
      <c r="AD792" s="70" t="s">
        <v>288</v>
      </c>
      <c r="AE792" s="70"/>
      <c r="AG792" s="83"/>
    </row>
    <row r="793" spans="1:33" s="1" customFormat="1" x14ac:dyDescent="0.25">
      <c r="A793" s="21"/>
      <c r="B793" s="22"/>
      <c r="C793" s="22"/>
      <c r="D793" s="85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  <c r="AA793" s="24"/>
      <c r="AB793" s="24"/>
      <c r="AC793" s="24"/>
      <c r="AD793" s="24"/>
      <c r="AE793" s="70"/>
      <c r="AG793" s="83"/>
    </row>
    <row r="794" spans="1:33" s="1" customFormat="1" x14ac:dyDescent="0.25">
      <c r="A794" s="25"/>
      <c r="B794" s="26" t="s">
        <v>1128</v>
      </c>
      <c r="C794" s="26"/>
      <c r="D794" s="64" t="s">
        <v>1129</v>
      </c>
      <c r="E794" s="28"/>
      <c r="F794" s="28"/>
      <c r="G794" s="28"/>
      <c r="H794" s="28"/>
      <c r="I794" s="28"/>
      <c r="J794" s="28"/>
      <c r="K794" s="28"/>
      <c r="L794" s="28"/>
      <c r="M794" s="28">
        <f>SUM(M795:M801)</f>
        <v>9</v>
      </c>
      <c r="N794" s="40"/>
      <c r="O794" s="40">
        <f>SUM(O795:O801)</f>
        <v>111347500</v>
      </c>
      <c r="P794" s="28">
        <f>SUM(P800:P801)</f>
        <v>0</v>
      </c>
      <c r="Q794" s="28">
        <f>SUM(Q800:Q801)</f>
        <v>0</v>
      </c>
      <c r="R794" s="28">
        <f>SUM(R800:R801)</f>
        <v>0</v>
      </c>
      <c r="S794" s="40">
        <f>SUM(S795:S801)</f>
        <v>111347500</v>
      </c>
      <c r="T794" s="28"/>
      <c r="U794" s="40">
        <f>SUM(U795:U801)</f>
        <v>0</v>
      </c>
      <c r="V794" s="28"/>
      <c r="W794" s="28">
        <f>SUM(W800:W801)</f>
        <v>0</v>
      </c>
      <c r="X794" s="28"/>
      <c r="Y794" s="28">
        <f>SUM(Y800:Y801)</f>
        <v>0</v>
      </c>
      <c r="Z794" s="28">
        <f>SUM(Z800:Z801)</f>
        <v>0</v>
      </c>
      <c r="AA794" s="28"/>
      <c r="AB794" s="40">
        <f>SUM(AB795:AB801)</f>
        <v>111347500</v>
      </c>
      <c r="AC794" s="28">
        <f>SUM(AC800:AC801)</f>
        <v>0</v>
      </c>
      <c r="AD794" s="28"/>
      <c r="AE794" s="70"/>
      <c r="AG794" s="83"/>
    </row>
    <row r="795" spans="1:33" s="1" customFormat="1" x14ac:dyDescent="0.25">
      <c r="A795" s="49">
        <v>1</v>
      </c>
      <c r="B795" s="22" t="s">
        <v>1741</v>
      </c>
      <c r="C795" s="22" t="s">
        <v>657</v>
      </c>
      <c r="D795" s="51" t="s">
        <v>1132</v>
      </c>
      <c r="E795" s="24" t="s">
        <v>1133</v>
      </c>
      <c r="F795" s="24"/>
      <c r="G795" s="24" t="s">
        <v>194</v>
      </c>
      <c r="H795" s="24" t="s">
        <v>62</v>
      </c>
      <c r="I795" s="24">
        <v>2014</v>
      </c>
      <c r="J795" s="24"/>
      <c r="K795" s="24" t="s">
        <v>63</v>
      </c>
      <c r="L795" s="24" t="s">
        <v>64</v>
      </c>
      <c r="M795" s="24">
        <v>3</v>
      </c>
      <c r="N795" s="41">
        <f>SUM(O795/M795)</f>
        <v>1993750</v>
      </c>
      <c r="O795" s="41">
        <v>5981250</v>
      </c>
      <c r="P795" s="24"/>
      <c r="Q795" s="24"/>
      <c r="R795" s="24"/>
      <c r="S795" s="41">
        <f t="shared" ref="S795:S801" si="296">SUM(O795-R795)</f>
        <v>5981250</v>
      </c>
      <c r="T795" s="24">
        <v>5</v>
      </c>
      <c r="U795" s="41"/>
      <c r="V795" s="24">
        <v>0.5</v>
      </c>
      <c r="W795" s="41">
        <f>SUM(U795*V795)</f>
        <v>0</v>
      </c>
      <c r="X795" s="24"/>
      <c r="Y795" s="41">
        <f>SUM(U795*X795)</f>
        <v>0</v>
      </c>
      <c r="Z795" s="41">
        <f>SUM(W795+Y795)</f>
        <v>0</v>
      </c>
      <c r="AA795" s="72">
        <v>5</v>
      </c>
      <c r="AB795" s="41">
        <v>5981250</v>
      </c>
      <c r="AC795" s="41">
        <f t="shared" ref="AC795:AC801" si="297">SUM(O795-AB795)</f>
        <v>0</v>
      </c>
      <c r="AD795" s="70" t="s">
        <v>225</v>
      </c>
      <c r="AE795" s="70"/>
      <c r="AG795" s="83"/>
    </row>
    <row r="796" spans="1:33" s="1" customFormat="1" x14ac:dyDescent="0.25">
      <c r="A796" s="49">
        <v>2</v>
      </c>
      <c r="B796" s="22" t="s">
        <v>1741</v>
      </c>
      <c r="C796" s="22" t="s">
        <v>84</v>
      </c>
      <c r="D796" s="51" t="s">
        <v>1132</v>
      </c>
      <c r="E796" s="24" t="s">
        <v>1133</v>
      </c>
      <c r="F796" s="24"/>
      <c r="G796" s="24" t="s">
        <v>194</v>
      </c>
      <c r="H796" s="24" t="s">
        <v>62</v>
      </c>
      <c r="I796" s="24">
        <v>2014</v>
      </c>
      <c r="J796" s="24"/>
      <c r="K796" s="24" t="s">
        <v>63</v>
      </c>
      <c r="L796" s="24" t="s">
        <v>64</v>
      </c>
      <c r="M796" s="24">
        <v>1</v>
      </c>
      <c r="N796" s="41">
        <f>SUM(O796/M796)</f>
        <v>1993750</v>
      </c>
      <c r="O796" s="41">
        <v>1993750</v>
      </c>
      <c r="P796" s="24"/>
      <c r="Q796" s="24"/>
      <c r="R796" s="24"/>
      <c r="S796" s="41">
        <f t="shared" si="296"/>
        <v>1993750</v>
      </c>
      <c r="T796" s="24">
        <v>5</v>
      </c>
      <c r="U796" s="41"/>
      <c r="V796" s="24">
        <v>0.5</v>
      </c>
      <c r="W796" s="41">
        <f>SUM(U796*V796)</f>
        <v>0</v>
      </c>
      <c r="X796" s="24"/>
      <c r="Y796" s="41">
        <f>SUM(U796*X796)</f>
        <v>0</v>
      </c>
      <c r="Z796" s="41">
        <f>SUM(W796+Y796)</f>
        <v>0</v>
      </c>
      <c r="AA796" s="72">
        <v>5</v>
      </c>
      <c r="AB796" s="41">
        <v>1993750</v>
      </c>
      <c r="AC796" s="41">
        <f t="shared" si="297"/>
        <v>0</v>
      </c>
      <c r="AD796" s="70" t="s">
        <v>480</v>
      </c>
      <c r="AE796" s="70"/>
      <c r="AG796" s="83"/>
    </row>
    <row r="797" spans="1:33" s="1" customFormat="1" x14ac:dyDescent="0.25">
      <c r="A797" s="49">
        <v>3</v>
      </c>
      <c r="B797" s="22" t="s">
        <v>1741</v>
      </c>
      <c r="C797" s="22" t="s">
        <v>88</v>
      </c>
      <c r="D797" s="51" t="s">
        <v>1132</v>
      </c>
      <c r="E797" s="24" t="s">
        <v>1133</v>
      </c>
      <c r="F797" s="24"/>
      <c r="G797" s="24" t="s">
        <v>194</v>
      </c>
      <c r="H797" s="24" t="s">
        <v>62</v>
      </c>
      <c r="I797" s="24">
        <v>2014</v>
      </c>
      <c r="J797" s="24"/>
      <c r="K797" s="24" t="s">
        <v>63</v>
      </c>
      <c r="L797" s="24" t="s">
        <v>64</v>
      </c>
      <c r="M797" s="24">
        <v>1</v>
      </c>
      <c r="N797" s="41">
        <f>SUM(O797/M797)</f>
        <v>1993750</v>
      </c>
      <c r="O797" s="41">
        <v>1993750</v>
      </c>
      <c r="P797" s="24"/>
      <c r="Q797" s="24"/>
      <c r="R797" s="24"/>
      <c r="S797" s="41">
        <f t="shared" si="296"/>
        <v>1993750</v>
      </c>
      <c r="T797" s="24">
        <v>5</v>
      </c>
      <c r="U797" s="41"/>
      <c r="V797" s="24">
        <v>0.5</v>
      </c>
      <c r="W797" s="41">
        <f>SUM(U797*V797)</f>
        <v>0</v>
      </c>
      <c r="X797" s="24"/>
      <c r="Y797" s="41">
        <f>SUM(U797*X797)</f>
        <v>0</v>
      </c>
      <c r="Z797" s="41">
        <f>SUM(W797+Y797)</f>
        <v>0</v>
      </c>
      <c r="AA797" s="72">
        <v>5</v>
      </c>
      <c r="AB797" s="41">
        <v>1993750</v>
      </c>
      <c r="AC797" s="41">
        <f t="shared" si="297"/>
        <v>0</v>
      </c>
      <c r="AD797" s="70" t="s">
        <v>558</v>
      </c>
      <c r="AE797" s="70"/>
      <c r="AG797" s="83"/>
    </row>
    <row r="798" spans="1:33" s="1" customFormat="1" x14ac:dyDescent="0.25">
      <c r="A798" s="49">
        <v>4</v>
      </c>
      <c r="B798" s="22" t="s">
        <v>1741</v>
      </c>
      <c r="C798" s="22" t="s">
        <v>92</v>
      </c>
      <c r="D798" s="51" t="s">
        <v>1132</v>
      </c>
      <c r="E798" s="24" t="s">
        <v>1133</v>
      </c>
      <c r="F798" s="24"/>
      <c r="G798" s="24" t="s">
        <v>194</v>
      </c>
      <c r="H798" s="24" t="s">
        <v>62</v>
      </c>
      <c r="I798" s="24">
        <v>2014</v>
      </c>
      <c r="J798" s="24"/>
      <c r="K798" s="24" t="s">
        <v>63</v>
      </c>
      <c r="L798" s="24" t="s">
        <v>64</v>
      </c>
      <c r="M798" s="24">
        <v>1</v>
      </c>
      <c r="N798" s="41">
        <f>SUM(O798/M798)</f>
        <v>1993750</v>
      </c>
      <c r="O798" s="41">
        <v>1993750</v>
      </c>
      <c r="P798" s="24"/>
      <c r="Q798" s="24"/>
      <c r="R798" s="24"/>
      <c r="S798" s="41">
        <f t="shared" si="296"/>
        <v>1993750</v>
      </c>
      <c r="T798" s="24">
        <v>5</v>
      </c>
      <c r="U798" s="41"/>
      <c r="V798" s="24">
        <v>0.5</v>
      </c>
      <c r="W798" s="41">
        <f>SUM(U798*V798)</f>
        <v>0</v>
      </c>
      <c r="X798" s="24"/>
      <c r="Y798" s="41">
        <f>SUM(U798*X798)</f>
        <v>0</v>
      </c>
      <c r="Z798" s="41">
        <f>SUM(W798+Y798)</f>
        <v>0</v>
      </c>
      <c r="AA798" s="72">
        <v>5</v>
      </c>
      <c r="AB798" s="41">
        <v>1993750</v>
      </c>
      <c r="AC798" s="41">
        <f t="shared" si="297"/>
        <v>0</v>
      </c>
      <c r="AD798" s="70" t="s">
        <v>1134</v>
      </c>
      <c r="AE798" s="70"/>
      <c r="AG798" s="83"/>
    </row>
    <row r="799" spans="1:33" s="1" customFormat="1" x14ac:dyDescent="0.25">
      <c r="A799" s="49">
        <v>5</v>
      </c>
      <c r="B799" s="22" t="s">
        <v>1742</v>
      </c>
      <c r="C799" s="50" t="s">
        <v>58</v>
      </c>
      <c r="D799" s="51" t="s">
        <v>375</v>
      </c>
      <c r="E799" s="52" t="s">
        <v>376</v>
      </c>
      <c r="F799" s="52"/>
      <c r="G799" s="52" t="s">
        <v>194</v>
      </c>
      <c r="H799" s="52" t="s">
        <v>62</v>
      </c>
      <c r="I799" s="52">
        <v>2016</v>
      </c>
      <c r="J799" s="52"/>
      <c r="K799" s="52" t="s">
        <v>63</v>
      </c>
      <c r="L799" s="52" t="s">
        <v>64</v>
      </c>
      <c r="M799" s="52">
        <v>1</v>
      </c>
      <c r="N799" s="53">
        <f>SUM(O799/M799)</f>
        <v>4950000</v>
      </c>
      <c r="O799" s="53">
        <v>4950000</v>
      </c>
      <c r="P799" s="52"/>
      <c r="Q799" s="52"/>
      <c r="R799" s="52"/>
      <c r="S799" s="53">
        <f t="shared" si="296"/>
        <v>4950000</v>
      </c>
      <c r="T799" s="52">
        <v>5</v>
      </c>
      <c r="U799" s="53"/>
      <c r="V799" s="52">
        <v>0.5</v>
      </c>
      <c r="W799" s="53"/>
      <c r="X799" s="52"/>
      <c r="Y799" s="53">
        <f>SUM(U799*X799)</f>
        <v>0</v>
      </c>
      <c r="Z799" s="53"/>
      <c r="AA799" s="52">
        <v>5</v>
      </c>
      <c r="AB799" s="53">
        <v>4950000</v>
      </c>
      <c r="AC799" s="53">
        <f t="shared" si="297"/>
        <v>0</v>
      </c>
      <c r="AD799" s="56" t="s">
        <v>377</v>
      </c>
      <c r="AE799" s="70"/>
      <c r="AG799" s="83"/>
    </row>
    <row r="800" spans="1:33" s="1" customFormat="1" x14ac:dyDescent="0.25">
      <c r="A800" s="49">
        <v>6</v>
      </c>
      <c r="B800" s="22" t="s">
        <v>1743</v>
      </c>
      <c r="C800" s="52" t="s">
        <v>58</v>
      </c>
      <c r="D800" s="52" t="s">
        <v>1130</v>
      </c>
      <c r="E800" s="52"/>
      <c r="F800" s="52"/>
      <c r="G800" s="52" t="s">
        <v>260</v>
      </c>
      <c r="H800" s="52" t="s">
        <v>62</v>
      </c>
      <c r="I800" s="52">
        <v>2013</v>
      </c>
      <c r="J800" s="52"/>
      <c r="K800" s="52" t="s">
        <v>63</v>
      </c>
      <c r="L800" s="52" t="s">
        <v>64</v>
      </c>
      <c r="M800" s="52">
        <v>1</v>
      </c>
      <c r="N800" s="53">
        <f t="shared" ref="N800:N801" si="298">SUM(O800/M800)</f>
        <v>65092500</v>
      </c>
      <c r="O800" s="41">
        <v>65092500</v>
      </c>
      <c r="P800" s="24"/>
      <c r="Q800" s="24"/>
      <c r="R800" s="24"/>
      <c r="S800" s="41">
        <f t="shared" si="296"/>
        <v>65092500</v>
      </c>
      <c r="T800" s="24">
        <v>5</v>
      </c>
      <c r="U800" s="41"/>
      <c r="V800" s="24">
        <v>0.5</v>
      </c>
      <c r="W800" s="41">
        <f t="shared" ref="W800:W801" si="299">SUM(U800*V800)</f>
        <v>0</v>
      </c>
      <c r="X800" s="24"/>
      <c r="Y800" s="41">
        <f t="shared" ref="Y800:Y801" si="300">SUM(U800*X800)</f>
        <v>0</v>
      </c>
      <c r="Z800" s="41">
        <f t="shared" ref="Z800:Z801" si="301">SUM(W800+Y800)</f>
        <v>0</v>
      </c>
      <c r="AA800" s="24">
        <v>5</v>
      </c>
      <c r="AB800" s="41">
        <v>65092500</v>
      </c>
      <c r="AC800" s="24">
        <f t="shared" si="297"/>
        <v>0</v>
      </c>
      <c r="AD800" s="24"/>
      <c r="AE800" s="70"/>
      <c r="AG800" s="83"/>
    </row>
    <row r="801" spans="1:33" s="1" customFormat="1" x14ac:dyDescent="0.25">
      <c r="A801" s="49">
        <v>7</v>
      </c>
      <c r="B801" s="22" t="s">
        <v>1743</v>
      </c>
      <c r="C801" s="52" t="s">
        <v>75</v>
      </c>
      <c r="D801" s="52" t="s">
        <v>1131</v>
      </c>
      <c r="E801" s="52"/>
      <c r="F801" s="52"/>
      <c r="G801" s="52" t="s">
        <v>260</v>
      </c>
      <c r="H801" s="52" t="s">
        <v>62</v>
      </c>
      <c r="I801" s="52">
        <v>2013</v>
      </c>
      <c r="J801" s="52"/>
      <c r="K801" s="52" t="s">
        <v>63</v>
      </c>
      <c r="L801" s="52" t="s">
        <v>64</v>
      </c>
      <c r="M801" s="52">
        <v>1</v>
      </c>
      <c r="N801" s="53">
        <f t="shared" si="298"/>
        <v>29342500</v>
      </c>
      <c r="O801" s="41">
        <v>29342500</v>
      </c>
      <c r="P801" s="24"/>
      <c r="Q801" s="24"/>
      <c r="R801" s="24"/>
      <c r="S801" s="41">
        <f t="shared" si="296"/>
        <v>29342500</v>
      </c>
      <c r="T801" s="24">
        <v>5</v>
      </c>
      <c r="U801" s="41"/>
      <c r="V801" s="24">
        <v>0.5</v>
      </c>
      <c r="W801" s="41">
        <f t="shared" si="299"/>
        <v>0</v>
      </c>
      <c r="X801" s="24"/>
      <c r="Y801" s="41">
        <f t="shared" si="300"/>
        <v>0</v>
      </c>
      <c r="Z801" s="41">
        <f t="shared" si="301"/>
        <v>0</v>
      </c>
      <c r="AA801" s="24">
        <v>5</v>
      </c>
      <c r="AB801" s="41">
        <v>29342500</v>
      </c>
      <c r="AC801" s="24">
        <f t="shared" si="297"/>
        <v>0</v>
      </c>
      <c r="AD801" s="24"/>
      <c r="AE801" s="70"/>
      <c r="AG801" s="83"/>
    </row>
    <row r="802" spans="1:33" s="1" customFormat="1" x14ac:dyDescent="0.25">
      <c r="A802" s="21"/>
      <c r="B802" s="22"/>
      <c r="C802" s="22"/>
      <c r="D802" s="65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  <c r="AA802" s="24"/>
      <c r="AB802" s="24"/>
      <c r="AC802" s="24"/>
      <c r="AD802" s="24"/>
      <c r="AE802" s="24"/>
      <c r="AG802" s="83"/>
    </row>
    <row r="803" spans="1:33" s="1" customFormat="1" x14ac:dyDescent="0.25">
      <c r="A803" s="25"/>
      <c r="B803" s="26" t="s">
        <v>1135</v>
      </c>
      <c r="C803" s="26"/>
      <c r="D803" s="64" t="s">
        <v>1136</v>
      </c>
      <c r="E803" s="28"/>
      <c r="F803" s="28"/>
      <c r="G803" s="28"/>
      <c r="H803" s="28"/>
      <c r="I803" s="28"/>
      <c r="J803" s="28"/>
      <c r="K803" s="28"/>
      <c r="L803" s="28"/>
      <c r="M803" s="28">
        <f>SUM(M804)</f>
        <v>1</v>
      </c>
      <c r="N803" s="28"/>
      <c r="O803" s="86">
        <f>SUM(O804)</f>
        <v>66600000</v>
      </c>
      <c r="P803" s="28">
        <f>SUM(P804:P805)</f>
        <v>0</v>
      </c>
      <c r="Q803" s="28">
        <f>SUM(Q804:Q805)</f>
        <v>0</v>
      </c>
      <c r="R803" s="28">
        <f>SUM(R804:R805)</f>
        <v>0</v>
      </c>
      <c r="S803" s="40">
        <f>SUM(S804)</f>
        <v>66600000</v>
      </c>
      <c r="T803" s="28"/>
      <c r="U803" s="28">
        <f>SUM(U804:U805)</f>
        <v>0</v>
      </c>
      <c r="V803" s="28"/>
      <c r="W803" s="28">
        <f>SUM(W804:W805)</f>
        <v>0</v>
      </c>
      <c r="X803" s="28"/>
      <c r="Y803" s="28">
        <f>SUM(Y804:Y805)</f>
        <v>0</v>
      </c>
      <c r="Z803" s="28">
        <f>SUM(Z804:Z805)</f>
        <v>0</v>
      </c>
      <c r="AA803" s="28"/>
      <c r="AB803" s="86">
        <f>SUM(AB804)</f>
        <v>66600000</v>
      </c>
      <c r="AC803" s="28">
        <f>SUM(AC804:AC805)</f>
        <v>0</v>
      </c>
      <c r="AD803" s="28"/>
      <c r="AE803" s="28"/>
      <c r="AG803" s="83"/>
    </row>
    <row r="804" spans="1:33" s="1" customFormat="1" x14ac:dyDescent="0.25">
      <c r="A804" s="21"/>
      <c r="B804" s="50" t="s">
        <v>1744</v>
      </c>
      <c r="C804" s="50" t="s">
        <v>58</v>
      </c>
      <c r="D804" s="51" t="s">
        <v>401</v>
      </c>
      <c r="E804" s="52" t="s">
        <v>263</v>
      </c>
      <c r="F804" s="52"/>
      <c r="G804" s="52" t="s">
        <v>263</v>
      </c>
      <c r="H804" s="52" t="s">
        <v>62</v>
      </c>
      <c r="I804" s="52">
        <v>2012</v>
      </c>
      <c r="J804" s="52"/>
      <c r="K804" s="52" t="s">
        <v>261</v>
      </c>
      <c r="L804" s="52" t="s">
        <v>64</v>
      </c>
      <c r="M804" s="52">
        <v>1</v>
      </c>
      <c r="N804" s="53">
        <f>SUM(O804/M804)</f>
        <v>66600000</v>
      </c>
      <c r="O804" s="53">
        <v>66600000</v>
      </c>
      <c r="P804" s="52"/>
      <c r="Q804" s="52"/>
      <c r="R804" s="52"/>
      <c r="S804" s="53">
        <f>SUM(O804-R804)</f>
        <v>66600000</v>
      </c>
      <c r="T804" s="52">
        <v>5</v>
      </c>
      <c r="U804" s="53"/>
      <c r="V804" s="52">
        <v>0.5</v>
      </c>
      <c r="W804" s="53">
        <f>SUM(U804*V804)</f>
        <v>0</v>
      </c>
      <c r="X804" s="52"/>
      <c r="Y804" s="53">
        <f>SUM(U804*X804)</f>
        <v>0</v>
      </c>
      <c r="Z804" s="53">
        <f>SUM(W804+Y804)</f>
        <v>0</v>
      </c>
      <c r="AA804" s="52">
        <v>5</v>
      </c>
      <c r="AB804" s="53">
        <v>66600000</v>
      </c>
      <c r="AC804" s="53">
        <f>SUM(O804-AB804)</f>
        <v>0</v>
      </c>
      <c r="AD804" s="56" t="s">
        <v>195</v>
      </c>
      <c r="AE804" s="52"/>
      <c r="AG804" s="83"/>
    </row>
    <row r="805" spans="1:33" s="1" customFormat="1" x14ac:dyDescent="0.25">
      <c r="A805" s="21"/>
      <c r="B805" s="22"/>
      <c r="C805" s="22"/>
      <c r="D805" s="65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  <c r="AA805" s="24"/>
      <c r="AB805" s="24"/>
      <c r="AC805" s="24"/>
      <c r="AD805" s="24"/>
      <c r="AE805" s="24"/>
      <c r="AG805" s="83"/>
    </row>
    <row r="806" spans="1:33" s="1" customFormat="1" hidden="1" x14ac:dyDescent="0.25">
      <c r="A806" s="25"/>
      <c r="B806" s="26" t="s">
        <v>1137</v>
      </c>
      <c r="C806" s="26"/>
      <c r="D806" s="27" t="s">
        <v>1138</v>
      </c>
      <c r="E806" s="28"/>
      <c r="F806" s="28"/>
      <c r="G806" s="28"/>
      <c r="H806" s="28"/>
      <c r="I806" s="28"/>
      <c r="J806" s="28"/>
      <c r="K806" s="28"/>
      <c r="L806" s="28"/>
      <c r="M806" s="28">
        <f>SUM(M807:M807)</f>
        <v>0</v>
      </c>
      <c r="N806" s="28"/>
      <c r="O806" s="28">
        <f>SUM(O807:O807)</f>
        <v>0</v>
      </c>
      <c r="P806" s="28">
        <f>SUM(P807:P807)</f>
        <v>0</v>
      </c>
      <c r="Q806" s="28">
        <f>SUM(Q807:Q807)</f>
        <v>0</v>
      </c>
      <c r="R806" s="28">
        <f>SUM(R807:R807)</f>
        <v>0</v>
      </c>
      <c r="S806" s="28">
        <f>SUM(S807:S807)</f>
        <v>0</v>
      </c>
      <c r="T806" s="28"/>
      <c r="U806" s="28">
        <f>SUM(U807:U807)</f>
        <v>0</v>
      </c>
      <c r="V806" s="28"/>
      <c r="W806" s="28">
        <f>SUM(W807:W807)</f>
        <v>0</v>
      </c>
      <c r="X806" s="28"/>
      <c r="Y806" s="28">
        <f>SUM(Y807:Y807)</f>
        <v>0</v>
      </c>
      <c r="Z806" s="28">
        <f>SUM(Z807:Z807)</f>
        <v>0</v>
      </c>
      <c r="AA806" s="28"/>
      <c r="AB806" s="28">
        <f>SUM(AB807:AB807)</f>
        <v>0</v>
      </c>
      <c r="AC806" s="28">
        <f>SUM(AC807:AC807)</f>
        <v>0</v>
      </c>
      <c r="AD806" s="28"/>
      <c r="AE806" s="28"/>
      <c r="AG806" s="83"/>
    </row>
    <row r="807" spans="1:33" s="1" customFormat="1" hidden="1" x14ac:dyDescent="0.25">
      <c r="A807" s="21"/>
      <c r="B807" s="22"/>
      <c r="C807" s="22"/>
      <c r="D807" s="23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  <c r="AA807" s="24"/>
      <c r="AB807" s="24"/>
      <c r="AC807" s="24"/>
      <c r="AD807" s="24"/>
      <c r="AE807" s="24"/>
      <c r="AG807" s="83"/>
    </row>
    <row r="808" spans="1:33" s="1" customFormat="1" ht="25.5" x14ac:dyDescent="0.25">
      <c r="A808" s="17"/>
      <c r="B808" s="18" t="s">
        <v>1139</v>
      </c>
      <c r="C808" s="18"/>
      <c r="D808" s="84" t="s">
        <v>1140</v>
      </c>
      <c r="E808" s="20"/>
      <c r="F808" s="20"/>
      <c r="G808" s="20"/>
      <c r="H808" s="20"/>
      <c r="I808" s="20"/>
      <c r="J808" s="20"/>
      <c r="K808" s="20"/>
      <c r="L808" s="20"/>
      <c r="M808" s="20">
        <f>SUM(M809+M812)</f>
        <v>2</v>
      </c>
      <c r="N808" s="20"/>
      <c r="O808" s="37">
        <f>O809+O812</f>
        <v>2600000</v>
      </c>
      <c r="P808" s="20">
        <f>P809+P812</f>
        <v>0</v>
      </c>
      <c r="Q808" s="20">
        <f>Q809+Q812</f>
        <v>0</v>
      </c>
      <c r="R808" s="20">
        <f>R809+R812</f>
        <v>0</v>
      </c>
      <c r="S808" s="37">
        <f>S809+S812</f>
        <v>2600000</v>
      </c>
      <c r="T808" s="20"/>
      <c r="U808" s="37">
        <f>U809+U812</f>
        <v>520000</v>
      </c>
      <c r="V808" s="20"/>
      <c r="W808" s="37">
        <f>W809+W812</f>
        <v>260000</v>
      </c>
      <c r="X808" s="20"/>
      <c r="Y808" s="37">
        <f>Y809+Y812</f>
        <v>260000</v>
      </c>
      <c r="Z808" s="37">
        <f>Z809+Z812</f>
        <v>520000</v>
      </c>
      <c r="AA808" s="20"/>
      <c r="AB808" s="37">
        <f>AB809+AB812</f>
        <v>1993333.3333333335</v>
      </c>
      <c r="AC808" s="37">
        <f>AC809+AC812</f>
        <v>606666.66666666651</v>
      </c>
      <c r="AD808" s="20"/>
      <c r="AE808" s="20"/>
      <c r="AF808" s="1">
        <v>1733333.3333333335</v>
      </c>
      <c r="AG808" s="83">
        <f>AF808+Y808-AB808</f>
        <v>0</v>
      </c>
    </row>
    <row r="809" spans="1:33" s="1" customFormat="1" x14ac:dyDescent="0.25">
      <c r="A809" s="25"/>
      <c r="B809" s="26" t="s">
        <v>1141</v>
      </c>
      <c r="C809" s="26"/>
      <c r="D809" s="64" t="s">
        <v>1142</v>
      </c>
      <c r="E809" s="28"/>
      <c r="F809" s="28"/>
      <c r="G809" s="28"/>
      <c r="H809" s="28"/>
      <c r="I809" s="28"/>
      <c r="J809" s="28"/>
      <c r="K809" s="28"/>
      <c r="L809" s="28"/>
      <c r="M809" s="28">
        <f>SUM(M810:M811)</f>
        <v>2</v>
      </c>
      <c r="N809" s="28"/>
      <c r="O809" s="40">
        <f>SUM(O810:O811)</f>
        <v>2600000</v>
      </c>
      <c r="P809" s="28">
        <f>SUM(P810:P811)</f>
        <v>0</v>
      </c>
      <c r="Q809" s="28">
        <f>SUM(Q810:Q811)</f>
        <v>0</v>
      </c>
      <c r="R809" s="28">
        <f>SUM(R810:R811)</f>
        <v>0</v>
      </c>
      <c r="S809" s="40">
        <f>SUM(S810:S811)</f>
        <v>2600000</v>
      </c>
      <c r="T809" s="28"/>
      <c r="U809" s="40">
        <f>SUM(U810:U811)</f>
        <v>520000</v>
      </c>
      <c r="V809" s="28"/>
      <c r="W809" s="40">
        <f>SUM(W810:W811)</f>
        <v>260000</v>
      </c>
      <c r="X809" s="28"/>
      <c r="Y809" s="40">
        <f>SUM(Y810:Y811)</f>
        <v>260000</v>
      </c>
      <c r="Z809" s="40">
        <f>SUM(Z810:Z811)</f>
        <v>520000</v>
      </c>
      <c r="AA809" s="28"/>
      <c r="AB809" s="40">
        <f>SUM(AB810:AB811)</f>
        <v>1993333.3333333335</v>
      </c>
      <c r="AC809" s="40">
        <f>SUM(AC810:AC811)</f>
        <v>606666.66666666651</v>
      </c>
      <c r="AD809" s="28"/>
      <c r="AE809" s="28"/>
      <c r="AF809" s="5">
        <f>AF808+Z808-AB808</f>
        <v>260000</v>
      </c>
      <c r="AG809" s="83"/>
    </row>
    <row r="810" spans="1:33" s="1" customFormat="1" x14ac:dyDescent="0.25">
      <c r="A810" s="21"/>
      <c r="B810" s="22" t="s">
        <v>1745</v>
      </c>
      <c r="C810" s="50" t="s">
        <v>209</v>
      </c>
      <c r="D810" s="85" t="s">
        <v>1143</v>
      </c>
      <c r="E810" s="52" t="s">
        <v>166</v>
      </c>
      <c r="F810" s="52"/>
      <c r="G810" s="52" t="s">
        <v>194</v>
      </c>
      <c r="H810" s="52" t="s">
        <v>62</v>
      </c>
      <c r="I810" s="52">
        <v>2020</v>
      </c>
      <c r="J810" s="52"/>
      <c r="K810" s="52" t="s">
        <v>63</v>
      </c>
      <c r="L810" s="52" t="s">
        <v>64</v>
      </c>
      <c r="M810" s="52">
        <v>2</v>
      </c>
      <c r="N810" s="53">
        <v>1300000</v>
      </c>
      <c r="O810" s="53">
        <v>2600000</v>
      </c>
      <c r="P810" s="52"/>
      <c r="Q810" s="52"/>
      <c r="R810" s="52"/>
      <c r="S810" s="53">
        <f>SUM(O810-R810)</f>
        <v>2600000</v>
      </c>
      <c r="T810" s="52">
        <v>5</v>
      </c>
      <c r="U810" s="53">
        <f>SUM(S810/T810)</f>
        <v>520000</v>
      </c>
      <c r="V810" s="57">
        <v>0.5</v>
      </c>
      <c r="W810" s="53">
        <f>SUM(U810*V810)</f>
        <v>260000</v>
      </c>
      <c r="X810" s="52">
        <v>0.5</v>
      </c>
      <c r="Y810" s="53">
        <f>SUM(U810*X810)</f>
        <v>260000</v>
      </c>
      <c r="Z810" s="53">
        <f>SUM(W810+Y810)</f>
        <v>520000</v>
      </c>
      <c r="AA810" s="57">
        <f>2023-I810+V810+X810-2/12</f>
        <v>3.8333333333333335</v>
      </c>
      <c r="AB810" s="53">
        <f>SUM(U810*AA810)</f>
        <v>1993333.3333333335</v>
      </c>
      <c r="AC810" s="53">
        <f>SUM(O810-AB810)</f>
        <v>606666.66666666651</v>
      </c>
      <c r="AD810" s="52" t="s">
        <v>1144</v>
      </c>
      <c r="AE810" s="52" t="s">
        <v>1145</v>
      </c>
      <c r="AG810" s="45"/>
    </row>
    <row r="811" spans="1:33" s="1" customFormat="1" x14ac:dyDescent="0.25">
      <c r="A811" s="21"/>
      <c r="B811" s="22"/>
      <c r="C811" s="22"/>
      <c r="D811" s="65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  <c r="AA811" s="24"/>
      <c r="AB811" s="24"/>
      <c r="AC811" s="24"/>
      <c r="AD811" s="24"/>
      <c r="AE811" s="24"/>
    </row>
    <row r="812" spans="1:33" s="1" customFormat="1" hidden="1" x14ac:dyDescent="0.25">
      <c r="A812" s="25"/>
      <c r="B812" s="26" t="s">
        <v>1146</v>
      </c>
      <c r="C812" s="26"/>
      <c r="D812" s="64" t="s">
        <v>1147</v>
      </c>
      <c r="E812" s="28"/>
      <c r="F812" s="28"/>
      <c r="G812" s="28"/>
      <c r="H812" s="28"/>
      <c r="I812" s="28"/>
      <c r="J812" s="28"/>
      <c r="K812" s="28"/>
      <c r="L812" s="28"/>
      <c r="M812" s="28">
        <f>SUM(M813:M815)</f>
        <v>0</v>
      </c>
      <c r="N812" s="28"/>
      <c r="O812" s="28">
        <f t="shared" ref="O812:AC812" si="302">SUM(O813:O815)</f>
        <v>0</v>
      </c>
      <c r="P812" s="28">
        <f t="shared" si="302"/>
        <v>0</v>
      </c>
      <c r="Q812" s="28">
        <f t="shared" si="302"/>
        <v>0</v>
      </c>
      <c r="R812" s="28">
        <f t="shared" si="302"/>
        <v>0</v>
      </c>
      <c r="S812" s="28">
        <f t="shared" si="302"/>
        <v>0</v>
      </c>
      <c r="T812" s="28"/>
      <c r="U812" s="28">
        <f t="shared" si="302"/>
        <v>0</v>
      </c>
      <c r="V812" s="28"/>
      <c r="W812" s="28">
        <f t="shared" si="302"/>
        <v>0</v>
      </c>
      <c r="X812" s="28"/>
      <c r="Y812" s="28">
        <f t="shared" si="302"/>
        <v>0</v>
      </c>
      <c r="Z812" s="28">
        <f t="shared" si="302"/>
        <v>0</v>
      </c>
      <c r="AA812" s="28"/>
      <c r="AB812" s="28">
        <f t="shared" si="302"/>
        <v>0</v>
      </c>
      <c r="AC812" s="28">
        <f t="shared" si="302"/>
        <v>0</v>
      </c>
      <c r="AD812" s="28"/>
      <c r="AE812" s="28"/>
    </row>
    <row r="813" spans="1:33" s="1" customFormat="1" hidden="1" x14ac:dyDescent="0.25">
      <c r="A813" s="21"/>
      <c r="B813" s="22"/>
      <c r="C813" s="22"/>
      <c r="D813" s="65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  <c r="AA813" s="24"/>
      <c r="AB813" s="24"/>
      <c r="AC813" s="24"/>
      <c r="AD813" s="24"/>
      <c r="AE813" s="24"/>
    </row>
    <row r="814" spans="1:33" s="1" customFormat="1" hidden="1" x14ac:dyDescent="0.25">
      <c r="A814" s="21"/>
      <c r="B814" s="22"/>
      <c r="C814" s="22"/>
      <c r="D814" s="65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  <c r="AA814" s="24"/>
      <c r="AB814" s="24"/>
      <c r="AC814" s="24"/>
      <c r="AD814" s="24"/>
      <c r="AE814" s="24"/>
    </row>
    <row r="815" spans="1:33" s="1" customFormat="1" hidden="1" x14ac:dyDescent="0.25">
      <c r="A815" s="21"/>
      <c r="B815" s="22"/>
      <c r="C815" s="22"/>
      <c r="D815" s="65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  <c r="AA815" s="24"/>
      <c r="AB815" s="24"/>
      <c r="AC815" s="24"/>
      <c r="AD815" s="24"/>
      <c r="AE815" s="24"/>
    </row>
    <row r="816" spans="1:33" s="1" customFormat="1" hidden="1" x14ac:dyDescent="0.25">
      <c r="A816" s="17"/>
      <c r="B816" s="18" t="s">
        <v>1148</v>
      </c>
      <c r="C816" s="18"/>
      <c r="D816" s="84" t="s">
        <v>1149</v>
      </c>
      <c r="E816" s="20"/>
      <c r="F816" s="20"/>
      <c r="G816" s="20"/>
      <c r="H816" s="20"/>
      <c r="I816" s="20"/>
      <c r="J816" s="20"/>
      <c r="K816" s="20"/>
      <c r="L816" s="20"/>
      <c r="M816" s="20">
        <f>SUM(M817+M819+M821+M823+M825+M827+M829+M831+M835)</f>
        <v>0</v>
      </c>
      <c r="N816" s="20"/>
      <c r="O816" s="37">
        <f>O817+O819+O821+O823+O825+O827+O829+O831+O835</f>
        <v>0</v>
      </c>
      <c r="P816" s="20">
        <f>P817+P819+P821+P823+P825+P827+P829+P831+P835</f>
        <v>0</v>
      </c>
      <c r="Q816" s="20">
        <f>Q817+Q819+Q821+Q823+Q825+Q827+Q829+Q831+Q835</f>
        <v>0</v>
      </c>
      <c r="R816" s="20">
        <f>R817+R819+R821+R823+R825+R827+R829+R831+R835</f>
        <v>0</v>
      </c>
      <c r="S816" s="37">
        <f>S817+S819+S821+S823+S825+S827+S829+S831+S835</f>
        <v>0</v>
      </c>
      <c r="T816" s="37"/>
      <c r="U816" s="37">
        <f>U817+U819+U821+U823+U825+U827+U829+U831+U835</f>
        <v>0</v>
      </c>
      <c r="V816" s="37"/>
      <c r="W816" s="37">
        <f>W817+W819+W821+W823+W825+W827+W829+W831+W835</f>
        <v>0</v>
      </c>
      <c r="X816" s="37"/>
      <c r="Y816" s="37">
        <f>Y817+Y819+Y821+Y823+Y825+Y827+Y829+Y831+Y835</f>
        <v>0</v>
      </c>
      <c r="Z816" s="37">
        <f>Z817+Z819+Z821+Z823+Z825+Z827+Z829+Z831+Z835</f>
        <v>0</v>
      </c>
      <c r="AA816" s="37"/>
      <c r="AB816" s="37">
        <f>AB817+AB819+AB821+AB823+AB825+AB827+AB829+AB831+AB835</f>
        <v>0</v>
      </c>
      <c r="AC816" s="37">
        <f>AC817+AC819+AC821+AC823+AC825+AC827+AC829+AC831+AC835</f>
        <v>0</v>
      </c>
      <c r="AD816" s="20"/>
      <c r="AE816" s="20"/>
    </row>
    <row r="817" spans="1:31" s="1" customFormat="1" hidden="1" x14ac:dyDescent="0.25">
      <c r="A817" s="25"/>
      <c r="B817" s="26" t="s">
        <v>1150</v>
      </c>
      <c r="C817" s="26"/>
      <c r="D817" s="64" t="s">
        <v>1151</v>
      </c>
      <c r="E817" s="28"/>
      <c r="F817" s="28"/>
      <c r="G817" s="28"/>
      <c r="H817" s="28"/>
      <c r="I817" s="28"/>
      <c r="J817" s="28"/>
      <c r="K817" s="28"/>
      <c r="L817" s="28"/>
      <c r="M817" s="28">
        <f>SUM(M818:M818)</f>
        <v>0</v>
      </c>
      <c r="N817" s="28"/>
      <c r="O817" s="40">
        <f>SUM(O818:O818)</f>
        <v>0</v>
      </c>
      <c r="P817" s="28">
        <f>SUM(P818:P818)</f>
        <v>0</v>
      </c>
      <c r="Q817" s="28">
        <f>SUM(Q818:Q818)</f>
        <v>0</v>
      </c>
      <c r="R817" s="28">
        <f>SUM(R818:R818)</f>
        <v>0</v>
      </c>
      <c r="S817" s="40">
        <f>SUM(S818:S818)</f>
        <v>0</v>
      </c>
      <c r="T817" s="40"/>
      <c r="U817" s="40">
        <f>SUM(U818:U818)</f>
        <v>0</v>
      </c>
      <c r="V817" s="40"/>
      <c r="W817" s="40">
        <f>SUM(W818:W818)</f>
        <v>0</v>
      </c>
      <c r="X817" s="40"/>
      <c r="Y817" s="40">
        <f>SUM(Y818:Y818)</f>
        <v>0</v>
      </c>
      <c r="Z817" s="40">
        <f>SUM(Z818:Z818)</f>
        <v>0</v>
      </c>
      <c r="AA817" s="40"/>
      <c r="AB817" s="40">
        <f>SUM(AB818:AB818)</f>
        <v>0</v>
      </c>
      <c r="AC817" s="40">
        <f>SUM(AC818:AC818)</f>
        <v>0</v>
      </c>
      <c r="AD817" s="28"/>
      <c r="AE817" s="28"/>
    </row>
    <row r="818" spans="1:31" s="1" customFormat="1" hidden="1" x14ac:dyDescent="0.25">
      <c r="A818" s="21"/>
      <c r="B818" s="22"/>
      <c r="C818" s="22"/>
      <c r="D818" s="65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  <c r="AA818" s="24"/>
      <c r="AB818" s="24"/>
      <c r="AC818" s="24"/>
      <c r="AD818" s="24"/>
      <c r="AE818" s="24"/>
    </row>
    <row r="819" spans="1:31" s="1" customFormat="1" ht="25.5" hidden="1" x14ac:dyDescent="0.25">
      <c r="A819" s="25"/>
      <c r="B819" s="26" t="s">
        <v>1152</v>
      </c>
      <c r="C819" s="26"/>
      <c r="D819" s="64" t="s">
        <v>1153</v>
      </c>
      <c r="E819" s="28"/>
      <c r="F819" s="28"/>
      <c r="G819" s="28"/>
      <c r="H819" s="28"/>
      <c r="I819" s="28"/>
      <c r="J819" s="28"/>
      <c r="K819" s="28"/>
      <c r="L819" s="28"/>
      <c r="M819" s="28">
        <f>SUM(M820:M820)</f>
        <v>0</v>
      </c>
      <c r="N819" s="28"/>
      <c r="O819" s="28">
        <f>SUM(O820:O820)</f>
        <v>0</v>
      </c>
      <c r="P819" s="28">
        <f>SUM(P820:P820)</f>
        <v>0</v>
      </c>
      <c r="Q819" s="28">
        <f>SUM(Q820:Q820)</f>
        <v>0</v>
      </c>
      <c r="R819" s="28">
        <f>SUM(R820:R820)</f>
        <v>0</v>
      </c>
      <c r="S819" s="28">
        <f>SUM(S820:S820)</f>
        <v>0</v>
      </c>
      <c r="T819" s="28"/>
      <c r="U819" s="28">
        <f>SUM(U820:U820)</f>
        <v>0</v>
      </c>
      <c r="V819" s="28"/>
      <c r="W819" s="28">
        <f>SUM(W820:W820)</f>
        <v>0</v>
      </c>
      <c r="X819" s="28"/>
      <c r="Y819" s="28">
        <f>SUM(Y820:Y820)</f>
        <v>0</v>
      </c>
      <c r="Z819" s="28">
        <f>SUM(Z820:Z820)</f>
        <v>0</v>
      </c>
      <c r="AA819" s="28"/>
      <c r="AB819" s="28">
        <f>SUM(AB820:AB820)</f>
        <v>0</v>
      </c>
      <c r="AC819" s="28">
        <f>SUM(AC820:AC820)</f>
        <v>0</v>
      </c>
      <c r="AD819" s="28"/>
      <c r="AE819" s="28"/>
    </row>
    <row r="820" spans="1:31" s="1" customFormat="1" hidden="1" x14ac:dyDescent="0.25">
      <c r="A820" s="21"/>
      <c r="B820" s="22"/>
      <c r="C820" s="22"/>
      <c r="D820" s="65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  <c r="AA820" s="24"/>
      <c r="AB820" s="24"/>
      <c r="AC820" s="24"/>
      <c r="AD820" s="24"/>
      <c r="AE820" s="24"/>
    </row>
    <row r="821" spans="1:31" s="1" customFormat="1" hidden="1" x14ac:dyDescent="0.25">
      <c r="A821" s="25"/>
      <c r="B821" s="26" t="s">
        <v>1154</v>
      </c>
      <c r="C821" s="26"/>
      <c r="D821" s="64" t="s">
        <v>1155</v>
      </c>
      <c r="E821" s="28"/>
      <c r="F821" s="28"/>
      <c r="G821" s="28"/>
      <c r="H821" s="28"/>
      <c r="I821" s="28"/>
      <c r="J821" s="28"/>
      <c r="K821" s="28"/>
      <c r="L821" s="28"/>
      <c r="M821" s="28">
        <f>SUM(M822:M822)</f>
        <v>0</v>
      </c>
      <c r="N821" s="28"/>
      <c r="O821" s="28">
        <f>SUM(O822:O822)</f>
        <v>0</v>
      </c>
      <c r="P821" s="28">
        <f>SUM(P822:P822)</f>
        <v>0</v>
      </c>
      <c r="Q821" s="28">
        <f>SUM(Q822:Q822)</f>
        <v>0</v>
      </c>
      <c r="R821" s="28">
        <f>SUM(R822:R822)</f>
        <v>0</v>
      </c>
      <c r="S821" s="28">
        <f>SUM(S822:S822)</f>
        <v>0</v>
      </c>
      <c r="T821" s="28"/>
      <c r="U821" s="28">
        <f>SUM(U822:U822)</f>
        <v>0</v>
      </c>
      <c r="V821" s="28"/>
      <c r="W821" s="28">
        <f>SUM(W822:W822)</f>
        <v>0</v>
      </c>
      <c r="X821" s="28"/>
      <c r="Y821" s="28">
        <f>SUM(Y822:Y822)</f>
        <v>0</v>
      </c>
      <c r="Z821" s="28">
        <f>SUM(Z822:Z822)</f>
        <v>0</v>
      </c>
      <c r="AA821" s="28"/>
      <c r="AB821" s="28">
        <f>SUM(AB822:AB822)</f>
        <v>0</v>
      </c>
      <c r="AC821" s="28">
        <f>SUM(AC822:AC822)</f>
        <v>0</v>
      </c>
      <c r="AD821" s="28"/>
      <c r="AE821" s="28"/>
    </row>
    <row r="822" spans="1:31" s="1" customFormat="1" hidden="1" x14ac:dyDescent="0.25">
      <c r="A822" s="21"/>
      <c r="B822" s="22"/>
      <c r="C822" s="22"/>
      <c r="D822" s="65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  <c r="AA822" s="24"/>
      <c r="AB822" s="24"/>
      <c r="AC822" s="24"/>
      <c r="AD822" s="24"/>
      <c r="AE822" s="24"/>
    </row>
    <row r="823" spans="1:31" s="1" customFormat="1" ht="25.5" hidden="1" x14ac:dyDescent="0.25">
      <c r="A823" s="25"/>
      <c r="B823" s="26" t="s">
        <v>1156</v>
      </c>
      <c r="C823" s="26"/>
      <c r="D823" s="64" t="s">
        <v>1157</v>
      </c>
      <c r="E823" s="28"/>
      <c r="F823" s="28"/>
      <c r="G823" s="28"/>
      <c r="H823" s="28"/>
      <c r="I823" s="28"/>
      <c r="J823" s="28"/>
      <c r="K823" s="28"/>
      <c r="L823" s="28"/>
      <c r="M823" s="28">
        <f>SUM(M824:M824)</f>
        <v>0</v>
      </c>
      <c r="N823" s="28"/>
      <c r="O823" s="28">
        <f>SUM(O824:O824)</f>
        <v>0</v>
      </c>
      <c r="P823" s="28">
        <f>SUM(P824:P824)</f>
        <v>0</v>
      </c>
      <c r="Q823" s="28">
        <f>SUM(Q824:Q824)</f>
        <v>0</v>
      </c>
      <c r="R823" s="28">
        <f>SUM(R824:R824)</f>
        <v>0</v>
      </c>
      <c r="S823" s="28">
        <f>SUM(S824:S824)</f>
        <v>0</v>
      </c>
      <c r="T823" s="28"/>
      <c r="U823" s="28">
        <f>SUM(U824:U824)</f>
        <v>0</v>
      </c>
      <c r="V823" s="28"/>
      <c r="W823" s="28">
        <f>SUM(W824:W824)</f>
        <v>0</v>
      </c>
      <c r="X823" s="28"/>
      <c r="Y823" s="28">
        <f>SUM(Y824:Y824)</f>
        <v>0</v>
      </c>
      <c r="Z823" s="28">
        <f>SUM(Z824:Z824)</f>
        <v>0</v>
      </c>
      <c r="AA823" s="28"/>
      <c r="AB823" s="28">
        <f>SUM(AB824:AB824)</f>
        <v>0</v>
      </c>
      <c r="AC823" s="28">
        <f>SUM(AC824:AC824)</f>
        <v>0</v>
      </c>
      <c r="AD823" s="28"/>
      <c r="AE823" s="28"/>
    </row>
    <row r="824" spans="1:31" s="1" customFormat="1" hidden="1" x14ac:dyDescent="0.25">
      <c r="A824" s="21"/>
      <c r="B824" s="22"/>
      <c r="C824" s="22"/>
      <c r="D824" s="65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  <c r="AA824" s="24"/>
      <c r="AB824" s="24"/>
      <c r="AC824" s="24"/>
      <c r="AD824" s="24"/>
      <c r="AE824" s="24"/>
    </row>
    <row r="825" spans="1:31" s="1" customFormat="1" ht="25.5" hidden="1" x14ac:dyDescent="0.25">
      <c r="A825" s="25"/>
      <c r="B825" s="26" t="s">
        <v>1158</v>
      </c>
      <c r="C825" s="26"/>
      <c r="D825" s="64" t="s">
        <v>1159</v>
      </c>
      <c r="E825" s="28"/>
      <c r="F825" s="28"/>
      <c r="G825" s="28"/>
      <c r="H825" s="28"/>
      <c r="I825" s="28"/>
      <c r="J825" s="28"/>
      <c r="K825" s="28"/>
      <c r="L825" s="28"/>
      <c r="M825" s="28">
        <f>SUM(M826:M826)</f>
        <v>0</v>
      </c>
      <c r="N825" s="28"/>
      <c r="O825" s="28">
        <f>SUM(O826:O826)</f>
        <v>0</v>
      </c>
      <c r="P825" s="28">
        <f>SUM(P826:P826)</f>
        <v>0</v>
      </c>
      <c r="Q825" s="28">
        <f>SUM(Q826:Q826)</f>
        <v>0</v>
      </c>
      <c r="R825" s="28">
        <f>SUM(R826:R826)</f>
        <v>0</v>
      </c>
      <c r="S825" s="28">
        <f>SUM(S826:S826)</f>
        <v>0</v>
      </c>
      <c r="T825" s="28"/>
      <c r="U825" s="28">
        <f>SUM(U826:U826)</f>
        <v>0</v>
      </c>
      <c r="V825" s="28"/>
      <c r="W825" s="28">
        <f>SUM(W826:W826)</f>
        <v>0</v>
      </c>
      <c r="X825" s="28"/>
      <c r="Y825" s="28">
        <f>SUM(Y826:Y826)</f>
        <v>0</v>
      </c>
      <c r="Z825" s="28">
        <f>SUM(Z826:Z826)</f>
        <v>0</v>
      </c>
      <c r="AA825" s="28"/>
      <c r="AB825" s="28">
        <f>SUM(AB826:AB826)</f>
        <v>0</v>
      </c>
      <c r="AC825" s="28">
        <f>SUM(AC826:AC826)</f>
        <v>0</v>
      </c>
      <c r="AD825" s="28"/>
      <c r="AE825" s="28"/>
    </row>
    <row r="826" spans="1:31" s="1" customFormat="1" hidden="1" x14ac:dyDescent="0.25">
      <c r="A826" s="21"/>
      <c r="B826" s="22"/>
      <c r="C826" s="22"/>
      <c r="D826" s="65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  <c r="AA826" s="24"/>
      <c r="AB826" s="24"/>
      <c r="AC826" s="24"/>
      <c r="AD826" s="24"/>
      <c r="AE826" s="24"/>
    </row>
    <row r="827" spans="1:31" s="1" customFormat="1" ht="38.25" hidden="1" x14ac:dyDescent="0.25">
      <c r="A827" s="25"/>
      <c r="B827" s="26" t="s">
        <v>1160</v>
      </c>
      <c r="C827" s="26"/>
      <c r="D827" s="64" t="s">
        <v>1161</v>
      </c>
      <c r="E827" s="28"/>
      <c r="F827" s="28"/>
      <c r="G827" s="28"/>
      <c r="H827" s="28"/>
      <c r="I827" s="28"/>
      <c r="J827" s="28"/>
      <c r="K827" s="28"/>
      <c r="L827" s="28"/>
      <c r="M827" s="28">
        <f>SUM(M828:M828)</f>
        <v>0</v>
      </c>
      <c r="N827" s="28"/>
      <c r="O827" s="28">
        <f>SUM(O828:O828)</f>
        <v>0</v>
      </c>
      <c r="P827" s="28">
        <f>SUM(P828:P828)</f>
        <v>0</v>
      </c>
      <c r="Q827" s="28">
        <f>SUM(Q828:Q828)</f>
        <v>0</v>
      </c>
      <c r="R827" s="28">
        <f>SUM(R828:R828)</f>
        <v>0</v>
      </c>
      <c r="S827" s="28">
        <f>SUM(S828:S828)</f>
        <v>0</v>
      </c>
      <c r="T827" s="28"/>
      <c r="U827" s="28">
        <f>SUM(U828:U828)</f>
        <v>0</v>
      </c>
      <c r="V827" s="28"/>
      <c r="W827" s="28">
        <f>SUM(W828:W828)</f>
        <v>0</v>
      </c>
      <c r="X827" s="28"/>
      <c r="Y827" s="28">
        <f>SUM(Y828:Y828)</f>
        <v>0</v>
      </c>
      <c r="Z827" s="28">
        <f>SUM(Z828:Z828)</f>
        <v>0</v>
      </c>
      <c r="AA827" s="28"/>
      <c r="AB827" s="28">
        <f>SUM(AB828:AB828)</f>
        <v>0</v>
      </c>
      <c r="AC827" s="28">
        <f>SUM(AC828:AC828)</f>
        <v>0</v>
      </c>
      <c r="AD827" s="28"/>
      <c r="AE827" s="28"/>
    </row>
    <row r="828" spans="1:31" s="1" customFormat="1" hidden="1" x14ac:dyDescent="0.25">
      <c r="A828" s="21"/>
      <c r="B828" s="22"/>
      <c r="C828" s="22"/>
      <c r="D828" s="65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  <c r="AA828" s="24"/>
      <c r="AB828" s="24"/>
      <c r="AC828" s="24"/>
      <c r="AD828" s="24"/>
      <c r="AE828" s="24"/>
    </row>
    <row r="829" spans="1:31" s="1" customFormat="1" ht="25.5" hidden="1" x14ac:dyDescent="0.25">
      <c r="A829" s="25"/>
      <c r="B829" s="26" t="s">
        <v>1162</v>
      </c>
      <c r="C829" s="26"/>
      <c r="D829" s="64" t="s">
        <v>1163</v>
      </c>
      <c r="E829" s="28"/>
      <c r="F829" s="28"/>
      <c r="G829" s="28"/>
      <c r="H829" s="28"/>
      <c r="I829" s="28"/>
      <c r="J829" s="28"/>
      <c r="K829" s="28"/>
      <c r="L829" s="28"/>
      <c r="M829" s="28">
        <f>SUM(M830:M830)</f>
        <v>0</v>
      </c>
      <c r="N829" s="28"/>
      <c r="O829" s="28">
        <f>SUM(O830:O830)</f>
        <v>0</v>
      </c>
      <c r="P829" s="28">
        <f>SUM(P830:P830)</f>
        <v>0</v>
      </c>
      <c r="Q829" s="28">
        <f>SUM(Q830:Q830)</f>
        <v>0</v>
      </c>
      <c r="R829" s="28">
        <f>SUM(R830:R830)</f>
        <v>0</v>
      </c>
      <c r="S829" s="28">
        <f>SUM(S830:S830)</f>
        <v>0</v>
      </c>
      <c r="T829" s="28"/>
      <c r="U829" s="28">
        <f>SUM(U830:U830)</f>
        <v>0</v>
      </c>
      <c r="V829" s="28"/>
      <c r="W829" s="28">
        <f>SUM(W830:W830)</f>
        <v>0</v>
      </c>
      <c r="X829" s="28"/>
      <c r="Y829" s="28">
        <f>SUM(Y830:Y830)</f>
        <v>0</v>
      </c>
      <c r="Z829" s="28">
        <f>SUM(Z830:Z830)</f>
        <v>0</v>
      </c>
      <c r="AA829" s="28"/>
      <c r="AB829" s="28">
        <f>SUM(AB830:AB830)</f>
        <v>0</v>
      </c>
      <c r="AC829" s="28">
        <f>SUM(AC830:AC830)</f>
        <v>0</v>
      </c>
      <c r="AD829" s="28"/>
      <c r="AE829" s="28"/>
    </row>
    <row r="830" spans="1:31" s="1" customFormat="1" hidden="1" x14ac:dyDescent="0.25">
      <c r="A830" s="21"/>
      <c r="B830" s="22"/>
      <c r="C830" s="22"/>
      <c r="D830" s="65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  <c r="AA830" s="24"/>
      <c r="AB830" s="24"/>
      <c r="AC830" s="24"/>
      <c r="AD830" s="24"/>
      <c r="AE830" s="24"/>
    </row>
    <row r="831" spans="1:31" s="1" customFormat="1" ht="25.5" hidden="1" x14ac:dyDescent="0.25">
      <c r="A831" s="25"/>
      <c r="B831" s="26" t="s">
        <v>1164</v>
      </c>
      <c r="C831" s="26"/>
      <c r="D831" s="64" t="s">
        <v>1165</v>
      </c>
      <c r="E831" s="28"/>
      <c r="F831" s="28"/>
      <c r="G831" s="28"/>
      <c r="H831" s="28"/>
      <c r="I831" s="28"/>
      <c r="J831" s="28"/>
      <c r="K831" s="28"/>
      <c r="L831" s="28"/>
      <c r="M831" s="28">
        <f>SUM(M832:M834)</f>
        <v>0</v>
      </c>
      <c r="N831" s="28"/>
      <c r="O831" s="28">
        <f t="shared" ref="O831:AC831" si="303">SUM(O832:O834)</f>
        <v>0</v>
      </c>
      <c r="P831" s="28">
        <f t="shared" si="303"/>
        <v>0</v>
      </c>
      <c r="Q831" s="28">
        <f t="shared" si="303"/>
        <v>0</v>
      </c>
      <c r="R831" s="28">
        <f t="shared" si="303"/>
        <v>0</v>
      </c>
      <c r="S831" s="28">
        <f t="shared" si="303"/>
        <v>0</v>
      </c>
      <c r="T831" s="28"/>
      <c r="U831" s="28">
        <f t="shared" si="303"/>
        <v>0</v>
      </c>
      <c r="V831" s="28"/>
      <c r="W831" s="28">
        <f t="shared" si="303"/>
        <v>0</v>
      </c>
      <c r="X831" s="28"/>
      <c r="Y831" s="28">
        <f t="shared" si="303"/>
        <v>0</v>
      </c>
      <c r="Z831" s="28">
        <f t="shared" si="303"/>
        <v>0</v>
      </c>
      <c r="AA831" s="28"/>
      <c r="AB831" s="28">
        <f t="shared" si="303"/>
        <v>0</v>
      </c>
      <c r="AC831" s="28">
        <f t="shared" si="303"/>
        <v>0</v>
      </c>
      <c r="AD831" s="28"/>
      <c r="AE831" s="28"/>
    </row>
    <row r="832" spans="1:31" s="1" customFormat="1" hidden="1" x14ac:dyDescent="0.25">
      <c r="A832" s="21"/>
      <c r="B832" s="22"/>
      <c r="C832" s="22"/>
      <c r="D832" s="65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  <c r="AA832" s="24"/>
      <c r="AB832" s="24"/>
      <c r="AC832" s="24"/>
      <c r="AD832" s="24"/>
      <c r="AE832" s="24"/>
    </row>
    <row r="833" spans="1:33" s="1" customFormat="1" hidden="1" x14ac:dyDescent="0.25">
      <c r="A833" s="21"/>
      <c r="B833" s="22"/>
      <c r="C833" s="22"/>
      <c r="D833" s="65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  <c r="AA833" s="24"/>
      <c r="AB833" s="24"/>
      <c r="AC833" s="24"/>
      <c r="AD833" s="24"/>
      <c r="AE833" s="24"/>
    </row>
    <row r="834" spans="1:33" s="1" customFormat="1" hidden="1" x14ac:dyDescent="0.25">
      <c r="A834" s="21"/>
      <c r="B834" s="22"/>
      <c r="C834" s="22"/>
      <c r="D834" s="65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  <c r="AA834" s="24"/>
      <c r="AB834" s="24"/>
      <c r="AC834" s="24"/>
      <c r="AD834" s="24"/>
      <c r="AE834" s="24"/>
    </row>
    <row r="835" spans="1:33" s="1" customFormat="1" ht="25.5" hidden="1" x14ac:dyDescent="0.25">
      <c r="A835" s="25"/>
      <c r="B835" s="26" t="s">
        <v>1166</v>
      </c>
      <c r="C835" s="26"/>
      <c r="D835" s="64" t="s">
        <v>1167</v>
      </c>
      <c r="E835" s="28"/>
      <c r="F835" s="28"/>
      <c r="G835" s="28"/>
      <c r="H835" s="28"/>
      <c r="I835" s="28"/>
      <c r="J835" s="28"/>
      <c r="K835" s="28"/>
      <c r="L835" s="28"/>
      <c r="M835" s="28">
        <f>SUM(M836:M836)</f>
        <v>0</v>
      </c>
      <c r="N835" s="28"/>
      <c r="O835" s="28">
        <f>SUM(O836:O836)</f>
        <v>0</v>
      </c>
      <c r="P835" s="28">
        <f>SUM(P836:P836)</f>
        <v>0</v>
      </c>
      <c r="Q835" s="28">
        <f>SUM(Q836:Q836)</f>
        <v>0</v>
      </c>
      <c r="R835" s="28">
        <f>SUM(R836:R836)</f>
        <v>0</v>
      </c>
      <c r="S835" s="28">
        <f>SUM(S836:S836)</f>
        <v>0</v>
      </c>
      <c r="T835" s="28"/>
      <c r="U835" s="28">
        <f>SUM(U836:U836)</f>
        <v>0</v>
      </c>
      <c r="V835" s="28"/>
      <c r="W835" s="28">
        <f>SUM(W836:W836)</f>
        <v>0</v>
      </c>
      <c r="X835" s="28"/>
      <c r="Y835" s="28">
        <f>SUM(Y836:Y836)</f>
        <v>0</v>
      </c>
      <c r="Z835" s="28">
        <f>SUM(Z836:Z836)</f>
        <v>0</v>
      </c>
      <c r="AA835" s="28"/>
      <c r="AB835" s="28">
        <f>SUM(AB836:AB836)</f>
        <v>0</v>
      </c>
      <c r="AC835" s="28">
        <f>SUM(AC836:AC836)</f>
        <v>0</v>
      </c>
      <c r="AD835" s="28"/>
      <c r="AE835" s="28"/>
    </row>
    <row r="836" spans="1:33" s="1" customFormat="1" hidden="1" x14ac:dyDescent="0.25">
      <c r="A836" s="21"/>
      <c r="B836" s="22"/>
      <c r="C836" s="22"/>
      <c r="D836" s="65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  <c r="AA836" s="24"/>
      <c r="AB836" s="24"/>
      <c r="AC836" s="24"/>
      <c r="AD836" s="24"/>
      <c r="AE836" s="24"/>
    </row>
    <row r="837" spans="1:33" s="1" customFormat="1" hidden="1" x14ac:dyDescent="0.25">
      <c r="A837" s="17"/>
      <c r="B837" s="18" t="s">
        <v>1168</v>
      </c>
      <c r="C837" s="18"/>
      <c r="D837" s="84" t="s">
        <v>1169</v>
      </c>
      <c r="E837" s="20"/>
      <c r="F837" s="20"/>
      <c r="G837" s="20"/>
      <c r="H837" s="20"/>
      <c r="I837" s="20"/>
      <c r="J837" s="20"/>
      <c r="K837" s="20"/>
      <c r="L837" s="20"/>
      <c r="M837" s="20">
        <f>SUM(M838+M840+M842+M844)</f>
        <v>0</v>
      </c>
      <c r="N837" s="20"/>
      <c r="O837" s="20">
        <f>O838+O840+O842+O844</f>
        <v>0</v>
      </c>
      <c r="P837" s="20">
        <f>P838+P840+P842+P844</f>
        <v>0</v>
      </c>
      <c r="Q837" s="20">
        <f>Q838+Q840+Q842+Q844</f>
        <v>0</v>
      </c>
      <c r="R837" s="20">
        <f>R838+R840+R842+R844</f>
        <v>0</v>
      </c>
      <c r="S837" s="20">
        <f>S838+S840+S842+S844</f>
        <v>0</v>
      </c>
      <c r="T837" s="20"/>
      <c r="U837" s="20">
        <f>U838+U840+U842+U844</f>
        <v>0</v>
      </c>
      <c r="V837" s="20"/>
      <c r="W837" s="20">
        <f>W838+W840+W842+W844</f>
        <v>0</v>
      </c>
      <c r="X837" s="20"/>
      <c r="Y837" s="20">
        <f>Y838+Y840+Y842+Y844</f>
        <v>0</v>
      </c>
      <c r="Z837" s="20">
        <f>Z838+Z840+Z842+Z844</f>
        <v>0</v>
      </c>
      <c r="AA837" s="20"/>
      <c r="AB837" s="20">
        <f>AB838+AB840+AB842+AB844</f>
        <v>0</v>
      </c>
      <c r="AC837" s="20">
        <f>AC838+AC840+AC842+AC844</f>
        <v>0</v>
      </c>
      <c r="AD837" s="20"/>
      <c r="AE837" s="20"/>
    </row>
    <row r="838" spans="1:33" s="1" customFormat="1" hidden="1" x14ac:dyDescent="0.25">
      <c r="A838" s="25"/>
      <c r="B838" s="26" t="s">
        <v>1170</v>
      </c>
      <c r="C838" s="26"/>
      <c r="D838" s="64" t="s">
        <v>1171</v>
      </c>
      <c r="E838" s="28"/>
      <c r="F838" s="28"/>
      <c r="G838" s="28"/>
      <c r="H838" s="28"/>
      <c r="I838" s="28"/>
      <c r="J838" s="28"/>
      <c r="K838" s="28"/>
      <c r="L838" s="28"/>
      <c r="M838" s="28">
        <f>SUM(M839:M839)</f>
        <v>0</v>
      </c>
      <c r="N838" s="28"/>
      <c r="O838" s="28">
        <f>SUM(O839:O839)</f>
        <v>0</v>
      </c>
      <c r="P838" s="28">
        <f>SUM(P839:P839)</f>
        <v>0</v>
      </c>
      <c r="Q838" s="28">
        <f>SUM(Q839:Q839)</f>
        <v>0</v>
      </c>
      <c r="R838" s="28">
        <f>SUM(R839:R839)</f>
        <v>0</v>
      </c>
      <c r="S838" s="28">
        <f>SUM(S839:S839)</f>
        <v>0</v>
      </c>
      <c r="T838" s="28"/>
      <c r="U838" s="28">
        <f>SUM(U839:U839)</f>
        <v>0</v>
      </c>
      <c r="V838" s="28"/>
      <c r="W838" s="28">
        <f>SUM(W839:W839)</f>
        <v>0</v>
      </c>
      <c r="X838" s="28"/>
      <c r="Y838" s="28">
        <f>SUM(Y839:Y839)</f>
        <v>0</v>
      </c>
      <c r="Z838" s="28">
        <f>SUM(Z839:Z839)</f>
        <v>0</v>
      </c>
      <c r="AA838" s="28"/>
      <c r="AB838" s="28">
        <f>SUM(AB839:AB839)</f>
        <v>0</v>
      </c>
      <c r="AC838" s="28">
        <f>SUM(AC839:AC839)</f>
        <v>0</v>
      </c>
      <c r="AD838" s="28"/>
      <c r="AE838" s="28"/>
    </row>
    <row r="839" spans="1:33" s="1" customFormat="1" hidden="1" x14ac:dyDescent="0.25">
      <c r="A839" s="21"/>
      <c r="B839" s="22"/>
      <c r="C839" s="22"/>
      <c r="D839" s="65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  <c r="AA839" s="24"/>
      <c r="AB839" s="24"/>
      <c r="AC839" s="24"/>
      <c r="AD839" s="24"/>
      <c r="AE839" s="24"/>
    </row>
    <row r="840" spans="1:33" s="1" customFormat="1" hidden="1" x14ac:dyDescent="0.25">
      <c r="A840" s="25"/>
      <c r="B840" s="26" t="s">
        <v>1172</v>
      </c>
      <c r="C840" s="26"/>
      <c r="D840" s="64" t="s">
        <v>1173</v>
      </c>
      <c r="E840" s="28"/>
      <c r="F840" s="28"/>
      <c r="G840" s="28"/>
      <c r="H840" s="28"/>
      <c r="I840" s="28"/>
      <c r="J840" s="28"/>
      <c r="K840" s="28"/>
      <c r="L840" s="28"/>
      <c r="M840" s="28">
        <f>SUM(M841:M841)</f>
        <v>0</v>
      </c>
      <c r="N840" s="28"/>
      <c r="O840" s="28">
        <f>SUM(O841:O841)</f>
        <v>0</v>
      </c>
      <c r="P840" s="28">
        <f>SUM(P841:P841)</f>
        <v>0</v>
      </c>
      <c r="Q840" s="28">
        <f>SUM(Q841:Q841)</f>
        <v>0</v>
      </c>
      <c r="R840" s="28">
        <f>SUM(R841:R841)</f>
        <v>0</v>
      </c>
      <c r="S840" s="28">
        <f>SUM(S841:S841)</f>
        <v>0</v>
      </c>
      <c r="T840" s="28"/>
      <c r="U840" s="28">
        <f>SUM(U841:U841)</f>
        <v>0</v>
      </c>
      <c r="V840" s="28"/>
      <c r="W840" s="28">
        <f>SUM(W841:W841)</f>
        <v>0</v>
      </c>
      <c r="X840" s="28"/>
      <c r="Y840" s="28">
        <f>SUM(Y841:Y841)</f>
        <v>0</v>
      </c>
      <c r="Z840" s="28">
        <f>SUM(Z841:Z841)</f>
        <v>0</v>
      </c>
      <c r="AA840" s="28"/>
      <c r="AB840" s="28">
        <f>SUM(AB841:AB841)</f>
        <v>0</v>
      </c>
      <c r="AC840" s="28">
        <f>SUM(AC841:AC841)</f>
        <v>0</v>
      </c>
      <c r="AD840" s="28"/>
      <c r="AE840" s="28"/>
    </row>
    <row r="841" spans="1:33" s="1" customFormat="1" hidden="1" x14ac:dyDescent="0.25">
      <c r="A841" s="21"/>
      <c r="B841" s="22"/>
      <c r="C841" s="22"/>
      <c r="D841" s="65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  <c r="AA841" s="24"/>
      <c r="AB841" s="24"/>
      <c r="AC841" s="24"/>
      <c r="AD841" s="24"/>
      <c r="AE841" s="24"/>
    </row>
    <row r="842" spans="1:33" s="1" customFormat="1" hidden="1" x14ac:dyDescent="0.25">
      <c r="A842" s="25"/>
      <c r="B842" s="26" t="s">
        <v>1174</v>
      </c>
      <c r="C842" s="26"/>
      <c r="D842" s="64" t="s">
        <v>1175</v>
      </c>
      <c r="E842" s="28"/>
      <c r="F842" s="28"/>
      <c r="G842" s="28"/>
      <c r="H842" s="28"/>
      <c r="I842" s="28"/>
      <c r="J842" s="28"/>
      <c r="K842" s="28"/>
      <c r="L842" s="28"/>
      <c r="M842" s="28">
        <f>SUM(M843:M843)</f>
        <v>0</v>
      </c>
      <c r="N842" s="28"/>
      <c r="O842" s="28">
        <f>SUM(O843:O843)</f>
        <v>0</v>
      </c>
      <c r="P842" s="28">
        <f>SUM(P843:P843)</f>
        <v>0</v>
      </c>
      <c r="Q842" s="28">
        <f>SUM(Q843:Q843)</f>
        <v>0</v>
      </c>
      <c r="R842" s="28">
        <f>SUM(R843:R843)</f>
        <v>0</v>
      </c>
      <c r="S842" s="28">
        <f>SUM(S843:S843)</f>
        <v>0</v>
      </c>
      <c r="T842" s="28"/>
      <c r="U842" s="28">
        <f>SUM(U843:U843)</f>
        <v>0</v>
      </c>
      <c r="V842" s="28"/>
      <c r="W842" s="28">
        <f>SUM(W843:W843)</f>
        <v>0</v>
      </c>
      <c r="X842" s="28"/>
      <c r="Y842" s="28">
        <f>SUM(Y843:Y843)</f>
        <v>0</v>
      </c>
      <c r="Z842" s="28">
        <f>SUM(Z843:Z843)</f>
        <v>0</v>
      </c>
      <c r="AA842" s="28"/>
      <c r="AB842" s="28">
        <f>SUM(AB843:AB843)</f>
        <v>0</v>
      </c>
      <c r="AC842" s="28">
        <f>SUM(AC843:AC843)</f>
        <v>0</v>
      </c>
      <c r="AD842" s="28"/>
      <c r="AE842" s="28"/>
    </row>
    <row r="843" spans="1:33" s="1" customFormat="1" hidden="1" x14ac:dyDescent="0.25">
      <c r="A843" s="21"/>
      <c r="B843" s="22"/>
      <c r="C843" s="22"/>
      <c r="D843" s="65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  <c r="AA843" s="24"/>
      <c r="AB843" s="24"/>
      <c r="AC843" s="24"/>
      <c r="AD843" s="24"/>
      <c r="AE843" s="24"/>
    </row>
    <row r="844" spans="1:33" s="1" customFormat="1" hidden="1" x14ac:dyDescent="0.25">
      <c r="A844" s="25"/>
      <c r="B844" s="26" t="s">
        <v>1176</v>
      </c>
      <c r="C844" s="26"/>
      <c r="D844" s="64" t="s">
        <v>1177</v>
      </c>
      <c r="E844" s="28"/>
      <c r="F844" s="28"/>
      <c r="G844" s="28"/>
      <c r="H844" s="28"/>
      <c r="I844" s="28"/>
      <c r="J844" s="28"/>
      <c r="K844" s="28"/>
      <c r="L844" s="28"/>
      <c r="M844" s="28">
        <f>SUM(M845:M845)</f>
        <v>0</v>
      </c>
      <c r="N844" s="28"/>
      <c r="O844" s="28">
        <f>SUM(O845:O845)</f>
        <v>0</v>
      </c>
      <c r="P844" s="28">
        <f>SUM(P845:P845)</f>
        <v>0</v>
      </c>
      <c r="Q844" s="28">
        <f>SUM(Q845:Q845)</f>
        <v>0</v>
      </c>
      <c r="R844" s="28">
        <f>SUM(R845:R845)</f>
        <v>0</v>
      </c>
      <c r="S844" s="28">
        <f>SUM(S845:S845)</f>
        <v>0</v>
      </c>
      <c r="T844" s="28"/>
      <c r="U844" s="28">
        <f>SUM(U845:U845)</f>
        <v>0</v>
      </c>
      <c r="V844" s="28"/>
      <c r="W844" s="28">
        <f>SUM(W845:W845)</f>
        <v>0</v>
      </c>
      <c r="X844" s="28"/>
      <c r="Y844" s="28">
        <f>SUM(Y845:Y845)</f>
        <v>0</v>
      </c>
      <c r="Z844" s="28">
        <f>SUM(Z845:Z845)</f>
        <v>0</v>
      </c>
      <c r="AA844" s="28"/>
      <c r="AB844" s="28">
        <f>SUM(AB845:AB845)</f>
        <v>0</v>
      </c>
      <c r="AC844" s="28">
        <f>SUM(AC845:AC845)</f>
        <v>0</v>
      </c>
      <c r="AD844" s="28"/>
      <c r="AE844" s="28"/>
    </row>
    <row r="845" spans="1:33" s="1" customFormat="1" x14ac:dyDescent="0.25">
      <c r="A845" s="21"/>
      <c r="B845" s="22"/>
      <c r="C845" s="22"/>
      <c r="D845" s="65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  <c r="AA845" s="24"/>
      <c r="AB845" s="24"/>
      <c r="AC845" s="24"/>
      <c r="AD845" s="24"/>
      <c r="AE845" s="24"/>
    </row>
    <row r="846" spans="1:33" s="1" customFormat="1" x14ac:dyDescent="0.25">
      <c r="A846" s="17"/>
      <c r="B846" s="18" t="s">
        <v>1178</v>
      </c>
      <c r="C846" s="18"/>
      <c r="D846" s="84" t="s">
        <v>1179</v>
      </c>
      <c r="E846" s="20"/>
      <c r="F846" s="20"/>
      <c r="G846" s="20"/>
      <c r="H846" s="20"/>
      <c r="I846" s="20"/>
      <c r="J846" s="20"/>
      <c r="K846" s="20"/>
      <c r="L846" s="20"/>
      <c r="M846" s="20">
        <f>SUM(M847+M934)</f>
        <v>352</v>
      </c>
      <c r="N846" s="20"/>
      <c r="O846" s="37">
        <f>SUM(O847+O934)</f>
        <v>2193389587</v>
      </c>
      <c r="P846" s="37">
        <f>P847+P934</f>
        <v>0</v>
      </c>
      <c r="Q846" s="37">
        <f>Q847+Q934</f>
        <v>0</v>
      </c>
      <c r="R846" s="37">
        <f>R847+R934</f>
        <v>0</v>
      </c>
      <c r="S846" s="37">
        <f>SUM(S847+S934)</f>
        <v>2036906587</v>
      </c>
      <c r="T846" s="37"/>
      <c r="U846" s="37">
        <f>SUM(U847+U934)</f>
        <v>163019599.90000001</v>
      </c>
      <c r="V846" s="37"/>
      <c r="W846" s="37">
        <f>SUM(W847+W934)</f>
        <v>65953399.943333335</v>
      </c>
      <c r="X846" s="37"/>
      <c r="Y846" s="379">
        <f>SUM(Y847+Y934)</f>
        <v>63068875.61666666</v>
      </c>
      <c r="Z846" s="37">
        <f>SUM(Z847+Z934)</f>
        <v>129022275.56</v>
      </c>
      <c r="AA846" s="37"/>
      <c r="AB846" s="37">
        <f>SUM(AB847+AB934)</f>
        <v>1746108836.9416664</v>
      </c>
      <c r="AC846" s="37">
        <f>SUM(AC847+AC934)</f>
        <v>447280750.05833334</v>
      </c>
      <c r="AD846" s="20"/>
      <c r="AE846" s="20"/>
      <c r="AF846" s="1">
        <v>1683039961.3249998</v>
      </c>
      <c r="AG846" s="5">
        <f>AF846+Y846-AB846</f>
        <v>0</v>
      </c>
    </row>
    <row r="847" spans="1:33" s="160" customFormat="1" x14ac:dyDescent="0.25">
      <c r="A847" s="138"/>
      <c r="B847" s="139" t="s">
        <v>1180</v>
      </c>
      <c r="C847" s="139"/>
      <c r="D847" s="184" t="s">
        <v>1181</v>
      </c>
      <c r="E847" s="141"/>
      <c r="F847" s="141"/>
      <c r="G847" s="141"/>
      <c r="H847" s="141"/>
      <c r="I847" s="141"/>
      <c r="J847" s="141"/>
      <c r="K847" s="141"/>
      <c r="L847" s="141"/>
      <c r="M847" s="141">
        <f>SUM(M848+M925)</f>
        <v>181</v>
      </c>
      <c r="N847" s="141"/>
      <c r="O847" s="142">
        <f>SUM(O848+O925)</f>
        <v>1671255607</v>
      </c>
      <c r="P847" s="141">
        <f>SUM(P854:P918)</f>
        <v>0</v>
      </c>
      <c r="Q847" s="141">
        <f>SUM(Q854:Q918)</f>
        <v>0</v>
      </c>
      <c r="R847" s="141">
        <f>SUM(R854:R918)</f>
        <v>0</v>
      </c>
      <c r="S847" s="142">
        <f>SUM(S848)</f>
        <v>1560972607</v>
      </c>
      <c r="T847" s="141"/>
      <c r="U847" s="142">
        <f>SUM(U848+U925)</f>
        <v>134283503.90000001</v>
      </c>
      <c r="V847" s="141"/>
      <c r="W847" s="142">
        <f>SUM(W848+W925)</f>
        <v>56528251.943333335</v>
      </c>
      <c r="X847" s="141"/>
      <c r="Y847" s="142">
        <f>SUM(Y848+Y925)</f>
        <v>52453923.286666662</v>
      </c>
      <c r="Z847" s="142">
        <f>SUM(Z848+Z925)</f>
        <v>108982175.23</v>
      </c>
      <c r="AA847" s="141"/>
      <c r="AB847" s="142">
        <f>SUM(AB848+AB925)</f>
        <v>1293961842.9416664</v>
      </c>
      <c r="AC847" s="142">
        <f>SUM(AC848+AC925)</f>
        <v>377293764.05833334</v>
      </c>
      <c r="AD847" s="141"/>
      <c r="AE847" s="141"/>
      <c r="AF847" s="160">
        <v>432106893.66666663</v>
      </c>
      <c r="AG847" s="161">
        <f>SUM(AF847+W846+Y846-AB846)</f>
        <v>-1184979667.7149997</v>
      </c>
    </row>
    <row r="848" spans="1:33" s="1" customFormat="1" x14ac:dyDescent="0.25">
      <c r="A848" s="25"/>
      <c r="B848" s="26" t="s">
        <v>1746</v>
      </c>
      <c r="C848" s="26"/>
      <c r="D848" s="64" t="s">
        <v>1747</v>
      </c>
      <c r="E848" s="28"/>
      <c r="F848" s="28"/>
      <c r="G848" s="28"/>
      <c r="H848" s="28"/>
      <c r="I848" s="28"/>
      <c r="J848" s="28"/>
      <c r="K848" s="28"/>
      <c r="L848" s="28"/>
      <c r="M848" s="28">
        <f>SUM(M849:M924)</f>
        <v>174</v>
      </c>
      <c r="N848" s="28"/>
      <c r="O848" s="40">
        <f>SUM(O849:O924)</f>
        <v>1560972607</v>
      </c>
      <c r="P848" s="28"/>
      <c r="Q848" s="28"/>
      <c r="R848" s="28"/>
      <c r="S848" s="40">
        <f>SUM(S849:S924)</f>
        <v>1560972607</v>
      </c>
      <c r="T848" s="28"/>
      <c r="U848" s="40">
        <f>SUM(U849:U924)</f>
        <v>112226903.90000001</v>
      </c>
      <c r="V848" s="28"/>
      <c r="W848" s="40">
        <f>SUM(W849:W924)</f>
        <v>55152318.609999999</v>
      </c>
      <c r="X848" s="28"/>
      <c r="Y848" s="40">
        <f>SUM(Y849:Y924)</f>
        <v>43736206.619999997</v>
      </c>
      <c r="Z848" s="40">
        <f>SUM(Z849:Z924)</f>
        <v>98888525.230000004</v>
      </c>
      <c r="AA848" s="28"/>
      <c r="AB848" s="40">
        <f>SUM(AB849:AB924)</f>
        <v>1283868192.9416664</v>
      </c>
      <c r="AC848" s="40">
        <f>SUM(AC849:AC924)</f>
        <v>277104414.05833334</v>
      </c>
      <c r="AD848" s="28"/>
      <c r="AE848" s="28"/>
      <c r="AF848" s="5">
        <f>AF847+Z846-AB846</f>
        <v>-1184979667.7149997</v>
      </c>
      <c r="AG848" s="5">
        <f>66600000</f>
        <v>66600000</v>
      </c>
    </row>
    <row r="849" spans="1:34" s="1" customFormat="1" x14ac:dyDescent="0.25">
      <c r="A849" s="49">
        <v>1</v>
      </c>
      <c r="B849" s="50" t="s">
        <v>1748</v>
      </c>
      <c r="C849" s="50" t="s">
        <v>255</v>
      </c>
      <c r="D849" s="51" t="s">
        <v>270</v>
      </c>
      <c r="E849" s="52" t="s">
        <v>263</v>
      </c>
      <c r="F849" s="52"/>
      <c r="G849" s="52" t="s">
        <v>260</v>
      </c>
      <c r="H849" s="52" t="s">
        <v>62</v>
      </c>
      <c r="I849" s="52">
        <v>2005</v>
      </c>
      <c r="J849" s="52"/>
      <c r="K849" s="52" t="s">
        <v>269</v>
      </c>
      <c r="L849" s="52" t="s">
        <v>212</v>
      </c>
      <c r="M849" s="52">
        <v>25</v>
      </c>
      <c r="N849" s="53">
        <f>SUM(O849/M849)</f>
        <v>180000</v>
      </c>
      <c r="O849" s="53">
        <v>4500000</v>
      </c>
      <c r="P849" s="52"/>
      <c r="Q849" s="52"/>
      <c r="R849" s="52"/>
      <c r="S849" s="53">
        <f t="shared" ref="S849:S880" si="304">SUM(O849-R849)</f>
        <v>4500000</v>
      </c>
      <c r="T849" s="52">
        <v>5</v>
      </c>
      <c r="U849" s="53"/>
      <c r="V849" s="52">
        <v>0.5</v>
      </c>
      <c r="W849" s="53">
        <f>SUM(U849*V849)</f>
        <v>0</v>
      </c>
      <c r="X849" s="52"/>
      <c r="Y849" s="53">
        <f>SUM(U849*X849)</f>
        <v>0</v>
      </c>
      <c r="Z849" s="53">
        <f>SUM(W849+Y849)</f>
        <v>0</v>
      </c>
      <c r="AA849" s="57">
        <v>5</v>
      </c>
      <c r="AB849" s="53">
        <v>4500000</v>
      </c>
      <c r="AC849" s="53">
        <f t="shared" ref="AC849:AC880" si="305">SUM(O849-AB849)</f>
        <v>0</v>
      </c>
      <c r="AD849" s="56" t="s">
        <v>213</v>
      </c>
      <c r="AE849" s="52"/>
      <c r="AF849" s="5">
        <v>4500000</v>
      </c>
      <c r="AG849" s="5">
        <f>AF849+Y849-AB849</f>
        <v>0</v>
      </c>
    </row>
    <row r="850" spans="1:34" s="1" customFormat="1" x14ac:dyDescent="0.25">
      <c r="A850" s="49">
        <v>2</v>
      </c>
      <c r="B850" s="50" t="s">
        <v>1748</v>
      </c>
      <c r="C850" s="73" t="s">
        <v>227</v>
      </c>
      <c r="D850" s="51" t="s">
        <v>271</v>
      </c>
      <c r="E850" s="52"/>
      <c r="F850" s="52"/>
      <c r="G850" s="52" t="s">
        <v>260</v>
      </c>
      <c r="H850" s="52" t="s">
        <v>62</v>
      </c>
      <c r="I850" s="52">
        <v>2020</v>
      </c>
      <c r="J850" s="52"/>
      <c r="K850" s="52" t="s">
        <v>261</v>
      </c>
      <c r="L850" s="52" t="s">
        <v>64</v>
      </c>
      <c r="M850" s="52">
        <v>1</v>
      </c>
      <c r="N850" s="53">
        <v>29796250</v>
      </c>
      <c r="O850" s="53">
        <v>29796250</v>
      </c>
      <c r="P850" s="52"/>
      <c r="Q850" s="52"/>
      <c r="R850" s="52"/>
      <c r="S850" s="53">
        <f t="shared" si="304"/>
        <v>29796250</v>
      </c>
      <c r="T850" s="52">
        <v>5</v>
      </c>
      <c r="U850" s="53">
        <f>SUM(S850/T850)</f>
        <v>5959250</v>
      </c>
      <c r="V850" s="52">
        <v>0.5</v>
      </c>
      <c r="W850" s="53">
        <f>SUM(U850*V850)</f>
        <v>2979625</v>
      </c>
      <c r="X850" s="57">
        <v>0.5</v>
      </c>
      <c r="Y850" s="53">
        <f>SUM(U850*X850)</f>
        <v>2979625</v>
      </c>
      <c r="Z850" s="53">
        <f>SUM(W850+Y850)</f>
        <v>5959250</v>
      </c>
      <c r="AA850" s="57">
        <f>2/12+0.5+0.5+0.5+0.5+0.5+0.5</f>
        <v>3.1666666666666665</v>
      </c>
      <c r="AB850" s="53">
        <f>SUM(U850*AA850)+0.6</f>
        <v>18870958.933333334</v>
      </c>
      <c r="AC850" s="53">
        <f t="shared" si="305"/>
        <v>10925291.066666666</v>
      </c>
      <c r="AD850" s="56" t="s">
        <v>213</v>
      </c>
      <c r="AE850" s="52"/>
      <c r="AF850" s="1">
        <v>15891333.933333332</v>
      </c>
      <c r="AG850" s="5">
        <f t="shared" ref="AG850:AG911" si="306">AF850+Y850-AB850</f>
        <v>0</v>
      </c>
    </row>
    <row r="851" spans="1:34" s="1" customFormat="1" x14ac:dyDescent="0.25">
      <c r="A851" s="49">
        <v>3</v>
      </c>
      <c r="B851" s="50" t="s">
        <v>1748</v>
      </c>
      <c r="C851" s="22" t="s">
        <v>58</v>
      </c>
      <c r="D851" s="51" t="s">
        <v>681</v>
      </c>
      <c r="E851" s="24" t="s">
        <v>263</v>
      </c>
      <c r="F851" s="24"/>
      <c r="G851" s="24" t="s">
        <v>260</v>
      </c>
      <c r="H851" s="24" t="s">
        <v>62</v>
      </c>
      <c r="I851" s="24">
        <v>2005</v>
      </c>
      <c r="J851" s="24"/>
      <c r="K851" s="24" t="s">
        <v>261</v>
      </c>
      <c r="L851" s="24" t="s">
        <v>64</v>
      </c>
      <c r="M851" s="24">
        <v>1</v>
      </c>
      <c r="N851" s="41">
        <f>SUM(O851/M851)</f>
        <v>2975000</v>
      </c>
      <c r="O851" s="41">
        <v>2975000</v>
      </c>
      <c r="P851" s="24"/>
      <c r="Q851" s="24"/>
      <c r="R851" s="24"/>
      <c r="S851" s="41">
        <f t="shared" si="304"/>
        <v>2975000</v>
      </c>
      <c r="T851" s="24">
        <v>5</v>
      </c>
      <c r="U851" s="41"/>
      <c r="V851" s="24">
        <v>0.5</v>
      </c>
      <c r="W851" s="41">
        <f>SUM(U851*V851)</f>
        <v>0</v>
      </c>
      <c r="X851" s="24"/>
      <c r="Y851" s="41">
        <f>SUM(U851*X851)</f>
        <v>0</v>
      </c>
      <c r="Z851" s="41">
        <f>SUM(W851+Y851)</f>
        <v>0</v>
      </c>
      <c r="AA851" s="24">
        <v>5</v>
      </c>
      <c r="AB851" s="41">
        <v>2975000</v>
      </c>
      <c r="AC851" s="41">
        <f t="shared" si="305"/>
        <v>0</v>
      </c>
      <c r="AD851" s="70" t="s">
        <v>213</v>
      </c>
      <c r="AE851" s="70"/>
      <c r="AF851" s="5">
        <v>2975000</v>
      </c>
      <c r="AG851" s="5">
        <f t="shared" si="306"/>
        <v>0</v>
      </c>
    </row>
    <row r="852" spans="1:34" s="1" customFormat="1" x14ac:dyDescent="0.25">
      <c r="A852" s="49">
        <v>4</v>
      </c>
      <c r="B852" s="50" t="s">
        <v>1749</v>
      </c>
      <c r="C852" s="50" t="s">
        <v>255</v>
      </c>
      <c r="D852" s="51" t="s">
        <v>268</v>
      </c>
      <c r="E852" s="52" t="s">
        <v>263</v>
      </c>
      <c r="F852" s="52"/>
      <c r="G852" s="52" t="s">
        <v>260</v>
      </c>
      <c r="H852" s="52" t="s">
        <v>62</v>
      </c>
      <c r="I852" s="52">
        <v>2005</v>
      </c>
      <c r="J852" s="52"/>
      <c r="K852" s="52" t="s">
        <v>269</v>
      </c>
      <c r="L852" s="52" t="s">
        <v>212</v>
      </c>
      <c r="M852" s="52">
        <v>25</v>
      </c>
      <c r="N852" s="53">
        <f>SUM(O852/M852)</f>
        <v>180000</v>
      </c>
      <c r="O852" s="53">
        <v>4500000</v>
      </c>
      <c r="P852" s="52"/>
      <c r="Q852" s="52"/>
      <c r="R852" s="52"/>
      <c r="S852" s="53">
        <f t="shared" si="304"/>
        <v>4500000</v>
      </c>
      <c r="T852" s="52">
        <v>5</v>
      </c>
      <c r="U852" s="53"/>
      <c r="V852" s="52">
        <v>0.5</v>
      </c>
      <c r="W852" s="53">
        <f>SUM(U852*V852)</f>
        <v>0</v>
      </c>
      <c r="X852" s="52"/>
      <c r="Y852" s="53">
        <f>SUM(U852*X852)</f>
        <v>0</v>
      </c>
      <c r="Z852" s="53">
        <f>SUM(W852+Y852)</f>
        <v>0</v>
      </c>
      <c r="AA852" s="52">
        <v>5</v>
      </c>
      <c r="AB852" s="53">
        <v>4500000</v>
      </c>
      <c r="AC852" s="53">
        <f t="shared" si="305"/>
        <v>0</v>
      </c>
      <c r="AD852" s="56" t="s">
        <v>213</v>
      </c>
      <c r="AE852" s="52"/>
      <c r="AF852" s="1">
        <v>4500000</v>
      </c>
      <c r="AG852" s="5">
        <f t="shared" si="306"/>
        <v>0</v>
      </c>
    </row>
    <row r="853" spans="1:34" s="1" customFormat="1" x14ac:dyDescent="0.25">
      <c r="A853" s="49">
        <v>5</v>
      </c>
      <c r="B853" s="50" t="s">
        <v>1749</v>
      </c>
      <c r="C853" s="73" t="s">
        <v>58</v>
      </c>
      <c r="D853" s="51" t="s">
        <v>1750</v>
      </c>
      <c r="E853" s="52" t="s">
        <v>263</v>
      </c>
      <c r="F853" s="52"/>
      <c r="G853" s="52" t="s">
        <v>263</v>
      </c>
      <c r="H853" s="52" t="s">
        <v>62</v>
      </c>
      <c r="I853" s="52">
        <v>2012</v>
      </c>
      <c r="J853" s="52"/>
      <c r="K853" s="52" t="s">
        <v>261</v>
      </c>
      <c r="L853" s="52" t="s">
        <v>64</v>
      </c>
      <c r="M853" s="52">
        <v>1</v>
      </c>
      <c r="N853" s="53">
        <f>SUM(O853/M853)</f>
        <v>25000000</v>
      </c>
      <c r="O853" s="53">
        <v>25000000</v>
      </c>
      <c r="P853" s="52"/>
      <c r="Q853" s="52"/>
      <c r="R853" s="52"/>
      <c r="S853" s="53">
        <f t="shared" si="304"/>
        <v>25000000</v>
      </c>
      <c r="T853" s="52">
        <v>5</v>
      </c>
      <c r="U853" s="53"/>
      <c r="V853" s="52">
        <v>0.5</v>
      </c>
      <c r="W853" s="53">
        <f>SUM(U853*V853)</f>
        <v>0</v>
      </c>
      <c r="X853" s="52"/>
      <c r="Y853" s="53">
        <f>SUM(U853*X853)</f>
        <v>0</v>
      </c>
      <c r="Z853" s="53">
        <f>SUM(W853+Y853)</f>
        <v>0</v>
      </c>
      <c r="AA853" s="52">
        <v>5</v>
      </c>
      <c r="AB853" s="53">
        <v>25000000</v>
      </c>
      <c r="AC853" s="53">
        <f t="shared" si="305"/>
        <v>0</v>
      </c>
      <c r="AD853" s="56" t="s">
        <v>195</v>
      </c>
      <c r="AE853" s="52"/>
      <c r="AF853" s="1">
        <v>25000000</v>
      </c>
      <c r="AG853" s="5">
        <f t="shared" si="306"/>
        <v>0</v>
      </c>
    </row>
    <row r="854" spans="1:34" s="1" customFormat="1" x14ac:dyDescent="0.25">
      <c r="A854" s="49">
        <v>6</v>
      </c>
      <c r="B854" s="22" t="s">
        <v>1751</v>
      </c>
      <c r="C854" s="22" t="s">
        <v>988</v>
      </c>
      <c r="D854" s="51" t="s">
        <v>1182</v>
      </c>
      <c r="E854" s="24" t="s">
        <v>1183</v>
      </c>
      <c r="F854" s="24"/>
      <c r="G854" s="24" t="s">
        <v>194</v>
      </c>
      <c r="H854" s="24" t="s">
        <v>62</v>
      </c>
      <c r="I854" s="24">
        <v>2008</v>
      </c>
      <c r="J854" s="24"/>
      <c r="K854" s="24" t="s">
        <v>63</v>
      </c>
      <c r="L854" s="24" t="s">
        <v>212</v>
      </c>
      <c r="M854" s="24">
        <v>2</v>
      </c>
      <c r="N854" s="41">
        <f t="shared" ref="N854:N918" si="307">SUM(O854/M854)</f>
        <v>15000000</v>
      </c>
      <c r="O854" s="41">
        <v>30000000</v>
      </c>
      <c r="P854" s="24"/>
      <c r="Q854" s="24"/>
      <c r="R854" s="24"/>
      <c r="S854" s="41">
        <f t="shared" si="304"/>
        <v>30000000</v>
      </c>
      <c r="T854" s="24">
        <v>5</v>
      </c>
      <c r="U854" s="41"/>
      <c r="V854" s="24">
        <v>0.5</v>
      </c>
      <c r="W854" s="41">
        <f t="shared" ref="W854:W922" si="308">SUM(U854*V854)</f>
        <v>0</v>
      </c>
      <c r="X854" s="24"/>
      <c r="Y854" s="41">
        <f t="shared" ref="Y854:Y920" si="309">SUM(U854*X854)</f>
        <v>0</v>
      </c>
      <c r="Z854" s="41">
        <f t="shared" ref="Z854:Z920" si="310">SUM(W854+Y854)</f>
        <v>0</v>
      </c>
      <c r="AA854" s="24">
        <v>5</v>
      </c>
      <c r="AB854" s="41">
        <v>30000000</v>
      </c>
      <c r="AC854" s="41">
        <f t="shared" si="305"/>
        <v>0</v>
      </c>
      <c r="AD854" s="70" t="s">
        <v>276</v>
      </c>
      <c r="AE854" s="24"/>
      <c r="AF854" s="1">
        <v>30000000</v>
      </c>
      <c r="AG854" s="5">
        <f t="shared" si="306"/>
        <v>0</v>
      </c>
      <c r="AH854" s="5"/>
    </row>
    <row r="855" spans="1:34" s="1" customFormat="1" x14ac:dyDescent="0.25">
      <c r="A855" s="49">
        <v>7</v>
      </c>
      <c r="B855" s="22" t="s">
        <v>1751</v>
      </c>
      <c r="C855" s="22" t="s">
        <v>140</v>
      </c>
      <c r="D855" s="51" t="s">
        <v>1182</v>
      </c>
      <c r="E855" s="24" t="s">
        <v>1183</v>
      </c>
      <c r="F855" s="24"/>
      <c r="G855" s="24" t="s">
        <v>194</v>
      </c>
      <c r="H855" s="24" t="s">
        <v>62</v>
      </c>
      <c r="I855" s="24">
        <v>2011</v>
      </c>
      <c r="J855" s="24"/>
      <c r="K855" s="24" t="s">
        <v>63</v>
      </c>
      <c r="L855" s="24" t="s">
        <v>64</v>
      </c>
      <c r="M855" s="24">
        <v>1</v>
      </c>
      <c r="N855" s="41">
        <f t="shared" si="307"/>
        <v>7450000</v>
      </c>
      <c r="O855" s="41">
        <v>7450000</v>
      </c>
      <c r="P855" s="24"/>
      <c r="Q855" s="24"/>
      <c r="R855" s="24"/>
      <c r="S855" s="41">
        <f t="shared" si="304"/>
        <v>7450000</v>
      </c>
      <c r="T855" s="24">
        <v>5</v>
      </c>
      <c r="U855" s="41"/>
      <c r="V855" s="24">
        <v>0.5</v>
      </c>
      <c r="W855" s="41">
        <f t="shared" si="308"/>
        <v>0</v>
      </c>
      <c r="X855" s="24"/>
      <c r="Y855" s="41">
        <f t="shared" si="309"/>
        <v>0</v>
      </c>
      <c r="Z855" s="41">
        <f t="shared" si="310"/>
        <v>0</v>
      </c>
      <c r="AA855" s="72">
        <v>5</v>
      </c>
      <c r="AB855" s="41">
        <v>7450000</v>
      </c>
      <c r="AC855" s="41">
        <f t="shared" si="305"/>
        <v>0</v>
      </c>
      <c r="AD855" s="70" t="s">
        <v>276</v>
      </c>
      <c r="AE855" s="24"/>
      <c r="AF855" s="1">
        <v>7450000</v>
      </c>
      <c r="AG855" s="5">
        <f t="shared" si="306"/>
        <v>0</v>
      </c>
      <c r="AH855" s="5"/>
    </row>
    <row r="856" spans="1:34" s="1" customFormat="1" x14ac:dyDescent="0.25">
      <c r="A856" s="49">
        <v>8</v>
      </c>
      <c r="B856" s="22" t="s">
        <v>1751</v>
      </c>
      <c r="C856" s="22" t="s">
        <v>143</v>
      </c>
      <c r="D856" s="51" t="s">
        <v>1182</v>
      </c>
      <c r="E856" s="24" t="s">
        <v>1183</v>
      </c>
      <c r="F856" s="24"/>
      <c r="G856" s="24" t="s">
        <v>194</v>
      </c>
      <c r="H856" s="24" t="s">
        <v>62</v>
      </c>
      <c r="I856" s="24">
        <v>2011</v>
      </c>
      <c r="J856" s="24"/>
      <c r="K856" s="24" t="s">
        <v>63</v>
      </c>
      <c r="L856" s="24" t="s">
        <v>64</v>
      </c>
      <c r="M856" s="24">
        <v>1</v>
      </c>
      <c r="N856" s="41">
        <f t="shared" si="307"/>
        <v>7450000</v>
      </c>
      <c r="O856" s="41">
        <v>7450000</v>
      </c>
      <c r="P856" s="24"/>
      <c r="Q856" s="24"/>
      <c r="R856" s="24"/>
      <c r="S856" s="41">
        <f t="shared" si="304"/>
        <v>7450000</v>
      </c>
      <c r="T856" s="24">
        <v>5</v>
      </c>
      <c r="U856" s="41"/>
      <c r="V856" s="24">
        <v>0.5</v>
      </c>
      <c r="W856" s="41">
        <f t="shared" si="308"/>
        <v>0</v>
      </c>
      <c r="X856" s="24"/>
      <c r="Y856" s="41">
        <f t="shared" si="309"/>
        <v>0</v>
      </c>
      <c r="Z856" s="41">
        <f t="shared" si="310"/>
        <v>0</v>
      </c>
      <c r="AA856" s="72">
        <v>5</v>
      </c>
      <c r="AB856" s="41">
        <v>7450000</v>
      </c>
      <c r="AC856" s="41">
        <f t="shared" si="305"/>
        <v>0</v>
      </c>
      <c r="AD856" s="70" t="s">
        <v>208</v>
      </c>
      <c r="AE856" s="24"/>
      <c r="AF856" s="1">
        <v>7450000</v>
      </c>
      <c r="AG856" s="5">
        <f t="shared" si="306"/>
        <v>0</v>
      </c>
      <c r="AH856" s="5"/>
    </row>
    <row r="857" spans="1:34" s="1" customFormat="1" x14ac:dyDescent="0.25">
      <c r="A857" s="49">
        <v>9</v>
      </c>
      <c r="B857" s="22" t="s">
        <v>1751</v>
      </c>
      <c r="C857" s="22" t="s">
        <v>146</v>
      </c>
      <c r="D857" s="51" t="s">
        <v>1182</v>
      </c>
      <c r="E857" s="24" t="s">
        <v>1184</v>
      </c>
      <c r="F857" s="24"/>
      <c r="G857" s="24" t="s">
        <v>194</v>
      </c>
      <c r="H857" s="24" t="s">
        <v>62</v>
      </c>
      <c r="I857" s="24">
        <v>2012</v>
      </c>
      <c r="J857" s="24"/>
      <c r="K857" s="24" t="s">
        <v>63</v>
      </c>
      <c r="L857" s="24" t="s">
        <v>64</v>
      </c>
      <c r="M857" s="24">
        <v>1</v>
      </c>
      <c r="N857" s="41">
        <f t="shared" si="307"/>
        <v>8910000</v>
      </c>
      <c r="O857" s="41">
        <v>8910000</v>
      </c>
      <c r="P857" s="24"/>
      <c r="Q857" s="24"/>
      <c r="R857" s="24"/>
      <c r="S857" s="41">
        <f t="shared" si="304"/>
        <v>8910000</v>
      </c>
      <c r="T857" s="24">
        <v>5</v>
      </c>
      <c r="U857" s="41"/>
      <c r="V857" s="24">
        <v>0.5</v>
      </c>
      <c r="W857" s="41">
        <f t="shared" si="308"/>
        <v>0</v>
      </c>
      <c r="X857" s="24"/>
      <c r="Y857" s="41">
        <f t="shared" si="309"/>
        <v>0</v>
      </c>
      <c r="Z857" s="41">
        <f t="shared" si="310"/>
        <v>0</v>
      </c>
      <c r="AA857" s="24">
        <v>5</v>
      </c>
      <c r="AB857" s="41">
        <v>8910000</v>
      </c>
      <c r="AC857" s="41">
        <f t="shared" si="305"/>
        <v>0</v>
      </c>
      <c r="AD857" s="70" t="s">
        <v>276</v>
      </c>
      <c r="AE857" s="24"/>
      <c r="AF857" s="1">
        <v>8910000</v>
      </c>
      <c r="AG857" s="5">
        <f t="shared" si="306"/>
        <v>0</v>
      </c>
      <c r="AH857" s="5"/>
    </row>
    <row r="858" spans="1:34" s="1" customFormat="1" x14ac:dyDescent="0.25">
      <c r="A858" s="49">
        <v>10</v>
      </c>
      <c r="B858" s="22" t="s">
        <v>1751</v>
      </c>
      <c r="C858" s="22" t="s">
        <v>150</v>
      </c>
      <c r="D858" s="51" t="s">
        <v>1182</v>
      </c>
      <c r="E858" s="24" t="s">
        <v>1184</v>
      </c>
      <c r="F858" s="24"/>
      <c r="G858" s="24" t="s">
        <v>194</v>
      </c>
      <c r="H858" s="24" t="s">
        <v>62</v>
      </c>
      <c r="I858" s="24">
        <v>2012</v>
      </c>
      <c r="J858" s="24"/>
      <c r="K858" s="24" t="s">
        <v>63</v>
      </c>
      <c r="L858" s="24" t="s">
        <v>64</v>
      </c>
      <c r="M858" s="24">
        <v>1</v>
      </c>
      <c r="N858" s="41">
        <f t="shared" si="307"/>
        <v>8910000</v>
      </c>
      <c r="O858" s="41">
        <v>8910000</v>
      </c>
      <c r="P858" s="24"/>
      <c r="Q858" s="24"/>
      <c r="R858" s="24"/>
      <c r="S858" s="41">
        <f t="shared" si="304"/>
        <v>8910000</v>
      </c>
      <c r="T858" s="24">
        <v>5</v>
      </c>
      <c r="U858" s="41"/>
      <c r="V858" s="24">
        <v>0.5</v>
      </c>
      <c r="W858" s="41">
        <f t="shared" si="308"/>
        <v>0</v>
      </c>
      <c r="X858" s="24"/>
      <c r="Y858" s="41">
        <f t="shared" si="309"/>
        <v>0</v>
      </c>
      <c r="Z858" s="41">
        <f t="shared" si="310"/>
        <v>0</v>
      </c>
      <c r="AA858" s="24">
        <v>5</v>
      </c>
      <c r="AB858" s="41">
        <v>8910000</v>
      </c>
      <c r="AC858" s="41">
        <f t="shared" si="305"/>
        <v>0</v>
      </c>
      <c r="AD858" s="70" t="s">
        <v>208</v>
      </c>
      <c r="AE858" s="24"/>
      <c r="AF858" s="1">
        <v>8910000</v>
      </c>
      <c r="AG858" s="5">
        <f t="shared" si="306"/>
        <v>0</v>
      </c>
      <c r="AH858" s="5"/>
    </row>
    <row r="859" spans="1:34" s="1" customFormat="1" x14ac:dyDescent="0.25">
      <c r="A859" s="49">
        <v>11</v>
      </c>
      <c r="B859" s="22" t="s">
        <v>1751</v>
      </c>
      <c r="C859" s="22" t="s">
        <v>153</v>
      </c>
      <c r="D859" s="51" t="s">
        <v>1182</v>
      </c>
      <c r="E859" s="24" t="s">
        <v>1185</v>
      </c>
      <c r="F859" s="24"/>
      <c r="G859" s="24" t="s">
        <v>194</v>
      </c>
      <c r="H859" s="24" t="s">
        <v>62</v>
      </c>
      <c r="I859" s="24">
        <v>2014</v>
      </c>
      <c r="J859" s="24"/>
      <c r="K859" s="24" t="s">
        <v>63</v>
      </c>
      <c r="L859" s="24" t="s">
        <v>64</v>
      </c>
      <c r="M859" s="24">
        <v>1</v>
      </c>
      <c r="N859" s="41">
        <f t="shared" si="307"/>
        <v>11412500</v>
      </c>
      <c r="O859" s="41">
        <v>11412500</v>
      </c>
      <c r="P859" s="24"/>
      <c r="Q859" s="24"/>
      <c r="R859" s="24"/>
      <c r="S859" s="41">
        <f t="shared" si="304"/>
        <v>11412500</v>
      </c>
      <c r="T859" s="24">
        <v>5</v>
      </c>
      <c r="U859" s="41"/>
      <c r="V859" s="24">
        <v>0.5</v>
      </c>
      <c r="W859" s="41">
        <f t="shared" si="308"/>
        <v>0</v>
      </c>
      <c r="X859" s="24"/>
      <c r="Y859" s="41">
        <f t="shared" si="309"/>
        <v>0</v>
      </c>
      <c r="Z859" s="41">
        <f t="shared" si="310"/>
        <v>0</v>
      </c>
      <c r="AA859" s="24">
        <v>5</v>
      </c>
      <c r="AB859" s="41">
        <v>11412500</v>
      </c>
      <c r="AC859" s="41">
        <f t="shared" si="305"/>
        <v>0</v>
      </c>
      <c r="AD859" s="70" t="s">
        <v>335</v>
      </c>
      <c r="AE859" s="24"/>
      <c r="AF859" s="1">
        <v>11412500</v>
      </c>
      <c r="AG859" s="5">
        <f t="shared" si="306"/>
        <v>0</v>
      </c>
      <c r="AH859" s="5"/>
    </row>
    <row r="860" spans="1:34" s="1" customFormat="1" x14ac:dyDescent="0.25">
      <c r="A860" s="49">
        <v>12</v>
      </c>
      <c r="B860" s="22" t="s">
        <v>1751</v>
      </c>
      <c r="C860" s="22" t="s">
        <v>156</v>
      </c>
      <c r="D860" s="51" t="s">
        <v>1182</v>
      </c>
      <c r="E860" s="24" t="s">
        <v>1185</v>
      </c>
      <c r="F860" s="24"/>
      <c r="G860" s="24" t="s">
        <v>194</v>
      </c>
      <c r="H860" s="24" t="s">
        <v>62</v>
      </c>
      <c r="I860" s="24">
        <v>2014</v>
      </c>
      <c r="J860" s="24"/>
      <c r="K860" s="24" t="s">
        <v>63</v>
      </c>
      <c r="L860" s="24" t="s">
        <v>64</v>
      </c>
      <c r="M860" s="24">
        <v>1</v>
      </c>
      <c r="N860" s="41">
        <f t="shared" si="307"/>
        <v>11412500</v>
      </c>
      <c r="O860" s="41">
        <v>11412500</v>
      </c>
      <c r="P860" s="24"/>
      <c r="Q860" s="24"/>
      <c r="R860" s="24"/>
      <c r="S860" s="41">
        <f t="shared" si="304"/>
        <v>11412500</v>
      </c>
      <c r="T860" s="24">
        <v>5</v>
      </c>
      <c r="U860" s="41"/>
      <c r="V860" s="24">
        <v>0.5</v>
      </c>
      <c r="W860" s="41">
        <f t="shared" si="308"/>
        <v>0</v>
      </c>
      <c r="X860" s="24"/>
      <c r="Y860" s="41">
        <f t="shared" si="309"/>
        <v>0</v>
      </c>
      <c r="Z860" s="41">
        <f t="shared" si="310"/>
        <v>0</v>
      </c>
      <c r="AA860" s="24">
        <v>5</v>
      </c>
      <c r="AB860" s="41">
        <v>11412500</v>
      </c>
      <c r="AC860" s="41">
        <f t="shared" si="305"/>
        <v>0</v>
      </c>
      <c r="AD860" s="70" t="s">
        <v>320</v>
      </c>
      <c r="AE860" s="24"/>
      <c r="AF860" s="1">
        <v>11412500</v>
      </c>
      <c r="AG860" s="5">
        <f t="shared" si="306"/>
        <v>0</v>
      </c>
      <c r="AH860" s="5"/>
    </row>
    <row r="861" spans="1:34" s="1" customFormat="1" x14ac:dyDescent="0.25">
      <c r="A861" s="49">
        <v>13</v>
      </c>
      <c r="B861" s="22" t="s">
        <v>1751</v>
      </c>
      <c r="C861" s="22" t="s">
        <v>159</v>
      </c>
      <c r="D861" s="51" t="s">
        <v>1182</v>
      </c>
      <c r="E861" s="24" t="s">
        <v>1185</v>
      </c>
      <c r="F861" s="24"/>
      <c r="G861" s="24" t="s">
        <v>194</v>
      </c>
      <c r="H861" s="24" t="s">
        <v>62</v>
      </c>
      <c r="I861" s="24">
        <v>2014</v>
      </c>
      <c r="J861" s="24"/>
      <c r="K861" s="24" t="s">
        <v>63</v>
      </c>
      <c r="L861" s="24" t="s">
        <v>64</v>
      </c>
      <c r="M861" s="24">
        <v>1</v>
      </c>
      <c r="N861" s="41">
        <f t="shared" si="307"/>
        <v>11412500</v>
      </c>
      <c r="O861" s="41">
        <v>11412500</v>
      </c>
      <c r="P861" s="24"/>
      <c r="Q861" s="24"/>
      <c r="R861" s="24"/>
      <c r="S861" s="41">
        <f t="shared" si="304"/>
        <v>11412500</v>
      </c>
      <c r="T861" s="24">
        <v>5</v>
      </c>
      <c r="U861" s="41"/>
      <c r="V861" s="24">
        <v>0.5</v>
      </c>
      <c r="W861" s="41">
        <f t="shared" si="308"/>
        <v>0</v>
      </c>
      <c r="X861" s="24"/>
      <c r="Y861" s="41">
        <f t="shared" si="309"/>
        <v>0</v>
      </c>
      <c r="Z861" s="41">
        <f t="shared" si="310"/>
        <v>0</v>
      </c>
      <c r="AA861" s="24">
        <v>5</v>
      </c>
      <c r="AB861" s="41">
        <v>11412500</v>
      </c>
      <c r="AC861" s="41">
        <f t="shared" si="305"/>
        <v>0</v>
      </c>
      <c r="AD861" s="70" t="s">
        <v>331</v>
      </c>
      <c r="AE861" s="24"/>
      <c r="AF861" s="1">
        <v>11412500</v>
      </c>
      <c r="AG861" s="5">
        <f t="shared" si="306"/>
        <v>0</v>
      </c>
      <c r="AH861" s="5"/>
    </row>
    <row r="862" spans="1:34" s="1" customFormat="1" x14ac:dyDescent="0.25">
      <c r="A862" s="49">
        <v>14</v>
      </c>
      <c r="B862" s="22" t="s">
        <v>1751</v>
      </c>
      <c r="C862" s="22" t="s">
        <v>1186</v>
      </c>
      <c r="D862" s="51" t="s">
        <v>1182</v>
      </c>
      <c r="E862" s="24" t="s">
        <v>1185</v>
      </c>
      <c r="F862" s="24"/>
      <c r="G862" s="24" t="s">
        <v>194</v>
      </c>
      <c r="H862" s="24" t="s">
        <v>62</v>
      </c>
      <c r="I862" s="24">
        <v>2014</v>
      </c>
      <c r="J862" s="24"/>
      <c r="K862" s="24" t="s">
        <v>63</v>
      </c>
      <c r="L862" s="24" t="s">
        <v>64</v>
      </c>
      <c r="M862" s="24">
        <v>2</v>
      </c>
      <c r="N862" s="41">
        <f t="shared" si="307"/>
        <v>11412500</v>
      </c>
      <c r="O862" s="41">
        <v>22825000</v>
      </c>
      <c r="P862" s="24"/>
      <c r="Q862" s="24"/>
      <c r="R862" s="24"/>
      <c r="S862" s="41">
        <f t="shared" si="304"/>
        <v>22825000</v>
      </c>
      <c r="T862" s="24">
        <v>5</v>
      </c>
      <c r="U862" s="41"/>
      <c r="V862" s="24">
        <v>0.5</v>
      </c>
      <c r="W862" s="41">
        <f t="shared" si="308"/>
        <v>0</v>
      </c>
      <c r="X862" s="24"/>
      <c r="Y862" s="41">
        <f t="shared" si="309"/>
        <v>0</v>
      </c>
      <c r="Z862" s="41">
        <f t="shared" si="310"/>
        <v>0</v>
      </c>
      <c r="AA862" s="24">
        <v>5</v>
      </c>
      <c r="AB862" s="41">
        <v>22825000</v>
      </c>
      <c r="AC862" s="41">
        <f t="shared" si="305"/>
        <v>0</v>
      </c>
      <c r="AD862" s="70" t="s">
        <v>328</v>
      </c>
      <c r="AE862" s="24"/>
      <c r="AF862" s="1">
        <v>22825000</v>
      </c>
      <c r="AG862" s="5">
        <f t="shared" si="306"/>
        <v>0</v>
      </c>
      <c r="AH862" s="5"/>
    </row>
    <row r="863" spans="1:34" s="1" customFormat="1" x14ac:dyDescent="0.25">
      <c r="A863" s="49">
        <v>15</v>
      </c>
      <c r="B863" s="22" t="s">
        <v>1751</v>
      </c>
      <c r="C863" s="22" t="s">
        <v>313</v>
      </c>
      <c r="D863" s="51" t="s">
        <v>1182</v>
      </c>
      <c r="E863" s="24" t="s">
        <v>1185</v>
      </c>
      <c r="F863" s="24"/>
      <c r="G863" s="24" t="s">
        <v>194</v>
      </c>
      <c r="H863" s="24" t="s">
        <v>62</v>
      </c>
      <c r="I863" s="24">
        <v>2014</v>
      </c>
      <c r="J863" s="24"/>
      <c r="K863" s="24" t="s">
        <v>63</v>
      </c>
      <c r="L863" s="24" t="s">
        <v>64</v>
      </c>
      <c r="M863" s="24">
        <v>1</v>
      </c>
      <c r="N863" s="41">
        <f t="shared" si="307"/>
        <v>11412500</v>
      </c>
      <c r="O863" s="41">
        <v>11412500</v>
      </c>
      <c r="P863" s="24"/>
      <c r="Q863" s="24"/>
      <c r="R863" s="24"/>
      <c r="S863" s="41">
        <f t="shared" si="304"/>
        <v>11412500</v>
      </c>
      <c r="T863" s="24">
        <v>5</v>
      </c>
      <c r="U863" s="41"/>
      <c r="V863" s="24">
        <v>0.5</v>
      </c>
      <c r="W863" s="41">
        <f t="shared" si="308"/>
        <v>0</v>
      </c>
      <c r="X863" s="24"/>
      <c r="Y863" s="41">
        <f t="shared" si="309"/>
        <v>0</v>
      </c>
      <c r="Z863" s="41">
        <f t="shared" si="310"/>
        <v>0</v>
      </c>
      <c r="AA863" s="24">
        <v>5</v>
      </c>
      <c r="AB863" s="41">
        <v>11412500</v>
      </c>
      <c r="AC863" s="41">
        <f t="shared" si="305"/>
        <v>0</v>
      </c>
      <c r="AD863" s="70" t="s">
        <v>208</v>
      </c>
      <c r="AE863" s="24"/>
      <c r="AF863" s="1">
        <v>11412500</v>
      </c>
      <c r="AG863" s="5">
        <f t="shared" si="306"/>
        <v>0</v>
      </c>
      <c r="AH863" s="5"/>
    </row>
    <row r="864" spans="1:34" s="1" customFormat="1" x14ac:dyDescent="0.25">
      <c r="A864" s="49">
        <v>16</v>
      </c>
      <c r="B864" s="22" t="s">
        <v>1751</v>
      </c>
      <c r="C864" s="22" t="s">
        <v>559</v>
      </c>
      <c r="D864" s="51" t="s">
        <v>1182</v>
      </c>
      <c r="E864" s="24" t="s">
        <v>1187</v>
      </c>
      <c r="F864" s="24"/>
      <c r="G864" s="24" t="s">
        <v>194</v>
      </c>
      <c r="H864" s="24" t="s">
        <v>62</v>
      </c>
      <c r="I864" s="24">
        <v>2015</v>
      </c>
      <c r="J864" s="24"/>
      <c r="K864" s="24" t="s">
        <v>63</v>
      </c>
      <c r="L864" s="24" t="s">
        <v>64</v>
      </c>
      <c r="M864" s="24">
        <v>1</v>
      </c>
      <c r="N864" s="41">
        <f t="shared" si="307"/>
        <v>13970000</v>
      </c>
      <c r="O864" s="41">
        <v>13970000</v>
      </c>
      <c r="P864" s="24"/>
      <c r="Q864" s="24"/>
      <c r="R864" s="24"/>
      <c r="S864" s="41">
        <f t="shared" si="304"/>
        <v>13970000</v>
      </c>
      <c r="T864" s="24">
        <v>5</v>
      </c>
      <c r="U864" s="41"/>
      <c r="V864" s="24">
        <v>0.5</v>
      </c>
      <c r="W864" s="41"/>
      <c r="X864" s="24"/>
      <c r="Y864" s="41">
        <f>SUM(U864*X864)</f>
        <v>0</v>
      </c>
      <c r="Z864" s="41"/>
      <c r="AA864" s="24">
        <v>5</v>
      </c>
      <c r="AB864" s="41">
        <v>13970000</v>
      </c>
      <c r="AC864" s="41">
        <f t="shared" si="305"/>
        <v>0</v>
      </c>
      <c r="AD864" s="70">
        <v>0</v>
      </c>
      <c r="AE864" s="24"/>
      <c r="AF864" s="1">
        <v>13970000</v>
      </c>
      <c r="AG864" s="5">
        <f t="shared" si="306"/>
        <v>0</v>
      </c>
      <c r="AH864" s="5"/>
    </row>
    <row r="865" spans="1:34" s="1" customFormat="1" x14ac:dyDescent="0.25">
      <c r="A865" s="49">
        <v>17</v>
      </c>
      <c r="B865" s="22" t="s">
        <v>1751</v>
      </c>
      <c r="C865" s="22" t="s">
        <v>561</v>
      </c>
      <c r="D865" s="51" t="s">
        <v>1182</v>
      </c>
      <c r="E865" s="24" t="s">
        <v>1187</v>
      </c>
      <c r="F865" s="24"/>
      <c r="G865" s="24" t="s">
        <v>194</v>
      </c>
      <c r="H865" s="24" t="s">
        <v>62</v>
      </c>
      <c r="I865" s="24">
        <v>2015</v>
      </c>
      <c r="J865" s="24"/>
      <c r="K865" s="24" t="s">
        <v>63</v>
      </c>
      <c r="L865" s="24" t="s">
        <v>64</v>
      </c>
      <c r="M865" s="24">
        <v>1</v>
      </c>
      <c r="N865" s="41">
        <f t="shared" si="307"/>
        <v>13970000</v>
      </c>
      <c r="O865" s="41">
        <v>13970000</v>
      </c>
      <c r="P865" s="24"/>
      <c r="Q865" s="24"/>
      <c r="R865" s="24"/>
      <c r="S865" s="41">
        <f t="shared" si="304"/>
        <v>13970000</v>
      </c>
      <c r="T865" s="24">
        <v>5</v>
      </c>
      <c r="U865" s="41"/>
      <c r="V865" s="24">
        <v>0.5</v>
      </c>
      <c r="W865" s="41"/>
      <c r="X865" s="24"/>
      <c r="Y865" s="41">
        <f t="shared" ref="Y865:Y868" si="311">SUM(U865*X865)</f>
        <v>0</v>
      </c>
      <c r="Z865" s="41"/>
      <c r="AA865" s="24">
        <v>5</v>
      </c>
      <c r="AB865" s="41">
        <v>13970000</v>
      </c>
      <c r="AC865" s="41">
        <f t="shared" si="305"/>
        <v>0</v>
      </c>
      <c r="AD865" s="70" t="s">
        <v>267</v>
      </c>
      <c r="AE865" s="24"/>
      <c r="AF865" s="1">
        <v>13970000</v>
      </c>
      <c r="AG865" s="5">
        <f t="shared" si="306"/>
        <v>0</v>
      </c>
      <c r="AH865" s="5"/>
    </row>
    <row r="866" spans="1:34" s="1" customFormat="1" x14ac:dyDescent="0.25">
      <c r="A866" s="49">
        <v>18</v>
      </c>
      <c r="B866" s="22" t="s">
        <v>1751</v>
      </c>
      <c r="C866" s="22" t="s">
        <v>563</v>
      </c>
      <c r="D866" s="51" t="s">
        <v>1182</v>
      </c>
      <c r="E866" s="24" t="s">
        <v>1187</v>
      </c>
      <c r="F866" s="24"/>
      <c r="G866" s="24" t="s">
        <v>194</v>
      </c>
      <c r="H866" s="24" t="s">
        <v>62</v>
      </c>
      <c r="I866" s="24">
        <v>2015</v>
      </c>
      <c r="J866" s="24"/>
      <c r="K866" s="24" t="s">
        <v>63</v>
      </c>
      <c r="L866" s="24" t="s">
        <v>64</v>
      </c>
      <c r="M866" s="24">
        <v>1</v>
      </c>
      <c r="N866" s="41">
        <f t="shared" si="307"/>
        <v>13970000</v>
      </c>
      <c r="O866" s="41">
        <v>13970000</v>
      </c>
      <c r="P866" s="24"/>
      <c r="Q866" s="24"/>
      <c r="R866" s="24"/>
      <c r="S866" s="41">
        <f t="shared" si="304"/>
        <v>13970000</v>
      </c>
      <c r="T866" s="24">
        <v>5</v>
      </c>
      <c r="U866" s="41"/>
      <c r="V866" s="24">
        <v>0.5</v>
      </c>
      <c r="W866" s="41"/>
      <c r="X866" s="24"/>
      <c r="Y866" s="41">
        <f t="shared" si="311"/>
        <v>0</v>
      </c>
      <c r="Z866" s="41"/>
      <c r="AA866" s="24">
        <v>5</v>
      </c>
      <c r="AB866" s="41">
        <v>13970000</v>
      </c>
      <c r="AC866" s="41">
        <f t="shared" si="305"/>
        <v>0</v>
      </c>
      <c r="AD866" s="70">
        <v>0</v>
      </c>
      <c r="AE866" s="24"/>
      <c r="AF866" s="1">
        <v>13970000</v>
      </c>
      <c r="AG866" s="5">
        <f t="shared" si="306"/>
        <v>0</v>
      </c>
      <c r="AH866" s="5"/>
    </row>
    <row r="867" spans="1:34" s="1" customFormat="1" x14ac:dyDescent="0.25">
      <c r="A867" s="49">
        <v>19</v>
      </c>
      <c r="B867" s="22" t="s">
        <v>1751</v>
      </c>
      <c r="C867" s="22" t="s">
        <v>227</v>
      </c>
      <c r="D867" s="51" t="s">
        <v>1182</v>
      </c>
      <c r="E867" s="24" t="s">
        <v>1187</v>
      </c>
      <c r="F867" s="24"/>
      <c r="G867" s="24" t="s">
        <v>194</v>
      </c>
      <c r="H867" s="24" t="s">
        <v>62</v>
      </c>
      <c r="I867" s="24">
        <v>2015</v>
      </c>
      <c r="J867" s="24"/>
      <c r="K867" s="24" t="s">
        <v>63</v>
      </c>
      <c r="L867" s="24" t="s">
        <v>64</v>
      </c>
      <c r="M867" s="24">
        <v>1</v>
      </c>
      <c r="N867" s="41">
        <f t="shared" si="307"/>
        <v>13970000</v>
      </c>
      <c r="O867" s="41">
        <v>13970000</v>
      </c>
      <c r="P867" s="24"/>
      <c r="Q867" s="24"/>
      <c r="R867" s="24"/>
      <c r="S867" s="41">
        <f t="shared" si="304"/>
        <v>13970000</v>
      </c>
      <c r="T867" s="24">
        <v>5</v>
      </c>
      <c r="U867" s="41"/>
      <c r="V867" s="24">
        <v>0.5</v>
      </c>
      <c r="W867" s="41"/>
      <c r="X867" s="24"/>
      <c r="Y867" s="41">
        <f t="shared" si="311"/>
        <v>0</v>
      </c>
      <c r="Z867" s="41"/>
      <c r="AA867" s="24">
        <v>5</v>
      </c>
      <c r="AB867" s="41">
        <v>13970000</v>
      </c>
      <c r="AC867" s="41">
        <f t="shared" si="305"/>
        <v>0</v>
      </c>
      <c r="AD867" s="70" t="s">
        <v>87</v>
      </c>
      <c r="AE867" s="24"/>
      <c r="AF867" s="1">
        <v>13970000</v>
      </c>
      <c r="AG867" s="5">
        <f t="shared" si="306"/>
        <v>0</v>
      </c>
      <c r="AH867" s="5"/>
    </row>
    <row r="868" spans="1:34" s="1" customFormat="1" x14ac:dyDescent="0.25">
      <c r="A868" s="49">
        <v>20</v>
      </c>
      <c r="B868" s="22" t="s">
        <v>1751</v>
      </c>
      <c r="C868" s="22" t="s">
        <v>230</v>
      </c>
      <c r="D868" s="51" t="s">
        <v>1182</v>
      </c>
      <c r="E868" s="24" t="s">
        <v>1188</v>
      </c>
      <c r="F868" s="24"/>
      <c r="G868" s="24" t="s">
        <v>194</v>
      </c>
      <c r="H868" s="24" t="s">
        <v>62</v>
      </c>
      <c r="I868" s="24">
        <v>2015</v>
      </c>
      <c r="J868" s="24"/>
      <c r="K868" s="24" t="s">
        <v>63</v>
      </c>
      <c r="L868" s="24" t="s">
        <v>64</v>
      </c>
      <c r="M868" s="24">
        <v>1</v>
      </c>
      <c r="N868" s="41">
        <f t="shared" si="307"/>
        <v>13970000</v>
      </c>
      <c r="O868" s="41">
        <v>13970000</v>
      </c>
      <c r="P868" s="24"/>
      <c r="Q868" s="24"/>
      <c r="R868" s="24"/>
      <c r="S868" s="41">
        <f t="shared" si="304"/>
        <v>13970000</v>
      </c>
      <c r="T868" s="24">
        <v>5</v>
      </c>
      <c r="U868" s="41"/>
      <c r="V868" s="24">
        <v>0.5</v>
      </c>
      <c r="W868" s="41"/>
      <c r="X868" s="24"/>
      <c r="Y868" s="41">
        <f t="shared" si="311"/>
        <v>0</v>
      </c>
      <c r="Z868" s="41"/>
      <c r="AA868" s="24">
        <v>5</v>
      </c>
      <c r="AB868" s="41">
        <v>13970000</v>
      </c>
      <c r="AC868" s="41">
        <f t="shared" si="305"/>
        <v>0</v>
      </c>
      <c r="AD868" s="70" t="s">
        <v>87</v>
      </c>
      <c r="AE868" s="24"/>
      <c r="AF868" s="1">
        <v>13970000</v>
      </c>
      <c r="AG868" s="5">
        <f t="shared" si="306"/>
        <v>0</v>
      </c>
      <c r="AH868" s="5"/>
    </row>
    <row r="869" spans="1:34" s="1" customFormat="1" x14ac:dyDescent="0.25">
      <c r="A869" s="49">
        <v>21</v>
      </c>
      <c r="B869" s="22" t="s">
        <v>1751</v>
      </c>
      <c r="C869" s="22" t="s">
        <v>232</v>
      </c>
      <c r="D869" s="51" t="s">
        <v>1182</v>
      </c>
      <c r="E869" s="24" t="s">
        <v>1189</v>
      </c>
      <c r="F869" s="24"/>
      <c r="G869" s="24" t="s">
        <v>194</v>
      </c>
      <c r="H869" s="24" t="s">
        <v>62</v>
      </c>
      <c r="I869" s="24">
        <v>2016</v>
      </c>
      <c r="J869" s="24"/>
      <c r="K869" s="24" t="s">
        <v>63</v>
      </c>
      <c r="L869" s="24" t="s">
        <v>64</v>
      </c>
      <c r="M869" s="24">
        <v>1</v>
      </c>
      <c r="N869" s="41">
        <f t="shared" si="307"/>
        <v>13985000</v>
      </c>
      <c r="O869" s="41">
        <v>13985000</v>
      </c>
      <c r="P869" s="24"/>
      <c r="Q869" s="24"/>
      <c r="R869" s="24"/>
      <c r="S869" s="41">
        <f t="shared" si="304"/>
        <v>13985000</v>
      </c>
      <c r="T869" s="24">
        <v>5</v>
      </c>
      <c r="U869" s="41"/>
      <c r="V869" s="24">
        <v>0.5</v>
      </c>
      <c r="W869" s="41"/>
      <c r="X869" s="24"/>
      <c r="Y869" s="41">
        <f t="shared" si="309"/>
        <v>0</v>
      </c>
      <c r="Z869" s="41">
        <f t="shared" si="310"/>
        <v>0</v>
      </c>
      <c r="AA869" s="24">
        <v>5</v>
      </c>
      <c r="AB869" s="41">
        <v>13985000</v>
      </c>
      <c r="AC869" s="41">
        <f t="shared" si="305"/>
        <v>0</v>
      </c>
      <c r="AD869" s="70" t="s">
        <v>103</v>
      </c>
      <c r="AE869" s="24"/>
      <c r="AF869" s="1">
        <v>13985000</v>
      </c>
      <c r="AG869" s="5">
        <f t="shared" si="306"/>
        <v>0</v>
      </c>
      <c r="AH869" s="5"/>
    </row>
    <row r="870" spans="1:34" s="1" customFormat="1" x14ac:dyDescent="0.25">
      <c r="A870" s="49">
        <v>22</v>
      </c>
      <c r="B870" s="22" t="s">
        <v>1751</v>
      </c>
      <c r="C870" s="22" t="s">
        <v>234</v>
      </c>
      <c r="D870" s="51" t="s">
        <v>1182</v>
      </c>
      <c r="E870" s="24" t="s">
        <v>1189</v>
      </c>
      <c r="F870" s="24"/>
      <c r="G870" s="24" t="s">
        <v>194</v>
      </c>
      <c r="H870" s="24" t="s">
        <v>62</v>
      </c>
      <c r="I870" s="24">
        <v>2016</v>
      </c>
      <c r="J870" s="24"/>
      <c r="K870" s="24" t="s">
        <v>63</v>
      </c>
      <c r="L870" s="24" t="s">
        <v>64</v>
      </c>
      <c r="M870" s="24">
        <v>1</v>
      </c>
      <c r="N870" s="41">
        <f t="shared" si="307"/>
        <v>13985000</v>
      </c>
      <c r="O870" s="41">
        <v>13985000</v>
      </c>
      <c r="P870" s="24"/>
      <c r="Q870" s="24"/>
      <c r="R870" s="24"/>
      <c r="S870" s="41">
        <f t="shared" si="304"/>
        <v>13985000</v>
      </c>
      <c r="T870" s="24">
        <v>5</v>
      </c>
      <c r="U870" s="41"/>
      <c r="V870" s="24">
        <v>0.5</v>
      </c>
      <c r="W870" s="41"/>
      <c r="X870" s="24"/>
      <c r="Y870" s="41">
        <f t="shared" si="309"/>
        <v>0</v>
      </c>
      <c r="Z870" s="41">
        <f t="shared" si="310"/>
        <v>0</v>
      </c>
      <c r="AA870" s="24">
        <v>5</v>
      </c>
      <c r="AB870" s="41">
        <v>13985000</v>
      </c>
      <c r="AC870" s="41">
        <f t="shared" si="305"/>
        <v>0</v>
      </c>
      <c r="AD870" s="70" t="s">
        <v>1190</v>
      </c>
      <c r="AE870" s="24"/>
      <c r="AF870" s="1">
        <v>13985000</v>
      </c>
      <c r="AG870" s="5">
        <f t="shared" si="306"/>
        <v>0</v>
      </c>
      <c r="AH870" s="5"/>
    </row>
    <row r="871" spans="1:34" s="1" customFormat="1" x14ac:dyDescent="0.25">
      <c r="A871" s="49">
        <v>23</v>
      </c>
      <c r="B871" s="22" t="s">
        <v>1751</v>
      </c>
      <c r="C871" s="22" t="s">
        <v>236</v>
      </c>
      <c r="D871" s="51" t="s">
        <v>1182</v>
      </c>
      <c r="E871" s="24" t="s">
        <v>1189</v>
      </c>
      <c r="F871" s="24"/>
      <c r="G871" s="24" t="s">
        <v>194</v>
      </c>
      <c r="H871" s="24" t="s">
        <v>62</v>
      </c>
      <c r="I871" s="24">
        <v>2016</v>
      </c>
      <c r="J871" s="24"/>
      <c r="K871" s="24" t="s">
        <v>63</v>
      </c>
      <c r="L871" s="24" t="s">
        <v>64</v>
      </c>
      <c r="M871" s="24">
        <v>1</v>
      </c>
      <c r="N871" s="41">
        <f t="shared" si="307"/>
        <v>13985000</v>
      </c>
      <c r="O871" s="41">
        <v>13985000</v>
      </c>
      <c r="P871" s="24"/>
      <c r="Q871" s="24"/>
      <c r="R871" s="24"/>
      <c r="S871" s="41">
        <f t="shared" si="304"/>
        <v>13985000</v>
      </c>
      <c r="T871" s="24">
        <v>5</v>
      </c>
      <c r="U871" s="41"/>
      <c r="V871" s="24">
        <v>0.5</v>
      </c>
      <c r="W871" s="41"/>
      <c r="X871" s="24"/>
      <c r="Y871" s="41">
        <f t="shared" si="309"/>
        <v>0</v>
      </c>
      <c r="Z871" s="41">
        <f t="shared" si="310"/>
        <v>0</v>
      </c>
      <c r="AA871" s="24">
        <v>5</v>
      </c>
      <c r="AB871" s="41">
        <v>13985000</v>
      </c>
      <c r="AC871" s="41">
        <f t="shared" si="305"/>
        <v>0</v>
      </c>
      <c r="AD871" s="70" t="s">
        <v>1191</v>
      </c>
      <c r="AE871" s="24"/>
      <c r="AF871" s="1">
        <v>13985000</v>
      </c>
      <c r="AG871" s="5">
        <f t="shared" si="306"/>
        <v>0</v>
      </c>
      <c r="AH871" s="5"/>
    </row>
    <row r="872" spans="1:34" s="1" customFormat="1" x14ac:dyDescent="0.25">
      <c r="A872" s="49">
        <v>24</v>
      </c>
      <c r="B872" s="22" t="s">
        <v>1751</v>
      </c>
      <c r="C872" s="22" t="s">
        <v>238</v>
      </c>
      <c r="D872" s="51" t="s">
        <v>1182</v>
      </c>
      <c r="E872" s="24" t="s">
        <v>1187</v>
      </c>
      <c r="F872" s="24"/>
      <c r="G872" s="24" t="s">
        <v>194</v>
      </c>
      <c r="H872" s="24" t="s">
        <v>62</v>
      </c>
      <c r="I872" s="24">
        <v>2017</v>
      </c>
      <c r="J872" s="24"/>
      <c r="K872" s="24" t="s">
        <v>63</v>
      </c>
      <c r="L872" s="24" t="s">
        <v>64</v>
      </c>
      <c r="M872" s="24">
        <v>1</v>
      </c>
      <c r="N872" s="41">
        <f t="shared" si="307"/>
        <v>12996500</v>
      </c>
      <c r="O872" s="41">
        <v>12996500</v>
      </c>
      <c r="P872" s="24"/>
      <c r="Q872" s="24"/>
      <c r="R872" s="24"/>
      <c r="S872" s="41">
        <f t="shared" si="304"/>
        <v>12996500</v>
      </c>
      <c r="T872" s="24">
        <v>5</v>
      </c>
      <c r="U872" s="41"/>
      <c r="V872" s="24"/>
      <c r="W872" s="41"/>
      <c r="X872" s="24"/>
      <c r="Y872" s="41">
        <f t="shared" si="309"/>
        <v>0</v>
      </c>
      <c r="Z872" s="41">
        <f t="shared" si="310"/>
        <v>0</v>
      </c>
      <c r="AA872" s="72">
        <v>5</v>
      </c>
      <c r="AB872" s="41">
        <v>12996500</v>
      </c>
      <c r="AC872" s="41">
        <f t="shared" si="305"/>
        <v>0</v>
      </c>
      <c r="AD872" s="70" t="s">
        <v>1192</v>
      </c>
      <c r="AE872" s="24"/>
      <c r="AF872" s="1">
        <v>12996500</v>
      </c>
      <c r="AG872" s="5">
        <f t="shared" si="306"/>
        <v>0</v>
      </c>
      <c r="AH872" s="5"/>
    </row>
    <row r="873" spans="1:34" s="1" customFormat="1" x14ac:dyDescent="0.25">
      <c r="A873" s="49">
        <v>25</v>
      </c>
      <c r="B873" s="22" t="s">
        <v>1751</v>
      </c>
      <c r="C873" s="22" t="s">
        <v>240</v>
      </c>
      <c r="D873" s="51" t="s">
        <v>1182</v>
      </c>
      <c r="E873" s="24" t="s">
        <v>1187</v>
      </c>
      <c r="F873" s="24"/>
      <c r="G873" s="24" t="s">
        <v>194</v>
      </c>
      <c r="H873" s="24" t="s">
        <v>62</v>
      </c>
      <c r="I873" s="24">
        <v>2017</v>
      </c>
      <c r="J873" s="24"/>
      <c r="K873" s="24" t="s">
        <v>63</v>
      </c>
      <c r="L873" s="24" t="s">
        <v>64</v>
      </c>
      <c r="M873" s="24">
        <v>1</v>
      </c>
      <c r="N873" s="41">
        <f t="shared" si="307"/>
        <v>12996500</v>
      </c>
      <c r="O873" s="41">
        <v>12996500</v>
      </c>
      <c r="P873" s="24"/>
      <c r="Q873" s="24"/>
      <c r="R873" s="24"/>
      <c r="S873" s="41">
        <f t="shared" si="304"/>
        <v>12996500</v>
      </c>
      <c r="T873" s="24">
        <v>5</v>
      </c>
      <c r="U873" s="41"/>
      <c r="V873" s="24"/>
      <c r="W873" s="41"/>
      <c r="X873" s="24"/>
      <c r="Y873" s="41">
        <f t="shared" si="309"/>
        <v>0</v>
      </c>
      <c r="Z873" s="41">
        <f t="shared" si="310"/>
        <v>0</v>
      </c>
      <c r="AA873" s="72">
        <v>5</v>
      </c>
      <c r="AB873" s="41">
        <v>12996500</v>
      </c>
      <c r="AC873" s="41">
        <f t="shared" si="305"/>
        <v>0</v>
      </c>
      <c r="AD873" s="70" t="s">
        <v>1193</v>
      </c>
      <c r="AE873" s="24"/>
      <c r="AF873" s="1">
        <v>12996500</v>
      </c>
      <c r="AG873" s="5">
        <f t="shared" si="306"/>
        <v>0</v>
      </c>
      <c r="AH873" s="5"/>
    </row>
    <row r="874" spans="1:34" s="1" customFormat="1" x14ac:dyDescent="0.25">
      <c r="A874" s="49">
        <v>26</v>
      </c>
      <c r="B874" s="22" t="s">
        <v>1751</v>
      </c>
      <c r="C874" s="22" t="s">
        <v>242</v>
      </c>
      <c r="D874" s="51" t="s">
        <v>1182</v>
      </c>
      <c r="E874" s="24" t="s">
        <v>1187</v>
      </c>
      <c r="F874" s="24"/>
      <c r="G874" s="24" t="s">
        <v>194</v>
      </c>
      <c r="H874" s="24" t="s">
        <v>62</v>
      </c>
      <c r="I874" s="24">
        <v>2017</v>
      </c>
      <c r="J874" s="24"/>
      <c r="K874" s="24" t="s">
        <v>63</v>
      </c>
      <c r="L874" s="24" t="s">
        <v>64</v>
      </c>
      <c r="M874" s="24">
        <v>1</v>
      </c>
      <c r="N874" s="41">
        <f t="shared" si="307"/>
        <v>12996500</v>
      </c>
      <c r="O874" s="41">
        <v>12996500</v>
      </c>
      <c r="P874" s="24"/>
      <c r="Q874" s="24"/>
      <c r="R874" s="24"/>
      <c r="S874" s="41">
        <f t="shared" si="304"/>
        <v>12996500</v>
      </c>
      <c r="T874" s="24">
        <v>5</v>
      </c>
      <c r="U874" s="41"/>
      <c r="V874" s="24"/>
      <c r="W874" s="41"/>
      <c r="X874" s="24"/>
      <c r="Y874" s="41">
        <f t="shared" si="309"/>
        <v>0</v>
      </c>
      <c r="Z874" s="41">
        <f t="shared" si="310"/>
        <v>0</v>
      </c>
      <c r="AA874" s="72">
        <v>5</v>
      </c>
      <c r="AB874" s="41">
        <v>12996500</v>
      </c>
      <c r="AC874" s="41">
        <f t="shared" si="305"/>
        <v>0</v>
      </c>
      <c r="AD874" s="70" t="s">
        <v>1194</v>
      </c>
      <c r="AE874" s="24"/>
      <c r="AF874" s="1">
        <v>12996500</v>
      </c>
      <c r="AG874" s="5">
        <f t="shared" si="306"/>
        <v>0</v>
      </c>
      <c r="AH874" s="5"/>
    </row>
    <row r="875" spans="1:34" s="1" customFormat="1" x14ac:dyDescent="0.25">
      <c r="A875" s="49">
        <v>27</v>
      </c>
      <c r="B875" s="22" t="s">
        <v>1751</v>
      </c>
      <c r="C875" s="22" t="s">
        <v>244</v>
      </c>
      <c r="D875" s="51" t="s">
        <v>1182</v>
      </c>
      <c r="E875" s="24" t="s">
        <v>1187</v>
      </c>
      <c r="F875" s="24"/>
      <c r="G875" s="24" t="s">
        <v>194</v>
      </c>
      <c r="H875" s="24" t="s">
        <v>62</v>
      </c>
      <c r="I875" s="24">
        <v>2017</v>
      </c>
      <c r="J875" s="24"/>
      <c r="K875" s="24" t="s">
        <v>63</v>
      </c>
      <c r="L875" s="24" t="s">
        <v>64</v>
      </c>
      <c r="M875" s="24">
        <v>1</v>
      </c>
      <c r="N875" s="41">
        <f t="shared" si="307"/>
        <v>12996500</v>
      </c>
      <c r="O875" s="41">
        <v>12996500</v>
      </c>
      <c r="P875" s="24"/>
      <c r="Q875" s="24"/>
      <c r="R875" s="24"/>
      <c r="S875" s="41">
        <f t="shared" si="304"/>
        <v>12996500</v>
      </c>
      <c r="T875" s="24">
        <v>5</v>
      </c>
      <c r="U875" s="41"/>
      <c r="V875" s="24"/>
      <c r="W875" s="41"/>
      <c r="X875" s="24"/>
      <c r="Y875" s="41">
        <f t="shared" si="309"/>
        <v>0</v>
      </c>
      <c r="Z875" s="41">
        <f t="shared" si="310"/>
        <v>0</v>
      </c>
      <c r="AA875" s="72">
        <v>5</v>
      </c>
      <c r="AB875" s="41">
        <v>12996500</v>
      </c>
      <c r="AC875" s="41">
        <f t="shared" si="305"/>
        <v>0</v>
      </c>
      <c r="AD875" s="70">
        <v>0</v>
      </c>
      <c r="AE875" s="24"/>
      <c r="AF875" s="1">
        <v>12996500</v>
      </c>
      <c r="AG875" s="5">
        <f t="shared" si="306"/>
        <v>0</v>
      </c>
      <c r="AH875" s="5"/>
    </row>
    <row r="876" spans="1:34" s="1" customFormat="1" x14ac:dyDescent="0.25">
      <c r="A876" s="49">
        <v>28</v>
      </c>
      <c r="B876" s="22" t="s">
        <v>1751</v>
      </c>
      <c r="C876" s="22" t="s">
        <v>246</v>
      </c>
      <c r="D876" s="51" t="s">
        <v>1182</v>
      </c>
      <c r="E876" s="24" t="s">
        <v>1187</v>
      </c>
      <c r="F876" s="24"/>
      <c r="G876" s="24" t="s">
        <v>194</v>
      </c>
      <c r="H876" s="24" t="s">
        <v>62</v>
      </c>
      <c r="I876" s="24">
        <v>2017</v>
      </c>
      <c r="J876" s="24"/>
      <c r="K876" s="24" t="s">
        <v>63</v>
      </c>
      <c r="L876" s="24" t="s">
        <v>64</v>
      </c>
      <c r="M876" s="24">
        <v>1</v>
      </c>
      <c r="N876" s="41">
        <f t="shared" si="307"/>
        <v>12996500</v>
      </c>
      <c r="O876" s="41">
        <v>12996500</v>
      </c>
      <c r="P876" s="24"/>
      <c r="Q876" s="24"/>
      <c r="R876" s="24"/>
      <c r="S876" s="41">
        <f t="shared" si="304"/>
        <v>12996500</v>
      </c>
      <c r="T876" s="24">
        <v>5</v>
      </c>
      <c r="U876" s="41"/>
      <c r="V876" s="24"/>
      <c r="W876" s="41"/>
      <c r="X876" s="24"/>
      <c r="Y876" s="41">
        <f t="shared" si="309"/>
        <v>0</v>
      </c>
      <c r="Z876" s="41">
        <f t="shared" si="310"/>
        <v>0</v>
      </c>
      <c r="AA876" s="72">
        <v>5</v>
      </c>
      <c r="AB876" s="41">
        <v>12996500</v>
      </c>
      <c r="AC876" s="41">
        <f t="shared" si="305"/>
        <v>0</v>
      </c>
      <c r="AD876" s="70" t="s">
        <v>1195</v>
      </c>
      <c r="AE876" s="24"/>
      <c r="AF876" s="1">
        <v>12996500</v>
      </c>
      <c r="AG876" s="5">
        <f t="shared" si="306"/>
        <v>0</v>
      </c>
      <c r="AH876" s="5"/>
    </row>
    <row r="877" spans="1:34" s="1" customFormat="1" x14ac:dyDescent="0.25">
      <c r="A877" s="49">
        <v>29</v>
      </c>
      <c r="B877" s="22" t="s">
        <v>1751</v>
      </c>
      <c r="C877" s="22" t="s">
        <v>407</v>
      </c>
      <c r="D877" s="51" t="s">
        <v>1182</v>
      </c>
      <c r="E877" s="24" t="s">
        <v>1196</v>
      </c>
      <c r="F877" s="24"/>
      <c r="G877" s="24" t="s">
        <v>194</v>
      </c>
      <c r="H877" s="24" t="s">
        <v>62</v>
      </c>
      <c r="I877" s="24">
        <v>2017</v>
      </c>
      <c r="J877" s="24"/>
      <c r="K877" s="24" t="s">
        <v>63</v>
      </c>
      <c r="L877" s="24" t="s">
        <v>64</v>
      </c>
      <c r="M877" s="24">
        <v>1</v>
      </c>
      <c r="N877" s="41">
        <f t="shared" si="307"/>
        <v>14850000</v>
      </c>
      <c r="O877" s="41">
        <v>14850000</v>
      </c>
      <c r="P877" s="24"/>
      <c r="Q877" s="24"/>
      <c r="R877" s="24"/>
      <c r="S877" s="41">
        <f t="shared" si="304"/>
        <v>14850000</v>
      </c>
      <c r="T877" s="24">
        <v>5</v>
      </c>
      <c r="U877" s="41"/>
      <c r="V877" s="24"/>
      <c r="W877" s="41">
        <f t="shared" si="308"/>
        <v>0</v>
      </c>
      <c r="X877" s="24"/>
      <c r="Y877" s="41"/>
      <c r="Z877" s="41">
        <f>SUM(W877+Y877)</f>
        <v>0</v>
      </c>
      <c r="AA877" s="72">
        <v>5</v>
      </c>
      <c r="AB877" s="41">
        <v>14850000</v>
      </c>
      <c r="AC877" s="41">
        <f t="shared" si="305"/>
        <v>0</v>
      </c>
      <c r="AD877" s="70" t="s">
        <v>1197</v>
      </c>
      <c r="AE877" s="24"/>
      <c r="AF877" s="1">
        <v>14850000</v>
      </c>
      <c r="AG877" s="5">
        <f t="shared" si="306"/>
        <v>0</v>
      </c>
      <c r="AH877" s="5"/>
    </row>
    <row r="878" spans="1:34" s="1" customFormat="1" x14ac:dyDescent="0.25">
      <c r="A878" s="49">
        <v>30</v>
      </c>
      <c r="B878" s="22" t="s">
        <v>1751</v>
      </c>
      <c r="C878" s="22" t="s">
        <v>408</v>
      </c>
      <c r="D878" s="51" t="s">
        <v>1182</v>
      </c>
      <c r="E878" s="24" t="s">
        <v>1196</v>
      </c>
      <c r="F878" s="24"/>
      <c r="G878" s="24" t="s">
        <v>194</v>
      </c>
      <c r="H878" s="24" t="s">
        <v>62</v>
      </c>
      <c r="I878" s="24">
        <v>2017</v>
      </c>
      <c r="J878" s="24"/>
      <c r="K878" s="24" t="s">
        <v>63</v>
      </c>
      <c r="L878" s="24" t="s">
        <v>64</v>
      </c>
      <c r="M878" s="24">
        <v>1</v>
      </c>
      <c r="N878" s="41">
        <f t="shared" si="307"/>
        <v>14850000</v>
      </c>
      <c r="O878" s="41">
        <v>14850000</v>
      </c>
      <c r="P878" s="24"/>
      <c r="Q878" s="24"/>
      <c r="R878" s="24"/>
      <c r="S878" s="41">
        <f t="shared" si="304"/>
        <v>14850000</v>
      </c>
      <c r="T878" s="24">
        <v>5</v>
      </c>
      <c r="U878" s="41"/>
      <c r="V878" s="24"/>
      <c r="W878" s="41">
        <f t="shared" si="308"/>
        <v>0</v>
      </c>
      <c r="X878" s="24"/>
      <c r="Y878" s="41"/>
      <c r="Z878" s="41">
        <f>SUM(W878+Y878)</f>
        <v>0</v>
      </c>
      <c r="AA878" s="72">
        <v>5</v>
      </c>
      <c r="AB878" s="41">
        <v>14850000</v>
      </c>
      <c r="AC878" s="41">
        <f t="shared" si="305"/>
        <v>0</v>
      </c>
      <c r="AD878" s="70" t="s">
        <v>1198</v>
      </c>
      <c r="AE878" s="24"/>
      <c r="AF878" s="1">
        <v>14850000</v>
      </c>
      <c r="AG878" s="5">
        <f t="shared" si="306"/>
        <v>0</v>
      </c>
      <c r="AH878" s="5"/>
    </row>
    <row r="879" spans="1:34" s="1" customFormat="1" x14ac:dyDescent="0.25">
      <c r="A879" s="49">
        <v>31</v>
      </c>
      <c r="B879" s="22" t="s">
        <v>1751</v>
      </c>
      <c r="C879" s="22" t="s">
        <v>409</v>
      </c>
      <c r="D879" s="51" t="s">
        <v>1182</v>
      </c>
      <c r="E879" s="24" t="s">
        <v>1196</v>
      </c>
      <c r="F879" s="24"/>
      <c r="G879" s="24" t="s">
        <v>194</v>
      </c>
      <c r="H879" s="24" t="s">
        <v>62</v>
      </c>
      <c r="I879" s="24">
        <v>2017</v>
      </c>
      <c r="J879" s="24"/>
      <c r="K879" s="24" t="s">
        <v>63</v>
      </c>
      <c r="L879" s="24" t="s">
        <v>64</v>
      </c>
      <c r="M879" s="24">
        <v>1</v>
      </c>
      <c r="N879" s="41">
        <f t="shared" si="307"/>
        <v>14850000</v>
      </c>
      <c r="O879" s="41">
        <v>14850000</v>
      </c>
      <c r="P879" s="24"/>
      <c r="Q879" s="24"/>
      <c r="R879" s="24"/>
      <c r="S879" s="41">
        <f t="shared" si="304"/>
        <v>14850000</v>
      </c>
      <c r="T879" s="24">
        <v>5</v>
      </c>
      <c r="U879" s="41"/>
      <c r="V879" s="24"/>
      <c r="W879" s="41">
        <f t="shared" si="308"/>
        <v>0</v>
      </c>
      <c r="X879" s="24"/>
      <c r="Y879" s="41"/>
      <c r="Z879" s="41">
        <f>SUM(W879+Y879)</f>
        <v>0</v>
      </c>
      <c r="AA879" s="72">
        <v>5</v>
      </c>
      <c r="AB879" s="41">
        <v>14850000</v>
      </c>
      <c r="AC879" s="41">
        <f t="shared" si="305"/>
        <v>0</v>
      </c>
      <c r="AD879" s="70" t="s">
        <v>1199</v>
      </c>
      <c r="AE879" s="24"/>
      <c r="AF879" s="1">
        <v>14850000</v>
      </c>
      <c r="AG879" s="5">
        <f t="shared" si="306"/>
        <v>0</v>
      </c>
      <c r="AH879" s="5"/>
    </row>
    <row r="880" spans="1:34" s="1" customFormat="1" x14ac:dyDescent="0.25">
      <c r="A880" s="49">
        <v>32</v>
      </c>
      <c r="B880" s="22" t="s">
        <v>1751</v>
      </c>
      <c r="C880" s="22" t="s">
        <v>788</v>
      </c>
      <c r="D880" s="51" t="s">
        <v>1182</v>
      </c>
      <c r="E880" s="24" t="s">
        <v>1196</v>
      </c>
      <c r="F880" s="24"/>
      <c r="G880" s="24" t="s">
        <v>194</v>
      </c>
      <c r="H880" s="24" t="s">
        <v>62</v>
      </c>
      <c r="I880" s="24">
        <v>2017</v>
      </c>
      <c r="J880" s="24"/>
      <c r="K880" s="24" t="s">
        <v>63</v>
      </c>
      <c r="L880" s="24" t="s">
        <v>64</v>
      </c>
      <c r="M880" s="24">
        <v>1</v>
      </c>
      <c r="N880" s="41">
        <f t="shared" si="307"/>
        <v>14850000</v>
      </c>
      <c r="O880" s="41">
        <v>14850000</v>
      </c>
      <c r="P880" s="24"/>
      <c r="Q880" s="24"/>
      <c r="R880" s="24"/>
      <c r="S880" s="41">
        <f t="shared" si="304"/>
        <v>14850000</v>
      </c>
      <c r="T880" s="24">
        <v>5</v>
      </c>
      <c r="U880" s="41"/>
      <c r="V880" s="24"/>
      <c r="W880" s="41">
        <f t="shared" si="308"/>
        <v>0</v>
      </c>
      <c r="X880" s="24"/>
      <c r="Y880" s="41"/>
      <c r="Z880" s="41">
        <f>SUM(W880+Y880)</f>
        <v>0</v>
      </c>
      <c r="AA880" s="72">
        <v>5</v>
      </c>
      <c r="AB880" s="41">
        <v>14850000</v>
      </c>
      <c r="AC880" s="41">
        <f t="shared" si="305"/>
        <v>0</v>
      </c>
      <c r="AD880" s="70" t="s">
        <v>1200</v>
      </c>
      <c r="AE880" s="24"/>
      <c r="AF880" s="1">
        <v>14850000</v>
      </c>
      <c r="AG880" s="5">
        <f t="shared" si="306"/>
        <v>0</v>
      </c>
      <c r="AH880" s="5"/>
    </row>
    <row r="881" spans="1:34" s="1" customFormat="1" x14ac:dyDescent="0.25">
      <c r="A881" s="49">
        <v>33</v>
      </c>
      <c r="B881" s="22" t="s">
        <v>1751</v>
      </c>
      <c r="C881" s="22" t="s">
        <v>1017</v>
      </c>
      <c r="D881" s="51" t="s">
        <v>1182</v>
      </c>
      <c r="E881" s="24" t="s">
        <v>1196</v>
      </c>
      <c r="F881" s="24"/>
      <c r="G881" s="24" t="s">
        <v>194</v>
      </c>
      <c r="H881" s="24" t="s">
        <v>62</v>
      </c>
      <c r="I881" s="24">
        <v>2017</v>
      </c>
      <c r="J881" s="24"/>
      <c r="K881" s="24" t="s">
        <v>63</v>
      </c>
      <c r="L881" s="24" t="s">
        <v>64</v>
      </c>
      <c r="M881" s="24">
        <v>1</v>
      </c>
      <c r="N881" s="41">
        <f t="shared" si="307"/>
        <v>14850000</v>
      </c>
      <c r="O881" s="41">
        <v>14850000</v>
      </c>
      <c r="P881" s="24"/>
      <c r="Q881" s="24"/>
      <c r="R881" s="24"/>
      <c r="S881" s="41">
        <f t="shared" ref="S881:S910" si="312">SUM(O881-R881)</f>
        <v>14850000</v>
      </c>
      <c r="T881" s="24">
        <v>5</v>
      </c>
      <c r="U881" s="41"/>
      <c r="V881" s="24"/>
      <c r="W881" s="41">
        <f t="shared" si="308"/>
        <v>0</v>
      </c>
      <c r="X881" s="24"/>
      <c r="Y881" s="41"/>
      <c r="Z881" s="41">
        <f>SUM(W881+Y881)</f>
        <v>0</v>
      </c>
      <c r="AA881" s="72">
        <v>5</v>
      </c>
      <c r="AB881" s="41">
        <v>14850000</v>
      </c>
      <c r="AC881" s="41">
        <f t="shared" ref="AC881:AC910" si="313">SUM(O881-AB881)</f>
        <v>0</v>
      </c>
      <c r="AD881" s="70" t="s">
        <v>1201</v>
      </c>
      <c r="AE881" s="24"/>
      <c r="AF881" s="1">
        <v>14850000</v>
      </c>
      <c r="AG881" s="5">
        <f t="shared" si="306"/>
        <v>0</v>
      </c>
      <c r="AH881" s="5"/>
    </row>
    <row r="882" spans="1:34" s="1" customFormat="1" x14ac:dyDescent="0.25">
      <c r="A882" s="49">
        <v>34</v>
      </c>
      <c r="B882" s="22" t="s">
        <v>1751</v>
      </c>
      <c r="C882" s="22" t="s">
        <v>411</v>
      </c>
      <c r="D882" s="51" t="s">
        <v>1182</v>
      </c>
      <c r="E882" s="24" t="s">
        <v>1202</v>
      </c>
      <c r="F882" s="24"/>
      <c r="G882" s="24" t="s">
        <v>194</v>
      </c>
      <c r="H882" s="24" t="s">
        <v>62</v>
      </c>
      <c r="I882" s="24">
        <v>2018</v>
      </c>
      <c r="J882" s="24"/>
      <c r="K882" s="24" t="s">
        <v>63</v>
      </c>
      <c r="L882" s="24" t="s">
        <v>64</v>
      </c>
      <c r="M882" s="24">
        <v>1</v>
      </c>
      <c r="N882" s="41">
        <f t="shared" si="307"/>
        <v>14417000</v>
      </c>
      <c r="O882" s="41">
        <v>14417000</v>
      </c>
      <c r="P882" s="24"/>
      <c r="Q882" s="24"/>
      <c r="R882" s="24"/>
      <c r="S882" s="41">
        <f t="shared" si="312"/>
        <v>14417000</v>
      </c>
      <c r="T882" s="24">
        <v>5</v>
      </c>
      <c r="U882" s="41">
        <f t="shared" ref="U882:U889" si="314">SUM(S882/T882)</f>
        <v>2883400</v>
      </c>
      <c r="V882" s="24">
        <v>0.5</v>
      </c>
      <c r="W882" s="41">
        <f>SUM(U882*V882)-480566.67</f>
        <v>961133.33000000007</v>
      </c>
      <c r="X882" s="24"/>
      <c r="Y882" s="41">
        <f t="shared" si="309"/>
        <v>0</v>
      </c>
      <c r="Z882" s="41">
        <f t="shared" si="310"/>
        <v>961133.33000000007</v>
      </c>
      <c r="AA882" s="72">
        <f>2023-I882+V882+X882-4/12-2/12</f>
        <v>5</v>
      </c>
      <c r="AB882" s="41">
        <f t="shared" ref="AB882:AB889" si="315">SUM(U882*AA882)</f>
        <v>14417000</v>
      </c>
      <c r="AC882" s="41">
        <f t="shared" si="313"/>
        <v>0</v>
      </c>
      <c r="AD882" s="70" t="s">
        <v>266</v>
      </c>
      <c r="AE882" s="24"/>
      <c r="AF882" s="1">
        <v>14417000</v>
      </c>
      <c r="AG882" s="5">
        <f t="shared" si="306"/>
        <v>0</v>
      </c>
      <c r="AH882" s="5"/>
    </row>
    <row r="883" spans="1:34" s="1" customFormat="1" x14ac:dyDescent="0.25">
      <c r="A883" s="49">
        <v>35</v>
      </c>
      <c r="B883" s="22" t="s">
        <v>1751</v>
      </c>
      <c r="C883" s="22" t="s">
        <v>247</v>
      </c>
      <c r="D883" s="51" t="s">
        <v>1182</v>
      </c>
      <c r="E883" s="24" t="s">
        <v>1202</v>
      </c>
      <c r="F883" s="24"/>
      <c r="G883" s="24" t="s">
        <v>194</v>
      </c>
      <c r="H883" s="24" t="s">
        <v>62</v>
      </c>
      <c r="I883" s="24">
        <v>2018</v>
      </c>
      <c r="J883" s="24"/>
      <c r="K883" s="24" t="s">
        <v>63</v>
      </c>
      <c r="L883" s="24" t="s">
        <v>64</v>
      </c>
      <c r="M883" s="24">
        <v>1</v>
      </c>
      <c r="N883" s="41">
        <f t="shared" si="307"/>
        <v>14417000</v>
      </c>
      <c r="O883" s="41">
        <v>14417000</v>
      </c>
      <c r="P883" s="24"/>
      <c r="Q883" s="24"/>
      <c r="R883" s="24"/>
      <c r="S883" s="41">
        <f t="shared" si="312"/>
        <v>14417000</v>
      </c>
      <c r="T883" s="24">
        <v>5</v>
      </c>
      <c r="U883" s="41">
        <f t="shared" si="314"/>
        <v>2883400</v>
      </c>
      <c r="V883" s="24">
        <v>0.5</v>
      </c>
      <c r="W883" s="41">
        <f>SUM(U883*V883)-480566.67</f>
        <v>961133.33000000007</v>
      </c>
      <c r="X883" s="24"/>
      <c r="Y883" s="41">
        <f t="shared" si="309"/>
        <v>0</v>
      </c>
      <c r="Z883" s="41">
        <f t="shared" si="310"/>
        <v>961133.33000000007</v>
      </c>
      <c r="AA883" s="72">
        <f>2023-I883+V883+X883-4/12-2/12</f>
        <v>5</v>
      </c>
      <c r="AB883" s="41">
        <f t="shared" si="315"/>
        <v>14417000</v>
      </c>
      <c r="AC883" s="41">
        <f t="shared" si="313"/>
        <v>0</v>
      </c>
      <c r="AD883" s="70" t="s">
        <v>1203</v>
      </c>
      <c r="AE883" s="24"/>
      <c r="AF883" s="1">
        <v>14417000</v>
      </c>
      <c r="AG883" s="5">
        <f t="shared" si="306"/>
        <v>0</v>
      </c>
      <c r="AH883" s="5"/>
    </row>
    <row r="884" spans="1:34" s="1" customFormat="1" x14ac:dyDescent="0.25">
      <c r="A884" s="49">
        <v>36</v>
      </c>
      <c r="B884" s="22" t="s">
        <v>1751</v>
      </c>
      <c r="C884" s="73" t="s">
        <v>1204</v>
      </c>
      <c r="D884" s="51" t="s">
        <v>1182</v>
      </c>
      <c r="E884" s="52" t="s">
        <v>1205</v>
      </c>
      <c r="F884" s="52"/>
      <c r="G884" s="52" t="s">
        <v>194</v>
      </c>
      <c r="H884" s="52" t="s">
        <v>62</v>
      </c>
      <c r="I884" s="52">
        <v>2019</v>
      </c>
      <c r="J884" s="52"/>
      <c r="K884" s="52" t="s">
        <v>63</v>
      </c>
      <c r="L884" s="52" t="s">
        <v>64</v>
      </c>
      <c r="M884" s="52">
        <v>6</v>
      </c>
      <c r="N884" s="53">
        <f>O884/M884</f>
        <v>16499520</v>
      </c>
      <c r="O884" s="53">
        <v>98997120</v>
      </c>
      <c r="P884" s="52"/>
      <c r="Q884" s="52"/>
      <c r="R884" s="52"/>
      <c r="S884" s="53">
        <f t="shared" si="312"/>
        <v>98997120</v>
      </c>
      <c r="T884" s="52">
        <v>5</v>
      </c>
      <c r="U884" s="53">
        <f t="shared" si="314"/>
        <v>19799424</v>
      </c>
      <c r="V884" s="52">
        <v>0.5</v>
      </c>
      <c r="W884" s="53">
        <f t="shared" si="308"/>
        <v>9899712</v>
      </c>
      <c r="X884" s="24">
        <v>0.5</v>
      </c>
      <c r="Y884" s="53">
        <f t="shared" si="309"/>
        <v>9899712</v>
      </c>
      <c r="Z884" s="53">
        <f t="shared" si="310"/>
        <v>19799424</v>
      </c>
      <c r="AA884" s="72">
        <f>2023-I884+V884+X884-11/12</f>
        <v>4.083333333333333</v>
      </c>
      <c r="AB884" s="53">
        <f t="shared" si="315"/>
        <v>80847648</v>
      </c>
      <c r="AC884" s="53">
        <f t="shared" si="313"/>
        <v>18149472</v>
      </c>
      <c r="AD884" s="56"/>
      <c r="AE884" s="52"/>
      <c r="AF884" s="1">
        <v>70947936</v>
      </c>
      <c r="AG884" s="5">
        <f t="shared" si="306"/>
        <v>0</v>
      </c>
      <c r="AH884" s="5"/>
    </row>
    <row r="885" spans="1:34" s="1" customFormat="1" x14ac:dyDescent="0.25">
      <c r="A885" s="49">
        <v>37</v>
      </c>
      <c r="B885" s="22" t="s">
        <v>1751</v>
      </c>
      <c r="C885" s="73" t="s">
        <v>1028</v>
      </c>
      <c r="D885" s="51" t="s">
        <v>1182</v>
      </c>
      <c r="E885" s="52" t="s">
        <v>1206</v>
      </c>
      <c r="F885" s="52"/>
      <c r="G885" s="52" t="s">
        <v>194</v>
      </c>
      <c r="H885" s="52" t="s">
        <v>62</v>
      </c>
      <c r="I885" s="52">
        <v>2020</v>
      </c>
      <c r="J885" s="52"/>
      <c r="K885" s="52" t="s">
        <v>63</v>
      </c>
      <c r="L885" s="52" t="s">
        <v>64</v>
      </c>
      <c r="M885" s="52">
        <v>1</v>
      </c>
      <c r="N885" s="53">
        <f>O885/M885</f>
        <v>20000000</v>
      </c>
      <c r="O885" s="53">
        <v>20000000</v>
      </c>
      <c r="P885" s="52"/>
      <c r="Q885" s="52"/>
      <c r="R885" s="52"/>
      <c r="S885" s="53">
        <f t="shared" si="312"/>
        <v>20000000</v>
      </c>
      <c r="T885" s="52">
        <v>5</v>
      </c>
      <c r="U885" s="53">
        <f t="shared" si="314"/>
        <v>4000000</v>
      </c>
      <c r="V885" s="52">
        <v>0.5</v>
      </c>
      <c r="W885" s="53">
        <f t="shared" si="308"/>
        <v>2000000</v>
      </c>
      <c r="X885" s="24">
        <v>0.5</v>
      </c>
      <c r="Y885" s="53">
        <f t="shared" si="309"/>
        <v>2000000</v>
      </c>
      <c r="Z885" s="53">
        <f t="shared" si="310"/>
        <v>4000000</v>
      </c>
      <c r="AA885" s="72">
        <f>2023-I885+V885+X885-11/12</f>
        <v>3.0833333333333335</v>
      </c>
      <c r="AB885" s="53">
        <f t="shared" si="315"/>
        <v>12333333.333333334</v>
      </c>
      <c r="AC885" s="53">
        <f t="shared" si="313"/>
        <v>7666666.666666666</v>
      </c>
      <c r="AD885" s="56" t="s">
        <v>99</v>
      </c>
      <c r="AE885" s="52"/>
      <c r="AF885" s="1">
        <v>10333333.333333334</v>
      </c>
      <c r="AG885" s="5">
        <f t="shared" si="306"/>
        <v>0</v>
      </c>
      <c r="AH885" s="5"/>
    </row>
    <row r="886" spans="1:34" s="1" customFormat="1" x14ac:dyDescent="0.25">
      <c r="A886" s="49">
        <v>38</v>
      </c>
      <c r="B886" s="22" t="s">
        <v>1751</v>
      </c>
      <c r="C886" s="73" t="s">
        <v>1029</v>
      </c>
      <c r="D886" s="51" t="s">
        <v>1182</v>
      </c>
      <c r="E886" s="52" t="s">
        <v>1207</v>
      </c>
      <c r="F886" s="52"/>
      <c r="G886" s="52" t="s">
        <v>194</v>
      </c>
      <c r="H886" s="52" t="s">
        <v>62</v>
      </c>
      <c r="I886" s="52">
        <v>2021</v>
      </c>
      <c r="J886" s="52"/>
      <c r="K886" s="52" t="s">
        <v>63</v>
      </c>
      <c r="L886" s="52" t="s">
        <v>64</v>
      </c>
      <c r="M886" s="52">
        <v>3</v>
      </c>
      <c r="N886" s="53">
        <f>O886/M886</f>
        <v>15299909</v>
      </c>
      <c r="O886" s="53">
        <v>45899727</v>
      </c>
      <c r="P886" s="52"/>
      <c r="Q886" s="52"/>
      <c r="R886" s="52"/>
      <c r="S886" s="53">
        <f t="shared" si="312"/>
        <v>45899727</v>
      </c>
      <c r="T886" s="52">
        <v>5</v>
      </c>
      <c r="U886" s="53">
        <f t="shared" si="314"/>
        <v>9179945.4000000004</v>
      </c>
      <c r="V886" s="52">
        <v>0.5</v>
      </c>
      <c r="W886" s="53">
        <f t="shared" si="308"/>
        <v>4589972.7</v>
      </c>
      <c r="X886" s="24">
        <v>0.5</v>
      </c>
      <c r="Y886" s="53">
        <f t="shared" si="309"/>
        <v>4589972.7</v>
      </c>
      <c r="Z886" s="53">
        <f t="shared" si="310"/>
        <v>9179945.4000000004</v>
      </c>
      <c r="AA886" s="57">
        <f>5/12+0.5+0.5+0.5+0.5</f>
        <v>2.416666666666667</v>
      </c>
      <c r="AB886" s="53">
        <f t="shared" si="315"/>
        <v>22184868.050000004</v>
      </c>
      <c r="AC886" s="53">
        <f t="shared" si="313"/>
        <v>23714858.949999996</v>
      </c>
      <c r="AD886" s="56" t="s">
        <v>3703</v>
      </c>
      <c r="AE886" s="52"/>
      <c r="AF886" s="1">
        <v>17594895.350000001</v>
      </c>
      <c r="AG886" s="5">
        <f t="shared" si="306"/>
        <v>0</v>
      </c>
      <c r="AH886" s="5"/>
    </row>
    <row r="887" spans="1:34" s="1" customFormat="1" x14ac:dyDescent="0.25">
      <c r="A887" s="49">
        <v>39</v>
      </c>
      <c r="B887" s="22" t="s">
        <v>1751</v>
      </c>
      <c r="C887" s="73" t="s">
        <v>1030</v>
      </c>
      <c r="D887" s="51" t="s">
        <v>1182</v>
      </c>
      <c r="E887" s="52" t="s">
        <v>1208</v>
      </c>
      <c r="F887" s="52"/>
      <c r="G887" s="52" t="s">
        <v>194</v>
      </c>
      <c r="H887" s="52" t="s">
        <v>62</v>
      </c>
      <c r="I887" s="52">
        <v>2021</v>
      </c>
      <c r="J887" s="52"/>
      <c r="K887" s="52" t="s">
        <v>63</v>
      </c>
      <c r="L887" s="52" t="s">
        <v>64</v>
      </c>
      <c r="M887" s="52">
        <v>2</v>
      </c>
      <c r="N887" s="53">
        <f>O887/M887</f>
        <v>15300000</v>
      </c>
      <c r="O887" s="53">
        <v>30600000</v>
      </c>
      <c r="P887" s="52"/>
      <c r="Q887" s="52"/>
      <c r="R887" s="52"/>
      <c r="S887" s="53">
        <f t="shared" si="312"/>
        <v>30600000</v>
      </c>
      <c r="T887" s="52">
        <v>5</v>
      </c>
      <c r="U887" s="53">
        <f t="shared" si="314"/>
        <v>6120000</v>
      </c>
      <c r="V887" s="52">
        <v>0.5</v>
      </c>
      <c r="W887" s="53">
        <f t="shared" si="308"/>
        <v>3060000</v>
      </c>
      <c r="X887" s="24">
        <v>0.5</v>
      </c>
      <c r="Y887" s="53">
        <f t="shared" si="309"/>
        <v>3060000</v>
      </c>
      <c r="Z887" s="53">
        <f t="shared" si="310"/>
        <v>6120000</v>
      </c>
      <c r="AA887" s="57">
        <f>1/12+0.5+0.5+0.5+0.5</f>
        <v>2.0833333333333335</v>
      </c>
      <c r="AB887" s="53">
        <f t="shared" si="315"/>
        <v>12750000</v>
      </c>
      <c r="AC887" s="53">
        <f t="shared" si="313"/>
        <v>17850000</v>
      </c>
      <c r="AD887" s="56" t="s">
        <v>1209</v>
      </c>
      <c r="AE887" s="52"/>
      <c r="AF887" s="1">
        <v>9690000</v>
      </c>
      <c r="AG887" s="5">
        <f t="shared" si="306"/>
        <v>0</v>
      </c>
      <c r="AH887" s="5"/>
    </row>
    <row r="888" spans="1:34" s="1" customFormat="1" x14ac:dyDescent="0.25">
      <c r="A888" s="49">
        <v>40</v>
      </c>
      <c r="B888" s="22" t="s">
        <v>1751</v>
      </c>
      <c r="C888" s="73" t="s">
        <v>1032</v>
      </c>
      <c r="D888" s="51" t="s">
        <v>1182</v>
      </c>
      <c r="E888" s="52" t="s">
        <v>1210</v>
      </c>
      <c r="F888" s="52"/>
      <c r="G888" s="52" t="s">
        <v>194</v>
      </c>
      <c r="H888" s="52" t="s">
        <v>62</v>
      </c>
      <c r="I888" s="52">
        <v>2022</v>
      </c>
      <c r="J888" s="52"/>
      <c r="K888" s="52" t="s">
        <v>63</v>
      </c>
      <c r="L888" s="52" t="s">
        <v>64</v>
      </c>
      <c r="M888" s="52">
        <v>1</v>
      </c>
      <c r="N888" s="53">
        <f t="shared" ref="N888:N889" si="316">O888/M888</f>
        <v>16500000</v>
      </c>
      <c r="O888" s="53">
        <v>16500000</v>
      </c>
      <c r="P888" s="52"/>
      <c r="Q888" s="52"/>
      <c r="R888" s="52"/>
      <c r="S888" s="53">
        <f t="shared" si="312"/>
        <v>16500000</v>
      </c>
      <c r="T888" s="52">
        <v>5</v>
      </c>
      <c r="U888" s="53">
        <f t="shared" si="314"/>
        <v>3300000</v>
      </c>
      <c r="V888" s="52">
        <v>0.5</v>
      </c>
      <c r="W888" s="53">
        <f t="shared" si="308"/>
        <v>1650000</v>
      </c>
      <c r="X888" s="24">
        <v>0.5</v>
      </c>
      <c r="Y888" s="53">
        <f t="shared" si="309"/>
        <v>1650000</v>
      </c>
      <c r="Z888" s="53">
        <f t="shared" si="310"/>
        <v>3300000</v>
      </c>
      <c r="AA888" s="57">
        <f>1/12+0.5+0.5</f>
        <v>1.0833333333333335</v>
      </c>
      <c r="AB888" s="53">
        <f t="shared" si="315"/>
        <v>3575000.0000000005</v>
      </c>
      <c r="AC888" s="53">
        <f t="shared" si="313"/>
        <v>12925000</v>
      </c>
      <c r="AD888" s="56" t="s">
        <v>1211</v>
      </c>
      <c r="AE888" s="52"/>
      <c r="AF888" s="1">
        <v>1925000.0000000002</v>
      </c>
      <c r="AG888" s="5">
        <f t="shared" si="306"/>
        <v>0</v>
      </c>
      <c r="AH888" s="5"/>
    </row>
    <row r="889" spans="1:34" s="1" customFormat="1" x14ac:dyDescent="0.25">
      <c r="A889" s="49">
        <v>41</v>
      </c>
      <c r="B889" s="22" t="s">
        <v>1751</v>
      </c>
      <c r="C889" s="73" t="s">
        <v>1212</v>
      </c>
      <c r="D889" s="51" t="s">
        <v>1182</v>
      </c>
      <c r="E889" s="52" t="s">
        <v>1210</v>
      </c>
      <c r="F889" s="52"/>
      <c r="G889" s="52" t="s">
        <v>194</v>
      </c>
      <c r="H889" s="52" t="s">
        <v>62</v>
      </c>
      <c r="I889" s="52">
        <v>2022</v>
      </c>
      <c r="J889" s="52"/>
      <c r="K889" s="52" t="s">
        <v>63</v>
      </c>
      <c r="L889" s="52" t="s">
        <v>64</v>
      </c>
      <c r="M889" s="52">
        <v>1</v>
      </c>
      <c r="N889" s="53">
        <f t="shared" si="316"/>
        <v>16500000</v>
      </c>
      <c r="O889" s="53">
        <v>16500000</v>
      </c>
      <c r="P889" s="52"/>
      <c r="Q889" s="52"/>
      <c r="R889" s="52"/>
      <c r="S889" s="53">
        <f t="shared" si="312"/>
        <v>16500000</v>
      </c>
      <c r="T889" s="52">
        <v>5</v>
      </c>
      <c r="U889" s="53">
        <f t="shared" si="314"/>
        <v>3300000</v>
      </c>
      <c r="V889" s="52">
        <v>0.5</v>
      </c>
      <c r="W889" s="53">
        <f t="shared" si="308"/>
        <v>1650000</v>
      </c>
      <c r="X889" s="24">
        <v>0.5</v>
      </c>
      <c r="Y889" s="53">
        <f t="shared" si="309"/>
        <v>1650000</v>
      </c>
      <c r="Z889" s="53">
        <f t="shared" si="310"/>
        <v>3300000</v>
      </c>
      <c r="AA889" s="57">
        <f>1/12+0.5+0.5</f>
        <v>1.0833333333333335</v>
      </c>
      <c r="AB889" s="53">
        <f t="shared" si="315"/>
        <v>3575000.0000000005</v>
      </c>
      <c r="AC889" s="53">
        <f t="shared" si="313"/>
        <v>12925000</v>
      </c>
      <c r="AD889" s="56" t="s">
        <v>1213</v>
      </c>
      <c r="AE889" s="52"/>
      <c r="AF889" s="1">
        <v>1925000.0000000002</v>
      </c>
      <c r="AG889" s="5">
        <f t="shared" si="306"/>
        <v>0</v>
      </c>
      <c r="AH889" s="5"/>
    </row>
    <row r="890" spans="1:34" s="1" customFormat="1" x14ac:dyDescent="0.25">
      <c r="A890" s="49">
        <v>44</v>
      </c>
      <c r="B890" s="22" t="s">
        <v>1752</v>
      </c>
      <c r="C890" s="22" t="s">
        <v>1214</v>
      </c>
      <c r="D890" s="51" t="s">
        <v>1215</v>
      </c>
      <c r="E890" s="24" t="s">
        <v>1216</v>
      </c>
      <c r="F890" s="24"/>
      <c r="G890" s="24" t="s">
        <v>194</v>
      </c>
      <c r="H890" s="24" t="s">
        <v>62</v>
      </c>
      <c r="I890" s="24">
        <v>2005</v>
      </c>
      <c r="J890" s="24"/>
      <c r="K890" s="24" t="s">
        <v>63</v>
      </c>
      <c r="L890" s="24" t="s">
        <v>167</v>
      </c>
      <c r="M890" s="24">
        <v>7</v>
      </c>
      <c r="N890" s="41">
        <f t="shared" si="307"/>
        <v>6775000</v>
      </c>
      <c r="O890" s="41">
        <v>47425000</v>
      </c>
      <c r="P890" s="24"/>
      <c r="Q890" s="24"/>
      <c r="R890" s="24"/>
      <c r="S890" s="41">
        <f t="shared" si="312"/>
        <v>47425000</v>
      </c>
      <c r="T890" s="24">
        <v>5</v>
      </c>
      <c r="U890" s="41"/>
      <c r="V890" s="24">
        <v>0.5</v>
      </c>
      <c r="W890" s="41">
        <f t="shared" si="308"/>
        <v>0</v>
      </c>
      <c r="X890" s="24"/>
      <c r="Y890" s="41">
        <f t="shared" si="309"/>
        <v>0</v>
      </c>
      <c r="Z890" s="41">
        <f t="shared" si="310"/>
        <v>0</v>
      </c>
      <c r="AA890" s="24">
        <v>5</v>
      </c>
      <c r="AB890" s="41">
        <v>47425000</v>
      </c>
      <c r="AC890" s="41">
        <f t="shared" si="313"/>
        <v>0</v>
      </c>
      <c r="AD890" s="70" t="s">
        <v>213</v>
      </c>
      <c r="AE890" s="24"/>
      <c r="AF890" s="1">
        <v>47425000</v>
      </c>
      <c r="AG890" s="5">
        <f t="shared" si="306"/>
        <v>0</v>
      </c>
    </row>
    <row r="891" spans="1:34" s="1" customFormat="1" x14ac:dyDescent="0.25">
      <c r="A891" s="49">
        <v>45</v>
      </c>
      <c r="B891" s="22" t="s">
        <v>1752</v>
      </c>
      <c r="C891" s="22" t="s">
        <v>408</v>
      </c>
      <c r="D891" s="51" t="s">
        <v>1215</v>
      </c>
      <c r="E891" s="24" t="s">
        <v>1216</v>
      </c>
      <c r="F891" s="24"/>
      <c r="G891" s="24" t="s">
        <v>194</v>
      </c>
      <c r="H891" s="24" t="s">
        <v>62</v>
      </c>
      <c r="I891" s="24">
        <v>2005</v>
      </c>
      <c r="J891" s="24"/>
      <c r="K891" s="24" t="s">
        <v>63</v>
      </c>
      <c r="L891" s="24" t="s">
        <v>167</v>
      </c>
      <c r="M891" s="24">
        <v>1</v>
      </c>
      <c r="N891" s="41">
        <f t="shared" si="307"/>
        <v>6775000</v>
      </c>
      <c r="O891" s="41">
        <v>6775000</v>
      </c>
      <c r="P891" s="24"/>
      <c r="Q891" s="24"/>
      <c r="R891" s="24"/>
      <c r="S891" s="41">
        <f t="shared" si="312"/>
        <v>6775000</v>
      </c>
      <c r="T891" s="24">
        <v>5</v>
      </c>
      <c r="U891" s="41"/>
      <c r="V891" s="24">
        <v>0.5</v>
      </c>
      <c r="W891" s="41">
        <f t="shared" si="308"/>
        <v>0</v>
      </c>
      <c r="X891" s="24"/>
      <c r="Y891" s="41">
        <f t="shared" si="309"/>
        <v>0</v>
      </c>
      <c r="Z891" s="41">
        <f t="shared" si="310"/>
        <v>0</v>
      </c>
      <c r="AA891" s="24">
        <v>5</v>
      </c>
      <c r="AB891" s="41">
        <v>6775000</v>
      </c>
      <c r="AC891" s="41">
        <f t="shared" si="313"/>
        <v>0</v>
      </c>
      <c r="AD891" s="70" t="s">
        <v>406</v>
      </c>
      <c r="AE891" s="24"/>
      <c r="AF891" s="1">
        <v>6775000</v>
      </c>
      <c r="AG891" s="5">
        <f t="shared" si="306"/>
        <v>0</v>
      </c>
    </row>
    <row r="892" spans="1:34" s="1" customFormat="1" x14ac:dyDescent="0.25">
      <c r="A892" s="49">
        <v>46</v>
      </c>
      <c r="B892" s="22" t="s">
        <v>1752</v>
      </c>
      <c r="C892" s="22" t="s">
        <v>1217</v>
      </c>
      <c r="D892" s="51" t="s">
        <v>1215</v>
      </c>
      <c r="E892" s="24" t="s">
        <v>1216</v>
      </c>
      <c r="F892" s="24"/>
      <c r="G892" s="24" t="s">
        <v>194</v>
      </c>
      <c r="H892" s="24" t="s">
        <v>62</v>
      </c>
      <c r="I892" s="24">
        <v>2005</v>
      </c>
      <c r="J892" s="24"/>
      <c r="K892" s="24" t="s">
        <v>63</v>
      </c>
      <c r="L892" s="24" t="s">
        <v>167</v>
      </c>
      <c r="M892" s="24">
        <v>2</v>
      </c>
      <c r="N892" s="41">
        <f t="shared" si="307"/>
        <v>6775000</v>
      </c>
      <c r="O892" s="41">
        <v>13550000</v>
      </c>
      <c r="P892" s="24"/>
      <c r="Q892" s="24"/>
      <c r="R892" s="24"/>
      <c r="S892" s="41">
        <f t="shared" si="312"/>
        <v>13550000</v>
      </c>
      <c r="T892" s="24">
        <v>5</v>
      </c>
      <c r="U892" s="41"/>
      <c r="V892" s="24">
        <v>0.5</v>
      </c>
      <c r="W892" s="41">
        <f t="shared" si="308"/>
        <v>0</v>
      </c>
      <c r="X892" s="24"/>
      <c r="Y892" s="41">
        <f t="shared" si="309"/>
        <v>0</v>
      </c>
      <c r="Z892" s="41">
        <f t="shared" si="310"/>
        <v>0</v>
      </c>
      <c r="AA892" s="24">
        <v>5</v>
      </c>
      <c r="AB892" s="41">
        <v>13550000</v>
      </c>
      <c r="AC892" s="41">
        <f t="shared" si="313"/>
        <v>0</v>
      </c>
      <c r="AD892" s="70" t="s">
        <v>406</v>
      </c>
      <c r="AE892" s="24"/>
      <c r="AF892" s="1">
        <v>13550000</v>
      </c>
      <c r="AG892" s="5">
        <f t="shared" si="306"/>
        <v>0</v>
      </c>
    </row>
    <row r="893" spans="1:34" s="1" customFormat="1" x14ac:dyDescent="0.25">
      <c r="A893" s="49">
        <v>47</v>
      </c>
      <c r="B893" s="22" t="s">
        <v>1752</v>
      </c>
      <c r="C893" s="22" t="s">
        <v>1017</v>
      </c>
      <c r="D893" s="51" t="s">
        <v>1215</v>
      </c>
      <c r="E893" s="24" t="s">
        <v>1216</v>
      </c>
      <c r="F893" s="24"/>
      <c r="G893" s="24" t="s">
        <v>194</v>
      </c>
      <c r="H893" s="24" t="s">
        <v>62</v>
      </c>
      <c r="I893" s="24">
        <v>2005</v>
      </c>
      <c r="J893" s="24"/>
      <c r="K893" s="24" t="s">
        <v>63</v>
      </c>
      <c r="L893" s="24" t="s">
        <v>167</v>
      </c>
      <c r="M893" s="24">
        <v>1</v>
      </c>
      <c r="N893" s="41">
        <f t="shared" si="307"/>
        <v>6775000</v>
      </c>
      <c r="O893" s="41">
        <v>6775000</v>
      </c>
      <c r="P893" s="24"/>
      <c r="Q893" s="24"/>
      <c r="R893" s="24"/>
      <c r="S893" s="41">
        <f t="shared" si="312"/>
        <v>6775000</v>
      </c>
      <c r="T893" s="24">
        <v>5</v>
      </c>
      <c r="U893" s="41"/>
      <c r="V893" s="24">
        <v>0.5</v>
      </c>
      <c r="W893" s="41">
        <f t="shared" si="308"/>
        <v>0</v>
      </c>
      <c r="X893" s="24"/>
      <c r="Y893" s="41">
        <f t="shared" si="309"/>
        <v>0</v>
      </c>
      <c r="Z893" s="41">
        <f t="shared" si="310"/>
        <v>0</v>
      </c>
      <c r="AA893" s="24">
        <v>5</v>
      </c>
      <c r="AB893" s="41">
        <v>6775000</v>
      </c>
      <c r="AC893" s="41">
        <f t="shared" si="313"/>
        <v>0</v>
      </c>
      <c r="AD893" s="70" t="s">
        <v>406</v>
      </c>
      <c r="AE893" s="24"/>
      <c r="AF893" s="1">
        <v>6775000</v>
      </c>
      <c r="AG893" s="5">
        <f t="shared" si="306"/>
        <v>0</v>
      </c>
    </row>
    <row r="894" spans="1:34" s="1" customFormat="1" x14ac:dyDescent="0.25">
      <c r="A894" s="49">
        <v>48</v>
      </c>
      <c r="B894" s="22" t="s">
        <v>1752</v>
      </c>
      <c r="C894" s="22" t="s">
        <v>411</v>
      </c>
      <c r="D894" s="51" t="s">
        <v>1215</v>
      </c>
      <c r="E894" s="24" t="s">
        <v>1216</v>
      </c>
      <c r="F894" s="24"/>
      <c r="G894" s="24" t="s">
        <v>194</v>
      </c>
      <c r="H894" s="24" t="s">
        <v>62</v>
      </c>
      <c r="I894" s="24">
        <v>2005</v>
      </c>
      <c r="J894" s="24"/>
      <c r="K894" s="24" t="s">
        <v>63</v>
      </c>
      <c r="L894" s="24" t="s">
        <v>167</v>
      </c>
      <c r="M894" s="24">
        <v>1</v>
      </c>
      <c r="N894" s="41">
        <f t="shared" si="307"/>
        <v>6775000</v>
      </c>
      <c r="O894" s="41">
        <v>6775000</v>
      </c>
      <c r="P894" s="24"/>
      <c r="Q894" s="24"/>
      <c r="R894" s="24"/>
      <c r="S894" s="41">
        <f t="shared" si="312"/>
        <v>6775000</v>
      </c>
      <c r="T894" s="24">
        <v>5</v>
      </c>
      <c r="U894" s="41"/>
      <c r="V894" s="24">
        <v>0.5</v>
      </c>
      <c r="W894" s="41">
        <f t="shared" si="308"/>
        <v>0</v>
      </c>
      <c r="X894" s="24"/>
      <c r="Y894" s="41">
        <f t="shared" si="309"/>
        <v>0</v>
      </c>
      <c r="Z894" s="41">
        <f t="shared" si="310"/>
        <v>0</v>
      </c>
      <c r="AA894" s="24">
        <v>5</v>
      </c>
      <c r="AB894" s="41">
        <v>6775000</v>
      </c>
      <c r="AC894" s="41">
        <f t="shared" si="313"/>
        <v>0</v>
      </c>
      <c r="AD894" s="70" t="s">
        <v>406</v>
      </c>
      <c r="AE894" s="24"/>
      <c r="AF894" s="1">
        <v>6775000</v>
      </c>
      <c r="AG894" s="5">
        <f t="shared" si="306"/>
        <v>0</v>
      </c>
    </row>
    <row r="895" spans="1:34" s="1" customFormat="1" x14ac:dyDescent="0.25">
      <c r="A895" s="49">
        <v>49</v>
      </c>
      <c r="B895" s="22" t="s">
        <v>1752</v>
      </c>
      <c r="C895" s="22" t="s">
        <v>247</v>
      </c>
      <c r="D895" s="51" t="s">
        <v>1215</v>
      </c>
      <c r="E895" s="24" t="s">
        <v>1216</v>
      </c>
      <c r="F895" s="24"/>
      <c r="G895" s="24" t="s">
        <v>194</v>
      </c>
      <c r="H895" s="24" t="s">
        <v>62</v>
      </c>
      <c r="I895" s="24">
        <v>2005</v>
      </c>
      <c r="J895" s="24"/>
      <c r="K895" s="24" t="s">
        <v>63</v>
      </c>
      <c r="L895" s="24" t="s">
        <v>167</v>
      </c>
      <c r="M895" s="24">
        <v>1</v>
      </c>
      <c r="N895" s="41">
        <f t="shared" si="307"/>
        <v>6775000</v>
      </c>
      <c r="O895" s="41">
        <v>6775000</v>
      </c>
      <c r="P895" s="24"/>
      <c r="Q895" s="24"/>
      <c r="R895" s="24"/>
      <c r="S895" s="41">
        <f t="shared" si="312"/>
        <v>6775000</v>
      </c>
      <c r="T895" s="24">
        <v>5</v>
      </c>
      <c r="U895" s="41"/>
      <c r="V895" s="24">
        <v>0.5</v>
      </c>
      <c r="W895" s="41">
        <f t="shared" si="308"/>
        <v>0</v>
      </c>
      <c r="X895" s="24"/>
      <c r="Y895" s="41">
        <f t="shared" si="309"/>
        <v>0</v>
      </c>
      <c r="Z895" s="41">
        <f t="shared" si="310"/>
        <v>0</v>
      </c>
      <c r="AA895" s="24">
        <v>5</v>
      </c>
      <c r="AB895" s="41">
        <v>6775000</v>
      </c>
      <c r="AC895" s="41">
        <f t="shared" si="313"/>
        <v>0</v>
      </c>
      <c r="AD895" s="70" t="s">
        <v>406</v>
      </c>
      <c r="AE895" s="24"/>
      <c r="AF895" s="1">
        <v>6775000</v>
      </c>
      <c r="AG895" s="5">
        <f t="shared" si="306"/>
        <v>0</v>
      </c>
    </row>
    <row r="896" spans="1:34" s="1" customFormat="1" x14ac:dyDescent="0.25">
      <c r="A896" s="49">
        <v>50</v>
      </c>
      <c r="B896" s="22" t="s">
        <v>1752</v>
      </c>
      <c r="C896" s="22" t="s">
        <v>1218</v>
      </c>
      <c r="D896" s="51" t="s">
        <v>1215</v>
      </c>
      <c r="E896" s="24" t="s">
        <v>1216</v>
      </c>
      <c r="F896" s="24"/>
      <c r="G896" s="24" t="s">
        <v>194</v>
      </c>
      <c r="H896" s="24" t="s">
        <v>62</v>
      </c>
      <c r="I896" s="24">
        <v>2005</v>
      </c>
      <c r="J896" s="24"/>
      <c r="K896" s="24" t="s">
        <v>63</v>
      </c>
      <c r="L896" s="24" t="s">
        <v>167</v>
      </c>
      <c r="M896" s="24">
        <v>3</v>
      </c>
      <c r="N896" s="41">
        <f t="shared" si="307"/>
        <v>6775000</v>
      </c>
      <c r="O896" s="41">
        <v>20325000</v>
      </c>
      <c r="P896" s="24"/>
      <c r="Q896" s="24"/>
      <c r="R896" s="24"/>
      <c r="S896" s="41">
        <f t="shared" si="312"/>
        <v>20325000</v>
      </c>
      <c r="T896" s="24">
        <v>5</v>
      </c>
      <c r="U896" s="41"/>
      <c r="V896" s="24">
        <v>0.5</v>
      </c>
      <c r="W896" s="41">
        <f t="shared" si="308"/>
        <v>0</v>
      </c>
      <c r="X896" s="24"/>
      <c r="Y896" s="41">
        <f t="shared" si="309"/>
        <v>0</v>
      </c>
      <c r="Z896" s="41">
        <f t="shared" si="310"/>
        <v>0</v>
      </c>
      <c r="AA896" s="24">
        <v>5</v>
      </c>
      <c r="AB896" s="41">
        <v>20325000</v>
      </c>
      <c r="AC896" s="41">
        <f t="shared" si="313"/>
        <v>0</v>
      </c>
      <c r="AD896" s="70" t="s">
        <v>406</v>
      </c>
      <c r="AE896" s="24"/>
      <c r="AF896" s="1">
        <v>20325000</v>
      </c>
      <c r="AG896" s="5">
        <f t="shared" si="306"/>
        <v>0</v>
      </c>
    </row>
    <row r="897" spans="1:33" s="1" customFormat="1" x14ac:dyDescent="0.25">
      <c r="A897" s="49">
        <v>51</v>
      </c>
      <c r="B897" s="22" t="s">
        <v>1752</v>
      </c>
      <c r="C897" s="22" t="s">
        <v>1026</v>
      </c>
      <c r="D897" s="51" t="s">
        <v>1215</v>
      </c>
      <c r="E897" s="24" t="s">
        <v>1219</v>
      </c>
      <c r="F897" s="24"/>
      <c r="G897" s="24" t="s">
        <v>194</v>
      </c>
      <c r="H897" s="24" t="s">
        <v>62</v>
      </c>
      <c r="I897" s="24">
        <v>2010</v>
      </c>
      <c r="J897" s="24"/>
      <c r="K897" s="24" t="s">
        <v>63</v>
      </c>
      <c r="L897" s="24" t="s">
        <v>64</v>
      </c>
      <c r="M897" s="24">
        <v>1</v>
      </c>
      <c r="N897" s="41">
        <f t="shared" si="307"/>
        <v>9875000</v>
      </c>
      <c r="O897" s="41">
        <v>9875000</v>
      </c>
      <c r="P897" s="24"/>
      <c r="Q897" s="24"/>
      <c r="R897" s="24"/>
      <c r="S897" s="41">
        <f t="shared" si="312"/>
        <v>9875000</v>
      </c>
      <c r="T897" s="24">
        <v>5</v>
      </c>
      <c r="U897" s="41"/>
      <c r="V897" s="24">
        <v>0.5</v>
      </c>
      <c r="W897" s="41">
        <f t="shared" si="308"/>
        <v>0</v>
      </c>
      <c r="X897" s="24"/>
      <c r="Y897" s="41">
        <f t="shared" si="309"/>
        <v>0</v>
      </c>
      <c r="Z897" s="41">
        <f t="shared" si="310"/>
        <v>0</v>
      </c>
      <c r="AA897" s="24">
        <v>5</v>
      </c>
      <c r="AB897" s="41">
        <v>9875000</v>
      </c>
      <c r="AC897" s="41">
        <f t="shared" si="313"/>
        <v>0</v>
      </c>
      <c r="AD897" s="70" t="s">
        <v>222</v>
      </c>
      <c r="AE897" s="24"/>
      <c r="AF897" s="1">
        <v>9875000</v>
      </c>
      <c r="AG897" s="5">
        <f t="shared" si="306"/>
        <v>0</v>
      </c>
    </row>
    <row r="898" spans="1:33" s="1" customFormat="1" x14ac:dyDescent="0.25">
      <c r="A898" s="49">
        <v>52</v>
      </c>
      <c r="B898" s="22" t="s">
        <v>1752</v>
      </c>
      <c r="C898" s="22" t="s">
        <v>416</v>
      </c>
      <c r="D898" s="51" t="s">
        <v>1215</v>
      </c>
      <c r="E898" s="24" t="s">
        <v>1219</v>
      </c>
      <c r="F898" s="24"/>
      <c r="G898" s="24" t="s">
        <v>194</v>
      </c>
      <c r="H898" s="24" t="s">
        <v>1220</v>
      </c>
      <c r="I898" s="24">
        <v>2010</v>
      </c>
      <c r="J898" s="24"/>
      <c r="K898" s="24" t="s">
        <v>63</v>
      </c>
      <c r="L898" s="24" t="s">
        <v>64</v>
      </c>
      <c r="M898" s="24">
        <v>1</v>
      </c>
      <c r="N898" s="41">
        <f t="shared" si="307"/>
        <v>10725000</v>
      </c>
      <c r="O898" s="41">
        <v>10725000</v>
      </c>
      <c r="P898" s="24"/>
      <c r="Q898" s="24"/>
      <c r="R898" s="24"/>
      <c r="S898" s="41">
        <f t="shared" si="312"/>
        <v>10725000</v>
      </c>
      <c r="T898" s="24">
        <v>5</v>
      </c>
      <c r="U898" s="41"/>
      <c r="V898" s="24">
        <v>0.5</v>
      </c>
      <c r="W898" s="41">
        <f t="shared" si="308"/>
        <v>0</v>
      </c>
      <c r="X898" s="24"/>
      <c r="Y898" s="41">
        <f t="shared" si="309"/>
        <v>0</v>
      </c>
      <c r="Z898" s="41">
        <f t="shared" si="310"/>
        <v>0</v>
      </c>
      <c r="AA898" s="24">
        <v>5</v>
      </c>
      <c r="AB898" s="41">
        <v>10725000</v>
      </c>
      <c r="AC898" s="41">
        <f t="shared" si="313"/>
        <v>0</v>
      </c>
      <c r="AD898" s="70" t="s">
        <v>222</v>
      </c>
      <c r="AE898" s="24"/>
      <c r="AF898" s="1">
        <v>10725000</v>
      </c>
      <c r="AG898" s="5">
        <f t="shared" si="306"/>
        <v>0</v>
      </c>
    </row>
    <row r="899" spans="1:33" s="1" customFormat="1" x14ac:dyDescent="0.25">
      <c r="A899" s="49">
        <v>53</v>
      </c>
      <c r="B899" s="22" t="s">
        <v>1752</v>
      </c>
      <c r="C899" s="22" t="s">
        <v>417</v>
      </c>
      <c r="D899" s="51" t="s">
        <v>1215</v>
      </c>
      <c r="E899" s="24" t="s">
        <v>1219</v>
      </c>
      <c r="F899" s="24"/>
      <c r="G899" s="24" t="s">
        <v>194</v>
      </c>
      <c r="H899" s="24" t="s">
        <v>62</v>
      </c>
      <c r="I899" s="24">
        <v>2011</v>
      </c>
      <c r="J899" s="24"/>
      <c r="K899" s="24" t="s">
        <v>63</v>
      </c>
      <c r="L899" s="24" t="s">
        <v>64</v>
      </c>
      <c r="M899" s="24">
        <v>1</v>
      </c>
      <c r="N899" s="41">
        <f t="shared" si="307"/>
        <v>7450000</v>
      </c>
      <c r="O899" s="41">
        <v>7450000</v>
      </c>
      <c r="P899" s="24"/>
      <c r="Q899" s="24"/>
      <c r="R899" s="24"/>
      <c r="S899" s="41">
        <f t="shared" si="312"/>
        <v>7450000</v>
      </c>
      <c r="T899" s="24">
        <v>5</v>
      </c>
      <c r="U899" s="41"/>
      <c r="V899" s="24">
        <v>0.5</v>
      </c>
      <c r="W899" s="41">
        <f t="shared" si="308"/>
        <v>0</v>
      </c>
      <c r="X899" s="24"/>
      <c r="Y899" s="41">
        <f t="shared" si="309"/>
        <v>0</v>
      </c>
      <c r="Z899" s="41">
        <f t="shared" si="310"/>
        <v>0</v>
      </c>
      <c r="AA899" s="24">
        <v>5</v>
      </c>
      <c r="AB899" s="41">
        <v>7450000</v>
      </c>
      <c r="AC899" s="41">
        <f t="shared" si="313"/>
        <v>0</v>
      </c>
      <c r="AD899" s="70" t="s">
        <v>320</v>
      </c>
      <c r="AE899" s="24"/>
      <c r="AF899" s="1">
        <v>7450000</v>
      </c>
      <c r="AG899" s="5">
        <f t="shared" si="306"/>
        <v>0</v>
      </c>
    </row>
    <row r="900" spans="1:33" s="1" customFormat="1" x14ac:dyDescent="0.25">
      <c r="A900" s="49">
        <v>54</v>
      </c>
      <c r="B900" s="22" t="s">
        <v>1752</v>
      </c>
      <c r="C900" s="22" t="s">
        <v>1028</v>
      </c>
      <c r="D900" s="51" t="s">
        <v>1215</v>
      </c>
      <c r="E900" s="24" t="s">
        <v>1219</v>
      </c>
      <c r="F900" s="24"/>
      <c r="G900" s="24" t="s">
        <v>194</v>
      </c>
      <c r="H900" s="24" t="s">
        <v>62</v>
      </c>
      <c r="I900" s="24">
        <v>2011</v>
      </c>
      <c r="J900" s="24"/>
      <c r="K900" s="24" t="s">
        <v>63</v>
      </c>
      <c r="L900" s="24" t="s">
        <v>64</v>
      </c>
      <c r="M900" s="24">
        <v>1</v>
      </c>
      <c r="N900" s="41">
        <f t="shared" si="307"/>
        <v>7450000</v>
      </c>
      <c r="O900" s="41">
        <v>7450000</v>
      </c>
      <c r="P900" s="24"/>
      <c r="Q900" s="24"/>
      <c r="R900" s="24"/>
      <c r="S900" s="41">
        <f t="shared" si="312"/>
        <v>7450000</v>
      </c>
      <c r="T900" s="24">
        <v>5</v>
      </c>
      <c r="U900" s="41"/>
      <c r="V900" s="24">
        <v>0.5</v>
      </c>
      <c r="W900" s="41">
        <f t="shared" si="308"/>
        <v>0</v>
      </c>
      <c r="X900" s="24"/>
      <c r="Y900" s="41">
        <f t="shared" si="309"/>
        <v>0</v>
      </c>
      <c r="Z900" s="41">
        <f t="shared" si="310"/>
        <v>0</v>
      </c>
      <c r="AA900" s="24">
        <v>5</v>
      </c>
      <c r="AB900" s="41">
        <v>7450000</v>
      </c>
      <c r="AC900" s="41">
        <f t="shared" si="313"/>
        <v>0</v>
      </c>
      <c r="AD900" s="70" t="s">
        <v>222</v>
      </c>
      <c r="AE900" s="24"/>
      <c r="AF900" s="1">
        <v>7450000</v>
      </c>
      <c r="AG900" s="5">
        <f t="shared" si="306"/>
        <v>0</v>
      </c>
    </row>
    <row r="901" spans="1:33" s="1" customFormat="1" x14ac:dyDescent="0.25">
      <c r="A901" s="49">
        <v>55</v>
      </c>
      <c r="B901" s="22" t="s">
        <v>1752</v>
      </c>
      <c r="C901" s="22" t="s">
        <v>1029</v>
      </c>
      <c r="D901" s="51" t="s">
        <v>1215</v>
      </c>
      <c r="E901" s="24" t="s">
        <v>1219</v>
      </c>
      <c r="F901" s="24"/>
      <c r="G901" s="24" t="s">
        <v>194</v>
      </c>
      <c r="H901" s="24" t="s">
        <v>62</v>
      </c>
      <c r="I901" s="24">
        <v>2011</v>
      </c>
      <c r="J901" s="24"/>
      <c r="K901" s="24" t="s">
        <v>63</v>
      </c>
      <c r="L901" s="24" t="s">
        <v>64</v>
      </c>
      <c r="M901" s="24">
        <v>1</v>
      </c>
      <c r="N901" s="41">
        <f t="shared" si="307"/>
        <v>7450000</v>
      </c>
      <c r="O901" s="41">
        <v>7450000</v>
      </c>
      <c r="P901" s="24"/>
      <c r="Q901" s="24"/>
      <c r="R901" s="24"/>
      <c r="S901" s="41">
        <f t="shared" si="312"/>
        <v>7450000</v>
      </c>
      <c r="T901" s="24">
        <v>5</v>
      </c>
      <c r="U901" s="41"/>
      <c r="V901" s="24">
        <v>0.5</v>
      </c>
      <c r="W901" s="41">
        <f t="shared" si="308"/>
        <v>0</v>
      </c>
      <c r="X901" s="24"/>
      <c r="Y901" s="41">
        <f t="shared" si="309"/>
        <v>0</v>
      </c>
      <c r="Z901" s="41">
        <f t="shared" si="310"/>
        <v>0</v>
      </c>
      <c r="AA901" s="24">
        <v>5</v>
      </c>
      <c r="AB901" s="41">
        <v>7450000</v>
      </c>
      <c r="AC901" s="41">
        <f t="shared" si="313"/>
        <v>0</v>
      </c>
      <c r="AD901" s="70" t="s">
        <v>217</v>
      </c>
      <c r="AE901" s="24"/>
      <c r="AF901" s="1">
        <v>7450000</v>
      </c>
      <c r="AG901" s="5">
        <f t="shared" si="306"/>
        <v>0</v>
      </c>
    </row>
    <row r="902" spans="1:33" s="1" customFormat="1" x14ac:dyDescent="0.25">
      <c r="A902" s="49">
        <v>56</v>
      </c>
      <c r="B902" s="22" t="s">
        <v>1752</v>
      </c>
      <c r="C902" s="22" t="s">
        <v>1030</v>
      </c>
      <c r="D902" s="51" t="s">
        <v>1215</v>
      </c>
      <c r="E902" s="24" t="s">
        <v>1219</v>
      </c>
      <c r="F902" s="24"/>
      <c r="G902" s="24" t="s">
        <v>194</v>
      </c>
      <c r="H902" s="24" t="s">
        <v>62</v>
      </c>
      <c r="I902" s="24">
        <v>2011</v>
      </c>
      <c r="J902" s="24"/>
      <c r="K902" s="24" t="s">
        <v>63</v>
      </c>
      <c r="L902" s="24" t="s">
        <v>64</v>
      </c>
      <c r="M902" s="24">
        <v>1</v>
      </c>
      <c r="N902" s="41">
        <f t="shared" si="307"/>
        <v>7450000</v>
      </c>
      <c r="O902" s="41">
        <v>7450000</v>
      </c>
      <c r="P902" s="24"/>
      <c r="Q902" s="24"/>
      <c r="R902" s="24"/>
      <c r="S902" s="41">
        <f t="shared" si="312"/>
        <v>7450000</v>
      </c>
      <c r="T902" s="24">
        <v>5</v>
      </c>
      <c r="U902" s="41"/>
      <c r="V902" s="24">
        <v>0.5</v>
      </c>
      <c r="W902" s="41">
        <f t="shared" si="308"/>
        <v>0</v>
      </c>
      <c r="X902" s="24"/>
      <c r="Y902" s="41">
        <f t="shared" si="309"/>
        <v>0</v>
      </c>
      <c r="Z902" s="41">
        <f t="shared" si="310"/>
        <v>0</v>
      </c>
      <c r="AA902" s="24">
        <v>5</v>
      </c>
      <c r="AB902" s="41">
        <v>7450000</v>
      </c>
      <c r="AC902" s="41">
        <f t="shared" si="313"/>
        <v>0</v>
      </c>
      <c r="AD902" s="70" t="s">
        <v>1221</v>
      </c>
      <c r="AE902" s="24"/>
      <c r="AF902" s="1">
        <v>7450000</v>
      </c>
      <c r="AG902" s="5">
        <f t="shared" si="306"/>
        <v>0</v>
      </c>
    </row>
    <row r="903" spans="1:33" s="1" customFormat="1" x14ac:dyDescent="0.25">
      <c r="A903" s="49">
        <v>57</v>
      </c>
      <c r="B903" s="22" t="s">
        <v>1752</v>
      </c>
      <c r="C903" s="22" t="s">
        <v>1032</v>
      </c>
      <c r="D903" s="51" t="s">
        <v>1215</v>
      </c>
      <c r="E903" s="24" t="s">
        <v>1222</v>
      </c>
      <c r="F903" s="24"/>
      <c r="G903" s="24" t="s">
        <v>194</v>
      </c>
      <c r="H903" s="24" t="s">
        <v>62</v>
      </c>
      <c r="I903" s="24">
        <v>2012</v>
      </c>
      <c r="J903" s="24"/>
      <c r="K903" s="24" t="s">
        <v>63</v>
      </c>
      <c r="L903" s="24" t="s">
        <v>64</v>
      </c>
      <c r="M903" s="24">
        <v>1</v>
      </c>
      <c r="N903" s="41">
        <f t="shared" si="307"/>
        <v>8690000</v>
      </c>
      <c r="O903" s="41">
        <v>8690000</v>
      </c>
      <c r="P903" s="24"/>
      <c r="Q903" s="24"/>
      <c r="R903" s="24"/>
      <c r="S903" s="41">
        <f t="shared" si="312"/>
        <v>8690000</v>
      </c>
      <c r="T903" s="24">
        <v>5</v>
      </c>
      <c r="U903" s="41"/>
      <c r="V903" s="24">
        <v>0.5</v>
      </c>
      <c r="W903" s="41">
        <f t="shared" si="308"/>
        <v>0</v>
      </c>
      <c r="X903" s="24"/>
      <c r="Y903" s="41">
        <f t="shared" si="309"/>
        <v>0</v>
      </c>
      <c r="Z903" s="41">
        <f t="shared" si="310"/>
        <v>0</v>
      </c>
      <c r="AA903" s="24">
        <v>5</v>
      </c>
      <c r="AB903" s="41">
        <v>8690000</v>
      </c>
      <c r="AC903" s="41">
        <f t="shared" si="313"/>
        <v>0</v>
      </c>
      <c r="AD903" s="70" t="s">
        <v>324</v>
      </c>
      <c r="AE903" s="24"/>
      <c r="AF903" s="1">
        <v>8690000</v>
      </c>
      <c r="AG903" s="5">
        <f t="shared" si="306"/>
        <v>0</v>
      </c>
    </row>
    <row r="904" spans="1:33" s="1" customFormat="1" x14ac:dyDescent="0.25">
      <c r="A904" s="49">
        <v>58</v>
      </c>
      <c r="B904" s="22" t="s">
        <v>1752</v>
      </c>
      <c r="C904" s="22" t="s">
        <v>1212</v>
      </c>
      <c r="D904" s="51" t="s">
        <v>1215</v>
      </c>
      <c r="E904" s="24" t="s">
        <v>1222</v>
      </c>
      <c r="F904" s="24"/>
      <c r="G904" s="24" t="s">
        <v>194</v>
      </c>
      <c r="H904" s="24" t="s">
        <v>62</v>
      </c>
      <c r="I904" s="24">
        <v>2012</v>
      </c>
      <c r="J904" s="24"/>
      <c r="K904" s="24" t="s">
        <v>63</v>
      </c>
      <c r="L904" s="24" t="s">
        <v>64</v>
      </c>
      <c r="M904" s="24">
        <v>1</v>
      </c>
      <c r="N904" s="41">
        <f t="shared" si="307"/>
        <v>8690000</v>
      </c>
      <c r="O904" s="41">
        <v>8690000</v>
      </c>
      <c r="P904" s="24"/>
      <c r="Q904" s="24"/>
      <c r="R904" s="24"/>
      <c r="S904" s="41">
        <f t="shared" si="312"/>
        <v>8690000</v>
      </c>
      <c r="T904" s="24">
        <v>5</v>
      </c>
      <c r="U904" s="41"/>
      <c r="V904" s="24">
        <v>0.5</v>
      </c>
      <c r="W904" s="41">
        <f t="shared" si="308"/>
        <v>0</v>
      </c>
      <c r="X904" s="24"/>
      <c r="Y904" s="41">
        <f t="shared" si="309"/>
        <v>0</v>
      </c>
      <c r="Z904" s="41">
        <f t="shared" si="310"/>
        <v>0</v>
      </c>
      <c r="AA904" s="24">
        <v>5</v>
      </c>
      <c r="AB904" s="41">
        <v>8690000</v>
      </c>
      <c r="AC904" s="41">
        <f t="shared" si="313"/>
        <v>0</v>
      </c>
      <c r="AD904" s="70" t="s">
        <v>326</v>
      </c>
      <c r="AE904" s="24"/>
      <c r="AF904" s="1">
        <v>8690000</v>
      </c>
      <c r="AG904" s="5">
        <f t="shared" si="306"/>
        <v>0</v>
      </c>
    </row>
    <row r="905" spans="1:33" s="1" customFormat="1" x14ac:dyDescent="0.25">
      <c r="A905" s="49">
        <v>59</v>
      </c>
      <c r="B905" s="22" t="s">
        <v>1752</v>
      </c>
      <c r="C905" s="22" t="s">
        <v>791</v>
      </c>
      <c r="D905" s="51" t="s">
        <v>1215</v>
      </c>
      <c r="E905" s="24" t="s">
        <v>1222</v>
      </c>
      <c r="F905" s="24"/>
      <c r="G905" s="24" t="s">
        <v>194</v>
      </c>
      <c r="H905" s="24" t="s">
        <v>62</v>
      </c>
      <c r="I905" s="24">
        <v>2012</v>
      </c>
      <c r="J905" s="24"/>
      <c r="K905" s="24" t="s">
        <v>63</v>
      </c>
      <c r="L905" s="24" t="s">
        <v>64</v>
      </c>
      <c r="M905" s="24">
        <v>1</v>
      </c>
      <c r="N905" s="41">
        <f t="shared" si="307"/>
        <v>8690000</v>
      </c>
      <c r="O905" s="41">
        <v>8690000</v>
      </c>
      <c r="P905" s="24"/>
      <c r="Q905" s="24"/>
      <c r="R905" s="24"/>
      <c r="S905" s="41">
        <f t="shared" si="312"/>
        <v>8690000</v>
      </c>
      <c r="T905" s="24">
        <v>5</v>
      </c>
      <c r="U905" s="41"/>
      <c r="V905" s="24">
        <v>0.5</v>
      </c>
      <c r="W905" s="41">
        <f t="shared" si="308"/>
        <v>0</v>
      </c>
      <c r="X905" s="24"/>
      <c r="Y905" s="41">
        <f t="shared" si="309"/>
        <v>0</v>
      </c>
      <c r="Z905" s="41">
        <f t="shared" si="310"/>
        <v>0</v>
      </c>
      <c r="AA905" s="24">
        <v>5</v>
      </c>
      <c r="AB905" s="41">
        <v>8690000</v>
      </c>
      <c r="AC905" s="41">
        <f t="shared" si="313"/>
        <v>0</v>
      </c>
      <c r="AD905" s="70" t="s">
        <v>1223</v>
      </c>
      <c r="AE905" s="24"/>
      <c r="AF905" s="1">
        <v>8690000</v>
      </c>
      <c r="AG905" s="5">
        <f t="shared" si="306"/>
        <v>0</v>
      </c>
    </row>
    <row r="906" spans="1:33" s="1" customFormat="1" x14ac:dyDescent="0.25">
      <c r="A906" s="49">
        <v>60</v>
      </c>
      <c r="B906" s="22" t="s">
        <v>1752</v>
      </c>
      <c r="C906" s="22" t="s">
        <v>420</v>
      </c>
      <c r="D906" s="51" t="s">
        <v>1215</v>
      </c>
      <c r="E906" s="24" t="s">
        <v>1222</v>
      </c>
      <c r="F906" s="24"/>
      <c r="G906" s="24" t="s">
        <v>194</v>
      </c>
      <c r="H906" s="24" t="s">
        <v>62</v>
      </c>
      <c r="I906" s="24">
        <v>2013</v>
      </c>
      <c r="J906" s="24"/>
      <c r="K906" s="24" t="s">
        <v>63</v>
      </c>
      <c r="L906" s="24" t="s">
        <v>64</v>
      </c>
      <c r="M906" s="24">
        <v>1</v>
      </c>
      <c r="N906" s="41">
        <f t="shared" si="307"/>
        <v>8000000</v>
      </c>
      <c r="O906" s="41">
        <v>8000000</v>
      </c>
      <c r="P906" s="24"/>
      <c r="Q906" s="24"/>
      <c r="R906" s="24"/>
      <c r="S906" s="41">
        <f t="shared" si="312"/>
        <v>8000000</v>
      </c>
      <c r="T906" s="24">
        <v>5</v>
      </c>
      <c r="U906" s="41"/>
      <c r="V906" s="24">
        <v>0.5</v>
      </c>
      <c r="W906" s="41">
        <f t="shared" si="308"/>
        <v>0</v>
      </c>
      <c r="X906" s="24"/>
      <c r="Y906" s="41">
        <f t="shared" si="309"/>
        <v>0</v>
      </c>
      <c r="Z906" s="41">
        <f t="shared" si="310"/>
        <v>0</v>
      </c>
      <c r="AA906" s="24">
        <v>5</v>
      </c>
      <c r="AB906" s="41">
        <v>8000000</v>
      </c>
      <c r="AC906" s="41">
        <f t="shared" si="313"/>
        <v>0</v>
      </c>
      <c r="AD906" s="70" t="s">
        <v>540</v>
      </c>
      <c r="AE906" s="24"/>
      <c r="AF906" s="1">
        <v>8000000</v>
      </c>
      <c r="AG906" s="5">
        <f t="shared" si="306"/>
        <v>0</v>
      </c>
    </row>
    <row r="907" spans="1:33" s="1" customFormat="1" x14ac:dyDescent="0.25">
      <c r="A907" s="49">
        <v>61</v>
      </c>
      <c r="B907" s="22" t="s">
        <v>1752</v>
      </c>
      <c r="C907" s="22" t="s">
        <v>1224</v>
      </c>
      <c r="D907" s="51" t="s">
        <v>1215</v>
      </c>
      <c r="E907" s="24" t="s">
        <v>1225</v>
      </c>
      <c r="F907" s="24"/>
      <c r="G907" s="24" t="s">
        <v>194</v>
      </c>
      <c r="H907" s="24" t="s">
        <v>62</v>
      </c>
      <c r="I907" s="24">
        <v>2014</v>
      </c>
      <c r="J907" s="24"/>
      <c r="K907" s="24" t="s">
        <v>63</v>
      </c>
      <c r="L907" s="24" t="s">
        <v>64</v>
      </c>
      <c r="M907" s="24">
        <v>1</v>
      </c>
      <c r="N907" s="41">
        <f t="shared" si="307"/>
        <v>11998800</v>
      </c>
      <c r="O907" s="41">
        <v>11998800</v>
      </c>
      <c r="P907" s="24"/>
      <c r="Q907" s="24"/>
      <c r="R907" s="24"/>
      <c r="S907" s="41">
        <f t="shared" si="312"/>
        <v>11998800</v>
      </c>
      <c r="T907" s="24">
        <v>5</v>
      </c>
      <c r="U907" s="41"/>
      <c r="V907" s="24">
        <v>0.5</v>
      </c>
      <c r="W907" s="41">
        <f t="shared" si="308"/>
        <v>0</v>
      </c>
      <c r="X907" s="24"/>
      <c r="Y907" s="41">
        <f t="shared" si="309"/>
        <v>0</v>
      </c>
      <c r="Z907" s="41">
        <f t="shared" si="310"/>
        <v>0</v>
      </c>
      <c r="AA907" s="24">
        <v>5</v>
      </c>
      <c r="AB907" s="41">
        <v>11998800</v>
      </c>
      <c r="AC907" s="41">
        <f t="shared" si="313"/>
        <v>0</v>
      </c>
      <c r="AD907" s="70" t="s">
        <v>320</v>
      </c>
      <c r="AE907" s="24"/>
      <c r="AF907" s="1">
        <v>11998800</v>
      </c>
      <c r="AG907" s="5">
        <f t="shared" si="306"/>
        <v>0</v>
      </c>
    </row>
    <row r="908" spans="1:33" s="1" customFormat="1" x14ac:dyDescent="0.25">
      <c r="A908" s="49">
        <v>62</v>
      </c>
      <c r="B908" s="22" t="s">
        <v>1752</v>
      </c>
      <c r="C908" s="22" t="s">
        <v>1226</v>
      </c>
      <c r="D908" s="51" t="s">
        <v>1215</v>
      </c>
      <c r="E908" s="24" t="s">
        <v>1225</v>
      </c>
      <c r="F908" s="24"/>
      <c r="G908" s="24" t="s">
        <v>194</v>
      </c>
      <c r="H908" s="24" t="s">
        <v>62</v>
      </c>
      <c r="I908" s="24">
        <v>2014</v>
      </c>
      <c r="J908" s="24"/>
      <c r="K908" s="24" t="s">
        <v>63</v>
      </c>
      <c r="L908" s="24" t="s">
        <v>64</v>
      </c>
      <c r="M908" s="24">
        <v>1</v>
      </c>
      <c r="N908" s="41">
        <f t="shared" si="307"/>
        <v>11998800</v>
      </c>
      <c r="O908" s="41">
        <v>11998800</v>
      </c>
      <c r="P908" s="24"/>
      <c r="Q908" s="24"/>
      <c r="R908" s="24"/>
      <c r="S908" s="41">
        <f t="shared" si="312"/>
        <v>11998800</v>
      </c>
      <c r="T908" s="24">
        <v>5</v>
      </c>
      <c r="U908" s="41"/>
      <c r="V908" s="24">
        <v>0.5</v>
      </c>
      <c r="W908" s="41">
        <f t="shared" si="308"/>
        <v>0</v>
      </c>
      <c r="X908" s="24"/>
      <c r="Y908" s="41">
        <f t="shared" si="309"/>
        <v>0</v>
      </c>
      <c r="Z908" s="41">
        <f t="shared" si="310"/>
        <v>0</v>
      </c>
      <c r="AA908" s="24">
        <v>5</v>
      </c>
      <c r="AB908" s="41">
        <v>11998800</v>
      </c>
      <c r="AC908" s="41">
        <f t="shared" si="313"/>
        <v>0</v>
      </c>
      <c r="AD908" s="70" t="s">
        <v>276</v>
      </c>
      <c r="AE908" s="24"/>
      <c r="AF908" s="1">
        <v>11998800</v>
      </c>
      <c r="AG908" s="5">
        <f t="shared" si="306"/>
        <v>0</v>
      </c>
    </row>
    <row r="909" spans="1:33" s="1" customFormat="1" x14ac:dyDescent="0.25">
      <c r="A909" s="49">
        <v>63</v>
      </c>
      <c r="B909" s="22" t="s">
        <v>1752</v>
      </c>
      <c r="C909" s="22" t="s">
        <v>1227</v>
      </c>
      <c r="D909" s="51" t="s">
        <v>1215</v>
      </c>
      <c r="E909" s="24" t="s">
        <v>1225</v>
      </c>
      <c r="F909" s="24"/>
      <c r="G909" s="24" t="s">
        <v>194</v>
      </c>
      <c r="H909" s="24" t="s">
        <v>62</v>
      </c>
      <c r="I909" s="24">
        <v>2014</v>
      </c>
      <c r="J909" s="24"/>
      <c r="K909" s="24" t="s">
        <v>63</v>
      </c>
      <c r="L909" s="24" t="s">
        <v>64</v>
      </c>
      <c r="M909" s="24">
        <v>2</v>
      </c>
      <c r="N909" s="41">
        <f t="shared" si="307"/>
        <v>11998800</v>
      </c>
      <c r="O909" s="41">
        <v>23997600</v>
      </c>
      <c r="P909" s="24"/>
      <c r="Q909" s="24"/>
      <c r="R909" s="24"/>
      <c r="S909" s="41">
        <f t="shared" si="312"/>
        <v>23997600</v>
      </c>
      <c r="T909" s="24">
        <v>5</v>
      </c>
      <c r="U909" s="41"/>
      <c r="V909" s="24">
        <v>0.5</v>
      </c>
      <c r="W909" s="41">
        <f t="shared" si="308"/>
        <v>0</v>
      </c>
      <c r="X909" s="24"/>
      <c r="Y909" s="41">
        <f t="shared" si="309"/>
        <v>0</v>
      </c>
      <c r="Z909" s="41">
        <f t="shared" si="310"/>
        <v>0</v>
      </c>
      <c r="AA909" s="24">
        <v>5</v>
      </c>
      <c r="AB909" s="41">
        <v>23997600</v>
      </c>
      <c r="AC909" s="41">
        <f t="shared" si="313"/>
        <v>0</v>
      </c>
      <c r="AD909" s="70" t="s">
        <v>208</v>
      </c>
      <c r="AE909" s="24"/>
      <c r="AF909" s="1">
        <v>23997600</v>
      </c>
      <c r="AG909" s="5">
        <f t="shared" si="306"/>
        <v>0</v>
      </c>
    </row>
    <row r="910" spans="1:33" s="1" customFormat="1" x14ac:dyDescent="0.25">
      <c r="A910" s="49">
        <v>64</v>
      </c>
      <c r="B910" s="22" t="s">
        <v>1752</v>
      </c>
      <c r="C910" s="22" t="s">
        <v>1228</v>
      </c>
      <c r="D910" s="51" t="s">
        <v>1215</v>
      </c>
      <c r="E910" s="24" t="s">
        <v>1225</v>
      </c>
      <c r="F910" s="24"/>
      <c r="G910" s="24" t="s">
        <v>194</v>
      </c>
      <c r="H910" s="24" t="s">
        <v>62</v>
      </c>
      <c r="I910" s="24">
        <v>2014</v>
      </c>
      <c r="J910" s="24"/>
      <c r="K910" s="24" t="s">
        <v>63</v>
      </c>
      <c r="L910" s="24" t="s">
        <v>64</v>
      </c>
      <c r="M910" s="24">
        <v>11</v>
      </c>
      <c r="N910" s="41">
        <f t="shared" si="307"/>
        <v>11998800</v>
      </c>
      <c r="O910" s="41">
        <v>131986800</v>
      </c>
      <c r="P910" s="24"/>
      <c r="Q910" s="24"/>
      <c r="R910" s="24"/>
      <c r="S910" s="41">
        <f t="shared" si="312"/>
        <v>131986800</v>
      </c>
      <c r="T910" s="24">
        <v>5</v>
      </c>
      <c r="U910" s="41"/>
      <c r="V910" s="24">
        <v>0.5</v>
      </c>
      <c r="W910" s="41">
        <f t="shared" si="308"/>
        <v>0</v>
      </c>
      <c r="X910" s="24"/>
      <c r="Y910" s="41">
        <f t="shared" si="309"/>
        <v>0</v>
      </c>
      <c r="Z910" s="41">
        <f t="shared" si="310"/>
        <v>0</v>
      </c>
      <c r="AA910" s="24">
        <v>5</v>
      </c>
      <c r="AB910" s="41">
        <v>131986800</v>
      </c>
      <c r="AC910" s="41">
        <f t="shared" si="313"/>
        <v>0</v>
      </c>
      <c r="AD910" s="70" t="s">
        <v>250</v>
      </c>
      <c r="AE910" s="24"/>
      <c r="AF910" s="1">
        <v>131986800</v>
      </c>
      <c r="AG910" s="5">
        <f t="shared" si="306"/>
        <v>0</v>
      </c>
    </row>
    <row r="911" spans="1:33" s="1" customFormat="1" x14ac:dyDescent="0.25">
      <c r="A911" s="49">
        <v>65</v>
      </c>
      <c r="B911" s="22" t="s">
        <v>1752</v>
      </c>
      <c r="C911" s="22" t="s">
        <v>435</v>
      </c>
      <c r="D911" s="51" t="s">
        <v>1215</v>
      </c>
      <c r="E911" s="24" t="s">
        <v>1187</v>
      </c>
      <c r="F911" s="24"/>
      <c r="G911" s="24" t="s">
        <v>194</v>
      </c>
      <c r="H911" s="24" t="s">
        <v>62</v>
      </c>
      <c r="I911" s="24">
        <v>2017</v>
      </c>
      <c r="J911" s="24"/>
      <c r="K911" s="24" t="s">
        <v>63</v>
      </c>
      <c r="L911" s="24" t="s">
        <v>64</v>
      </c>
      <c r="M911" s="24">
        <v>1</v>
      </c>
      <c r="N911" s="41">
        <f t="shared" si="307"/>
        <v>10593000</v>
      </c>
      <c r="O911" s="41">
        <v>10593000</v>
      </c>
      <c r="P911" s="24"/>
      <c r="Q911" s="24"/>
      <c r="R911" s="24"/>
      <c r="S911" s="41">
        <f t="shared" ref="S911:S924" si="317">SUM(O911-R911)</f>
        <v>10593000</v>
      </c>
      <c r="T911" s="24">
        <v>5</v>
      </c>
      <c r="U911" s="41"/>
      <c r="V911" s="24"/>
      <c r="W911" s="41"/>
      <c r="X911" s="24"/>
      <c r="Y911" s="41"/>
      <c r="Z911" s="41"/>
      <c r="AA911" s="69">
        <v>5</v>
      </c>
      <c r="AB911" s="41">
        <v>10593000</v>
      </c>
      <c r="AC911" s="41">
        <f t="shared" ref="AC911:AC924" si="318">SUM(O911-AB911)</f>
        <v>0</v>
      </c>
      <c r="AD911" s="70" t="s">
        <v>434</v>
      </c>
      <c r="AE911" s="24"/>
      <c r="AF911" s="1">
        <v>10593000</v>
      </c>
      <c r="AG911" s="5">
        <f t="shared" si="306"/>
        <v>0</v>
      </c>
    </row>
    <row r="912" spans="1:33" s="1" customFormat="1" x14ac:dyDescent="0.25">
      <c r="A912" s="49">
        <v>66</v>
      </c>
      <c r="B912" s="22" t="s">
        <v>1752</v>
      </c>
      <c r="C912" s="22" t="s">
        <v>436</v>
      </c>
      <c r="D912" s="51" t="s">
        <v>1215</v>
      </c>
      <c r="E912" s="24" t="s">
        <v>1187</v>
      </c>
      <c r="F912" s="24"/>
      <c r="G912" s="24" t="s">
        <v>194</v>
      </c>
      <c r="H912" s="24" t="s">
        <v>62</v>
      </c>
      <c r="I912" s="24">
        <v>2017</v>
      </c>
      <c r="J912" s="24"/>
      <c r="K912" s="24" t="s">
        <v>63</v>
      </c>
      <c r="L912" s="24" t="s">
        <v>64</v>
      </c>
      <c r="M912" s="24">
        <v>1</v>
      </c>
      <c r="N912" s="41">
        <f t="shared" si="307"/>
        <v>10593000</v>
      </c>
      <c r="O912" s="41">
        <v>10593000</v>
      </c>
      <c r="P912" s="24"/>
      <c r="Q912" s="24"/>
      <c r="R912" s="24"/>
      <c r="S912" s="41">
        <f t="shared" si="317"/>
        <v>10593000</v>
      </c>
      <c r="T912" s="24">
        <v>5</v>
      </c>
      <c r="U912" s="41"/>
      <c r="V912" s="24"/>
      <c r="W912" s="41"/>
      <c r="X912" s="24"/>
      <c r="Y912" s="41"/>
      <c r="Z912" s="41"/>
      <c r="AA912" s="69">
        <v>5</v>
      </c>
      <c r="AB912" s="41">
        <v>10593000</v>
      </c>
      <c r="AC912" s="41">
        <f t="shared" si="318"/>
        <v>0</v>
      </c>
      <c r="AD912" s="70" t="s">
        <v>439</v>
      </c>
      <c r="AE912" s="24"/>
      <c r="AF912" s="1">
        <v>10593000</v>
      </c>
      <c r="AG912" s="5">
        <f t="shared" ref="AG912:AG923" si="319">AF912+Y912-AB912</f>
        <v>0</v>
      </c>
    </row>
    <row r="913" spans="1:33" s="1" customFormat="1" x14ac:dyDescent="0.25">
      <c r="A913" s="49">
        <v>67</v>
      </c>
      <c r="B913" s="22" t="s">
        <v>1752</v>
      </c>
      <c r="C913" s="22" t="s">
        <v>437</v>
      </c>
      <c r="D913" s="51" t="s">
        <v>1215</v>
      </c>
      <c r="E913" s="24" t="s">
        <v>1187</v>
      </c>
      <c r="F913" s="24"/>
      <c r="G913" s="24" t="s">
        <v>194</v>
      </c>
      <c r="H913" s="24" t="s">
        <v>62</v>
      </c>
      <c r="I913" s="24">
        <v>2017</v>
      </c>
      <c r="J913" s="24"/>
      <c r="K913" s="24" t="s">
        <v>63</v>
      </c>
      <c r="L913" s="24" t="s">
        <v>64</v>
      </c>
      <c r="M913" s="24">
        <v>1</v>
      </c>
      <c r="N913" s="41">
        <f t="shared" si="307"/>
        <v>10593000</v>
      </c>
      <c r="O913" s="41">
        <v>10593000</v>
      </c>
      <c r="P913" s="24"/>
      <c r="Q913" s="24"/>
      <c r="R913" s="24"/>
      <c r="S913" s="41">
        <f t="shared" si="317"/>
        <v>10593000</v>
      </c>
      <c r="T913" s="24">
        <v>5</v>
      </c>
      <c r="U913" s="41"/>
      <c r="V913" s="24"/>
      <c r="W913" s="41"/>
      <c r="X913" s="24"/>
      <c r="Y913" s="41"/>
      <c r="Z913" s="41"/>
      <c r="AA913" s="69">
        <v>5</v>
      </c>
      <c r="AB913" s="41">
        <v>10593000</v>
      </c>
      <c r="AC913" s="41">
        <f t="shared" si="318"/>
        <v>0</v>
      </c>
      <c r="AD913" s="70" t="s">
        <v>326</v>
      </c>
      <c r="AE913" s="24"/>
      <c r="AF913" s="1">
        <v>10593000</v>
      </c>
      <c r="AG913" s="5">
        <f t="shared" si="319"/>
        <v>0</v>
      </c>
    </row>
    <row r="914" spans="1:33" s="1" customFormat="1" x14ac:dyDescent="0.25">
      <c r="A914" s="49">
        <v>68</v>
      </c>
      <c r="B914" s="22" t="s">
        <v>1752</v>
      </c>
      <c r="C914" s="22" t="s">
        <v>438</v>
      </c>
      <c r="D914" s="51" t="s">
        <v>1215</v>
      </c>
      <c r="E914" s="24" t="s">
        <v>1187</v>
      </c>
      <c r="F914" s="24"/>
      <c r="G914" s="24" t="s">
        <v>194</v>
      </c>
      <c r="H914" s="24" t="s">
        <v>62</v>
      </c>
      <c r="I914" s="24">
        <v>2017</v>
      </c>
      <c r="J914" s="24"/>
      <c r="K914" s="24" t="s">
        <v>63</v>
      </c>
      <c r="L914" s="24" t="s">
        <v>64</v>
      </c>
      <c r="M914" s="24">
        <v>1</v>
      </c>
      <c r="N914" s="41">
        <f t="shared" si="307"/>
        <v>10593000</v>
      </c>
      <c r="O914" s="41">
        <v>10593000</v>
      </c>
      <c r="P914" s="24"/>
      <c r="Q914" s="24"/>
      <c r="R914" s="24"/>
      <c r="S914" s="41">
        <f t="shared" si="317"/>
        <v>10593000</v>
      </c>
      <c r="T914" s="24">
        <v>5</v>
      </c>
      <c r="U914" s="41"/>
      <c r="V914" s="24"/>
      <c r="W914" s="41"/>
      <c r="X914" s="24"/>
      <c r="Y914" s="41"/>
      <c r="Z914" s="41"/>
      <c r="AA914" s="69">
        <v>5</v>
      </c>
      <c r="AB914" s="41">
        <v>10593000</v>
      </c>
      <c r="AC914" s="41">
        <f t="shared" si="318"/>
        <v>0</v>
      </c>
      <c r="AD914" s="70" t="s">
        <v>324</v>
      </c>
      <c r="AE914" s="24"/>
      <c r="AF914" s="1">
        <v>10593000</v>
      </c>
      <c r="AG914" s="5">
        <f t="shared" si="319"/>
        <v>0</v>
      </c>
    </row>
    <row r="915" spans="1:33" s="1" customFormat="1" x14ac:dyDescent="0.25">
      <c r="A915" s="49">
        <v>69</v>
      </c>
      <c r="B915" s="22" t="s">
        <v>1752</v>
      </c>
      <c r="C915" s="22" t="s">
        <v>1229</v>
      </c>
      <c r="D915" s="51" t="s">
        <v>1215</v>
      </c>
      <c r="E915" s="24" t="s">
        <v>1230</v>
      </c>
      <c r="F915" s="24"/>
      <c r="G915" s="24" t="s">
        <v>194</v>
      </c>
      <c r="H915" s="24" t="s">
        <v>62</v>
      </c>
      <c r="I915" s="24">
        <v>2017</v>
      </c>
      <c r="J915" s="24"/>
      <c r="K915" s="24" t="s">
        <v>63</v>
      </c>
      <c r="L915" s="24" t="s">
        <v>64</v>
      </c>
      <c r="M915" s="24">
        <v>2</v>
      </c>
      <c r="N915" s="41">
        <f t="shared" si="307"/>
        <v>10780000</v>
      </c>
      <c r="O915" s="41">
        <v>21560000</v>
      </c>
      <c r="P915" s="24"/>
      <c r="Q915" s="24"/>
      <c r="R915" s="24"/>
      <c r="S915" s="41">
        <f t="shared" si="317"/>
        <v>21560000</v>
      </c>
      <c r="T915" s="24">
        <v>5</v>
      </c>
      <c r="U915" s="41"/>
      <c r="V915" s="24"/>
      <c r="W915" s="41"/>
      <c r="X915" s="24"/>
      <c r="Y915" s="41"/>
      <c r="Z915" s="41"/>
      <c r="AA915" s="69">
        <v>5</v>
      </c>
      <c r="AB915" s="41">
        <v>21560000</v>
      </c>
      <c r="AC915" s="41">
        <f t="shared" si="318"/>
        <v>0</v>
      </c>
      <c r="AD915" s="70" t="s">
        <v>213</v>
      </c>
      <c r="AE915" s="24"/>
      <c r="AF915" s="1">
        <v>21560000</v>
      </c>
      <c r="AG915" s="5">
        <f t="shared" si="319"/>
        <v>0</v>
      </c>
    </row>
    <row r="916" spans="1:33" s="1" customFormat="1" x14ac:dyDescent="0.25">
      <c r="A916" s="49">
        <v>70</v>
      </c>
      <c r="B916" s="22" t="s">
        <v>1752</v>
      </c>
      <c r="C916" s="22" t="s">
        <v>442</v>
      </c>
      <c r="D916" s="51" t="s">
        <v>1215</v>
      </c>
      <c r="E916" s="24" t="s">
        <v>1230</v>
      </c>
      <c r="F916" s="24"/>
      <c r="G916" s="24" t="s">
        <v>194</v>
      </c>
      <c r="H916" s="24" t="s">
        <v>62</v>
      </c>
      <c r="I916" s="24">
        <v>2017</v>
      </c>
      <c r="J916" s="24"/>
      <c r="K916" s="24" t="s">
        <v>63</v>
      </c>
      <c r="L916" s="24" t="s">
        <v>64</v>
      </c>
      <c r="M916" s="24">
        <v>1</v>
      </c>
      <c r="N916" s="41">
        <f t="shared" si="307"/>
        <v>10780000</v>
      </c>
      <c r="O916" s="41">
        <v>10780000</v>
      </c>
      <c r="P916" s="24"/>
      <c r="Q916" s="24"/>
      <c r="R916" s="24"/>
      <c r="S916" s="41">
        <f t="shared" si="317"/>
        <v>10780000</v>
      </c>
      <c r="T916" s="24">
        <v>5</v>
      </c>
      <c r="U916" s="41"/>
      <c r="V916" s="24"/>
      <c r="W916" s="41"/>
      <c r="X916" s="24"/>
      <c r="Y916" s="41"/>
      <c r="Z916" s="41"/>
      <c r="AA916" s="69">
        <v>5</v>
      </c>
      <c r="AB916" s="41">
        <v>10780000</v>
      </c>
      <c r="AC916" s="41">
        <f t="shared" si="318"/>
        <v>0</v>
      </c>
      <c r="AD916" s="70" t="s">
        <v>276</v>
      </c>
      <c r="AE916" s="24"/>
      <c r="AF916" s="1">
        <v>10780000</v>
      </c>
      <c r="AG916" s="5">
        <f t="shared" si="319"/>
        <v>0</v>
      </c>
    </row>
    <row r="917" spans="1:33" s="1" customFormat="1" x14ac:dyDescent="0.25">
      <c r="A917" s="49">
        <v>71</v>
      </c>
      <c r="B917" s="22" t="s">
        <v>1752</v>
      </c>
      <c r="C917" s="22" t="s">
        <v>443</v>
      </c>
      <c r="D917" s="51" t="s">
        <v>1215</v>
      </c>
      <c r="E917" s="24" t="s">
        <v>1230</v>
      </c>
      <c r="F917" s="24"/>
      <c r="G917" s="24" t="s">
        <v>194</v>
      </c>
      <c r="H917" s="24" t="s">
        <v>62</v>
      </c>
      <c r="I917" s="24">
        <v>2017</v>
      </c>
      <c r="J917" s="24"/>
      <c r="K917" s="24" t="s">
        <v>63</v>
      </c>
      <c r="L917" s="24" t="s">
        <v>64</v>
      </c>
      <c r="M917" s="24">
        <v>1</v>
      </c>
      <c r="N917" s="41">
        <f t="shared" si="307"/>
        <v>10780000</v>
      </c>
      <c r="O917" s="41">
        <v>10780000</v>
      </c>
      <c r="P917" s="24"/>
      <c r="Q917" s="24"/>
      <c r="R917" s="24"/>
      <c r="S917" s="41">
        <f t="shared" si="317"/>
        <v>10780000</v>
      </c>
      <c r="T917" s="24">
        <v>5</v>
      </c>
      <c r="U917" s="41"/>
      <c r="V917" s="24"/>
      <c r="W917" s="41"/>
      <c r="X917" s="24"/>
      <c r="Y917" s="41"/>
      <c r="Z917" s="41"/>
      <c r="AA917" s="69">
        <v>5</v>
      </c>
      <c r="AB917" s="41">
        <v>10780000</v>
      </c>
      <c r="AC917" s="41">
        <f t="shared" si="318"/>
        <v>0</v>
      </c>
      <c r="AD917" s="70" t="s">
        <v>226</v>
      </c>
      <c r="AE917" s="24"/>
      <c r="AF917" s="1">
        <v>10780000</v>
      </c>
      <c r="AG917" s="5">
        <f t="shared" si="319"/>
        <v>0</v>
      </c>
    </row>
    <row r="918" spans="1:33" s="1" customFormat="1" x14ac:dyDescent="0.25">
      <c r="A918" s="49">
        <v>72</v>
      </c>
      <c r="B918" s="22" t="s">
        <v>1752</v>
      </c>
      <c r="C918" s="22" t="s">
        <v>1231</v>
      </c>
      <c r="D918" s="51" t="s">
        <v>1215</v>
      </c>
      <c r="E918" s="24" t="s">
        <v>1232</v>
      </c>
      <c r="F918" s="24"/>
      <c r="G918" s="24" t="s">
        <v>194</v>
      </c>
      <c r="H918" s="24" t="s">
        <v>62</v>
      </c>
      <c r="I918" s="24">
        <v>2018</v>
      </c>
      <c r="J918" s="24"/>
      <c r="K918" s="24" t="s">
        <v>63</v>
      </c>
      <c r="L918" s="24" t="s">
        <v>64</v>
      </c>
      <c r="M918" s="24">
        <v>16</v>
      </c>
      <c r="N918" s="41">
        <f t="shared" si="307"/>
        <v>8900480</v>
      </c>
      <c r="O918" s="41">
        <v>142407680</v>
      </c>
      <c r="P918" s="24"/>
      <c r="Q918" s="24"/>
      <c r="R918" s="24"/>
      <c r="S918" s="41">
        <f t="shared" si="317"/>
        <v>142407680</v>
      </c>
      <c r="T918" s="24">
        <v>5</v>
      </c>
      <c r="U918" s="41">
        <f t="shared" ref="U918:U923" si="320">SUM(S918/T918)</f>
        <v>28481536</v>
      </c>
      <c r="V918" s="24">
        <v>0.5</v>
      </c>
      <c r="W918" s="41">
        <f>SUM(U918*V918)</f>
        <v>14240768</v>
      </c>
      <c r="X918" s="24">
        <v>0.5</v>
      </c>
      <c r="Y918" s="41">
        <f>SUM(U918*X918)-9493845.33</f>
        <v>4746922.67</v>
      </c>
      <c r="Z918" s="41">
        <f t="shared" si="310"/>
        <v>18987690.670000002</v>
      </c>
      <c r="AA918" s="69">
        <v>5</v>
      </c>
      <c r="AB918" s="41">
        <f t="shared" ref="AB918:AB920" si="321">SUM(U918*AA918)</f>
        <v>142407680</v>
      </c>
      <c r="AC918" s="41">
        <f t="shared" si="318"/>
        <v>0</v>
      </c>
      <c r="AD918" s="70" t="s">
        <v>213</v>
      </c>
      <c r="AE918" s="24"/>
      <c r="AF918" s="1">
        <v>137660757.33333331</v>
      </c>
      <c r="AG918" s="5">
        <f t="shared" si="319"/>
        <v>3.3333003520965576E-3</v>
      </c>
    </row>
    <row r="919" spans="1:33" s="1" customFormat="1" x14ac:dyDescent="0.25">
      <c r="A919" s="49">
        <v>73</v>
      </c>
      <c r="B919" s="22" t="s">
        <v>1752</v>
      </c>
      <c r="C919" s="73" t="s">
        <v>1233</v>
      </c>
      <c r="D919" s="51" t="s">
        <v>1215</v>
      </c>
      <c r="E919" s="52" t="s">
        <v>1234</v>
      </c>
      <c r="F919" s="52"/>
      <c r="G919" s="52" t="s">
        <v>194</v>
      </c>
      <c r="H919" s="52" t="s">
        <v>62</v>
      </c>
      <c r="I919" s="52">
        <v>2019</v>
      </c>
      <c r="J919" s="52"/>
      <c r="K919" s="52" t="s">
        <v>63</v>
      </c>
      <c r="L919" s="52" t="s">
        <v>64</v>
      </c>
      <c r="M919" s="52">
        <v>1</v>
      </c>
      <c r="N919" s="53">
        <v>14960000</v>
      </c>
      <c r="O919" s="53">
        <v>14960000</v>
      </c>
      <c r="P919" s="52"/>
      <c r="Q919" s="52"/>
      <c r="R919" s="52"/>
      <c r="S919" s="53">
        <f t="shared" si="317"/>
        <v>14960000</v>
      </c>
      <c r="T919" s="52">
        <v>5</v>
      </c>
      <c r="U919" s="53">
        <f t="shared" si="320"/>
        <v>2992000</v>
      </c>
      <c r="V919" s="52">
        <v>0.5</v>
      </c>
      <c r="W919" s="53">
        <f t="shared" si="308"/>
        <v>1496000</v>
      </c>
      <c r="X919" s="24">
        <v>0.5</v>
      </c>
      <c r="Y919" s="53">
        <f t="shared" si="309"/>
        <v>1496000</v>
      </c>
      <c r="Z919" s="53">
        <f t="shared" si="310"/>
        <v>2992000</v>
      </c>
      <c r="AA919" s="72">
        <f>2023-I919+V919+X919-8/12</f>
        <v>4.333333333333333</v>
      </c>
      <c r="AB919" s="53">
        <f t="shared" si="321"/>
        <v>12965333.333333332</v>
      </c>
      <c r="AC919" s="53">
        <f t="shared" si="318"/>
        <v>1994666.6666666679</v>
      </c>
      <c r="AD919" s="56" t="s">
        <v>331</v>
      </c>
      <c r="AE919" s="52"/>
      <c r="AF919" s="1">
        <v>11469333.333333334</v>
      </c>
      <c r="AG919" s="5">
        <f t="shared" si="319"/>
        <v>0</v>
      </c>
    </row>
    <row r="920" spans="1:33" s="1" customFormat="1" x14ac:dyDescent="0.25">
      <c r="A920" s="49">
        <v>74</v>
      </c>
      <c r="B920" s="50" t="s">
        <v>1752</v>
      </c>
      <c r="C920" s="73" t="s">
        <v>1235</v>
      </c>
      <c r="D920" s="51" t="s">
        <v>1215</v>
      </c>
      <c r="E920" s="52"/>
      <c r="F920" s="52"/>
      <c r="G920" s="52" t="s">
        <v>194</v>
      </c>
      <c r="H920" s="52" t="s">
        <v>62</v>
      </c>
      <c r="I920" s="52">
        <v>2020</v>
      </c>
      <c r="J920" s="52"/>
      <c r="K920" s="52" t="s">
        <v>63</v>
      </c>
      <c r="L920" s="52" t="s">
        <v>64</v>
      </c>
      <c r="M920" s="52">
        <v>5</v>
      </c>
      <c r="N920" s="53">
        <f>SUM(O920/M920)</f>
        <v>13077000</v>
      </c>
      <c r="O920" s="53">
        <v>65385000</v>
      </c>
      <c r="P920" s="52"/>
      <c r="Q920" s="52"/>
      <c r="R920" s="52"/>
      <c r="S920" s="53">
        <f t="shared" si="317"/>
        <v>65385000</v>
      </c>
      <c r="T920" s="52">
        <v>5</v>
      </c>
      <c r="U920" s="53">
        <f t="shared" si="320"/>
        <v>13077000</v>
      </c>
      <c r="V920" s="52">
        <v>0.5</v>
      </c>
      <c r="W920" s="53">
        <f t="shared" si="308"/>
        <v>6538500</v>
      </c>
      <c r="X920" s="24">
        <v>0.5</v>
      </c>
      <c r="Y920" s="53">
        <f t="shared" si="309"/>
        <v>6538500</v>
      </c>
      <c r="Z920" s="53">
        <f t="shared" si="310"/>
        <v>13077000</v>
      </c>
      <c r="AA920" s="72">
        <f>2023-I920+V920+X920-11/12</f>
        <v>3.0833333333333335</v>
      </c>
      <c r="AB920" s="53">
        <f t="shared" si="321"/>
        <v>40320750</v>
      </c>
      <c r="AC920" s="53">
        <f t="shared" si="318"/>
        <v>25064250</v>
      </c>
      <c r="AD920" s="56" t="s">
        <v>213</v>
      </c>
      <c r="AE920" s="52"/>
      <c r="AF920" s="1">
        <v>33782250</v>
      </c>
      <c r="AG920" s="5">
        <f t="shared" si="319"/>
        <v>0</v>
      </c>
    </row>
    <row r="921" spans="1:33" s="1" customFormat="1" x14ac:dyDescent="0.25">
      <c r="A921" s="49">
        <v>75</v>
      </c>
      <c r="B921" s="50" t="s">
        <v>1752</v>
      </c>
      <c r="C921" s="73" t="s">
        <v>58</v>
      </c>
      <c r="D921" s="51" t="s">
        <v>1236</v>
      </c>
      <c r="E921" s="52" t="s">
        <v>1210</v>
      </c>
      <c r="F921" s="52"/>
      <c r="G921" s="52" t="s">
        <v>194</v>
      </c>
      <c r="H921" s="52" t="s">
        <v>62</v>
      </c>
      <c r="I921" s="52">
        <v>2021</v>
      </c>
      <c r="J921" s="52"/>
      <c r="K921" s="52" t="s">
        <v>63</v>
      </c>
      <c r="L921" s="52" t="s">
        <v>64</v>
      </c>
      <c r="M921" s="52">
        <v>1</v>
      </c>
      <c r="N921" s="53">
        <f>SUM(O921/M921)</f>
        <v>9945000</v>
      </c>
      <c r="O921" s="53">
        <v>9945000</v>
      </c>
      <c r="P921" s="52"/>
      <c r="Q921" s="52"/>
      <c r="R921" s="52"/>
      <c r="S921" s="53">
        <f t="shared" si="317"/>
        <v>9945000</v>
      </c>
      <c r="T921" s="52">
        <v>5</v>
      </c>
      <c r="U921" s="53">
        <f t="shared" si="320"/>
        <v>1989000</v>
      </c>
      <c r="V921" s="52">
        <v>0.5</v>
      </c>
      <c r="W921" s="53">
        <f t="shared" si="308"/>
        <v>994500</v>
      </c>
      <c r="X921" s="24">
        <v>0.5</v>
      </c>
      <c r="Y921" s="53">
        <f t="shared" ref="Y921:Y923" si="322">SUM(U921*X921)</f>
        <v>994500</v>
      </c>
      <c r="Z921" s="53">
        <f t="shared" ref="Z921:Z923" si="323">SUM(W921+Y921)</f>
        <v>1989000</v>
      </c>
      <c r="AA921" s="57">
        <f>1/12+0.5+0.5+0.5+0.5</f>
        <v>2.0833333333333335</v>
      </c>
      <c r="AB921" s="53">
        <f t="shared" ref="AB921:AB924" si="324">SUM(U921*AA921)</f>
        <v>4143750.0000000005</v>
      </c>
      <c r="AC921" s="53">
        <f t="shared" si="318"/>
        <v>5801250</v>
      </c>
      <c r="AD921" s="56"/>
      <c r="AE921" s="52"/>
      <c r="AF921" s="1">
        <v>3149250.0000000005</v>
      </c>
      <c r="AG921" s="5">
        <f t="shared" si="319"/>
        <v>0</v>
      </c>
    </row>
    <row r="922" spans="1:33" s="1" customFormat="1" x14ac:dyDescent="0.25">
      <c r="A922" s="49">
        <v>76</v>
      </c>
      <c r="B922" s="50" t="s">
        <v>1752</v>
      </c>
      <c r="C922" s="73" t="s">
        <v>75</v>
      </c>
      <c r="D922" s="51" t="s">
        <v>1236</v>
      </c>
      <c r="E922" s="52" t="s">
        <v>1210</v>
      </c>
      <c r="F922" s="52"/>
      <c r="G922" s="52" t="s">
        <v>194</v>
      </c>
      <c r="H922" s="52" t="s">
        <v>62</v>
      </c>
      <c r="I922" s="52">
        <v>2022</v>
      </c>
      <c r="J922" s="52"/>
      <c r="K922" s="52" t="s">
        <v>63</v>
      </c>
      <c r="L922" s="52" t="s">
        <v>64</v>
      </c>
      <c r="M922" s="52">
        <v>1</v>
      </c>
      <c r="N922" s="53">
        <f t="shared" ref="N922:N924" si="325">SUM(O922/M922)</f>
        <v>11920115</v>
      </c>
      <c r="O922" s="53">
        <v>11920115</v>
      </c>
      <c r="P922" s="52"/>
      <c r="Q922" s="52"/>
      <c r="R922" s="52"/>
      <c r="S922" s="53">
        <f t="shared" si="317"/>
        <v>11920115</v>
      </c>
      <c r="T922" s="52">
        <v>5</v>
      </c>
      <c r="U922" s="53">
        <f t="shared" si="320"/>
        <v>2384023</v>
      </c>
      <c r="V922" s="52">
        <v>0.5</v>
      </c>
      <c r="W922" s="53">
        <f t="shared" si="308"/>
        <v>1192011.5</v>
      </c>
      <c r="X922" s="24">
        <v>0.5</v>
      </c>
      <c r="Y922" s="53">
        <f t="shared" si="322"/>
        <v>1192011.5</v>
      </c>
      <c r="Z922" s="53">
        <f t="shared" si="323"/>
        <v>2384023</v>
      </c>
      <c r="AA922" s="57">
        <f>1/12+0.5+0.5</f>
        <v>1.0833333333333335</v>
      </c>
      <c r="AB922" s="53">
        <f t="shared" si="324"/>
        <v>2582691.5833333335</v>
      </c>
      <c r="AC922" s="53">
        <f t="shared" si="318"/>
        <v>9337423.416666666</v>
      </c>
      <c r="AD922" s="56"/>
      <c r="AE922" s="52"/>
      <c r="AF922" s="1">
        <v>1390680.0833333335</v>
      </c>
      <c r="AG922" s="5">
        <f t="shared" si="319"/>
        <v>0</v>
      </c>
    </row>
    <row r="923" spans="1:33" s="1" customFormat="1" x14ac:dyDescent="0.25">
      <c r="A923" s="49">
        <v>77</v>
      </c>
      <c r="B923" s="50" t="s">
        <v>1752</v>
      </c>
      <c r="C923" s="73" t="s">
        <v>79</v>
      </c>
      <c r="D923" s="51" t="s">
        <v>1236</v>
      </c>
      <c r="E923" s="52" t="s">
        <v>1210</v>
      </c>
      <c r="F923" s="52"/>
      <c r="G923" s="52" t="s">
        <v>194</v>
      </c>
      <c r="H923" s="52" t="s">
        <v>62</v>
      </c>
      <c r="I923" s="52">
        <v>2022</v>
      </c>
      <c r="J923" s="52"/>
      <c r="K923" s="52" t="s">
        <v>63</v>
      </c>
      <c r="L923" s="52" t="s">
        <v>64</v>
      </c>
      <c r="M923" s="52">
        <v>1</v>
      </c>
      <c r="N923" s="53">
        <f t="shared" si="325"/>
        <v>11920115</v>
      </c>
      <c r="O923" s="53">
        <v>11920115</v>
      </c>
      <c r="P923" s="52"/>
      <c r="Q923" s="52"/>
      <c r="R923" s="52"/>
      <c r="S923" s="53">
        <f t="shared" si="317"/>
        <v>11920115</v>
      </c>
      <c r="T923" s="52">
        <v>5</v>
      </c>
      <c r="U923" s="53">
        <f t="shared" si="320"/>
        <v>2384023</v>
      </c>
      <c r="V923" s="52">
        <v>0.5</v>
      </c>
      <c r="W923" s="53">
        <f t="shared" ref="W923:W924" si="326">SUM(U923*V923)</f>
        <v>1192011.5</v>
      </c>
      <c r="X923" s="24">
        <v>0.5</v>
      </c>
      <c r="Y923" s="53">
        <f t="shared" si="322"/>
        <v>1192011.5</v>
      </c>
      <c r="Z923" s="53">
        <f t="shared" si="323"/>
        <v>2384023</v>
      </c>
      <c r="AA923" s="57">
        <f>1/12+0.5+0.5</f>
        <v>1.0833333333333335</v>
      </c>
      <c r="AB923" s="53">
        <f t="shared" si="324"/>
        <v>2582691.5833333335</v>
      </c>
      <c r="AC923" s="53">
        <f t="shared" si="318"/>
        <v>9337423.416666666</v>
      </c>
      <c r="AD923" s="56"/>
      <c r="AE923" s="52"/>
      <c r="AF923" s="1">
        <v>1390680.0833333335</v>
      </c>
      <c r="AG923" s="5">
        <f t="shared" si="319"/>
        <v>0</v>
      </c>
    </row>
    <row r="924" spans="1:33" s="1" customFormat="1" x14ac:dyDescent="0.25">
      <c r="A924" s="49">
        <v>82</v>
      </c>
      <c r="B924" s="22" t="s">
        <v>1753</v>
      </c>
      <c r="C924" s="22" t="s">
        <v>58</v>
      </c>
      <c r="D924" s="65" t="s">
        <v>463</v>
      </c>
      <c r="E924" s="24"/>
      <c r="F924" s="24"/>
      <c r="G924" s="24" t="s">
        <v>260</v>
      </c>
      <c r="H924" s="24" t="s">
        <v>62</v>
      </c>
      <c r="I924" s="24">
        <v>2018</v>
      </c>
      <c r="J924" s="24"/>
      <c r="K924" s="24" t="s">
        <v>261</v>
      </c>
      <c r="L924" s="24" t="s">
        <v>64</v>
      </c>
      <c r="M924" s="24">
        <v>1</v>
      </c>
      <c r="N924" s="41">
        <f t="shared" si="325"/>
        <v>139756100</v>
      </c>
      <c r="O924" s="41">
        <v>139756100</v>
      </c>
      <c r="P924" s="24"/>
      <c r="Q924" s="24"/>
      <c r="R924" s="24"/>
      <c r="S924" s="41">
        <f t="shared" si="317"/>
        <v>139756100</v>
      </c>
      <c r="T924" s="24">
        <v>40</v>
      </c>
      <c r="U924" s="41">
        <f>SUM(S924/T924)</f>
        <v>3493902.5</v>
      </c>
      <c r="V924" s="24">
        <v>0.5</v>
      </c>
      <c r="W924" s="41">
        <f t="shared" si="326"/>
        <v>1746951.25</v>
      </c>
      <c r="X924" s="24">
        <v>0.5</v>
      </c>
      <c r="Y924" s="41">
        <f t="shared" ref="Y924" si="327">SUM(U924*X924)</f>
        <v>1746951.25</v>
      </c>
      <c r="Z924" s="41">
        <f t="shared" ref="Z924" si="328">SUM(W924+Y924)</f>
        <v>3493902.5</v>
      </c>
      <c r="AA924" s="24">
        <f>2023-I924+V924+X924-9/12</f>
        <v>5.25</v>
      </c>
      <c r="AB924" s="41">
        <f t="shared" si="324"/>
        <v>18342988.125</v>
      </c>
      <c r="AC924" s="41">
        <f t="shared" si="318"/>
        <v>121413111.875</v>
      </c>
      <c r="AD924" s="24"/>
      <c r="AE924" s="24"/>
      <c r="AF924" s="75">
        <v>16596036.875</v>
      </c>
      <c r="AG924" s="143">
        <f t="shared" ref="AG924" si="329">AF924+Y924-AB924</f>
        <v>0</v>
      </c>
    </row>
    <row r="925" spans="1:33" s="1" customFormat="1" x14ac:dyDescent="0.25">
      <c r="A925" s="25"/>
      <c r="B925" s="148" t="s">
        <v>3721</v>
      </c>
      <c r="C925" s="26"/>
      <c r="D925" s="64"/>
      <c r="E925" s="28"/>
      <c r="F925" s="28"/>
      <c r="G925" s="28"/>
      <c r="H925" s="28"/>
      <c r="I925" s="28"/>
      <c r="J925" s="28"/>
      <c r="K925" s="28"/>
      <c r="L925" s="28"/>
      <c r="M925" s="28">
        <f>SUM(M926:M932)</f>
        <v>7</v>
      </c>
      <c r="N925" s="40"/>
      <c r="O925" s="40">
        <f>SUM(O926:O932)</f>
        <v>110283000</v>
      </c>
      <c r="P925" s="28"/>
      <c r="Q925" s="28"/>
      <c r="R925" s="28"/>
      <c r="S925" s="40"/>
      <c r="T925" s="28"/>
      <c r="U925" s="40">
        <f>SUM(U926:U932)</f>
        <v>22056600</v>
      </c>
      <c r="V925" s="28"/>
      <c r="W925" s="40">
        <f>SUM(W926:W932)</f>
        <v>1375933.333333333</v>
      </c>
      <c r="X925" s="28"/>
      <c r="Y925" s="40">
        <f>SUM(Y926:Y932)</f>
        <v>8717716.666666666</v>
      </c>
      <c r="Z925" s="40">
        <f>SUM(Z926:Z932)</f>
        <v>10093649.999999998</v>
      </c>
      <c r="AA925" s="28"/>
      <c r="AB925" s="40">
        <f>SUM(AB926:AB932)</f>
        <v>10093650</v>
      </c>
      <c r="AC925" s="40">
        <f>SUM(AC926:AC932)</f>
        <v>100189350</v>
      </c>
      <c r="AD925" s="28"/>
      <c r="AE925" s="28"/>
      <c r="AF925" s="75"/>
      <c r="AG925" s="143"/>
    </row>
    <row r="926" spans="1:33" s="1" customFormat="1" x14ac:dyDescent="0.25">
      <c r="A926" s="49"/>
      <c r="B926" s="308" t="s">
        <v>1752</v>
      </c>
      <c r="C926" s="308" t="s">
        <v>84</v>
      </c>
      <c r="D926" s="408" t="s">
        <v>1236</v>
      </c>
      <c r="E926" s="310" t="s">
        <v>3704</v>
      </c>
      <c r="F926" s="310"/>
      <c r="G926" s="310" t="s">
        <v>194</v>
      </c>
      <c r="H926" s="310" t="s">
        <v>62</v>
      </c>
      <c r="I926" s="310">
        <v>2023</v>
      </c>
      <c r="J926" s="310"/>
      <c r="K926" s="310" t="s">
        <v>63</v>
      </c>
      <c r="L926" s="310" t="s">
        <v>64</v>
      </c>
      <c r="M926" s="310">
        <v>1</v>
      </c>
      <c r="N926" s="311">
        <f t="shared" ref="N926:N929" si="330">SUM(O926/M926)</f>
        <v>12000000</v>
      </c>
      <c r="O926" s="311">
        <v>12000000</v>
      </c>
      <c r="P926" s="310"/>
      <c r="Q926" s="310"/>
      <c r="R926" s="310"/>
      <c r="S926" s="311">
        <f t="shared" ref="S926:S932" si="331">SUM(O926-R926)</f>
        <v>12000000</v>
      </c>
      <c r="T926" s="310">
        <v>5</v>
      </c>
      <c r="U926" s="311">
        <f t="shared" ref="U926:U932" si="332">SUM(S926/T926)</f>
        <v>2400000</v>
      </c>
      <c r="V926" s="312">
        <f>1/12</f>
        <v>8.3333333333333329E-2</v>
      </c>
      <c r="W926" s="311">
        <f t="shared" ref="W926:W931" si="333">SUM(U926*V926)</f>
        <v>200000</v>
      </c>
      <c r="X926" s="310">
        <v>0.5</v>
      </c>
      <c r="Y926" s="311">
        <f t="shared" ref="Y926:Y929" si="334">SUM(U926*X926)</f>
        <v>1200000</v>
      </c>
      <c r="Z926" s="311">
        <f t="shared" ref="Z926:Z929" si="335">SUM(W926+Y926)</f>
        <v>1400000</v>
      </c>
      <c r="AA926" s="312">
        <f>1/12+0.5</f>
        <v>0.58333333333333337</v>
      </c>
      <c r="AB926" s="311">
        <f t="shared" ref="AB926:AB929" si="336">SUM(U926*AA926)</f>
        <v>1400000</v>
      </c>
      <c r="AC926" s="311">
        <f t="shared" ref="AC926:AC932" si="337">SUM(O926-AB926)</f>
        <v>10600000</v>
      </c>
      <c r="AD926" s="24"/>
      <c r="AE926" s="24"/>
      <c r="AF926" s="75"/>
      <c r="AG926" s="143"/>
    </row>
    <row r="927" spans="1:33" s="1" customFormat="1" x14ac:dyDescent="0.25">
      <c r="A927" s="49"/>
      <c r="B927" s="308" t="s">
        <v>1752</v>
      </c>
      <c r="C927" s="308" t="s">
        <v>88</v>
      </c>
      <c r="D927" s="408" t="s">
        <v>1236</v>
      </c>
      <c r="E927" s="310" t="s">
        <v>3704</v>
      </c>
      <c r="F927" s="310"/>
      <c r="G927" s="310" t="s">
        <v>194</v>
      </c>
      <c r="H927" s="310" t="s">
        <v>62</v>
      </c>
      <c r="I927" s="310">
        <v>2023</v>
      </c>
      <c r="J927" s="310"/>
      <c r="K927" s="310" t="s">
        <v>63</v>
      </c>
      <c r="L927" s="310" t="s">
        <v>64</v>
      </c>
      <c r="M927" s="310">
        <v>1</v>
      </c>
      <c r="N927" s="311">
        <f t="shared" si="330"/>
        <v>12000000</v>
      </c>
      <c r="O927" s="311">
        <v>12000000</v>
      </c>
      <c r="P927" s="310"/>
      <c r="Q927" s="310"/>
      <c r="R927" s="310"/>
      <c r="S927" s="311">
        <f t="shared" si="331"/>
        <v>12000000</v>
      </c>
      <c r="T927" s="310">
        <v>5</v>
      </c>
      <c r="U927" s="311">
        <f t="shared" si="332"/>
        <v>2400000</v>
      </c>
      <c r="V927" s="312">
        <f t="shared" ref="V927:V929" si="338">1/12</f>
        <v>8.3333333333333329E-2</v>
      </c>
      <c r="W927" s="311">
        <f t="shared" si="333"/>
        <v>200000</v>
      </c>
      <c r="X927" s="310">
        <v>0.5</v>
      </c>
      <c r="Y927" s="311">
        <f t="shared" si="334"/>
        <v>1200000</v>
      </c>
      <c r="Z927" s="311">
        <f t="shared" si="335"/>
        <v>1400000</v>
      </c>
      <c r="AA927" s="312">
        <f t="shared" ref="AA927:AA929" si="339">1/12+0.5</f>
        <v>0.58333333333333337</v>
      </c>
      <c r="AB927" s="311">
        <f t="shared" si="336"/>
        <v>1400000</v>
      </c>
      <c r="AC927" s="311">
        <f t="shared" si="337"/>
        <v>10600000</v>
      </c>
      <c r="AD927" s="24"/>
      <c r="AE927" s="24"/>
      <c r="AF927" s="75"/>
      <c r="AG927" s="143"/>
    </row>
    <row r="928" spans="1:33" s="1" customFormat="1" x14ac:dyDescent="0.25">
      <c r="A928" s="49"/>
      <c r="B928" s="308" t="s">
        <v>1752</v>
      </c>
      <c r="C928" s="308" t="s">
        <v>92</v>
      </c>
      <c r="D928" s="408" t="s">
        <v>1236</v>
      </c>
      <c r="E928" s="310" t="s">
        <v>3704</v>
      </c>
      <c r="F928" s="310"/>
      <c r="G928" s="310" t="s">
        <v>194</v>
      </c>
      <c r="H928" s="310" t="s">
        <v>62</v>
      </c>
      <c r="I928" s="310">
        <v>2023</v>
      </c>
      <c r="J928" s="310"/>
      <c r="K928" s="310" t="s">
        <v>63</v>
      </c>
      <c r="L928" s="310" t="s">
        <v>64</v>
      </c>
      <c r="M928" s="310">
        <v>1</v>
      </c>
      <c r="N928" s="311">
        <f t="shared" si="330"/>
        <v>12000000</v>
      </c>
      <c r="O928" s="311">
        <v>12000000</v>
      </c>
      <c r="P928" s="310"/>
      <c r="Q928" s="310"/>
      <c r="R928" s="310"/>
      <c r="S928" s="311">
        <f t="shared" si="331"/>
        <v>12000000</v>
      </c>
      <c r="T928" s="310">
        <v>5</v>
      </c>
      <c r="U928" s="311">
        <f t="shared" si="332"/>
        <v>2400000</v>
      </c>
      <c r="V928" s="312">
        <f t="shared" si="338"/>
        <v>8.3333333333333329E-2</v>
      </c>
      <c r="W928" s="311">
        <f t="shared" si="333"/>
        <v>200000</v>
      </c>
      <c r="X928" s="310">
        <v>0.5</v>
      </c>
      <c r="Y928" s="311">
        <f t="shared" si="334"/>
        <v>1200000</v>
      </c>
      <c r="Z928" s="311">
        <f t="shared" si="335"/>
        <v>1400000</v>
      </c>
      <c r="AA928" s="312">
        <f t="shared" si="339"/>
        <v>0.58333333333333337</v>
      </c>
      <c r="AB928" s="311">
        <f t="shared" si="336"/>
        <v>1400000</v>
      </c>
      <c r="AC928" s="311">
        <f t="shared" si="337"/>
        <v>10600000</v>
      </c>
      <c r="AD928" s="24"/>
      <c r="AE928" s="24"/>
      <c r="AF928" s="75"/>
      <c r="AG928" s="143"/>
    </row>
    <row r="929" spans="1:33" s="1" customFormat="1" x14ac:dyDescent="0.25">
      <c r="A929" s="49"/>
      <c r="B929" s="308" t="s">
        <v>1752</v>
      </c>
      <c r="C929" s="308" t="s">
        <v>96</v>
      </c>
      <c r="D929" s="408" t="s">
        <v>1236</v>
      </c>
      <c r="E929" s="310" t="s">
        <v>3704</v>
      </c>
      <c r="F929" s="310"/>
      <c r="G929" s="310" t="s">
        <v>194</v>
      </c>
      <c r="H929" s="310" t="s">
        <v>62</v>
      </c>
      <c r="I929" s="310">
        <v>2023</v>
      </c>
      <c r="J929" s="310"/>
      <c r="K929" s="310" t="s">
        <v>63</v>
      </c>
      <c r="L929" s="310" t="s">
        <v>64</v>
      </c>
      <c r="M929" s="310">
        <v>1</v>
      </c>
      <c r="N929" s="311">
        <f t="shared" si="330"/>
        <v>12000000</v>
      </c>
      <c r="O929" s="311">
        <v>12000000</v>
      </c>
      <c r="P929" s="310"/>
      <c r="Q929" s="310"/>
      <c r="R929" s="310"/>
      <c r="S929" s="311">
        <f t="shared" si="331"/>
        <v>12000000</v>
      </c>
      <c r="T929" s="310">
        <v>5</v>
      </c>
      <c r="U929" s="311">
        <f t="shared" si="332"/>
        <v>2400000</v>
      </c>
      <c r="V929" s="312">
        <f t="shared" si="338"/>
        <v>8.3333333333333329E-2</v>
      </c>
      <c r="W929" s="311">
        <f t="shared" si="333"/>
        <v>200000</v>
      </c>
      <c r="X929" s="310">
        <v>0.5</v>
      </c>
      <c r="Y929" s="311">
        <f t="shared" si="334"/>
        <v>1200000</v>
      </c>
      <c r="Z929" s="311">
        <f t="shared" si="335"/>
        <v>1400000</v>
      </c>
      <c r="AA929" s="312">
        <f t="shared" si="339"/>
        <v>0.58333333333333337</v>
      </c>
      <c r="AB929" s="311">
        <f t="shared" si="336"/>
        <v>1400000</v>
      </c>
      <c r="AC929" s="311">
        <f t="shared" si="337"/>
        <v>10600000</v>
      </c>
      <c r="AD929" s="24"/>
      <c r="AE929" s="24"/>
      <c r="AF929" s="75"/>
      <c r="AG929" s="143"/>
    </row>
    <row r="930" spans="1:33" s="1" customFormat="1" x14ac:dyDescent="0.25">
      <c r="A930" s="49"/>
      <c r="B930" s="308" t="s">
        <v>1751</v>
      </c>
      <c r="C930" s="308" t="s">
        <v>791</v>
      </c>
      <c r="D930" s="408" t="s">
        <v>1182</v>
      </c>
      <c r="E930" s="310" t="s">
        <v>3704</v>
      </c>
      <c r="F930" s="310"/>
      <c r="G930" s="310" t="s">
        <v>194</v>
      </c>
      <c r="H930" s="310" t="s">
        <v>62</v>
      </c>
      <c r="I930" s="310">
        <v>2023</v>
      </c>
      <c r="J930" s="310"/>
      <c r="K930" s="310" t="s">
        <v>63</v>
      </c>
      <c r="L930" s="310" t="s">
        <v>64</v>
      </c>
      <c r="M930" s="310">
        <v>1</v>
      </c>
      <c r="N930" s="311">
        <f t="shared" ref="N930:N931" si="340">O930/M930</f>
        <v>17278000</v>
      </c>
      <c r="O930" s="311">
        <v>17278000</v>
      </c>
      <c r="P930" s="310"/>
      <c r="Q930" s="310"/>
      <c r="R930" s="310"/>
      <c r="S930" s="311">
        <f t="shared" si="331"/>
        <v>17278000</v>
      </c>
      <c r="T930" s="310">
        <v>5</v>
      </c>
      <c r="U930" s="311">
        <f t="shared" si="332"/>
        <v>3455600</v>
      </c>
      <c r="V930" s="312">
        <f>1/12</f>
        <v>8.3333333333333329E-2</v>
      </c>
      <c r="W930" s="311">
        <f t="shared" si="333"/>
        <v>287966.66666666663</v>
      </c>
      <c r="X930" s="310">
        <v>0.5</v>
      </c>
      <c r="Y930" s="311">
        <f t="shared" ref="Y930:Y931" si="341">SUM(U930*X930)</f>
        <v>1727800</v>
      </c>
      <c r="Z930" s="311">
        <f t="shared" ref="Z930:Z931" si="342">SUM(W930+Y930)</f>
        <v>2015766.6666666665</v>
      </c>
      <c r="AA930" s="312">
        <f>1/12+0.5</f>
        <v>0.58333333333333337</v>
      </c>
      <c r="AB930" s="311">
        <f t="shared" ref="AB930:AB931" si="343">SUM(U930*AA930)</f>
        <v>2015766.6666666667</v>
      </c>
      <c r="AC930" s="311">
        <f t="shared" si="337"/>
        <v>15262233.333333334</v>
      </c>
      <c r="AD930" s="24"/>
      <c r="AE930" s="24"/>
      <c r="AF930" s="75"/>
      <c r="AG930" s="143"/>
    </row>
    <row r="931" spans="1:33" s="1" customFormat="1" x14ac:dyDescent="0.25">
      <c r="A931" s="49"/>
      <c r="B931" s="308" t="s">
        <v>1751</v>
      </c>
      <c r="C931" s="308" t="s">
        <v>420</v>
      </c>
      <c r="D931" s="408" t="s">
        <v>1182</v>
      </c>
      <c r="E931" s="310" t="s">
        <v>3704</v>
      </c>
      <c r="F931" s="310"/>
      <c r="G931" s="310" t="s">
        <v>194</v>
      </c>
      <c r="H931" s="310" t="s">
        <v>62</v>
      </c>
      <c r="I931" s="310">
        <v>2023</v>
      </c>
      <c r="J931" s="310"/>
      <c r="K931" s="310" t="s">
        <v>63</v>
      </c>
      <c r="L931" s="310" t="s">
        <v>64</v>
      </c>
      <c r="M931" s="310">
        <v>1</v>
      </c>
      <c r="N931" s="311">
        <f t="shared" si="340"/>
        <v>17278000</v>
      </c>
      <c r="O931" s="311">
        <v>17278000</v>
      </c>
      <c r="P931" s="310"/>
      <c r="Q931" s="310"/>
      <c r="R931" s="310"/>
      <c r="S931" s="311">
        <f t="shared" si="331"/>
        <v>17278000</v>
      </c>
      <c r="T931" s="310">
        <v>5</v>
      </c>
      <c r="U931" s="311">
        <f t="shared" si="332"/>
        <v>3455600</v>
      </c>
      <c r="V931" s="312">
        <f>1/12</f>
        <v>8.3333333333333329E-2</v>
      </c>
      <c r="W931" s="311">
        <f t="shared" si="333"/>
        <v>287966.66666666663</v>
      </c>
      <c r="X931" s="310">
        <v>0.5</v>
      </c>
      <c r="Y931" s="311">
        <f t="shared" si="341"/>
        <v>1727800</v>
      </c>
      <c r="Z931" s="311">
        <f t="shared" si="342"/>
        <v>2015766.6666666665</v>
      </c>
      <c r="AA931" s="312">
        <f>1/12+0.5</f>
        <v>0.58333333333333337</v>
      </c>
      <c r="AB931" s="311">
        <f t="shared" si="343"/>
        <v>2015766.6666666667</v>
      </c>
      <c r="AC931" s="311">
        <f t="shared" si="337"/>
        <v>15262233.333333334</v>
      </c>
      <c r="AD931" s="24"/>
      <c r="AE931" s="24"/>
      <c r="AF931" s="75"/>
      <c r="AG931" s="143"/>
    </row>
    <row r="932" spans="1:33" s="1" customFormat="1" x14ac:dyDescent="0.25">
      <c r="A932" s="49"/>
      <c r="B932" s="376" t="s">
        <v>3707</v>
      </c>
      <c r="C932" s="376" t="s">
        <v>58</v>
      </c>
      <c r="D932" s="409" t="s">
        <v>3708</v>
      </c>
      <c r="E932" s="188" t="s">
        <v>3709</v>
      </c>
      <c r="F932" s="188"/>
      <c r="G932" s="188" t="s">
        <v>194</v>
      </c>
      <c r="H932" s="188" t="s">
        <v>62</v>
      </c>
      <c r="I932" s="188">
        <v>2023</v>
      </c>
      <c r="J932" s="188"/>
      <c r="K932" s="188" t="s">
        <v>63</v>
      </c>
      <c r="L932" s="188" t="s">
        <v>64</v>
      </c>
      <c r="M932" s="188">
        <v>1</v>
      </c>
      <c r="N932" s="366">
        <f t="shared" ref="N932" si="344">SUM(O932/M932)</f>
        <v>27727000</v>
      </c>
      <c r="O932" s="366">
        <v>27727000</v>
      </c>
      <c r="P932" s="188"/>
      <c r="Q932" s="188"/>
      <c r="R932" s="188"/>
      <c r="S932" s="366">
        <f t="shared" si="331"/>
        <v>27727000</v>
      </c>
      <c r="T932" s="188">
        <v>5</v>
      </c>
      <c r="U932" s="366">
        <f t="shared" si="332"/>
        <v>5545400</v>
      </c>
      <c r="V932" s="188"/>
      <c r="W932" s="366"/>
      <c r="X932" s="367">
        <f>1/12</f>
        <v>8.3333333333333329E-2</v>
      </c>
      <c r="Y932" s="366">
        <f t="shared" ref="Y932" si="345">SUM(U932*X932)</f>
        <v>462116.66666666663</v>
      </c>
      <c r="Z932" s="366">
        <f t="shared" ref="Z932" si="346">SUM(W932+Y932)</f>
        <v>462116.66666666663</v>
      </c>
      <c r="AA932" s="367">
        <f>1/12</f>
        <v>8.3333333333333329E-2</v>
      </c>
      <c r="AB932" s="366">
        <f t="shared" ref="AB932" si="347">SUM(U932*AA932)</f>
        <v>462116.66666666663</v>
      </c>
      <c r="AC932" s="366">
        <f t="shared" si="337"/>
        <v>27264883.333333332</v>
      </c>
      <c r="AD932" s="24"/>
      <c r="AE932" s="24"/>
      <c r="AF932" s="75"/>
      <c r="AG932" s="143"/>
    </row>
    <row r="933" spans="1:33" s="1" customFormat="1" x14ac:dyDescent="0.25">
      <c r="A933" s="21"/>
      <c r="B933" s="22"/>
      <c r="C933" s="22"/>
      <c r="D933" s="65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  <c r="AA933" s="24"/>
      <c r="AB933" s="24"/>
      <c r="AC933" s="24"/>
      <c r="AD933" s="24"/>
      <c r="AE933" s="24"/>
      <c r="AF933" s="1">
        <v>13102134.375</v>
      </c>
      <c r="AG933" s="143">
        <f>AF924+Y924-AB924</f>
        <v>0</v>
      </c>
    </row>
    <row r="934" spans="1:33" s="160" customFormat="1" x14ac:dyDescent="0.25">
      <c r="A934" s="138"/>
      <c r="B934" s="139" t="s">
        <v>1237</v>
      </c>
      <c r="C934" s="139"/>
      <c r="D934" s="184" t="s">
        <v>1238</v>
      </c>
      <c r="E934" s="141"/>
      <c r="F934" s="141"/>
      <c r="G934" s="141"/>
      <c r="H934" s="141"/>
      <c r="I934" s="141"/>
      <c r="J934" s="141"/>
      <c r="K934" s="141"/>
      <c r="L934" s="141"/>
      <c r="M934" s="141">
        <f>SUM(M935+M1003)</f>
        <v>171</v>
      </c>
      <c r="N934" s="159"/>
      <c r="O934" s="159">
        <f>SUM(O935+O1003)</f>
        <v>522133980</v>
      </c>
      <c r="P934" s="141">
        <f>SUM(P940:P1013)</f>
        <v>0</v>
      </c>
      <c r="Q934" s="141">
        <f>SUM(Q940:Q1013)</f>
        <v>0</v>
      </c>
      <c r="R934" s="141">
        <f>SUM(R940:R1013)</f>
        <v>0</v>
      </c>
      <c r="S934" s="159">
        <f>SUM(S935)</f>
        <v>475933980</v>
      </c>
      <c r="T934" s="141"/>
      <c r="U934" s="159">
        <f>SUM(U935+U1003)</f>
        <v>28736096</v>
      </c>
      <c r="V934" s="141"/>
      <c r="W934" s="159">
        <f>SUM(W935+W1003)</f>
        <v>9425148</v>
      </c>
      <c r="X934" s="141"/>
      <c r="Y934" s="159">
        <f>SUM(Y935+Y1003)</f>
        <v>10614952.33</v>
      </c>
      <c r="Z934" s="159">
        <f>SUM(Z935+Z1003)</f>
        <v>20040100.329999998</v>
      </c>
      <c r="AA934" s="141"/>
      <c r="AB934" s="159">
        <f>SUM(AB935+AB1003)</f>
        <v>452146994</v>
      </c>
      <c r="AC934" s="159">
        <f>SUM(AC935+AC1003)</f>
        <v>69986986</v>
      </c>
      <c r="AD934" s="141"/>
      <c r="AE934" s="141"/>
      <c r="AF934" s="160">
        <v>432106893.66666663</v>
      </c>
      <c r="AG934" s="161"/>
    </row>
    <row r="935" spans="1:33" s="1" customFormat="1" x14ac:dyDescent="0.25">
      <c r="A935" s="25"/>
      <c r="B935" s="26" t="s">
        <v>1754</v>
      </c>
      <c r="C935" s="26"/>
      <c r="D935" s="64" t="s">
        <v>1755</v>
      </c>
      <c r="E935" s="28"/>
      <c r="F935" s="28"/>
      <c r="G935" s="28"/>
      <c r="H935" s="28"/>
      <c r="I935" s="28"/>
      <c r="J935" s="28"/>
      <c r="K935" s="28"/>
      <c r="L935" s="28"/>
      <c r="M935" s="28">
        <f>SUM(M936:M1001)</f>
        <v>162</v>
      </c>
      <c r="N935" s="86"/>
      <c r="O935" s="86">
        <f>SUM(O936:O1001)</f>
        <v>475933980</v>
      </c>
      <c r="P935" s="28"/>
      <c r="Q935" s="28"/>
      <c r="R935" s="28"/>
      <c r="S935" s="86">
        <f>SUM(S936:S1001)</f>
        <v>475933980</v>
      </c>
      <c r="T935" s="28"/>
      <c r="U935" s="86">
        <f>SUM(U936:U1001)</f>
        <v>19496096</v>
      </c>
      <c r="V935" s="28"/>
      <c r="W935" s="86">
        <f>SUM(W936:W1001)</f>
        <v>9020048</v>
      </c>
      <c r="X935" s="28"/>
      <c r="Y935" s="86">
        <f>SUM(Y936:Y1001)</f>
        <v>7819452.3300000001</v>
      </c>
      <c r="Z935" s="86">
        <f>SUM(Z936:Z1001)</f>
        <v>16839500.329999998</v>
      </c>
      <c r="AA935" s="28"/>
      <c r="AB935" s="86">
        <f>SUM(AB936:AB1001)</f>
        <v>448946394</v>
      </c>
      <c r="AC935" s="86">
        <f>SUM(AC936:AC1001)</f>
        <v>26987586</v>
      </c>
      <c r="AD935" s="28"/>
      <c r="AE935" s="28"/>
      <c r="AF935" s="5">
        <f>AF934+W934+Y934-AB934</f>
        <v>-3.3333897590637207E-3</v>
      </c>
      <c r="AG935" s="5"/>
    </row>
    <row r="936" spans="1:33" s="1" customFormat="1" x14ac:dyDescent="0.25">
      <c r="A936" s="49">
        <v>1</v>
      </c>
      <c r="B936" s="22" t="s">
        <v>1756</v>
      </c>
      <c r="C936" s="50" t="s">
        <v>58</v>
      </c>
      <c r="D936" s="51" t="s">
        <v>264</v>
      </c>
      <c r="E936" s="52" t="s">
        <v>265</v>
      </c>
      <c r="F936" s="52"/>
      <c r="G936" s="52" t="s">
        <v>194</v>
      </c>
      <c r="H936" s="52" t="s">
        <v>62</v>
      </c>
      <c r="I936" s="52">
        <v>2015</v>
      </c>
      <c r="J936" s="52"/>
      <c r="K936" s="52" t="s">
        <v>63</v>
      </c>
      <c r="L936" s="52" t="s">
        <v>64</v>
      </c>
      <c r="M936" s="52">
        <v>1</v>
      </c>
      <c r="N936" s="53">
        <f>SUM(O936/M936)</f>
        <v>1150000</v>
      </c>
      <c r="O936" s="53">
        <v>1150000</v>
      </c>
      <c r="P936" s="52"/>
      <c r="Q936" s="52"/>
      <c r="R936" s="52"/>
      <c r="S936" s="53">
        <f t="shared" ref="S936:S976" si="348">SUM(O936-R936)</f>
        <v>1150000</v>
      </c>
      <c r="T936" s="52">
        <v>5</v>
      </c>
      <c r="U936" s="53">
        <f>SUM(S936/T936)</f>
        <v>230000</v>
      </c>
      <c r="V936" s="52">
        <v>0.5</v>
      </c>
      <c r="W936" s="53"/>
      <c r="X936" s="52"/>
      <c r="Y936" s="53">
        <f>SUM(U936*X936)</f>
        <v>0</v>
      </c>
      <c r="Z936" s="53"/>
      <c r="AA936" s="169">
        <v>5</v>
      </c>
      <c r="AB936" s="53">
        <f>SUM(U936*AA936)</f>
        <v>1150000</v>
      </c>
      <c r="AC936" s="53">
        <f t="shared" ref="AC936:AC993" si="349">SUM(O936-AB936)</f>
        <v>0</v>
      </c>
      <c r="AD936" s="56" t="s">
        <v>266</v>
      </c>
      <c r="AE936" s="56"/>
      <c r="AF936" s="1">
        <v>1150000</v>
      </c>
      <c r="AG936" s="5">
        <f t="shared" ref="AG936:AG990" si="350">AF936+Y936-AB936</f>
        <v>0</v>
      </c>
    </row>
    <row r="937" spans="1:33" s="1" customFormat="1" x14ac:dyDescent="0.25">
      <c r="A937" s="49">
        <v>2</v>
      </c>
      <c r="B937" s="22" t="s">
        <v>1756</v>
      </c>
      <c r="C937" s="50" t="s">
        <v>58</v>
      </c>
      <c r="D937" s="51" t="s">
        <v>264</v>
      </c>
      <c r="E937" s="52" t="s">
        <v>265</v>
      </c>
      <c r="F937" s="52"/>
      <c r="G937" s="52" t="s">
        <v>194</v>
      </c>
      <c r="H937" s="52" t="s">
        <v>62</v>
      </c>
      <c r="I937" s="52">
        <v>2015</v>
      </c>
      <c r="J937" s="52"/>
      <c r="K937" s="52" t="s">
        <v>63</v>
      </c>
      <c r="L937" s="52" t="s">
        <v>64</v>
      </c>
      <c r="M937" s="52">
        <v>1</v>
      </c>
      <c r="N937" s="53">
        <f>SUM(O937/M937)</f>
        <v>1150000</v>
      </c>
      <c r="O937" s="53">
        <v>1150000</v>
      </c>
      <c r="P937" s="52"/>
      <c r="Q937" s="52"/>
      <c r="R937" s="52"/>
      <c r="S937" s="53">
        <f t="shared" si="348"/>
        <v>1150000</v>
      </c>
      <c r="T937" s="52">
        <v>5</v>
      </c>
      <c r="U937" s="53">
        <f>SUM(S937/T937)</f>
        <v>230000</v>
      </c>
      <c r="V937" s="52">
        <v>0.5</v>
      </c>
      <c r="W937" s="53"/>
      <c r="X937" s="52"/>
      <c r="Y937" s="53">
        <f>SUM(U937*X937)</f>
        <v>0</v>
      </c>
      <c r="Z937" s="53"/>
      <c r="AA937" s="169">
        <v>5</v>
      </c>
      <c r="AB937" s="53">
        <f>SUM(U937*AA937)</f>
        <v>1150000</v>
      </c>
      <c r="AC937" s="53">
        <f t="shared" si="349"/>
        <v>0</v>
      </c>
      <c r="AD937" s="56" t="s">
        <v>267</v>
      </c>
      <c r="AE937" s="56"/>
      <c r="AF937" s="1">
        <v>1150000</v>
      </c>
      <c r="AG937" s="5">
        <f t="shared" si="350"/>
        <v>0</v>
      </c>
    </row>
    <row r="938" spans="1:33" s="1" customFormat="1" x14ac:dyDescent="0.25">
      <c r="A938" s="49">
        <v>3</v>
      </c>
      <c r="B938" s="22" t="s">
        <v>1756</v>
      </c>
      <c r="C938" s="50" t="s">
        <v>209</v>
      </c>
      <c r="D938" s="51" t="s">
        <v>257</v>
      </c>
      <c r="E938" s="52" t="s">
        <v>258</v>
      </c>
      <c r="F938" s="52"/>
      <c r="G938" s="52" t="s">
        <v>194</v>
      </c>
      <c r="H938" s="52" t="s">
        <v>62</v>
      </c>
      <c r="I938" s="52">
        <v>2010</v>
      </c>
      <c r="J938" s="52"/>
      <c r="K938" s="52" t="s">
        <v>63</v>
      </c>
      <c r="L938" s="52" t="s">
        <v>64</v>
      </c>
      <c r="M938" s="52">
        <v>2</v>
      </c>
      <c r="N938" s="53">
        <f>SUM(O938/M938)</f>
        <v>1000000</v>
      </c>
      <c r="O938" s="53">
        <v>2000000</v>
      </c>
      <c r="P938" s="52"/>
      <c r="Q938" s="52"/>
      <c r="R938" s="52"/>
      <c r="S938" s="53">
        <f t="shared" si="348"/>
        <v>2000000</v>
      </c>
      <c r="T938" s="52">
        <v>5</v>
      </c>
      <c r="U938" s="53"/>
      <c r="V938" s="52">
        <v>0.5</v>
      </c>
      <c r="W938" s="53">
        <f>SUM(U938*V938)</f>
        <v>0</v>
      </c>
      <c r="X938" s="52"/>
      <c r="Y938" s="53">
        <f>SUM(U938*X938)</f>
        <v>0</v>
      </c>
      <c r="Z938" s="53">
        <f>SUM(W938+Y938)</f>
        <v>0</v>
      </c>
      <c r="AA938" s="169">
        <v>5</v>
      </c>
      <c r="AB938" s="53">
        <v>2000000</v>
      </c>
      <c r="AC938" s="53">
        <f t="shared" si="349"/>
        <v>0</v>
      </c>
      <c r="AD938" s="56" t="s">
        <v>259</v>
      </c>
      <c r="AE938" s="56"/>
      <c r="AF938" s="1">
        <v>2000000</v>
      </c>
      <c r="AG938" s="5">
        <f t="shared" si="350"/>
        <v>0</v>
      </c>
    </row>
    <row r="939" spans="1:33" s="1" customFormat="1" x14ac:dyDescent="0.25">
      <c r="A939" s="49">
        <v>4</v>
      </c>
      <c r="B939" s="22" t="s">
        <v>1756</v>
      </c>
      <c r="C939" s="50" t="s">
        <v>79</v>
      </c>
      <c r="D939" s="51" t="s">
        <v>257</v>
      </c>
      <c r="E939" s="52" t="s">
        <v>258</v>
      </c>
      <c r="F939" s="52"/>
      <c r="G939" s="52" t="s">
        <v>194</v>
      </c>
      <c r="H939" s="52" t="s">
        <v>62</v>
      </c>
      <c r="I939" s="52">
        <v>2010</v>
      </c>
      <c r="J939" s="52"/>
      <c r="K939" s="52" t="s">
        <v>63</v>
      </c>
      <c r="L939" s="52" t="s">
        <v>212</v>
      </c>
      <c r="M939" s="52">
        <v>1</v>
      </c>
      <c r="N939" s="53">
        <f>SUM(O939/M939)</f>
        <v>750000</v>
      </c>
      <c r="O939" s="53">
        <v>750000</v>
      </c>
      <c r="P939" s="52"/>
      <c r="Q939" s="52"/>
      <c r="R939" s="52"/>
      <c r="S939" s="53">
        <f t="shared" si="348"/>
        <v>750000</v>
      </c>
      <c r="T939" s="52">
        <v>5</v>
      </c>
      <c r="U939" s="53"/>
      <c r="V939" s="52">
        <v>0.5</v>
      </c>
      <c r="W939" s="53">
        <f>SUM(U939*V939)</f>
        <v>0</v>
      </c>
      <c r="X939" s="52"/>
      <c r="Y939" s="53">
        <f>SUM(U939*X939)</f>
        <v>0</v>
      </c>
      <c r="Z939" s="53">
        <f>SUM(W939+Y939)</f>
        <v>0</v>
      </c>
      <c r="AA939" s="169">
        <v>5</v>
      </c>
      <c r="AB939" s="53">
        <v>750000</v>
      </c>
      <c r="AC939" s="53">
        <f t="shared" si="349"/>
        <v>0</v>
      </c>
      <c r="AD939" s="56" t="s">
        <v>217</v>
      </c>
      <c r="AE939" s="56"/>
      <c r="AF939" s="1">
        <v>750000</v>
      </c>
      <c r="AG939" s="5">
        <f t="shared" si="350"/>
        <v>0</v>
      </c>
    </row>
    <row r="940" spans="1:33" s="1" customFormat="1" x14ac:dyDescent="0.25">
      <c r="A940" s="49">
        <v>5</v>
      </c>
      <c r="B940" s="22" t="s">
        <v>1757</v>
      </c>
      <c r="C940" s="50" t="s">
        <v>393</v>
      </c>
      <c r="D940" s="51" t="s">
        <v>394</v>
      </c>
      <c r="E940" s="52" t="s">
        <v>279</v>
      </c>
      <c r="F940" s="52"/>
      <c r="G940" s="52" t="s">
        <v>194</v>
      </c>
      <c r="H940" s="52" t="s">
        <v>62</v>
      </c>
      <c r="I940" s="52">
        <v>2010</v>
      </c>
      <c r="J940" s="52"/>
      <c r="K940" s="52" t="s">
        <v>63</v>
      </c>
      <c r="L940" s="52" t="s">
        <v>212</v>
      </c>
      <c r="M940" s="52">
        <v>6</v>
      </c>
      <c r="N940" s="53">
        <f t="shared" ref="N940:N976" si="351">SUM(O940/M940)</f>
        <v>75000</v>
      </c>
      <c r="O940" s="53">
        <v>450000</v>
      </c>
      <c r="P940" s="52"/>
      <c r="Q940" s="52"/>
      <c r="R940" s="52"/>
      <c r="S940" s="53">
        <f t="shared" si="348"/>
        <v>450000</v>
      </c>
      <c r="T940" s="52">
        <v>5</v>
      </c>
      <c r="U940" s="53"/>
      <c r="V940" s="52">
        <v>0.5</v>
      </c>
      <c r="W940" s="53">
        <f t="shared" ref="W940:W965" si="352">SUM(U940*V940)</f>
        <v>0</v>
      </c>
      <c r="X940" s="52"/>
      <c r="Y940" s="53">
        <f t="shared" ref="Y940:Y981" si="353">SUM(U940*X940)</f>
        <v>0</v>
      </c>
      <c r="Z940" s="53">
        <f t="shared" ref="Z940:Z978" si="354">SUM(W940+Y940)</f>
        <v>0</v>
      </c>
      <c r="AA940" s="52">
        <v>5</v>
      </c>
      <c r="AB940" s="53">
        <v>450000</v>
      </c>
      <c r="AC940" s="53">
        <f t="shared" si="349"/>
        <v>0</v>
      </c>
      <c r="AD940" s="56" t="s">
        <v>213</v>
      </c>
      <c r="AE940" s="56"/>
      <c r="AF940" s="1">
        <v>450000</v>
      </c>
      <c r="AG940" s="5">
        <f t="shared" si="350"/>
        <v>0</v>
      </c>
    </row>
    <row r="941" spans="1:33" s="1" customFormat="1" x14ac:dyDescent="0.25">
      <c r="A941" s="49">
        <v>6</v>
      </c>
      <c r="B941" s="22" t="s">
        <v>1757</v>
      </c>
      <c r="C941" s="50" t="s">
        <v>395</v>
      </c>
      <c r="D941" s="51" t="s">
        <v>394</v>
      </c>
      <c r="E941" s="52" t="s">
        <v>279</v>
      </c>
      <c r="F941" s="52"/>
      <c r="G941" s="52" t="s">
        <v>194</v>
      </c>
      <c r="H941" s="52" t="s">
        <v>62</v>
      </c>
      <c r="I941" s="52">
        <v>2010</v>
      </c>
      <c r="J941" s="52"/>
      <c r="K941" s="52" t="s">
        <v>63</v>
      </c>
      <c r="L941" s="52" t="s">
        <v>212</v>
      </c>
      <c r="M941" s="52">
        <v>7</v>
      </c>
      <c r="N941" s="53">
        <f t="shared" si="351"/>
        <v>75000</v>
      </c>
      <c r="O941" s="53">
        <v>525000</v>
      </c>
      <c r="P941" s="52"/>
      <c r="Q941" s="52"/>
      <c r="R941" s="52"/>
      <c r="S941" s="53">
        <f t="shared" si="348"/>
        <v>525000</v>
      </c>
      <c r="T941" s="52">
        <v>5</v>
      </c>
      <c r="U941" s="53"/>
      <c r="V941" s="52">
        <v>0.5</v>
      </c>
      <c r="W941" s="53">
        <f t="shared" si="352"/>
        <v>0</v>
      </c>
      <c r="X941" s="52"/>
      <c r="Y941" s="53">
        <f t="shared" si="353"/>
        <v>0</v>
      </c>
      <c r="Z941" s="53">
        <f t="shared" si="354"/>
        <v>0</v>
      </c>
      <c r="AA941" s="52">
        <v>5</v>
      </c>
      <c r="AB941" s="53">
        <v>525000</v>
      </c>
      <c r="AC941" s="53">
        <f t="shared" si="349"/>
        <v>0</v>
      </c>
      <c r="AD941" s="56" t="s">
        <v>213</v>
      </c>
      <c r="AE941" s="56"/>
      <c r="AF941" s="1">
        <v>525000</v>
      </c>
      <c r="AG941" s="5">
        <f t="shared" si="350"/>
        <v>0</v>
      </c>
    </row>
    <row r="942" spans="1:33" s="1" customFormat="1" x14ac:dyDescent="0.25">
      <c r="A942" s="49">
        <v>7</v>
      </c>
      <c r="B942" s="22" t="s">
        <v>1758</v>
      </c>
      <c r="C942" s="50" t="s">
        <v>240</v>
      </c>
      <c r="D942" s="51" t="s">
        <v>402</v>
      </c>
      <c r="E942" s="52" t="s">
        <v>403</v>
      </c>
      <c r="F942" s="52"/>
      <c r="G942" s="52" t="s">
        <v>194</v>
      </c>
      <c r="H942" s="52" t="s">
        <v>62</v>
      </c>
      <c r="I942" s="52">
        <v>2008</v>
      </c>
      <c r="J942" s="52"/>
      <c r="K942" s="52" t="s">
        <v>63</v>
      </c>
      <c r="L942" s="52" t="s">
        <v>64</v>
      </c>
      <c r="M942" s="52">
        <v>1</v>
      </c>
      <c r="N942" s="53">
        <f t="shared" si="351"/>
        <v>2450000</v>
      </c>
      <c r="O942" s="53">
        <v>2450000</v>
      </c>
      <c r="P942" s="52"/>
      <c r="Q942" s="52"/>
      <c r="R942" s="52"/>
      <c r="S942" s="53">
        <f t="shared" si="348"/>
        <v>2450000</v>
      </c>
      <c r="T942" s="52">
        <v>5</v>
      </c>
      <c r="U942" s="53"/>
      <c r="V942" s="52">
        <v>0.5</v>
      </c>
      <c r="W942" s="53">
        <f t="shared" si="352"/>
        <v>0</v>
      </c>
      <c r="X942" s="52"/>
      <c r="Y942" s="53">
        <f t="shared" si="353"/>
        <v>0</v>
      </c>
      <c r="Z942" s="53">
        <f t="shared" si="354"/>
        <v>0</v>
      </c>
      <c r="AA942" s="52">
        <v>5</v>
      </c>
      <c r="AB942" s="53">
        <v>2450000</v>
      </c>
      <c r="AC942" s="53">
        <f t="shared" si="349"/>
        <v>0</v>
      </c>
      <c r="AD942" s="56" t="s">
        <v>223</v>
      </c>
      <c r="AE942" s="56"/>
      <c r="AF942" s="1">
        <v>2450000</v>
      </c>
      <c r="AG942" s="5">
        <f t="shared" si="350"/>
        <v>0</v>
      </c>
    </row>
    <row r="943" spans="1:33" s="1" customFormat="1" x14ac:dyDescent="0.25">
      <c r="A943" s="49">
        <v>8</v>
      </c>
      <c r="B943" s="22" t="s">
        <v>1758</v>
      </c>
      <c r="C943" s="50" t="s">
        <v>404</v>
      </c>
      <c r="D943" s="51" t="s">
        <v>402</v>
      </c>
      <c r="E943" s="52" t="s">
        <v>405</v>
      </c>
      <c r="F943" s="52"/>
      <c r="G943" s="52" t="s">
        <v>194</v>
      </c>
      <c r="H943" s="52" t="s">
        <v>62</v>
      </c>
      <c r="I943" s="52">
        <v>2011</v>
      </c>
      <c r="J943" s="52"/>
      <c r="K943" s="52" t="s">
        <v>63</v>
      </c>
      <c r="L943" s="52" t="s">
        <v>167</v>
      </c>
      <c r="M943" s="52">
        <v>2</v>
      </c>
      <c r="N943" s="53">
        <f t="shared" si="351"/>
        <v>840000</v>
      </c>
      <c r="O943" s="53">
        <v>1680000</v>
      </c>
      <c r="P943" s="52"/>
      <c r="Q943" s="52"/>
      <c r="R943" s="52"/>
      <c r="S943" s="53">
        <f t="shared" si="348"/>
        <v>1680000</v>
      </c>
      <c r="T943" s="52">
        <v>5</v>
      </c>
      <c r="U943" s="53"/>
      <c r="V943" s="52">
        <v>0.5</v>
      </c>
      <c r="W943" s="53">
        <f t="shared" si="352"/>
        <v>0</v>
      </c>
      <c r="X943" s="52"/>
      <c r="Y943" s="53">
        <f t="shared" si="353"/>
        <v>0</v>
      </c>
      <c r="Z943" s="53">
        <f t="shared" si="354"/>
        <v>0</v>
      </c>
      <c r="AA943" s="52">
        <v>5</v>
      </c>
      <c r="AB943" s="53">
        <v>1680000</v>
      </c>
      <c r="AC943" s="53">
        <f t="shared" si="349"/>
        <v>0</v>
      </c>
      <c r="AD943" s="56" t="s">
        <v>406</v>
      </c>
      <c r="AE943" s="56"/>
      <c r="AF943" s="1">
        <v>1680000</v>
      </c>
      <c r="AG943" s="5">
        <f t="shared" si="350"/>
        <v>0</v>
      </c>
    </row>
    <row r="944" spans="1:33" s="1" customFormat="1" x14ac:dyDescent="0.25">
      <c r="A944" s="49">
        <v>9</v>
      </c>
      <c r="B944" s="22" t="s">
        <v>1758</v>
      </c>
      <c r="C944" s="50" t="s">
        <v>246</v>
      </c>
      <c r="D944" s="51" t="s">
        <v>402</v>
      </c>
      <c r="E944" s="52" t="s">
        <v>405</v>
      </c>
      <c r="F944" s="52"/>
      <c r="G944" s="52" t="s">
        <v>194</v>
      </c>
      <c r="H944" s="52" t="s">
        <v>62</v>
      </c>
      <c r="I944" s="52">
        <v>2011</v>
      </c>
      <c r="J944" s="52"/>
      <c r="K944" s="52" t="s">
        <v>63</v>
      </c>
      <c r="L944" s="52" t="s">
        <v>167</v>
      </c>
      <c r="M944" s="52">
        <v>1</v>
      </c>
      <c r="N944" s="53">
        <f t="shared" si="351"/>
        <v>840000</v>
      </c>
      <c r="O944" s="53">
        <v>840000</v>
      </c>
      <c r="P944" s="52"/>
      <c r="Q944" s="52"/>
      <c r="R944" s="52"/>
      <c r="S944" s="53">
        <f t="shared" si="348"/>
        <v>840000</v>
      </c>
      <c r="T944" s="52">
        <v>5</v>
      </c>
      <c r="U944" s="53"/>
      <c r="V944" s="52">
        <v>0.5</v>
      </c>
      <c r="W944" s="53">
        <f t="shared" si="352"/>
        <v>0</v>
      </c>
      <c r="X944" s="52"/>
      <c r="Y944" s="53">
        <f t="shared" si="353"/>
        <v>0</v>
      </c>
      <c r="Z944" s="53">
        <f t="shared" si="354"/>
        <v>0</v>
      </c>
      <c r="AA944" s="52">
        <v>5</v>
      </c>
      <c r="AB944" s="53">
        <v>840000</v>
      </c>
      <c r="AC944" s="53">
        <f t="shared" si="349"/>
        <v>0</v>
      </c>
      <c r="AD944" s="56" t="s">
        <v>406</v>
      </c>
      <c r="AE944" s="56"/>
      <c r="AF944" s="1">
        <v>840000</v>
      </c>
      <c r="AG944" s="5">
        <f t="shared" si="350"/>
        <v>0</v>
      </c>
    </row>
    <row r="945" spans="1:33" s="1" customFormat="1" x14ac:dyDescent="0.25">
      <c r="A945" s="49">
        <v>10</v>
      </c>
      <c r="B945" s="22" t="s">
        <v>1758</v>
      </c>
      <c r="C945" s="50" t="s">
        <v>407</v>
      </c>
      <c r="D945" s="51" t="s">
        <v>402</v>
      </c>
      <c r="E945" s="52" t="s">
        <v>405</v>
      </c>
      <c r="F945" s="52"/>
      <c r="G945" s="52" t="s">
        <v>194</v>
      </c>
      <c r="H945" s="52" t="s">
        <v>62</v>
      </c>
      <c r="I945" s="52">
        <v>2011</v>
      </c>
      <c r="J945" s="52"/>
      <c r="K945" s="52" t="s">
        <v>63</v>
      </c>
      <c r="L945" s="52" t="s">
        <v>167</v>
      </c>
      <c r="M945" s="52">
        <v>1</v>
      </c>
      <c r="N945" s="53">
        <f t="shared" si="351"/>
        <v>840000</v>
      </c>
      <c r="O945" s="53">
        <v>840000</v>
      </c>
      <c r="P945" s="52"/>
      <c r="Q945" s="52"/>
      <c r="R945" s="52"/>
      <c r="S945" s="53">
        <f t="shared" si="348"/>
        <v>840000</v>
      </c>
      <c r="T945" s="52">
        <v>5</v>
      </c>
      <c r="U945" s="53"/>
      <c r="V945" s="52">
        <v>0.5</v>
      </c>
      <c r="W945" s="53">
        <f t="shared" si="352"/>
        <v>0</v>
      </c>
      <c r="X945" s="52"/>
      <c r="Y945" s="53">
        <f t="shared" si="353"/>
        <v>0</v>
      </c>
      <c r="Z945" s="53">
        <f t="shared" si="354"/>
        <v>0</v>
      </c>
      <c r="AA945" s="52">
        <v>5</v>
      </c>
      <c r="AB945" s="53">
        <v>840000</v>
      </c>
      <c r="AC945" s="53">
        <f t="shared" si="349"/>
        <v>0</v>
      </c>
      <c r="AD945" s="56" t="s">
        <v>406</v>
      </c>
      <c r="AE945" s="56"/>
      <c r="AF945" s="1">
        <v>840000</v>
      </c>
      <c r="AG945" s="5">
        <f t="shared" si="350"/>
        <v>0</v>
      </c>
    </row>
    <row r="946" spans="1:33" s="1" customFormat="1" x14ac:dyDescent="0.25">
      <c r="A946" s="49">
        <v>11</v>
      </c>
      <c r="B946" s="22" t="s">
        <v>1758</v>
      </c>
      <c r="C946" s="50" t="s">
        <v>408</v>
      </c>
      <c r="D946" s="51" t="s">
        <v>402</v>
      </c>
      <c r="E946" s="52" t="s">
        <v>405</v>
      </c>
      <c r="F946" s="52"/>
      <c r="G946" s="52" t="s">
        <v>194</v>
      </c>
      <c r="H946" s="52" t="s">
        <v>62</v>
      </c>
      <c r="I946" s="52">
        <v>2011</v>
      </c>
      <c r="J946" s="52"/>
      <c r="K946" s="52" t="s">
        <v>63</v>
      </c>
      <c r="L946" s="52" t="s">
        <v>167</v>
      </c>
      <c r="M946" s="52">
        <v>1</v>
      </c>
      <c r="N946" s="53">
        <f t="shared" si="351"/>
        <v>840000</v>
      </c>
      <c r="O946" s="53">
        <v>840000</v>
      </c>
      <c r="P946" s="52"/>
      <c r="Q946" s="52"/>
      <c r="R946" s="52"/>
      <c r="S946" s="53">
        <f t="shared" si="348"/>
        <v>840000</v>
      </c>
      <c r="T946" s="52">
        <v>5</v>
      </c>
      <c r="U946" s="53"/>
      <c r="V946" s="52">
        <v>0.5</v>
      </c>
      <c r="W946" s="53">
        <f t="shared" si="352"/>
        <v>0</v>
      </c>
      <c r="X946" s="52"/>
      <c r="Y946" s="53">
        <f t="shared" si="353"/>
        <v>0</v>
      </c>
      <c r="Z946" s="53">
        <f t="shared" si="354"/>
        <v>0</v>
      </c>
      <c r="AA946" s="52">
        <v>5</v>
      </c>
      <c r="AB946" s="53">
        <v>840000</v>
      </c>
      <c r="AC946" s="53">
        <f t="shared" si="349"/>
        <v>0</v>
      </c>
      <c r="AD946" s="56" t="s">
        <v>406</v>
      </c>
      <c r="AE946" s="56"/>
      <c r="AF946" s="1">
        <v>840000</v>
      </c>
      <c r="AG946" s="5">
        <f t="shared" si="350"/>
        <v>0</v>
      </c>
    </row>
    <row r="947" spans="1:33" s="1" customFormat="1" x14ac:dyDescent="0.25">
      <c r="A947" s="49">
        <v>12</v>
      </c>
      <c r="B947" s="22" t="s">
        <v>1758</v>
      </c>
      <c r="C947" s="50" t="s">
        <v>409</v>
      </c>
      <c r="D947" s="51" t="s">
        <v>402</v>
      </c>
      <c r="E947" s="52" t="s">
        <v>405</v>
      </c>
      <c r="F947" s="52"/>
      <c r="G947" s="52" t="s">
        <v>194</v>
      </c>
      <c r="H947" s="52" t="s">
        <v>62</v>
      </c>
      <c r="I947" s="52">
        <v>2012</v>
      </c>
      <c r="J947" s="52"/>
      <c r="K947" s="52" t="s">
        <v>63</v>
      </c>
      <c r="L947" s="52" t="s">
        <v>167</v>
      </c>
      <c r="M947" s="52">
        <v>1</v>
      </c>
      <c r="N947" s="53">
        <f t="shared" si="351"/>
        <v>990000</v>
      </c>
      <c r="O947" s="53">
        <v>990000</v>
      </c>
      <c r="P947" s="52"/>
      <c r="Q947" s="52"/>
      <c r="R947" s="52"/>
      <c r="S947" s="53">
        <f t="shared" si="348"/>
        <v>990000</v>
      </c>
      <c r="T947" s="52">
        <v>5</v>
      </c>
      <c r="U947" s="53"/>
      <c r="V947" s="52">
        <v>0.5</v>
      </c>
      <c r="W947" s="53">
        <f t="shared" si="352"/>
        <v>0</v>
      </c>
      <c r="X947" s="52"/>
      <c r="Y947" s="53">
        <f t="shared" si="353"/>
        <v>0</v>
      </c>
      <c r="Z947" s="53">
        <f t="shared" si="354"/>
        <v>0</v>
      </c>
      <c r="AA947" s="52">
        <v>5</v>
      </c>
      <c r="AB947" s="53">
        <v>990000</v>
      </c>
      <c r="AC947" s="53">
        <f t="shared" si="349"/>
        <v>0</v>
      </c>
      <c r="AD947" s="56" t="s">
        <v>406</v>
      </c>
      <c r="AE947" s="56"/>
      <c r="AF947" s="1">
        <v>990000</v>
      </c>
      <c r="AG947" s="5">
        <f t="shared" si="350"/>
        <v>0</v>
      </c>
    </row>
    <row r="948" spans="1:33" s="1" customFormat="1" x14ac:dyDescent="0.25">
      <c r="A948" s="49">
        <v>13</v>
      </c>
      <c r="B948" s="22" t="s">
        <v>1758</v>
      </c>
      <c r="C948" s="50" t="s">
        <v>410</v>
      </c>
      <c r="D948" s="51" t="s">
        <v>402</v>
      </c>
      <c r="E948" s="52" t="s">
        <v>405</v>
      </c>
      <c r="F948" s="52"/>
      <c r="G948" s="52" t="s">
        <v>194</v>
      </c>
      <c r="H948" s="52" t="s">
        <v>62</v>
      </c>
      <c r="I948" s="52">
        <v>2012</v>
      </c>
      <c r="J948" s="52"/>
      <c r="K948" s="52" t="s">
        <v>63</v>
      </c>
      <c r="L948" s="52" t="s">
        <v>167</v>
      </c>
      <c r="M948" s="52">
        <v>2</v>
      </c>
      <c r="N948" s="53">
        <f t="shared" si="351"/>
        <v>990000</v>
      </c>
      <c r="O948" s="53">
        <v>1980000</v>
      </c>
      <c r="P948" s="52"/>
      <c r="Q948" s="52"/>
      <c r="R948" s="52"/>
      <c r="S948" s="53">
        <f t="shared" si="348"/>
        <v>1980000</v>
      </c>
      <c r="T948" s="52">
        <v>5</v>
      </c>
      <c r="U948" s="53"/>
      <c r="V948" s="52">
        <v>0.5</v>
      </c>
      <c r="W948" s="53">
        <f t="shared" si="352"/>
        <v>0</v>
      </c>
      <c r="X948" s="52"/>
      <c r="Y948" s="53">
        <f t="shared" si="353"/>
        <v>0</v>
      </c>
      <c r="Z948" s="53">
        <f t="shared" si="354"/>
        <v>0</v>
      </c>
      <c r="AA948" s="52">
        <v>5</v>
      </c>
      <c r="AB948" s="53">
        <v>1980000</v>
      </c>
      <c r="AC948" s="53">
        <f t="shared" si="349"/>
        <v>0</v>
      </c>
      <c r="AD948" s="56" t="s">
        <v>406</v>
      </c>
      <c r="AE948" s="56"/>
      <c r="AF948" s="1">
        <v>1980000</v>
      </c>
      <c r="AG948" s="5">
        <f t="shared" si="350"/>
        <v>0</v>
      </c>
    </row>
    <row r="949" spans="1:33" s="1" customFormat="1" x14ac:dyDescent="0.25">
      <c r="A949" s="49">
        <v>14</v>
      </c>
      <c r="B949" s="22" t="s">
        <v>1758</v>
      </c>
      <c r="C949" s="50" t="s">
        <v>411</v>
      </c>
      <c r="D949" s="51" t="s">
        <v>402</v>
      </c>
      <c r="E949" s="52" t="s">
        <v>405</v>
      </c>
      <c r="F949" s="52"/>
      <c r="G949" s="52" t="s">
        <v>194</v>
      </c>
      <c r="H949" s="52" t="s">
        <v>62</v>
      </c>
      <c r="I949" s="52">
        <v>2012</v>
      </c>
      <c r="J949" s="52"/>
      <c r="K949" s="52" t="s">
        <v>63</v>
      </c>
      <c r="L949" s="52" t="s">
        <v>167</v>
      </c>
      <c r="M949" s="52">
        <v>1</v>
      </c>
      <c r="N949" s="53">
        <f t="shared" si="351"/>
        <v>990000</v>
      </c>
      <c r="O949" s="53">
        <v>990000</v>
      </c>
      <c r="P949" s="52"/>
      <c r="Q949" s="52"/>
      <c r="R949" s="52"/>
      <c r="S949" s="53">
        <f t="shared" si="348"/>
        <v>990000</v>
      </c>
      <c r="T949" s="52">
        <v>5</v>
      </c>
      <c r="U949" s="53"/>
      <c r="V949" s="52">
        <v>0.5</v>
      </c>
      <c r="W949" s="53">
        <f t="shared" si="352"/>
        <v>0</v>
      </c>
      <c r="X949" s="52"/>
      <c r="Y949" s="53">
        <f t="shared" si="353"/>
        <v>0</v>
      </c>
      <c r="Z949" s="53">
        <f t="shared" si="354"/>
        <v>0</v>
      </c>
      <c r="AA949" s="52">
        <v>5</v>
      </c>
      <c r="AB949" s="53">
        <v>990000</v>
      </c>
      <c r="AC949" s="53">
        <f t="shared" si="349"/>
        <v>0</v>
      </c>
      <c r="AD949" s="56" t="s">
        <v>406</v>
      </c>
      <c r="AE949" s="56"/>
      <c r="AF949" s="1">
        <v>990000</v>
      </c>
      <c r="AG949" s="5">
        <f t="shared" si="350"/>
        <v>0</v>
      </c>
    </row>
    <row r="950" spans="1:33" s="1" customFormat="1" x14ac:dyDescent="0.25">
      <c r="A950" s="49">
        <v>15</v>
      </c>
      <c r="B950" s="22" t="s">
        <v>1758</v>
      </c>
      <c r="C950" s="50" t="s">
        <v>412</v>
      </c>
      <c r="D950" s="51" t="s">
        <v>402</v>
      </c>
      <c r="E950" s="52" t="s">
        <v>413</v>
      </c>
      <c r="F950" s="52"/>
      <c r="G950" s="52" t="s">
        <v>194</v>
      </c>
      <c r="H950" s="52" t="s">
        <v>62</v>
      </c>
      <c r="I950" s="52">
        <v>2013</v>
      </c>
      <c r="J950" s="52"/>
      <c r="K950" s="52" t="s">
        <v>63</v>
      </c>
      <c r="L950" s="52" t="s">
        <v>167</v>
      </c>
      <c r="M950" s="52">
        <v>3</v>
      </c>
      <c r="N950" s="53">
        <f t="shared" si="351"/>
        <v>1650000</v>
      </c>
      <c r="O950" s="53">
        <v>4950000</v>
      </c>
      <c r="P950" s="52"/>
      <c r="Q950" s="52"/>
      <c r="R950" s="52"/>
      <c r="S950" s="53">
        <f t="shared" si="348"/>
        <v>4950000</v>
      </c>
      <c r="T950" s="52">
        <v>5</v>
      </c>
      <c r="U950" s="53"/>
      <c r="V950" s="52">
        <v>0.5</v>
      </c>
      <c r="W950" s="53">
        <f t="shared" si="352"/>
        <v>0</v>
      </c>
      <c r="X950" s="52"/>
      <c r="Y950" s="53">
        <f t="shared" si="353"/>
        <v>0</v>
      </c>
      <c r="Z950" s="53">
        <f t="shared" si="354"/>
        <v>0</v>
      </c>
      <c r="AA950" s="52">
        <v>5</v>
      </c>
      <c r="AB950" s="53">
        <v>4950000</v>
      </c>
      <c r="AC950" s="53">
        <f t="shared" si="349"/>
        <v>0</v>
      </c>
      <c r="AD950" s="56" t="s">
        <v>250</v>
      </c>
      <c r="AE950" s="56"/>
      <c r="AF950" s="1">
        <v>4950000</v>
      </c>
      <c r="AG950" s="5">
        <f t="shared" si="350"/>
        <v>0</v>
      </c>
    </row>
    <row r="951" spans="1:33" s="1" customFormat="1" x14ac:dyDescent="0.25">
      <c r="A951" s="49">
        <v>16</v>
      </c>
      <c r="B951" s="22" t="s">
        <v>1758</v>
      </c>
      <c r="C951" s="50" t="s">
        <v>414</v>
      </c>
      <c r="D951" s="51" t="s">
        <v>402</v>
      </c>
      <c r="E951" s="52" t="s">
        <v>415</v>
      </c>
      <c r="F951" s="52"/>
      <c r="G951" s="52" t="s">
        <v>194</v>
      </c>
      <c r="H951" s="52" t="s">
        <v>62</v>
      </c>
      <c r="I951" s="52">
        <v>2014</v>
      </c>
      <c r="J951" s="52"/>
      <c r="K951" s="52" t="s">
        <v>63</v>
      </c>
      <c r="L951" s="52" t="s">
        <v>64</v>
      </c>
      <c r="M951" s="52">
        <v>2</v>
      </c>
      <c r="N951" s="53">
        <f t="shared" si="351"/>
        <v>2431000</v>
      </c>
      <c r="O951" s="53">
        <v>4862000</v>
      </c>
      <c r="P951" s="52"/>
      <c r="Q951" s="52"/>
      <c r="R951" s="52"/>
      <c r="S951" s="53">
        <f t="shared" si="348"/>
        <v>4862000</v>
      </c>
      <c r="T951" s="52">
        <v>5</v>
      </c>
      <c r="U951" s="53"/>
      <c r="V951" s="52">
        <v>0.5</v>
      </c>
      <c r="W951" s="53">
        <f t="shared" si="352"/>
        <v>0</v>
      </c>
      <c r="X951" s="52"/>
      <c r="Y951" s="53">
        <f t="shared" si="353"/>
        <v>0</v>
      </c>
      <c r="Z951" s="53">
        <f t="shared" si="354"/>
        <v>0</v>
      </c>
      <c r="AA951" s="52">
        <v>5</v>
      </c>
      <c r="AB951" s="53">
        <v>4862000</v>
      </c>
      <c r="AC951" s="53">
        <f t="shared" si="349"/>
        <v>0</v>
      </c>
      <c r="AD951" s="56" t="s">
        <v>326</v>
      </c>
      <c r="AE951" s="56"/>
      <c r="AF951" s="1">
        <v>4862000</v>
      </c>
      <c r="AG951" s="5">
        <f t="shared" si="350"/>
        <v>0</v>
      </c>
    </row>
    <row r="952" spans="1:33" s="1" customFormat="1" x14ac:dyDescent="0.25">
      <c r="A952" s="49">
        <v>17</v>
      </c>
      <c r="B952" s="22" t="s">
        <v>1758</v>
      </c>
      <c r="C952" s="50" t="s">
        <v>416</v>
      </c>
      <c r="D952" s="51" t="s">
        <v>402</v>
      </c>
      <c r="E952" s="52" t="s">
        <v>415</v>
      </c>
      <c r="F952" s="52"/>
      <c r="G952" s="52" t="s">
        <v>194</v>
      </c>
      <c r="H952" s="52" t="s">
        <v>62</v>
      </c>
      <c r="I952" s="52">
        <v>2014</v>
      </c>
      <c r="J952" s="52"/>
      <c r="K952" s="52" t="s">
        <v>63</v>
      </c>
      <c r="L952" s="52" t="s">
        <v>64</v>
      </c>
      <c r="M952" s="52">
        <v>1</v>
      </c>
      <c r="N952" s="53">
        <f t="shared" si="351"/>
        <v>2431000</v>
      </c>
      <c r="O952" s="53">
        <v>2431000</v>
      </c>
      <c r="P952" s="52"/>
      <c r="Q952" s="52"/>
      <c r="R952" s="52"/>
      <c r="S952" s="53">
        <f t="shared" si="348"/>
        <v>2431000</v>
      </c>
      <c r="T952" s="52">
        <v>5</v>
      </c>
      <c r="U952" s="53"/>
      <c r="V952" s="52">
        <v>0.5</v>
      </c>
      <c r="W952" s="53">
        <f t="shared" si="352"/>
        <v>0</v>
      </c>
      <c r="X952" s="52"/>
      <c r="Y952" s="53">
        <f t="shared" si="353"/>
        <v>0</v>
      </c>
      <c r="Z952" s="53">
        <f t="shared" si="354"/>
        <v>0</v>
      </c>
      <c r="AA952" s="52">
        <v>5</v>
      </c>
      <c r="AB952" s="53">
        <v>2431000</v>
      </c>
      <c r="AC952" s="53">
        <f t="shared" si="349"/>
        <v>0</v>
      </c>
      <c r="AD952" s="56" t="s">
        <v>324</v>
      </c>
      <c r="AE952" s="56"/>
      <c r="AF952" s="1">
        <v>2431000</v>
      </c>
      <c r="AG952" s="5">
        <f t="shared" si="350"/>
        <v>0</v>
      </c>
    </row>
    <row r="953" spans="1:33" s="1" customFormat="1" x14ac:dyDescent="0.25">
      <c r="A953" s="49">
        <v>18</v>
      </c>
      <c r="B953" s="22" t="s">
        <v>1758</v>
      </c>
      <c r="C953" s="50" t="s">
        <v>417</v>
      </c>
      <c r="D953" s="51" t="s">
        <v>402</v>
      </c>
      <c r="E953" s="52" t="s">
        <v>415</v>
      </c>
      <c r="F953" s="52"/>
      <c r="G953" s="52" t="s">
        <v>194</v>
      </c>
      <c r="H953" s="52" t="s">
        <v>62</v>
      </c>
      <c r="I953" s="52">
        <v>2014</v>
      </c>
      <c r="J953" s="52"/>
      <c r="K953" s="52" t="s">
        <v>63</v>
      </c>
      <c r="L953" s="52" t="s">
        <v>64</v>
      </c>
      <c r="M953" s="52">
        <v>1</v>
      </c>
      <c r="N953" s="53">
        <f t="shared" si="351"/>
        <v>2431000</v>
      </c>
      <c r="O953" s="53">
        <v>2431000</v>
      </c>
      <c r="P953" s="52"/>
      <c r="Q953" s="52"/>
      <c r="R953" s="52"/>
      <c r="S953" s="53">
        <f t="shared" si="348"/>
        <v>2431000</v>
      </c>
      <c r="T953" s="52">
        <v>5</v>
      </c>
      <c r="U953" s="53"/>
      <c r="V953" s="52">
        <v>0.5</v>
      </c>
      <c r="W953" s="53">
        <f t="shared" si="352"/>
        <v>0</v>
      </c>
      <c r="X953" s="52"/>
      <c r="Y953" s="53">
        <f t="shared" si="353"/>
        <v>0</v>
      </c>
      <c r="Z953" s="53">
        <f t="shared" si="354"/>
        <v>0</v>
      </c>
      <c r="AA953" s="52">
        <v>5</v>
      </c>
      <c r="AB953" s="53">
        <v>2431000</v>
      </c>
      <c r="AC953" s="53">
        <f t="shared" si="349"/>
        <v>0</v>
      </c>
      <c r="AD953" s="56" t="s">
        <v>322</v>
      </c>
      <c r="AE953" s="56"/>
      <c r="AF953" s="1">
        <v>2431000</v>
      </c>
      <c r="AG953" s="5">
        <f t="shared" si="350"/>
        <v>0</v>
      </c>
    </row>
    <row r="954" spans="1:33" s="1" customFormat="1" x14ac:dyDescent="0.25">
      <c r="A954" s="49">
        <v>19</v>
      </c>
      <c r="B954" s="22" t="s">
        <v>1758</v>
      </c>
      <c r="C954" s="50" t="s">
        <v>418</v>
      </c>
      <c r="D954" s="51" t="s">
        <v>402</v>
      </c>
      <c r="E954" s="52" t="s">
        <v>415</v>
      </c>
      <c r="F954" s="52"/>
      <c r="G954" s="52" t="s">
        <v>194</v>
      </c>
      <c r="H954" s="52" t="s">
        <v>62</v>
      </c>
      <c r="I954" s="52">
        <v>2014</v>
      </c>
      <c r="J954" s="52"/>
      <c r="K954" s="52" t="s">
        <v>63</v>
      </c>
      <c r="L954" s="52" t="s">
        <v>64</v>
      </c>
      <c r="M954" s="52">
        <v>2</v>
      </c>
      <c r="N954" s="53">
        <f t="shared" si="351"/>
        <v>2431000</v>
      </c>
      <c r="O954" s="53">
        <v>4862000</v>
      </c>
      <c r="P954" s="52"/>
      <c r="Q954" s="52"/>
      <c r="R954" s="52"/>
      <c r="S954" s="53">
        <f t="shared" si="348"/>
        <v>4862000</v>
      </c>
      <c r="T954" s="52">
        <v>5</v>
      </c>
      <c r="U954" s="53"/>
      <c r="V954" s="52">
        <v>0.5</v>
      </c>
      <c r="W954" s="53">
        <f t="shared" si="352"/>
        <v>0</v>
      </c>
      <c r="X954" s="52"/>
      <c r="Y954" s="53">
        <f t="shared" si="353"/>
        <v>0</v>
      </c>
      <c r="Z954" s="53">
        <f t="shared" si="354"/>
        <v>0</v>
      </c>
      <c r="AA954" s="52">
        <v>5</v>
      </c>
      <c r="AB954" s="53">
        <v>4862000</v>
      </c>
      <c r="AC954" s="53">
        <f t="shared" si="349"/>
        <v>0</v>
      </c>
      <c r="AD954" s="56" t="s">
        <v>218</v>
      </c>
      <c r="AE954" s="56"/>
      <c r="AF954" s="1">
        <v>4862000</v>
      </c>
      <c r="AG954" s="5">
        <f t="shared" si="350"/>
        <v>0</v>
      </c>
    </row>
    <row r="955" spans="1:33" s="1" customFormat="1" x14ac:dyDescent="0.25">
      <c r="A955" s="49">
        <v>20</v>
      </c>
      <c r="B955" s="22" t="s">
        <v>1758</v>
      </c>
      <c r="C955" s="50" t="s">
        <v>419</v>
      </c>
      <c r="D955" s="51" t="s">
        <v>402</v>
      </c>
      <c r="E955" s="52" t="s">
        <v>415</v>
      </c>
      <c r="F955" s="52"/>
      <c r="G955" s="52" t="s">
        <v>194</v>
      </c>
      <c r="H955" s="52" t="s">
        <v>62</v>
      </c>
      <c r="I955" s="52">
        <v>2014</v>
      </c>
      <c r="J955" s="52"/>
      <c r="K955" s="52" t="s">
        <v>63</v>
      </c>
      <c r="L955" s="52" t="s">
        <v>64</v>
      </c>
      <c r="M955" s="52">
        <v>4</v>
      </c>
      <c r="N955" s="53">
        <f t="shared" si="351"/>
        <v>2431000</v>
      </c>
      <c r="O955" s="53">
        <v>9724000</v>
      </c>
      <c r="P955" s="52"/>
      <c r="Q955" s="52"/>
      <c r="R955" s="52"/>
      <c r="S955" s="53">
        <f t="shared" si="348"/>
        <v>9724000</v>
      </c>
      <c r="T955" s="52">
        <v>5</v>
      </c>
      <c r="U955" s="53"/>
      <c r="V955" s="52">
        <v>0.5</v>
      </c>
      <c r="W955" s="53">
        <f t="shared" si="352"/>
        <v>0</v>
      </c>
      <c r="X955" s="52"/>
      <c r="Y955" s="53">
        <f t="shared" si="353"/>
        <v>0</v>
      </c>
      <c r="Z955" s="53">
        <f t="shared" si="354"/>
        <v>0</v>
      </c>
      <c r="AA955" s="52">
        <v>5</v>
      </c>
      <c r="AB955" s="53">
        <v>9724000</v>
      </c>
      <c r="AC955" s="53">
        <f t="shared" si="349"/>
        <v>0</v>
      </c>
      <c r="AD955" s="56" t="s">
        <v>328</v>
      </c>
      <c r="AE955" s="56"/>
      <c r="AF955" s="1">
        <v>9724000</v>
      </c>
      <c r="AG955" s="5">
        <f t="shared" si="350"/>
        <v>0</v>
      </c>
    </row>
    <row r="956" spans="1:33" s="1" customFormat="1" x14ac:dyDescent="0.25">
      <c r="A956" s="49">
        <v>21</v>
      </c>
      <c r="B956" s="22" t="s">
        <v>1758</v>
      </c>
      <c r="C956" s="50" t="s">
        <v>420</v>
      </c>
      <c r="D956" s="51" t="s">
        <v>402</v>
      </c>
      <c r="E956" s="52" t="s">
        <v>415</v>
      </c>
      <c r="F956" s="52"/>
      <c r="G956" s="52" t="s">
        <v>194</v>
      </c>
      <c r="H956" s="52" t="s">
        <v>62</v>
      </c>
      <c r="I956" s="52">
        <v>2014</v>
      </c>
      <c r="J956" s="52"/>
      <c r="K956" s="52" t="s">
        <v>63</v>
      </c>
      <c r="L956" s="52" t="s">
        <v>64</v>
      </c>
      <c r="M956" s="52">
        <v>1</v>
      </c>
      <c r="N956" s="53">
        <f t="shared" si="351"/>
        <v>2431000</v>
      </c>
      <c r="O956" s="53">
        <v>2431000</v>
      </c>
      <c r="P956" s="52"/>
      <c r="Q956" s="52"/>
      <c r="R956" s="52"/>
      <c r="S956" s="53">
        <f t="shared" si="348"/>
        <v>2431000</v>
      </c>
      <c r="T956" s="52">
        <v>5</v>
      </c>
      <c r="U956" s="53"/>
      <c r="V956" s="52">
        <v>0.5</v>
      </c>
      <c r="W956" s="53">
        <f t="shared" si="352"/>
        <v>0</v>
      </c>
      <c r="X956" s="52"/>
      <c r="Y956" s="53">
        <f t="shared" si="353"/>
        <v>0</v>
      </c>
      <c r="Z956" s="53">
        <f t="shared" si="354"/>
        <v>0</v>
      </c>
      <c r="AA956" s="52">
        <v>5</v>
      </c>
      <c r="AB956" s="53">
        <v>2431000</v>
      </c>
      <c r="AC956" s="53">
        <f t="shared" si="349"/>
        <v>0</v>
      </c>
      <c r="AD956" s="56" t="s">
        <v>331</v>
      </c>
      <c r="AE956" s="56"/>
      <c r="AF956" s="1">
        <v>2431000</v>
      </c>
      <c r="AG956" s="5">
        <f t="shared" si="350"/>
        <v>0</v>
      </c>
    </row>
    <row r="957" spans="1:33" s="1" customFormat="1" x14ac:dyDescent="0.25">
      <c r="A957" s="49">
        <v>22</v>
      </c>
      <c r="B957" s="22" t="s">
        <v>1758</v>
      </c>
      <c r="C957" s="50" t="s">
        <v>421</v>
      </c>
      <c r="D957" s="51" t="s">
        <v>402</v>
      </c>
      <c r="E957" s="52" t="s">
        <v>415</v>
      </c>
      <c r="F957" s="52"/>
      <c r="G957" s="52" t="s">
        <v>194</v>
      </c>
      <c r="H957" s="52" t="s">
        <v>62</v>
      </c>
      <c r="I957" s="52">
        <v>2014</v>
      </c>
      <c r="J957" s="52"/>
      <c r="K957" s="52" t="s">
        <v>63</v>
      </c>
      <c r="L957" s="52" t="s">
        <v>64</v>
      </c>
      <c r="M957" s="52">
        <v>3</v>
      </c>
      <c r="N957" s="53">
        <f t="shared" si="351"/>
        <v>2431000</v>
      </c>
      <c r="O957" s="53">
        <v>7293000</v>
      </c>
      <c r="P957" s="52"/>
      <c r="Q957" s="52"/>
      <c r="R957" s="52"/>
      <c r="S957" s="53">
        <f t="shared" si="348"/>
        <v>7293000</v>
      </c>
      <c r="T957" s="52">
        <v>5</v>
      </c>
      <c r="U957" s="53"/>
      <c r="V957" s="52">
        <v>0.5</v>
      </c>
      <c r="W957" s="53">
        <f t="shared" si="352"/>
        <v>0</v>
      </c>
      <c r="X957" s="52"/>
      <c r="Y957" s="53">
        <f t="shared" si="353"/>
        <v>0</v>
      </c>
      <c r="Z957" s="53">
        <f t="shared" si="354"/>
        <v>0</v>
      </c>
      <c r="AA957" s="52">
        <v>5</v>
      </c>
      <c r="AB957" s="53">
        <v>7293000</v>
      </c>
      <c r="AC957" s="53">
        <f t="shared" si="349"/>
        <v>0</v>
      </c>
      <c r="AD957" s="56" t="s">
        <v>276</v>
      </c>
      <c r="AE957" s="56"/>
      <c r="AF957" s="1">
        <v>7293000</v>
      </c>
      <c r="AG957" s="5">
        <f t="shared" si="350"/>
        <v>0</v>
      </c>
    </row>
    <row r="958" spans="1:33" s="1" customFormat="1" x14ac:dyDescent="0.25">
      <c r="A958" s="49">
        <v>23</v>
      </c>
      <c r="B958" s="22" t="s">
        <v>1758</v>
      </c>
      <c r="C958" s="50" t="s">
        <v>422</v>
      </c>
      <c r="D958" s="51" t="s">
        <v>402</v>
      </c>
      <c r="E958" s="52" t="s">
        <v>415</v>
      </c>
      <c r="F958" s="52"/>
      <c r="G958" s="52" t="s">
        <v>194</v>
      </c>
      <c r="H958" s="52" t="s">
        <v>62</v>
      </c>
      <c r="I958" s="52">
        <v>2014</v>
      </c>
      <c r="J958" s="52"/>
      <c r="K958" s="52" t="s">
        <v>63</v>
      </c>
      <c r="L958" s="52" t="s">
        <v>64</v>
      </c>
      <c r="M958" s="52">
        <v>1</v>
      </c>
      <c r="N958" s="53">
        <f t="shared" si="351"/>
        <v>2431000</v>
      </c>
      <c r="O958" s="53">
        <v>2431000</v>
      </c>
      <c r="P958" s="52"/>
      <c r="Q958" s="52"/>
      <c r="R958" s="52"/>
      <c r="S958" s="53">
        <f t="shared" si="348"/>
        <v>2431000</v>
      </c>
      <c r="T958" s="52">
        <v>5</v>
      </c>
      <c r="U958" s="53"/>
      <c r="V958" s="52">
        <v>0.5</v>
      </c>
      <c r="W958" s="53">
        <f t="shared" si="352"/>
        <v>0</v>
      </c>
      <c r="X958" s="52"/>
      <c r="Y958" s="53">
        <f t="shared" si="353"/>
        <v>0</v>
      </c>
      <c r="Z958" s="53">
        <f t="shared" si="354"/>
        <v>0</v>
      </c>
      <c r="AA958" s="52">
        <v>5</v>
      </c>
      <c r="AB958" s="53">
        <v>2431000</v>
      </c>
      <c r="AC958" s="53">
        <f t="shared" si="349"/>
        <v>0</v>
      </c>
      <c r="AD958" s="56" t="s">
        <v>208</v>
      </c>
      <c r="AE958" s="56"/>
      <c r="AF958" s="1">
        <v>2431000</v>
      </c>
      <c r="AG958" s="5">
        <f t="shared" si="350"/>
        <v>0</v>
      </c>
    </row>
    <row r="959" spans="1:33" s="1" customFormat="1" x14ac:dyDescent="0.25">
      <c r="A959" s="49">
        <v>24</v>
      </c>
      <c r="B959" s="22" t="s">
        <v>1758</v>
      </c>
      <c r="C959" s="50" t="s">
        <v>423</v>
      </c>
      <c r="D959" s="51" t="s">
        <v>402</v>
      </c>
      <c r="E959" s="52" t="s">
        <v>415</v>
      </c>
      <c r="F959" s="52"/>
      <c r="G959" s="52" t="s">
        <v>194</v>
      </c>
      <c r="H959" s="52" t="s">
        <v>62</v>
      </c>
      <c r="I959" s="52">
        <v>2014</v>
      </c>
      <c r="J959" s="52"/>
      <c r="K959" s="52" t="s">
        <v>63</v>
      </c>
      <c r="L959" s="52" t="s">
        <v>64</v>
      </c>
      <c r="M959" s="52">
        <v>1</v>
      </c>
      <c r="N959" s="53">
        <f t="shared" si="351"/>
        <v>2431000</v>
      </c>
      <c r="O959" s="53">
        <v>2431000</v>
      </c>
      <c r="P959" s="52"/>
      <c r="Q959" s="52"/>
      <c r="R959" s="52"/>
      <c r="S959" s="53">
        <f t="shared" si="348"/>
        <v>2431000</v>
      </c>
      <c r="T959" s="52">
        <v>5</v>
      </c>
      <c r="U959" s="53"/>
      <c r="V959" s="52">
        <v>0.5</v>
      </c>
      <c r="W959" s="53">
        <f t="shared" si="352"/>
        <v>0</v>
      </c>
      <c r="X959" s="52"/>
      <c r="Y959" s="53">
        <f t="shared" si="353"/>
        <v>0</v>
      </c>
      <c r="Z959" s="53">
        <f t="shared" si="354"/>
        <v>0</v>
      </c>
      <c r="AA959" s="52">
        <v>5</v>
      </c>
      <c r="AB959" s="53">
        <v>2431000</v>
      </c>
      <c r="AC959" s="53">
        <f t="shared" si="349"/>
        <v>0</v>
      </c>
      <c r="AD959" s="56" t="s">
        <v>333</v>
      </c>
      <c r="AE959" s="56"/>
      <c r="AF959" s="1">
        <v>2431000</v>
      </c>
      <c r="AG959" s="5">
        <f t="shared" si="350"/>
        <v>0</v>
      </c>
    </row>
    <row r="960" spans="1:33" s="1" customFormat="1" x14ac:dyDescent="0.25">
      <c r="A960" s="49">
        <v>25</v>
      </c>
      <c r="B960" s="22" t="s">
        <v>1758</v>
      </c>
      <c r="C960" s="50" t="s">
        <v>424</v>
      </c>
      <c r="D960" s="51" t="s">
        <v>402</v>
      </c>
      <c r="E960" s="52" t="s">
        <v>415</v>
      </c>
      <c r="F960" s="52"/>
      <c r="G960" s="52" t="s">
        <v>194</v>
      </c>
      <c r="H960" s="52" t="s">
        <v>62</v>
      </c>
      <c r="I960" s="52">
        <v>2014</v>
      </c>
      <c r="J960" s="52"/>
      <c r="K960" s="52" t="s">
        <v>63</v>
      </c>
      <c r="L960" s="52" t="s">
        <v>64</v>
      </c>
      <c r="M960" s="52">
        <v>2</v>
      </c>
      <c r="N960" s="53">
        <f t="shared" si="351"/>
        <v>2431000</v>
      </c>
      <c r="O960" s="53">
        <v>4862000</v>
      </c>
      <c r="P960" s="52"/>
      <c r="Q960" s="52"/>
      <c r="R960" s="52"/>
      <c r="S960" s="53">
        <f t="shared" si="348"/>
        <v>4862000</v>
      </c>
      <c r="T960" s="52">
        <v>5</v>
      </c>
      <c r="U960" s="53"/>
      <c r="V960" s="52">
        <v>0.5</v>
      </c>
      <c r="W960" s="53">
        <f t="shared" si="352"/>
        <v>0</v>
      </c>
      <c r="X960" s="52"/>
      <c r="Y960" s="53">
        <f t="shared" si="353"/>
        <v>0</v>
      </c>
      <c r="Z960" s="53">
        <f t="shared" si="354"/>
        <v>0</v>
      </c>
      <c r="AA960" s="52">
        <v>5</v>
      </c>
      <c r="AB960" s="53">
        <v>4862000</v>
      </c>
      <c r="AC960" s="53">
        <f t="shared" si="349"/>
        <v>0</v>
      </c>
      <c r="AD960" s="56" t="s">
        <v>250</v>
      </c>
      <c r="AE960" s="56"/>
      <c r="AF960" s="1">
        <v>4862000</v>
      </c>
      <c r="AG960" s="5">
        <f t="shared" si="350"/>
        <v>0</v>
      </c>
    </row>
    <row r="961" spans="1:33" s="1" customFormat="1" x14ac:dyDescent="0.25">
      <c r="A961" s="49">
        <v>26</v>
      </c>
      <c r="B961" s="22" t="s">
        <v>1758</v>
      </c>
      <c r="C961" s="50" t="s">
        <v>425</v>
      </c>
      <c r="D961" s="51" t="s">
        <v>402</v>
      </c>
      <c r="E961" s="52" t="s">
        <v>426</v>
      </c>
      <c r="F961" s="52"/>
      <c r="G961" s="52" t="s">
        <v>194</v>
      </c>
      <c r="H961" s="52" t="s">
        <v>62</v>
      </c>
      <c r="I961" s="52">
        <v>2014</v>
      </c>
      <c r="J961" s="52"/>
      <c r="K961" s="52" t="s">
        <v>63</v>
      </c>
      <c r="L961" s="52" t="s">
        <v>167</v>
      </c>
      <c r="M961" s="52">
        <v>3</v>
      </c>
      <c r="N961" s="53">
        <f t="shared" si="351"/>
        <v>2035000</v>
      </c>
      <c r="O961" s="53">
        <v>6105000</v>
      </c>
      <c r="P961" s="52"/>
      <c r="Q961" s="52"/>
      <c r="R961" s="52"/>
      <c r="S961" s="53">
        <f t="shared" si="348"/>
        <v>6105000</v>
      </c>
      <c r="T961" s="52">
        <v>5</v>
      </c>
      <c r="U961" s="53"/>
      <c r="V961" s="52">
        <v>0.5</v>
      </c>
      <c r="W961" s="53">
        <f t="shared" si="352"/>
        <v>0</v>
      </c>
      <c r="X961" s="52"/>
      <c r="Y961" s="53">
        <f t="shared" si="353"/>
        <v>0</v>
      </c>
      <c r="Z961" s="53">
        <f t="shared" si="354"/>
        <v>0</v>
      </c>
      <c r="AA961" s="52">
        <v>5</v>
      </c>
      <c r="AB961" s="53">
        <v>6105000</v>
      </c>
      <c r="AC961" s="53">
        <f t="shared" si="349"/>
        <v>0</v>
      </c>
      <c r="AD961" s="56" t="s">
        <v>250</v>
      </c>
      <c r="AE961" s="56"/>
      <c r="AF961" s="1">
        <v>6105000</v>
      </c>
      <c r="AG961" s="5">
        <f t="shared" si="350"/>
        <v>0</v>
      </c>
    </row>
    <row r="962" spans="1:33" s="1" customFormat="1" x14ac:dyDescent="0.25">
      <c r="A962" s="49">
        <v>27</v>
      </c>
      <c r="B962" s="22" t="s">
        <v>1758</v>
      </c>
      <c r="C962" s="50" t="s">
        <v>427</v>
      </c>
      <c r="D962" s="51" t="s">
        <v>402</v>
      </c>
      <c r="E962" s="52" t="s">
        <v>426</v>
      </c>
      <c r="F962" s="52"/>
      <c r="G962" s="52" t="s">
        <v>194</v>
      </c>
      <c r="H962" s="52" t="s">
        <v>62</v>
      </c>
      <c r="I962" s="52">
        <v>2014</v>
      </c>
      <c r="J962" s="52"/>
      <c r="K962" s="52" t="s">
        <v>63</v>
      </c>
      <c r="L962" s="52" t="s">
        <v>167</v>
      </c>
      <c r="M962" s="52">
        <v>1</v>
      </c>
      <c r="N962" s="53">
        <f t="shared" si="351"/>
        <v>2035000</v>
      </c>
      <c r="O962" s="53">
        <v>2035000</v>
      </c>
      <c r="P962" s="52"/>
      <c r="Q962" s="52"/>
      <c r="R962" s="52"/>
      <c r="S962" s="53">
        <f t="shared" si="348"/>
        <v>2035000</v>
      </c>
      <c r="T962" s="52">
        <v>5</v>
      </c>
      <c r="U962" s="53"/>
      <c r="V962" s="52">
        <v>0.5</v>
      </c>
      <c r="W962" s="53">
        <f t="shared" si="352"/>
        <v>0</v>
      </c>
      <c r="X962" s="52"/>
      <c r="Y962" s="53">
        <f t="shared" si="353"/>
        <v>0</v>
      </c>
      <c r="Z962" s="53">
        <f t="shared" si="354"/>
        <v>0</v>
      </c>
      <c r="AA962" s="52">
        <v>5</v>
      </c>
      <c r="AB962" s="53">
        <v>2035000</v>
      </c>
      <c r="AC962" s="53">
        <f t="shared" si="349"/>
        <v>0</v>
      </c>
      <c r="AD962" s="56" t="s">
        <v>250</v>
      </c>
      <c r="AE962" s="56"/>
      <c r="AF962" s="1">
        <v>2035000</v>
      </c>
      <c r="AG962" s="5">
        <f t="shared" si="350"/>
        <v>0</v>
      </c>
    </row>
    <row r="963" spans="1:33" s="1" customFormat="1" x14ac:dyDescent="0.25">
      <c r="A963" s="49">
        <v>28</v>
      </c>
      <c r="B963" s="22" t="s">
        <v>1758</v>
      </c>
      <c r="C963" s="50" t="s">
        <v>428</v>
      </c>
      <c r="D963" s="51" t="s">
        <v>402</v>
      </c>
      <c r="E963" s="52" t="s">
        <v>426</v>
      </c>
      <c r="F963" s="52"/>
      <c r="G963" s="52" t="s">
        <v>194</v>
      </c>
      <c r="H963" s="52" t="s">
        <v>62</v>
      </c>
      <c r="I963" s="52">
        <v>2014</v>
      </c>
      <c r="J963" s="52"/>
      <c r="K963" s="52" t="s">
        <v>63</v>
      </c>
      <c r="L963" s="52" t="s">
        <v>302</v>
      </c>
      <c r="M963" s="52">
        <v>1</v>
      </c>
      <c r="N963" s="53">
        <f t="shared" si="351"/>
        <v>2035000</v>
      </c>
      <c r="O963" s="53">
        <v>2035000</v>
      </c>
      <c r="P963" s="52"/>
      <c r="Q963" s="52"/>
      <c r="R963" s="52"/>
      <c r="S963" s="53">
        <f t="shared" si="348"/>
        <v>2035000</v>
      </c>
      <c r="T963" s="52">
        <v>5</v>
      </c>
      <c r="U963" s="53"/>
      <c r="V963" s="52">
        <v>0.5</v>
      </c>
      <c r="W963" s="53">
        <f t="shared" si="352"/>
        <v>0</v>
      </c>
      <c r="X963" s="52"/>
      <c r="Y963" s="53">
        <f t="shared" si="353"/>
        <v>0</v>
      </c>
      <c r="Z963" s="53">
        <f t="shared" si="354"/>
        <v>0</v>
      </c>
      <c r="AA963" s="52">
        <v>5</v>
      </c>
      <c r="AB963" s="53">
        <v>2035000</v>
      </c>
      <c r="AC963" s="53">
        <f t="shared" si="349"/>
        <v>0</v>
      </c>
      <c r="AD963" s="56" t="s">
        <v>276</v>
      </c>
      <c r="AE963" s="56"/>
      <c r="AF963" s="1">
        <v>2035000</v>
      </c>
      <c r="AG963" s="5">
        <f t="shared" si="350"/>
        <v>0</v>
      </c>
    </row>
    <row r="964" spans="1:33" s="1" customFormat="1" x14ac:dyDescent="0.25">
      <c r="A964" s="49">
        <v>29</v>
      </c>
      <c r="B964" s="22" t="s">
        <v>1758</v>
      </c>
      <c r="C964" s="50" t="s">
        <v>429</v>
      </c>
      <c r="D964" s="51" t="s">
        <v>402</v>
      </c>
      <c r="E964" s="52" t="s">
        <v>430</v>
      </c>
      <c r="F964" s="52"/>
      <c r="G964" s="52" t="s">
        <v>194</v>
      </c>
      <c r="H964" s="52" t="s">
        <v>62</v>
      </c>
      <c r="I964" s="52">
        <v>2014</v>
      </c>
      <c r="J964" s="52"/>
      <c r="K964" s="52" t="s">
        <v>63</v>
      </c>
      <c r="L964" s="52" t="s">
        <v>64</v>
      </c>
      <c r="M964" s="52">
        <v>1</v>
      </c>
      <c r="N964" s="53">
        <f t="shared" si="351"/>
        <v>2497000</v>
      </c>
      <c r="O964" s="53">
        <v>2497000</v>
      </c>
      <c r="P964" s="52"/>
      <c r="Q964" s="52"/>
      <c r="R964" s="52"/>
      <c r="S964" s="53">
        <f t="shared" si="348"/>
        <v>2497000</v>
      </c>
      <c r="T964" s="52">
        <v>5</v>
      </c>
      <c r="U964" s="53"/>
      <c r="V964" s="52">
        <v>0.5</v>
      </c>
      <c r="W964" s="53">
        <f t="shared" si="352"/>
        <v>0</v>
      </c>
      <c r="X964" s="52"/>
      <c r="Y964" s="53">
        <f t="shared" si="353"/>
        <v>0</v>
      </c>
      <c r="Z964" s="53">
        <f t="shared" si="354"/>
        <v>0</v>
      </c>
      <c r="AA964" s="52">
        <v>5</v>
      </c>
      <c r="AB964" s="53">
        <v>2497000</v>
      </c>
      <c r="AC964" s="53">
        <f t="shared" si="349"/>
        <v>0</v>
      </c>
      <c r="AD964" s="56" t="s">
        <v>328</v>
      </c>
      <c r="AE964" s="56"/>
      <c r="AF964" s="1">
        <v>2497000</v>
      </c>
      <c r="AG964" s="5">
        <f t="shared" si="350"/>
        <v>0</v>
      </c>
    </row>
    <row r="965" spans="1:33" s="1" customFormat="1" x14ac:dyDescent="0.25">
      <c r="A965" s="49">
        <v>30</v>
      </c>
      <c r="B965" s="22" t="s">
        <v>1758</v>
      </c>
      <c r="C965" s="50" t="s">
        <v>431</v>
      </c>
      <c r="D965" s="51" t="s">
        <v>402</v>
      </c>
      <c r="E965" s="52" t="s">
        <v>430</v>
      </c>
      <c r="F965" s="52"/>
      <c r="G965" s="52" t="s">
        <v>194</v>
      </c>
      <c r="H965" s="52" t="s">
        <v>62</v>
      </c>
      <c r="I965" s="52">
        <v>2014</v>
      </c>
      <c r="J965" s="52"/>
      <c r="K965" s="52" t="s">
        <v>63</v>
      </c>
      <c r="L965" s="52" t="s">
        <v>64</v>
      </c>
      <c r="M965" s="52">
        <v>1</v>
      </c>
      <c r="N965" s="53">
        <f t="shared" si="351"/>
        <v>2497000</v>
      </c>
      <c r="O965" s="53">
        <v>2497000</v>
      </c>
      <c r="P965" s="52"/>
      <c r="Q965" s="52"/>
      <c r="R965" s="52"/>
      <c r="S965" s="53">
        <f t="shared" si="348"/>
        <v>2497000</v>
      </c>
      <c r="T965" s="52">
        <v>5</v>
      </c>
      <c r="U965" s="53"/>
      <c r="V965" s="52">
        <v>0.5</v>
      </c>
      <c r="W965" s="53">
        <f t="shared" si="352"/>
        <v>0</v>
      </c>
      <c r="X965" s="52"/>
      <c r="Y965" s="53">
        <f t="shared" si="353"/>
        <v>0</v>
      </c>
      <c r="Z965" s="53">
        <f t="shared" si="354"/>
        <v>0</v>
      </c>
      <c r="AA965" s="52">
        <v>5</v>
      </c>
      <c r="AB965" s="53">
        <v>2497000</v>
      </c>
      <c r="AC965" s="53">
        <f t="shared" si="349"/>
        <v>0</v>
      </c>
      <c r="AD965" s="56" t="s">
        <v>331</v>
      </c>
      <c r="AE965" s="56"/>
      <c r="AF965" s="1">
        <v>2497000</v>
      </c>
      <c r="AG965" s="5">
        <f t="shared" si="350"/>
        <v>0</v>
      </c>
    </row>
    <row r="966" spans="1:33" s="1" customFormat="1" x14ac:dyDescent="0.25">
      <c r="A966" s="49">
        <v>31</v>
      </c>
      <c r="B966" s="22" t="s">
        <v>1758</v>
      </c>
      <c r="C966" s="50" t="s">
        <v>432</v>
      </c>
      <c r="D966" s="51" t="s">
        <v>402</v>
      </c>
      <c r="E966" s="52" t="s">
        <v>433</v>
      </c>
      <c r="F966" s="52"/>
      <c r="G966" s="52" t="s">
        <v>194</v>
      </c>
      <c r="H966" s="52" t="s">
        <v>62</v>
      </c>
      <c r="I966" s="52">
        <v>2017</v>
      </c>
      <c r="J966" s="52"/>
      <c r="K966" s="52" t="s">
        <v>63</v>
      </c>
      <c r="L966" s="52" t="s">
        <v>64</v>
      </c>
      <c r="M966" s="52">
        <v>2</v>
      </c>
      <c r="N966" s="53">
        <f t="shared" si="351"/>
        <v>2497000</v>
      </c>
      <c r="O966" s="53">
        <v>4994000</v>
      </c>
      <c r="P966" s="52"/>
      <c r="Q966" s="52"/>
      <c r="R966" s="52"/>
      <c r="S966" s="53">
        <f t="shared" si="348"/>
        <v>4994000</v>
      </c>
      <c r="T966" s="52">
        <v>5</v>
      </c>
      <c r="U966" s="53"/>
      <c r="V966" s="52"/>
      <c r="W966" s="53"/>
      <c r="X966" s="52"/>
      <c r="Y966" s="53"/>
      <c r="Z966" s="53"/>
      <c r="AA966" s="57">
        <v>5</v>
      </c>
      <c r="AB966" s="53">
        <v>4994000</v>
      </c>
      <c r="AC966" s="53">
        <f t="shared" si="349"/>
        <v>0</v>
      </c>
      <c r="AD966" s="56" t="s">
        <v>434</v>
      </c>
      <c r="AE966" s="56"/>
      <c r="AF966" s="1">
        <v>4994000</v>
      </c>
      <c r="AG966" s="5">
        <f t="shared" si="350"/>
        <v>0</v>
      </c>
    </row>
    <row r="967" spans="1:33" s="1" customFormat="1" x14ac:dyDescent="0.25">
      <c r="A967" s="49">
        <v>32</v>
      </c>
      <c r="B967" s="22" t="s">
        <v>1758</v>
      </c>
      <c r="C967" s="50" t="s">
        <v>435</v>
      </c>
      <c r="D967" s="51" t="s">
        <v>402</v>
      </c>
      <c r="E967" s="52" t="s">
        <v>433</v>
      </c>
      <c r="F967" s="52"/>
      <c r="G967" s="52" t="s">
        <v>194</v>
      </c>
      <c r="H967" s="52" t="s">
        <v>62</v>
      </c>
      <c r="I967" s="52">
        <v>2017</v>
      </c>
      <c r="J967" s="52"/>
      <c r="K967" s="52" t="s">
        <v>63</v>
      </c>
      <c r="L967" s="52" t="s">
        <v>64</v>
      </c>
      <c r="M967" s="52">
        <v>1</v>
      </c>
      <c r="N967" s="53">
        <f t="shared" si="351"/>
        <v>2497000</v>
      </c>
      <c r="O967" s="53">
        <v>2497000</v>
      </c>
      <c r="P967" s="52"/>
      <c r="Q967" s="52"/>
      <c r="R967" s="52"/>
      <c r="S967" s="53">
        <f t="shared" si="348"/>
        <v>2497000</v>
      </c>
      <c r="T967" s="52">
        <v>5</v>
      </c>
      <c r="U967" s="53"/>
      <c r="V967" s="52"/>
      <c r="W967" s="53"/>
      <c r="X967" s="52"/>
      <c r="Y967" s="53"/>
      <c r="Z967" s="53"/>
      <c r="AA967" s="57">
        <v>5</v>
      </c>
      <c r="AB967" s="53">
        <v>2497000</v>
      </c>
      <c r="AC967" s="53">
        <f t="shared" si="349"/>
        <v>0</v>
      </c>
      <c r="AD967" s="56" t="s">
        <v>331</v>
      </c>
      <c r="AE967" s="56"/>
      <c r="AF967" s="1">
        <v>2497000</v>
      </c>
      <c r="AG967" s="5">
        <f t="shared" si="350"/>
        <v>0</v>
      </c>
    </row>
    <row r="968" spans="1:33" s="1" customFormat="1" x14ac:dyDescent="0.25">
      <c r="A968" s="49">
        <v>33</v>
      </c>
      <c r="B968" s="22" t="s">
        <v>1758</v>
      </c>
      <c r="C968" s="50" t="s">
        <v>436</v>
      </c>
      <c r="D968" s="51" t="s">
        <v>402</v>
      </c>
      <c r="E968" s="52" t="s">
        <v>433</v>
      </c>
      <c r="F968" s="52"/>
      <c r="G968" s="52" t="s">
        <v>194</v>
      </c>
      <c r="H968" s="52" t="s">
        <v>62</v>
      </c>
      <c r="I968" s="52">
        <v>2017</v>
      </c>
      <c r="J968" s="52"/>
      <c r="K968" s="52" t="s">
        <v>63</v>
      </c>
      <c r="L968" s="52" t="s">
        <v>64</v>
      </c>
      <c r="M968" s="52">
        <v>1</v>
      </c>
      <c r="N968" s="53">
        <f t="shared" si="351"/>
        <v>2497000</v>
      </c>
      <c r="O968" s="53">
        <v>2497000</v>
      </c>
      <c r="P968" s="52"/>
      <c r="Q968" s="52"/>
      <c r="R968" s="52"/>
      <c r="S968" s="53">
        <f t="shared" si="348"/>
        <v>2497000</v>
      </c>
      <c r="T968" s="52">
        <v>5</v>
      </c>
      <c r="U968" s="53"/>
      <c r="V968" s="52"/>
      <c r="W968" s="53"/>
      <c r="X968" s="52"/>
      <c r="Y968" s="53"/>
      <c r="Z968" s="53"/>
      <c r="AA968" s="57">
        <v>5</v>
      </c>
      <c r="AB968" s="53">
        <v>2497000</v>
      </c>
      <c r="AC968" s="53">
        <f t="shared" si="349"/>
        <v>0</v>
      </c>
      <c r="AD968" s="56" t="s">
        <v>276</v>
      </c>
      <c r="AE968" s="56"/>
      <c r="AF968" s="1">
        <v>2497000</v>
      </c>
      <c r="AG968" s="5">
        <f t="shared" si="350"/>
        <v>0</v>
      </c>
    </row>
    <row r="969" spans="1:33" s="1" customFormat="1" x14ac:dyDescent="0.25">
      <c r="A969" s="49">
        <v>34</v>
      </c>
      <c r="B969" s="22" t="s">
        <v>1758</v>
      </c>
      <c r="C969" s="50" t="s">
        <v>437</v>
      </c>
      <c r="D969" s="51" t="s">
        <v>402</v>
      </c>
      <c r="E969" s="52" t="s">
        <v>433</v>
      </c>
      <c r="F969" s="52"/>
      <c r="G969" s="52" t="s">
        <v>194</v>
      </c>
      <c r="H969" s="52" t="s">
        <v>62</v>
      </c>
      <c r="I969" s="52">
        <v>2017</v>
      </c>
      <c r="J969" s="52"/>
      <c r="K969" s="52" t="s">
        <v>63</v>
      </c>
      <c r="L969" s="52" t="s">
        <v>64</v>
      </c>
      <c r="M969" s="52">
        <v>1</v>
      </c>
      <c r="N969" s="53">
        <f t="shared" si="351"/>
        <v>2497000</v>
      </c>
      <c r="O969" s="53">
        <v>2497000</v>
      </c>
      <c r="P969" s="52"/>
      <c r="Q969" s="52"/>
      <c r="R969" s="52"/>
      <c r="S969" s="53">
        <f t="shared" si="348"/>
        <v>2497000</v>
      </c>
      <c r="T969" s="52">
        <v>5</v>
      </c>
      <c r="U969" s="53"/>
      <c r="V969" s="52"/>
      <c r="W969" s="53"/>
      <c r="X969" s="52"/>
      <c r="Y969" s="53"/>
      <c r="Z969" s="53"/>
      <c r="AA969" s="57">
        <v>5</v>
      </c>
      <c r="AB969" s="53">
        <v>2497000</v>
      </c>
      <c r="AC969" s="53">
        <f t="shared" si="349"/>
        <v>0</v>
      </c>
      <c r="AD969" s="56" t="s">
        <v>352</v>
      </c>
      <c r="AE969" s="56"/>
      <c r="AF969" s="1">
        <v>2497000</v>
      </c>
      <c r="AG969" s="5">
        <f t="shared" si="350"/>
        <v>0</v>
      </c>
    </row>
    <row r="970" spans="1:33" s="1" customFormat="1" x14ac:dyDescent="0.25">
      <c r="A970" s="49">
        <v>35</v>
      </c>
      <c r="B970" s="22" t="s">
        <v>1758</v>
      </c>
      <c r="C970" s="50" t="s">
        <v>438</v>
      </c>
      <c r="D970" s="51" t="s">
        <v>402</v>
      </c>
      <c r="E970" s="52" t="s">
        <v>433</v>
      </c>
      <c r="F970" s="52"/>
      <c r="G970" s="52" t="s">
        <v>194</v>
      </c>
      <c r="H970" s="52" t="s">
        <v>62</v>
      </c>
      <c r="I970" s="52">
        <v>2017</v>
      </c>
      <c r="J970" s="52"/>
      <c r="K970" s="52" t="s">
        <v>63</v>
      </c>
      <c r="L970" s="52" t="s">
        <v>64</v>
      </c>
      <c r="M970" s="52">
        <v>1</v>
      </c>
      <c r="N970" s="53">
        <f t="shared" si="351"/>
        <v>2497000</v>
      </c>
      <c r="O970" s="53">
        <v>2497000</v>
      </c>
      <c r="P970" s="52"/>
      <c r="Q970" s="52"/>
      <c r="R970" s="52"/>
      <c r="S970" s="53">
        <f t="shared" si="348"/>
        <v>2497000</v>
      </c>
      <c r="T970" s="52">
        <v>5</v>
      </c>
      <c r="U970" s="53"/>
      <c r="V970" s="52"/>
      <c r="W970" s="53"/>
      <c r="X970" s="52"/>
      <c r="Y970" s="53"/>
      <c r="Z970" s="53"/>
      <c r="AA970" s="57">
        <v>5</v>
      </c>
      <c r="AB970" s="53">
        <v>2497000</v>
      </c>
      <c r="AC970" s="53">
        <f t="shared" si="349"/>
        <v>0</v>
      </c>
      <c r="AD970" s="56" t="s">
        <v>439</v>
      </c>
      <c r="AE970" s="56"/>
      <c r="AF970" s="1">
        <v>2497000</v>
      </c>
      <c r="AG970" s="5">
        <f t="shared" si="350"/>
        <v>0</v>
      </c>
    </row>
    <row r="971" spans="1:33" s="1" customFormat="1" x14ac:dyDescent="0.25">
      <c r="A971" s="49">
        <v>36</v>
      </c>
      <c r="B971" s="22" t="s">
        <v>1758</v>
      </c>
      <c r="C971" s="50" t="s">
        <v>440</v>
      </c>
      <c r="D971" s="51" t="s">
        <v>402</v>
      </c>
      <c r="E971" s="52" t="s">
        <v>433</v>
      </c>
      <c r="F971" s="52"/>
      <c r="G971" s="52" t="s">
        <v>194</v>
      </c>
      <c r="H971" s="52" t="s">
        <v>62</v>
      </c>
      <c r="I971" s="52">
        <v>2017</v>
      </c>
      <c r="J971" s="52"/>
      <c r="K971" s="52" t="s">
        <v>63</v>
      </c>
      <c r="L971" s="52" t="s">
        <v>64</v>
      </c>
      <c r="M971" s="52">
        <v>1</v>
      </c>
      <c r="N971" s="53">
        <f t="shared" si="351"/>
        <v>2497000</v>
      </c>
      <c r="O971" s="53">
        <v>2497000</v>
      </c>
      <c r="P971" s="52"/>
      <c r="Q971" s="52"/>
      <c r="R971" s="52"/>
      <c r="S971" s="53">
        <f t="shared" si="348"/>
        <v>2497000</v>
      </c>
      <c r="T971" s="52">
        <v>5</v>
      </c>
      <c r="U971" s="53"/>
      <c r="V971" s="52"/>
      <c r="W971" s="53"/>
      <c r="X971" s="52"/>
      <c r="Y971" s="53"/>
      <c r="Z971" s="53"/>
      <c r="AA971" s="57">
        <v>5</v>
      </c>
      <c r="AB971" s="53">
        <v>2497000</v>
      </c>
      <c r="AC971" s="53">
        <f t="shared" si="349"/>
        <v>0</v>
      </c>
      <c r="AD971" s="56" t="s">
        <v>326</v>
      </c>
      <c r="AE971" s="56"/>
      <c r="AF971" s="1">
        <v>2497000</v>
      </c>
      <c r="AG971" s="5">
        <f t="shared" si="350"/>
        <v>0</v>
      </c>
    </row>
    <row r="972" spans="1:33" s="1" customFormat="1" x14ac:dyDescent="0.25">
      <c r="A972" s="49">
        <v>37</v>
      </c>
      <c r="B972" s="22" t="s">
        <v>1758</v>
      </c>
      <c r="C972" s="50" t="s">
        <v>441</v>
      </c>
      <c r="D972" s="51" t="s">
        <v>402</v>
      </c>
      <c r="E972" s="52" t="s">
        <v>433</v>
      </c>
      <c r="F972" s="52"/>
      <c r="G972" s="52" t="s">
        <v>194</v>
      </c>
      <c r="H972" s="52" t="s">
        <v>62</v>
      </c>
      <c r="I972" s="52">
        <v>2017</v>
      </c>
      <c r="J972" s="52"/>
      <c r="K972" s="52" t="s">
        <v>63</v>
      </c>
      <c r="L972" s="52" t="s">
        <v>64</v>
      </c>
      <c r="M972" s="52">
        <v>1</v>
      </c>
      <c r="N972" s="53">
        <f t="shared" si="351"/>
        <v>2497000</v>
      </c>
      <c r="O972" s="53">
        <v>2497000</v>
      </c>
      <c r="P972" s="52"/>
      <c r="Q972" s="52"/>
      <c r="R972" s="52"/>
      <c r="S972" s="53">
        <f t="shared" si="348"/>
        <v>2497000</v>
      </c>
      <c r="T972" s="52">
        <v>5</v>
      </c>
      <c r="U972" s="53"/>
      <c r="V972" s="52"/>
      <c r="W972" s="53"/>
      <c r="X972" s="52"/>
      <c r="Y972" s="53"/>
      <c r="Z972" s="53"/>
      <c r="AA972" s="57">
        <v>5</v>
      </c>
      <c r="AB972" s="53">
        <v>2497000</v>
      </c>
      <c r="AC972" s="53">
        <f t="shared" si="349"/>
        <v>0</v>
      </c>
      <c r="AD972" s="56" t="s">
        <v>324</v>
      </c>
      <c r="AE972" s="56"/>
      <c r="AF972" s="1">
        <v>2497000</v>
      </c>
      <c r="AG972" s="5">
        <f t="shared" si="350"/>
        <v>0</v>
      </c>
    </row>
    <row r="973" spans="1:33" s="1" customFormat="1" x14ac:dyDescent="0.25">
      <c r="A973" s="49">
        <v>38</v>
      </c>
      <c r="B973" s="22" t="s">
        <v>1758</v>
      </c>
      <c r="C973" s="50" t="s">
        <v>442</v>
      </c>
      <c r="D973" s="51" t="s">
        <v>402</v>
      </c>
      <c r="E973" s="52" t="s">
        <v>433</v>
      </c>
      <c r="F973" s="52"/>
      <c r="G973" s="52" t="s">
        <v>194</v>
      </c>
      <c r="H973" s="52" t="s">
        <v>62</v>
      </c>
      <c r="I973" s="52">
        <v>2017</v>
      </c>
      <c r="J973" s="52"/>
      <c r="K973" s="52" t="s">
        <v>63</v>
      </c>
      <c r="L973" s="52" t="s">
        <v>64</v>
      </c>
      <c r="M973" s="52">
        <v>1</v>
      </c>
      <c r="N973" s="53">
        <f t="shared" si="351"/>
        <v>2497000</v>
      </c>
      <c r="O973" s="53">
        <v>2497000</v>
      </c>
      <c r="P973" s="52"/>
      <c r="Q973" s="52"/>
      <c r="R973" s="52"/>
      <c r="S973" s="53">
        <f t="shared" si="348"/>
        <v>2497000</v>
      </c>
      <c r="T973" s="52">
        <v>5</v>
      </c>
      <c r="U973" s="53"/>
      <c r="V973" s="52"/>
      <c r="W973" s="53"/>
      <c r="X973" s="52"/>
      <c r="Y973" s="53"/>
      <c r="Z973" s="53"/>
      <c r="AA973" s="57">
        <v>5</v>
      </c>
      <c r="AB973" s="53">
        <v>2497000</v>
      </c>
      <c r="AC973" s="53">
        <f t="shared" si="349"/>
        <v>0</v>
      </c>
      <c r="AD973" s="56" t="s">
        <v>218</v>
      </c>
      <c r="AE973" s="56"/>
      <c r="AF973" s="1">
        <v>2497000</v>
      </c>
      <c r="AG973" s="5">
        <f t="shared" si="350"/>
        <v>0</v>
      </c>
    </row>
    <row r="974" spans="1:33" s="1" customFormat="1" x14ac:dyDescent="0.25">
      <c r="A974" s="49">
        <v>39</v>
      </c>
      <c r="B974" s="22" t="s">
        <v>1758</v>
      </c>
      <c r="C974" s="50" t="s">
        <v>443</v>
      </c>
      <c r="D974" s="51" t="s">
        <v>402</v>
      </c>
      <c r="E974" s="52" t="s">
        <v>433</v>
      </c>
      <c r="F974" s="52"/>
      <c r="G974" s="52" t="s">
        <v>194</v>
      </c>
      <c r="H974" s="52" t="s">
        <v>62</v>
      </c>
      <c r="I974" s="52">
        <v>2017</v>
      </c>
      <c r="J974" s="52"/>
      <c r="K974" s="52" t="s">
        <v>63</v>
      </c>
      <c r="L974" s="52" t="s">
        <v>64</v>
      </c>
      <c r="M974" s="52">
        <v>1</v>
      </c>
      <c r="N974" s="53">
        <f t="shared" si="351"/>
        <v>2497000</v>
      </c>
      <c r="O974" s="53">
        <v>2497000</v>
      </c>
      <c r="P974" s="52"/>
      <c r="Q974" s="52"/>
      <c r="R974" s="52"/>
      <c r="S974" s="53">
        <f t="shared" si="348"/>
        <v>2497000</v>
      </c>
      <c r="T974" s="52">
        <v>5</v>
      </c>
      <c r="U974" s="53"/>
      <c r="V974" s="52"/>
      <c r="W974" s="53"/>
      <c r="X974" s="52"/>
      <c r="Y974" s="53"/>
      <c r="Z974" s="53"/>
      <c r="AA974" s="57">
        <v>5</v>
      </c>
      <c r="AB974" s="53">
        <v>2497000</v>
      </c>
      <c r="AC974" s="53">
        <f t="shared" si="349"/>
        <v>0</v>
      </c>
      <c r="AD974" s="56" t="s">
        <v>333</v>
      </c>
      <c r="AE974" s="56"/>
      <c r="AF974" s="1">
        <v>2497000</v>
      </c>
      <c r="AG974" s="5">
        <f t="shared" si="350"/>
        <v>0</v>
      </c>
    </row>
    <row r="975" spans="1:33" s="1" customFormat="1" x14ac:dyDescent="0.25">
      <c r="A975" s="49">
        <v>40</v>
      </c>
      <c r="B975" s="22" t="s">
        <v>1758</v>
      </c>
      <c r="C975" s="50" t="s">
        <v>444</v>
      </c>
      <c r="D975" s="51" t="s">
        <v>402</v>
      </c>
      <c r="E975" s="52" t="s">
        <v>445</v>
      </c>
      <c r="F975" s="52"/>
      <c r="G975" s="52" t="s">
        <v>194</v>
      </c>
      <c r="H975" s="52" t="s">
        <v>62</v>
      </c>
      <c r="I975" s="52">
        <v>2018</v>
      </c>
      <c r="J975" s="52"/>
      <c r="K975" s="52" t="s">
        <v>63</v>
      </c>
      <c r="L975" s="52" t="s">
        <v>64</v>
      </c>
      <c r="M975" s="52">
        <v>10</v>
      </c>
      <c r="N975" s="53">
        <f t="shared" si="351"/>
        <v>2850100</v>
      </c>
      <c r="O975" s="53">
        <v>28501000</v>
      </c>
      <c r="P975" s="52"/>
      <c r="Q975" s="52"/>
      <c r="R975" s="52"/>
      <c r="S975" s="53">
        <f t="shared" si="348"/>
        <v>28501000</v>
      </c>
      <c r="T975" s="52">
        <v>5</v>
      </c>
      <c r="U975" s="53">
        <f t="shared" ref="U975:U978" si="355">SUM(S975/T975)</f>
        <v>5700200</v>
      </c>
      <c r="V975" s="52">
        <v>0.5</v>
      </c>
      <c r="W975" s="53">
        <f t="shared" ref="W975:W980" si="356">SUM(U975*V975)</f>
        <v>2850100</v>
      </c>
      <c r="X975" s="52">
        <v>0.5</v>
      </c>
      <c r="Y975" s="53">
        <f>SUM(U975*X975)-950033.33</f>
        <v>1900066.67</v>
      </c>
      <c r="Z975" s="53">
        <f t="shared" si="354"/>
        <v>4750166.67</v>
      </c>
      <c r="AA975" s="57">
        <v>5</v>
      </c>
      <c r="AB975" s="53">
        <f t="shared" ref="AB975:AB977" si="357">SUM(U975*AA975)</f>
        <v>28501000</v>
      </c>
      <c r="AC975" s="53">
        <f t="shared" si="349"/>
        <v>0</v>
      </c>
      <c r="AD975" s="56"/>
      <c r="AE975" s="56"/>
      <c r="AF975" s="1">
        <v>26600933.333333336</v>
      </c>
      <c r="AG975" s="5">
        <f t="shared" si="350"/>
        <v>3.3333376049995422E-3</v>
      </c>
    </row>
    <row r="976" spans="1:33" s="1" customFormat="1" x14ac:dyDescent="0.25">
      <c r="A976" s="49">
        <v>41</v>
      </c>
      <c r="B976" s="22" t="s">
        <v>1758</v>
      </c>
      <c r="C976" s="50" t="s">
        <v>446</v>
      </c>
      <c r="D976" s="51" t="s">
        <v>402</v>
      </c>
      <c r="E976" s="52" t="s">
        <v>447</v>
      </c>
      <c r="F976" s="52"/>
      <c r="G976" s="52" t="s">
        <v>194</v>
      </c>
      <c r="H976" s="52" t="s">
        <v>62</v>
      </c>
      <c r="I976" s="52">
        <v>2018</v>
      </c>
      <c r="J976" s="52"/>
      <c r="K976" s="52" t="s">
        <v>63</v>
      </c>
      <c r="L976" s="52" t="s">
        <v>64</v>
      </c>
      <c r="M976" s="52">
        <v>1</v>
      </c>
      <c r="N976" s="53">
        <f t="shared" si="351"/>
        <v>2927870</v>
      </c>
      <c r="O976" s="53">
        <v>2927870</v>
      </c>
      <c r="P976" s="52"/>
      <c r="Q976" s="52"/>
      <c r="R976" s="52"/>
      <c r="S976" s="53">
        <f t="shared" si="348"/>
        <v>2927870</v>
      </c>
      <c r="T976" s="52">
        <v>5</v>
      </c>
      <c r="U976" s="53">
        <f t="shared" si="355"/>
        <v>585574</v>
      </c>
      <c r="V976" s="52">
        <v>0.5</v>
      </c>
      <c r="W976" s="53">
        <f t="shared" si="356"/>
        <v>292787</v>
      </c>
      <c r="X976" s="52">
        <v>0.5</v>
      </c>
      <c r="Y976" s="53">
        <f>SUM(U976*X976)-97595.67</f>
        <v>195191.33000000002</v>
      </c>
      <c r="Z976" s="53">
        <f t="shared" si="354"/>
        <v>487978.33</v>
      </c>
      <c r="AA976" s="57">
        <v>5</v>
      </c>
      <c r="AB976" s="53">
        <f t="shared" si="357"/>
        <v>2927870</v>
      </c>
      <c r="AC976" s="53">
        <f t="shared" si="349"/>
        <v>0</v>
      </c>
      <c r="AD976" s="56"/>
      <c r="AE976" s="56"/>
      <c r="AF976" s="1">
        <v>2732678.666666667</v>
      </c>
      <c r="AG976" s="5">
        <f t="shared" si="350"/>
        <v>-3.3333329483866692E-3</v>
      </c>
    </row>
    <row r="977" spans="1:33" s="1" customFormat="1" x14ac:dyDescent="0.25">
      <c r="A977" s="49">
        <v>42</v>
      </c>
      <c r="B977" s="22" t="s">
        <v>1758</v>
      </c>
      <c r="C977" s="73" t="s">
        <v>448</v>
      </c>
      <c r="D977" s="51" t="s">
        <v>402</v>
      </c>
      <c r="E977" s="52" t="s">
        <v>449</v>
      </c>
      <c r="F977" s="52"/>
      <c r="G977" s="52" t="s">
        <v>194</v>
      </c>
      <c r="H977" s="52" t="s">
        <v>62</v>
      </c>
      <c r="I977" s="52">
        <v>2019</v>
      </c>
      <c r="J977" s="52"/>
      <c r="K977" s="52" t="s">
        <v>63</v>
      </c>
      <c r="L977" s="52" t="s">
        <v>64</v>
      </c>
      <c r="M977" s="52">
        <v>1</v>
      </c>
      <c r="N977" s="53">
        <v>2927770</v>
      </c>
      <c r="O977" s="53">
        <v>2927770</v>
      </c>
      <c r="P977" s="52"/>
      <c r="Q977" s="52"/>
      <c r="R977" s="52"/>
      <c r="S977" s="53">
        <v>2927770</v>
      </c>
      <c r="T977" s="52">
        <v>5</v>
      </c>
      <c r="U977" s="53">
        <f t="shared" si="355"/>
        <v>585554</v>
      </c>
      <c r="V977" s="52">
        <v>0.5</v>
      </c>
      <c r="W977" s="53">
        <f t="shared" si="356"/>
        <v>292777</v>
      </c>
      <c r="X977" s="52">
        <v>0.5</v>
      </c>
      <c r="Y977" s="53">
        <f t="shared" si="353"/>
        <v>292777</v>
      </c>
      <c r="Z977" s="53">
        <f t="shared" si="354"/>
        <v>585554</v>
      </c>
      <c r="AA977" s="57">
        <f>2023-I977+V977+X977-8/12</f>
        <v>4.333333333333333</v>
      </c>
      <c r="AB977" s="53">
        <f t="shared" si="357"/>
        <v>2537400.6666666665</v>
      </c>
      <c r="AC977" s="53">
        <f t="shared" si="349"/>
        <v>390369.33333333349</v>
      </c>
      <c r="AD977" s="56" t="s">
        <v>450</v>
      </c>
      <c r="AE977" s="56" t="s">
        <v>451</v>
      </c>
      <c r="AF977" s="1">
        <v>2244623.666666667</v>
      </c>
      <c r="AG977" s="5">
        <f t="shared" si="350"/>
        <v>0</v>
      </c>
    </row>
    <row r="978" spans="1:33" s="1" customFormat="1" x14ac:dyDescent="0.25">
      <c r="A978" s="49">
        <v>43</v>
      </c>
      <c r="B978" s="22" t="s">
        <v>1758</v>
      </c>
      <c r="C978" s="73" t="s">
        <v>452</v>
      </c>
      <c r="D978" s="51" t="s">
        <v>402</v>
      </c>
      <c r="E978" s="52" t="s">
        <v>453</v>
      </c>
      <c r="F978" s="52"/>
      <c r="G978" s="52" t="s">
        <v>194</v>
      </c>
      <c r="H978" s="52" t="s">
        <v>62</v>
      </c>
      <c r="I978" s="52">
        <v>2022</v>
      </c>
      <c r="J978" s="52"/>
      <c r="K978" s="52" t="s">
        <v>63</v>
      </c>
      <c r="L978" s="52" t="s">
        <v>64</v>
      </c>
      <c r="M978" s="52">
        <v>1</v>
      </c>
      <c r="N978" s="53">
        <f t="shared" ref="N978:N996" si="358">SUM(O978/M978)</f>
        <v>3990020</v>
      </c>
      <c r="O978" s="53">
        <v>3990020</v>
      </c>
      <c r="P978" s="52"/>
      <c r="Q978" s="52"/>
      <c r="R978" s="52"/>
      <c r="S978" s="53">
        <f t="shared" ref="S978:S1001" si="359">SUM(O978-R978)</f>
        <v>3990020</v>
      </c>
      <c r="T978" s="52">
        <v>5</v>
      </c>
      <c r="U978" s="53">
        <f t="shared" si="355"/>
        <v>798004</v>
      </c>
      <c r="V978" s="52">
        <v>0.5</v>
      </c>
      <c r="W978" s="53">
        <f t="shared" si="356"/>
        <v>399002</v>
      </c>
      <c r="X978" s="52">
        <v>0.5</v>
      </c>
      <c r="Y978" s="53">
        <f t="shared" si="353"/>
        <v>399002</v>
      </c>
      <c r="Z978" s="53">
        <f t="shared" si="354"/>
        <v>798004</v>
      </c>
      <c r="AA978" s="57">
        <f>1/12+0.5+0.5</f>
        <v>1.0833333333333335</v>
      </c>
      <c r="AB978" s="53">
        <f t="shared" ref="AB978" si="360">SUM(U978*AA978)</f>
        <v>864504.33333333349</v>
      </c>
      <c r="AC978" s="53">
        <f t="shared" si="349"/>
        <v>3125515.6666666665</v>
      </c>
      <c r="AD978" s="56"/>
      <c r="AE978" s="56"/>
      <c r="AF978" s="1">
        <v>465502.33333333337</v>
      </c>
      <c r="AG978" s="5">
        <f t="shared" si="350"/>
        <v>0</v>
      </c>
    </row>
    <row r="979" spans="1:33" s="170" customFormat="1" x14ac:dyDescent="0.25">
      <c r="A979" s="49">
        <v>50</v>
      </c>
      <c r="B979" s="22" t="s">
        <v>1759</v>
      </c>
      <c r="C979" s="22" t="s">
        <v>58</v>
      </c>
      <c r="D979" s="51" t="s">
        <v>994</v>
      </c>
      <c r="E979" s="24" t="s">
        <v>256</v>
      </c>
      <c r="F979" s="24"/>
      <c r="G979" s="24" t="s">
        <v>194</v>
      </c>
      <c r="H979" s="24" t="s">
        <v>62</v>
      </c>
      <c r="I979" s="24">
        <v>2005</v>
      </c>
      <c r="J979" s="24"/>
      <c r="K979" s="24" t="s">
        <v>63</v>
      </c>
      <c r="L979" s="24" t="s">
        <v>64</v>
      </c>
      <c r="M979" s="24">
        <v>1</v>
      </c>
      <c r="N979" s="41">
        <f>SUM(O979/M979)</f>
        <v>1900000</v>
      </c>
      <c r="O979" s="41">
        <v>1900000</v>
      </c>
      <c r="P979" s="24"/>
      <c r="Q979" s="24"/>
      <c r="R979" s="24"/>
      <c r="S979" s="41">
        <f t="shared" si="359"/>
        <v>1900000</v>
      </c>
      <c r="T979" s="24">
        <v>5</v>
      </c>
      <c r="U979" s="41"/>
      <c r="V979" s="24">
        <v>0.5</v>
      </c>
      <c r="W979" s="41">
        <f t="shared" si="356"/>
        <v>0</v>
      </c>
      <c r="X979" s="24"/>
      <c r="Y979" s="41">
        <f>SUM(U979*X979)</f>
        <v>0</v>
      </c>
      <c r="Z979" s="41">
        <f>SUM(W979+Y979)</f>
        <v>0</v>
      </c>
      <c r="AA979" s="24">
        <v>5</v>
      </c>
      <c r="AB979" s="41">
        <v>1900000</v>
      </c>
      <c r="AC979" s="41">
        <f t="shared" si="349"/>
        <v>0</v>
      </c>
      <c r="AD979" s="70" t="s">
        <v>213</v>
      </c>
      <c r="AE979" s="70"/>
      <c r="AF979" s="170">
        <v>300000</v>
      </c>
      <c r="AG979" s="5">
        <f t="shared" si="350"/>
        <v>-1600000</v>
      </c>
    </row>
    <row r="980" spans="1:33" s="170" customFormat="1" x14ac:dyDescent="0.25">
      <c r="A980" s="49">
        <v>51</v>
      </c>
      <c r="B980" s="22" t="s">
        <v>1759</v>
      </c>
      <c r="C980" s="22" t="s">
        <v>995</v>
      </c>
      <c r="D980" s="51" t="s">
        <v>996</v>
      </c>
      <c r="E980" s="24" t="s">
        <v>997</v>
      </c>
      <c r="F980" s="24"/>
      <c r="G980" s="24" t="s">
        <v>194</v>
      </c>
      <c r="H980" s="24" t="s">
        <v>62</v>
      </c>
      <c r="I980" s="24">
        <v>2018</v>
      </c>
      <c r="J980" s="24"/>
      <c r="K980" s="24" t="s">
        <v>63</v>
      </c>
      <c r="L980" s="24" t="s">
        <v>64</v>
      </c>
      <c r="M980" s="24">
        <v>5</v>
      </c>
      <c r="N980" s="41">
        <f>SUM(O980/M980)</f>
        <v>1835600</v>
      </c>
      <c r="O980" s="41">
        <v>9178000</v>
      </c>
      <c r="P980" s="24"/>
      <c r="Q980" s="24"/>
      <c r="R980" s="24"/>
      <c r="S980" s="41">
        <f t="shared" si="359"/>
        <v>9178000</v>
      </c>
      <c r="T980" s="24">
        <v>5</v>
      </c>
      <c r="U980" s="41">
        <f>SUM(S980/T980)</f>
        <v>1835600</v>
      </c>
      <c r="V980" s="24">
        <v>0.5</v>
      </c>
      <c r="W980" s="41">
        <f t="shared" si="356"/>
        <v>917800</v>
      </c>
      <c r="X980" s="24">
        <v>0.5</v>
      </c>
      <c r="Y980" s="41">
        <f>SUM(U980*X980)-152966.67</f>
        <v>764833.33</v>
      </c>
      <c r="Z980" s="41">
        <f>SUM(W980+Y980)</f>
        <v>1682633.33</v>
      </c>
      <c r="AA980" s="72">
        <v>5</v>
      </c>
      <c r="AB980" s="41">
        <f>SUM(U980*AA980)</f>
        <v>9178000</v>
      </c>
      <c r="AC980" s="41">
        <f t="shared" si="349"/>
        <v>0</v>
      </c>
      <c r="AD980" s="70"/>
      <c r="AE980" s="70"/>
      <c r="AF980" s="170">
        <v>900000</v>
      </c>
      <c r="AG980" s="5">
        <f t="shared" si="350"/>
        <v>-7513166.6699999999</v>
      </c>
    </row>
    <row r="981" spans="1:33" s="1" customFormat="1" x14ac:dyDescent="0.25">
      <c r="A981" s="49">
        <v>52</v>
      </c>
      <c r="B981" s="22" t="s">
        <v>1760</v>
      </c>
      <c r="C981" s="22" t="s">
        <v>79</v>
      </c>
      <c r="D981" s="51" t="s">
        <v>461</v>
      </c>
      <c r="E981" s="24" t="s">
        <v>462</v>
      </c>
      <c r="F981" s="24"/>
      <c r="G981" s="24" t="s">
        <v>194</v>
      </c>
      <c r="H981" s="24" t="s">
        <v>62</v>
      </c>
      <c r="I981" s="24">
        <v>2016</v>
      </c>
      <c r="J981" s="24"/>
      <c r="K981" s="24" t="s">
        <v>63</v>
      </c>
      <c r="L981" s="24" t="s">
        <v>64</v>
      </c>
      <c r="M981" s="24">
        <v>1</v>
      </c>
      <c r="N981" s="41">
        <f t="shared" si="358"/>
        <v>4980000</v>
      </c>
      <c r="O981" s="41">
        <v>4980000</v>
      </c>
      <c r="P981" s="24"/>
      <c r="Q981" s="24"/>
      <c r="R981" s="24"/>
      <c r="S981" s="41">
        <f t="shared" si="359"/>
        <v>4980000</v>
      </c>
      <c r="T981" s="24">
        <v>5</v>
      </c>
      <c r="U981" s="41">
        <f>SUM(S981/T981)</f>
        <v>996000</v>
      </c>
      <c r="V981" s="24">
        <v>0.5</v>
      </c>
      <c r="W981" s="41"/>
      <c r="X981" s="24"/>
      <c r="Y981" s="41">
        <f t="shared" si="353"/>
        <v>0</v>
      </c>
      <c r="Z981" s="41"/>
      <c r="AA981" s="24">
        <v>5</v>
      </c>
      <c r="AB981" s="41">
        <f>SUM(U981*AA981)</f>
        <v>4980000</v>
      </c>
      <c r="AC981" s="41">
        <f t="shared" si="349"/>
        <v>0</v>
      </c>
      <c r="AD981" s="70" t="s">
        <v>208</v>
      </c>
      <c r="AE981" s="56"/>
      <c r="AF981" s="1">
        <v>175000</v>
      </c>
      <c r="AG981" s="5">
        <f t="shared" si="350"/>
        <v>-4805000</v>
      </c>
    </row>
    <row r="982" spans="1:33" s="1" customFormat="1" x14ac:dyDescent="0.25">
      <c r="A982" s="49">
        <v>53</v>
      </c>
      <c r="B982" s="22" t="s">
        <v>1761</v>
      </c>
      <c r="C982" s="50" t="s">
        <v>277</v>
      </c>
      <c r="D982" s="51" t="s">
        <v>278</v>
      </c>
      <c r="E982" s="52" t="s">
        <v>279</v>
      </c>
      <c r="F982" s="52"/>
      <c r="G982" s="52" t="s">
        <v>194</v>
      </c>
      <c r="H982" s="52" t="s">
        <v>62</v>
      </c>
      <c r="I982" s="52">
        <v>2010</v>
      </c>
      <c r="J982" s="52"/>
      <c r="K982" s="52" t="s">
        <v>63</v>
      </c>
      <c r="L982" s="52" t="s">
        <v>64</v>
      </c>
      <c r="M982" s="52">
        <v>2</v>
      </c>
      <c r="N982" s="53">
        <f>SUM(O982/M982)</f>
        <v>150000</v>
      </c>
      <c r="O982" s="53">
        <v>300000</v>
      </c>
      <c r="P982" s="52"/>
      <c r="Q982" s="52"/>
      <c r="R982" s="52"/>
      <c r="S982" s="53">
        <f t="shared" si="359"/>
        <v>300000</v>
      </c>
      <c r="T982" s="52">
        <v>5</v>
      </c>
      <c r="U982" s="53"/>
      <c r="V982" s="52">
        <v>0.5</v>
      </c>
      <c r="W982" s="53">
        <f>SUM(U982*V982)</f>
        <v>0</v>
      </c>
      <c r="X982" s="52"/>
      <c r="Y982" s="53">
        <f>SUM(U982*X982)</f>
        <v>0</v>
      </c>
      <c r="Z982" s="53">
        <f>SUM(W982+Y982)</f>
        <v>0</v>
      </c>
      <c r="AA982" s="52">
        <v>5</v>
      </c>
      <c r="AB982" s="53">
        <v>300000</v>
      </c>
      <c r="AC982" s="53">
        <f t="shared" si="349"/>
        <v>0</v>
      </c>
      <c r="AD982" s="56" t="s">
        <v>213</v>
      </c>
      <c r="AE982" s="56"/>
      <c r="AF982" s="1">
        <v>1000000</v>
      </c>
      <c r="AG982" s="5">
        <f t="shared" si="350"/>
        <v>700000</v>
      </c>
    </row>
    <row r="983" spans="1:33" s="1" customFormat="1" x14ac:dyDescent="0.25">
      <c r="A983" s="49">
        <v>54</v>
      </c>
      <c r="B983" s="22" t="s">
        <v>1761</v>
      </c>
      <c r="C983" s="50" t="s">
        <v>280</v>
      </c>
      <c r="D983" s="51" t="s">
        <v>278</v>
      </c>
      <c r="E983" s="52" t="s">
        <v>279</v>
      </c>
      <c r="F983" s="52"/>
      <c r="G983" s="52" t="s">
        <v>194</v>
      </c>
      <c r="H983" s="52" t="s">
        <v>62</v>
      </c>
      <c r="I983" s="52">
        <v>2010</v>
      </c>
      <c r="J983" s="52"/>
      <c r="K983" s="52" t="s">
        <v>63</v>
      </c>
      <c r="L983" s="52" t="s">
        <v>64</v>
      </c>
      <c r="M983" s="52">
        <v>6</v>
      </c>
      <c r="N983" s="53">
        <f>SUM(O983/M983)</f>
        <v>150000</v>
      </c>
      <c r="O983" s="53">
        <v>900000</v>
      </c>
      <c r="P983" s="52"/>
      <c r="Q983" s="52"/>
      <c r="R983" s="52"/>
      <c r="S983" s="53">
        <f t="shared" si="359"/>
        <v>900000</v>
      </c>
      <c r="T983" s="52">
        <v>5</v>
      </c>
      <c r="U983" s="53"/>
      <c r="V983" s="52">
        <v>0.5</v>
      </c>
      <c r="W983" s="53">
        <f>SUM(U983*V983)</f>
        <v>0</v>
      </c>
      <c r="X983" s="52"/>
      <c r="Y983" s="53">
        <f>SUM(U983*X983)</f>
        <v>0</v>
      </c>
      <c r="Z983" s="53">
        <f>SUM(W983+Y983)</f>
        <v>0</v>
      </c>
      <c r="AA983" s="52">
        <v>5</v>
      </c>
      <c r="AB983" s="53">
        <v>900000</v>
      </c>
      <c r="AC983" s="53">
        <f t="shared" si="349"/>
        <v>0</v>
      </c>
      <c r="AD983" s="56" t="s">
        <v>213</v>
      </c>
      <c r="AE983" s="56"/>
      <c r="AF983" s="1">
        <v>750000</v>
      </c>
      <c r="AG983" s="5">
        <f t="shared" si="350"/>
        <v>-150000</v>
      </c>
    </row>
    <row r="984" spans="1:33" s="1" customFormat="1" x14ac:dyDescent="0.25">
      <c r="A984" s="49">
        <v>55</v>
      </c>
      <c r="B984" s="22" t="s">
        <v>1762</v>
      </c>
      <c r="C984" s="50" t="s">
        <v>247</v>
      </c>
      <c r="D984" s="51" t="s">
        <v>248</v>
      </c>
      <c r="E984" s="52" t="s">
        <v>249</v>
      </c>
      <c r="F984" s="52"/>
      <c r="G984" s="52" t="s">
        <v>194</v>
      </c>
      <c r="H984" s="52" t="s">
        <v>62</v>
      </c>
      <c r="I984" s="52">
        <v>2010</v>
      </c>
      <c r="J984" s="52"/>
      <c r="K984" s="52" t="s">
        <v>63</v>
      </c>
      <c r="L984" s="52" t="s">
        <v>64</v>
      </c>
      <c r="M984" s="52">
        <v>1</v>
      </c>
      <c r="N984" s="53">
        <f>SUM(O984/M984)</f>
        <v>175000</v>
      </c>
      <c r="O984" s="53">
        <v>175000</v>
      </c>
      <c r="P984" s="52"/>
      <c r="Q984" s="52"/>
      <c r="R984" s="52"/>
      <c r="S984" s="53">
        <f t="shared" si="359"/>
        <v>175000</v>
      </c>
      <c r="T984" s="52">
        <v>5</v>
      </c>
      <c r="U984" s="53"/>
      <c r="V984" s="52">
        <v>0.5</v>
      </c>
      <c r="W984" s="53">
        <f>SUM(U984*V984)</f>
        <v>0</v>
      </c>
      <c r="X984" s="52"/>
      <c r="Y984" s="53">
        <f>SUM(U984*X984)</f>
        <v>0</v>
      </c>
      <c r="Z984" s="53">
        <f>SUM(W984+Y984)</f>
        <v>0</v>
      </c>
      <c r="AA984" s="52">
        <v>5</v>
      </c>
      <c r="AB984" s="53">
        <v>175000</v>
      </c>
      <c r="AC984" s="53">
        <f t="shared" si="349"/>
        <v>0</v>
      </c>
      <c r="AD984" s="56" t="s">
        <v>250</v>
      </c>
      <c r="AE984" s="56"/>
      <c r="AF984" s="1">
        <v>500000</v>
      </c>
      <c r="AG984" s="5">
        <f t="shared" si="350"/>
        <v>325000</v>
      </c>
    </row>
    <row r="985" spans="1:33" s="1" customFormat="1" x14ac:dyDescent="0.25">
      <c r="A985" s="49">
        <v>56</v>
      </c>
      <c r="B985" s="22" t="s">
        <v>1762</v>
      </c>
      <c r="C985" s="50" t="s">
        <v>251</v>
      </c>
      <c r="D985" s="51" t="s">
        <v>252</v>
      </c>
      <c r="E985" s="52" t="s">
        <v>253</v>
      </c>
      <c r="F985" s="52"/>
      <c r="G985" s="52" t="s">
        <v>194</v>
      </c>
      <c r="H985" s="52" t="s">
        <v>62</v>
      </c>
      <c r="I985" s="52">
        <v>2010</v>
      </c>
      <c r="J985" s="52"/>
      <c r="K985" s="52" t="s">
        <v>63</v>
      </c>
      <c r="L985" s="52" t="s">
        <v>64</v>
      </c>
      <c r="M985" s="52">
        <v>5</v>
      </c>
      <c r="N985" s="53">
        <f>SUM(O985/M985)</f>
        <v>200000</v>
      </c>
      <c r="O985" s="53">
        <v>1000000</v>
      </c>
      <c r="P985" s="52"/>
      <c r="Q985" s="52"/>
      <c r="R985" s="52"/>
      <c r="S985" s="53">
        <f t="shared" si="359"/>
        <v>1000000</v>
      </c>
      <c r="T985" s="52">
        <v>5</v>
      </c>
      <c r="U985" s="53"/>
      <c r="V985" s="52">
        <v>0.5</v>
      </c>
      <c r="W985" s="53">
        <f>SUM(U985*V985)</f>
        <v>0</v>
      </c>
      <c r="X985" s="52"/>
      <c r="Y985" s="53">
        <f>SUM(U985*X985)</f>
        <v>0</v>
      </c>
      <c r="Z985" s="53">
        <f>SUM(W985+Y985)</f>
        <v>0</v>
      </c>
      <c r="AA985" s="52">
        <v>5</v>
      </c>
      <c r="AB985" s="53">
        <v>1000000</v>
      </c>
      <c r="AC985" s="53">
        <f t="shared" si="349"/>
        <v>0</v>
      </c>
      <c r="AD985" s="56" t="s">
        <v>250</v>
      </c>
      <c r="AE985" s="56"/>
      <c r="AF985" s="1">
        <v>1425000</v>
      </c>
      <c r="AG985" s="5">
        <f t="shared" si="350"/>
        <v>425000</v>
      </c>
    </row>
    <row r="986" spans="1:33" s="1" customFormat="1" x14ac:dyDescent="0.25">
      <c r="A986" s="49">
        <v>57</v>
      </c>
      <c r="B986" s="22" t="s">
        <v>1762</v>
      </c>
      <c r="C986" s="50" t="s">
        <v>254</v>
      </c>
      <c r="D986" s="51" t="s">
        <v>252</v>
      </c>
      <c r="E986" s="52" t="s">
        <v>253</v>
      </c>
      <c r="F986" s="52"/>
      <c r="G986" s="52" t="s">
        <v>194</v>
      </c>
      <c r="H986" s="52" t="s">
        <v>62</v>
      </c>
      <c r="I986" s="52">
        <v>2010</v>
      </c>
      <c r="J986" s="52"/>
      <c r="K986" s="52" t="s">
        <v>63</v>
      </c>
      <c r="L986" s="52" t="s">
        <v>64</v>
      </c>
      <c r="M986" s="52">
        <v>5</v>
      </c>
      <c r="N986" s="53">
        <f>SUM(O986/M986)</f>
        <v>150000</v>
      </c>
      <c r="O986" s="53">
        <v>750000</v>
      </c>
      <c r="P986" s="52"/>
      <c r="Q986" s="52"/>
      <c r="R986" s="52"/>
      <c r="S986" s="53">
        <f t="shared" si="359"/>
        <v>750000</v>
      </c>
      <c r="T986" s="52">
        <v>5</v>
      </c>
      <c r="U986" s="53"/>
      <c r="V986" s="52">
        <v>0.5</v>
      </c>
      <c r="W986" s="53">
        <f>SUM(U986*V986)</f>
        <v>0</v>
      </c>
      <c r="X986" s="52"/>
      <c r="Y986" s="53">
        <f>SUM(U986*X986)</f>
        <v>0</v>
      </c>
      <c r="Z986" s="53">
        <f>SUM(W986+Y986)</f>
        <v>0</v>
      </c>
      <c r="AA986" s="52">
        <v>5</v>
      </c>
      <c r="AB986" s="53">
        <v>750000</v>
      </c>
      <c r="AC986" s="53">
        <f t="shared" si="349"/>
        <v>0</v>
      </c>
      <c r="AD986" s="56" t="s">
        <v>250</v>
      </c>
      <c r="AE986" s="56"/>
      <c r="AF986" s="1">
        <v>1950000</v>
      </c>
      <c r="AG986" s="5">
        <f t="shared" si="350"/>
        <v>1200000</v>
      </c>
    </row>
    <row r="987" spans="1:33" s="1" customFormat="1" x14ac:dyDescent="0.25">
      <c r="A987" s="49">
        <v>58</v>
      </c>
      <c r="B987" s="22" t="s">
        <v>1757</v>
      </c>
      <c r="C987" s="22" t="s">
        <v>885</v>
      </c>
      <c r="D987" s="51" t="s">
        <v>886</v>
      </c>
      <c r="E987" s="24" t="s">
        <v>279</v>
      </c>
      <c r="F987" s="24"/>
      <c r="G987" s="24" t="s">
        <v>194</v>
      </c>
      <c r="H987" s="24" t="s">
        <v>62</v>
      </c>
      <c r="I987" s="24">
        <v>2008</v>
      </c>
      <c r="J987" s="24"/>
      <c r="K987" s="24" t="s">
        <v>63</v>
      </c>
      <c r="L987" s="24" t="s">
        <v>212</v>
      </c>
      <c r="M987" s="24">
        <v>10</v>
      </c>
      <c r="N987" s="41">
        <f t="shared" si="358"/>
        <v>50000</v>
      </c>
      <c r="O987" s="41">
        <v>500000</v>
      </c>
      <c r="P987" s="24"/>
      <c r="Q987" s="24"/>
      <c r="R987" s="24"/>
      <c r="S987" s="41">
        <f t="shared" si="359"/>
        <v>500000</v>
      </c>
      <c r="T987" s="24">
        <v>5</v>
      </c>
      <c r="U987" s="41"/>
      <c r="V987" s="24">
        <v>0.5</v>
      </c>
      <c r="W987" s="41">
        <f t="shared" ref="W987:W996" si="361">SUM(U987*V987)</f>
        <v>0</v>
      </c>
      <c r="X987" s="24"/>
      <c r="Y987" s="41">
        <f t="shared" ref="Y987:Y996" si="362">SUM(U987*X987)</f>
        <v>0</v>
      </c>
      <c r="Z987" s="41">
        <f t="shared" ref="Z987:Z996" si="363">SUM(W987+Y987)</f>
        <v>0</v>
      </c>
      <c r="AA987" s="24">
        <v>5</v>
      </c>
      <c r="AB987" s="41">
        <v>500000</v>
      </c>
      <c r="AC987" s="41">
        <f t="shared" si="349"/>
        <v>0</v>
      </c>
      <c r="AD987" s="70" t="s">
        <v>213</v>
      </c>
      <c r="AE987" s="70"/>
      <c r="AF987" s="1">
        <v>1936000</v>
      </c>
      <c r="AG987" s="5">
        <f t="shared" si="350"/>
        <v>1436000</v>
      </c>
    </row>
    <row r="988" spans="1:33" s="1" customFormat="1" x14ac:dyDescent="0.25">
      <c r="A988" s="49">
        <v>59</v>
      </c>
      <c r="B988" s="22" t="s">
        <v>1763</v>
      </c>
      <c r="C988" s="50" t="s">
        <v>209</v>
      </c>
      <c r="D988" s="51" t="s">
        <v>210</v>
      </c>
      <c r="E988" s="52" t="s">
        <v>211</v>
      </c>
      <c r="F988" s="52"/>
      <c r="G988" s="52" t="s">
        <v>194</v>
      </c>
      <c r="H988" s="52" t="s">
        <v>62</v>
      </c>
      <c r="I988" s="52">
        <v>2008</v>
      </c>
      <c r="J988" s="52"/>
      <c r="K988" s="52" t="s">
        <v>63</v>
      </c>
      <c r="L988" s="52" t="s">
        <v>212</v>
      </c>
      <c r="M988" s="52">
        <v>2</v>
      </c>
      <c r="N988" s="53">
        <f>SUM(O988/M988)</f>
        <v>712500</v>
      </c>
      <c r="O988" s="53">
        <v>1425000</v>
      </c>
      <c r="P988" s="52"/>
      <c r="Q988" s="52"/>
      <c r="R988" s="52"/>
      <c r="S988" s="53">
        <f t="shared" si="359"/>
        <v>1425000</v>
      </c>
      <c r="T988" s="52">
        <v>5</v>
      </c>
      <c r="U988" s="53"/>
      <c r="V988" s="52">
        <v>0.5</v>
      </c>
      <c r="W988" s="53">
        <f t="shared" si="361"/>
        <v>0</v>
      </c>
      <c r="X988" s="52"/>
      <c r="Y988" s="53">
        <f>SUM(U988*X988)</f>
        <v>0</v>
      </c>
      <c r="Z988" s="53">
        <f t="shared" si="363"/>
        <v>0</v>
      </c>
      <c r="AA988" s="57">
        <v>5</v>
      </c>
      <c r="AB988" s="53">
        <v>1425000</v>
      </c>
      <c r="AC988" s="53">
        <f t="shared" si="349"/>
        <v>0</v>
      </c>
      <c r="AD988" s="56" t="s">
        <v>213</v>
      </c>
      <c r="AE988" s="56"/>
      <c r="AF988" s="1">
        <v>600000</v>
      </c>
      <c r="AG988" s="5">
        <f t="shared" si="350"/>
        <v>-825000</v>
      </c>
    </row>
    <row r="989" spans="1:33" s="1" customFormat="1" x14ac:dyDescent="0.25">
      <c r="A989" s="49">
        <v>60</v>
      </c>
      <c r="B989" s="22" t="s">
        <v>1764</v>
      </c>
      <c r="C989" s="22" t="s">
        <v>58</v>
      </c>
      <c r="D989" s="51" t="s">
        <v>682</v>
      </c>
      <c r="E989" s="24" t="s">
        <v>683</v>
      </c>
      <c r="F989" s="24"/>
      <c r="G989" s="24" t="s">
        <v>260</v>
      </c>
      <c r="H989" s="24" t="s">
        <v>62</v>
      </c>
      <c r="I989" s="24">
        <v>2012</v>
      </c>
      <c r="J989" s="24"/>
      <c r="K989" s="24" t="s">
        <v>684</v>
      </c>
      <c r="L989" s="24" t="s">
        <v>64</v>
      </c>
      <c r="M989" s="24">
        <v>1</v>
      </c>
      <c r="N989" s="41">
        <f t="shared" si="358"/>
        <v>1950000</v>
      </c>
      <c r="O989" s="41">
        <v>1950000</v>
      </c>
      <c r="P989" s="24"/>
      <c r="Q989" s="24"/>
      <c r="R989" s="24"/>
      <c r="S989" s="41">
        <f t="shared" si="359"/>
        <v>1950000</v>
      </c>
      <c r="T989" s="24">
        <v>5</v>
      </c>
      <c r="U989" s="41"/>
      <c r="V989" s="24">
        <v>0.5</v>
      </c>
      <c r="W989" s="41">
        <f t="shared" si="361"/>
        <v>0</v>
      </c>
      <c r="X989" s="24"/>
      <c r="Y989" s="41">
        <f t="shared" si="362"/>
        <v>0</v>
      </c>
      <c r="Z989" s="41">
        <f t="shared" si="363"/>
        <v>0</v>
      </c>
      <c r="AA989" s="24">
        <v>5</v>
      </c>
      <c r="AB989" s="41">
        <v>1950000</v>
      </c>
      <c r="AC989" s="41">
        <f t="shared" si="349"/>
        <v>0</v>
      </c>
      <c r="AD989" s="70" t="s">
        <v>630</v>
      </c>
      <c r="AE989" s="70"/>
      <c r="AF989" s="1">
        <v>10000000</v>
      </c>
      <c r="AG989" s="5">
        <f t="shared" si="350"/>
        <v>8050000</v>
      </c>
    </row>
    <row r="990" spans="1:33" s="1" customFormat="1" x14ac:dyDescent="0.25">
      <c r="A990" s="49">
        <v>61</v>
      </c>
      <c r="B990" s="22" t="s">
        <v>1764</v>
      </c>
      <c r="C990" s="22" t="s">
        <v>75</v>
      </c>
      <c r="D990" s="51" t="s">
        <v>685</v>
      </c>
      <c r="E990" s="24" t="s">
        <v>686</v>
      </c>
      <c r="F990" s="24"/>
      <c r="G990" s="24" t="s">
        <v>260</v>
      </c>
      <c r="H990" s="24" t="s">
        <v>62</v>
      </c>
      <c r="I990" s="24">
        <v>2012</v>
      </c>
      <c r="J990" s="24"/>
      <c r="K990" s="24" t="s">
        <v>684</v>
      </c>
      <c r="L990" s="24" t="s">
        <v>64</v>
      </c>
      <c r="M990" s="24">
        <v>1</v>
      </c>
      <c r="N990" s="41">
        <f t="shared" si="358"/>
        <v>1936000</v>
      </c>
      <c r="O990" s="41">
        <v>1936000</v>
      </c>
      <c r="P990" s="24"/>
      <c r="Q990" s="24"/>
      <c r="R990" s="24"/>
      <c r="S990" s="41">
        <f t="shared" si="359"/>
        <v>1936000</v>
      </c>
      <c r="T990" s="24">
        <v>5</v>
      </c>
      <c r="U990" s="41"/>
      <c r="V990" s="24">
        <v>0.5</v>
      </c>
      <c r="W990" s="41">
        <f t="shared" si="361"/>
        <v>0</v>
      </c>
      <c r="X990" s="24"/>
      <c r="Y990" s="41">
        <f t="shared" si="362"/>
        <v>0</v>
      </c>
      <c r="Z990" s="41">
        <f t="shared" si="363"/>
        <v>0</v>
      </c>
      <c r="AA990" s="24">
        <v>5</v>
      </c>
      <c r="AB990" s="41">
        <v>1936000</v>
      </c>
      <c r="AC990" s="41">
        <f t="shared" si="349"/>
        <v>0</v>
      </c>
      <c r="AD990" s="70" t="s">
        <v>288</v>
      </c>
      <c r="AE990" s="70"/>
      <c r="AF990" s="1">
        <v>1300000</v>
      </c>
      <c r="AG990" s="5">
        <f t="shared" si="350"/>
        <v>-636000</v>
      </c>
    </row>
    <row r="991" spans="1:33" s="1" customFormat="1" x14ac:dyDescent="0.25">
      <c r="A991" s="49">
        <v>62</v>
      </c>
      <c r="B991" s="22" t="s">
        <v>1764</v>
      </c>
      <c r="C991" s="22" t="s">
        <v>58</v>
      </c>
      <c r="D991" s="51" t="s">
        <v>687</v>
      </c>
      <c r="E991" s="24" t="s">
        <v>688</v>
      </c>
      <c r="F991" s="24"/>
      <c r="G991" s="24" t="s">
        <v>260</v>
      </c>
      <c r="H991" s="24" t="s">
        <v>62</v>
      </c>
      <c r="I991" s="24">
        <v>2005</v>
      </c>
      <c r="J991" s="24"/>
      <c r="K991" s="24" t="s">
        <v>261</v>
      </c>
      <c r="L991" s="24" t="s">
        <v>212</v>
      </c>
      <c r="M991" s="24">
        <v>1</v>
      </c>
      <c r="N991" s="41">
        <f t="shared" si="358"/>
        <v>600000</v>
      </c>
      <c r="O991" s="41">
        <v>600000</v>
      </c>
      <c r="P991" s="24"/>
      <c r="Q991" s="24"/>
      <c r="R991" s="24"/>
      <c r="S991" s="41">
        <f t="shared" si="359"/>
        <v>600000</v>
      </c>
      <c r="T991" s="24">
        <v>5</v>
      </c>
      <c r="U991" s="41"/>
      <c r="V991" s="24">
        <v>0.5</v>
      </c>
      <c r="W991" s="41">
        <f t="shared" si="361"/>
        <v>0</v>
      </c>
      <c r="X991" s="24"/>
      <c r="Y991" s="41">
        <f t="shared" si="362"/>
        <v>0</v>
      </c>
      <c r="Z991" s="41">
        <f t="shared" si="363"/>
        <v>0</v>
      </c>
      <c r="AA991" s="24">
        <v>5</v>
      </c>
      <c r="AB991" s="41">
        <v>600000</v>
      </c>
      <c r="AC991" s="41">
        <f t="shared" si="349"/>
        <v>0</v>
      </c>
      <c r="AD991" s="70" t="s">
        <v>213</v>
      </c>
      <c r="AE991" s="70"/>
      <c r="AF991" s="1">
        <v>1800000</v>
      </c>
      <c r="AG991" s="5">
        <f t="shared" ref="AG991:AG997" si="364">AF991+Y991-AB991</f>
        <v>1200000</v>
      </c>
    </row>
    <row r="992" spans="1:33" s="1" customFormat="1" x14ac:dyDescent="0.25">
      <c r="A992" s="49">
        <v>63</v>
      </c>
      <c r="B992" s="22" t="s">
        <v>1764</v>
      </c>
      <c r="C992" s="22" t="s">
        <v>79</v>
      </c>
      <c r="D992" s="51" t="s">
        <v>689</v>
      </c>
      <c r="E992" s="24" t="s">
        <v>686</v>
      </c>
      <c r="F992" s="24"/>
      <c r="G992" s="24" t="s">
        <v>260</v>
      </c>
      <c r="H992" s="24" t="s">
        <v>62</v>
      </c>
      <c r="I992" s="24">
        <v>2012</v>
      </c>
      <c r="J992" s="24"/>
      <c r="K992" s="24" t="s">
        <v>684</v>
      </c>
      <c r="L992" s="24" t="s">
        <v>64</v>
      </c>
      <c r="M992" s="24">
        <v>1</v>
      </c>
      <c r="N992" s="41">
        <f t="shared" si="358"/>
        <v>10000000</v>
      </c>
      <c r="O992" s="41">
        <v>10000000</v>
      </c>
      <c r="P992" s="24"/>
      <c r="Q992" s="24"/>
      <c r="R992" s="24"/>
      <c r="S992" s="41">
        <f t="shared" si="359"/>
        <v>10000000</v>
      </c>
      <c r="T992" s="24">
        <v>5</v>
      </c>
      <c r="U992" s="41"/>
      <c r="V992" s="24">
        <v>0.5</v>
      </c>
      <c r="W992" s="41">
        <f t="shared" si="361"/>
        <v>0</v>
      </c>
      <c r="X992" s="24"/>
      <c r="Y992" s="41">
        <f t="shared" si="362"/>
        <v>0</v>
      </c>
      <c r="Z992" s="41">
        <f t="shared" si="363"/>
        <v>0</v>
      </c>
      <c r="AA992" s="24">
        <v>5</v>
      </c>
      <c r="AB992" s="41">
        <v>10000000</v>
      </c>
      <c r="AC992" s="41">
        <f t="shared" si="349"/>
        <v>0</v>
      </c>
      <c r="AD992" s="70" t="s">
        <v>288</v>
      </c>
      <c r="AE992" s="70"/>
      <c r="AF992" s="1">
        <v>900000</v>
      </c>
      <c r="AG992" s="5">
        <f t="shared" si="364"/>
        <v>-9100000</v>
      </c>
    </row>
    <row r="993" spans="1:33" s="1" customFormat="1" x14ac:dyDescent="0.25">
      <c r="A993" s="49">
        <v>64</v>
      </c>
      <c r="B993" s="22" t="s">
        <v>1764</v>
      </c>
      <c r="C993" s="22" t="s">
        <v>84</v>
      </c>
      <c r="D993" s="51" t="s">
        <v>690</v>
      </c>
      <c r="E993" s="24" t="s">
        <v>691</v>
      </c>
      <c r="F993" s="24"/>
      <c r="G993" s="24" t="s">
        <v>260</v>
      </c>
      <c r="H993" s="24" t="s">
        <v>62</v>
      </c>
      <c r="I993" s="24">
        <v>2012</v>
      </c>
      <c r="J993" s="24"/>
      <c r="K993" s="24" t="s">
        <v>684</v>
      </c>
      <c r="L993" s="24" t="s">
        <v>64</v>
      </c>
      <c r="M993" s="24">
        <v>1</v>
      </c>
      <c r="N993" s="41">
        <f t="shared" si="358"/>
        <v>1300000</v>
      </c>
      <c r="O993" s="41">
        <v>1300000</v>
      </c>
      <c r="P993" s="24"/>
      <c r="Q993" s="24"/>
      <c r="R993" s="24"/>
      <c r="S993" s="41">
        <f t="shared" si="359"/>
        <v>1300000</v>
      </c>
      <c r="T993" s="24">
        <v>5</v>
      </c>
      <c r="U993" s="41"/>
      <c r="V993" s="24">
        <v>0.5</v>
      </c>
      <c r="W993" s="41">
        <f t="shared" si="361"/>
        <v>0</v>
      </c>
      <c r="X993" s="24"/>
      <c r="Y993" s="41">
        <f t="shared" si="362"/>
        <v>0</v>
      </c>
      <c r="Z993" s="41">
        <f t="shared" si="363"/>
        <v>0</v>
      </c>
      <c r="AA993" s="24">
        <v>5</v>
      </c>
      <c r="AB993" s="41">
        <v>1300000</v>
      </c>
      <c r="AC993" s="41">
        <f t="shared" si="349"/>
        <v>0</v>
      </c>
      <c r="AD993" s="70" t="s">
        <v>630</v>
      </c>
      <c r="AE993" s="70"/>
      <c r="AF993" s="1">
        <v>600000</v>
      </c>
      <c r="AG993" s="5">
        <f t="shared" si="364"/>
        <v>-700000</v>
      </c>
    </row>
    <row r="994" spans="1:33" s="1" customFormat="1" x14ac:dyDescent="0.25">
      <c r="A994" s="49">
        <v>65</v>
      </c>
      <c r="B994" s="22" t="s">
        <v>1764</v>
      </c>
      <c r="C994" s="22" t="s">
        <v>343</v>
      </c>
      <c r="D994" s="51" t="s">
        <v>692</v>
      </c>
      <c r="E994" s="24" t="s">
        <v>691</v>
      </c>
      <c r="F994" s="24"/>
      <c r="G994" s="24" t="s">
        <v>260</v>
      </c>
      <c r="H994" s="24" t="s">
        <v>62</v>
      </c>
      <c r="I994" s="24">
        <v>2011</v>
      </c>
      <c r="J994" s="24"/>
      <c r="K994" s="24" t="s">
        <v>684</v>
      </c>
      <c r="L994" s="24" t="s">
        <v>64</v>
      </c>
      <c r="M994" s="24">
        <v>6</v>
      </c>
      <c r="N994" s="41">
        <f t="shared" si="358"/>
        <v>300000</v>
      </c>
      <c r="O994" s="41">
        <v>1800000</v>
      </c>
      <c r="P994" s="24"/>
      <c r="Q994" s="24"/>
      <c r="R994" s="24"/>
      <c r="S994" s="41">
        <f t="shared" si="359"/>
        <v>1800000</v>
      </c>
      <c r="T994" s="24">
        <v>5</v>
      </c>
      <c r="U994" s="41"/>
      <c r="V994" s="24">
        <v>0.5</v>
      </c>
      <c r="W994" s="41">
        <f t="shared" si="361"/>
        <v>0</v>
      </c>
      <c r="X994" s="24"/>
      <c r="Y994" s="41">
        <f t="shared" si="362"/>
        <v>0</v>
      </c>
      <c r="Z994" s="41">
        <f t="shared" si="363"/>
        <v>0</v>
      </c>
      <c r="AA994" s="24">
        <v>5</v>
      </c>
      <c r="AB994" s="41">
        <v>1800000</v>
      </c>
      <c r="AC994" s="41">
        <f t="shared" ref="AC994:AC1001" si="365">SUM(O994-AB994)</f>
        <v>0</v>
      </c>
      <c r="AD994" s="70" t="s">
        <v>295</v>
      </c>
      <c r="AE994" s="70"/>
      <c r="AF994" s="1">
        <v>14936537</v>
      </c>
      <c r="AG994" s="5">
        <f t="shared" si="364"/>
        <v>13136537</v>
      </c>
    </row>
    <row r="995" spans="1:33" s="1" customFormat="1" x14ac:dyDescent="0.25">
      <c r="A995" s="49">
        <v>66</v>
      </c>
      <c r="B995" s="22" t="s">
        <v>1764</v>
      </c>
      <c r="C995" s="22" t="s">
        <v>693</v>
      </c>
      <c r="D995" s="51" t="s">
        <v>694</v>
      </c>
      <c r="E995" s="24" t="s">
        <v>691</v>
      </c>
      <c r="F995" s="24"/>
      <c r="G995" s="24" t="s">
        <v>260</v>
      </c>
      <c r="H995" s="24" t="s">
        <v>62</v>
      </c>
      <c r="I995" s="24">
        <v>2011</v>
      </c>
      <c r="J995" s="24"/>
      <c r="K995" s="24" t="s">
        <v>684</v>
      </c>
      <c r="L995" s="24" t="s">
        <v>64</v>
      </c>
      <c r="M995" s="24">
        <v>3</v>
      </c>
      <c r="N995" s="41">
        <f t="shared" si="358"/>
        <v>300000</v>
      </c>
      <c r="O995" s="41">
        <v>900000</v>
      </c>
      <c r="P995" s="24"/>
      <c r="Q995" s="24"/>
      <c r="R995" s="24"/>
      <c r="S995" s="41">
        <f t="shared" si="359"/>
        <v>900000</v>
      </c>
      <c r="T995" s="24">
        <v>5</v>
      </c>
      <c r="U995" s="41"/>
      <c r="V995" s="24">
        <v>0.5</v>
      </c>
      <c r="W995" s="41">
        <f t="shared" si="361"/>
        <v>0</v>
      </c>
      <c r="X995" s="24"/>
      <c r="Y995" s="41">
        <f t="shared" si="362"/>
        <v>0</v>
      </c>
      <c r="Z995" s="41">
        <f t="shared" si="363"/>
        <v>0</v>
      </c>
      <c r="AA995" s="24">
        <v>5</v>
      </c>
      <c r="AB995" s="41">
        <v>900000</v>
      </c>
      <c r="AC995" s="41">
        <f t="shared" si="365"/>
        <v>0</v>
      </c>
      <c r="AD995" s="70" t="s">
        <v>287</v>
      </c>
      <c r="AE995" s="70"/>
      <c r="AF995" s="1">
        <v>6000000</v>
      </c>
      <c r="AG995" s="5">
        <f t="shared" si="364"/>
        <v>5100000</v>
      </c>
    </row>
    <row r="996" spans="1:33" s="1" customFormat="1" x14ac:dyDescent="0.25">
      <c r="A996" s="49">
        <v>67</v>
      </c>
      <c r="B996" s="22" t="s">
        <v>1764</v>
      </c>
      <c r="C996" s="22" t="s">
        <v>339</v>
      </c>
      <c r="D996" s="51" t="s">
        <v>690</v>
      </c>
      <c r="E996" s="24" t="s">
        <v>695</v>
      </c>
      <c r="F996" s="24"/>
      <c r="G996" s="24" t="s">
        <v>260</v>
      </c>
      <c r="H996" s="24" t="s">
        <v>62</v>
      </c>
      <c r="I996" s="24">
        <v>2011</v>
      </c>
      <c r="J996" s="24"/>
      <c r="K996" s="24" t="s">
        <v>696</v>
      </c>
      <c r="L996" s="24" t="s">
        <v>64</v>
      </c>
      <c r="M996" s="24">
        <v>2</v>
      </c>
      <c r="N996" s="41">
        <f t="shared" si="358"/>
        <v>300000</v>
      </c>
      <c r="O996" s="41">
        <v>600000</v>
      </c>
      <c r="P996" s="24"/>
      <c r="Q996" s="24"/>
      <c r="R996" s="24"/>
      <c r="S996" s="41">
        <f t="shared" si="359"/>
        <v>600000</v>
      </c>
      <c r="T996" s="24">
        <v>5</v>
      </c>
      <c r="U996" s="41"/>
      <c r="V996" s="24">
        <v>0.5</v>
      </c>
      <c r="W996" s="41">
        <f t="shared" si="361"/>
        <v>0</v>
      </c>
      <c r="X996" s="24"/>
      <c r="Y996" s="41">
        <f t="shared" si="362"/>
        <v>0</v>
      </c>
      <c r="Z996" s="41">
        <f t="shared" si="363"/>
        <v>0</v>
      </c>
      <c r="AA996" s="24">
        <v>5</v>
      </c>
      <c r="AB996" s="41">
        <v>600000</v>
      </c>
      <c r="AC996" s="41">
        <f t="shared" si="365"/>
        <v>0</v>
      </c>
      <c r="AD996" s="70" t="s">
        <v>295</v>
      </c>
      <c r="AE996" s="70"/>
      <c r="AF996" s="1">
        <v>48530000</v>
      </c>
      <c r="AG996" s="5">
        <f t="shared" si="364"/>
        <v>47930000</v>
      </c>
    </row>
    <row r="997" spans="1:33" s="1" customFormat="1" x14ac:dyDescent="0.25">
      <c r="A997" s="49">
        <v>68</v>
      </c>
      <c r="B997" s="22" t="s">
        <v>1765</v>
      </c>
      <c r="C997" s="73" t="s">
        <v>58</v>
      </c>
      <c r="D997" s="85" t="s">
        <v>1239</v>
      </c>
      <c r="E997" s="52"/>
      <c r="F997" s="52"/>
      <c r="G997" s="52" t="s">
        <v>466</v>
      </c>
      <c r="H997" s="52" t="s">
        <v>62</v>
      </c>
      <c r="I997" s="52">
        <v>2021</v>
      </c>
      <c r="J997" s="52"/>
      <c r="K997" s="52" t="s">
        <v>63</v>
      </c>
      <c r="L997" s="52" t="s">
        <v>64</v>
      </c>
      <c r="M997" s="52">
        <v>1</v>
      </c>
      <c r="N997" s="87">
        <v>42675820</v>
      </c>
      <c r="O997" s="87">
        <v>42675820</v>
      </c>
      <c r="P997" s="52"/>
      <c r="Q997" s="52"/>
      <c r="R997" s="52"/>
      <c r="S997" s="87">
        <f t="shared" si="359"/>
        <v>42675820</v>
      </c>
      <c r="T997" s="52">
        <v>5</v>
      </c>
      <c r="U997" s="87">
        <f t="shared" ref="U997" si="366">SUM(S997/T997)</f>
        <v>8535164</v>
      </c>
      <c r="V997" s="52">
        <v>0.5</v>
      </c>
      <c r="W997" s="87">
        <f>SUM(U997*V997)</f>
        <v>4267582</v>
      </c>
      <c r="X997" s="52">
        <v>0.5</v>
      </c>
      <c r="Y997" s="87">
        <f>SUM(U997*X997)</f>
        <v>4267582</v>
      </c>
      <c r="Z997" s="87">
        <f>SUM(W997+Y997)</f>
        <v>8535164</v>
      </c>
      <c r="AA997" s="52">
        <f>3/12+0.5+0.5+0.5+0.5</f>
        <v>2.25</v>
      </c>
      <c r="AB997" s="87">
        <f t="shared" ref="AB997" si="367">SUM(U997*AA997)</f>
        <v>19204119</v>
      </c>
      <c r="AC997" s="87">
        <f t="shared" si="365"/>
        <v>23471701</v>
      </c>
      <c r="AD997" s="52" t="s">
        <v>400</v>
      </c>
      <c r="AE997" s="24"/>
      <c r="AF997" s="1">
        <v>109433500</v>
      </c>
      <c r="AG997" s="5">
        <f t="shared" si="364"/>
        <v>94496963</v>
      </c>
    </row>
    <row r="998" spans="1:33" s="1" customFormat="1" x14ac:dyDescent="0.25">
      <c r="A998" s="49">
        <v>69</v>
      </c>
      <c r="B998" s="22" t="s">
        <v>1766</v>
      </c>
      <c r="C998" s="50" t="s">
        <v>255</v>
      </c>
      <c r="D998" s="51" t="s">
        <v>1767</v>
      </c>
      <c r="E998" s="52" t="s">
        <v>256</v>
      </c>
      <c r="F998" s="52"/>
      <c r="G998" s="52" t="s">
        <v>194</v>
      </c>
      <c r="H998" s="52" t="s">
        <v>62</v>
      </c>
      <c r="I998" s="52">
        <v>2005</v>
      </c>
      <c r="J998" s="52"/>
      <c r="K998" s="52" t="s">
        <v>63</v>
      </c>
      <c r="L998" s="52" t="s">
        <v>64</v>
      </c>
      <c r="M998" s="52">
        <v>25</v>
      </c>
      <c r="N998" s="53">
        <f>SUM(O998/M998)</f>
        <v>240000</v>
      </c>
      <c r="O998" s="53">
        <v>6000000</v>
      </c>
      <c r="P998" s="52"/>
      <c r="Q998" s="52"/>
      <c r="R998" s="52"/>
      <c r="S998" s="53">
        <f t="shared" si="359"/>
        <v>6000000</v>
      </c>
      <c r="T998" s="52">
        <v>5</v>
      </c>
      <c r="U998" s="53"/>
      <c r="V998" s="52">
        <v>0.5</v>
      </c>
      <c r="W998" s="53">
        <f>SUM(U998*V998)</f>
        <v>0</v>
      </c>
      <c r="X998" s="52"/>
      <c r="Y998" s="53">
        <f>SUM(U998*X998)</f>
        <v>0</v>
      </c>
      <c r="Z998" s="53">
        <f>SUM(W998+Y998)</f>
        <v>0</v>
      </c>
      <c r="AA998" s="57">
        <v>5</v>
      </c>
      <c r="AB998" s="53">
        <v>6000000</v>
      </c>
      <c r="AC998" s="53">
        <f t="shared" si="365"/>
        <v>0</v>
      </c>
      <c r="AD998" s="56" t="s">
        <v>213</v>
      </c>
      <c r="AE998" s="56"/>
      <c r="AF998" s="1">
        <v>85272000</v>
      </c>
      <c r="AG998" s="5"/>
    </row>
    <row r="999" spans="1:33" s="1" customFormat="1" x14ac:dyDescent="0.25">
      <c r="A999" s="49">
        <v>70</v>
      </c>
      <c r="B999" s="22" t="s">
        <v>1766</v>
      </c>
      <c r="C999" s="50" t="s">
        <v>58</v>
      </c>
      <c r="D999" s="51" t="s">
        <v>1768</v>
      </c>
      <c r="E999" s="52" t="s">
        <v>256</v>
      </c>
      <c r="F999" s="52"/>
      <c r="G999" s="52" t="s">
        <v>260</v>
      </c>
      <c r="H999" s="52" t="s">
        <v>62</v>
      </c>
      <c r="I999" s="52">
        <v>2011</v>
      </c>
      <c r="J999" s="52"/>
      <c r="K999" s="52" t="s">
        <v>261</v>
      </c>
      <c r="L999" s="52" t="s">
        <v>64</v>
      </c>
      <c r="M999" s="52">
        <v>1</v>
      </c>
      <c r="N999" s="53">
        <f>SUM(O999/M999)</f>
        <v>48530000</v>
      </c>
      <c r="O999" s="53">
        <v>48530000</v>
      </c>
      <c r="P999" s="52"/>
      <c r="Q999" s="52"/>
      <c r="R999" s="52"/>
      <c r="S999" s="53">
        <f t="shared" si="359"/>
        <v>48530000</v>
      </c>
      <c r="T999" s="52">
        <v>5</v>
      </c>
      <c r="U999" s="53"/>
      <c r="V999" s="52">
        <v>0.5</v>
      </c>
      <c r="W999" s="53">
        <f>SUM(U999*V999)</f>
        <v>0</v>
      </c>
      <c r="X999" s="52"/>
      <c r="Y999" s="53">
        <f>SUM(U999*X999)</f>
        <v>0</v>
      </c>
      <c r="Z999" s="53">
        <f>SUM(W999+Y999)</f>
        <v>0</v>
      </c>
      <c r="AA999" s="57">
        <v>5</v>
      </c>
      <c r="AB999" s="53">
        <v>48530000</v>
      </c>
      <c r="AC999" s="53">
        <f t="shared" si="365"/>
        <v>0</v>
      </c>
      <c r="AD999" s="56" t="s">
        <v>213</v>
      </c>
      <c r="AE999" s="56"/>
      <c r="AG999" s="5"/>
    </row>
    <row r="1000" spans="1:33" s="1" customFormat="1" x14ac:dyDescent="0.25">
      <c r="A1000" s="49">
        <v>71</v>
      </c>
      <c r="B1000" s="22" t="s">
        <v>1766</v>
      </c>
      <c r="C1000" s="50" t="s">
        <v>75</v>
      </c>
      <c r="D1000" s="51" t="s">
        <v>1768</v>
      </c>
      <c r="E1000" s="52" t="s">
        <v>262</v>
      </c>
      <c r="F1000" s="52"/>
      <c r="G1000" s="52" t="s">
        <v>260</v>
      </c>
      <c r="H1000" s="52" t="s">
        <v>62</v>
      </c>
      <c r="I1000" s="52">
        <v>2013</v>
      </c>
      <c r="J1000" s="52"/>
      <c r="K1000" s="52" t="s">
        <v>261</v>
      </c>
      <c r="L1000" s="52" t="s">
        <v>64</v>
      </c>
      <c r="M1000" s="52">
        <v>1</v>
      </c>
      <c r="N1000" s="53">
        <f>SUM(O1000/M1000)</f>
        <v>109433500</v>
      </c>
      <c r="O1000" s="53">
        <v>109433500</v>
      </c>
      <c r="P1000" s="52"/>
      <c r="Q1000" s="52"/>
      <c r="R1000" s="52"/>
      <c r="S1000" s="53">
        <f t="shared" si="359"/>
        <v>109433500</v>
      </c>
      <c r="T1000" s="52">
        <v>5</v>
      </c>
      <c r="U1000" s="53"/>
      <c r="V1000" s="52">
        <v>0.5</v>
      </c>
      <c r="W1000" s="53">
        <f>SUM(U1000*V1000)</f>
        <v>0</v>
      </c>
      <c r="X1000" s="52"/>
      <c r="Y1000" s="53">
        <f>SUM(U1000*X1000)</f>
        <v>0</v>
      </c>
      <c r="Z1000" s="53">
        <f>SUM(W1000+Y1000)</f>
        <v>0</v>
      </c>
      <c r="AA1000" s="57">
        <v>5</v>
      </c>
      <c r="AB1000" s="53">
        <v>109433500</v>
      </c>
      <c r="AC1000" s="53">
        <f t="shared" si="365"/>
        <v>0</v>
      </c>
      <c r="AD1000" s="56" t="s">
        <v>195</v>
      </c>
      <c r="AE1000" s="56"/>
      <c r="AG1000" s="5"/>
    </row>
    <row r="1001" spans="1:33" s="1" customFormat="1" x14ac:dyDescent="0.25">
      <c r="A1001" s="49">
        <v>72</v>
      </c>
      <c r="B1001" s="22" t="s">
        <v>1766</v>
      </c>
      <c r="C1001" s="50" t="s">
        <v>75</v>
      </c>
      <c r="D1001" s="51" t="s">
        <v>1768</v>
      </c>
      <c r="E1001" s="52" t="s">
        <v>263</v>
      </c>
      <c r="F1001" s="52"/>
      <c r="G1001" s="52" t="s">
        <v>260</v>
      </c>
      <c r="H1001" s="52" t="s">
        <v>62</v>
      </c>
      <c r="I1001" s="52">
        <v>2014</v>
      </c>
      <c r="J1001" s="52"/>
      <c r="K1001" s="52" t="s">
        <v>261</v>
      </c>
      <c r="L1001" s="52" t="s">
        <v>64</v>
      </c>
      <c r="M1001" s="52">
        <v>1</v>
      </c>
      <c r="N1001" s="53">
        <f>SUM(O1001/M1001)</f>
        <v>85272000</v>
      </c>
      <c r="O1001" s="53">
        <v>85272000</v>
      </c>
      <c r="P1001" s="52"/>
      <c r="Q1001" s="52"/>
      <c r="R1001" s="52"/>
      <c r="S1001" s="53">
        <f t="shared" si="359"/>
        <v>85272000</v>
      </c>
      <c r="T1001" s="52">
        <v>5</v>
      </c>
      <c r="U1001" s="53"/>
      <c r="V1001" s="52">
        <v>0.5</v>
      </c>
      <c r="W1001" s="53">
        <f>SUM(U1001*V1001)</f>
        <v>0</v>
      </c>
      <c r="X1001" s="52"/>
      <c r="Y1001" s="53">
        <f>SUM(U1001*X1001)</f>
        <v>0</v>
      </c>
      <c r="Z1001" s="53">
        <f>SUM(W1001+Y1001)</f>
        <v>0</v>
      </c>
      <c r="AA1001" s="57">
        <v>5</v>
      </c>
      <c r="AB1001" s="53">
        <v>85272000</v>
      </c>
      <c r="AC1001" s="53">
        <f t="shared" si="365"/>
        <v>0</v>
      </c>
      <c r="AD1001" s="56" t="s">
        <v>195</v>
      </c>
      <c r="AE1001" s="56"/>
      <c r="AG1001" s="5"/>
    </row>
    <row r="1002" spans="1:33" s="1" customFormat="1" x14ac:dyDescent="0.25">
      <c r="A1002" s="49"/>
      <c r="B1002" s="22"/>
      <c r="C1002" s="50"/>
      <c r="D1002" s="51"/>
      <c r="E1002" s="52"/>
      <c r="F1002" s="52"/>
      <c r="G1002" s="52"/>
      <c r="H1002" s="52"/>
      <c r="I1002" s="52"/>
      <c r="J1002" s="52"/>
      <c r="K1002" s="52"/>
      <c r="L1002" s="52"/>
      <c r="M1002" s="52"/>
      <c r="N1002" s="53"/>
      <c r="O1002" s="53"/>
      <c r="P1002" s="52"/>
      <c r="Q1002" s="52"/>
      <c r="R1002" s="52"/>
      <c r="S1002" s="53"/>
      <c r="T1002" s="52"/>
      <c r="U1002" s="53"/>
      <c r="V1002" s="52"/>
      <c r="W1002" s="53"/>
      <c r="X1002" s="52"/>
      <c r="Y1002" s="53"/>
      <c r="Z1002" s="53"/>
      <c r="AA1002" s="57"/>
      <c r="AB1002" s="53"/>
      <c r="AC1002" s="53"/>
      <c r="AD1002" s="56"/>
      <c r="AE1002" s="56"/>
      <c r="AG1002" s="5"/>
    </row>
    <row r="1003" spans="1:33" s="1" customFormat="1" x14ac:dyDescent="0.25">
      <c r="A1003" s="25"/>
      <c r="B1003" s="148" t="s">
        <v>3722</v>
      </c>
      <c r="C1003" s="26"/>
      <c r="D1003" s="27" t="s">
        <v>3720</v>
      </c>
      <c r="E1003" s="28"/>
      <c r="F1003" s="28"/>
      <c r="G1003" s="28"/>
      <c r="H1003" s="28"/>
      <c r="I1003" s="28"/>
      <c r="J1003" s="28"/>
      <c r="K1003" s="28"/>
      <c r="L1003" s="28"/>
      <c r="M1003" s="28">
        <f>SUM(M1004:M1012)</f>
        <v>9</v>
      </c>
      <c r="N1003" s="40"/>
      <c r="O1003" s="40">
        <f>SUM(O1004:O1012)</f>
        <v>46200000</v>
      </c>
      <c r="P1003" s="28"/>
      <c r="Q1003" s="28"/>
      <c r="R1003" s="28"/>
      <c r="S1003" s="40"/>
      <c r="T1003" s="28"/>
      <c r="U1003" s="40">
        <f>SUM(U1004:U1012)</f>
        <v>9240000</v>
      </c>
      <c r="V1003" s="28"/>
      <c r="W1003" s="40">
        <f>SUM(W1004:W1012)</f>
        <v>405099.99999999988</v>
      </c>
      <c r="X1003" s="28"/>
      <c r="Y1003" s="40">
        <f>SUM(Y1004:Y1012)</f>
        <v>2795500.0000000005</v>
      </c>
      <c r="Z1003" s="40">
        <f>SUM(Z1004:Z1012)</f>
        <v>3200600</v>
      </c>
      <c r="AA1003" s="153"/>
      <c r="AB1003" s="40">
        <f>SUM(AB1004:AB1012)</f>
        <v>3200600.0000000005</v>
      </c>
      <c r="AC1003" s="40">
        <f>SUM(AC1004:AC1012)</f>
        <v>42999400</v>
      </c>
      <c r="AD1003" s="167"/>
      <c r="AE1003" s="167"/>
      <c r="AG1003" s="5"/>
    </row>
    <row r="1004" spans="1:33" s="1" customFormat="1" x14ac:dyDescent="0.25">
      <c r="A1004" s="49"/>
      <c r="B1004" s="308" t="s">
        <v>1758</v>
      </c>
      <c r="C1004" s="308" t="s">
        <v>904</v>
      </c>
      <c r="D1004" s="309" t="s">
        <v>402</v>
      </c>
      <c r="E1004" s="310" t="s">
        <v>453</v>
      </c>
      <c r="F1004" s="310"/>
      <c r="G1004" s="310" t="s">
        <v>194</v>
      </c>
      <c r="H1004" s="310" t="s">
        <v>62</v>
      </c>
      <c r="I1004" s="310">
        <v>2023</v>
      </c>
      <c r="J1004" s="310"/>
      <c r="K1004" s="310" t="s">
        <v>63</v>
      </c>
      <c r="L1004" s="310" t="s">
        <v>64</v>
      </c>
      <c r="M1004" s="310">
        <v>1</v>
      </c>
      <c r="N1004" s="311">
        <f t="shared" ref="N1004:N1012" si="368">SUM(O1004/M1004)</f>
        <v>4051000</v>
      </c>
      <c r="O1004" s="311">
        <v>4051000</v>
      </c>
      <c r="P1004" s="310"/>
      <c r="Q1004" s="310"/>
      <c r="R1004" s="310"/>
      <c r="S1004" s="311">
        <f t="shared" ref="S1004:S1012" si="369">SUM(O1004-R1004)</f>
        <v>4051000</v>
      </c>
      <c r="T1004" s="310">
        <v>5</v>
      </c>
      <c r="U1004" s="311">
        <f t="shared" ref="U1004:U1012" si="370">SUM(S1004/T1004)</f>
        <v>810200</v>
      </c>
      <c r="V1004" s="310">
        <f t="shared" ref="V1004:V1009" si="371">1/12</f>
        <v>8.3333333333333329E-2</v>
      </c>
      <c r="W1004" s="311">
        <f t="shared" ref="W1004:W1009" si="372">SUM(U1004*V1004)</f>
        <v>67516.666666666657</v>
      </c>
      <c r="X1004" s="310">
        <v>0.5</v>
      </c>
      <c r="Y1004" s="311">
        <f t="shared" ref="Y1004:Y1012" si="373">SUM(U1004*X1004)</f>
        <v>405100</v>
      </c>
      <c r="Z1004" s="311">
        <f t="shared" ref="Z1004:Z1012" si="374">SUM(W1004+Y1004)</f>
        <v>472616.66666666663</v>
      </c>
      <c r="AA1004" s="312">
        <f>1/12+0.5</f>
        <v>0.58333333333333337</v>
      </c>
      <c r="AB1004" s="311">
        <f t="shared" ref="AB1004:AB1012" si="375">SUM(U1004*AA1004)</f>
        <v>472616.66666666669</v>
      </c>
      <c r="AC1004" s="311">
        <f t="shared" ref="AC1004:AC1012" si="376">SUM(O1004-AB1004)</f>
        <v>3578383.3333333335</v>
      </c>
      <c r="AD1004" s="313"/>
      <c r="AE1004" s="313"/>
      <c r="AG1004" s="5"/>
    </row>
    <row r="1005" spans="1:33" s="1" customFormat="1" x14ac:dyDescent="0.25">
      <c r="A1005" s="49"/>
      <c r="B1005" s="308" t="s">
        <v>1758</v>
      </c>
      <c r="C1005" s="308" t="s">
        <v>905</v>
      </c>
      <c r="D1005" s="309" t="s">
        <v>402</v>
      </c>
      <c r="E1005" s="310" t="s">
        <v>453</v>
      </c>
      <c r="F1005" s="310"/>
      <c r="G1005" s="310" t="s">
        <v>194</v>
      </c>
      <c r="H1005" s="310" t="s">
        <v>62</v>
      </c>
      <c r="I1005" s="310">
        <v>2023</v>
      </c>
      <c r="J1005" s="310"/>
      <c r="K1005" s="310" t="s">
        <v>63</v>
      </c>
      <c r="L1005" s="310" t="s">
        <v>64</v>
      </c>
      <c r="M1005" s="310">
        <v>1</v>
      </c>
      <c r="N1005" s="311">
        <f t="shared" si="368"/>
        <v>4051000</v>
      </c>
      <c r="O1005" s="311">
        <v>4051000</v>
      </c>
      <c r="P1005" s="310"/>
      <c r="Q1005" s="310"/>
      <c r="R1005" s="310"/>
      <c r="S1005" s="311">
        <f t="shared" si="369"/>
        <v>4051000</v>
      </c>
      <c r="T1005" s="310">
        <v>5</v>
      </c>
      <c r="U1005" s="311">
        <f t="shared" si="370"/>
        <v>810200</v>
      </c>
      <c r="V1005" s="310">
        <f t="shared" si="371"/>
        <v>8.3333333333333329E-2</v>
      </c>
      <c r="W1005" s="311">
        <f t="shared" si="372"/>
        <v>67516.666666666657</v>
      </c>
      <c r="X1005" s="310">
        <v>0.5</v>
      </c>
      <c r="Y1005" s="311">
        <f t="shared" si="373"/>
        <v>405100</v>
      </c>
      <c r="Z1005" s="311">
        <f t="shared" si="374"/>
        <v>472616.66666666663</v>
      </c>
      <c r="AA1005" s="312">
        <f t="shared" ref="AA1005:AA1009" si="377">1/12+0.5</f>
        <v>0.58333333333333337</v>
      </c>
      <c r="AB1005" s="311">
        <f t="shared" si="375"/>
        <v>472616.66666666669</v>
      </c>
      <c r="AC1005" s="311">
        <f t="shared" si="376"/>
        <v>3578383.3333333335</v>
      </c>
      <c r="AD1005" s="313"/>
      <c r="AE1005" s="313"/>
      <c r="AG1005" s="5"/>
    </row>
    <row r="1006" spans="1:33" s="1" customFormat="1" x14ac:dyDescent="0.25">
      <c r="A1006" s="49"/>
      <c r="B1006" s="308" t="s">
        <v>1758</v>
      </c>
      <c r="C1006" s="308" t="s">
        <v>906</v>
      </c>
      <c r="D1006" s="309" t="s">
        <v>402</v>
      </c>
      <c r="E1006" s="310" t="s">
        <v>453</v>
      </c>
      <c r="F1006" s="310"/>
      <c r="G1006" s="310" t="s">
        <v>194</v>
      </c>
      <c r="H1006" s="310" t="s">
        <v>62</v>
      </c>
      <c r="I1006" s="310">
        <v>2023</v>
      </c>
      <c r="J1006" s="310"/>
      <c r="K1006" s="310" t="s">
        <v>63</v>
      </c>
      <c r="L1006" s="310" t="s">
        <v>64</v>
      </c>
      <c r="M1006" s="310">
        <v>1</v>
      </c>
      <c r="N1006" s="311">
        <f t="shared" si="368"/>
        <v>4051000</v>
      </c>
      <c r="O1006" s="311">
        <v>4051000</v>
      </c>
      <c r="P1006" s="310"/>
      <c r="Q1006" s="310"/>
      <c r="R1006" s="310"/>
      <c r="S1006" s="311">
        <f t="shared" si="369"/>
        <v>4051000</v>
      </c>
      <c r="T1006" s="310">
        <v>5</v>
      </c>
      <c r="U1006" s="311">
        <f t="shared" si="370"/>
        <v>810200</v>
      </c>
      <c r="V1006" s="310">
        <f t="shared" si="371"/>
        <v>8.3333333333333329E-2</v>
      </c>
      <c r="W1006" s="311">
        <f t="shared" si="372"/>
        <v>67516.666666666657</v>
      </c>
      <c r="X1006" s="310">
        <v>0.5</v>
      </c>
      <c r="Y1006" s="311">
        <f t="shared" si="373"/>
        <v>405100</v>
      </c>
      <c r="Z1006" s="311">
        <f t="shared" si="374"/>
        <v>472616.66666666663</v>
      </c>
      <c r="AA1006" s="312">
        <f t="shared" si="377"/>
        <v>0.58333333333333337</v>
      </c>
      <c r="AB1006" s="311">
        <f t="shared" si="375"/>
        <v>472616.66666666669</v>
      </c>
      <c r="AC1006" s="311">
        <f t="shared" si="376"/>
        <v>3578383.3333333335</v>
      </c>
      <c r="AD1006" s="313"/>
      <c r="AE1006" s="313"/>
      <c r="AG1006" s="5"/>
    </row>
    <row r="1007" spans="1:33" s="1" customFormat="1" x14ac:dyDescent="0.25">
      <c r="A1007" s="49"/>
      <c r="B1007" s="308" t="s">
        <v>1758</v>
      </c>
      <c r="C1007" s="308" t="s">
        <v>908</v>
      </c>
      <c r="D1007" s="309" t="s">
        <v>402</v>
      </c>
      <c r="E1007" s="310" t="s">
        <v>453</v>
      </c>
      <c r="F1007" s="310"/>
      <c r="G1007" s="310" t="s">
        <v>194</v>
      </c>
      <c r="H1007" s="310" t="s">
        <v>62</v>
      </c>
      <c r="I1007" s="310">
        <v>2023</v>
      </c>
      <c r="J1007" s="310"/>
      <c r="K1007" s="310" t="s">
        <v>63</v>
      </c>
      <c r="L1007" s="310" t="s">
        <v>64</v>
      </c>
      <c r="M1007" s="310">
        <v>1</v>
      </c>
      <c r="N1007" s="311">
        <f t="shared" si="368"/>
        <v>4051000</v>
      </c>
      <c r="O1007" s="311">
        <v>4051000</v>
      </c>
      <c r="P1007" s="310"/>
      <c r="Q1007" s="310"/>
      <c r="R1007" s="310"/>
      <c r="S1007" s="311">
        <f t="shared" si="369"/>
        <v>4051000</v>
      </c>
      <c r="T1007" s="310">
        <v>5</v>
      </c>
      <c r="U1007" s="311">
        <f t="shared" si="370"/>
        <v>810200</v>
      </c>
      <c r="V1007" s="310">
        <f t="shared" si="371"/>
        <v>8.3333333333333329E-2</v>
      </c>
      <c r="W1007" s="311">
        <f t="shared" si="372"/>
        <v>67516.666666666657</v>
      </c>
      <c r="X1007" s="310">
        <v>0.5</v>
      </c>
      <c r="Y1007" s="311">
        <f t="shared" si="373"/>
        <v>405100</v>
      </c>
      <c r="Z1007" s="311">
        <f t="shared" si="374"/>
        <v>472616.66666666663</v>
      </c>
      <c r="AA1007" s="312">
        <f t="shared" si="377"/>
        <v>0.58333333333333337</v>
      </c>
      <c r="AB1007" s="311">
        <f t="shared" si="375"/>
        <v>472616.66666666669</v>
      </c>
      <c r="AC1007" s="311">
        <f t="shared" si="376"/>
        <v>3578383.3333333335</v>
      </c>
      <c r="AD1007" s="313"/>
      <c r="AE1007" s="313"/>
      <c r="AG1007" s="5"/>
    </row>
    <row r="1008" spans="1:33" s="1" customFormat="1" x14ac:dyDescent="0.25">
      <c r="A1008" s="49"/>
      <c r="B1008" s="308" t="s">
        <v>1758</v>
      </c>
      <c r="C1008" s="308" t="s">
        <v>3168</v>
      </c>
      <c r="D1008" s="309" t="s">
        <v>402</v>
      </c>
      <c r="E1008" s="310" t="s">
        <v>453</v>
      </c>
      <c r="F1008" s="310"/>
      <c r="G1008" s="310" t="s">
        <v>194</v>
      </c>
      <c r="H1008" s="310" t="s">
        <v>62</v>
      </c>
      <c r="I1008" s="310">
        <v>2023</v>
      </c>
      <c r="J1008" s="310"/>
      <c r="K1008" s="310" t="s">
        <v>63</v>
      </c>
      <c r="L1008" s="310" t="s">
        <v>64</v>
      </c>
      <c r="M1008" s="310">
        <v>1</v>
      </c>
      <c r="N1008" s="311">
        <f t="shared" si="368"/>
        <v>4051000</v>
      </c>
      <c r="O1008" s="311">
        <v>4051000</v>
      </c>
      <c r="P1008" s="310"/>
      <c r="Q1008" s="310"/>
      <c r="R1008" s="310"/>
      <c r="S1008" s="311">
        <f t="shared" si="369"/>
        <v>4051000</v>
      </c>
      <c r="T1008" s="310">
        <v>5</v>
      </c>
      <c r="U1008" s="311">
        <f t="shared" si="370"/>
        <v>810200</v>
      </c>
      <c r="V1008" s="310">
        <f t="shared" si="371"/>
        <v>8.3333333333333329E-2</v>
      </c>
      <c r="W1008" s="311">
        <f t="shared" si="372"/>
        <v>67516.666666666657</v>
      </c>
      <c r="X1008" s="310">
        <v>0.5</v>
      </c>
      <c r="Y1008" s="311">
        <f t="shared" si="373"/>
        <v>405100</v>
      </c>
      <c r="Z1008" s="311">
        <f t="shared" si="374"/>
        <v>472616.66666666663</v>
      </c>
      <c r="AA1008" s="312">
        <f t="shared" si="377"/>
        <v>0.58333333333333337</v>
      </c>
      <c r="AB1008" s="311">
        <f t="shared" si="375"/>
        <v>472616.66666666669</v>
      </c>
      <c r="AC1008" s="311">
        <f t="shared" si="376"/>
        <v>3578383.3333333335</v>
      </c>
      <c r="AD1008" s="313"/>
      <c r="AE1008" s="313"/>
      <c r="AG1008" s="5"/>
    </row>
    <row r="1009" spans="1:33" s="1" customFormat="1" x14ac:dyDescent="0.25">
      <c r="A1009" s="49"/>
      <c r="B1009" s="308" t="s">
        <v>1758</v>
      </c>
      <c r="C1009" s="308" t="s">
        <v>3170</v>
      </c>
      <c r="D1009" s="309" t="s">
        <v>402</v>
      </c>
      <c r="E1009" s="310" t="s">
        <v>453</v>
      </c>
      <c r="F1009" s="310"/>
      <c r="G1009" s="310" t="s">
        <v>194</v>
      </c>
      <c r="H1009" s="310" t="s">
        <v>62</v>
      </c>
      <c r="I1009" s="310">
        <v>2023</v>
      </c>
      <c r="J1009" s="310"/>
      <c r="K1009" s="310" t="s">
        <v>63</v>
      </c>
      <c r="L1009" s="310" t="s">
        <v>64</v>
      </c>
      <c r="M1009" s="310">
        <v>1</v>
      </c>
      <c r="N1009" s="311">
        <f t="shared" si="368"/>
        <v>4051000</v>
      </c>
      <c r="O1009" s="311">
        <v>4051000</v>
      </c>
      <c r="P1009" s="310"/>
      <c r="Q1009" s="310"/>
      <c r="R1009" s="310"/>
      <c r="S1009" s="311">
        <f t="shared" si="369"/>
        <v>4051000</v>
      </c>
      <c r="T1009" s="310">
        <v>5</v>
      </c>
      <c r="U1009" s="311">
        <f t="shared" si="370"/>
        <v>810200</v>
      </c>
      <c r="V1009" s="310">
        <f t="shared" si="371"/>
        <v>8.3333333333333329E-2</v>
      </c>
      <c r="W1009" s="311">
        <f t="shared" si="372"/>
        <v>67516.666666666657</v>
      </c>
      <c r="X1009" s="310">
        <v>0.5</v>
      </c>
      <c r="Y1009" s="311">
        <f t="shared" si="373"/>
        <v>405100</v>
      </c>
      <c r="Z1009" s="311">
        <f t="shared" si="374"/>
        <v>472616.66666666663</v>
      </c>
      <c r="AA1009" s="312">
        <f t="shared" si="377"/>
        <v>0.58333333333333337</v>
      </c>
      <c r="AB1009" s="311">
        <f t="shared" si="375"/>
        <v>472616.66666666669</v>
      </c>
      <c r="AC1009" s="311">
        <f t="shared" si="376"/>
        <v>3578383.3333333335</v>
      </c>
      <c r="AD1009" s="313"/>
      <c r="AE1009" s="313"/>
      <c r="AG1009" s="5"/>
    </row>
    <row r="1010" spans="1:33" s="1" customFormat="1" x14ac:dyDescent="0.25">
      <c r="A1010" s="49"/>
      <c r="B1010" s="376" t="s">
        <v>1758</v>
      </c>
      <c r="C1010" s="376" t="s">
        <v>3172</v>
      </c>
      <c r="D1010" s="365" t="s">
        <v>402</v>
      </c>
      <c r="E1010" s="188" t="s">
        <v>453</v>
      </c>
      <c r="F1010" s="188"/>
      <c r="G1010" s="188" t="s">
        <v>194</v>
      </c>
      <c r="H1010" s="188" t="s">
        <v>62</v>
      </c>
      <c r="I1010" s="188">
        <v>2023</v>
      </c>
      <c r="J1010" s="188"/>
      <c r="K1010" s="188" t="s">
        <v>63</v>
      </c>
      <c r="L1010" s="188" t="s">
        <v>64</v>
      </c>
      <c r="M1010" s="188">
        <v>1</v>
      </c>
      <c r="N1010" s="366">
        <f t="shared" si="368"/>
        <v>7298000</v>
      </c>
      <c r="O1010" s="366">
        <v>7298000</v>
      </c>
      <c r="P1010" s="188"/>
      <c r="Q1010" s="188"/>
      <c r="R1010" s="188"/>
      <c r="S1010" s="366">
        <f t="shared" si="369"/>
        <v>7298000</v>
      </c>
      <c r="T1010" s="188">
        <v>5</v>
      </c>
      <c r="U1010" s="366">
        <f t="shared" si="370"/>
        <v>1459600</v>
      </c>
      <c r="V1010" s="188"/>
      <c r="W1010" s="366"/>
      <c r="X1010" s="188">
        <f>1/12</f>
        <v>8.3333333333333329E-2</v>
      </c>
      <c r="Y1010" s="366">
        <f t="shared" si="373"/>
        <v>121633.33333333333</v>
      </c>
      <c r="Z1010" s="366">
        <f t="shared" si="374"/>
        <v>121633.33333333333</v>
      </c>
      <c r="AA1010" s="367">
        <f>1/12</f>
        <v>8.3333333333333329E-2</v>
      </c>
      <c r="AB1010" s="366">
        <f t="shared" si="375"/>
        <v>121633.33333333333</v>
      </c>
      <c r="AC1010" s="366">
        <f t="shared" si="376"/>
        <v>7176366.666666667</v>
      </c>
      <c r="AD1010" s="368" t="s">
        <v>3710</v>
      </c>
      <c r="AE1010" s="368"/>
      <c r="AG1010" s="5"/>
    </row>
    <row r="1011" spans="1:33" s="1" customFormat="1" x14ac:dyDescent="0.25">
      <c r="A1011" s="49"/>
      <c r="B1011" s="376" t="s">
        <v>1758</v>
      </c>
      <c r="C1011" s="376" t="s">
        <v>3174</v>
      </c>
      <c r="D1011" s="365" t="s">
        <v>402</v>
      </c>
      <c r="E1011" s="188" t="s">
        <v>453</v>
      </c>
      <c r="F1011" s="188"/>
      <c r="G1011" s="188" t="s">
        <v>194</v>
      </c>
      <c r="H1011" s="188" t="s">
        <v>62</v>
      </c>
      <c r="I1011" s="188">
        <v>2023</v>
      </c>
      <c r="J1011" s="188"/>
      <c r="K1011" s="188" t="s">
        <v>63</v>
      </c>
      <c r="L1011" s="188" t="s">
        <v>64</v>
      </c>
      <c r="M1011" s="188">
        <v>1</v>
      </c>
      <c r="N1011" s="366">
        <f t="shared" si="368"/>
        <v>7298000</v>
      </c>
      <c r="O1011" s="366">
        <v>7298000</v>
      </c>
      <c r="P1011" s="188"/>
      <c r="Q1011" s="188"/>
      <c r="R1011" s="188"/>
      <c r="S1011" s="366">
        <f t="shared" si="369"/>
        <v>7298000</v>
      </c>
      <c r="T1011" s="188">
        <v>5</v>
      </c>
      <c r="U1011" s="366">
        <f t="shared" si="370"/>
        <v>1459600</v>
      </c>
      <c r="V1011" s="188"/>
      <c r="W1011" s="366"/>
      <c r="X1011" s="188">
        <f t="shared" ref="X1011:X1012" si="378">1/12</f>
        <v>8.3333333333333329E-2</v>
      </c>
      <c r="Y1011" s="366">
        <f t="shared" si="373"/>
        <v>121633.33333333333</v>
      </c>
      <c r="Z1011" s="366">
        <f t="shared" si="374"/>
        <v>121633.33333333333</v>
      </c>
      <c r="AA1011" s="367">
        <f t="shared" ref="AA1011:AA1012" si="379">1/12</f>
        <v>8.3333333333333329E-2</v>
      </c>
      <c r="AB1011" s="366">
        <f t="shared" si="375"/>
        <v>121633.33333333333</v>
      </c>
      <c r="AC1011" s="366">
        <f t="shared" si="376"/>
        <v>7176366.666666667</v>
      </c>
      <c r="AD1011" s="368" t="s">
        <v>241</v>
      </c>
      <c r="AE1011" s="368"/>
      <c r="AG1011" s="5"/>
    </row>
    <row r="1012" spans="1:33" s="1" customFormat="1" x14ac:dyDescent="0.25">
      <c r="A1012" s="49"/>
      <c r="B1012" s="376" t="s">
        <v>1758</v>
      </c>
      <c r="C1012" s="376" t="s">
        <v>3176</v>
      </c>
      <c r="D1012" s="365" t="s">
        <v>402</v>
      </c>
      <c r="E1012" s="188" t="s">
        <v>453</v>
      </c>
      <c r="F1012" s="188"/>
      <c r="G1012" s="188" t="s">
        <v>194</v>
      </c>
      <c r="H1012" s="188" t="s">
        <v>62</v>
      </c>
      <c r="I1012" s="188">
        <v>2023</v>
      </c>
      <c r="J1012" s="188"/>
      <c r="K1012" s="188" t="s">
        <v>63</v>
      </c>
      <c r="L1012" s="188" t="s">
        <v>64</v>
      </c>
      <c r="M1012" s="188">
        <v>1</v>
      </c>
      <c r="N1012" s="366">
        <f t="shared" si="368"/>
        <v>7298000</v>
      </c>
      <c r="O1012" s="366">
        <v>7298000</v>
      </c>
      <c r="P1012" s="188"/>
      <c r="Q1012" s="188"/>
      <c r="R1012" s="188"/>
      <c r="S1012" s="366">
        <f t="shared" si="369"/>
        <v>7298000</v>
      </c>
      <c r="T1012" s="188">
        <v>5</v>
      </c>
      <c r="U1012" s="366">
        <f t="shared" si="370"/>
        <v>1459600</v>
      </c>
      <c r="V1012" s="188"/>
      <c r="W1012" s="366"/>
      <c r="X1012" s="188">
        <f t="shared" si="378"/>
        <v>8.3333333333333329E-2</v>
      </c>
      <c r="Y1012" s="366">
        <f t="shared" si="373"/>
        <v>121633.33333333333</v>
      </c>
      <c r="Z1012" s="366">
        <f t="shared" si="374"/>
        <v>121633.33333333333</v>
      </c>
      <c r="AA1012" s="367">
        <f t="shared" si="379"/>
        <v>8.3333333333333329E-2</v>
      </c>
      <c r="AB1012" s="366">
        <f t="shared" si="375"/>
        <v>121633.33333333333</v>
      </c>
      <c r="AC1012" s="366">
        <f t="shared" si="376"/>
        <v>7176366.666666667</v>
      </c>
      <c r="AD1012" s="368" t="s">
        <v>243</v>
      </c>
      <c r="AE1012" s="368"/>
      <c r="AG1012" s="5"/>
    </row>
    <row r="1013" spans="1:33" s="1" customFormat="1" x14ac:dyDescent="0.25">
      <c r="A1013" s="49"/>
      <c r="B1013" s="22"/>
      <c r="C1013" s="50"/>
      <c r="D1013" s="51"/>
      <c r="E1013" s="52"/>
      <c r="F1013" s="52"/>
      <c r="G1013" s="52"/>
      <c r="H1013" s="52"/>
      <c r="I1013" s="52"/>
      <c r="J1013" s="52"/>
      <c r="K1013" s="52"/>
      <c r="L1013" s="52"/>
      <c r="M1013" s="52"/>
      <c r="N1013" s="53"/>
      <c r="O1013" s="53"/>
      <c r="P1013" s="52"/>
      <c r="Q1013" s="52"/>
      <c r="R1013" s="52"/>
      <c r="S1013" s="53"/>
      <c r="T1013" s="52"/>
      <c r="U1013" s="53"/>
      <c r="V1013" s="52"/>
      <c r="W1013" s="53"/>
      <c r="X1013" s="52"/>
      <c r="Y1013" s="53"/>
      <c r="Z1013" s="53"/>
      <c r="AA1013" s="57"/>
      <c r="AB1013" s="53"/>
      <c r="AC1013" s="53"/>
      <c r="AD1013" s="56"/>
      <c r="AE1013" s="56"/>
      <c r="AG1013" s="5"/>
    </row>
    <row r="1014" spans="1:33" s="1" customFormat="1" hidden="1" x14ac:dyDescent="0.25">
      <c r="A1014" s="17"/>
      <c r="B1014" s="18" t="s">
        <v>1240</v>
      </c>
      <c r="C1014" s="18"/>
      <c r="D1014" s="84" t="s">
        <v>1241</v>
      </c>
      <c r="E1014" s="20"/>
      <c r="F1014" s="20"/>
      <c r="G1014" s="20"/>
      <c r="H1014" s="20"/>
      <c r="I1014" s="20"/>
      <c r="J1014" s="20"/>
      <c r="K1014" s="20"/>
      <c r="L1014" s="20"/>
      <c r="M1014" s="20"/>
      <c r="N1014" s="20"/>
      <c r="O1014" s="20"/>
      <c r="P1014" s="20"/>
      <c r="Q1014" s="20"/>
      <c r="R1014" s="20"/>
      <c r="S1014" s="20"/>
      <c r="T1014" s="20"/>
      <c r="U1014" s="20"/>
      <c r="V1014" s="20"/>
      <c r="W1014" s="20"/>
      <c r="X1014" s="20"/>
      <c r="Y1014" s="20"/>
      <c r="Z1014" s="20"/>
      <c r="AA1014" s="20"/>
      <c r="AB1014" s="20"/>
      <c r="AC1014" s="20"/>
      <c r="AD1014" s="20"/>
      <c r="AE1014" s="20"/>
    </row>
    <row r="1015" spans="1:33" s="1" customFormat="1" hidden="1" x14ac:dyDescent="0.25">
      <c r="A1015" s="25"/>
      <c r="B1015" s="26" t="s">
        <v>1242</v>
      </c>
      <c r="C1015" s="26"/>
      <c r="D1015" s="64" t="s">
        <v>1243</v>
      </c>
      <c r="E1015" s="28"/>
      <c r="F1015" s="28"/>
      <c r="G1015" s="28"/>
      <c r="H1015" s="28"/>
      <c r="I1015" s="28"/>
      <c r="J1015" s="28"/>
      <c r="K1015" s="28"/>
      <c r="L1015" s="28"/>
      <c r="M1015" s="28"/>
      <c r="N1015" s="28"/>
      <c r="O1015" s="28"/>
      <c r="P1015" s="28"/>
      <c r="Q1015" s="28"/>
      <c r="R1015" s="28"/>
      <c r="S1015" s="28"/>
      <c r="T1015" s="28"/>
      <c r="U1015" s="28"/>
      <c r="V1015" s="28"/>
      <c r="W1015" s="28"/>
      <c r="X1015" s="28"/>
      <c r="Y1015" s="28"/>
      <c r="Z1015" s="28"/>
      <c r="AA1015" s="28"/>
      <c r="AB1015" s="28"/>
      <c r="AC1015" s="28"/>
      <c r="AD1015" s="28"/>
      <c r="AE1015" s="28"/>
    </row>
    <row r="1016" spans="1:33" s="1" customFormat="1" hidden="1" x14ac:dyDescent="0.25">
      <c r="A1016" s="21"/>
      <c r="B1016" s="22"/>
      <c r="C1016" s="22"/>
      <c r="D1016" s="65"/>
      <c r="E1016" s="24"/>
      <c r="F1016" s="24"/>
      <c r="G1016" s="24"/>
      <c r="H1016" s="24"/>
      <c r="I1016" s="24"/>
      <c r="J1016" s="24"/>
      <c r="K1016" s="24"/>
      <c r="L1016" s="24"/>
      <c r="M1016" s="24"/>
      <c r="N1016" s="24"/>
      <c r="O1016" s="24"/>
      <c r="P1016" s="24"/>
      <c r="Q1016" s="24"/>
      <c r="R1016" s="24"/>
      <c r="S1016" s="24"/>
      <c r="T1016" s="24"/>
      <c r="U1016" s="24"/>
      <c r="V1016" s="24"/>
      <c r="W1016" s="24"/>
      <c r="X1016" s="24"/>
      <c r="Y1016" s="24"/>
      <c r="Z1016" s="24"/>
      <c r="AA1016" s="24"/>
      <c r="AB1016" s="24"/>
      <c r="AC1016" s="24"/>
      <c r="AD1016" s="24"/>
      <c r="AE1016" s="24"/>
    </row>
    <row r="1017" spans="1:33" s="1" customFormat="1" hidden="1" x14ac:dyDescent="0.25">
      <c r="A1017" s="25"/>
      <c r="B1017" s="26" t="s">
        <v>1244</v>
      </c>
      <c r="C1017" s="26"/>
      <c r="D1017" s="64" t="s">
        <v>1245</v>
      </c>
      <c r="E1017" s="28"/>
      <c r="F1017" s="28"/>
      <c r="G1017" s="28"/>
      <c r="H1017" s="28"/>
      <c r="I1017" s="28"/>
      <c r="J1017" s="28"/>
      <c r="K1017" s="28"/>
      <c r="L1017" s="28"/>
      <c r="M1017" s="28"/>
      <c r="N1017" s="28"/>
      <c r="O1017" s="28"/>
      <c r="P1017" s="28"/>
      <c r="Q1017" s="28"/>
      <c r="R1017" s="28"/>
      <c r="S1017" s="28"/>
      <c r="T1017" s="28"/>
      <c r="U1017" s="28"/>
      <c r="V1017" s="28"/>
      <c r="W1017" s="28"/>
      <c r="X1017" s="28"/>
      <c r="Y1017" s="28"/>
      <c r="Z1017" s="28"/>
      <c r="AA1017" s="28"/>
      <c r="AB1017" s="28"/>
      <c r="AC1017" s="28"/>
      <c r="AD1017" s="28"/>
      <c r="AE1017" s="28"/>
    </row>
    <row r="1018" spans="1:33" s="1" customFormat="1" hidden="1" x14ac:dyDescent="0.25">
      <c r="A1018" s="21"/>
      <c r="B1018" s="22"/>
      <c r="C1018" s="22"/>
      <c r="D1018" s="65"/>
      <c r="E1018" s="24"/>
      <c r="F1018" s="24"/>
      <c r="G1018" s="24"/>
      <c r="H1018" s="24"/>
      <c r="I1018" s="24"/>
      <c r="J1018" s="24"/>
      <c r="K1018" s="24"/>
      <c r="L1018" s="24"/>
      <c r="M1018" s="24"/>
      <c r="N1018" s="24"/>
      <c r="O1018" s="24"/>
      <c r="P1018" s="24"/>
      <c r="Q1018" s="24"/>
      <c r="R1018" s="24"/>
      <c r="S1018" s="24"/>
      <c r="T1018" s="24"/>
      <c r="U1018" s="24"/>
      <c r="V1018" s="24"/>
      <c r="W1018" s="24"/>
      <c r="X1018" s="24"/>
      <c r="Y1018" s="24"/>
      <c r="Z1018" s="24"/>
      <c r="AA1018" s="24"/>
      <c r="AB1018" s="24"/>
      <c r="AC1018" s="24"/>
      <c r="AD1018" s="24"/>
      <c r="AE1018" s="24"/>
    </row>
    <row r="1019" spans="1:33" s="1" customFormat="1" hidden="1" x14ac:dyDescent="0.25">
      <c r="A1019" s="17"/>
      <c r="B1019" s="18" t="s">
        <v>1246</v>
      </c>
      <c r="C1019" s="18"/>
      <c r="D1019" s="84" t="s">
        <v>1247</v>
      </c>
      <c r="E1019" s="20"/>
      <c r="F1019" s="20"/>
      <c r="G1019" s="20"/>
      <c r="H1019" s="20"/>
      <c r="I1019" s="20"/>
      <c r="J1019" s="20"/>
      <c r="K1019" s="20"/>
      <c r="L1019" s="20"/>
      <c r="M1019" s="20">
        <f>SUM(M1020+M1022)</f>
        <v>0</v>
      </c>
      <c r="N1019" s="20"/>
      <c r="O1019" s="20">
        <f>O1020+O1022</f>
        <v>0</v>
      </c>
      <c r="P1019" s="20">
        <f>P1020+P1022</f>
        <v>0</v>
      </c>
      <c r="Q1019" s="20">
        <f>Q1020+Q1022</f>
        <v>0</v>
      </c>
      <c r="R1019" s="20">
        <f>R1020+R1022</f>
        <v>0</v>
      </c>
      <c r="S1019" s="20">
        <f>S1020+S1022</f>
        <v>0</v>
      </c>
      <c r="T1019" s="20"/>
      <c r="U1019" s="20">
        <f>U1020+U1022</f>
        <v>0</v>
      </c>
      <c r="V1019" s="20"/>
      <c r="W1019" s="20">
        <f>W1020+W1022</f>
        <v>0</v>
      </c>
      <c r="X1019" s="20"/>
      <c r="Y1019" s="20">
        <f>Y1020+Y1022</f>
        <v>0</v>
      </c>
      <c r="Z1019" s="20">
        <f>Z1020+Z1022</f>
        <v>0</v>
      </c>
      <c r="AA1019" s="20"/>
      <c r="AB1019" s="20">
        <f>AB1020+AB1022</f>
        <v>0</v>
      </c>
      <c r="AC1019" s="20">
        <f>AC1020+AC1022</f>
        <v>0</v>
      </c>
      <c r="AD1019" s="20"/>
      <c r="AE1019" s="20"/>
    </row>
    <row r="1020" spans="1:33" s="1" customFormat="1" hidden="1" x14ac:dyDescent="0.25">
      <c r="A1020" s="25"/>
      <c r="B1020" s="26" t="s">
        <v>1248</v>
      </c>
      <c r="C1020" s="26"/>
      <c r="D1020" s="64" t="s">
        <v>1249</v>
      </c>
      <c r="E1020" s="28"/>
      <c r="F1020" s="28"/>
      <c r="G1020" s="28"/>
      <c r="H1020" s="28"/>
      <c r="I1020" s="28"/>
      <c r="J1020" s="28"/>
      <c r="K1020" s="28"/>
      <c r="L1020" s="28"/>
      <c r="M1020" s="28">
        <f>SUM(M1021:M1021)</f>
        <v>0</v>
      </c>
      <c r="N1020" s="28"/>
      <c r="O1020" s="28">
        <f>SUM(O1021:O1021)</f>
        <v>0</v>
      </c>
      <c r="P1020" s="28">
        <f>SUM(P1021:P1021)</f>
        <v>0</v>
      </c>
      <c r="Q1020" s="28">
        <f>SUM(Q1021:Q1021)</f>
        <v>0</v>
      </c>
      <c r="R1020" s="28">
        <f>SUM(R1021:R1021)</f>
        <v>0</v>
      </c>
      <c r="S1020" s="28">
        <f>SUM(S1021:S1021)</f>
        <v>0</v>
      </c>
      <c r="T1020" s="28"/>
      <c r="U1020" s="28">
        <f>SUM(U1021:U1021)</f>
        <v>0</v>
      </c>
      <c r="V1020" s="28"/>
      <c r="W1020" s="28">
        <f>SUM(W1021:W1021)</f>
        <v>0</v>
      </c>
      <c r="X1020" s="28"/>
      <c r="Y1020" s="28">
        <f>SUM(Y1021:Y1021)</f>
        <v>0</v>
      </c>
      <c r="Z1020" s="28">
        <f>SUM(Z1021:Z1021)</f>
        <v>0</v>
      </c>
      <c r="AA1020" s="28"/>
      <c r="AB1020" s="28">
        <f>SUM(AB1021:AB1021)</f>
        <v>0</v>
      </c>
      <c r="AC1020" s="28">
        <f>SUM(AC1021:AC1021)</f>
        <v>0</v>
      </c>
      <c r="AD1020" s="28"/>
      <c r="AE1020" s="28"/>
    </row>
    <row r="1021" spans="1:33" s="1" customFormat="1" hidden="1" x14ac:dyDescent="0.25">
      <c r="A1021" s="21"/>
      <c r="B1021" s="22"/>
      <c r="C1021" s="22"/>
      <c r="D1021" s="65"/>
      <c r="E1021" s="24"/>
      <c r="F1021" s="24"/>
      <c r="G1021" s="24"/>
      <c r="H1021" s="24"/>
      <c r="I1021" s="24"/>
      <c r="J1021" s="24"/>
      <c r="K1021" s="24"/>
      <c r="L1021" s="24"/>
      <c r="M1021" s="24"/>
      <c r="N1021" s="24"/>
      <c r="O1021" s="24"/>
      <c r="P1021" s="24"/>
      <c r="Q1021" s="24"/>
      <c r="R1021" s="24"/>
      <c r="S1021" s="24"/>
      <c r="T1021" s="24"/>
      <c r="U1021" s="24"/>
      <c r="V1021" s="24"/>
      <c r="W1021" s="24"/>
      <c r="X1021" s="24"/>
      <c r="Y1021" s="24"/>
      <c r="Z1021" s="24"/>
      <c r="AA1021" s="24"/>
      <c r="AB1021" s="24"/>
      <c r="AC1021" s="24"/>
      <c r="AD1021" s="24"/>
      <c r="AE1021" s="24"/>
    </row>
    <row r="1022" spans="1:33" s="1" customFormat="1" hidden="1" x14ac:dyDescent="0.25">
      <c r="A1022" s="25"/>
      <c r="B1022" s="26" t="s">
        <v>1250</v>
      </c>
      <c r="C1022" s="26"/>
      <c r="D1022" s="64" t="s">
        <v>1251</v>
      </c>
      <c r="E1022" s="28"/>
      <c r="F1022" s="28"/>
      <c r="G1022" s="28"/>
      <c r="H1022" s="28"/>
      <c r="I1022" s="28"/>
      <c r="J1022" s="28"/>
      <c r="K1022" s="28"/>
      <c r="L1022" s="28"/>
      <c r="M1022" s="28">
        <f>SUM(M1023:M1023)</f>
        <v>0</v>
      </c>
      <c r="N1022" s="28"/>
      <c r="O1022" s="28">
        <f>SUM(O1023:O1023)</f>
        <v>0</v>
      </c>
      <c r="P1022" s="28">
        <f>SUM(P1023:P1023)</f>
        <v>0</v>
      </c>
      <c r="Q1022" s="28">
        <f>SUM(Q1023:Q1023)</f>
        <v>0</v>
      </c>
      <c r="R1022" s="28">
        <f>SUM(R1023:R1023)</f>
        <v>0</v>
      </c>
      <c r="S1022" s="28">
        <f>SUM(S1023:S1023)</f>
        <v>0</v>
      </c>
      <c r="T1022" s="28"/>
      <c r="U1022" s="28">
        <f>SUM(U1023:U1023)</f>
        <v>0</v>
      </c>
      <c r="V1022" s="28"/>
      <c r="W1022" s="28">
        <f>SUM(W1023:W1023)</f>
        <v>0</v>
      </c>
      <c r="X1022" s="28"/>
      <c r="Y1022" s="28">
        <f>SUM(Y1023:Y1023)</f>
        <v>0</v>
      </c>
      <c r="Z1022" s="28">
        <f>SUM(Z1023:Z1023)</f>
        <v>0</v>
      </c>
      <c r="AA1022" s="28"/>
      <c r="AB1022" s="28">
        <f>SUM(AB1023:AB1023)</f>
        <v>0</v>
      </c>
      <c r="AC1022" s="28">
        <f>SUM(AC1023:AC1023)</f>
        <v>0</v>
      </c>
      <c r="AD1022" s="28"/>
      <c r="AE1022" s="28"/>
    </row>
    <row r="1023" spans="1:33" s="1" customFormat="1" hidden="1" x14ac:dyDescent="0.25">
      <c r="A1023" s="21"/>
      <c r="B1023" s="22"/>
      <c r="C1023" s="22"/>
      <c r="D1023" s="65"/>
      <c r="E1023" s="24"/>
      <c r="F1023" s="24"/>
      <c r="G1023" s="24"/>
      <c r="H1023" s="24"/>
      <c r="I1023" s="24"/>
      <c r="J1023" s="24"/>
      <c r="K1023" s="24"/>
      <c r="L1023" s="24"/>
      <c r="M1023" s="24"/>
      <c r="N1023" s="24"/>
      <c r="O1023" s="24"/>
      <c r="P1023" s="24"/>
      <c r="Q1023" s="24"/>
      <c r="R1023" s="24"/>
      <c r="S1023" s="24"/>
      <c r="T1023" s="24"/>
      <c r="U1023" s="24"/>
      <c r="V1023" s="24"/>
      <c r="W1023" s="24"/>
      <c r="X1023" s="24"/>
      <c r="Y1023" s="24"/>
      <c r="Z1023" s="24"/>
      <c r="AA1023" s="24"/>
      <c r="AB1023" s="24"/>
      <c r="AC1023" s="24"/>
      <c r="AD1023" s="24"/>
      <c r="AE1023" s="24"/>
    </row>
    <row r="1024" spans="1:33" s="1" customFormat="1" ht="25.5" hidden="1" x14ac:dyDescent="0.25">
      <c r="A1024" s="17"/>
      <c r="B1024" s="18" t="s">
        <v>1252</v>
      </c>
      <c r="C1024" s="18"/>
      <c r="D1024" s="84" t="s">
        <v>1253</v>
      </c>
      <c r="E1024" s="20"/>
      <c r="F1024" s="20"/>
      <c r="G1024" s="20"/>
      <c r="H1024" s="20"/>
      <c r="I1024" s="20"/>
      <c r="J1024" s="20"/>
      <c r="K1024" s="20"/>
      <c r="L1024" s="20"/>
      <c r="M1024" s="20">
        <f>SUM(M1025+M1027+M1029)</f>
        <v>0</v>
      </c>
      <c r="N1024" s="20"/>
      <c r="O1024" s="20">
        <f>O1025+O1027+O1029</f>
        <v>0</v>
      </c>
      <c r="P1024" s="20">
        <f>P1025+P1027+P1029</f>
        <v>0</v>
      </c>
      <c r="Q1024" s="20">
        <f>Q1025+Q1027+Q1029</f>
        <v>0</v>
      </c>
      <c r="R1024" s="20">
        <f>R1025+R1027+R1029</f>
        <v>0</v>
      </c>
      <c r="S1024" s="20">
        <f>S1025+S1027+S1029</f>
        <v>0</v>
      </c>
      <c r="T1024" s="20"/>
      <c r="U1024" s="20">
        <f>U1025+U1027+U1029</f>
        <v>0</v>
      </c>
      <c r="V1024" s="20"/>
      <c r="W1024" s="20">
        <f>W1025+W1027+W1029</f>
        <v>0</v>
      </c>
      <c r="X1024" s="20"/>
      <c r="Y1024" s="20">
        <f>Y1025+Y1027+Y1029</f>
        <v>0</v>
      </c>
      <c r="Z1024" s="20">
        <f>Z1025+Z1027+Z1029</f>
        <v>0</v>
      </c>
      <c r="AA1024" s="20"/>
      <c r="AB1024" s="20">
        <f>AB1025+AB1027+AB1029</f>
        <v>0</v>
      </c>
      <c r="AC1024" s="20">
        <f>AC1025+AC1027+AC1029</f>
        <v>0</v>
      </c>
      <c r="AD1024" s="20"/>
      <c r="AE1024" s="20"/>
    </row>
    <row r="1025" spans="1:31" s="1" customFormat="1" hidden="1" x14ac:dyDescent="0.25">
      <c r="A1025" s="25"/>
      <c r="B1025" s="26" t="s">
        <v>1254</v>
      </c>
      <c r="C1025" s="26"/>
      <c r="D1025" s="64" t="s">
        <v>1255</v>
      </c>
      <c r="E1025" s="28"/>
      <c r="F1025" s="28"/>
      <c r="G1025" s="28"/>
      <c r="H1025" s="28"/>
      <c r="I1025" s="28"/>
      <c r="J1025" s="28"/>
      <c r="K1025" s="28"/>
      <c r="L1025" s="28"/>
      <c r="M1025" s="28">
        <f>SUM(M1026:M1026)</f>
        <v>0</v>
      </c>
      <c r="N1025" s="28"/>
      <c r="O1025" s="28">
        <f>SUM(O1026:O1026)</f>
        <v>0</v>
      </c>
      <c r="P1025" s="28">
        <f>SUM(P1026:P1026)</f>
        <v>0</v>
      </c>
      <c r="Q1025" s="28">
        <f>SUM(Q1026:Q1026)</f>
        <v>0</v>
      </c>
      <c r="R1025" s="28">
        <f>SUM(R1026:R1026)</f>
        <v>0</v>
      </c>
      <c r="S1025" s="28">
        <f>SUM(S1026:S1026)</f>
        <v>0</v>
      </c>
      <c r="T1025" s="28"/>
      <c r="U1025" s="28">
        <f>SUM(U1026:U1026)</f>
        <v>0</v>
      </c>
      <c r="V1025" s="28"/>
      <c r="W1025" s="28">
        <f>SUM(W1026:W1026)</f>
        <v>0</v>
      </c>
      <c r="X1025" s="28"/>
      <c r="Y1025" s="28">
        <f>SUM(Y1026:Y1026)</f>
        <v>0</v>
      </c>
      <c r="Z1025" s="28">
        <f>SUM(Z1026:Z1026)</f>
        <v>0</v>
      </c>
      <c r="AA1025" s="28"/>
      <c r="AB1025" s="28">
        <f>SUM(AB1026:AB1026)</f>
        <v>0</v>
      </c>
      <c r="AC1025" s="28">
        <f>SUM(AC1026:AC1026)</f>
        <v>0</v>
      </c>
      <c r="AD1025" s="28"/>
      <c r="AE1025" s="28"/>
    </row>
    <row r="1026" spans="1:31" s="1" customFormat="1" hidden="1" x14ac:dyDescent="0.25">
      <c r="A1026" s="21"/>
      <c r="B1026" s="22"/>
      <c r="C1026" s="22"/>
      <c r="D1026" s="65"/>
      <c r="E1026" s="24"/>
      <c r="F1026" s="24"/>
      <c r="G1026" s="24"/>
      <c r="H1026" s="24"/>
      <c r="I1026" s="24"/>
      <c r="J1026" s="24"/>
      <c r="K1026" s="24"/>
      <c r="L1026" s="24"/>
      <c r="M1026" s="24"/>
      <c r="N1026" s="24"/>
      <c r="O1026" s="24"/>
      <c r="P1026" s="24"/>
      <c r="Q1026" s="24"/>
      <c r="R1026" s="24"/>
      <c r="S1026" s="24"/>
      <c r="T1026" s="24"/>
      <c r="U1026" s="24"/>
      <c r="V1026" s="24"/>
      <c r="W1026" s="24"/>
      <c r="X1026" s="24"/>
      <c r="Y1026" s="24"/>
      <c r="Z1026" s="24"/>
      <c r="AA1026" s="24"/>
      <c r="AB1026" s="24"/>
      <c r="AC1026" s="24"/>
      <c r="AD1026" s="24"/>
      <c r="AE1026" s="24"/>
    </row>
    <row r="1027" spans="1:31" s="1" customFormat="1" hidden="1" x14ac:dyDescent="0.25">
      <c r="A1027" s="25"/>
      <c r="B1027" s="26" t="s">
        <v>1256</v>
      </c>
      <c r="C1027" s="26"/>
      <c r="D1027" s="64" t="s">
        <v>1257</v>
      </c>
      <c r="E1027" s="28"/>
      <c r="F1027" s="28"/>
      <c r="G1027" s="28"/>
      <c r="H1027" s="28"/>
      <c r="I1027" s="28"/>
      <c r="J1027" s="28"/>
      <c r="K1027" s="28"/>
      <c r="L1027" s="28"/>
      <c r="M1027" s="28">
        <f>SUM(M1028:M1028)</f>
        <v>0</v>
      </c>
      <c r="N1027" s="28"/>
      <c r="O1027" s="28">
        <f>SUM(O1028:O1028)</f>
        <v>0</v>
      </c>
      <c r="P1027" s="28">
        <f>SUM(P1028:P1028)</f>
        <v>0</v>
      </c>
      <c r="Q1027" s="28">
        <f>SUM(Q1028:Q1028)</f>
        <v>0</v>
      </c>
      <c r="R1027" s="28">
        <f>SUM(R1028:R1028)</f>
        <v>0</v>
      </c>
      <c r="S1027" s="28">
        <f>SUM(S1028:S1028)</f>
        <v>0</v>
      </c>
      <c r="T1027" s="28"/>
      <c r="U1027" s="28">
        <f>SUM(U1028:U1028)</f>
        <v>0</v>
      </c>
      <c r="V1027" s="28"/>
      <c r="W1027" s="28">
        <f>SUM(W1028:W1028)</f>
        <v>0</v>
      </c>
      <c r="X1027" s="28"/>
      <c r="Y1027" s="28">
        <f>SUM(Y1028:Y1028)</f>
        <v>0</v>
      </c>
      <c r="Z1027" s="28">
        <f>SUM(Z1028:Z1028)</f>
        <v>0</v>
      </c>
      <c r="AA1027" s="28"/>
      <c r="AB1027" s="28">
        <f>SUM(AB1028:AB1028)</f>
        <v>0</v>
      </c>
      <c r="AC1027" s="28">
        <f>SUM(AC1028:AC1028)</f>
        <v>0</v>
      </c>
      <c r="AD1027" s="28"/>
      <c r="AE1027" s="28"/>
    </row>
    <row r="1028" spans="1:31" s="1" customFormat="1" hidden="1" x14ac:dyDescent="0.25">
      <c r="A1028" s="21"/>
      <c r="B1028" s="22"/>
      <c r="C1028" s="22"/>
      <c r="D1028" s="65"/>
      <c r="E1028" s="24"/>
      <c r="F1028" s="24"/>
      <c r="G1028" s="24"/>
      <c r="H1028" s="24"/>
      <c r="I1028" s="24"/>
      <c r="J1028" s="24"/>
      <c r="K1028" s="24"/>
      <c r="L1028" s="24"/>
      <c r="M1028" s="24"/>
      <c r="N1028" s="24"/>
      <c r="O1028" s="24"/>
      <c r="P1028" s="24"/>
      <c r="Q1028" s="24"/>
      <c r="R1028" s="24"/>
      <c r="S1028" s="24"/>
      <c r="T1028" s="24"/>
      <c r="U1028" s="24"/>
      <c r="V1028" s="24"/>
      <c r="W1028" s="24"/>
      <c r="X1028" s="24"/>
      <c r="Y1028" s="24"/>
      <c r="Z1028" s="24"/>
      <c r="AA1028" s="24"/>
      <c r="AB1028" s="24"/>
      <c r="AC1028" s="24"/>
      <c r="AD1028" s="24"/>
      <c r="AE1028" s="24"/>
    </row>
    <row r="1029" spans="1:31" s="1" customFormat="1" hidden="1" x14ac:dyDescent="0.25">
      <c r="A1029" s="25"/>
      <c r="B1029" s="26" t="s">
        <v>1258</v>
      </c>
      <c r="C1029" s="26"/>
      <c r="D1029" s="64" t="s">
        <v>1259</v>
      </c>
      <c r="E1029" s="28"/>
      <c r="F1029" s="28"/>
      <c r="G1029" s="28"/>
      <c r="H1029" s="28"/>
      <c r="I1029" s="28"/>
      <c r="J1029" s="28"/>
      <c r="K1029" s="28"/>
      <c r="L1029" s="28"/>
      <c r="M1029" s="28">
        <f>SUM(M1030:M1032)</f>
        <v>0</v>
      </c>
      <c r="N1029" s="28"/>
      <c r="O1029" s="28">
        <f t="shared" ref="O1029:AC1029" si="380">SUM(O1030:O1032)</f>
        <v>0</v>
      </c>
      <c r="P1029" s="28">
        <f t="shared" si="380"/>
        <v>0</v>
      </c>
      <c r="Q1029" s="28">
        <f t="shared" si="380"/>
        <v>0</v>
      </c>
      <c r="R1029" s="28">
        <f t="shared" si="380"/>
        <v>0</v>
      </c>
      <c r="S1029" s="28">
        <f t="shared" si="380"/>
        <v>0</v>
      </c>
      <c r="T1029" s="28"/>
      <c r="U1029" s="28">
        <f t="shared" si="380"/>
        <v>0</v>
      </c>
      <c r="V1029" s="28"/>
      <c r="W1029" s="28">
        <f t="shared" si="380"/>
        <v>0</v>
      </c>
      <c r="X1029" s="28"/>
      <c r="Y1029" s="28">
        <f t="shared" si="380"/>
        <v>0</v>
      </c>
      <c r="Z1029" s="28">
        <f t="shared" si="380"/>
        <v>0</v>
      </c>
      <c r="AA1029" s="28"/>
      <c r="AB1029" s="28">
        <f t="shared" si="380"/>
        <v>0</v>
      </c>
      <c r="AC1029" s="28">
        <f t="shared" si="380"/>
        <v>0</v>
      </c>
      <c r="AD1029" s="28"/>
      <c r="AE1029" s="28"/>
    </row>
    <row r="1030" spans="1:31" s="1" customFormat="1" hidden="1" x14ac:dyDescent="0.25">
      <c r="A1030" s="21"/>
      <c r="B1030" s="22"/>
      <c r="C1030" s="22"/>
      <c r="D1030" s="65"/>
      <c r="E1030" s="24"/>
      <c r="F1030" s="24"/>
      <c r="G1030" s="24"/>
      <c r="H1030" s="24"/>
      <c r="I1030" s="24"/>
      <c r="J1030" s="24"/>
      <c r="K1030" s="24"/>
      <c r="L1030" s="24"/>
      <c r="M1030" s="24"/>
      <c r="N1030" s="24"/>
      <c r="O1030" s="24"/>
      <c r="P1030" s="24"/>
      <c r="Q1030" s="24"/>
      <c r="R1030" s="24"/>
      <c r="S1030" s="24"/>
      <c r="T1030" s="24"/>
      <c r="U1030" s="24"/>
      <c r="V1030" s="24"/>
      <c r="W1030" s="24"/>
      <c r="X1030" s="24"/>
      <c r="Y1030" s="24"/>
      <c r="Z1030" s="24"/>
      <c r="AA1030" s="24"/>
      <c r="AB1030" s="24"/>
      <c r="AC1030" s="24"/>
      <c r="AD1030" s="24"/>
      <c r="AE1030" s="24"/>
    </row>
    <row r="1031" spans="1:31" s="1" customFormat="1" hidden="1" x14ac:dyDescent="0.25">
      <c r="A1031" s="21"/>
      <c r="B1031" s="22"/>
      <c r="C1031" s="22"/>
      <c r="D1031" s="65"/>
      <c r="E1031" s="24"/>
      <c r="F1031" s="24"/>
      <c r="G1031" s="24"/>
      <c r="H1031" s="24"/>
      <c r="I1031" s="24"/>
      <c r="J1031" s="24"/>
      <c r="K1031" s="24"/>
      <c r="L1031" s="24"/>
      <c r="M1031" s="24"/>
      <c r="N1031" s="24"/>
      <c r="O1031" s="24"/>
      <c r="P1031" s="24"/>
      <c r="Q1031" s="24"/>
      <c r="R1031" s="24"/>
      <c r="S1031" s="24"/>
      <c r="T1031" s="24"/>
      <c r="U1031" s="24"/>
      <c r="V1031" s="24"/>
      <c r="W1031" s="24"/>
      <c r="X1031" s="24"/>
      <c r="Y1031" s="24"/>
      <c r="Z1031" s="24"/>
      <c r="AA1031" s="24"/>
      <c r="AB1031" s="24"/>
      <c r="AC1031" s="24"/>
      <c r="AD1031" s="24"/>
      <c r="AE1031" s="24"/>
    </row>
    <row r="1032" spans="1:31" s="1" customFormat="1" hidden="1" x14ac:dyDescent="0.25">
      <c r="A1032" s="21"/>
      <c r="B1032" s="22"/>
      <c r="C1032" s="22"/>
      <c r="D1032" s="65"/>
      <c r="E1032" s="24"/>
      <c r="F1032" s="24"/>
      <c r="G1032" s="24"/>
      <c r="H1032" s="24"/>
      <c r="I1032" s="24"/>
      <c r="J1032" s="24"/>
      <c r="K1032" s="24"/>
      <c r="L1032" s="24"/>
      <c r="M1032" s="24"/>
      <c r="N1032" s="24"/>
      <c r="O1032" s="24"/>
      <c r="P1032" s="24"/>
      <c r="Q1032" s="24"/>
      <c r="R1032" s="24"/>
      <c r="S1032" s="24"/>
      <c r="T1032" s="24"/>
      <c r="U1032" s="24"/>
      <c r="V1032" s="24"/>
      <c r="W1032" s="24"/>
      <c r="X1032" s="24"/>
      <c r="Y1032" s="24"/>
      <c r="Z1032" s="24"/>
      <c r="AA1032" s="24"/>
      <c r="AB1032" s="24"/>
      <c r="AC1032" s="24"/>
      <c r="AD1032" s="24"/>
      <c r="AE1032" s="24"/>
    </row>
    <row r="1033" spans="1:31" s="1" customFormat="1" hidden="1" x14ac:dyDescent="0.25">
      <c r="A1033" s="17"/>
      <c r="B1033" s="18" t="s">
        <v>1260</v>
      </c>
      <c r="C1033" s="18"/>
      <c r="D1033" s="84" t="s">
        <v>1261</v>
      </c>
      <c r="E1033" s="20"/>
      <c r="F1033" s="20"/>
      <c r="G1033" s="20"/>
      <c r="H1033" s="20"/>
      <c r="I1033" s="20"/>
      <c r="J1033" s="20"/>
      <c r="K1033" s="20"/>
      <c r="L1033" s="20"/>
      <c r="M1033" s="20">
        <f>SUM(M1034+M1036)</f>
        <v>0</v>
      </c>
      <c r="N1033" s="20"/>
      <c r="O1033" s="20">
        <f>O1034+O1036</f>
        <v>0</v>
      </c>
      <c r="P1033" s="20">
        <f>P1034+P1036</f>
        <v>0</v>
      </c>
      <c r="Q1033" s="20">
        <f>Q1034+Q1036</f>
        <v>0</v>
      </c>
      <c r="R1033" s="20">
        <f>R1034+R1036</f>
        <v>0</v>
      </c>
      <c r="S1033" s="20">
        <f>S1034+S1036</f>
        <v>0</v>
      </c>
      <c r="T1033" s="20"/>
      <c r="U1033" s="20">
        <f>U1034+U1036</f>
        <v>0</v>
      </c>
      <c r="V1033" s="20"/>
      <c r="W1033" s="20">
        <f>W1034+W1036</f>
        <v>0</v>
      </c>
      <c r="X1033" s="20"/>
      <c r="Y1033" s="20">
        <f>Y1034+Y1036</f>
        <v>0</v>
      </c>
      <c r="Z1033" s="20">
        <f>Z1034+Z1036</f>
        <v>0</v>
      </c>
      <c r="AA1033" s="20"/>
      <c r="AB1033" s="20">
        <f>AB1034+AB1036</f>
        <v>0</v>
      </c>
      <c r="AC1033" s="20">
        <f>AC1034+AC1036</f>
        <v>0</v>
      </c>
      <c r="AD1033" s="20"/>
      <c r="AE1033" s="20"/>
    </row>
    <row r="1034" spans="1:31" s="1" customFormat="1" hidden="1" x14ac:dyDescent="0.25">
      <c r="A1034" s="25"/>
      <c r="B1034" s="26" t="s">
        <v>1262</v>
      </c>
      <c r="C1034" s="26"/>
      <c r="D1034" s="64" t="s">
        <v>1261</v>
      </c>
      <c r="E1034" s="28"/>
      <c r="F1034" s="28"/>
      <c r="G1034" s="28"/>
      <c r="H1034" s="28"/>
      <c r="I1034" s="28"/>
      <c r="J1034" s="28"/>
      <c r="K1034" s="28"/>
      <c r="L1034" s="28"/>
      <c r="M1034" s="28">
        <f>SUM(M1035:M1035)</f>
        <v>0</v>
      </c>
      <c r="N1034" s="28"/>
      <c r="O1034" s="28">
        <f>SUM(O1035:O1035)</f>
        <v>0</v>
      </c>
      <c r="P1034" s="28">
        <f>SUM(P1035:P1035)</f>
        <v>0</v>
      </c>
      <c r="Q1034" s="28">
        <f>SUM(Q1035:Q1035)</f>
        <v>0</v>
      </c>
      <c r="R1034" s="28">
        <f>SUM(R1035:R1035)</f>
        <v>0</v>
      </c>
      <c r="S1034" s="28">
        <f>SUM(S1035:S1035)</f>
        <v>0</v>
      </c>
      <c r="T1034" s="28"/>
      <c r="U1034" s="28">
        <f>SUM(U1035:U1035)</f>
        <v>0</v>
      </c>
      <c r="V1034" s="28"/>
      <c r="W1034" s="28">
        <f>SUM(W1035:W1035)</f>
        <v>0</v>
      </c>
      <c r="X1034" s="28"/>
      <c r="Y1034" s="28">
        <f>SUM(Y1035:Y1035)</f>
        <v>0</v>
      </c>
      <c r="Z1034" s="28">
        <f>SUM(Z1035:Z1035)</f>
        <v>0</v>
      </c>
      <c r="AA1034" s="28"/>
      <c r="AB1034" s="28">
        <f>SUM(AB1035:AB1035)</f>
        <v>0</v>
      </c>
      <c r="AC1034" s="28">
        <f>SUM(AC1035:AC1035)</f>
        <v>0</v>
      </c>
      <c r="AD1034" s="28"/>
      <c r="AE1034" s="28"/>
    </row>
    <row r="1035" spans="1:31" s="1" customFormat="1" hidden="1" x14ac:dyDescent="0.25">
      <c r="A1035" s="21"/>
      <c r="B1035" s="22"/>
      <c r="C1035" s="22"/>
      <c r="D1035" s="65"/>
      <c r="E1035" s="24"/>
      <c r="F1035" s="24"/>
      <c r="G1035" s="24"/>
      <c r="H1035" s="24"/>
      <c r="I1035" s="24"/>
      <c r="J1035" s="24"/>
      <c r="K1035" s="24"/>
      <c r="L1035" s="24"/>
      <c r="M1035" s="24"/>
      <c r="N1035" s="24"/>
      <c r="O1035" s="24"/>
      <c r="P1035" s="24"/>
      <c r="Q1035" s="24"/>
      <c r="R1035" s="24"/>
      <c r="S1035" s="24"/>
      <c r="T1035" s="24"/>
      <c r="U1035" s="24"/>
      <c r="V1035" s="24"/>
      <c r="W1035" s="24"/>
      <c r="X1035" s="24"/>
      <c r="Y1035" s="24"/>
      <c r="Z1035" s="24"/>
      <c r="AA1035" s="24"/>
      <c r="AB1035" s="24"/>
      <c r="AC1035" s="24"/>
      <c r="AD1035" s="24"/>
      <c r="AE1035" s="24"/>
    </row>
    <row r="1036" spans="1:31" s="1" customFormat="1" hidden="1" x14ac:dyDescent="0.25">
      <c r="A1036" s="25"/>
      <c r="B1036" s="26" t="s">
        <v>1263</v>
      </c>
      <c r="C1036" s="26"/>
      <c r="D1036" s="64" t="s">
        <v>1264</v>
      </c>
      <c r="E1036" s="28"/>
      <c r="F1036" s="28"/>
      <c r="G1036" s="28"/>
      <c r="H1036" s="28"/>
      <c r="I1036" s="28"/>
      <c r="J1036" s="28"/>
      <c r="K1036" s="28"/>
      <c r="L1036" s="28"/>
      <c r="M1036" s="28">
        <f>SUM(M1037:M1039)</f>
        <v>0</v>
      </c>
      <c r="N1036" s="28"/>
      <c r="O1036" s="28">
        <f t="shared" ref="O1036:AC1036" si="381">SUM(O1037:O1039)</f>
        <v>0</v>
      </c>
      <c r="P1036" s="28">
        <f t="shared" si="381"/>
        <v>0</v>
      </c>
      <c r="Q1036" s="28">
        <f t="shared" si="381"/>
        <v>0</v>
      </c>
      <c r="R1036" s="28">
        <f t="shared" si="381"/>
        <v>0</v>
      </c>
      <c r="S1036" s="28">
        <f t="shared" si="381"/>
        <v>0</v>
      </c>
      <c r="T1036" s="28"/>
      <c r="U1036" s="28">
        <f t="shared" si="381"/>
        <v>0</v>
      </c>
      <c r="V1036" s="28"/>
      <c r="W1036" s="28">
        <f t="shared" si="381"/>
        <v>0</v>
      </c>
      <c r="X1036" s="28"/>
      <c r="Y1036" s="28">
        <f t="shared" si="381"/>
        <v>0</v>
      </c>
      <c r="Z1036" s="28">
        <f t="shared" si="381"/>
        <v>0</v>
      </c>
      <c r="AA1036" s="28"/>
      <c r="AB1036" s="28">
        <f t="shared" si="381"/>
        <v>0</v>
      </c>
      <c r="AC1036" s="28">
        <f t="shared" si="381"/>
        <v>0</v>
      </c>
      <c r="AD1036" s="28"/>
      <c r="AE1036" s="28"/>
    </row>
    <row r="1037" spans="1:31" s="1" customFormat="1" hidden="1" x14ac:dyDescent="0.25">
      <c r="A1037" s="21"/>
      <c r="B1037" s="22"/>
      <c r="C1037" s="22"/>
      <c r="D1037" s="65"/>
      <c r="E1037" s="24"/>
      <c r="F1037" s="24"/>
      <c r="G1037" s="24"/>
      <c r="H1037" s="24"/>
      <c r="I1037" s="24"/>
      <c r="J1037" s="24"/>
      <c r="K1037" s="24"/>
      <c r="L1037" s="24"/>
      <c r="M1037" s="24"/>
      <c r="N1037" s="24"/>
      <c r="O1037" s="24"/>
      <c r="P1037" s="24"/>
      <c r="Q1037" s="24"/>
      <c r="R1037" s="24"/>
      <c r="S1037" s="24"/>
      <c r="T1037" s="24"/>
      <c r="U1037" s="24"/>
      <c r="V1037" s="24"/>
      <c r="W1037" s="24"/>
      <c r="X1037" s="24"/>
      <c r="Y1037" s="24"/>
      <c r="Z1037" s="24"/>
      <c r="AA1037" s="24"/>
      <c r="AB1037" s="24"/>
      <c r="AC1037" s="24"/>
      <c r="AD1037" s="24"/>
      <c r="AE1037" s="24"/>
    </row>
    <row r="1038" spans="1:31" s="1" customFormat="1" hidden="1" x14ac:dyDescent="0.25">
      <c r="A1038" s="21"/>
      <c r="B1038" s="22"/>
      <c r="C1038" s="22"/>
      <c r="D1038" s="65"/>
      <c r="E1038" s="24"/>
      <c r="F1038" s="24"/>
      <c r="G1038" s="24"/>
      <c r="H1038" s="24"/>
      <c r="I1038" s="24"/>
      <c r="J1038" s="24"/>
      <c r="K1038" s="24"/>
      <c r="L1038" s="24"/>
      <c r="M1038" s="24"/>
      <c r="N1038" s="24"/>
      <c r="O1038" s="24"/>
      <c r="P1038" s="24"/>
      <c r="Q1038" s="24"/>
      <c r="R1038" s="24"/>
      <c r="S1038" s="24"/>
      <c r="T1038" s="24"/>
      <c r="U1038" s="24"/>
      <c r="V1038" s="24"/>
      <c r="W1038" s="24"/>
      <c r="X1038" s="24"/>
      <c r="Y1038" s="24"/>
      <c r="Z1038" s="24"/>
      <c r="AA1038" s="24"/>
      <c r="AB1038" s="24"/>
      <c r="AC1038" s="24"/>
      <c r="AD1038" s="24"/>
      <c r="AE1038" s="24"/>
    </row>
    <row r="1039" spans="1:31" s="1" customFormat="1" hidden="1" x14ac:dyDescent="0.25">
      <c r="A1039" s="21"/>
      <c r="B1039" s="22"/>
      <c r="C1039" s="22"/>
      <c r="D1039" s="65"/>
      <c r="E1039" s="24"/>
      <c r="F1039" s="24"/>
      <c r="G1039" s="24"/>
      <c r="H1039" s="24"/>
      <c r="I1039" s="24"/>
      <c r="J1039" s="24"/>
      <c r="K1039" s="24"/>
      <c r="L1039" s="24"/>
      <c r="M1039" s="24"/>
      <c r="N1039" s="24"/>
      <c r="O1039" s="24"/>
      <c r="P1039" s="24"/>
      <c r="Q1039" s="24"/>
      <c r="R1039" s="24"/>
      <c r="S1039" s="24"/>
      <c r="T1039" s="24"/>
      <c r="U1039" s="24"/>
      <c r="V1039" s="24"/>
      <c r="W1039" s="24"/>
      <c r="X1039" s="24"/>
      <c r="Y1039" s="24"/>
      <c r="Z1039" s="24"/>
      <c r="AA1039" s="24"/>
      <c r="AB1039" s="24"/>
      <c r="AC1039" s="24"/>
      <c r="AD1039" s="24"/>
      <c r="AE1039" s="24"/>
    </row>
    <row r="1040" spans="1:31" s="1" customFormat="1" hidden="1" x14ac:dyDescent="0.25">
      <c r="A1040" s="17"/>
      <c r="B1040" s="18" t="s">
        <v>1265</v>
      </c>
      <c r="C1040" s="18"/>
      <c r="D1040" s="84" t="s">
        <v>1266</v>
      </c>
      <c r="E1040" s="20"/>
      <c r="F1040" s="20"/>
      <c r="G1040" s="20"/>
      <c r="H1040" s="20"/>
      <c r="I1040" s="20"/>
      <c r="J1040" s="20"/>
      <c r="K1040" s="20"/>
      <c r="L1040" s="20"/>
      <c r="M1040" s="20">
        <f>SUM(M1041+M1043+M1045+M1047)</f>
        <v>0</v>
      </c>
      <c r="N1040" s="20"/>
      <c r="O1040" s="20">
        <f>O1041+O1043+O1045+O1047</f>
        <v>0</v>
      </c>
      <c r="P1040" s="20">
        <f>P1041+P1043+P1045+P1047</f>
        <v>0</v>
      </c>
      <c r="Q1040" s="20">
        <f>Q1041+Q1043+Q1045+Q1047</f>
        <v>0</v>
      </c>
      <c r="R1040" s="20">
        <f>R1041+R1043+R1045+R1047</f>
        <v>0</v>
      </c>
      <c r="S1040" s="20">
        <f>S1041+S1043+S1045+S1047</f>
        <v>0</v>
      </c>
      <c r="T1040" s="20"/>
      <c r="U1040" s="20">
        <f>U1041+U1043+U1045+U1047</f>
        <v>0</v>
      </c>
      <c r="V1040" s="20"/>
      <c r="W1040" s="20">
        <f>W1041+W1043+W1045+W1047</f>
        <v>0</v>
      </c>
      <c r="X1040" s="20"/>
      <c r="Y1040" s="20">
        <f>Y1041+Y1043+Y1045+Y1047</f>
        <v>0</v>
      </c>
      <c r="Z1040" s="20">
        <f>Z1041+Z1043+Z1045+Z1047</f>
        <v>0</v>
      </c>
      <c r="AA1040" s="20"/>
      <c r="AB1040" s="20">
        <f>AB1041+AB1043+AB1045+AB1047</f>
        <v>0</v>
      </c>
      <c r="AC1040" s="20">
        <f>AC1041+AC1043+AC1045+AC1047</f>
        <v>0</v>
      </c>
      <c r="AD1040" s="20"/>
      <c r="AE1040" s="20"/>
    </row>
    <row r="1041" spans="1:31" s="1" customFormat="1" hidden="1" x14ac:dyDescent="0.25">
      <c r="A1041" s="25"/>
      <c r="B1041" s="26" t="s">
        <v>1267</v>
      </c>
      <c r="C1041" s="26"/>
      <c r="D1041" s="64" t="s">
        <v>1268</v>
      </c>
      <c r="E1041" s="28"/>
      <c r="F1041" s="28"/>
      <c r="G1041" s="28"/>
      <c r="H1041" s="28"/>
      <c r="I1041" s="28"/>
      <c r="J1041" s="28"/>
      <c r="K1041" s="28"/>
      <c r="L1041" s="28"/>
      <c r="M1041" s="28">
        <f>SUM(M1042:M1042)</f>
        <v>0</v>
      </c>
      <c r="N1041" s="28"/>
      <c r="O1041" s="28">
        <f>SUM(O1042:O1042)</f>
        <v>0</v>
      </c>
      <c r="P1041" s="28">
        <f>SUM(P1042:P1042)</f>
        <v>0</v>
      </c>
      <c r="Q1041" s="28">
        <f>SUM(Q1042:Q1042)</f>
        <v>0</v>
      </c>
      <c r="R1041" s="28">
        <f>SUM(R1042:R1042)</f>
        <v>0</v>
      </c>
      <c r="S1041" s="28">
        <f>SUM(S1042:S1042)</f>
        <v>0</v>
      </c>
      <c r="T1041" s="28"/>
      <c r="U1041" s="28">
        <f>SUM(U1042:U1042)</f>
        <v>0</v>
      </c>
      <c r="V1041" s="28"/>
      <c r="W1041" s="28">
        <f>SUM(W1042:W1042)</f>
        <v>0</v>
      </c>
      <c r="X1041" s="28"/>
      <c r="Y1041" s="28">
        <f>SUM(Y1042:Y1042)</f>
        <v>0</v>
      </c>
      <c r="Z1041" s="28">
        <f>SUM(Z1042:Z1042)</f>
        <v>0</v>
      </c>
      <c r="AA1041" s="28"/>
      <c r="AB1041" s="28">
        <f>SUM(AB1042:AB1042)</f>
        <v>0</v>
      </c>
      <c r="AC1041" s="28">
        <f>SUM(AC1042:AC1042)</f>
        <v>0</v>
      </c>
      <c r="AD1041" s="28"/>
      <c r="AE1041" s="28"/>
    </row>
    <row r="1042" spans="1:31" s="1" customFormat="1" hidden="1" x14ac:dyDescent="0.25">
      <c r="A1042" s="21"/>
      <c r="B1042" s="22"/>
      <c r="C1042" s="22"/>
      <c r="D1042" s="65"/>
      <c r="E1042" s="24"/>
      <c r="F1042" s="24"/>
      <c r="G1042" s="24"/>
      <c r="H1042" s="24"/>
      <c r="I1042" s="24"/>
      <c r="J1042" s="24"/>
      <c r="K1042" s="24"/>
      <c r="L1042" s="24"/>
      <c r="M1042" s="24"/>
      <c r="N1042" s="24"/>
      <c r="O1042" s="24"/>
      <c r="P1042" s="24"/>
      <c r="Q1042" s="24"/>
      <c r="R1042" s="24"/>
      <c r="S1042" s="24"/>
      <c r="T1042" s="24"/>
      <c r="U1042" s="24"/>
      <c r="V1042" s="24"/>
      <c r="W1042" s="24"/>
      <c r="X1042" s="24"/>
      <c r="Y1042" s="24"/>
      <c r="Z1042" s="24"/>
      <c r="AA1042" s="24"/>
      <c r="AB1042" s="24"/>
      <c r="AC1042" s="24"/>
      <c r="AD1042" s="24"/>
      <c r="AE1042" s="24"/>
    </row>
    <row r="1043" spans="1:31" s="1" customFormat="1" hidden="1" x14ac:dyDescent="0.25">
      <c r="A1043" s="25"/>
      <c r="B1043" s="26" t="s">
        <v>1269</v>
      </c>
      <c r="C1043" s="26"/>
      <c r="D1043" s="64" t="s">
        <v>1270</v>
      </c>
      <c r="E1043" s="28"/>
      <c r="F1043" s="28"/>
      <c r="G1043" s="28"/>
      <c r="H1043" s="28"/>
      <c r="I1043" s="28"/>
      <c r="J1043" s="28"/>
      <c r="K1043" s="28"/>
      <c r="L1043" s="28"/>
      <c r="M1043" s="28">
        <f>SUM(M1044:M1044)</f>
        <v>0</v>
      </c>
      <c r="N1043" s="28"/>
      <c r="O1043" s="28">
        <f>SUM(O1044:O1044)</f>
        <v>0</v>
      </c>
      <c r="P1043" s="28">
        <f>SUM(P1044:P1044)</f>
        <v>0</v>
      </c>
      <c r="Q1043" s="28">
        <f>SUM(Q1044:Q1044)</f>
        <v>0</v>
      </c>
      <c r="R1043" s="28">
        <f>SUM(R1044:R1044)</f>
        <v>0</v>
      </c>
      <c r="S1043" s="28">
        <f>SUM(S1044:S1044)</f>
        <v>0</v>
      </c>
      <c r="T1043" s="28"/>
      <c r="U1043" s="28">
        <f>SUM(U1044:U1044)</f>
        <v>0</v>
      </c>
      <c r="V1043" s="28"/>
      <c r="W1043" s="28">
        <f>SUM(W1044:W1044)</f>
        <v>0</v>
      </c>
      <c r="X1043" s="28"/>
      <c r="Y1043" s="28">
        <f>SUM(Y1044:Y1044)</f>
        <v>0</v>
      </c>
      <c r="Z1043" s="28">
        <f>SUM(Z1044:Z1044)</f>
        <v>0</v>
      </c>
      <c r="AA1043" s="28"/>
      <c r="AB1043" s="28">
        <f>SUM(AB1044:AB1044)</f>
        <v>0</v>
      </c>
      <c r="AC1043" s="28">
        <f>SUM(AC1044:AC1044)</f>
        <v>0</v>
      </c>
      <c r="AD1043" s="28"/>
      <c r="AE1043" s="28"/>
    </row>
    <row r="1044" spans="1:31" s="1" customFormat="1" hidden="1" x14ac:dyDescent="0.25">
      <c r="A1044" s="21"/>
      <c r="B1044" s="22"/>
      <c r="C1044" s="22"/>
      <c r="D1044" s="65"/>
      <c r="E1044" s="24"/>
      <c r="F1044" s="24"/>
      <c r="G1044" s="24"/>
      <c r="H1044" s="24"/>
      <c r="I1044" s="24"/>
      <c r="J1044" s="24"/>
      <c r="K1044" s="24"/>
      <c r="L1044" s="24"/>
      <c r="M1044" s="24"/>
      <c r="N1044" s="24"/>
      <c r="O1044" s="24"/>
      <c r="P1044" s="24"/>
      <c r="Q1044" s="24"/>
      <c r="R1044" s="24"/>
      <c r="S1044" s="24"/>
      <c r="T1044" s="24"/>
      <c r="U1044" s="24"/>
      <c r="V1044" s="24"/>
      <c r="W1044" s="24"/>
      <c r="X1044" s="24"/>
      <c r="Y1044" s="24"/>
      <c r="Z1044" s="24"/>
      <c r="AA1044" s="24"/>
      <c r="AB1044" s="24"/>
      <c r="AC1044" s="24"/>
      <c r="AD1044" s="24"/>
      <c r="AE1044" s="24"/>
    </row>
    <row r="1045" spans="1:31" s="1" customFormat="1" hidden="1" x14ac:dyDescent="0.25">
      <c r="A1045" s="25"/>
      <c r="B1045" s="26" t="s">
        <v>1271</v>
      </c>
      <c r="C1045" s="26"/>
      <c r="D1045" s="64" t="s">
        <v>1272</v>
      </c>
      <c r="E1045" s="28"/>
      <c r="F1045" s="28"/>
      <c r="G1045" s="28"/>
      <c r="H1045" s="28"/>
      <c r="I1045" s="28"/>
      <c r="J1045" s="28"/>
      <c r="K1045" s="28"/>
      <c r="L1045" s="28"/>
      <c r="M1045" s="28">
        <f>SUM(M1046:M1046)</f>
        <v>0</v>
      </c>
      <c r="N1045" s="28"/>
      <c r="O1045" s="28">
        <f>SUM(O1046:O1046)</f>
        <v>0</v>
      </c>
      <c r="P1045" s="28">
        <f>SUM(P1046:P1046)</f>
        <v>0</v>
      </c>
      <c r="Q1045" s="28">
        <f>SUM(Q1046:Q1046)</f>
        <v>0</v>
      </c>
      <c r="R1045" s="28">
        <f>SUM(R1046:R1046)</f>
        <v>0</v>
      </c>
      <c r="S1045" s="28">
        <f>SUM(S1046:S1046)</f>
        <v>0</v>
      </c>
      <c r="T1045" s="28"/>
      <c r="U1045" s="28">
        <f>SUM(U1046:U1046)</f>
        <v>0</v>
      </c>
      <c r="V1045" s="28"/>
      <c r="W1045" s="28">
        <f>SUM(W1046:W1046)</f>
        <v>0</v>
      </c>
      <c r="X1045" s="28"/>
      <c r="Y1045" s="28">
        <f>SUM(Y1046:Y1046)</f>
        <v>0</v>
      </c>
      <c r="Z1045" s="28">
        <f>SUM(Z1046:Z1046)</f>
        <v>0</v>
      </c>
      <c r="AA1045" s="28"/>
      <c r="AB1045" s="28">
        <f>SUM(AB1046:AB1046)</f>
        <v>0</v>
      </c>
      <c r="AC1045" s="28">
        <f>SUM(AC1046:AC1046)</f>
        <v>0</v>
      </c>
      <c r="AD1045" s="28"/>
      <c r="AE1045" s="28"/>
    </row>
    <row r="1046" spans="1:31" s="1" customFormat="1" hidden="1" x14ac:dyDescent="0.25">
      <c r="A1046" s="21"/>
      <c r="B1046" s="22"/>
      <c r="C1046" s="22"/>
      <c r="D1046" s="65"/>
      <c r="E1046" s="24"/>
      <c r="F1046" s="24"/>
      <c r="G1046" s="24"/>
      <c r="H1046" s="24"/>
      <c r="I1046" s="24"/>
      <c r="J1046" s="24"/>
      <c r="K1046" s="24"/>
      <c r="L1046" s="24"/>
      <c r="M1046" s="24"/>
      <c r="N1046" s="24"/>
      <c r="O1046" s="24"/>
      <c r="P1046" s="24"/>
      <c r="Q1046" s="24"/>
      <c r="R1046" s="24"/>
      <c r="S1046" s="24"/>
      <c r="T1046" s="24"/>
      <c r="U1046" s="24"/>
      <c r="V1046" s="24"/>
      <c r="W1046" s="24"/>
      <c r="X1046" s="24"/>
      <c r="Y1046" s="24"/>
      <c r="Z1046" s="24"/>
      <c r="AA1046" s="24"/>
      <c r="AB1046" s="24"/>
      <c r="AC1046" s="24"/>
      <c r="AD1046" s="24"/>
      <c r="AE1046" s="24"/>
    </row>
    <row r="1047" spans="1:31" s="1" customFormat="1" hidden="1" x14ac:dyDescent="0.25">
      <c r="A1047" s="25"/>
      <c r="B1047" s="26" t="s">
        <v>1273</v>
      </c>
      <c r="C1047" s="26"/>
      <c r="D1047" s="64" t="s">
        <v>1274</v>
      </c>
      <c r="E1047" s="28"/>
      <c r="F1047" s="28"/>
      <c r="G1047" s="28"/>
      <c r="H1047" s="28"/>
      <c r="I1047" s="28"/>
      <c r="J1047" s="28"/>
      <c r="K1047" s="28"/>
      <c r="L1047" s="28"/>
      <c r="M1047" s="28">
        <f>SUM(M1048:M1048)</f>
        <v>0</v>
      </c>
      <c r="N1047" s="28"/>
      <c r="O1047" s="28">
        <f>SUM(O1048:O1048)</f>
        <v>0</v>
      </c>
      <c r="P1047" s="28">
        <f>SUM(P1048:P1048)</f>
        <v>0</v>
      </c>
      <c r="Q1047" s="28">
        <f>SUM(Q1048:Q1048)</f>
        <v>0</v>
      </c>
      <c r="R1047" s="28">
        <f>SUM(R1048:R1048)</f>
        <v>0</v>
      </c>
      <c r="S1047" s="28">
        <f>SUM(S1048:S1048)</f>
        <v>0</v>
      </c>
      <c r="T1047" s="28"/>
      <c r="U1047" s="28">
        <f>SUM(U1048:U1048)</f>
        <v>0</v>
      </c>
      <c r="V1047" s="28"/>
      <c r="W1047" s="28">
        <f>SUM(W1048:W1048)</f>
        <v>0</v>
      </c>
      <c r="X1047" s="28"/>
      <c r="Y1047" s="28">
        <f>SUM(Y1048:Y1048)</f>
        <v>0</v>
      </c>
      <c r="Z1047" s="28">
        <f>SUM(Z1048:Z1048)</f>
        <v>0</v>
      </c>
      <c r="AA1047" s="28"/>
      <c r="AB1047" s="28">
        <f>SUM(AB1048:AB1048)</f>
        <v>0</v>
      </c>
      <c r="AC1047" s="28">
        <f>SUM(AC1048:AC1048)</f>
        <v>0</v>
      </c>
      <c r="AD1047" s="28"/>
      <c r="AE1047" s="28"/>
    </row>
    <row r="1048" spans="1:31" s="1" customFormat="1" hidden="1" x14ac:dyDescent="0.25">
      <c r="A1048" s="21"/>
      <c r="B1048" s="22"/>
      <c r="C1048" s="22"/>
      <c r="D1048" s="65"/>
      <c r="E1048" s="24"/>
      <c r="F1048" s="24"/>
      <c r="G1048" s="24"/>
      <c r="H1048" s="24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  <c r="S1048" s="24"/>
      <c r="T1048" s="24"/>
      <c r="U1048" s="24"/>
      <c r="V1048" s="24"/>
      <c r="W1048" s="24"/>
      <c r="X1048" s="24"/>
      <c r="Y1048" s="24"/>
      <c r="Z1048" s="24"/>
      <c r="AA1048" s="24"/>
      <c r="AB1048" s="24"/>
      <c r="AC1048" s="24"/>
      <c r="AD1048" s="24"/>
      <c r="AE1048" s="24"/>
    </row>
    <row r="1049" spans="1:31" s="1" customFormat="1" hidden="1" x14ac:dyDescent="0.25">
      <c r="A1049" s="17"/>
      <c r="B1049" s="18" t="s">
        <v>1275</v>
      </c>
      <c r="C1049" s="18"/>
      <c r="D1049" s="84" t="s">
        <v>1276</v>
      </c>
      <c r="E1049" s="20"/>
      <c r="F1049" s="20"/>
      <c r="G1049" s="20"/>
      <c r="H1049" s="20"/>
      <c r="I1049" s="20"/>
      <c r="J1049" s="20"/>
      <c r="K1049" s="20"/>
      <c r="L1049" s="20"/>
      <c r="M1049" s="20">
        <f>SUM(M1050)</f>
        <v>0</v>
      </c>
      <c r="N1049" s="20"/>
      <c r="O1049" s="20">
        <f t="shared" ref="O1049:AC1049" si="382">O1050</f>
        <v>0</v>
      </c>
      <c r="P1049" s="20">
        <f t="shared" si="382"/>
        <v>0</v>
      </c>
      <c r="Q1049" s="20">
        <f t="shared" si="382"/>
        <v>0</v>
      </c>
      <c r="R1049" s="20">
        <f t="shared" si="382"/>
        <v>0</v>
      </c>
      <c r="S1049" s="20">
        <f t="shared" si="382"/>
        <v>0</v>
      </c>
      <c r="T1049" s="20"/>
      <c r="U1049" s="20">
        <f t="shared" si="382"/>
        <v>0</v>
      </c>
      <c r="V1049" s="20"/>
      <c r="W1049" s="20">
        <f t="shared" si="382"/>
        <v>0</v>
      </c>
      <c r="X1049" s="20"/>
      <c r="Y1049" s="20">
        <f t="shared" si="382"/>
        <v>0</v>
      </c>
      <c r="Z1049" s="20">
        <f t="shared" si="382"/>
        <v>0</v>
      </c>
      <c r="AA1049" s="20"/>
      <c r="AB1049" s="20">
        <f t="shared" si="382"/>
        <v>0</v>
      </c>
      <c r="AC1049" s="20">
        <f t="shared" si="382"/>
        <v>0</v>
      </c>
      <c r="AD1049" s="20"/>
      <c r="AE1049" s="20"/>
    </row>
    <row r="1050" spans="1:31" s="1" customFormat="1" ht="25.5" hidden="1" x14ac:dyDescent="0.25">
      <c r="A1050" s="25"/>
      <c r="B1050" s="26" t="s">
        <v>1277</v>
      </c>
      <c r="C1050" s="26"/>
      <c r="D1050" s="64" t="s">
        <v>1278</v>
      </c>
      <c r="E1050" s="28"/>
      <c r="F1050" s="28"/>
      <c r="G1050" s="28"/>
      <c r="H1050" s="28"/>
      <c r="I1050" s="28"/>
      <c r="J1050" s="28"/>
      <c r="K1050" s="28"/>
      <c r="L1050" s="28"/>
      <c r="M1050" s="28">
        <f>SUM(M1051:M1051)</f>
        <v>0</v>
      </c>
      <c r="N1050" s="28"/>
      <c r="O1050" s="28">
        <f>SUM(O1051:O1051)</f>
        <v>0</v>
      </c>
      <c r="P1050" s="28">
        <f>SUM(P1051:P1051)</f>
        <v>0</v>
      </c>
      <c r="Q1050" s="28">
        <f>SUM(Q1051:Q1051)</f>
        <v>0</v>
      </c>
      <c r="R1050" s="28">
        <f>SUM(R1051:R1051)</f>
        <v>0</v>
      </c>
      <c r="S1050" s="28">
        <f>SUM(S1051:S1051)</f>
        <v>0</v>
      </c>
      <c r="T1050" s="28"/>
      <c r="U1050" s="28">
        <f>SUM(U1051:U1051)</f>
        <v>0</v>
      </c>
      <c r="V1050" s="28"/>
      <c r="W1050" s="28">
        <f>SUM(W1051:W1051)</f>
        <v>0</v>
      </c>
      <c r="X1050" s="28"/>
      <c r="Y1050" s="28">
        <f>SUM(Y1051:Y1051)</f>
        <v>0</v>
      </c>
      <c r="Z1050" s="28">
        <f>SUM(Z1051:Z1051)</f>
        <v>0</v>
      </c>
      <c r="AA1050" s="28"/>
      <c r="AB1050" s="28">
        <f>SUM(AB1051:AB1051)</f>
        <v>0</v>
      </c>
      <c r="AC1050" s="28">
        <f>SUM(AC1051:AC1051)</f>
        <v>0</v>
      </c>
      <c r="AD1050" s="28"/>
      <c r="AE1050" s="28"/>
    </row>
    <row r="1051" spans="1:31" s="1" customFormat="1" hidden="1" x14ac:dyDescent="0.25">
      <c r="A1051" s="21"/>
      <c r="B1051" s="22"/>
      <c r="C1051" s="22"/>
      <c r="D1051" s="65"/>
      <c r="E1051" s="24"/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  <c r="S1051" s="24"/>
      <c r="T1051" s="24"/>
      <c r="U1051" s="24"/>
      <c r="V1051" s="24"/>
      <c r="W1051" s="24"/>
      <c r="X1051" s="24"/>
      <c r="Y1051" s="24"/>
      <c r="Z1051" s="24"/>
      <c r="AA1051" s="24"/>
      <c r="AB1051" s="24"/>
      <c r="AC1051" s="24"/>
      <c r="AD1051" s="24"/>
      <c r="AE1051" s="24"/>
    </row>
    <row r="1052" spans="1:31" s="1" customFormat="1" hidden="1" x14ac:dyDescent="0.25">
      <c r="A1052" s="17"/>
      <c r="B1052" s="18" t="s">
        <v>1279</v>
      </c>
      <c r="C1052" s="18"/>
      <c r="D1052" s="84" t="s">
        <v>1280</v>
      </c>
      <c r="E1052" s="20"/>
      <c r="F1052" s="20"/>
      <c r="G1052" s="20"/>
      <c r="H1052" s="20"/>
      <c r="I1052" s="20"/>
      <c r="J1052" s="20"/>
      <c r="K1052" s="20"/>
      <c r="L1052" s="20"/>
      <c r="M1052" s="20">
        <f>SUM(M1053)</f>
        <v>0</v>
      </c>
      <c r="N1052" s="20"/>
      <c r="O1052" s="20">
        <f t="shared" ref="O1052:AC1052" si="383">O1053</f>
        <v>0</v>
      </c>
      <c r="P1052" s="20">
        <f t="shared" si="383"/>
        <v>0</v>
      </c>
      <c r="Q1052" s="20">
        <f t="shared" si="383"/>
        <v>0</v>
      </c>
      <c r="R1052" s="20">
        <f t="shared" si="383"/>
        <v>0</v>
      </c>
      <c r="S1052" s="20">
        <f t="shared" si="383"/>
        <v>0</v>
      </c>
      <c r="T1052" s="20"/>
      <c r="U1052" s="20">
        <f t="shared" si="383"/>
        <v>0</v>
      </c>
      <c r="V1052" s="20"/>
      <c r="W1052" s="20">
        <f t="shared" si="383"/>
        <v>0</v>
      </c>
      <c r="X1052" s="20"/>
      <c r="Y1052" s="20">
        <f t="shared" si="383"/>
        <v>0</v>
      </c>
      <c r="Z1052" s="20">
        <f t="shared" si="383"/>
        <v>0</v>
      </c>
      <c r="AA1052" s="20"/>
      <c r="AB1052" s="20">
        <f t="shared" si="383"/>
        <v>0</v>
      </c>
      <c r="AC1052" s="20">
        <f t="shared" si="383"/>
        <v>0</v>
      </c>
      <c r="AD1052" s="20"/>
      <c r="AE1052" s="20"/>
    </row>
    <row r="1053" spans="1:31" s="1" customFormat="1" ht="25.5" hidden="1" x14ac:dyDescent="0.25">
      <c r="A1053" s="25"/>
      <c r="B1053" s="26" t="s">
        <v>1281</v>
      </c>
      <c r="C1053" s="26"/>
      <c r="D1053" s="64" t="s">
        <v>1282</v>
      </c>
      <c r="E1053" s="28"/>
      <c r="F1053" s="28"/>
      <c r="G1053" s="28"/>
      <c r="H1053" s="28"/>
      <c r="I1053" s="28"/>
      <c r="J1053" s="28"/>
      <c r="K1053" s="28"/>
      <c r="L1053" s="28"/>
      <c r="M1053" s="28">
        <f>SUM(M1054:M1054)</f>
        <v>0</v>
      </c>
      <c r="N1053" s="28"/>
      <c r="O1053" s="28">
        <f>SUM(O1054:O1054)</f>
        <v>0</v>
      </c>
      <c r="P1053" s="28">
        <f>SUM(P1054:P1054)</f>
        <v>0</v>
      </c>
      <c r="Q1053" s="28">
        <f>SUM(Q1054:Q1054)</f>
        <v>0</v>
      </c>
      <c r="R1053" s="28">
        <f>SUM(R1054:R1054)</f>
        <v>0</v>
      </c>
      <c r="S1053" s="28">
        <f>SUM(S1054:S1054)</f>
        <v>0</v>
      </c>
      <c r="T1053" s="28"/>
      <c r="U1053" s="28">
        <f>SUM(U1054:U1054)</f>
        <v>0</v>
      </c>
      <c r="V1053" s="28"/>
      <c r="W1053" s="28">
        <f>SUM(W1054:W1054)</f>
        <v>0</v>
      </c>
      <c r="X1053" s="28"/>
      <c r="Y1053" s="28">
        <f>SUM(Y1054:Y1054)</f>
        <v>0</v>
      </c>
      <c r="Z1053" s="28">
        <f>SUM(Z1054:Z1054)</f>
        <v>0</v>
      </c>
      <c r="AA1053" s="28"/>
      <c r="AB1053" s="28">
        <f>SUM(AB1054:AB1054)</f>
        <v>0</v>
      </c>
      <c r="AC1053" s="28">
        <f>SUM(AC1054:AC1054)</f>
        <v>0</v>
      </c>
      <c r="AD1053" s="28"/>
      <c r="AE1053" s="28"/>
    </row>
    <row r="1054" spans="1:31" s="1" customFormat="1" hidden="1" x14ac:dyDescent="0.25">
      <c r="A1054" s="21"/>
      <c r="B1054" s="22"/>
      <c r="C1054" s="22"/>
      <c r="D1054" s="65"/>
      <c r="E1054" s="24"/>
      <c r="F1054" s="24"/>
      <c r="G1054" s="24"/>
      <c r="H1054" s="24"/>
      <c r="I1054" s="24"/>
      <c r="J1054" s="24"/>
      <c r="K1054" s="24"/>
      <c r="L1054" s="24"/>
      <c r="M1054" s="24"/>
      <c r="N1054" s="24"/>
      <c r="O1054" s="24"/>
      <c r="P1054" s="24"/>
      <c r="Q1054" s="24"/>
      <c r="R1054" s="24"/>
      <c r="S1054" s="24"/>
      <c r="T1054" s="24"/>
      <c r="U1054" s="24"/>
      <c r="V1054" s="24"/>
      <c r="W1054" s="24"/>
      <c r="X1054" s="24"/>
      <c r="Y1054" s="24"/>
      <c r="Z1054" s="24"/>
      <c r="AA1054" s="24"/>
      <c r="AB1054" s="24"/>
      <c r="AC1054" s="24"/>
      <c r="AD1054" s="24"/>
      <c r="AE1054" s="24"/>
    </row>
    <row r="1055" spans="1:31" s="1" customFormat="1" hidden="1" x14ac:dyDescent="0.25">
      <c r="A1055" s="17"/>
      <c r="B1055" s="18" t="s">
        <v>1283</v>
      </c>
      <c r="C1055" s="18"/>
      <c r="D1055" s="84" t="s">
        <v>1284</v>
      </c>
      <c r="E1055" s="20"/>
      <c r="F1055" s="20"/>
      <c r="G1055" s="20"/>
      <c r="H1055" s="20"/>
      <c r="I1055" s="20"/>
      <c r="J1055" s="20"/>
      <c r="K1055" s="20"/>
      <c r="L1055" s="20"/>
      <c r="M1055" s="20">
        <f>SUM(M1056+M1058+M1060)</f>
        <v>0</v>
      </c>
      <c r="N1055" s="20"/>
      <c r="O1055" s="20">
        <f>O1056+O1058+O1060</f>
        <v>0</v>
      </c>
      <c r="P1055" s="20">
        <f>P1056+P1058+P1060</f>
        <v>0</v>
      </c>
      <c r="Q1055" s="20">
        <f>Q1056+Q1058+Q1060</f>
        <v>0</v>
      </c>
      <c r="R1055" s="20">
        <f>R1056+R1058+R1060</f>
        <v>0</v>
      </c>
      <c r="S1055" s="20">
        <f>S1056+S1058+S1060</f>
        <v>0</v>
      </c>
      <c r="T1055" s="20"/>
      <c r="U1055" s="20">
        <f>U1056+U1058+U1060</f>
        <v>0</v>
      </c>
      <c r="V1055" s="20"/>
      <c r="W1055" s="20">
        <f>W1056+W1058+W1060</f>
        <v>0</v>
      </c>
      <c r="X1055" s="20"/>
      <c r="Y1055" s="20">
        <f>Y1056+Y1058+Y1060</f>
        <v>0</v>
      </c>
      <c r="Z1055" s="20">
        <f>Z1056+Z1058+Z1060</f>
        <v>0</v>
      </c>
      <c r="AA1055" s="20"/>
      <c r="AB1055" s="20">
        <f>AB1056+AB1058+AB1060</f>
        <v>0</v>
      </c>
      <c r="AC1055" s="20">
        <f>AC1056+AC1058+AC1060</f>
        <v>0</v>
      </c>
      <c r="AD1055" s="20"/>
      <c r="AE1055" s="20"/>
    </row>
    <row r="1056" spans="1:31" s="1" customFormat="1" hidden="1" x14ac:dyDescent="0.25">
      <c r="A1056" s="25"/>
      <c r="B1056" s="26" t="s">
        <v>1285</v>
      </c>
      <c r="C1056" s="26"/>
      <c r="D1056" s="64" t="s">
        <v>1286</v>
      </c>
      <c r="E1056" s="28"/>
      <c r="F1056" s="28"/>
      <c r="G1056" s="28"/>
      <c r="H1056" s="28"/>
      <c r="I1056" s="28"/>
      <c r="J1056" s="28"/>
      <c r="K1056" s="28"/>
      <c r="L1056" s="28"/>
      <c r="M1056" s="28">
        <f>SUM(M1057:M1057)</f>
        <v>0</v>
      </c>
      <c r="N1056" s="28"/>
      <c r="O1056" s="28">
        <f>SUM(O1057:O1057)</f>
        <v>0</v>
      </c>
      <c r="P1056" s="28">
        <f>SUM(P1057:P1057)</f>
        <v>0</v>
      </c>
      <c r="Q1056" s="28">
        <f>SUM(Q1057:Q1057)</f>
        <v>0</v>
      </c>
      <c r="R1056" s="28">
        <f>SUM(R1057:R1057)</f>
        <v>0</v>
      </c>
      <c r="S1056" s="28">
        <f>SUM(S1057:S1057)</f>
        <v>0</v>
      </c>
      <c r="T1056" s="28"/>
      <c r="U1056" s="28">
        <f>SUM(U1057:U1057)</f>
        <v>0</v>
      </c>
      <c r="V1056" s="28"/>
      <c r="W1056" s="28">
        <f>SUM(W1057:W1057)</f>
        <v>0</v>
      </c>
      <c r="X1056" s="28"/>
      <c r="Y1056" s="28">
        <f>SUM(Y1057:Y1057)</f>
        <v>0</v>
      </c>
      <c r="Z1056" s="28">
        <f>SUM(Z1057:Z1057)</f>
        <v>0</v>
      </c>
      <c r="AA1056" s="28"/>
      <c r="AB1056" s="28">
        <f>SUM(AB1057:AB1057)</f>
        <v>0</v>
      </c>
      <c r="AC1056" s="28">
        <f>SUM(AC1057:AC1057)</f>
        <v>0</v>
      </c>
      <c r="AD1056" s="28"/>
      <c r="AE1056" s="28"/>
    </row>
    <row r="1057" spans="1:35" s="1" customFormat="1" hidden="1" x14ac:dyDescent="0.25">
      <c r="A1057" s="21"/>
      <c r="B1057" s="22"/>
      <c r="C1057" s="22"/>
      <c r="D1057" s="85"/>
      <c r="E1057" s="24"/>
      <c r="F1057" s="24"/>
      <c r="G1057" s="24"/>
      <c r="H1057" s="24"/>
      <c r="I1057" s="24"/>
      <c r="J1057" s="24"/>
      <c r="K1057" s="24"/>
      <c r="L1057" s="24"/>
      <c r="M1057" s="24"/>
      <c r="N1057" s="24"/>
      <c r="O1057" s="24"/>
      <c r="P1057" s="24"/>
      <c r="Q1057" s="24"/>
      <c r="R1057" s="24"/>
      <c r="S1057" s="24"/>
      <c r="T1057" s="24"/>
      <c r="U1057" s="24"/>
      <c r="V1057" s="24"/>
      <c r="W1057" s="24"/>
      <c r="X1057" s="24"/>
      <c r="Y1057" s="24"/>
      <c r="Z1057" s="24"/>
      <c r="AA1057" s="24"/>
      <c r="AB1057" s="24"/>
      <c r="AC1057" s="24"/>
      <c r="AD1057" s="24"/>
      <c r="AE1057" s="24"/>
    </row>
    <row r="1058" spans="1:35" s="1" customFormat="1" hidden="1" x14ac:dyDescent="0.25">
      <c r="A1058" s="25"/>
      <c r="B1058" s="26" t="s">
        <v>1287</v>
      </c>
      <c r="C1058" s="26"/>
      <c r="D1058" s="64" t="s">
        <v>1288</v>
      </c>
      <c r="E1058" s="28"/>
      <c r="F1058" s="28"/>
      <c r="G1058" s="28"/>
      <c r="H1058" s="28"/>
      <c r="I1058" s="28"/>
      <c r="J1058" s="28"/>
      <c r="K1058" s="28"/>
      <c r="L1058" s="28"/>
      <c r="M1058" s="28">
        <f>SUM(M1059:M1059)</f>
        <v>0</v>
      </c>
      <c r="N1058" s="28"/>
      <c r="O1058" s="28">
        <f>SUM(O1059:O1059)</f>
        <v>0</v>
      </c>
      <c r="P1058" s="28">
        <f>SUM(P1059:P1059)</f>
        <v>0</v>
      </c>
      <c r="Q1058" s="28">
        <f>SUM(Q1059:Q1059)</f>
        <v>0</v>
      </c>
      <c r="R1058" s="28">
        <f>SUM(R1059:R1059)</f>
        <v>0</v>
      </c>
      <c r="S1058" s="28">
        <f>SUM(S1059:S1059)</f>
        <v>0</v>
      </c>
      <c r="T1058" s="28"/>
      <c r="U1058" s="28">
        <f>SUM(U1059:U1059)</f>
        <v>0</v>
      </c>
      <c r="V1058" s="28"/>
      <c r="W1058" s="28">
        <f>SUM(W1059:W1059)</f>
        <v>0</v>
      </c>
      <c r="X1058" s="28"/>
      <c r="Y1058" s="28">
        <f>SUM(Y1059:Y1059)</f>
        <v>0</v>
      </c>
      <c r="Z1058" s="28">
        <f>SUM(Z1059:Z1059)</f>
        <v>0</v>
      </c>
      <c r="AA1058" s="28"/>
      <c r="AB1058" s="28">
        <f>SUM(AB1059:AB1059)</f>
        <v>0</v>
      </c>
      <c r="AC1058" s="28">
        <f>SUM(AC1059:AC1059)</f>
        <v>0</v>
      </c>
      <c r="AD1058" s="28"/>
      <c r="AE1058" s="28"/>
    </row>
    <row r="1059" spans="1:35" s="1" customFormat="1" hidden="1" x14ac:dyDescent="0.25">
      <c r="A1059" s="21"/>
      <c r="B1059" s="22"/>
      <c r="C1059" s="22"/>
      <c r="D1059" s="85"/>
      <c r="E1059" s="24"/>
      <c r="F1059" s="24"/>
      <c r="G1059" s="24"/>
      <c r="H1059" s="24"/>
      <c r="I1059" s="24"/>
      <c r="J1059" s="24"/>
      <c r="K1059" s="24"/>
      <c r="L1059" s="24"/>
      <c r="M1059" s="24"/>
      <c r="N1059" s="24"/>
      <c r="O1059" s="24"/>
      <c r="P1059" s="24"/>
      <c r="Q1059" s="24"/>
      <c r="R1059" s="24"/>
      <c r="S1059" s="24"/>
      <c r="T1059" s="24"/>
      <c r="U1059" s="24"/>
      <c r="V1059" s="24"/>
      <c r="W1059" s="24"/>
      <c r="X1059" s="24"/>
      <c r="Y1059" s="24"/>
      <c r="Z1059" s="24"/>
      <c r="AA1059" s="24"/>
      <c r="AB1059" s="24"/>
      <c r="AC1059" s="24"/>
      <c r="AD1059" s="24"/>
      <c r="AE1059" s="24"/>
    </row>
    <row r="1060" spans="1:35" s="1" customFormat="1" hidden="1" x14ac:dyDescent="0.25">
      <c r="A1060" s="25"/>
      <c r="B1060" s="26" t="s">
        <v>1289</v>
      </c>
      <c r="C1060" s="26"/>
      <c r="D1060" s="64" t="s">
        <v>1290</v>
      </c>
      <c r="E1060" s="28"/>
      <c r="F1060" s="28"/>
      <c r="G1060" s="28"/>
      <c r="H1060" s="28"/>
      <c r="I1060" s="28"/>
      <c r="J1060" s="28"/>
      <c r="K1060" s="28"/>
      <c r="L1060" s="28"/>
      <c r="M1060" s="28">
        <f>SUM(M1061:M1061)</f>
        <v>0</v>
      </c>
      <c r="N1060" s="28"/>
      <c r="O1060" s="28">
        <f>SUM(O1061:O1061)</f>
        <v>0</v>
      </c>
      <c r="P1060" s="28">
        <f>SUM(P1061:P1061)</f>
        <v>0</v>
      </c>
      <c r="Q1060" s="28">
        <f>SUM(Q1061:Q1061)</f>
        <v>0</v>
      </c>
      <c r="R1060" s="28">
        <f>SUM(R1061:R1061)</f>
        <v>0</v>
      </c>
      <c r="S1060" s="28">
        <f>SUM(S1061:S1061)</f>
        <v>0</v>
      </c>
      <c r="T1060" s="28"/>
      <c r="U1060" s="28">
        <f>SUM(U1061:U1061)</f>
        <v>0</v>
      </c>
      <c r="V1060" s="28"/>
      <c r="W1060" s="28">
        <f>SUM(W1061:W1061)</f>
        <v>0</v>
      </c>
      <c r="X1060" s="28"/>
      <c r="Y1060" s="28">
        <f>SUM(Y1061:Y1061)</f>
        <v>0</v>
      </c>
      <c r="Z1060" s="28">
        <f>SUM(Z1061:Z1061)</f>
        <v>0</v>
      </c>
      <c r="AA1060" s="28"/>
      <c r="AB1060" s="28">
        <f>SUM(AB1061:AB1061)</f>
        <v>0</v>
      </c>
      <c r="AC1060" s="28">
        <f>SUM(AC1061:AC1061)</f>
        <v>0</v>
      </c>
      <c r="AD1060" s="28"/>
      <c r="AE1060" s="28"/>
    </row>
    <row r="1061" spans="1:35" s="1" customFormat="1" x14ac:dyDescent="0.25">
      <c r="A1061" s="21"/>
      <c r="B1061" s="22"/>
      <c r="C1061" s="22"/>
      <c r="D1061" s="85"/>
      <c r="E1061" s="24"/>
      <c r="F1061" s="24"/>
      <c r="G1061" s="24"/>
      <c r="H1061" s="24"/>
      <c r="I1061" s="24"/>
      <c r="J1061" s="24"/>
      <c r="K1061" s="24"/>
      <c r="L1061" s="24"/>
      <c r="M1061" s="24"/>
      <c r="N1061" s="24"/>
      <c r="O1061" s="24"/>
      <c r="P1061" s="24"/>
      <c r="Q1061" s="24"/>
      <c r="R1061" s="24"/>
      <c r="S1061" s="24"/>
      <c r="T1061" s="24"/>
      <c r="U1061" s="24"/>
      <c r="V1061" s="24"/>
      <c r="W1061" s="24"/>
      <c r="X1061" s="24"/>
      <c r="Y1061" s="24"/>
      <c r="Z1061" s="24"/>
      <c r="AA1061" s="24"/>
      <c r="AB1061" s="24"/>
      <c r="AC1061" s="24"/>
      <c r="AD1061" s="24"/>
      <c r="AE1061" s="24"/>
    </row>
    <row r="1062" spans="1:35" s="1" customFormat="1" x14ac:dyDescent="0.25">
      <c r="A1062" s="17"/>
      <c r="B1062" s="18" t="s">
        <v>1291</v>
      </c>
      <c r="C1062" s="18"/>
      <c r="D1062" s="84" t="s">
        <v>1292</v>
      </c>
      <c r="E1062" s="20"/>
      <c r="F1062" s="20"/>
      <c r="G1062" s="20"/>
      <c r="H1062" s="20"/>
      <c r="I1062" s="20"/>
      <c r="J1062" s="20"/>
      <c r="K1062" s="20"/>
      <c r="L1062" s="20"/>
      <c r="M1062" s="20">
        <f>SUM(M1063)</f>
        <v>4</v>
      </c>
      <c r="N1062" s="20"/>
      <c r="O1062" s="37">
        <f>SUM(O1063)</f>
        <v>50797500</v>
      </c>
      <c r="P1062" s="20">
        <f t="shared" ref="P1062:Y1062" si="384">P1063</f>
        <v>0</v>
      </c>
      <c r="Q1062" s="20">
        <f t="shared" si="384"/>
        <v>0</v>
      </c>
      <c r="R1062" s="20">
        <f t="shared" si="384"/>
        <v>0</v>
      </c>
      <c r="S1062" s="37">
        <f>SUM(S1063)</f>
        <v>50797500</v>
      </c>
      <c r="T1062" s="37"/>
      <c r="U1062" s="37">
        <f>SUM(U1063)</f>
        <v>10159500</v>
      </c>
      <c r="V1062" s="37"/>
      <c r="W1062" s="37">
        <f>SUM(W1063)</f>
        <v>4479750</v>
      </c>
      <c r="X1062" s="37"/>
      <c r="Y1062" s="37">
        <f t="shared" si="384"/>
        <v>4479750</v>
      </c>
      <c r="Z1062" s="37">
        <f>SUM(Z1063)</f>
        <v>8959500</v>
      </c>
      <c r="AA1062" s="37"/>
      <c r="AB1062" s="37">
        <f>SUM(AB1063)</f>
        <v>44077875</v>
      </c>
      <c r="AC1062" s="37">
        <f>SUM(AC1063)</f>
        <v>6719625</v>
      </c>
      <c r="AD1062" s="20"/>
      <c r="AE1062" s="20"/>
      <c r="AF1062" s="75">
        <v>35118375</v>
      </c>
      <c r="AG1062" s="5">
        <f>AF1062+Z1062-AB1062</f>
        <v>0</v>
      </c>
    </row>
    <row r="1063" spans="1:35" s="160" customFormat="1" x14ac:dyDescent="0.25">
      <c r="A1063" s="138"/>
      <c r="B1063" s="139" t="s">
        <v>1293</v>
      </c>
      <c r="C1063" s="139"/>
      <c r="D1063" s="184" t="s">
        <v>1292</v>
      </c>
      <c r="E1063" s="141"/>
      <c r="F1063" s="141"/>
      <c r="G1063" s="141"/>
      <c r="H1063" s="141"/>
      <c r="I1063" s="141"/>
      <c r="J1063" s="141"/>
      <c r="K1063" s="141"/>
      <c r="L1063" s="141"/>
      <c r="M1063" s="141">
        <f>SUM(M1065:M1068)</f>
        <v>4</v>
      </c>
      <c r="N1063" s="141"/>
      <c r="O1063" s="142">
        <f>SUM(O1065:O1068)</f>
        <v>50797500</v>
      </c>
      <c r="P1063" s="141">
        <f>SUM(P1065:P1067)</f>
        <v>0</v>
      </c>
      <c r="Q1063" s="141">
        <f>SUM(Q1065:Q1067)</f>
        <v>0</v>
      </c>
      <c r="R1063" s="141">
        <f>SUM(R1065:R1067)</f>
        <v>0</v>
      </c>
      <c r="S1063" s="142">
        <f>SUM(S1065:S1068)</f>
        <v>50797500</v>
      </c>
      <c r="T1063" s="141"/>
      <c r="U1063" s="142">
        <f>SUM(U1065:U1068)</f>
        <v>10159500</v>
      </c>
      <c r="V1063" s="141"/>
      <c r="W1063" s="142">
        <f>SUM(W1065:W1068)</f>
        <v>4479750</v>
      </c>
      <c r="X1063" s="141"/>
      <c r="Y1063" s="142">
        <f>SUM(Y1065:Y1068)</f>
        <v>4479750</v>
      </c>
      <c r="Z1063" s="142">
        <f>SUM(Z1065:Z1068)</f>
        <v>8959500</v>
      </c>
      <c r="AA1063" s="141"/>
      <c r="AB1063" s="142">
        <f>SUM(AB1065:AB1068)</f>
        <v>44077875</v>
      </c>
      <c r="AC1063" s="142">
        <f>SUM(AC1065:AC1068)</f>
        <v>6719625</v>
      </c>
      <c r="AD1063" s="141"/>
      <c r="AE1063" s="141"/>
      <c r="AF1063" s="161">
        <f>AB1062-AF1062</f>
        <v>8959500</v>
      </c>
      <c r="AG1063" s="185"/>
    </row>
    <row r="1064" spans="1:35" s="1" customFormat="1" x14ac:dyDescent="0.25">
      <c r="A1064" s="25"/>
      <c r="B1064" s="26" t="s">
        <v>1769</v>
      </c>
      <c r="C1064" s="26"/>
      <c r="D1064" s="64" t="s">
        <v>1770</v>
      </c>
      <c r="E1064" s="28"/>
      <c r="F1064" s="28"/>
      <c r="G1064" s="28"/>
      <c r="H1064" s="28"/>
      <c r="I1064" s="28"/>
      <c r="J1064" s="28"/>
      <c r="K1064" s="28"/>
      <c r="L1064" s="28"/>
      <c r="M1064" s="28"/>
      <c r="N1064" s="28"/>
      <c r="O1064" s="40">
        <f>SUM(O1065:O1068)</f>
        <v>50797500</v>
      </c>
      <c r="P1064" s="28"/>
      <c r="Q1064" s="28"/>
      <c r="R1064" s="28"/>
      <c r="S1064" s="40">
        <f>SUM(S1065:S1068)</f>
        <v>50797500</v>
      </c>
      <c r="T1064" s="28"/>
      <c r="U1064" s="40">
        <f>SUM(U1065:U1068)</f>
        <v>10159500</v>
      </c>
      <c r="V1064" s="28"/>
      <c r="W1064" s="40">
        <f>SUM(W1065:W1068)</f>
        <v>4479750</v>
      </c>
      <c r="X1064" s="28"/>
      <c r="Y1064" s="40">
        <f>SUM(Y1065:Y1068)</f>
        <v>4479750</v>
      </c>
      <c r="Z1064" s="40">
        <f>SUM(Z1065:Z1068)</f>
        <v>8959500</v>
      </c>
      <c r="AA1064" s="28"/>
      <c r="AB1064" s="40">
        <f>SUM(AB1065:AB1068)</f>
        <v>44077875</v>
      </c>
      <c r="AC1064" s="40">
        <f>SUM(AC1065:AC1068)</f>
        <v>6719625</v>
      </c>
      <c r="AD1064" s="28"/>
      <c r="AE1064" s="28"/>
      <c r="AF1064" s="1" t="s">
        <v>1771</v>
      </c>
      <c r="AG1064" s="8"/>
    </row>
    <row r="1065" spans="1:35" s="1" customFormat="1" x14ac:dyDescent="0.25">
      <c r="A1065" s="21">
        <v>1</v>
      </c>
      <c r="B1065" s="22" t="s">
        <v>1772</v>
      </c>
      <c r="C1065" s="22" t="s">
        <v>58</v>
      </c>
      <c r="D1065" s="23" t="s">
        <v>1294</v>
      </c>
      <c r="E1065" s="24" t="s">
        <v>166</v>
      </c>
      <c r="F1065" s="24"/>
      <c r="G1065" s="24" t="s">
        <v>466</v>
      </c>
      <c r="H1065" s="24" t="s">
        <v>62</v>
      </c>
      <c r="I1065" s="24">
        <v>2015</v>
      </c>
      <c r="J1065" s="24"/>
      <c r="K1065" s="24" t="s">
        <v>202</v>
      </c>
      <c r="L1065" s="24" t="s">
        <v>64</v>
      </c>
      <c r="M1065" s="24">
        <v>1</v>
      </c>
      <c r="N1065" s="41">
        <f>SUM(O1065/M1065)</f>
        <v>2500000</v>
      </c>
      <c r="O1065" s="41">
        <v>2500000</v>
      </c>
      <c r="P1065" s="24"/>
      <c r="Q1065" s="24"/>
      <c r="R1065" s="24"/>
      <c r="S1065" s="41">
        <f>SUM(O1065-R1065)</f>
        <v>2500000</v>
      </c>
      <c r="T1065" s="24">
        <v>5</v>
      </c>
      <c r="U1065" s="41">
        <f>SUM(S1065/T1065)</f>
        <v>500000</v>
      </c>
      <c r="V1065" s="24">
        <v>0.5</v>
      </c>
      <c r="W1065" s="41"/>
      <c r="X1065" s="24"/>
      <c r="Y1065" s="41">
        <f>SUM(U1065*X1065)</f>
        <v>0</v>
      </c>
      <c r="Z1065" s="41"/>
      <c r="AA1065" s="24">
        <v>5</v>
      </c>
      <c r="AB1065" s="41">
        <f>SUM(U1065*AA1065)</f>
        <v>2500000</v>
      </c>
      <c r="AC1065" s="41">
        <f>SUM(O1065-AB1065)</f>
        <v>0</v>
      </c>
      <c r="AD1065" s="70" t="s">
        <v>1295</v>
      </c>
      <c r="AE1065" s="24"/>
      <c r="AG1065" s="88"/>
    </row>
    <row r="1066" spans="1:35" s="1" customFormat="1" x14ac:dyDescent="0.25">
      <c r="A1066" s="21">
        <v>2</v>
      </c>
      <c r="B1066" s="22" t="s">
        <v>1773</v>
      </c>
      <c r="C1066" s="22" t="s">
        <v>58</v>
      </c>
      <c r="D1066" s="23" t="s">
        <v>1296</v>
      </c>
      <c r="E1066" s="24" t="s">
        <v>166</v>
      </c>
      <c r="F1066" s="24"/>
      <c r="G1066" s="24" t="s">
        <v>466</v>
      </c>
      <c r="H1066" s="24" t="s">
        <v>62</v>
      </c>
      <c r="I1066" s="24">
        <v>2015</v>
      </c>
      <c r="J1066" s="24"/>
      <c r="K1066" s="24" t="s">
        <v>202</v>
      </c>
      <c r="L1066" s="24" t="s">
        <v>64</v>
      </c>
      <c r="M1066" s="24">
        <v>1</v>
      </c>
      <c r="N1066" s="41">
        <f>SUM(O1066/M1066)</f>
        <v>1500000</v>
      </c>
      <c r="O1066" s="41">
        <v>1500000</v>
      </c>
      <c r="P1066" s="24"/>
      <c r="Q1066" s="24"/>
      <c r="R1066" s="24"/>
      <c r="S1066" s="41">
        <f>SUM(O1066-R1066)</f>
        <v>1500000</v>
      </c>
      <c r="T1066" s="24">
        <v>5</v>
      </c>
      <c r="U1066" s="41">
        <f>SUM(S1066/T1066)</f>
        <v>300000</v>
      </c>
      <c r="V1066" s="24">
        <v>0.5</v>
      </c>
      <c r="W1066" s="41"/>
      <c r="X1066" s="24"/>
      <c r="Y1066" s="41">
        <f>SUM(U1066*X1066)</f>
        <v>0</v>
      </c>
      <c r="Z1066" s="41"/>
      <c r="AA1066" s="24">
        <v>5</v>
      </c>
      <c r="AB1066" s="41">
        <f>SUM(U1066*AA1066)</f>
        <v>1500000</v>
      </c>
      <c r="AC1066" s="41">
        <f>SUM(O1066-AB1066)</f>
        <v>0</v>
      </c>
      <c r="AD1066" s="70" t="s">
        <v>1295</v>
      </c>
      <c r="AE1066" s="24"/>
      <c r="AG1066" s="88"/>
    </row>
    <row r="1067" spans="1:35" s="1" customFormat="1" x14ac:dyDescent="0.25">
      <c r="A1067" s="21">
        <v>3</v>
      </c>
      <c r="B1067" s="22" t="s">
        <v>1774</v>
      </c>
      <c r="C1067" s="22" t="s">
        <v>58</v>
      </c>
      <c r="D1067" s="23" t="s">
        <v>1297</v>
      </c>
      <c r="E1067" s="24" t="s">
        <v>166</v>
      </c>
      <c r="F1067" s="24"/>
      <c r="G1067" s="24" t="s">
        <v>466</v>
      </c>
      <c r="H1067" s="24" t="s">
        <v>62</v>
      </c>
      <c r="I1067" s="24">
        <v>2015</v>
      </c>
      <c r="J1067" s="24"/>
      <c r="K1067" s="24" t="s">
        <v>202</v>
      </c>
      <c r="L1067" s="24" t="s">
        <v>64</v>
      </c>
      <c r="M1067" s="24">
        <v>1</v>
      </c>
      <c r="N1067" s="41">
        <f>SUM(O1067/M1067)</f>
        <v>2000000</v>
      </c>
      <c r="O1067" s="41">
        <v>2000000</v>
      </c>
      <c r="P1067" s="24"/>
      <c r="Q1067" s="24"/>
      <c r="R1067" s="24"/>
      <c r="S1067" s="41">
        <f>SUM(O1067-R1067)</f>
        <v>2000000</v>
      </c>
      <c r="T1067" s="24">
        <v>5</v>
      </c>
      <c r="U1067" s="41">
        <f>SUM(S1067/T1067)</f>
        <v>400000</v>
      </c>
      <c r="V1067" s="24">
        <v>0.5</v>
      </c>
      <c r="W1067" s="41"/>
      <c r="X1067" s="24"/>
      <c r="Y1067" s="41">
        <f>SUM(U1067*X1067)</f>
        <v>0</v>
      </c>
      <c r="Z1067" s="41"/>
      <c r="AA1067" s="24">
        <v>5</v>
      </c>
      <c r="AB1067" s="41">
        <f>SUM(U1067*AA1067)</f>
        <v>2000000</v>
      </c>
      <c r="AC1067" s="41">
        <f>SUM(O1067-AB1067)</f>
        <v>0</v>
      </c>
      <c r="AD1067" s="70" t="s">
        <v>1295</v>
      </c>
      <c r="AE1067" s="24"/>
      <c r="AG1067" s="88"/>
    </row>
    <row r="1068" spans="1:35" s="1" customFormat="1" x14ac:dyDescent="0.25">
      <c r="A1068" s="21">
        <v>4</v>
      </c>
      <c r="B1068" s="22" t="s">
        <v>1775</v>
      </c>
      <c r="C1068" s="50"/>
      <c r="D1068" s="51" t="s">
        <v>1298</v>
      </c>
      <c r="E1068" s="52" t="s">
        <v>166</v>
      </c>
      <c r="F1068" s="52"/>
      <c r="G1068" s="52" t="s">
        <v>466</v>
      </c>
      <c r="H1068" s="52" t="s">
        <v>62</v>
      </c>
      <c r="I1068" s="52">
        <v>2019</v>
      </c>
      <c r="J1068" s="52"/>
      <c r="K1068" s="52" t="s">
        <v>202</v>
      </c>
      <c r="L1068" s="52" t="s">
        <v>64</v>
      </c>
      <c r="M1068" s="52">
        <v>1</v>
      </c>
      <c r="N1068" s="53">
        <v>44797500</v>
      </c>
      <c r="O1068" s="53">
        <v>44797500</v>
      </c>
      <c r="P1068" s="52"/>
      <c r="Q1068" s="52"/>
      <c r="R1068" s="52"/>
      <c r="S1068" s="53">
        <f>SUM(O1068-R1068)</f>
        <v>44797500</v>
      </c>
      <c r="T1068" s="52">
        <v>5</v>
      </c>
      <c r="U1068" s="53">
        <f>SUM(S1068/T1068)</f>
        <v>8959500</v>
      </c>
      <c r="V1068" s="52">
        <v>0.5</v>
      </c>
      <c r="W1068" s="53">
        <f>SUM(U1068*V1068)</f>
        <v>4479750</v>
      </c>
      <c r="X1068" s="52">
        <v>0.5</v>
      </c>
      <c r="Y1068" s="53">
        <f>SUM(U1068*X1068)</f>
        <v>4479750</v>
      </c>
      <c r="Z1068" s="53">
        <f>SUM(W1068+Y1068)</f>
        <v>8959500</v>
      </c>
      <c r="AA1068" s="52">
        <f>2023-I1068+V1068+X1068-9/12</f>
        <v>4.25</v>
      </c>
      <c r="AB1068" s="53">
        <f>SUM(U1068*AA1068)</f>
        <v>38077875</v>
      </c>
      <c r="AC1068" s="53">
        <f>SUM(S1068-AB1068)</f>
        <v>6719625</v>
      </c>
      <c r="AD1068" s="52"/>
      <c r="AE1068" s="52"/>
      <c r="AG1068" s="88"/>
    </row>
    <row r="1069" spans="1:35" s="1" customFormat="1" x14ac:dyDescent="0.25">
      <c r="A1069" s="21"/>
      <c r="B1069" s="22"/>
      <c r="C1069" s="22"/>
      <c r="D1069" s="23"/>
      <c r="E1069" s="24"/>
      <c r="F1069" s="24"/>
      <c r="G1069" s="24"/>
      <c r="H1069" s="24"/>
      <c r="I1069" s="24"/>
      <c r="J1069" s="24"/>
      <c r="K1069" s="24"/>
      <c r="L1069" s="24"/>
      <c r="M1069" s="24"/>
      <c r="N1069" s="41"/>
      <c r="O1069" s="41"/>
      <c r="P1069" s="24"/>
      <c r="Q1069" s="24"/>
      <c r="R1069" s="24"/>
      <c r="S1069" s="41"/>
      <c r="T1069" s="24"/>
      <c r="U1069" s="41"/>
      <c r="V1069" s="24"/>
      <c r="W1069" s="41"/>
      <c r="X1069" s="24"/>
      <c r="Y1069" s="41"/>
      <c r="Z1069" s="41"/>
      <c r="AA1069" s="24"/>
      <c r="AB1069" s="41"/>
      <c r="AC1069" s="41"/>
      <c r="AD1069" s="24"/>
      <c r="AE1069" s="24"/>
      <c r="AF1069" s="8"/>
      <c r="AG1069" s="5">
        <f>+AF1070-AB1070</f>
        <v>-610884662.88507652</v>
      </c>
    </row>
    <row r="1070" spans="1:35" s="16" customFormat="1" ht="23.25" customHeight="1" x14ac:dyDescent="0.25">
      <c r="A1070" s="29">
        <v>3</v>
      </c>
      <c r="B1070" s="30" t="s">
        <v>1299</v>
      </c>
      <c r="C1070" s="30"/>
      <c r="D1070" s="89" t="s">
        <v>1300</v>
      </c>
      <c r="E1070" s="32"/>
      <c r="F1070" s="32"/>
      <c r="G1070" s="32"/>
      <c r="H1070" s="32"/>
      <c r="I1070" s="32"/>
      <c r="J1070" s="32"/>
      <c r="K1070" s="32"/>
      <c r="L1070" s="32"/>
      <c r="M1070" s="32">
        <f>SUM(M1071+M1191)</f>
        <v>52</v>
      </c>
      <c r="N1070" s="32"/>
      <c r="O1070" s="34">
        <f>SUM(O1071+O1191)</f>
        <v>23512075231</v>
      </c>
      <c r="P1070" s="34">
        <f>SUM(P1071+P1191)</f>
        <v>14804092406</v>
      </c>
      <c r="Q1070" s="34">
        <f>Q1071+Q1188+Q1191+Q1195</f>
        <v>642030476.5</v>
      </c>
      <c r="R1070" s="32">
        <f>R1071+R1188+R1191+R1195</f>
        <v>94888710</v>
      </c>
      <c r="S1070" s="34">
        <f>SUM(S1071+S1191)</f>
        <v>41647870979.9375</v>
      </c>
      <c r="T1070" s="32"/>
      <c r="U1070" s="34">
        <f>SUM(U1071+U1191)</f>
        <v>1280263593.5983415</v>
      </c>
      <c r="V1070" s="32"/>
      <c r="W1070" s="34">
        <f>SUM(W1071+W1191)</f>
        <v>331923026.63619041</v>
      </c>
      <c r="X1070" s="32"/>
      <c r="Y1070" s="34">
        <f>SUM(Y1071+Y1191)</f>
        <v>278961636.24947834</v>
      </c>
      <c r="Z1070" s="34">
        <f>SUM(Z1071+Z1191)</f>
        <v>610884662.88566875</v>
      </c>
      <c r="AA1070" s="32"/>
      <c r="AB1070" s="34">
        <f>SUM(AB1071+AB1191)</f>
        <v>9238029323.7714939</v>
      </c>
      <c r="AC1070" s="34">
        <f>SUM(AC1071+AC1191)</f>
        <v>14420478480.516596</v>
      </c>
      <c r="AD1070" s="32"/>
      <c r="AE1070" s="32"/>
      <c r="AF1070" s="36">
        <v>8627144660.8864174</v>
      </c>
      <c r="AG1070" s="90">
        <f>AF1070+Z1070-AB1070</f>
        <v>5.931854248046875E-4</v>
      </c>
      <c r="AH1070" s="1"/>
      <c r="AI1070" s="36">
        <f>AH1070+W1070+Y1070-AB1070</f>
        <v>-8627144660.8858261</v>
      </c>
    </row>
    <row r="1071" spans="1:35" s="1" customFormat="1" x14ac:dyDescent="0.25">
      <c r="A1071" s="17"/>
      <c r="B1071" s="18" t="s">
        <v>1301</v>
      </c>
      <c r="C1071" s="18"/>
      <c r="D1071" s="84" t="s">
        <v>1302</v>
      </c>
      <c r="E1071" s="20"/>
      <c r="F1071" s="20"/>
      <c r="G1071" s="20"/>
      <c r="H1071" s="20"/>
      <c r="I1071" s="20"/>
      <c r="J1071" s="20"/>
      <c r="K1071" s="20"/>
      <c r="L1071" s="20"/>
      <c r="M1071" s="20">
        <f>SUM(M1072)</f>
        <v>51</v>
      </c>
      <c r="N1071" s="20"/>
      <c r="O1071" s="37">
        <f>SUM(O1072)</f>
        <v>23432275231</v>
      </c>
      <c r="P1071" s="37">
        <f>SUM(P1072)</f>
        <v>14724292406</v>
      </c>
      <c r="Q1071" s="37">
        <f>Q1072+Q1141</f>
        <v>642030476.5</v>
      </c>
      <c r="R1071" s="20">
        <f>R1072+R1141</f>
        <v>94888710</v>
      </c>
      <c r="S1071" s="37">
        <f>SUM(S1072)</f>
        <v>41568070979.9375</v>
      </c>
      <c r="T1071" s="20"/>
      <c r="U1071" s="37">
        <f>SUM(U1072)</f>
        <v>1278667593.5983415</v>
      </c>
      <c r="V1071" s="20"/>
      <c r="W1071" s="37">
        <f>SUM(W1072)</f>
        <v>331125026.63619041</v>
      </c>
      <c r="X1071" s="20"/>
      <c r="Y1071" s="37">
        <f>SUM(Y1072)</f>
        <v>278163636.24947834</v>
      </c>
      <c r="Z1071" s="37">
        <f>SUM(Z1072)</f>
        <v>609288662.88566875</v>
      </c>
      <c r="AA1071" s="20"/>
      <c r="AB1071" s="37">
        <f>SUM(AB1072)</f>
        <v>9218877323.7714939</v>
      </c>
      <c r="AC1071" s="37">
        <f>SUM(AC1072)</f>
        <v>14359830480.516596</v>
      </c>
      <c r="AD1071" s="20"/>
      <c r="AE1071" s="20"/>
      <c r="AF1071" s="8">
        <f>AF1070+W1070+Y1070-AB1070</f>
        <v>5.931854248046875E-4</v>
      </c>
      <c r="AG1071" s="5">
        <f>AG1070-U1073</f>
        <v>-718748319.11890054</v>
      </c>
    </row>
    <row r="1072" spans="1:35" s="1" customFormat="1" ht="25.5" x14ac:dyDescent="0.25">
      <c r="A1072" s="138"/>
      <c r="B1072" s="139" t="s">
        <v>1303</v>
      </c>
      <c r="C1072" s="139"/>
      <c r="D1072" s="184" t="s">
        <v>1304</v>
      </c>
      <c r="E1072" s="141"/>
      <c r="F1072" s="141"/>
      <c r="G1072" s="141"/>
      <c r="H1072" s="141"/>
      <c r="I1072" s="141"/>
      <c r="J1072" s="141"/>
      <c r="K1072" s="141"/>
      <c r="L1072" s="141"/>
      <c r="M1072" s="141">
        <f>SUM(M1073+M1141)</f>
        <v>51</v>
      </c>
      <c r="N1072" s="141"/>
      <c r="O1072" s="142">
        <f>SUM(O1073+O1141)</f>
        <v>23432275231</v>
      </c>
      <c r="P1072" s="142">
        <f>SUM(P1073+P1141)</f>
        <v>14724292406</v>
      </c>
      <c r="Q1072" s="142">
        <f>SUM(Q1084:Q1140)</f>
        <v>348199369</v>
      </c>
      <c r="R1072" s="141"/>
      <c r="S1072" s="142">
        <f>SUM(S1073+S1141)</f>
        <v>41568070979.9375</v>
      </c>
      <c r="T1072" s="141"/>
      <c r="U1072" s="142">
        <f>SUM(U1073+U1141)</f>
        <v>1278667593.5983415</v>
      </c>
      <c r="V1072" s="141"/>
      <c r="W1072" s="142">
        <f>SUM(W1073+W1141)</f>
        <v>331125026.63619041</v>
      </c>
      <c r="X1072" s="141"/>
      <c r="Y1072" s="142">
        <f>SUM(Y1073+Y1141)</f>
        <v>278163636.24947834</v>
      </c>
      <c r="Z1072" s="142">
        <f>SUM(Z1073+Z1141)</f>
        <v>609288662.88566875</v>
      </c>
      <c r="AA1072" s="141"/>
      <c r="AB1072" s="142">
        <f>SUM(AB1073+AB1141)</f>
        <v>9218877323.7714939</v>
      </c>
      <c r="AC1072" s="142">
        <f>SUM(AC1073+AC1141)</f>
        <v>14359830480.516596</v>
      </c>
      <c r="AD1072" s="141"/>
      <c r="AE1072" s="141"/>
      <c r="AF1072" s="5">
        <v>4844605700.4758997</v>
      </c>
      <c r="AG1072" s="5">
        <f>'[3]BI Tahun  SMT I 2023'!$AH$1160-AG1071</f>
        <v>792674619.11890054</v>
      </c>
      <c r="AH1072" s="36"/>
    </row>
    <row r="1073" spans="1:35" s="1" customFormat="1" x14ac:dyDescent="0.25">
      <c r="A1073" s="25"/>
      <c r="B1073" s="26" t="s">
        <v>1776</v>
      </c>
      <c r="C1073" s="26"/>
      <c r="D1073" s="64" t="s">
        <v>1777</v>
      </c>
      <c r="E1073" s="186"/>
      <c r="F1073" s="28"/>
      <c r="G1073" s="28"/>
      <c r="H1073" s="28"/>
      <c r="I1073" s="28"/>
      <c r="J1073" s="28"/>
      <c r="K1073" s="28"/>
      <c r="L1073" s="28"/>
      <c r="M1073" s="28">
        <f>SUM(M1074:M1139)</f>
        <v>34</v>
      </c>
      <c r="N1073" s="28"/>
      <c r="O1073" s="40">
        <f>SUM(O1074:O1139)</f>
        <v>14053794944</v>
      </c>
      <c r="P1073" s="40">
        <f>SUM(P1074:P1139)</f>
        <v>13655936866</v>
      </c>
      <c r="Q1073" s="40">
        <f>SUM(Q1074:Q1139)</f>
        <v>348199369</v>
      </c>
      <c r="R1073" s="28"/>
      <c r="S1073" s="40">
        <f>SUM(S1074:S1139)</f>
        <v>25478872319.795189</v>
      </c>
      <c r="T1073" s="28"/>
      <c r="U1073" s="40">
        <f>SUM(U1074:U1139)</f>
        <v>718748319.11949372</v>
      </c>
      <c r="V1073" s="28"/>
      <c r="W1073" s="40">
        <f>SUM(W1074:W1139)</f>
        <v>220781500.45303318</v>
      </c>
      <c r="X1073" s="28"/>
      <c r="Y1073" s="40">
        <f>SUM(Y1074:Y1139)</f>
        <v>166198820.64887968</v>
      </c>
      <c r="Z1073" s="40">
        <f>SUM(W1073+Y1073)</f>
        <v>386980321.10191286</v>
      </c>
      <c r="AA1073" s="28"/>
      <c r="AB1073" s="40">
        <f>SUM(AB1074:AB1139)</f>
        <v>5231586021.5772209</v>
      </c>
      <c r="AC1073" s="40">
        <f>SUM(AC1074:AC1139)</f>
        <v>8889627299.2823009</v>
      </c>
      <c r="AD1073" s="28"/>
      <c r="AE1073" s="28"/>
      <c r="AF1073" s="5">
        <v>4844605700.4758997</v>
      </c>
      <c r="AG1073" s="5">
        <f>AF1073+W1073-AB1073</f>
        <v>-166198820.64828777</v>
      </c>
      <c r="AH1073" s="36"/>
    </row>
    <row r="1074" spans="1:35" s="1" customFormat="1" x14ac:dyDescent="0.25">
      <c r="A1074" s="49">
        <v>1</v>
      </c>
      <c r="B1074" s="22" t="s">
        <v>1778</v>
      </c>
      <c r="C1074" s="65" t="s">
        <v>58</v>
      </c>
      <c r="D1074" s="24" t="s">
        <v>1779</v>
      </c>
      <c r="E1074" s="52"/>
      <c r="F1074" s="24"/>
      <c r="G1074" s="24" t="s">
        <v>1309</v>
      </c>
      <c r="H1074" s="24" t="s">
        <v>62</v>
      </c>
      <c r="I1074" s="24">
        <v>2013</v>
      </c>
      <c r="J1074" s="24"/>
      <c r="K1074" s="24"/>
      <c r="L1074" s="24" t="s">
        <v>64</v>
      </c>
      <c r="M1074" s="24">
        <v>1</v>
      </c>
      <c r="N1074" s="53">
        <f>766836000+622000000+1240815360+1091684640+323124000+15578000+155500000+97295000+67630000</f>
        <v>4380463000</v>
      </c>
      <c r="O1074" s="53">
        <f>766836000+622000000+1240815360+1091684640+323124000+15578000+155500000+97295000+67630000</f>
        <v>4380463000</v>
      </c>
      <c r="P1074" s="52">
        <v>4380463000</v>
      </c>
      <c r="Q1074" s="43">
        <f t="shared" ref="Q1074:Q1078" si="385">O1074-P1074</f>
        <v>0</v>
      </c>
      <c r="R1074" s="52"/>
      <c r="S1074" s="53"/>
      <c r="T1074" s="52"/>
      <c r="U1074" s="53"/>
      <c r="V1074" s="52"/>
      <c r="W1074" s="53"/>
      <c r="X1074" s="52"/>
      <c r="Y1074" s="56">
        <f t="shared" ref="Y1074:Y1076" si="386">SUM(U1074*X1074)</f>
        <v>0</v>
      </c>
      <c r="Z1074" s="56">
        <f t="shared" ref="Z1074:Z1083" si="387">W1074+Y1074</f>
        <v>0</v>
      </c>
      <c r="AA1074" s="52">
        <v>2.5</v>
      </c>
      <c r="AB1074" s="56">
        <v>219023150</v>
      </c>
      <c r="AC1074" s="53"/>
      <c r="AD1074" s="52"/>
      <c r="AE1074" s="24"/>
      <c r="AF1074" s="5">
        <v>0</v>
      </c>
      <c r="AG1074" s="5">
        <v>0</v>
      </c>
      <c r="AH1074" s="36">
        <v>2.5</v>
      </c>
      <c r="AI1074" s="1">
        <v>219023150</v>
      </c>
    </row>
    <row r="1075" spans="1:35" s="1" customFormat="1" x14ac:dyDescent="0.25">
      <c r="A1075" s="49"/>
      <c r="B1075" s="22"/>
      <c r="C1075" s="65"/>
      <c r="D1075" s="24"/>
      <c r="E1075" s="52"/>
      <c r="F1075" s="43"/>
      <c r="G1075" s="24"/>
      <c r="H1075" s="24"/>
      <c r="I1075" s="24"/>
      <c r="J1075" s="24"/>
      <c r="K1075" s="24"/>
      <c r="L1075" s="24"/>
      <c r="M1075" s="24"/>
      <c r="N1075" s="53">
        <f>4054000+65243000+2717000</f>
        <v>72014000</v>
      </c>
      <c r="O1075" s="53">
        <f>4054000+65243000+2717000</f>
        <v>72014000</v>
      </c>
      <c r="P1075" s="52">
        <v>72014000</v>
      </c>
      <c r="Q1075" s="43">
        <f t="shared" si="385"/>
        <v>0</v>
      </c>
      <c r="R1075" s="52"/>
      <c r="S1075" s="53">
        <v>4233453850</v>
      </c>
      <c r="T1075" s="52">
        <v>47.5</v>
      </c>
      <c r="U1075" s="53">
        <f t="shared" ref="U1075:U1078" si="388">SUM(S1075/T1075)</f>
        <v>89125344.210526317</v>
      </c>
      <c r="V1075" s="52"/>
      <c r="W1075" s="53">
        <f t="shared" ref="W1075:W1076" si="389">SUM(U1075*V1075)</f>
        <v>0</v>
      </c>
      <c r="X1075" s="52"/>
      <c r="Y1075" s="56">
        <f t="shared" si="386"/>
        <v>0</v>
      </c>
      <c r="Z1075" s="56">
        <f t="shared" si="387"/>
        <v>0</v>
      </c>
      <c r="AA1075" s="52">
        <v>3.75</v>
      </c>
      <c r="AB1075" s="56">
        <f t="shared" ref="AB1075:AB1076" si="390">SUM(U1075*AA1075)</f>
        <v>334220040.78947371</v>
      </c>
      <c r="AC1075" s="53"/>
      <c r="AD1075" s="52" t="s">
        <v>1307</v>
      </c>
      <c r="AE1075" s="24"/>
      <c r="AF1075" s="5">
        <v>0</v>
      </c>
      <c r="AG1075" s="5">
        <v>0</v>
      </c>
      <c r="AH1075" s="36">
        <v>3.75</v>
      </c>
      <c r="AI1075" s="1">
        <v>334220040.78947371</v>
      </c>
    </row>
    <row r="1076" spans="1:35" s="1" customFormat="1" x14ac:dyDescent="0.25">
      <c r="A1076" s="49"/>
      <c r="B1076" s="22"/>
      <c r="C1076" s="65"/>
      <c r="D1076" s="24"/>
      <c r="E1076" s="52"/>
      <c r="F1076" s="24"/>
      <c r="G1076" s="24"/>
      <c r="H1076" s="24"/>
      <c r="I1076" s="24"/>
      <c r="J1076" s="24"/>
      <c r="K1076" s="24"/>
      <c r="L1076" s="24"/>
      <c r="M1076" s="24"/>
      <c r="N1076" s="53">
        <v>38203000</v>
      </c>
      <c r="O1076" s="53">
        <v>38203000</v>
      </c>
      <c r="P1076" s="52">
        <v>38203000</v>
      </c>
      <c r="Q1076" s="43">
        <f t="shared" si="385"/>
        <v>0</v>
      </c>
      <c r="R1076" s="52"/>
      <c r="S1076" s="53">
        <v>3937436809.2105265</v>
      </c>
      <c r="T1076" s="52">
        <f>T1075-AA1075</f>
        <v>43.75</v>
      </c>
      <c r="U1076" s="53">
        <f t="shared" si="388"/>
        <v>89998555.63909775</v>
      </c>
      <c r="V1076" s="52">
        <v>0.5</v>
      </c>
      <c r="W1076" s="53">
        <f t="shared" si="389"/>
        <v>44999277.819548875</v>
      </c>
      <c r="X1076" s="54"/>
      <c r="Y1076" s="56">
        <f t="shared" si="386"/>
        <v>0</v>
      </c>
      <c r="Z1076" s="56">
        <f t="shared" si="387"/>
        <v>44999277.819548875</v>
      </c>
      <c r="AA1076" s="57">
        <f>1/12+0.5+0.5+0.5+0.5+0.5+0.5+0.5</f>
        <v>3.5833333333333335</v>
      </c>
      <c r="AB1076" s="56">
        <f t="shared" si="390"/>
        <v>322494824.37343359</v>
      </c>
      <c r="AC1076" s="53"/>
      <c r="AD1076" s="52"/>
      <c r="AE1076" s="52"/>
      <c r="AF1076" s="5">
        <v>0</v>
      </c>
      <c r="AG1076" s="5">
        <v>44999277.819548875</v>
      </c>
      <c r="AH1076" s="36">
        <v>3.5833333333333335</v>
      </c>
      <c r="AI1076" s="1">
        <v>322494824.37343359</v>
      </c>
    </row>
    <row r="1077" spans="1:35" s="1" customFormat="1" x14ac:dyDescent="0.25">
      <c r="A1077" s="49"/>
      <c r="B1077" s="22"/>
      <c r="C1077" s="65"/>
      <c r="D1077" s="24"/>
      <c r="E1077" s="52"/>
      <c r="F1077" s="24"/>
      <c r="G1077" s="24"/>
      <c r="H1077" s="24"/>
      <c r="I1077" s="24"/>
      <c r="J1077" s="24"/>
      <c r="K1077" s="24"/>
      <c r="L1077" s="24"/>
      <c r="M1077" s="24"/>
      <c r="N1077" s="53">
        <v>50000000</v>
      </c>
      <c r="O1077" s="53">
        <v>50000000</v>
      </c>
      <c r="P1077" s="52">
        <v>50000000</v>
      </c>
      <c r="Q1077" s="43">
        <f t="shared" si="385"/>
        <v>0</v>
      </c>
      <c r="R1077" s="52"/>
      <c r="S1077" s="53">
        <v>3709941262.656642</v>
      </c>
      <c r="T1077" s="57">
        <f>T1076-AA1076</f>
        <v>40.166666666666664</v>
      </c>
      <c r="U1077" s="53">
        <f t="shared" si="388"/>
        <v>92363682.887717232</v>
      </c>
      <c r="V1077" s="52">
        <v>0.5</v>
      </c>
      <c r="W1077" s="53">
        <f>SUM(U1077*V1077)+94634.92</f>
        <v>46276476.363858618</v>
      </c>
      <c r="X1077" s="54">
        <v>0.5</v>
      </c>
      <c r="Y1077" s="56">
        <f t="shared" ref="Y1077:Y1079" si="391">SUM(U1077*X1077)</f>
        <v>46181841.443858616</v>
      </c>
      <c r="Z1077" s="56">
        <f t="shared" si="387"/>
        <v>92458317.807717234</v>
      </c>
      <c r="AA1077" s="57">
        <f>1/12+0.5+0.5</f>
        <v>1.0833333333333335</v>
      </c>
      <c r="AB1077" s="56">
        <f t="shared" ref="AB1077" si="392">SUM(U1077*AA1077)</f>
        <v>100060656.46169369</v>
      </c>
      <c r="AC1077" s="53">
        <f t="shared" ref="AC1077:AC1078" si="393">SUM(S1077-AB1077)</f>
        <v>3609880606.1949482</v>
      </c>
      <c r="AD1077" s="52"/>
      <c r="AE1077" s="52"/>
      <c r="AF1077" s="5">
        <v>46181841.443858616</v>
      </c>
      <c r="AG1077" s="5">
        <v>92458317.807717234</v>
      </c>
      <c r="AH1077" s="36">
        <v>1.0833333333333335</v>
      </c>
      <c r="AI1077" s="1">
        <v>100060656.46169369</v>
      </c>
    </row>
    <row r="1078" spans="1:35" s="1" customFormat="1" x14ac:dyDescent="0.25">
      <c r="A1078" s="49">
        <v>2</v>
      </c>
      <c r="B1078" s="22" t="s">
        <v>1780</v>
      </c>
      <c r="C1078" s="187" t="s">
        <v>58</v>
      </c>
      <c r="D1078" s="24" t="s">
        <v>1336</v>
      </c>
      <c r="E1078" s="52"/>
      <c r="F1078" s="24"/>
      <c r="G1078" s="24" t="s">
        <v>1309</v>
      </c>
      <c r="H1078" s="24" t="s">
        <v>62</v>
      </c>
      <c r="I1078" s="24">
        <v>2016</v>
      </c>
      <c r="J1078" s="24"/>
      <c r="K1078" s="24"/>
      <c r="L1078" s="24" t="s">
        <v>64</v>
      </c>
      <c r="M1078" s="24">
        <v>1</v>
      </c>
      <c r="N1078" s="53">
        <f>59850000+139650000+7953000</f>
        <v>207453000</v>
      </c>
      <c r="O1078" s="53">
        <f>59850000+139650000+7953000</f>
        <v>207453000</v>
      </c>
      <c r="P1078" s="52">
        <v>207453000</v>
      </c>
      <c r="Q1078" s="43">
        <f t="shared" si="385"/>
        <v>0</v>
      </c>
      <c r="R1078" s="52"/>
      <c r="S1078" s="53">
        <v>207453000</v>
      </c>
      <c r="T1078" s="52">
        <v>50</v>
      </c>
      <c r="U1078" s="53">
        <f t="shared" si="388"/>
        <v>4149060</v>
      </c>
      <c r="V1078" s="52">
        <v>0.5</v>
      </c>
      <c r="W1078" s="53">
        <f t="shared" ref="W1078" si="394">SUM(U1078*V1078)</f>
        <v>2074530</v>
      </c>
      <c r="X1078" s="54">
        <v>0.5</v>
      </c>
      <c r="Y1078" s="56">
        <f t="shared" si="391"/>
        <v>2074530</v>
      </c>
      <c r="Z1078" s="56">
        <f t="shared" si="387"/>
        <v>4149060</v>
      </c>
      <c r="AA1078" s="52">
        <f>2.75+0.5+0.5+0.5+0.5+0.5+0.5+0.5+0.5</f>
        <v>6.75</v>
      </c>
      <c r="AB1078" s="56">
        <f t="shared" ref="AB1078:AB1079" si="395">SUM(U1078*AA1078)</f>
        <v>28006155</v>
      </c>
      <c r="AC1078" s="53">
        <f t="shared" si="393"/>
        <v>179446845</v>
      </c>
      <c r="AD1078" s="52" t="s">
        <v>1307</v>
      </c>
      <c r="AE1078" s="52"/>
      <c r="AF1078" s="5">
        <v>2074530</v>
      </c>
      <c r="AG1078" s="5">
        <v>4149060</v>
      </c>
      <c r="AH1078" s="36">
        <v>6.75</v>
      </c>
      <c r="AI1078" s="1">
        <v>28006155</v>
      </c>
    </row>
    <row r="1079" spans="1:35" s="1" customFormat="1" x14ac:dyDescent="0.25">
      <c r="A1079" s="49">
        <v>3</v>
      </c>
      <c r="B1079" s="22" t="s">
        <v>1780</v>
      </c>
      <c r="C1079" s="187" t="s">
        <v>75</v>
      </c>
      <c r="D1079" s="24" t="s">
        <v>1327</v>
      </c>
      <c r="E1079" s="52"/>
      <c r="F1079" s="24"/>
      <c r="G1079" s="24" t="s">
        <v>1309</v>
      </c>
      <c r="H1079" s="24" t="s">
        <v>62</v>
      </c>
      <c r="I1079" s="24">
        <v>2012</v>
      </c>
      <c r="J1079" s="24"/>
      <c r="K1079" s="24"/>
      <c r="L1079" s="24" t="s">
        <v>64</v>
      </c>
      <c r="M1079" s="24">
        <v>1</v>
      </c>
      <c r="N1079" s="53">
        <v>74854300</v>
      </c>
      <c r="O1079" s="53">
        <v>74854300</v>
      </c>
      <c r="P1079" s="52">
        <v>74854300</v>
      </c>
      <c r="Q1079" s="43">
        <v>0</v>
      </c>
      <c r="R1079" s="52"/>
      <c r="S1079" s="53">
        <v>74854300</v>
      </c>
      <c r="T1079" s="52">
        <v>50</v>
      </c>
      <c r="U1079" s="53">
        <v>1497086</v>
      </c>
      <c r="V1079" s="52">
        <v>0.5</v>
      </c>
      <c r="W1079" s="53">
        <v>748543</v>
      </c>
      <c r="X1079" s="54">
        <v>0.5</v>
      </c>
      <c r="Y1079" s="56">
        <f t="shared" si="391"/>
        <v>748543</v>
      </c>
      <c r="Z1079" s="56">
        <f t="shared" si="387"/>
        <v>1497086</v>
      </c>
      <c r="AA1079" s="52">
        <v>12</v>
      </c>
      <c r="AB1079" s="56">
        <f t="shared" si="395"/>
        <v>17965032</v>
      </c>
      <c r="AC1079" s="53">
        <v>57637811</v>
      </c>
      <c r="AD1079" s="52" t="s">
        <v>1307</v>
      </c>
      <c r="AE1079" s="52"/>
      <c r="AF1079" s="5">
        <v>0</v>
      </c>
      <c r="AG1079" s="5">
        <v>748543</v>
      </c>
      <c r="AH1079" s="36">
        <v>11.5</v>
      </c>
      <c r="AI1079" s="1">
        <v>17216489</v>
      </c>
    </row>
    <row r="1080" spans="1:35" s="1" customFormat="1" x14ac:dyDescent="0.25">
      <c r="A1080" s="49">
        <v>4</v>
      </c>
      <c r="B1080" s="22" t="s">
        <v>1780</v>
      </c>
      <c r="C1080" s="187" t="s">
        <v>79</v>
      </c>
      <c r="D1080" s="24" t="s">
        <v>1308</v>
      </c>
      <c r="E1080" s="52"/>
      <c r="F1080" s="43"/>
      <c r="G1080" s="24" t="s">
        <v>1309</v>
      </c>
      <c r="H1080" s="24" t="s">
        <v>62</v>
      </c>
      <c r="I1080" s="24">
        <v>1985</v>
      </c>
      <c r="J1080" s="24"/>
      <c r="K1080" s="24"/>
      <c r="L1080" s="24" t="s">
        <v>64</v>
      </c>
      <c r="M1080" s="24">
        <v>1</v>
      </c>
      <c r="N1080" s="53">
        <v>61793000</v>
      </c>
      <c r="O1080" s="53">
        <v>61793000</v>
      </c>
      <c r="P1080" s="52">
        <v>61793000</v>
      </c>
      <c r="Q1080" s="43">
        <f t="shared" ref="Q1080:Q1083" si="396">O1080-P1080</f>
        <v>0</v>
      </c>
      <c r="R1080" s="52"/>
      <c r="S1080" s="53">
        <v>61793000</v>
      </c>
      <c r="T1080" s="52">
        <v>50</v>
      </c>
      <c r="U1080" s="53">
        <f t="shared" ref="U1080:U1083" si="397">SUM(S1080/T1080)</f>
        <v>1235860</v>
      </c>
      <c r="V1080" s="52">
        <v>0.5</v>
      </c>
      <c r="W1080" s="53">
        <f t="shared" ref="W1080" si="398">SUM(U1080*V1080)</f>
        <v>617930</v>
      </c>
      <c r="X1080" s="54">
        <v>0.5</v>
      </c>
      <c r="Y1080" s="56">
        <f t="shared" ref="Y1080:Y1083" si="399">SUM(U1080*X1080)</f>
        <v>617930</v>
      </c>
      <c r="Z1080" s="56">
        <f t="shared" si="387"/>
        <v>1235860</v>
      </c>
      <c r="AA1080" s="52">
        <v>39</v>
      </c>
      <c r="AB1080" s="56">
        <f t="shared" ref="AB1080:AB1083" si="400">SUM(U1080*AA1080)</f>
        <v>48198540</v>
      </c>
      <c r="AC1080" s="53">
        <f t="shared" ref="AC1080" si="401">SUM(S1080-AB1080)</f>
        <v>13594460</v>
      </c>
      <c r="AD1080" s="24" t="s">
        <v>1307</v>
      </c>
      <c r="AE1080" s="24"/>
      <c r="AF1080" s="5">
        <v>617930</v>
      </c>
      <c r="AG1080" s="5">
        <v>1235860</v>
      </c>
      <c r="AH1080" s="36">
        <v>39</v>
      </c>
      <c r="AI1080" s="1">
        <v>48198540</v>
      </c>
    </row>
    <row r="1081" spans="1:35" s="1" customFormat="1" x14ac:dyDescent="0.25">
      <c r="A1081" s="49">
        <v>5</v>
      </c>
      <c r="B1081" s="22" t="s">
        <v>1781</v>
      </c>
      <c r="C1081" s="65" t="s">
        <v>58</v>
      </c>
      <c r="D1081" s="24" t="s">
        <v>1310</v>
      </c>
      <c r="E1081" s="52"/>
      <c r="F1081" s="24"/>
      <c r="G1081" s="24" t="s">
        <v>1309</v>
      </c>
      <c r="H1081" s="24" t="s">
        <v>62</v>
      </c>
      <c r="I1081" s="24">
        <v>1985</v>
      </c>
      <c r="J1081" s="24"/>
      <c r="K1081" s="24"/>
      <c r="L1081" s="24" t="s">
        <v>64</v>
      </c>
      <c r="M1081" s="24">
        <v>1</v>
      </c>
      <c r="N1081" s="53">
        <f>277707000+37721500+2611000+1696000+29996000</f>
        <v>349731500</v>
      </c>
      <c r="O1081" s="53">
        <f>277707000+37721500+2611000+1696000+29996000</f>
        <v>349731500</v>
      </c>
      <c r="P1081" s="59">
        <v>349731500</v>
      </c>
      <c r="Q1081" s="43">
        <f t="shared" si="396"/>
        <v>0</v>
      </c>
      <c r="R1081" s="52"/>
      <c r="S1081" s="53">
        <v>349731500</v>
      </c>
      <c r="T1081" s="52">
        <v>50</v>
      </c>
      <c r="U1081" s="53">
        <f t="shared" si="397"/>
        <v>6994630</v>
      </c>
      <c r="V1081" s="52">
        <v>0.5</v>
      </c>
      <c r="W1081" s="53"/>
      <c r="X1081" s="52"/>
      <c r="Y1081" s="56">
        <f t="shared" si="399"/>
        <v>0</v>
      </c>
      <c r="Z1081" s="56">
        <f t="shared" si="387"/>
        <v>0</v>
      </c>
      <c r="AA1081" s="52">
        <v>33.5</v>
      </c>
      <c r="AB1081" s="56">
        <f t="shared" si="400"/>
        <v>234320105</v>
      </c>
      <c r="AC1081" s="53"/>
      <c r="AE1081" s="24"/>
      <c r="AF1081" s="5"/>
      <c r="AG1081" s="5">
        <v>0</v>
      </c>
      <c r="AH1081" s="36">
        <v>33.5</v>
      </c>
      <c r="AI1081" s="1">
        <v>234320105</v>
      </c>
    </row>
    <row r="1082" spans="1:35" s="1" customFormat="1" x14ac:dyDescent="0.25">
      <c r="A1082" s="49"/>
      <c r="B1082" s="22"/>
      <c r="C1082" s="65"/>
      <c r="D1082" s="24"/>
      <c r="E1082" s="52"/>
      <c r="F1082" s="24"/>
      <c r="G1082" s="24"/>
      <c r="H1082" s="24"/>
      <c r="I1082" s="24"/>
      <c r="J1082" s="24"/>
      <c r="K1082" s="24"/>
      <c r="L1082" s="24"/>
      <c r="M1082" s="24"/>
      <c r="N1082" s="53">
        <v>99800000</v>
      </c>
      <c r="O1082" s="53">
        <v>99800000</v>
      </c>
      <c r="P1082" s="56">
        <v>99800000</v>
      </c>
      <c r="Q1082" s="43">
        <f t="shared" si="396"/>
        <v>0</v>
      </c>
      <c r="R1082" s="52"/>
      <c r="S1082" s="53">
        <v>215211395</v>
      </c>
      <c r="T1082" s="52">
        <v>17</v>
      </c>
      <c r="U1082" s="53">
        <f t="shared" si="397"/>
        <v>12659493.823529411</v>
      </c>
      <c r="V1082" s="52">
        <v>0.5</v>
      </c>
      <c r="W1082" s="53">
        <f t="shared" ref="W1082" si="402">SUM(U1082*V1082)</f>
        <v>6329746.9117647056</v>
      </c>
      <c r="X1082" s="52"/>
      <c r="Y1082" s="56">
        <f t="shared" si="399"/>
        <v>0</v>
      </c>
      <c r="Z1082" s="56">
        <f t="shared" si="387"/>
        <v>6329746.9117647056</v>
      </c>
      <c r="AA1082" s="57">
        <f>1.08333333333333+0.5+0.5+0.5+0.5+0.5+0.5+0.5</f>
        <v>4.5833333333333304</v>
      </c>
      <c r="AB1082" s="56">
        <f t="shared" si="400"/>
        <v>58022680.024509765</v>
      </c>
      <c r="AC1082" s="53"/>
      <c r="AD1082" s="24" t="s">
        <v>1307</v>
      </c>
      <c r="AE1082" s="24"/>
      <c r="AF1082" s="5">
        <v>0</v>
      </c>
      <c r="AG1082" s="5">
        <v>6329746.9117647056</v>
      </c>
      <c r="AH1082" s="36">
        <v>4.5833333333333304</v>
      </c>
      <c r="AI1082" s="1">
        <v>58022680.024509765</v>
      </c>
    </row>
    <row r="1083" spans="1:35" s="1" customFormat="1" x14ac:dyDescent="0.25">
      <c r="A1083" s="49"/>
      <c r="B1083" s="22"/>
      <c r="C1083" s="65"/>
      <c r="D1083" s="24"/>
      <c r="E1083" s="52"/>
      <c r="F1083" s="24"/>
      <c r="G1083" s="24"/>
      <c r="H1083" s="24"/>
      <c r="I1083" s="24"/>
      <c r="J1083" s="24"/>
      <c r="K1083" s="24"/>
      <c r="L1083" s="24"/>
      <c r="M1083" s="24"/>
      <c r="N1083" s="53">
        <v>79707000</v>
      </c>
      <c r="O1083" s="53">
        <v>79707000</v>
      </c>
      <c r="P1083" s="56">
        <v>79707000</v>
      </c>
      <c r="Q1083" s="43">
        <f t="shared" si="396"/>
        <v>0</v>
      </c>
      <c r="R1083" s="52"/>
      <c r="S1083" s="53">
        <v>243225461.88725495</v>
      </c>
      <c r="T1083" s="57">
        <f>T1082-AA1082</f>
        <v>12.41666666666667</v>
      </c>
      <c r="U1083" s="53">
        <f t="shared" si="397"/>
        <v>19588627.803000394</v>
      </c>
      <c r="V1083" s="52">
        <v>0.5</v>
      </c>
      <c r="W1083" s="53">
        <f>SUM(U1083*V1083)+315945.61</f>
        <v>10110259.511500197</v>
      </c>
      <c r="X1083" s="57">
        <v>0.5</v>
      </c>
      <c r="Y1083" s="56">
        <f t="shared" si="399"/>
        <v>9794313.9015001971</v>
      </c>
      <c r="Z1083" s="56">
        <f t="shared" si="387"/>
        <v>19904573.413000394</v>
      </c>
      <c r="AA1083" s="57">
        <f>5/12+0.5+0.5</f>
        <v>1.4166666666666667</v>
      </c>
      <c r="AB1083" s="56">
        <f t="shared" si="400"/>
        <v>27750556.054250561</v>
      </c>
      <c r="AC1083" s="53">
        <f t="shared" ref="AC1083" si="403">SUM(S1083-AB1083)</f>
        <v>215474905.83300439</v>
      </c>
      <c r="AD1083" s="52"/>
      <c r="AE1083" s="24"/>
      <c r="AF1083" s="5">
        <v>9794313.9015001971</v>
      </c>
      <c r="AG1083" s="5">
        <v>19904573.413000394</v>
      </c>
      <c r="AH1083" s="36">
        <v>1.4166666666666667</v>
      </c>
      <c r="AI1083" s="1">
        <v>27750556.054250561</v>
      </c>
    </row>
    <row r="1084" spans="1:35" s="1" customFormat="1" x14ac:dyDescent="0.25">
      <c r="A1084" s="21">
        <v>6</v>
      </c>
      <c r="B1084" s="22" t="s">
        <v>1782</v>
      </c>
      <c r="C1084" s="22" t="s">
        <v>79</v>
      </c>
      <c r="D1084" s="65" t="s">
        <v>1305</v>
      </c>
      <c r="E1084" s="91"/>
      <c r="F1084" s="24"/>
      <c r="G1084" s="24" t="s">
        <v>1306</v>
      </c>
      <c r="H1084" s="24" t="s">
        <v>62</v>
      </c>
      <c r="I1084" s="24">
        <v>1985</v>
      </c>
      <c r="J1084" s="24"/>
      <c r="K1084" s="24"/>
      <c r="L1084" s="24" t="s">
        <v>64</v>
      </c>
      <c r="M1084" s="24">
        <v>1</v>
      </c>
      <c r="N1084" s="41">
        <v>813864000</v>
      </c>
      <c r="O1084" s="41">
        <v>813864000</v>
      </c>
      <c r="P1084" s="24">
        <v>813864000</v>
      </c>
      <c r="Q1084" s="43">
        <f>O1084-P1084</f>
        <v>0</v>
      </c>
      <c r="R1084" s="24"/>
      <c r="S1084" s="41">
        <v>813864000</v>
      </c>
      <c r="T1084" s="24">
        <v>50</v>
      </c>
      <c r="U1084" s="41">
        <f>SUM(S1084/T1084)</f>
        <v>16277280</v>
      </c>
      <c r="V1084" s="24">
        <v>0.5</v>
      </c>
      <c r="W1084" s="41"/>
      <c r="X1084" s="24"/>
      <c r="Y1084" s="70">
        <f>SUM(U1084*X1084)</f>
        <v>0</v>
      </c>
      <c r="Z1084" s="70">
        <f>W1084+Y1084</f>
        <v>0</v>
      </c>
      <c r="AA1084" s="24">
        <v>35</v>
      </c>
      <c r="AB1084" s="70">
        <f>SUM(U1084*AA1084)</f>
        <v>569704800</v>
      </c>
      <c r="AC1084" s="41"/>
      <c r="AD1084" s="24" t="s">
        <v>1307</v>
      </c>
      <c r="AE1084" s="24"/>
      <c r="AF1084" s="8">
        <v>0</v>
      </c>
      <c r="AG1084" s="5">
        <v>0</v>
      </c>
      <c r="AH1084" s="36">
        <v>35</v>
      </c>
      <c r="AI1084" s="1">
        <v>569704800</v>
      </c>
    </row>
    <row r="1085" spans="1:35" s="1" customFormat="1" x14ac:dyDescent="0.25">
      <c r="A1085" s="21"/>
      <c r="B1085" s="22"/>
      <c r="C1085" s="22"/>
      <c r="D1085" s="65"/>
      <c r="E1085" s="91"/>
      <c r="F1085" s="24"/>
      <c r="G1085" s="24"/>
      <c r="H1085" s="24"/>
      <c r="I1085" s="24"/>
      <c r="J1085" s="24"/>
      <c r="K1085" s="24"/>
      <c r="L1085" s="24"/>
      <c r="M1085" s="24"/>
      <c r="N1085" s="53">
        <v>49888000</v>
      </c>
      <c r="O1085" s="53">
        <v>49888000</v>
      </c>
      <c r="P1085" s="52">
        <v>49888000</v>
      </c>
      <c r="Q1085" s="43">
        <f t="shared" ref="Q1085:Q1105" si="404">O1085-P1085</f>
        <v>0</v>
      </c>
      <c r="R1085" s="52"/>
      <c r="S1085" s="53">
        <v>294047200</v>
      </c>
      <c r="T1085" s="52">
        <f>T1084-AA1084+5</f>
        <v>20</v>
      </c>
      <c r="U1085" s="53">
        <f>SUM(S1085/T1085)</f>
        <v>14702360</v>
      </c>
      <c r="V1085" s="52">
        <v>0.5</v>
      </c>
      <c r="W1085" s="53">
        <f>SUM(U1085*V1085)</f>
        <v>7351180</v>
      </c>
      <c r="X1085" s="52"/>
      <c r="Y1085" s="56">
        <f>SUM(U1085*X1085)</f>
        <v>0</v>
      </c>
      <c r="Z1085" s="56">
        <f t="shared" ref="Z1085:Z1090" si="405">W1085+Y1085</f>
        <v>7351180</v>
      </c>
      <c r="AA1085" s="52">
        <f>3/12+0.5+0.5+0.5+0.5+0.5+0.5</f>
        <v>3.25</v>
      </c>
      <c r="AB1085" s="56">
        <f>SUM(U1085*AA1085)</f>
        <v>47782670</v>
      </c>
      <c r="AC1085" s="53"/>
      <c r="AD1085" s="24"/>
      <c r="AE1085" s="24"/>
      <c r="AF1085" s="8">
        <v>0</v>
      </c>
      <c r="AG1085" s="5">
        <v>7351180</v>
      </c>
      <c r="AH1085" s="36">
        <v>3.25</v>
      </c>
      <c r="AI1085" s="1">
        <v>47782670</v>
      </c>
    </row>
    <row r="1086" spans="1:35" s="1" customFormat="1" x14ac:dyDescent="0.25">
      <c r="A1086" s="21"/>
      <c r="B1086" s="22"/>
      <c r="C1086" s="22"/>
      <c r="D1086" s="65"/>
      <c r="E1086" s="91"/>
      <c r="F1086" s="24"/>
      <c r="G1086" s="24"/>
      <c r="H1086" s="24"/>
      <c r="I1086" s="24"/>
      <c r="J1086" s="24"/>
      <c r="K1086" s="24"/>
      <c r="L1086" s="24"/>
      <c r="M1086" s="24"/>
      <c r="N1086" s="53">
        <v>50000000</v>
      </c>
      <c r="O1086" s="53">
        <v>50000000</v>
      </c>
      <c r="P1086" s="52">
        <v>50000000</v>
      </c>
      <c r="Q1086" s="43">
        <f t="shared" si="404"/>
        <v>0</v>
      </c>
      <c r="R1086" s="52"/>
      <c r="S1086" s="53">
        <v>303615710</v>
      </c>
      <c r="T1086" s="52">
        <f>20-AA1085</f>
        <v>16.75</v>
      </c>
      <c r="U1086" s="53">
        <f>SUM(S1086/T1086)</f>
        <v>18126311.044776119</v>
      </c>
      <c r="V1086" s="52">
        <v>0.5</v>
      </c>
      <c r="W1086" s="53">
        <f>SUM(U1086*V1086)+43783.36</f>
        <v>9106938.882388059</v>
      </c>
      <c r="X1086" s="57">
        <v>0.5</v>
      </c>
      <c r="Y1086" s="56">
        <f>SUM(U1086*X1086)</f>
        <v>9063155.5223880596</v>
      </c>
      <c r="Z1086" s="56">
        <f t="shared" si="405"/>
        <v>18170094.404776119</v>
      </c>
      <c r="AA1086" s="57">
        <f>1/12+0.5+0.5</f>
        <v>1.0833333333333335</v>
      </c>
      <c r="AB1086" s="56">
        <f>SUM(U1086*AA1086)</f>
        <v>19636836.965174131</v>
      </c>
      <c r="AC1086" s="53">
        <f>SUM(S1086-AB1086)</f>
        <v>283978873.03482586</v>
      </c>
      <c r="AD1086" s="24"/>
      <c r="AE1086" s="24"/>
      <c r="AF1086" s="8">
        <v>9063155.5223880596</v>
      </c>
      <c r="AG1086" s="5">
        <v>18170094.404776119</v>
      </c>
      <c r="AH1086" s="36">
        <v>1.0833333333333335</v>
      </c>
      <c r="AI1086" s="1">
        <v>19636836.965174131</v>
      </c>
    </row>
    <row r="1087" spans="1:35" s="1" customFormat="1" x14ac:dyDescent="0.25">
      <c r="A1087" s="21">
        <v>7</v>
      </c>
      <c r="B1087" s="22" t="s">
        <v>1783</v>
      </c>
      <c r="C1087" s="187" t="s">
        <v>58</v>
      </c>
      <c r="D1087" s="24" t="s">
        <v>1316</v>
      </c>
      <c r="E1087" s="52"/>
      <c r="F1087" s="24"/>
      <c r="G1087" s="24" t="s">
        <v>1309</v>
      </c>
      <c r="H1087" s="24" t="s">
        <v>62</v>
      </c>
      <c r="I1087" s="24">
        <v>1985</v>
      </c>
      <c r="J1087" s="24"/>
      <c r="K1087" s="24"/>
      <c r="L1087" s="24" t="s">
        <v>64</v>
      </c>
      <c r="M1087" s="24">
        <v>1</v>
      </c>
      <c r="N1087" s="53">
        <f>386121000+37109500+2611000+1696000</f>
        <v>427537500</v>
      </c>
      <c r="O1087" s="53">
        <f>386121000+37109500+2611000+1696000</f>
        <v>427537500</v>
      </c>
      <c r="P1087" s="52">
        <v>427537500</v>
      </c>
      <c r="Q1087" s="43">
        <f t="shared" si="404"/>
        <v>0</v>
      </c>
      <c r="R1087" s="52"/>
      <c r="S1087" s="53"/>
      <c r="T1087" s="52"/>
      <c r="U1087" s="53"/>
      <c r="V1087" s="52"/>
      <c r="W1087" s="53"/>
      <c r="X1087" s="52"/>
      <c r="Y1087" s="56">
        <f t="shared" ref="Y1087:Y1090" si="406">SUM(U1087*X1087)</f>
        <v>0</v>
      </c>
      <c r="Z1087" s="56">
        <f t="shared" si="405"/>
        <v>0</v>
      </c>
      <c r="AA1087" s="52">
        <v>30.5</v>
      </c>
      <c r="AB1087" s="56">
        <v>256522500</v>
      </c>
      <c r="AC1087" s="53"/>
      <c r="AD1087" s="52"/>
      <c r="AE1087" s="52"/>
      <c r="AF1087" s="8">
        <v>0</v>
      </c>
      <c r="AG1087" s="5">
        <v>0</v>
      </c>
      <c r="AH1087" s="36">
        <v>30.5</v>
      </c>
      <c r="AI1087" s="1">
        <v>256522500</v>
      </c>
    </row>
    <row r="1088" spans="1:35" s="1" customFormat="1" x14ac:dyDescent="0.25">
      <c r="A1088" s="21"/>
      <c r="B1088" s="22"/>
      <c r="C1088" s="65"/>
      <c r="D1088" s="24"/>
      <c r="E1088" s="52"/>
      <c r="F1088" s="24"/>
      <c r="G1088" s="24"/>
      <c r="H1088" s="24"/>
      <c r="I1088" s="24"/>
      <c r="J1088" s="24"/>
      <c r="K1088" s="24"/>
      <c r="L1088" s="24"/>
      <c r="M1088" s="24"/>
      <c r="N1088" s="53">
        <v>10000000</v>
      </c>
      <c r="O1088" s="53">
        <v>10000000</v>
      </c>
      <c r="P1088" s="52">
        <v>10000000</v>
      </c>
      <c r="Q1088" s="43">
        <f t="shared" si="404"/>
        <v>0</v>
      </c>
      <c r="R1088" s="52"/>
      <c r="S1088" s="53"/>
      <c r="T1088" s="52"/>
      <c r="U1088" s="53"/>
      <c r="V1088" s="52"/>
      <c r="W1088" s="53"/>
      <c r="X1088" s="52"/>
      <c r="Y1088" s="56">
        <f t="shared" si="406"/>
        <v>0</v>
      </c>
      <c r="Z1088" s="56">
        <f t="shared" si="405"/>
        <v>0</v>
      </c>
      <c r="AA1088" s="57">
        <v>1.1666666666666665</v>
      </c>
      <c r="AB1088" s="56">
        <v>10559208.333333332</v>
      </c>
      <c r="AC1088" s="53"/>
      <c r="AD1088" s="52"/>
      <c r="AE1088" s="52"/>
      <c r="AF1088" s="8">
        <v>0</v>
      </c>
      <c r="AG1088" s="5">
        <v>0</v>
      </c>
      <c r="AH1088" s="36">
        <v>1.1666666666666665</v>
      </c>
      <c r="AI1088" s="1">
        <v>10559208.333333332</v>
      </c>
    </row>
    <row r="1089" spans="1:35" s="1" customFormat="1" x14ac:dyDescent="0.25">
      <c r="A1089" s="21"/>
      <c r="B1089" s="22"/>
      <c r="C1089" s="65"/>
      <c r="D1089" s="24"/>
      <c r="E1089" s="52"/>
      <c r="F1089" s="24"/>
      <c r="G1089" s="24"/>
      <c r="H1089" s="24"/>
      <c r="I1089" s="24"/>
      <c r="J1089" s="24"/>
      <c r="K1089" s="24"/>
      <c r="L1089" s="24"/>
      <c r="M1089" s="24"/>
      <c r="N1089" s="53">
        <f>185600000+4675000</f>
        <v>190275000</v>
      </c>
      <c r="O1089" s="53">
        <f>185600000+4675000</f>
        <v>190275000</v>
      </c>
      <c r="P1089" s="52">
        <v>190275000</v>
      </c>
      <c r="Q1089" s="43">
        <f t="shared" si="404"/>
        <v>0</v>
      </c>
      <c r="R1089" s="52"/>
      <c r="S1089" s="53">
        <v>360730791.66666663</v>
      </c>
      <c r="T1089" s="52">
        <v>19</v>
      </c>
      <c r="U1089" s="53">
        <f t="shared" ref="U1089:U1096" si="407">SUM(S1089/T1089)</f>
        <v>18985831.140350875</v>
      </c>
      <c r="V1089" s="52">
        <v>0.5</v>
      </c>
      <c r="W1089" s="53"/>
      <c r="X1089" s="52"/>
      <c r="Y1089" s="56"/>
      <c r="Z1089" s="56">
        <f t="shared" si="405"/>
        <v>0</v>
      </c>
      <c r="AA1089" s="52">
        <v>1.75</v>
      </c>
      <c r="AB1089" s="56">
        <f t="shared" ref="AB1089:AB1094" si="408">SUM(U1089*AA1089)</f>
        <v>33225204.495614029</v>
      </c>
      <c r="AC1089" s="53"/>
      <c r="AD1089" s="52" t="s">
        <v>1307</v>
      </c>
      <c r="AE1089" s="52"/>
      <c r="AF1089" s="8"/>
      <c r="AG1089" s="5">
        <v>0</v>
      </c>
      <c r="AH1089" s="36">
        <v>1.75</v>
      </c>
      <c r="AI1089" s="1">
        <v>33225204.495614029</v>
      </c>
    </row>
    <row r="1090" spans="1:35" s="1" customFormat="1" x14ac:dyDescent="0.25">
      <c r="A1090" s="21"/>
      <c r="B1090" s="22"/>
      <c r="C1090" s="65"/>
      <c r="D1090" s="24"/>
      <c r="E1090" s="52"/>
      <c r="F1090" s="24"/>
      <c r="G1090" s="24"/>
      <c r="H1090" s="24"/>
      <c r="I1090" s="24"/>
      <c r="J1090" s="24"/>
      <c r="K1090" s="24"/>
      <c r="L1090" s="24"/>
      <c r="M1090" s="24"/>
      <c r="N1090" s="53">
        <v>75210000</v>
      </c>
      <c r="O1090" s="53">
        <v>75210000</v>
      </c>
      <c r="P1090" s="52">
        <v>75210000</v>
      </c>
      <c r="Q1090" s="43">
        <f t="shared" si="404"/>
        <v>0</v>
      </c>
      <c r="R1090" s="52"/>
      <c r="S1090" s="53">
        <v>402715587.17105258</v>
      </c>
      <c r="T1090" s="52">
        <v>18</v>
      </c>
      <c r="U1090" s="53">
        <f t="shared" si="407"/>
        <v>22373088.176169589</v>
      </c>
      <c r="V1090" s="52">
        <v>0.5</v>
      </c>
      <c r="W1090" s="53">
        <f t="shared" ref="W1090:W1091" si="409">SUM(U1090*V1090)</f>
        <v>11186544.088084795</v>
      </c>
      <c r="X1090" s="52"/>
      <c r="Y1090" s="56">
        <f t="shared" si="406"/>
        <v>0</v>
      </c>
      <c r="Z1090" s="56">
        <f t="shared" si="405"/>
        <v>11186544.088084795</v>
      </c>
      <c r="AA1090" s="52">
        <f>1.5+0.5+0.5+0.5+0.5+0.5+0.5+0.5</f>
        <v>5</v>
      </c>
      <c r="AB1090" s="56">
        <f t="shared" si="408"/>
        <v>111865440.88084795</v>
      </c>
      <c r="AC1090" s="53"/>
      <c r="AD1090" s="52"/>
      <c r="AE1090" s="52"/>
      <c r="AF1090" s="8">
        <v>0</v>
      </c>
      <c r="AG1090" s="5">
        <v>11186544.088084795</v>
      </c>
      <c r="AH1090" s="36">
        <v>5</v>
      </c>
      <c r="AI1090" s="1">
        <v>111865440.88084795</v>
      </c>
    </row>
    <row r="1091" spans="1:35" s="1" customFormat="1" x14ac:dyDescent="0.25">
      <c r="A1091" s="21"/>
      <c r="B1091" s="22"/>
      <c r="C1091" s="65"/>
      <c r="D1091" s="24"/>
      <c r="E1091" s="52"/>
      <c r="F1091" s="24"/>
      <c r="G1091" s="24"/>
      <c r="H1091" s="24"/>
      <c r="I1091" s="24"/>
      <c r="J1091" s="24"/>
      <c r="K1091" s="24"/>
      <c r="L1091" s="24"/>
      <c r="M1091" s="24"/>
      <c r="N1091" s="311">
        <v>198247674</v>
      </c>
      <c r="O1091" s="311">
        <v>99123837</v>
      </c>
      <c r="P1091" s="170"/>
      <c r="Q1091" s="362">
        <f t="shared" si="404"/>
        <v>99123837</v>
      </c>
      <c r="R1091" s="310"/>
      <c r="S1091" s="311">
        <v>389973983.290205</v>
      </c>
      <c r="T1091" s="310">
        <f>T1090-AA1090</f>
        <v>13</v>
      </c>
      <c r="U1091" s="311">
        <f t="shared" si="407"/>
        <v>29997998.714631155</v>
      </c>
      <c r="V1091" s="312">
        <f>1/12</f>
        <v>8.3333333333333329E-2</v>
      </c>
      <c r="W1091" s="311">
        <f t="shared" si="409"/>
        <v>2499833.2262192629</v>
      </c>
      <c r="X1091" s="310"/>
      <c r="Y1091" s="313">
        <f>SUM(U1091*X1091)</f>
        <v>0</v>
      </c>
      <c r="Z1091" s="313"/>
      <c r="AA1091" s="312">
        <f>1/12</f>
        <v>8.3333333333333329E-2</v>
      </c>
      <c r="AB1091" s="313">
        <f t="shared" si="408"/>
        <v>2499833.2262192629</v>
      </c>
      <c r="AC1091" s="311"/>
      <c r="AD1091" s="52"/>
      <c r="AE1091" s="52"/>
      <c r="AF1091" s="8">
        <v>18811454.626546331</v>
      </c>
      <c r="AG1091" s="5">
        <v>21946697.064304054</v>
      </c>
      <c r="AH1091" s="36">
        <v>0.58333333333333337</v>
      </c>
      <c r="AI1091" s="1">
        <v>21946697.064304054</v>
      </c>
    </row>
    <row r="1092" spans="1:35" s="1" customFormat="1" x14ac:dyDescent="0.25">
      <c r="A1092" s="21"/>
      <c r="B1092" s="22"/>
      <c r="C1092" s="65"/>
      <c r="D1092" s="24"/>
      <c r="E1092" s="52"/>
      <c r="F1092" s="24"/>
      <c r="G1092" s="24"/>
      <c r="H1092" s="24"/>
      <c r="I1092" s="24"/>
      <c r="J1092" s="24"/>
      <c r="K1092" s="24"/>
      <c r="L1092" s="24"/>
      <c r="M1092" s="24"/>
      <c r="N1092" s="311"/>
      <c r="O1092" s="366">
        <v>99123837</v>
      </c>
      <c r="P1092" s="189"/>
      <c r="Q1092" s="377">
        <v>99123837</v>
      </c>
      <c r="R1092" s="188"/>
      <c r="S1092" s="366">
        <v>486597987.063986</v>
      </c>
      <c r="T1092" s="367">
        <f>T1091-AA1091</f>
        <v>12.916666666666666</v>
      </c>
      <c r="U1092" s="366">
        <f t="shared" si="407"/>
        <v>37672102.224308595</v>
      </c>
      <c r="V1092" s="367"/>
      <c r="W1092" s="366"/>
      <c r="X1092" s="367">
        <f>7/12</f>
        <v>0.58333333333333337</v>
      </c>
      <c r="Y1092" s="368">
        <f>SUM(U1092*X1092)</f>
        <v>21975392.964180015</v>
      </c>
      <c r="Z1092" s="368">
        <f>W1092+Y1092</f>
        <v>21975392.964180015</v>
      </c>
      <c r="AA1092" s="367">
        <f>7/12</f>
        <v>0.58333333333333337</v>
      </c>
      <c r="AB1092" s="368">
        <f t="shared" si="408"/>
        <v>21975392.964180015</v>
      </c>
      <c r="AC1092" s="366">
        <f t="shared" ref="AC1092" si="410">SUM(S1092-AB1092)</f>
        <v>464622594.09980601</v>
      </c>
      <c r="AD1092" s="52"/>
      <c r="AE1092" s="52"/>
      <c r="AF1092" s="8"/>
      <c r="AG1092" s="5"/>
      <c r="AH1092" s="36"/>
    </row>
    <row r="1093" spans="1:35" s="1" customFormat="1" x14ac:dyDescent="0.25">
      <c r="A1093" s="21">
        <v>8</v>
      </c>
      <c r="B1093" s="22" t="s">
        <v>1783</v>
      </c>
      <c r="C1093" s="65" t="s">
        <v>75</v>
      </c>
      <c r="D1093" s="24" t="s">
        <v>1312</v>
      </c>
      <c r="E1093" s="52"/>
      <c r="F1093" s="24"/>
      <c r="G1093" s="24" t="s">
        <v>1309</v>
      </c>
      <c r="H1093" s="24" t="s">
        <v>62</v>
      </c>
      <c r="I1093" s="24">
        <v>1985</v>
      </c>
      <c r="J1093" s="24"/>
      <c r="K1093" s="24"/>
      <c r="L1093" s="24" t="s">
        <v>64</v>
      </c>
      <c r="M1093" s="24">
        <v>1</v>
      </c>
      <c r="N1093" s="53">
        <v>723920000</v>
      </c>
      <c r="O1093" s="53">
        <v>723920000</v>
      </c>
      <c r="P1093" s="52">
        <v>723920000</v>
      </c>
      <c r="Q1093" s="43">
        <f t="shared" si="404"/>
        <v>0</v>
      </c>
      <c r="R1093" s="52"/>
      <c r="S1093" s="53">
        <v>723920000</v>
      </c>
      <c r="T1093" s="52">
        <v>50</v>
      </c>
      <c r="U1093" s="53">
        <f t="shared" si="407"/>
        <v>14478400</v>
      </c>
      <c r="V1093" s="52">
        <v>0.5</v>
      </c>
      <c r="W1093" s="53"/>
      <c r="X1093" s="169"/>
      <c r="Y1093" s="56">
        <f t="shared" ref="Y1093:Y1106" si="411">SUM(U1093*X1093)</f>
        <v>0</v>
      </c>
      <c r="Z1093" s="56"/>
      <c r="AA1093" s="52">
        <v>35.5</v>
      </c>
      <c r="AB1093" s="56">
        <f t="shared" si="408"/>
        <v>513983200</v>
      </c>
      <c r="AC1093" s="53"/>
      <c r="AD1093" s="52" t="s">
        <v>1307</v>
      </c>
      <c r="AE1093" s="52"/>
      <c r="AF1093" s="8">
        <v>0</v>
      </c>
      <c r="AG1093" s="5"/>
      <c r="AH1093" s="36">
        <v>35.5</v>
      </c>
      <c r="AI1093" s="1">
        <v>513983200</v>
      </c>
    </row>
    <row r="1094" spans="1:35" s="1" customFormat="1" x14ac:dyDescent="0.25">
      <c r="A1094" s="21"/>
      <c r="B1094" s="22"/>
      <c r="C1094" s="65"/>
      <c r="D1094" s="24"/>
      <c r="E1094" s="52"/>
      <c r="F1094" s="24"/>
      <c r="G1094" s="24"/>
      <c r="H1094" s="24"/>
      <c r="I1094" s="24"/>
      <c r="J1094" s="24"/>
      <c r="K1094" s="24"/>
      <c r="L1094" s="24"/>
      <c r="M1094" s="24"/>
      <c r="N1094" s="53">
        <v>49780000</v>
      </c>
      <c r="O1094" s="53">
        <v>49780000</v>
      </c>
      <c r="P1094" s="52">
        <v>49780000</v>
      </c>
      <c r="Q1094" s="43">
        <f t="shared" si="404"/>
        <v>0</v>
      </c>
      <c r="R1094" s="52"/>
      <c r="S1094" s="53">
        <v>259716800</v>
      </c>
      <c r="T1094" s="52">
        <f>T1093-AA1093+5</f>
        <v>19.5</v>
      </c>
      <c r="U1094" s="53">
        <f t="shared" si="407"/>
        <v>13318810.256410256</v>
      </c>
      <c r="V1094" s="52">
        <v>0.5</v>
      </c>
      <c r="W1094" s="53">
        <f t="shared" ref="W1094" si="412">SUM(U1094*V1094)</f>
        <v>6659405.128205128</v>
      </c>
      <c r="X1094" s="54"/>
      <c r="Y1094" s="56">
        <f t="shared" si="411"/>
        <v>0</v>
      </c>
      <c r="Z1094" s="56">
        <f t="shared" ref="Z1094:Z1106" si="413">W1094+Y1094</f>
        <v>6659405.128205128</v>
      </c>
      <c r="AA1094" s="57">
        <f>2/12+0.5+0.5+0.5+0.5+0.5</f>
        <v>2.6666666666666665</v>
      </c>
      <c r="AB1094" s="56">
        <f t="shared" si="408"/>
        <v>35516827.350427344</v>
      </c>
      <c r="AC1094" s="53"/>
      <c r="AD1094" s="52"/>
      <c r="AE1094" s="52"/>
      <c r="AF1094" s="8">
        <v>0</v>
      </c>
      <c r="AG1094" s="5">
        <v>6659405.128205128</v>
      </c>
      <c r="AH1094" s="36">
        <v>2.6666666666666665</v>
      </c>
      <c r="AI1094" s="1">
        <v>35516827.350427344</v>
      </c>
    </row>
    <row r="1095" spans="1:35" s="1" customFormat="1" x14ac:dyDescent="0.25">
      <c r="A1095" s="21"/>
      <c r="B1095" s="22"/>
      <c r="C1095" s="65"/>
      <c r="D1095" s="24"/>
      <c r="E1095" s="52"/>
      <c r="F1095" s="24"/>
      <c r="G1095" s="24"/>
      <c r="H1095" s="24"/>
      <c r="I1095" s="24"/>
      <c r="J1095" s="24"/>
      <c r="K1095" s="24"/>
      <c r="L1095" s="24"/>
      <c r="M1095" s="24"/>
      <c r="N1095" s="53">
        <v>79697000</v>
      </c>
      <c r="O1095" s="53">
        <v>79697000</v>
      </c>
      <c r="P1095" s="52">
        <v>79697000</v>
      </c>
      <c r="Q1095" s="43">
        <f t="shared" si="404"/>
        <v>0</v>
      </c>
      <c r="R1095" s="52"/>
      <c r="S1095" s="53">
        <v>310556377.77777779</v>
      </c>
      <c r="T1095" s="57">
        <f>T1094-AA1094</f>
        <v>16.833333333333332</v>
      </c>
      <c r="U1095" s="53">
        <f t="shared" si="407"/>
        <v>18448893.729372941</v>
      </c>
      <c r="V1095" s="52">
        <v>0.5</v>
      </c>
      <c r="W1095" s="53">
        <f>SUM(U1095*V1095)+177393.21</f>
        <v>9401840.0746864714</v>
      </c>
      <c r="X1095" s="57">
        <v>0.5</v>
      </c>
      <c r="Y1095" s="56">
        <f t="shared" si="411"/>
        <v>9224446.8646864705</v>
      </c>
      <c r="Z1095" s="56">
        <f t="shared" si="413"/>
        <v>18626286.939372942</v>
      </c>
      <c r="AA1095" s="57">
        <f>4/12+0.5+0.5</f>
        <v>1.3333333333333333</v>
      </c>
      <c r="AB1095" s="56">
        <f t="shared" ref="AB1095" si="414">SUM(U1095*AA1095)</f>
        <v>24598524.972497255</v>
      </c>
      <c r="AC1095" s="53">
        <f t="shared" ref="AC1095:AC1102" si="415">SUM(S1095-AB1095)</f>
        <v>285957852.80528057</v>
      </c>
      <c r="AD1095" s="52"/>
      <c r="AE1095" s="52"/>
      <c r="AF1095" s="8">
        <v>9224446.8646864705</v>
      </c>
      <c r="AG1095" s="5">
        <v>18626286.939372942</v>
      </c>
      <c r="AH1095" s="36">
        <v>1.3333333333333333</v>
      </c>
      <c r="AI1095" s="1">
        <v>24598524.972497255</v>
      </c>
    </row>
    <row r="1096" spans="1:35" s="1" customFormat="1" x14ac:dyDescent="0.25">
      <c r="A1096" s="21">
        <v>9</v>
      </c>
      <c r="B1096" s="22" t="s">
        <v>1783</v>
      </c>
      <c r="C1096" s="187" t="s">
        <v>79</v>
      </c>
      <c r="D1096" s="24" t="s">
        <v>1311</v>
      </c>
      <c r="E1096" s="52"/>
      <c r="F1096" s="24"/>
      <c r="G1096" s="24" t="s">
        <v>1309</v>
      </c>
      <c r="H1096" s="24" t="s">
        <v>62</v>
      </c>
      <c r="I1096" s="24">
        <v>1985</v>
      </c>
      <c r="J1096" s="24"/>
      <c r="K1096" s="24"/>
      <c r="L1096" s="24" t="s">
        <v>64</v>
      </c>
      <c r="M1096" s="24">
        <v>1</v>
      </c>
      <c r="N1096" s="53">
        <f>289620000+44820500+2611000+1696000</f>
        <v>338747500</v>
      </c>
      <c r="O1096" s="53">
        <f>289620000+44820500+2611000+1696000</f>
        <v>338747500</v>
      </c>
      <c r="P1096" s="56">
        <v>338747500</v>
      </c>
      <c r="Q1096" s="43">
        <f t="shared" si="404"/>
        <v>0</v>
      </c>
      <c r="R1096" s="52"/>
      <c r="S1096" s="53">
        <v>338747500</v>
      </c>
      <c r="T1096" s="52">
        <v>50</v>
      </c>
      <c r="U1096" s="53">
        <f t="shared" si="407"/>
        <v>6774950</v>
      </c>
      <c r="V1096" s="52">
        <v>0.5</v>
      </c>
      <c r="W1096" s="53">
        <f t="shared" ref="W1096:W1103" si="416">SUM(U1096*V1096)</f>
        <v>3387475</v>
      </c>
      <c r="X1096" s="57">
        <v>0.5</v>
      </c>
      <c r="Y1096" s="56">
        <f t="shared" si="411"/>
        <v>3387475</v>
      </c>
      <c r="Z1096" s="56">
        <f t="shared" si="413"/>
        <v>6774950</v>
      </c>
      <c r="AA1096" s="52">
        <v>39</v>
      </c>
      <c r="AB1096" s="56">
        <f t="shared" ref="AB1096" si="417">SUM(U1096*AA1096)</f>
        <v>264223050</v>
      </c>
      <c r="AC1096" s="53">
        <f t="shared" si="415"/>
        <v>74524450</v>
      </c>
      <c r="AD1096" s="52" t="s">
        <v>1307</v>
      </c>
      <c r="AE1096" s="24"/>
      <c r="AF1096" s="8">
        <v>3387475</v>
      </c>
      <c r="AG1096" s="5">
        <v>6774950</v>
      </c>
      <c r="AH1096" s="36">
        <v>39</v>
      </c>
      <c r="AI1096" s="1">
        <v>264223050</v>
      </c>
    </row>
    <row r="1097" spans="1:35" s="1" customFormat="1" x14ac:dyDescent="0.25">
      <c r="A1097" s="21">
        <v>10</v>
      </c>
      <c r="B1097" s="22" t="s">
        <v>1784</v>
      </c>
      <c r="C1097" s="85"/>
      <c r="D1097" s="52" t="s">
        <v>1338</v>
      </c>
      <c r="E1097" s="52"/>
      <c r="F1097" s="52"/>
      <c r="G1097" s="52" t="s">
        <v>61</v>
      </c>
      <c r="H1097" s="52" t="s">
        <v>62</v>
      </c>
      <c r="I1097" s="52">
        <v>2019</v>
      </c>
      <c r="J1097" s="52"/>
      <c r="K1097" s="52"/>
      <c r="L1097" s="52" t="s">
        <v>64</v>
      </c>
      <c r="M1097" s="52">
        <v>1</v>
      </c>
      <c r="N1097" s="53">
        <v>99600495</v>
      </c>
      <c r="O1097" s="53">
        <v>99600495</v>
      </c>
      <c r="P1097" s="52">
        <v>99600495</v>
      </c>
      <c r="Q1097" s="43">
        <f t="shared" si="404"/>
        <v>0</v>
      </c>
      <c r="R1097" s="52"/>
      <c r="S1097" s="53">
        <v>99600495</v>
      </c>
      <c r="T1097" s="52">
        <v>50</v>
      </c>
      <c r="U1097" s="53">
        <f t="shared" ref="U1097" si="418">SUM(S1097/T1097)</f>
        <v>1992009.9</v>
      </c>
      <c r="V1097" s="52">
        <v>0.5</v>
      </c>
      <c r="W1097" s="53">
        <f t="shared" si="416"/>
        <v>996004.95</v>
      </c>
      <c r="X1097" s="57">
        <v>0.5</v>
      </c>
      <c r="Y1097" s="56">
        <f t="shared" si="411"/>
        <v>996004.95</v>
      </c>
      <c r="Z1097" s="56">
        <f t="shared" si="413"/>
        <v>1992009.9</v>
      </c>
      <c r="AA1097" s="57">
        <f>1/12+0.5+0.5+0.5+0.5+0.5+0.5+0.5+0.5</f>
        <v>4.0833333333333339</v>
      </c>
      <c r="AB1097" s="56">
        <f t="shared" ref="AB1097:AB1098" si="419">SUM(U1097*AA1097)</f>
        <v>8134040.4250000007</v>
      </c>
      <c r="AC1097" s="53">
        <f t="shared" si="415"/>
        <v>91466454.575000003</v>
      </c>
      <c r="AD1097" s="52" t="s">
        <v>1307</v>
      </c>
      <c r="AE1097" s="52"/>
      <c r="AF1097" s="8">
        <v>996004.95</v>
      </c>
      <c r="AG1097" s="5">
        <v>1992009.9</v>
      </c>
      <c r="AH1097" s="36">
        <v>4.0833333333333339</v>
      </c>
      <c r="AI1097" s="1">
        <v>8134040.4250000007</v>
      </c>
    </row>
    <row r="1098" spans="1:35" s="1" customFormat="1" x14ac:dyDescent="0.25">
      <c r="A1098" s="21">
        <v>11</v>
      </c>
      <c r="B1098" s="22" t="s">
        <v>1785</v>
      </c>
      <c r="C1098" s="65" t="s">
        <v>58</v>
      </c>
      <c r="D1098" s="24" t="s">
        <v>1328</v>
      </c>
      <c r="E1098" s="52"/>
      <c r="F1098" s="24"/>
      <c r="G1098" s="24" t="s">
        <v>1309</v>
      </c>
      <c r="H1098" s="24" t="s">
        <v>62</v>
      </c>
      <c r="I1098" s="24">
        <v>2012</v>
      </c>
      <c r="J1098" s="24"/>
      <c r="K1098" s="24"/>
      <c r="L1098" s="24" t="s">
        <v>64</v>
      </c>
      <c r="M1098" s="24">
        <v>1</v>
      </c>
      <c r="N1098" s="53">
        <v>66622500</v>
      </c>
      <c r="O1098" s="53">
        <v>66622500</v>
      </c>
      <c r="P1098" s="52">
        <v>66622500</v>
      </c>
      <c r="Q1098" s="43">
        <f t="shared" si="404"/>
        <v>0</v>
      </c>
      <c r="R1098" s="52"/>
      <c r="S1098" s="53">
        <v>66622500</v>
      </c>
      <c r="T1098" s="52">
        <v>50</v>
      </c>
      <c r="U1098" s="53">
        <f t="shared" ref="U1098" si="420">SUM(S1098/T1098)</f>
        <v>1332450</v>
      </c>
      <c r="V1098" s="52">
        <v>0.5</v>
      </c>
      <c r="W1098" s="53">
        <f t="shared" si="416"/>
        <v>666225</v>
      </c>
      <c r="X1098" s="57">
        <v>0.5</v>
      </c>
      <c r="Y1098" s="56">
        <f t="shared" si="411"/>
        <v>666225</v>
      </c>
      <c r="Z1098" s="56">
        <f t="shared" si="413"/>
        <v>1332450</v>
      </c>
      <c r="AA1098" s="52">
        <v>12</v>
      </c>
      <c r="AB1098" s="56">
        <f t="shared" si="419"/>
        <v>15989400</v>
      </c>
      <c r="AC1098" s="53">
        <f t="shared" si="415"/>
        <v>50633100</v>
      </c>
      <c r="AD1098" s="52" t="s">
        <v>1307</v>
      </c>
      <c r="AE1098" s="52"/>
      <c r="AF1098" s="8">
        <v>666225</v>
      </c>
      <c r="AG1098" s="5">
        <v>1332450</v>
      </c>
      <c r="AH1098" s="36">
        <v>12</v>
      </c>
      <c r="AI1098" s="1">
        <v>15989400</v>
      </c>
    </row>
    <row r="1099" spans="1:35" s="1" customFormat="1" x14ac:dyDescent="0.25">
      <c r="A1099" s="21">
        <v>12</v>
      </c>
      <c r="B1099" s="22" t="s">
        <v>1785</v>
      </c>
      <c r="C1099" s="187" t="s">
        <v>75</v>
      </c>
      <c r="D1099" s="24" t="s">
        <v>1335</v>
      </c>
      <c r="E1099" s="52"/>
      <c r="F1099" s="24"/>
      <c r="G1099" s="24" t="s">
        <v>1309</v>
      </c>
      <c r="H1099" s="24" t="s">
        <v>62</v>
      </c>
      <c r="I1099" s="24">
        <v>2015</v>
      </c>
      <c r="J1099" s="24"/>
      <c r="K1099" s="24"/>
      <c r="L1099" s="24" t="s">
        <v>64</v>
      </c>
      <c r="M1099" s="24">
        <v>1</v>
      </c>
      <c r="N1099" s="53">
        <f>4085000+54748000+2574000</f>
        <v>61407000</v>
      </c>
      <c r="O1099" s="53">
        <f>4085000+54748000+2574000</f>
        <v>61407000</v>
      </c>
      <c r="P1099" s="52">
        <v>61407000</v>
      </c>
      <c r="Q1099" s="43">
        <f t="shared" si="404"/>
        <v>0</v>
      </c>
      <c r="R1099" s="52"/>
      <c r="S1099" s="53">
        <v>61407000</v>
      </c>
      <c r="T1099" s="52">
        <v>50</v>
      </c>
      <c r="U1099" s="53">
        <f t="shared" ref="U1099" si="421">SUM(S1099/T1099)</f>
        <v>1228140</v>
      </c>
      <c r="V1099" s="52">
        <v>0.5</v>
      </c>
      <c r="W1099" s="53">
        <f t="shared" si="416"/>
        <v>614070</v>
      </c>
      <c r="X1099" s="57">
        <v>0.5</v>
      </c>
      <c r="Y1099" s="56">
        <f t="shared" si="411"/>
        <v>614070</v>
      </c>
      <c r="Z1099" s="56">
        <f t="shared" si="413"/>
        <v>1228140</v>
      </c>
      <c r="AA1099" s="52">
        <f>3.75+0.5+0.5+0.5+0.5+0.5+0.5+0.5+0.5</f>
        <v>7.75</v>
      </c>
      <c r="AB1099" s="56">
        <f t="shared" ref="AB1099:AB1106" si="422">SUM(U1099*AA1099)</f>
        <v>9518085</v>
      </c>
      <c r="AC1099" s="53">
        <f t="shared" si="415"/>
        <v>51888915</v>
      </c>
      <c r="AD1099" s="52" t="s">
        <v>1307</v>
      </c>
      <c r="AE1099" s="52"/>
      <c r="AF1099" s="8">
        <v>614070</v>
      </c>
      <c r="AG1099" s="5">
        <v>1228140</v>
      </c>
      <c r="AH1099" s="36">
        <v>7.75</v>
      </c>
      <c r="AI1099" s="1">
        <v>9518085</v>
      </c>
    </row>
    <row r="1100" spans="1:35" s="1" customFormat="1" x14ac:dyDescent="0.25">
      <c r="A1100" s="21">
        <v>13</v>
      </c>
      <c r="B1100" s="22" t="s">
        <v>1786</v>
      </c>
      <c r="C1100" s="65" t="s">
        <v>58</v>
      </c>
      <c r="D1100" s="24" t="s">
        <v>1313</v>
      </c>
      <c r="E1100" s="52"/>
      <c r="F1100" s="24"/>
      <c r="G1100" s="24" t="s">
        <v>1309</v>
      </c>
      <c r="H1100" s="24" t="s">
        <v>62</v>
      </c>
      <c r="I1100" s="24">
        <v>1985</v>
      </c>
      <c r="J1100" s="24"/>
      <c r="K1100" s="24"/>
      <c r="L1100" s="24" t="s">
        <v>64</v>
      </c>
      <c r="M1100" s="24">
        <v>1</v>
      </c>
      <c r="N1100" s="53">
        <v>536413000</v>
      </c>
      <c r="O1100" s="53">
        <v>536413000</v>
      </c>
      <c r="P1100" s="52">
        <v>536413000</v>
      </c>
      <c r="Q1100" s="43">
        <f t="shared" si="404"/>
        <v>0</v>
      </c>
      <c r="R1100" s="52"/>
      <c r="S1100" s="53">
        <v>536413000</v>
      </c>
      <c r="T1100" s="52">
        <v>50</v>
      </c>
      <c r="U1100" s="53">
        <f t="shared" ref="U1100:U1106" si="423">SUM(S1100/T1100)</f>
        <v>10728260</v>
      </c>
      <c r="V1100" s="52">
        <v>0.5</v>
      </c>
      <c r="W1100" s="53">
        <f t="shared" si="416"/>
        <v>5364130</v>
      </c>
      <c r="X1100" s="57">
        <v>0.5</v>
      </c>
      <c r="Y1100" s="56">
        <f t="shared" si="411"/>
        <v>5364130</v>
      </c>
      <c r="Z1100" s="56">
        <f t="shared" si="413"/>
        <v>10728260</v>
      </c>
      <c r="AA1100" s="52">
        <f>34.5+0.5+0.5+0.5+0.5+0.5+0.5+0.5+0.5</f>
        <v>38.5</v>
      </c>
      <c r="AB1100" s="56">
        <f t="shared" si="422"/>
        <v>413038010</v>
      </c>
      <c r="AC1100" s="53">
        <f t="shared" si="415"/>
        <v>123374990</v>
      </c>
      <c r="AD1100" s="52" t="s">
        <v>1307</v>
      </c>
      <c r="AE1100" s="52"/>
      <c r="AF1100" s="8">
        <v>5364130</v>
      </c>
      <c r="AG1100" s="5">
        <v>10728260</v>
      </c>
      <c r="AH1100" s="36">
        <v>38.5</v>
      </c>
      <c r="AI1100" s="1">
        <v>413038010</v>
      </c>
    </row>
    <row r="1101" spans="1:35" s="1" customFormat="1" x14ac:dyDescent="0.25">
      <c r="A1101" s="21">
        <v>14</v>
      </c>
      <c r="B1101" s="22" t="s">
        <v>1787</v>
      </c>
      <c r="C1101" s="65" t="s">
        <v>58</v>
      </c>
      <c r="D1101" s="24" t="s">
        <v>778</v>
      </c>
      <c r="E1101" s="52"/>
      <c r="F1101" s="24"/>
      <c r="G1101" s="24" t="s">
        <v>466</v>
      </c>
      <c r="H1101" s="24" t="s">
        <v>62</v>
      </c>
      <c r="I1101" s="24">
        <v>2014</v>
      </c>
      <c r="J1101" s="24"/>
      <c r="K1101" s="24"/>
      <c r="L1101" s="24" t="s">
        <v>64</v>
      </c>
      <c r="M1101" s="24">
        <v>1</v>
      </c>
      <c r="N1101" s="53">
        <f>29780400+58277100+8200000+15935000+10400000+5324000+135979900+69487600+80725000</f>
        <v>414109000</v>
      </c>
      <c r="O1101" s="53">
        <f>29780400+58277100+8200000+15935000+10400000+5324000+135979900+69487600+80725000</f>
        <v>414109000</v>
      </c>
      <c r="P1101" s="52">
        <v>414109000</v>
      </c>
      <c r="Q1101" s="43">
        <f t="shared" si="404"/>
        <v>0</v>
      </c>
      <c r="R1101" s="52"/>
      <c r="S1101" s="53">
        <v>414109000</v>
      </c>
      <c r="T1101" s="52">
        <v>50</v>
      </c>
      <c r="U1101" s="53">
        <f t="shared" si="423"/>
        <v>8282180</v>
      </c>
      <c r="V1101" s="52">
        <v>0.5</v>
      </c>
      <c r="W1101" s="53">
        <f t="shared" si="416"/>
        <v>4141090</v>
      </c>
      <c r="X1101" s="57">
        <v>0.5</v>
      </c>
      <c r="Y1101" s="56">
        <f t="shared" si="411"/>
        <v>4141090</v>
      </c>
      <c r="Z1101" s="56">
        <f t="shared" si="413"/>
        <v>8282180</v>
      </c>
      <c r="AA1101" s="52">
        <v>10</v>
      </c>
      <c r="AB1101" s="56">
        <f t="shared" si="422"/>
        <v>82821800</v>
      </c>
      <c r="AC1101" s="53">
        <f t="shared" si="415"/>
        <v>331287200</v>
      </c>
      <c r="AD1101" s="52" t="s">
        <v>1307</v>
      </c>
      <c r="AE1101" s="52"/>
      <c r="AF1101" s="8">
        <v>4141090</v>
      </c>
      <c r="AG1101" s="5">
        <v>8282180</v>
      </c>
      <c r="AH1101" s="36">
        <v>10</v>
      </c>
      <c r="AI1101" s="1">
        <v>82821800</v>
      </c>
    </row>
    <row r="1102" spans="1:35" s="1" customFormat="1" x14ac:dyDescent="0.25">
      <c r="A1102" s="21">
        <v>15</v>
      </c>
      <c r="B1102" s="22" t="s">
        <v>1788</v>
      </c>
      <c r="C1102" s="187" t="s">
        <v>58</v>
      </c>
      <c r="D1102" s="24" t="s">
        <v>564</v>
      </c>
      <c r="E1102" s="52"/>
      <c r="F1102" s="24"/>
      <c r="G1102" s="24" t="s">
        <v>1309</v>
      </c>
      <c r="H1102" s="24" t="s">
        <v>62</v>
      </c>
      <c r="I1102" s="24">
        <v>1985</v>
      </c>
      <c r="J1102" s="24"/>
      <c r="K1102" s="24"/>
      <c r="L1102" s="24" t="s">
        <v>64</v>
      </c>
      <c r="M1102" s="24">
        <v>1</v>
      </c>
      <c r="N1102" s="53">
        <v>38124000</v>
      </c>
      <c r="O1102" s="53">
        <v>38124000</v>
      </c>
      <c r="P1102" s="52">
        <v>38124000</v>
      </c>
      <c r="Q1102" s="43">
        <f t="shared" si="404"/>
        <v>0</v>
      </c>
      <c r="R1102" s="52"/>
      <c r="S1102" s="53">
        <v>38124000</v>
      </c>
      <c r="T1102" s="52">
        <v>50</v>
      </c>
      <c r="U1102" s="53">
        <f t="shared" si="423"/>
        <v>762480</v>
      </c>
      <c r="V1102" s="52">
        <v>0.5</v>
      </c>
      <c r="W1102" s="53">
        <f t="shared" si="416"/>
        <v>381240</v>
      </c>
      <c r="X1102" s="57">
        <v>0.5</v>
      </c>
      <c r="Y1102" s="56">
        <f t="shared" si="411"/>
        <v>381240</v>
      </c>
      <c r="Z1102" s="56">
        <f t="shared" si="413"/>
        <v>762480</v>
      </c>
      <c r="AA1102" s="52">
        <f>36.5+0.5+0.5+0.5+0.5+0.5</f>
        <v>39</v>
      </c>
      <c r="AB1102" s="56">
        <f t="shared" si="422"/>
        <v>29736720</v>
      </c>
      <c r="AC1102" s="53">
        <f t="shared" si="415"/>
        <v>8387280</v>
      </c>
      <c r="AD1102" s="24" t="s">
        <v>1307</v>
      </c>
      <c r="AE1102" s="24"/>
      <c r="AF1102" s="8">
        <v>381240</v>
      </c>
      <c r="AG1102" s="5">
        <v>762480</v>
      </c>
      <c r="AH1102" s="36">
        <v>39</v>
      </c>
      <c r="AI1102" s="1">
        <v>29736720</v>
      </c>
    </row>
    <row r="1103" spans="1:35" s="1" customFormat="1" x14ac:dyDescent="0.25">
      <c r="A1103" s="21">
        <v>16</v>
      </c>
      <c r="B1103" s="22" t="s">
        <v>1788</v>
      </c>
      <c r="C1103" s="187" t="s">
        <v>58</v>
      </c>
      <c r="D1103" s="24" t="s">
        <v>1322</v>
      </c>
      <c r="E1103" s="52"/>
      <c r="F1103" s="24"/>
      <c r="G1103" s="24" t="s">
        <v>1309</v>
      </c>
      <c r="H1103" s="24" t="s">
        <v>62</v>
      </c>
      <c r="I1103" s="24">
        <v>2010</v>
      </c>
      <c r="J1103" s="24"/>
      <c r="K1103" s="24"/>
      <c r="L1103" s="24" t="s">
        <v>64</v>
      </c>
      <c r="M1103" s="24">
        <v>1</v>
      </c>
      <c r="N1103" s="53">
        <v>98568400</v>
      </c>
      <c r="O1103" s="53">
        <v>98568400</v>
      </c>
      <c r="P1103" s="52">
        <v>98568400</v>
      </c>
      <c r="Q1103" s="43">
        <f t="shared" si="404"/>
        <v>0</v>
      </c>
      <c r="R1103" s="52"/>
      <c r="S1103" s="53">
        <v>98568400</v>
      </c>
      <c r="T1103" s="52">
        <v>50</v>
      </c>
      <c r="U1103" s="53">
        <f t="shared" si="423"/>
        <v>1971368</v>
      </c>
      <c r="V1103" s="52">
        <v>0.5</v>
      </c>
      <c r="W1103" s="53">
        <f t="shared" si="416"/>
        <v>985684</v>
      </c>
      <c r="X1103" s="57"/>
      <c r="Y1103" s="56">
        <f t="shared" si="411"/>
        <v>0</v>
      </c>
      <c r="Z1103" s="56">
        <f t="shared" si="413"/>
        <v>985684</v>
      </c>
      <c r="AA1103" s="52">
        <v>13</v>
      </c>
      <c r="AB1103" s="56">
        <f t="shared" si="422"/>
        <v>25627784</v>
      </c>
      <c r="AC1103" s="53"/>
      <c r="AD1103" s="52" t="s">
        <v>1307</v>
      </c>
      <c r="AE1103" s="52"/>
      <c r="AF1103" s="8">
        <v>0</v>
      </c>
      <c r="AG1103" s="5">
        <v>985684</v>
      </c>
      <c r="AH1103" s="36">
        <v>13</v>
      </c>
      <c r="AI1103" s="1">
        <v>25627784</v>
      </c>
    </row>
    <row r="1104" spans="1:35" s="1" customFormat="1" x14ac:dyDescent="0.25">
      <c r="A1104" s="21"/>
      <c r="B1104" s="22"/>
      <c r="C1104" s="187"/>
      <c r="D1104" s="24"/>
      <c r="E1104" s="52"/>
      <c r="F1104" s="24"/>
      <c r="G1104" s="24"/>
      <c r="H1104" s="24"/>
      <c r="I1104" s="24"/>
      <c r="J1104" s="24"/>
      <c r="K1104" s="24"/>
      <c r="L1104" s="24"/>
      <c r="M1104" s="24"/>
      <c r="N1104" s="53">
        <v>50000000</v>
      </c>
      <c r="O1104" s="53">
        <v>50000000</v>
      </c>
      <c r="P1104" s="52">
        <v>50000000</v>
      </c>
      <c r="Q1104" s="43">
        <f t="shared" si="404"/>
        <v>0</v>
      </c>
      <c r="R1104" s="52"/>
      <c r="S1104" s="53">
        <v>123926300</v>
      </c>
      <c r="T1104" s="52">
        <f>T1103-AA1103</f>
        <v>37</v>
      </c>
      <c r="U1104" s="53">
        <f t="shared" si="423"/>
        <v>3349359.4594594594</v>
      </c>
      <c r="V1104" s="52">
        <v>0.5</v>
      </c>
      <c r="W1104" s="53">
        <f>SUM(U1104*V1104)+37215.11</f>
        <v>1711894.8397297298</v>
      </c>
      <c r="X1104" s="57"/>
      <c r="Y1104" s="56">
        <f t="shared" si="411"/>
        <v>0</v>
      </c>
      <c r="Z1104" s="56">
        <f t="shared" si="413"/>
        <v>1711894.8397297298</v>
      </c>
      <c r="AA1104" s="57">
        <f>4/12+0.5+0.5</f>
        <v>1.3333333333333333</v>
      </c>
      <c r="AB1104" s="56">
        <f t="shared" si="422"/>
        <v>4465812.6126126125</v>
      </c>
      <c r="AC1104" s="53"/>
      <c r="AD1104" s="52"/>
      <c r="AE1104" s="52"/>
      <c r="AF1104" s="8">
        <v>0</v>
      </c>
      <c r="AG1104" s="5">
        <v>1711894.8397297298</v>
      </c>
      <c r="AH1104" s="36">
        <v>1.3333333333333333</v>
      </c>
      <c r="AI1104" s="1">
        <v>4465812.6126126125</v>
      </c>
    </row>
    <row r="1105" spans="1:35" s="1" customFormat="1" x14ac:dyDescent="0.25">
      <c r="A1105" s="21"/>
      <c r="B1105" s="22"/>
      <c r="C1105" s="187"/>
      <c r="D1105" s="24"/>
      <c r="E1105" s="52"/>
      <c r="F1105" s="24"/>
      <c r="G1105" s="24"/>
      <c r="H1105" s="24"/>
      <c r="I1105" s="24"/>
      <c r="J1105" s="24"/>
      <c r="K1105" s="24"/>
      <c r="L1105" s="24"/>
      <c r="M1105" s="24"/>
      <c r="N1105" s="311">
        <v>149951695</v>
      </c>
      <c r="O1105" s="311">
        <v>74875847</v>
      </c>
      <c r="P1105" s="310"/>
      <c r="Q1105" s="362">
        <f t="shared" si="404"/>
        <v>74875847</v>
      </c>
      <c r="R1105" s="310"/>
      <c r="S1105" s="311">
        <v>194336334.38738698</v>
      </c>
      <c r="T1105" s="312">
        <f>T1104-AA1104</f>
        <v>35.666666666666664</v>
      </c>
      <c r="U1105" s="311">
        <f t="shared" si="423"/>
        <v>5448682.2725435607</v>
      </c>
      <c r="V1105" s="312">
        <f>1/12</f>
        <v>8.3333333333333329E-2</v>
      </c>
      <c r="W1105" s="311">
        <f>SUM(U1105*V1105)</f>
        <v>454056.85604529671</v>
      </c>
      <c r="X1105" s="363"/>
      <c r="Y1105" s="313">
        <f t="shared" si="411"/>
        <v>0</v>
      </c>
      <c r="Z1105" s="313">
        <f t="shared" si="413"/>
        <v>454056.85604529671</v>
      </c>
      <c r="AA1105" s="312">
        <f>1/12</f>
        <v>8.3333333333333329E-2</v>
      </c>
      <c r="AB1105" s="313">
        <f t="shared" si="422"/>
        <v>454056.85604529671</v>
      </c>
      <c r="AC1105" s="311"/>
      <c r="AD1105" s="52"/>
      <c r="AE1105" s="52"/>
      <c r="AF1105" s="8">
        <v>3776806.2951502907</v>
      </c>
      <c r="AG1105" s="5">
        <v>4406274.0110086724</v>
      </c>
      <c r="AH1105" s="36">
        <v>0.58333333333333337</v>
      </c>
      <c r="AI1105" s="1">
        <v>4406274.0110086724</v>
      </c>
    </row>
    <row r="1106" spans="1:35" s="1" customFormat="1" x14ac:dyDescent="0.25">
      <c r="A1106" s="21"/>
      <c r="B1106" s="22"/>
      <c r="C1106" s="187"/>
      <c r="D1106" s="24"/>
      <c r="E1106" s="52"/>
      <c r="F1106" s="24"/>
      <c r="G1106" s="24"/>
      <c r="H1106" s="24"/>
      <c r="I1106" s="24"/>
      <c r="J1106" s="24"/>
      <c r="K1106" s="24"/>
      <c r="L1106" s="24"/>
      <c r="M1106" s="24"/>
      <c r="N1106" s="311"/>
      <c r="O1106" s="366">
        <v>75075848</v>
      </c>
      <c r="P1106" s="188"/>
      <c r="Q1106" s="377">
        <v>75075848</v>
      </c>
      <c r="R1106" s="188"/>
      <c r="S1106" s="366">
        <v>268958125.53134203</v>
      </c>
      <c r="T1106" s="367">
        <f>T1105-AA1105</f>
        <v>35.583333333333329</v>
      </c>
      <c r="U1106" s="366">
        <f t="shared" si="423"/>
        <v>7558542.1694990741</v>
      </c>
      <c r="V1106" s="367"/>
      <c r="W1106" s="366"/>
      <c r="X1106" s="367">
        <f>7/12</f>
        <v>0.58333333333333337</v>
      </c>
      <c r="Y1106" s="368">
        <f t="shared" si="411"/>
        <v>4409149.59887446</v>
      </c>
      <c r="Z1106" s="368">
        <f t="shared" si="413"/>
        <v>4409149.59887446</v>
      </c>
      <c r="AA1106" s="367">
        <f>7/12</f>
        <v>0.58333333333333337</v>
      </c>
      <c r="AB1106" s="368">
        <f t="shared" si="422"/>
        <v>4409149.59887446</v>
      </c>
      <c r="AC1106" s="366">
        <f t="shared" ref="AC1106" si="424">SUM(S1106-AB1106)</f>
        <v>264548975.93246758</v>
      </c>
      <c r="AD1106" s="52"/>
      <c r="AE1106" s="52"/>
      <c r="AF1106" s="8"/>
      <c r="AG1106" s="5"/>
      <c r="AH1106" s="36"/>
    </row>
    <row r="1107" spans="1:35" s="1" customFormat="1" x14ac:dyDescent="0.25">
      <c r="A1107" s="21">
        <v>17</v>
      </c>
      <c r="B1107" s="22" t="s">
        <v>1788</v>
      </c>
      <c r="C1107" s="65" t="s">
        <v>75</v>
      </c>
      <c r="D1107" s="24" t="s">
        <v>1789</v>
      </c>
      <c r="E1107" s="52"/>
      <c r="F1107" s="24"/>
      <c r="G1107" s="24" t="s">
        <v>1309</v>
      </c>
      <c r="H1107" s="24" t="s">
        <v>62</v>
      </c>
      <c r="I1107" s="24">
        <v>2017</v>
      </c>
      <c r="J1107" s="24"/>
      <c r="K1107" s="24"/>
      <c r="L1107" s="24" t="s">
        <v>64</v>
      </c>
      <c r="M1107" s="24">
        <v>1</v>
      </c>
      <c r="N1107" s="53">
        <v>141313000</v>
      </c>
      <c r="O1107" s="53">
        <v>141313000</v>
      </c>
      <c r="P1107" s="52">
        <v>141313000</v>
      </c>
      <c r="Q1107" s="43">
        <f>O1107-P1107</f>
        <v>0</v>
      </c>
      <c r="R1107" s="52"/>
      <c r="S1107" s="53">
        <v>141313000</v>
      </c>
      <c r="T1107" s="52">
        <v>50</v>
      </c>
      <c r="U1107" s="53">
        <f>SUM(S1107/T1107)</f>
        <v>2826260</v>
      </c>
      <c r="V1107" s="52">
        <v>0.5</v>
      </c>
      <c r="W1107" s="53">
        <f>SUM(U1107*V1107)</f>
        <v>1413130</v>
      </c>
      <c r="X1107" s="52">
        <v>0.5</v>
      </c>
      <c r="Y1107" s="56">
        <f>SUM(U1107*X1107)</f>
        <v>1413130</v>
      </c>
      <c r="Z1107" s="56">
        <f>W1107+Y1107</f>
        <v>2826260</v>
      </c>
      <c r="AA1107" s="57">
        <f>1.66666666666667+0.5+0.5+0.5+0.5+0.5+0.5+0.5+0.5</f>
        <v>5.6666666666666696</v>
      </c>
      <c r="AB1107" s="56">
        <f>SUM(U1107*AA1107)</f>
        <v>16015473.333333341</v>
      </c>
      <c r="AC1107" s="53">
        <f>SUM(S1107-AB1107)</f>
        <v>125297526.66666666</v>
      </c>
      <c r="AD1107" s="52" t="s">
        <v>1307</v>
      </c>
      <c r="AE1107" s="52"/>
      <c r="AF1107" s="8">
        <v>1413130</v>
      </c>
      <c r="AG1107" s="5">
        <v>2826260</v>
      </c>
      <c r="AH1107" s="36">
        <v>5.6666666666666696</v>
      </c>
      <c r="AI1107" s="1">
        <v>16015473.333333341</v>
      </c>
    </row>
    <row r="1108" spans="1:35" s="1" customFormat="1" x14ac:dyDescent="0.25">
      <c r="A1108" s="21">
        <v>18</v>
      </c>
      <c r="B1108" s="22" t="s">
        <v>1788</v>
      </c>
      <c r="C1108" s="65" t="s">
        <v>79</v>
      </c>
      <c r="D1108" s="24" t="s">
        <v>1337</v>
      </c>
      <c r="E1108" s="52"/>
      <c r="F1108" s="24"/>
      <c r="G1108" s="24" t="s">
        <v>1309</v>
      </c>
      <c r="H1108" s="24" t="s">
        <v>62</v>
      </c>
      <c r="I1108" s="24">
        <v>2018</v>
      </c>
      <c r="J1108" s="24"/>
      <c r="K1108" s="24"/>
      <c r="L1108" s="24" t="s">
        <v>64</v>
      </c>
      <c r="M1108" s="24">
        <v>1</v>
      </c>
      <c r="N1108" s="53">
        <v>146870000</v>
      </c>
      <c r="O1108" s="53">
        <v>146870000</v>
      </c>
      <c r="P1108" s="52">
        <v>146870000</v>
      </c>
      <c r="Q1108" s="43">
        <f>O1108-P1108</f>
        <v>0</v>
      </c>
      <c r="R1108" s="52"/>
      <c r="S1108" s="53">
        <v>146870000</v>
      </c>
      <c r="T1108" s="52">
        <v>50</v>
      </c>
      <c r="U1108" s="53">
        <f>SUM(S1108/T1108)</f>
        <v>2937400</v>
      </c>
      <c r="V1108" s="52">
        <v>0.5</v>
      </c>
      <c r="W1108" s="53">
        <f>SUM(U1108*V1108)</f>
        <v>1468700</v>
      </c>
      <c r="X1108" s="52">
        <v>0.5</v>
      </c>
      <c r="Y1108" s="56">
        <f>SUM(U1108*X1108)</f>
        <v>1468700</v>
      </c>
      <c r="Z1108" s="56">
        <f>W1108+Y1108</f>
        <v>2937400</v>
      </c>
      <c r="AA1108" s="57">
        <f>1.08333333333333+0.5+0.5+0.5+0.5+0.5+0.5+0.5+0.5</f>
        <v>5.0833333333333304</v>
      </c>
      <c r="AB1108" s="56">
        <f>SUM(U1108*AA1108)</f>
        <v>14931783.333333325</v>
      </c>
      <c r="AC1108" s="53">
        <f>SUM(S1108-AB1108)</f>
        <v>131938216.66666667</v>
      </c>
      <c r="AD1108" s="52" t="s">
        <v>1307</v>
      </c>
      <c r="AE1108" s="52"/>
      <c r="AF1108" s="8">
        <v>1468700</v>
      </c>
      <c r="AG1108" s="5">
        <v>2937400</v>
      </c>
      <c r="AH1108" s="36">
        <v>5.0833333333333304</v>
      </c>
      <c r="AI1108" s="1">
        <v>14931783.333333325</v>
      </c>
    </row>
    <row r="1109" spans="1:35" s="1" customFormat="1" x14ac:dyDescent="0.25">
      <c r="A1109" s="21">
        <v>19</v>
      </c>
      <c r="B1109" s="22" t="s">
        <v>1790</v>
      </c>
      <c r="C1109" s="65" t="s">
        <v>58</v>
      </c>
      <c r="D1109" s="24" t="s">
        <v>1314</v>
      </c>
      <c r="E1109" s="52"/>
      <c r="F1109" s="24"/>
      <c r="G1109" s="24" t="s">
        <v>1309</v>
      </c>
      <c r="H1109" s="24" t="s">
        <v>62</v>
      </c>
      <c r="I1109" s="24">
        <v>1985</v>
      </c>
      <c r="J1109" s="24"/>
      <c r="K1109" s="24"/>
      <c r="L1109" s="24" t="s">
        <v>64</v>
      </c>
      <c r="M1109" s="24">
        <v>1</v>
      </c>
      <c r="N1109" s="53">
        <f>544598000</f>
        <v>544598000</v>
      </c>
      <c r="O1109" s="53">
        <f>544598000</f>
        <v>544598000</v>
      </c>
      <c r="P1109" s="52">
        <v>544598000</v>
      </c>
      <c r="Q1109" s="43">
        <f t="shared" ref="Q1109:Q1138" si="425">O1109-P1109</f>
        <v>0</v>
      </c>
      <c r="R1109" s="52"/>
      <c r="S1109" s="53"/>
      <c r="T1109" s="52"/>
      <c r="U1109" s="53"/>
      <c r="V1109" s="52"/>
      <c r="W1109" s="53"/>
      <c r="X1109" s="52"/>
      <c r="Y1109" s="56">
        <f t="shared" ref="Y1109:Y1120" si="426">SUM(U1109*X1109)</f>
        <v>0</v>
      </c>
      <c r="Z1109" s="56">
        <f t="shared" ref="Z1109:Z1129" si="427">W1109+Y1109</f>
        <v>0</v>
      </c>
      <c r="AA1109" s="52">
        <v>31.5</v>
      </c>
      <c r="AB1109" s="56">
        <v>343096740</v>
      </c>
      <c r="AC1109" s="53"/>
      <c r="AD1109" s="52"/>
      <c r="AE1109" s="52"/>
      <c r="AF1109" s="8">
        <v>0</v>
      </c>
      <c r="AG1109" s="5">
        <v>0</v>
      </c>
      <c r="AH1109" s="36">
        <v>31.5</v>
      </c>
      <c r="AI1109" s="1">
        <v>343096740</v>
      </c>
    </row>
    <row r="1110" spans="1:35" s="1" customFormat="1" x14ac:dyDescent="0.25">
      <c r="A1110" s="21"/>
      <c r="B1110" s="22"/>
      <c r="C1110" s="65"/>
      <c r="D1110" s="24"/>
      <c r="E1110" s="52"/>
      <c r="F1110" s="24"/>
      <c r="G1110" s="24"/>
      <c r="H1110" s="24"/>
      <c r="I1110" s="24"/>
      <c r="J1110" s="24"/>
      <c r="K1110" s="24"/>
      <c r="L1110" s="24"/>
      <c r="M1110" s="24"/>
      <c r="N1110" s="53">
        <v>24950000</v>
      </c>
      <c r="O1110" s="53">
        <v>24950000</v>
      </c>
      <c r="P1110" s="52">
        <v>24950000</v>
      </c>
      <c r="Q1110" s="43">
        <f t="shared" si="425"/>
        <v>0</v>
      </c>
      <c r="R1110" s="52"/>
      <c r="S1110" s="53"/>
      <c r="T1110" s="52"/>
      <c r="U1110" s="53"/>
      <c r="V1110" s="52"/>
      <c r="W1110" s="53"/>
      <c r="X1110" s="52"/>
      <c r="Y1110" s="56">
        <f t="shared" si="426"/>
        <v>0</v>
      </c>
      <c r="Z1110" s="56">
        <f t="shared" si="427"/>
        <v>0</v>
      </c>
      <c r="AA1110" s="52">
        <v>1.25</v>
      </c>
      <c r="AB1110" s="56">
        <v>14898109.210526317</v>
      </c>
      <c r="AC1110" s="53"/>
      <c r="AD1110" s="52"/>
      <c r="AE1110" s="52"/>
      <c r="AF1110" s="8">
        <v>0</v>
      </c>
      <c r="AG1110" s="5">
        <v>0</v>
      </c>
      <c r="AH1110" s="36">
        <v>1.25</v>
      </c>
      <c r="AI1110" s="1">
        <v>14898109.210526317</v>
      </c>
    </row>
    <row r="1111" spans="1:35" s="1" customFormat="1" x14ac:dyDescent="0.25">
      <c r="A1111" s="21"/>
      <c r="B1111" s="22"/>
      <c r="C1111" s="65"/>
      <c r="D1111" s="24"/>
      <c r="E1111" s="52"/>
      <c r="F1111" s="24"/>
      <c r="G1111" s="24"/>
      <c r="H1111" s="24"/>
      <c r="I1111" s="24"/>
      <c r="J1111" s="24"/>
      <c r="K1111" s="24"/>
      <c r="L1111" s="24"/>
      <c r="M1111" s="24"/>
      <c r="N1111" s="53">
        <v>142253000</v>
      </c>
      <c r="O1111" s="53">
        <v>142253000</v>
      </c>
      <c r="P1111" s="52">
        <v>142253000</v>
      </c>
      <c r="Q1111" s="43">
        <f t="shared" si="425"/>
        <v>0</v>
      </c>
      <c r="R1111" s="52"/>
      <c r="S1111" s="53">
        <v>353806150.78947401</v>
      </c>
      <c r="T1111" s="52">
        <v>18.5</v>
      </c>
      <c r="U1111" s="53">
        <f t="shared" ref="U1111:U1120" si="428">SUM(S1111/T1111)</f>
        <v>19124656.799431026</v>
      </c>
      <c r="V1111" s="52">
        <v>0.25</v>
      </c>
      <c r="W1111" s="53"/>
      <c r="X1111" s="52"/>
      <c r="Y1111" s="56"/>
      <c r="Z1111" s="56">
        <f t="shared" si="427"/>
        <v>0</v>
      </c>
      <c r="AA1111" s="52">
        <v>0.25</v>
      </c>
      <c r="AB1111" s="56">
        <f t="shared" ref="AB1111:AB1120" si="429">SUM(U1111*AA1111)</f>
        <v>4781164.1998577565</v>
      </c>
      <c r="AC1111" s="53"/>
      <c r="AD1111" s="52"/>
      <c r="AE1111" s="52"/>
      <c r="AF1111" s="8"/>
      <c r="AG1111" s="5">
        <v>0</v>
      </c>
      <c r="AH1111" s="36">
        <v>0.25</v>
      </c>
      <c r="AI1111" s="1">
        <v>4781164.1998577565</v>
      </c>
    </row>
    <row r="1112" spans="1:35" s="1" customFormat="1" x14ac:dyDescent="0.25">
      <c r="A1112" s="21"/>
      <c r="B1112" s="22"/>
      <c r="C1112" s="65"/>
      <c r="D1112" s="24"/>
      <c r="E1112" s="52"/>
      <c r="F1112" s="24"/>
      <c r="G1112" s="24"/>
      <c r="H1112" s="24"/>
      <c r="I1112" s="24"/>
      <c r="J1112" s="24"/>
      <c r="K1112" s="24"/>
      <c r="L1112" s="24"/>
      <c r="M1112" s="24"/>
      <c r="N1112" s="53">
        <v>21594000</v>
      </c>
      <c r="O1112" s="53">
        <v>21594000</v>
      </c>
      <c r="P1112" s="52">
        <v>21594000</v>
      </c>
      <c r="Q1112" s="43">
        <f t="shared" si="425"/>
        <v>0</v>
      </c>
      <c r="R1112" s="52"/>
      <c r="S1112" s="53">
        <v>370618986.58961624</v>
      </c>
      <c r="T1112" s="52">
        <v>19</v>
      </c>
      <c r="U1112" s="53">
        <f t="shared" si="428"/>
        <v>19506262.452085067</v>
      </c>
      <c r="V1112" s="52">
        <v>0.5</v>
      </c>
      <c r="W1112" s="53">
        <f t="shared" ref="W1112:W1120" si="430">SUM(U1112*V1112)</f>
        <v>9753131.2260425333</v>
      </c>
      <c r="X1112" s="52">
        <v>0.5</v>
      </c>
      <c r="Y1112" s="56">
        <f t="shared" si="426"/>
        <v>9753131.2260425333</v>
      </c>
      <c r="Z1112" s="56">
        <f t="shared" si="427"/>
        <v>19506262.452085067</v>
      </c>
      <c r="AA1112" s="52">
        <f>1.25+0.5+0.5+0.5+0.5+0.5+0.5+0.5+0.5</f>
        <v>5.25</v>
      </c>
      <c r="AB1112" s="56">
        <f t="shared" si="429"/>
        <v>102407877.8734466</v>
      </c>
      <c r="AC1112" s="53">
        <f t="shared" ref="AC1112:AC1120" si="431">SUM(S1112-AB1112)</f>
        <v>268211108.71616966</v>
      </c>
      <c r="AD1112" s="52"/>
      <c r="AE1112" s="52"/>
      <c r="AF1112" s="8">
        <v>9753131.2260425333</v>
      </c>
      <c r="AG1112" s="5">
        <v>19506262.452085067</v>
      </c>
      <c r="AH1112" s="36">
        <v>5.25</v>
      </c>
      <c r="AI1112" s="1">
        <v>102407877.8734466</v>
      </c>
    </row>
    <row r="1113" spans="1:35" s="1" customFormat="1" x14ac:dyDescent="0.25">
      <c r="A1113" s="21">
        <v>20</v>
      </c>
      <c r="B1113" s="22" t="s">
        <v>1790</v>
      </c>
      <c r="C1113" s="187" t="s">
        <v>75</v>
      </c>
      <c r="D1113" s="24" t="s">
        <v>1320</v>
      </c>
      <c r="E1113" s="52"/>
      <c r="F1113" s="24"/>
      <c r="G1113" s="24" t="s">
        <v>1309</v>
      </c>
      <c r="H1113" s="24" t="s">
        <v>62</v>
      </c>
      <c r="I1113" s="24">
        <v>2012</v>
      </c>
      <c r="J1113" s="24"/>
      <c r="K1113" s="24"/>
      <c r="L1113" s="24" t="s">
        <v>64</v>
      </c>
      <c r="M1113" s="24">
        <v>1</v>
      </c>
      <c r="N1113" s="53">
        <v>70736000</v>
      </c>
      <c r="O1113" s="53">
        <v>70736000</v>
      </c>
      <c r="P1113" s="52">
        <v>70736000</v>
      </c>
      <c r="Q1113" s="43">
        <f>O1113-P1113</f>
        <v>0</v>
      </c>
      <c r="R1113" s="52"/>
      <c r="S1113" s="53">
        <v>70736000</v>
      </c>
      <c r="T1113" s="52">
        <v>50</v>
      </c>
      <c r="U1113" s="53">
        <f>SUM(S1113/T1113)</f>
        <v>1414720</v>
      </c>
      <c r="V1113" s="52">
        <v>0.5</v>
      </c>
      <c r="W1113" s="53">
        <f>SUM(U1113*V1113)</f>
        <v>707360</v>
      </c>
      <c r="X1113" s="54">
        <v>0.5</v>
      </c>
      <c r="Y1113" s="56">
        <f>SUM(U1113*X1113)</f>
        <v>707360</v>
      </c>
      <c r="Z1113" s="56">
        <f>W1113+Y1113</f>
        <v>1414720</v>
      </c>
      <c r="AA1113" s="52">
        <v>12</v>
      </c>
      <c r="AB1113" s="56">
        <f>SUM(U1113*AA1113)</f>
        <v>16976640</v>
      </c>
      <c r="AC1113" s="53">
        <f>SUM(S1113-AB1113)</f>
        <v>53759360</v>
      </c>
      <c r="AD1113" s="52" t="s">
        <v>1307</v>
      </c>
      <c r="AE1113" s="52"/>
      <c r="AF1113" s="8">
        <v>707360</v>
      </c>
      <c r="AG1113" s="5">
        <v>1414720</v>
      </c>
      <c r="AH1113" s="36">
        <v>12</v>
      </c>
      <c r="AI1113" s="1">
        <v>16976640</v>
      </c>
    </row>
    <row r="1114" spans="1:35" s="1" customFormat="1" x14ac:dyDescent="0.25">
      <c r="A1114" s="21">
        <v>21</v>
      </c>
      <c r="B1114" s="22" t="s">
        <v>1788</v>
      </c>
      <c r="C1114" s="65" t="s">
        <v>58</v>
      </c>
      <c r="D1114" s="24" t="s">
        <v>1315</v>
      </c>
      <c r="E1114" s="52"/>
      <c r="F1114" s="24"/>
      <c r="G1114" s="24" t="s">
        <v>1309</v>
      </c>
      <c r="H1114" s="24" t="s">
        <v>62</v>
      </c>
      <c r="I1114" s="24">
        <v>1985</v>
      </c>
      <c r="J1114" s="24"/>
      <c r="K1114" s="24"/>
      <c r="L1114" s="24" t="s">
        <v>64</v>
      </c>
      <c r="M1114" s="24">
        <v>1</v>
      </c>
      <c r="N1114" s="53">
        <v>34454000</v>
      </c>
      <c r="O1114" s="53">
        <v>34454000</v>
      </c>
      <c r="P1114" s="52">
        <v>34454000</v>
      </c>
      <c r="Q1114" s="43">
        <f t="shared" si="425"/>
        <v>0</v>
      </c>
      <c r="R1114" s="52"/>
      <c r="S1114" s="53">
        <v>34454000</v>
      </c>
      <c r="T1114" s="52">
        <v>50</v>
      </c>
      <c r="U1114" s="53">
        <f t="shared" si="428"/>
        <v>689080</v>
      </c>
      <c r="V1114" s="52">
        <v>0.5</v>
      </c>
      <c r="W1114" s="53">
        <f t="shared" si="430"/>
        <v>344540</v>
      </c>
      <c r="X1114" s="52"/>
      <c r="Y1114" s="56">
        <f t="shared" si="426"/>
        <v>0</v>
      </c>
      <c r="Z1114" s="56">
        <f t="shared" si="427"/>
        <v>344540</v>
      </c>
      <c r="AA1114" s="52">
        <v>38.5</v>
      </c>
      <c r="AB1114" s="56">
        <f t="shared" si="429"/>
        <v>26529580</v>
      </c>
      <c r="AC1114" s="53"/>
      <c r="AD1114" s="52" t="s">
        <v>1307</v>
      </c>
      <c r="AE1114" s="52"/>
      <c r="AF1114" s="8">
        <v>0</v>
      </c>
      <c r="AG1114" s="5">
        <v>344540</v>
      </c>
      <c r="AH1114" s="36">
        <v>38.5</v>
      </c>
      <c r="AI1114" s="1">
        <v>26529580</v>
      </c>
    </row>
    <row r="1115" spans="1:35" s="1" customFormat="1" x14ac:dyDescent="0.25">
      <c r="A1115" s="21"/>
      <c r="B1115" s="22"/>
      <c r="C1115" s="65"/>
      <c r="D1115" s="24"/>
      <c r="E1115" s="52"/>
      <c r="F1115" s="24"/>
      <c r="G1115" s="24"/>
      <c r="H1115" s="24"/>
      <c r="I1115" s="24"/>
      <c r="J1115" s="24"/>
      <c r="K1115" s="24"/>
      <c r="L1115" s="24"/>
      <c r="M1115" s="24"/>
      <c r="N1115" s="53">
        <v>49170000</v>
      </c>
      <c r="O1115" s="53">
        <v>49170000</v>
      </c>
      <c r="P1115" s="52">
        <v>49170000</v>
      </c>
      <c r="Q1115" s="43">
        <f t="shared" si="425"/>
        <v>0</v>
      </c>
      <c r="R1115" s="52"/>
      <c r="S1115" s="53">
        <v>57438960</v>
      </c>
      <c r="T1115" s="52">
        <f>T1114-AA1114</f>
        <v>11.5</v>
      </c>
      <c r="U1115" s="53">
        <f t="shared" si="428"/>
        <v>4994692.1739130439</v>
      </c>
      <c r="V1115" s="52">
        <v>0.5</v>
      </c>
      <c r="W1115" s="53">
        <f>SUM(U1115*V1115)+69370.72</f>
        <v>2566716.8069565222</v>
      </c>
      <c r="X1115" s="57">
        <v>0.5</v>
      </c>
      <c r="Y1115" s="56">
        <f t="shared" si="426"/>
        <v>2497346.086956522</v>
      </c>
      <c r="Z1115" s="56">
        <f t="shared" si="427"/>
        <v>5064062.8939130437</v>
      </c>
      <c r="AA1115" s="57">
        <f>4/12+0.5+0.5</f>
        <v>1.3333333333333333</v>
      </c>
      <c r="AB1115" s="56">
        <f t="shared" si="429"/>
        <v>6659589.5652173916</v>
      </c>
      <c r="AC1115" s="53">
        <f t="shared" ref="AC1115" si="432">SUM(S1115-AB1115)</f>
        <v>50779370.434782609</v>
      </c>
      <c r="AD1115" s="52"/>
      <c r="AE1115" s="52"/>
      <c r="AF1115" s="8">
        <v>2497346.086956522</v>
      </c>
      <c r="AG1115" s="5">
        <v>5064062.8939130437</v>
      </c>
      <c r="AH1115" s="36">
        <v>1.3333333333333333</v>
      </c>
      <c r="AI1115" s="1">
        <v>6659589.5652173916</v>
      </c>
    </row>
    <row r="1116" spans="1:35" s="1" customFormat="1" x14ac:dyDescent="0.25">
      <c r="A1116" s="21">
        <v>22</v>
      </c>
      <c r="B1116" s="22" t="s">
        <v>1788</v>
      </c>
      <c r="C1116" s="65" t="s">
        <v>79</v>
      </c>
      <c r="D1116" s="24" t="s">
        <v>1317</v>
      </c>
      <c r="E1116" s="52"/>
      <c r="F1116" s="24"/>
      <c r="G1116" s="24" t="s">
        <v>1309</v>
      </c>
      <c r="H1116" s="24" t="s">
        <v>62</v>
      </c>
      <c r="I1116" s="24">
        <v>1985</v>
      </c>
      <c r="J1116" s="24"/>
      <c r="K1116" s="24"/>
      <c r="L1116" s="24" t="s">
        <v>64</v>
      </c>
      <c r="M1116" s="24">
        <v>1</v>
      </c>
      <c r="N1116" s="53">
        <v>227426000</v>
      </c>
      <c r="O1116" s="53">
        <v>227426000</v>
      </c>
      <c r="P1116" s="52">
        <v>227426000</v>
      </c>
      <c r="Q1116" s="43">
        <f t="shared" si="425"/>
        <v>0</v>
      </c>
      <c r="R1116" s="52"/>
      <c r="S1116" s="53">
        <v>227426000</v>
      </c>
      <c r="T1116" s="52">
        <v>50</v>
      </c>
      <c r="U1116" s="53">
        <f t="shared" si="428"/>
        <v>4548520</v>
      </c>
      <c r="V1116" s="52">
        <v>0.5</v>
      </c>
      <c r="W1116" s="53">
        <f t="shared" si="430"/>
        <v>2274260</v>
      </c>
      <c r="X1116" s="52">
        <v>0.5</v>
      </c>
      <c r="Y1116" s="56">
        <f t="shared" si="426"/>
        <v>2274260</v>
      </c>
      <c r="Z1116" s="56">
        <f t="shared" si="427"/>
        <v>4548520</v>
      </c>
      <c r="AA1116" s="52">
        <v>39</v>
      </c>
      <c r="AB1116" s="56">
        <f t="shared" si="429"/>
        <v>177392280</v>
      </c>
      <c r="AC1116" s="53">
        <f t="shared" si="431"/>
        <v>50033720</v>
      </c>
      <c r="AD1116" s="52" t="s">
        <v>1307</v>
      </c>
      <c r="AE1116" s="52"/>
      <c r="AF1116" s="8">
        <v>2274260</v>
      </c>
      <c r="AG1116" s="5">
        <v>4548520</v>
      </c>
      <c r="AH1116" s="36">
        <v>39</v>
      </c>
      <c r="AI1116" s="1">
        <v>177392280</v>
      </c>
    </row>
    <row r="1117" spans="1:35" s="1" customFormat="1" x14ac:dyDescent="0.25">
      <c r="A1117" s="21">
        <v>23</v>
      </c>
      <c r="B1117" s="22" t="s">
        <v>1788</v>
      </c>
      <c r="C1117" s="65" t="s">
        <v>75</v>
      </c>
      <c r="D1117" s="24" t="s">
        <v>1318</v>
      </c>
      <c r="E1117" s="52"/>
      <c r="F1117" s="24"/>
      <c r="G1117" s="24" t="s">
        <v>1309</v>
      </c>
      <c r="H1117" s="24" t="s">
        <v>62</v>
      </c>
      <c r="I1117" s="24">
        <v>1985</v>
      </c>
      <c r="J1117" s="24"/>
      <c r="K1117" s="24"/>
      <c r="L1117" s="24" t="s">
        <v>64</v>
      </c>
      <c r="M1117" s="24">
        <v>1</v>
      </c>
      <c r="N1117" s="53">
        <v>227826000</v>
      </c>
      <c r="O1117" s="53">
        <v>227826000</v>
      </c>
      <c r="P1117" s="52">
        <v>227826000</v>
      </c>
      <c r="Q1117" s="43">
        <f t="shared" si="425"/>
        <v>0</v>
      </c>
      <c r="R1117" s="52"/>
      <c r="S1117" s="53">
        <v>227826000</v>
      </c>
      <c r="T1117" s="52">
        <v>50</v>
      </c>
      <c r="U1117" s="53">
        <f t="shared" si="428"/>
        <v>4556520</v>
      </c>
      <c r="V1117" s="52">
        <v>0.5</v>
      </c>
      <c r="W1117" s="53">
        <f t="shared" si="430"/>
        <v>2278260</v>
      </c>
      <c r="X1117" s="52">
        <v>0.5</v>
      </c>
      <c r="Y1117" s="56">
        <f t="shared" si="426"/>
        <v>2278260</v>
      </c>
      <c r="Z1117" s="56">
        <f t="shared" si="427"/>
        <v>4556520</v>
      </c>
      <c r="AA1117" s="52">
        <v>39</v>
      </c>
      <c r="AB1117" s="56">
        <f t="shared" si="429"/>
        <v>177704280</v>
      </c>
      <c r="AC1117" s="53">
        <f t="shared" si="431"/>
        <v>50121720</v>
      </c>
      <c r="AD1117" s="52" t="s">
        <v>1307</v>
      </c>
      <c r="AE1117" s="52"/>
      <c r="AF1117" s="8">
        <v>2278260</v>
      </c>
      <c r="AG1117" s="5">
        <v>4556520</v>
      </c>
      <c r="AH1117" s="36">
        <v>39</v>
      </c>
      <c r="AI1117" s="1">
        <v>177704280</v>
      </c>
    </row>
    <row r="1118" spans="1:35" s="1" customFormat="1" x14ac:dyDescent="0.25">
      <c r="A1118" s="21">
        <v>24</v>
      </c>
      <c r="B1118" s="22" t="s">
        <v>1788</v>
      </c>
      <c r="C1118" s="65" t="s">
        <v>58</v>
      </c>
      <c r="D1118" s="24" t="s">
        <v>1319</v>
      </c>
      <c r="E1118" s="52"/>
      <c r="F1118" s="24"/>
      <c r="G1118" s="24" t="s">
        <v>1309</v>
      </c>
      <c r="H1118" s="24" t="s">
        <v>62</v>
      </c>
      <c r="I1118" s="24">
        <v>2012</v>
      </c>
      <c r="J1118" s="24"/>
      <c r="K1118" s="24"/>
      <c r="L1118" s="24" t="s">
        <v>64</v>
      </c>
      <c r="M1118" s="24">
        <v>1</v>
      </c>
      <c r="N1118" s="53">
        <f>67500000</f>
        <v>67500000</v>
      </c>
      <c r="O1118" s="53">
        <f>67500000</f>
        <v>67500000</v>
      </c>
      <c r="P1118" s="52">
        <v>67500000</v>
      </c>
      <c r="Q1118" s="43">
        <f t="shared" si="425"/>
        <v>0</v>
      </c>
      <c r="R1118" s="52"/>
      <c r="S1118" s="53"/>
      <c r="T1118" s="52"/>
      <c r="U1118" s="53"/>
      <c r="V1118" s="52"/>
      <c r="W1118" s="53"/>
      <c r="X1118" s="52"/>
      <c r="Y1118" s="56">
        <f t="shared" si="426"/>
        <v>0</v>
      </c>
      <c r="Z1118" s="56">
        <f t="shared" si="427"/>
        <v>0</v>
      </c>
      <c r="AA1118" s="52">
        <v>3.5</v>
      </c>
      <c r="AB1118" s="56">
        <v>4725000</v>
      </c>
      <c r="AC1118" s="53"/>
      <c r="AD1118" s="52"/>
      <c r="AE1118" s="52"/>
      <c r="AF1118" s="8">
        <v>0</v>
      </c>
      <c r="AG1118" s="5">
        <v>0</v>
      </c>
      <c r="AH1118" s="36">
        <v>3.5</v>
      </c>
      <c r="AI1118" s="1">
        <v>4725000</v>
      </c>
    </row>
    <row r="1119" spans="1:35" s="1" customFormat="1" x14ac:dyDescent="0.25">
      <c r="A1119" s="21"/>
      <c r="B1119" s="22"/>
      <c r="C1119" s="65"/>
      <c r="D1119" s="24"/>
      <c r="E1119" s="52"/>
      <c r="F1119" s="24"/>
      <c r="G1119" s="24"/>
      <c r="H1119" s="24"/>
      <c r="I1119" s="24"/>
      <c r="J1119" s="24"/>
      <c r="K1119" s="24"/>
      <c r="L1119" s="24"/>
      <c r="M1119" s="24"/>
      <c r="N1119" s="53">
        <f>4054000+67764000+2717000</f>
        <v>74535000</v>
      </c>
      <c r="O1119" s="53">
        <f>4054000+67764000+2717000</f>
        <v>74535000</v>
      </c>
      <c r="P1119" s="56">
        <v>74535000</v>
      </c>
      <c r="Q1119" s="43">
        <f t="shared" si="425"/>
        <v>0</v>
      </c>
      <c r="R1119" s="52"/>
      <c r="S1119" s="53">
        <v>137310000</v>
      </c>
      <c r="T1119" s="52">
        <v>46.5</v>
      </c>
      <c r="U1119" s="53">
        <f t="shared" si="428"/>
        <v>2952903.2258064514</v>
      </c>
      <c r="V1119" s="52"/>
      <c r="W1119" s="53">
        <f t="shared" si="430"/>
        <v>0</v>
      </c>
      <c r="X1119" s="52"/>
      <c r="Y1119" s="56">
        <f t="shared" si="426"/>
        <v>0</v>
      </c>
      <c r="Z1119" s="56">
        <f t="shared" si="427"/>
        <v>0</v>
      </c>
      <c r="AA1119" s="52">
        <f>3/12+3+0.5</f>
        <v>3.75</v>
      </c>
      <c r="AB1119" s="56">
        <f t="shared" si="429"/>
        <v>11073387.096774193</v>
      </c>
      <c r="AC1119" s="53"/>
      <c r="AD1119" s="52" t="s">
        <v>1307</v>
      </c>
      <c r="AE1119" s="52"/>
      <c r="AF1119" s="8">
        <v>0</v>
      </c>
      <c r="AG1119" s="5">
        <v>0</v>
      </c>
      <c r="AH1119" s="36">
        <v>3.75</v>
      </c>
      <c r="AI1119" s="1">
        <v>11073387.096774193</v>
      </c>
    </row>
    <row r="1120" spans="1:35" s="1" customFormat="1" x14ac:dyDescent="0.25">
      <c r="A1120" s="21"/>
      <c r="B1120" s="22"/>
      <c r="C1120" s="65"/>
      <c r="D1120" s="24"/>
      <c r="E1120" s="52"/>
      <c r="F1120" s="24"/>
      <c r="G1120" s="24"/>
      <c r="H1120" s="24"/>
      <c r="I1120" s="24"/>
      <c r="J1120" s="24"/>
      <c r="K1120" s="24"/>
      <c r="L1120" s="24"/>
      <c r="M1120" s="24"/>
      <c r="N1120" s="53">
        <v>49750000</v>
      </c>
      <c r="O1120" s="53">
        <v>49750000</v>
      </c>
      <c r="P1120" s="52">
        <v>49750000</v>
      </c>
      <c r="Q1120" s="43">
        <f t="shared" si="425"/>
        <v>0</v>
      </c>
      <c r="R1120" s="52"/>
      <c r="S1120" s="53">
        <v>175986612.90322581</v>
      </c>
      <c r="T1120" s="52">
        <f>T1119-AA1119+5</f>
        <v>47.75</v>
      </c>
      <c r="U1120" s="53">
        <f t="shared" si="428"/>
        <v>3685583.5162979229</v>
      </c>
      <c r="V1120" s="52">
        <v>0.5</v>
      </c>
      <c r="W1120" s="53">
        <f t="shared" si="430"/>
        <v>1842791.7581489615</v>
      </c>
      <c r="X1120" s="54">
        <v>0.5</v>
      </c>
      <c r="Y1120" s="56">
        <f t="shared" si="426"/>
        <v>1842791.7581489615</v>
      </c>
      <c r="Z1120" s="56">
        <f t="shared" si="427"/>
        <v>3685583.5162979229</v>
      </c>
      <c r="AA1120" s="57">
        <f>1/12+0.5+0.5+0.5+0.5+0.5+0.5+0.5+0.5</f>
        <v>4.0833333333333339</v>
      </c>
      <c r="AB1120" s="56">
        <f t="shared" si="429"/>
        <v>15049466.024883188</v>
      </c>
      <c r="AC1120" s="53">
        <f t="shared" si="431"/>
        <v>160937146.87834263</v>
      </c>
      <c r="AD1120" s="52"/>
      <c r="AE1120" s="52"/>
      <c r="AF1120" s="8">
        <v>1842791.7581489615</v>
      </c>
      <c r="AG1120" s="5">
        <v>3685583.5162979229</v>
      </c>
      <c r="AH1120" s="36">
        <v>4.0833333333333339</v>
      </c>
      <c r="AI1120" s="1">
        <v>15049466.024883188</v>
      </c>
    </row>
    <row r="1121" spans="1:35" s="1" customFormat="1" x14ac:dyDescent="0.25">
      <c r="A1121" s="21">
        <v>25</v>
      </c>
      <c r="B1121" s="22" t="s">
        <v>1788</v>
      </c>
      <c r="C1121" s="65" t="s">
        <v>75</v>
      </c>
      <c r="D1121" s="24" t="s">
        <v>1791</v>
      </c>
      <c r="E1121" s="52"/>
      <c r="F1121" s="24"/>
      <c r="G1121" s="24" t="s">
        <v>1309</v>
      </c>
      <c r="H1121" s="24" t="s">
        <v>62</v>
      </c>
      <c r="I1121" s="24">
        <v>2012</v>
      </c>
      <c r="J1121" s="24"/>
      <c r="K1121" s="24"/>
      <c r="L1121" s="24" t="s">
        <v>64</v>
      </c>
      <c r="M1121" s="24">
        <v>1</v>
      </c>
      <c r="N1121" s="53">
        <v>9965000</v>
      </c>
      <c r="O1121" s="53">
        <v>9965000</v>
      </c>
      <c r="P1121" s="52">
        <v>9965000</v>
      </c>
      <c r="Q1121" s="43">
        <f t="shared" si="425"/>
        <v>0</v>
      </c>
      <c r="R1121" s="52"/>
      <c r="S1121" s="53">
        <v>9965000</v>
      </c>
      <c r="T1121" s="52">
        <v>50</v>
      </c>
      <c r="U1121" s="53">
        <f t="shared" ref="U1121:U1126" si="433">SUM(S1121/T1121)</f>
        <v>199300</v>
      </c>
      <c r="V1121" s="52">
        <v>0.5</v>
      </c>
      <c r="W1121" s="53">
        <f t="shared" ref="W1121:W1126" si="434">SUM(U1121*V1121)</f>
        <v>99650</v>
      </c>
      <c r="X1121" s="54">
        <v>0.5</v>
      </c>
      <c r="Y1121" s="56">
        <f t="shared" ref="Y1121:Y1126" si="435">SUM(U1121*X1121)</f>
        <v>99650</v>
      </c>
      <c r="Z1121" s="56">
        <f t="shared" si="427"/>
        <v>199300</v>
      </c>
      <c r="AA1121" s="52">
        <v>12</v>
      </c>
      <c r="AB1121" s="56">
        <f t="shared" ref="AB1121:AB1126" si="436">SUM(U1121*AA1121)</f>
        <v>2391600</v>
      </c>
      <c r="AC1121" s="53">
        <f t="shared" ref="AC1121:AC1126" si="437">SUM(S1121-AB1121)</f>
        <v>7573400</v>
      </c>
      <c r="AD1121" s="52" t="s">
        <v>1307</v>
      </c>
      <c r="AE1121" s="52"/>
      <c r="AF1121" s="8">
        <v>99650</v>
      </c>
      <c r="AG1121" s="5">
        <v>199300</v>
      </c>
      <c r="AH1121" s="36">
        <v>12</v>
      </c>
      <c r="AI1121" s="1">
        <v>2391600</v>
      </c>
    </row>
    <row r="1122" spans="1:35" s="1" customFormat="1" x14ac:dyDescent="0.25">
      <c r="A1122" s="21">
        <v>26</v>
      </c>
      <c r="B1122" s="22" t="s">
        <v>1788</v>
      </c>
      <c r="C1122" s="65" t="s">
        <v>58</v>
      </c>
      <c r="D1122" s="24" t="s">
        <v>1329</v>
      </c>
      <c r="E1122" s="52"/>
      <c r="F1122" s="24"/>
      <c r="G1122" s="24" t="s">
        <v>1306</v>
      </c>
      <c r="H1122" s="24" t="s">
        <v>62</v>
      </c>
      <c r="I1122" s="24">
        <v>2013</v>
      </c>
      <c r="J1122" s="24"/>
      <c r="K1122" s="24"/>
      <c r="L1122" s="24" t="s">
        <v>64</v>
      </c>
      <c r="M1122" s="24">
        <v>1</v>
      </c>
      <c r="N1122" s="53">
        <v>64837000</v>
      </c>
      <c r="O1122" s="53">
        <v>64837000</v>
      </c>
      <c r="P1122" s="52">
        <v>64837000</v>
      </c>
      <c r="Q1122" s="43">
        <f t="shared" si="425"/>
        <v>0</v>
      </c>
      <c r="R1122" s="52"/>
      <c r="S1122" s="53">
        <v>64837000</v>
      </c>
      <c r="T1122" s="52">
        <v>50</v>
      </c>
      <c r="U1122" s="53">
        <f t="shared" si="433"/>
        <v>1296740</v>
      </c>
      <c r="V1122" s="52">
        <v>0.5</v>
      </c>
      <c r="W1122" s="53">
        <f t="shared" si="434"/>
        <v>648370</v>
      </c>
      <c r="X1122" s="54">
        <v>0.5</v>
      </c>
      <c r="Y1122" s="56">
        <f t="shared" si="435"/>
        <v>648370</v>
      </c>
      <c r="Z1122" s="56">
        <f t="shared" si="427"/>
        <v>1296740</v>
      </c>
      <c r="AA1122" s="52">
        <v>11</v>
      </c>
      <c r="AB1122" s="56">
        <f t="shared" si="436"/>
        <v>14264140</v>
      </c>
      <c r="AC1122" s="53">
        <f t="shared" si="437"/>
        <v>50572860</v>
      </c>
      <c r="AD1122" s="52" t="s">
        <v>1307</v>
      </c>
      <c r="AE1122" s="52"/>
      <c r="AF1122" s="8">
        <v>648370</v>
      </c>
      <c r="AG1122" s="5">
        <v>1296740</v>
      </c>
      <c r="AH1122" s="36">
        <v>11</v>
      </c>
      <c r="AI1122" s="1">
        <v>14264140</v>
      </c>
    </row>
    <row r="1123" spans="1:35" s="1" customFormat="1" x14ac:dyDescent="0.25">
      <c r="A1123" s="21">
        <v>27</v>
      </c>
      <c r="B1123" s="22" t="s">
        <v>1788</v>
      </c>
      <c r="C1123" s="65" t="s">
        <v>58</v>
      </c>
      <c r="D1123" s="24" t="s">
        <v>1330</v>
      </c>
      <c r="E1123" s="52"/>
      <c r="F1123" s="24"/>
      <c r="G1123" s="24" t="s">
        <v>1306</v>
      </c>
      <c r="H1123" s="24" t="s">
        <v>62</v>
      </c>
      <c r="I1123" s="24">
        <v>2014</v>
      </c>
      <c r="J1123" s="24"/>
      <c r="K1123" s="24"/>
      <c r="L1123" s="24" t="s">
        <v>64</v>
      </c>
      <c r="M1123" s="24">
        <v>1</v>
      </c>
      <c r="N1123" s="53">
        <f>59623500+16257000+10670000+139121500</f>
        <v>225672000</v>
      </c>
      <c r="O1123" s="53">
        <f>59623500+16257000+10670000+139121500</f>
        <v>225672000</v>
      </c>
      <c r="P1123" s="52">
        <v>225672000</v>
      </c>
      <c r="Q1123" s="43">
        <f t="shared" si="425"/>
        <v>0</v>
      </c>
      <c r="R1123" s="52"/>
      <c r="S1123" s="53">
        <v>225672000</v>
      </c>
      <c r="T1123" s="52">
        <v>50</v>
      </c>
      <c r="U1123" s="53">
        <f t="shared" si="433"/>
        <v>4513440</v>
      </c>
      <c r="V1123" s="52">
        <v>0.5</v>
      </c>
      <c r="W1123" s="53">
        <f t="shared" si="434"/>
        <v>2256720</v>
      </c>
      <c r="X1123" s="54">
        <v>0.5</v>
      </c>
      <c r="Y1123" s="56">
        <f t="shared" si="435"/>
        <v>2256720</v>
      </c>
      <c r="Z1123" s="56">
        <f t="shared" si="427"/>
        <v>4513440</v>
      </c>
      <c r="AA1123" s="52">
        <v>10</v>
      </c>
      <c r="AB1123" s="56">
        <f t="shared" si="436"/>
        <v>45134400</v>
      </c>
      <c r="AC1123" s="53">
        <f t="shared" si="437"/>
        <v>180537600</v>
      </c>
      <c r="AD1123" s="52" t="s">
        <v>1307</v>
      </c>
      <c r="AE1123" s="52"/>
      <c r="AF1123" s="8">
        <v>2256720</v>
      </c>
      <c r="AG1123" s="5">
        <v>4513440</v>
      </c>
      <c r="AH1123" s="36">
        <v>10</v>
      </c>
      <c r="AI1123" s="1">
        <v>45134400</v>
      </c>
    </row>
    <row r="1124" spans="1:35" s="1" customFormat="1" x14ac:dyDescent="0.25">
      <c r="A1124" s="21">
        <v>28</v>
      </c>
      <c r="B1124" s="22" t="s">
        <v>1788</v>
      </c>
      <c r="C1124" s="85"/>
      <c r="D1124" s="52" t="s">
        <v>1339</v>
      </c>
      <c r="E1124" s="52"/>
      <c r="F1124" s="52"/>
      <c r="G1124" s="52" t="s">
        <v>61</v>
      </c>
      <c r="H1124" s="52" t="s">
        <v>62</v>
      </c>
      <c r="I1124" s="52">
        <v>2019</v>
      </c>
      <c r="J1124" s="52"/>
      <c r="K1124" s="52"/>
      <c r="L1124" s="52" t="s">
        <v>64</v>
      </c>
      <c r="M1124" s="52">
        <v>1</v>
      </c>
      <c r="N1124" s="53">
        <v>178658650</v>
      </c>
      <c r="O1124" s="53">
        <v>178658650</v>
      </c>
      <c r="P1124" s="52">
        <v>178658650</v>
      </c>
      <c r="Q1124" s="43">
        <f t="shared" si="425"/>
        <v>0</v>
      </c>
      <c r="R1124" s="52"/>
      <c r="S1124" s="53">
        <v>178658650</v>
      </c>
      <c r="T1124" s="52">
        <v>50</v>
      </c>
      <c r="U1124" s="53">
        <f t="shared" si="433"/>
        <v>3573173</v>
      </c>
      <c r="V1124" s="52">
        <v>0.5</v>
      </c>
      <c r="W1124" s="53">
        <f t="shared" si="434"/>
        <v>1786586.5</v>
      </c>
      <c r="X1124" s="54">
        <v>0.5</v>
      </c>
      <c r="Y1124" s="56">
        <f t="shared" si="435"/>
        <v>1786586.5</v>
      </c>
      <c r="Z1124" s="56">
        <f t="shared" si="427"/>
        <v>3573173</v>
      </c>
      <c r="AA1124" s="59">
        <f>1/12+0.5+0.5+0.5+0.5+0.5+0.5+0.5+0.5</f>
        <v>4.0833333333333339</v>
      </c>
      <c r="AB1124" s="56">
        <f t="shared" si="436"/>
        <v>14590456.416666668</v>
      </c>
      <c r="AC1124" s="53">
        <f t="shared" si="437"/>
        <v>164068193.58333334</v>
      </c>
      <c r="AD1124" s="52" t="s">
        <v>1307</v>
      </c>
      <c r="AE1124" s="52"/>
      <c r="AF1124" s="8">
        <v>1786586.5</v>
      </c>
      <c r="AG1124" s="5">
        <v>3573173</v>
      </c>
      <c r="AH1124" s="36">
        <v>4.0833333333333339</v>
      </c>
      <c r="AI1124" s="1">
        <v>14590456.416666668</v>
      </c>
    </row>
    <row r="1125" spans="1:35" s="1" customFormat="1" x14ac:dyDescent="0.25">
      <c r="A1125" s="21">
        <v>29</v>
      </c>
      <c r="B1125" s="22" t="s">
        <v>1788</v>
      </c>
      <c r="C1125" s="65" t="s">
        <v>58</v>
      </c>
      <c r="D1125" s="24" t="s">
        <v>1331</v>
      </c>
      <c r="E1125" s="52"/>
      <c r="F1125" s="24"/>
      <c r="G1125" s="24" t="s">
        <v>466</v>
      </c>
      <c r="H1125" s="24" t="s">
        <v>62</v>
      </c>
      <c r="I1125" s="24">
        <v>2014</v>
      </c>
      <c r="J1125" s="24"/>
      <c r="K1125" s="24"/>
      <c r="L1125" s="24" t="s">
        <v>64</v>
      </c>
      <c r="M1125" s="24">
        <v>1</v>
      </c>
      <c r="N1125" s="53">
        <f>73997400+172660600</f>
        <v>246658000</v>
      </c>
      <c r="O1125" s="53">
        <f>73997400+172660600</f>
        <v>246658000</v>
      </c>
      <c r="P1125" s="52">
        <v>246658000</v>
      </c>
      <c r="Q1125" s="43">
        <f t="shared" si="425"/>
        <v>0</v>
      </c>
      <c r="R1125" s="52"/>
      <c r="S1125" s="53">
        <v>246658000</v>
      </c>
      <c r="T1125" s="52">
        <v>50</v>
      </c>
      <c r="U1125" s="53">
        <f t="shared" si="433"/>
        <v>4933160</v>
      </c>
      <c r="V1125" s="52">
        <v>0.5</v>
      </c>
      <c r="W1125" s="53">
        <f t="shared" si="434"/>
        <v>2466580</v>
      </c>
      <c r="X1125" s="54">
        <v>0.5</v>
      </c>
      <c r="Y1125" s="56">
        <f t="shared" si="435"/>
        <v>2466580</v>
      </c>
      <c r="Z1125" s="56">
        <f t="shared" si="427"/>
        <v>4933160</v>
      </c>
      <c r="AA1125" s="52">
        <v>10</v>
      </c>
      <c r="AB1125" s="56">
        <f t="shared" si="436"/>
        <v>49331600</v>
      </c>
      <c r="AC1125" s="53">
        <f t="shared" si="437"/>
        <v>197326400</v>
      </c>
      <c r="AD1125" s="52" t="s">
        <v>1307</v>
      </c>
      <c r="AE1125" s="52"/>
      <c r="AF1125" s="8">
        <v>2466580</v>
      </c>
      <c r="AG1125" s="5">
        <v>4933160</v>
      </c>
      <c r="AH1125" s="36">
        <v>10</v>
      </c>
      <c r="AI1125" s="1">
        <v>49331600</v>
      </c>
    </row>
    <row r="1126" spans="1:35" s="1" customFormat="1" x14ac:dyDescent="0.25">
      <c r="A1126" s="21">
        <v>30</v>
      </c>
      <c r="B1126" s="22" t="s">
        <v>1788</v>
      </c>
      <c r="C1126" s="65" t="s">
        <v>58</v>
      </c>
      <c r="D1126" s="24" t="s">
        <v>1332</v>
      </c>
      <c r="E1126" s="52"/>
      <c r="F1126" s="24"/>
      <c r="G1126" s="24" t="s">
        <v>1309</v>
      </c>
      <c r="H1126" s="24" t="s">
        <v>62</v>
      </c>
      <c r="I1126" s="24">
        <v>2015</v>
      </c>
      <c r="J1126" s="24"/>
      <c r="K1126" s="24"/>
      <c r="L1126" s="24" t="s">
        <v>64</v>
      </c>
      <c r="M1126" s="24">
        <v>1</v>
      </c>
      <c r="N1126" s="53">
        <v>11000000</v>
      </c>
      <c r="O1126" s="53">
        <v>11000000</v>
      </c>
      <c r="P1126" s="52">
        <v>11000000</v>
      </c>
      <c r="Q1126" s="43">
        <f t="shared" si="425"/>
        <v>0</v>
      </c>
      <c r="R1126" s="52"/>
      <c r="S1126" s="53">
        <v>11000000</v>
      </c>
      <c r="T1126" s="52">
        <v>50</v>
      </c>
      <c r="U1126" s="53">
        <f t="shared" si="433"/>
        <v>220000</v>
      </c>
      <c r="V1126" s="52">
        <v>0.5</v>
      </c>
      <c r="W1126" s="53">
        <f t="shared" si="434"/>
        <v>110000</v>
      </c>
      <c r="X1126" s="54">
        <v>0.5</v>
      </c>
      <c r="Y1126" s="56">
        <f t="shared" si="435"/>
        <v>110000</v>
      </c>
      <c r="Z1126" s="56">
        <f t="shared" si="427"/>
        <v>220000</v>
      </c>
      <c r="AA1126" s="57">
        <f>4.66666666666667+0.5+0.5+0.5+0.5+0.5+0.5+0.5+0.5</f>
        <v>8.6666666666666696</v>
      </c>
      <c r="AB1126" s="56">
        <f t="shared" si="436"/>
        <v>1906666.6666666672</v>
      </c>
      <c r="AC1126" s="53">
        <f t="shared" si="437"/>
        <v>9093333.3333333321</v>
      </c>
      <c r="AD1126" s="52" t="s">
        <v>1307</v>
      </c>
      <c r="AE1126" s="52"/>
      <c r="AF1126" s="8">
        <v>110000</v>
      </c>
      <c r="AG1126" s="5">
        <v>220000</v>
      </c>
      <c r="AH1126" s="36">
        <v>8.6666666666666696</v>
      </c>
      <c r="AI1126" s="1">
        <v>1906666.6666666672</v>
      </c>
    </row>
    <row r="1127" spans="1:35" s="1" customFormat="1" x14ac:dyDescent="0.25">
      <c r="A1127" s="21">
        <v>31</v>
      </c>
      <c r="B1127" s="22" t="s">
        <v>1792</v>
      </c>
      <c r="C1127" s="65" t="s">
        <v>58</v>
      </c>
      <c r="D1127" s="24" t="s">
        <v>1333</v>
      </c>
      <c r="E1127" s="52"/>
      <c r="F1127" s="24"/>
      <c r="G1127" s="24" t="s">
        <v>1334</v>
      </c>
      <c r="H1127" s="24" t="s">
        <v>62</v>
      </c>
      <c r="I1127" s="24">
        <v>2015</v>
      </c>
      <c r="J1127" s="24"/>
      <c r="K1127" s="24"/>
      <c r="L1127" s="24" t="s">
        <v>64</v>
      </c>
      <c r="M1127" s="24">
        <v>1</v>
      </c>
      <c r="N1127" s="53">
        <f>89593000+5391000+3539000</f>
        <v>98523000</v>
      </c>
      <c r="O1127" s="53">
        <f>89593000+5391000+3539000</f>
        <v>98523000</v>
      </c>
      <c r="P1127" s="52">
        <v>98523000</v>
      </c>
      <c r="Q1127" s="43">
        <f t="shared" si="425"/>
        <v>0</v>
      </c>
      <c r="R1127" s="52"/>
      <c r="S1127" s="53"/>
      <c r="T1127" s="52"/>
      <c r="U1127" s="53"/>
      <c r="V1127" s="52"/>
      <c r="W1127" s="53"/>
      <c r="X1127" s="52"/>
      <c r="Y1127" s="56">
        <f t="shared" ref="Y1127:Y1129" si="438">SUM(U1127*X1127)</f>
        <v>0</v>
      </c>
      <c r="Z1127" s="56">
        <f t="shared" si="427"/>
        <v>0</v>
      </c>
      <c r="AA1127" s="52">
        <v>0.75</v>
      </c>
      <c r="AB1127" s="56">
        <v>1477845</v>
      </c>
      <c r="AC1127" s="53"/>
      <c r="AD1127" s="52"/>
      <c r="AE1127" s="52"/>
      <c r="AF1127" s="8">
        <v>0</v>
      </c>
      <c r="AG1127" s="5">
        <v>0</v>
      </c>
      <c r="AH1127" s="36">
        <v>0.75</v>
      </c>
      <c r="AI1127" s="1">
        <v>1477845</v>
      </c>
    </row>
    <row r="1128" spans="1:35" s="1" customFormat="1" x14ac:dyDescent="0.25">
      <c r="A1128" s="21"/>
      <c r="B1128" s="22"/>
      <c r="C1128" s="65"/>
      <c r="D1128" s="24"/>
      <c r="E1128" s="52"/>
      <c r="F1128" s="24"/>
      <c r="G1128" s="24"/>
      <c r="H1128" s="24"/>
      <c r="I1128" s="24"/>
      <c r="J1128" s="24"/>
      <c r="K1128" s="24"/>
      <c r="L1128" s="24"/>
      <c r="M1128" s="24"/>
      <c r="N1128" s="53">
        <v>24800000</v>
      </c>
      <c r="O1128" s="53">
        <v>24800000</v>
      </c>
      <c r="P1128" s="52">
        <v>24800000</v>
      </c>
      <c r="Q1128" s="43">
        <f t="shared" si="425"/>
        <v>0</v>
      </c>
      <c r="R1128" s="52"/>
      <c r="S1128" s="53">
        <v>121845155</v>
      </c>
      <c r="T1128" s="52">
        <v>49</v>
      </c>
      <c r="U1128" s="53">
        <f t="shared" ref="U1128:U1129" si="439">SUM(S1128/T1128)</f>
        <v>2486635.8163265307</v>
      </c>
      <c r="V1128" s="52">
        <v>0.5</v>
      </c>
      <c r="W1128" s="53"/>
      <c r="X1128" s="52"/>
      <c r="Y1128" s="56"/>
      <c r="Z1128" s="56">
        <f t="shared" si="427"/>
        <v>0</v>
      </c>
      <c r="AA1128" s="52">
        <v>1.75</v>
      </c>
      <c r="AB1128" s="56">
        <f t="shared" ref="AB1128:AB1129" si="440">SUM(U1128*AA1128)</f>
        <v>4351612.6785714291</v>
      </c>
      <c r="AC1128" s="53"/>
      <c r="AD1128" s="52" t="s">
        <v>1307</v>
      </c>
      <c r="AE1128" s="52"/>
      <c r="AF1128" s="8"/>
      <c r="AG1128" s="5">
        <v>0</v>
      </c>
      <c r="AH1128" s="36">
        <v>1.75</v>
      </c>
      <c r="AI1128" s="1">
        <v>4351612.6785714291</v>
      </c>
    </row>
    <row r="1129" spans="1:35" s="1" customFormat="1" x14ac:dyDescent="0.25">
      <c r="A1129" s="21"/>
      <c r="B1129" s="22"/>
      <c r="C1129" s="65"/>
      <c r="D1129" s="24"/>
      <c r="E1129" s="52"/>
      <c r="F1129" s="24"/>
      <c r="G1129" s="24"/>
      <c r="H1129" s="24"/>
      <c r="I1129" s="24"/>
      <c r="J1129" s="24"/>
      <c r="K1129" s="24"/>
      <c r="L1129" s="24"/>
      <c r="M1129" s="24"/>
      <c r="N1129" s="53">
        <v>54420000</v>
      </c>
      <c r="O1129" s="53">
        <v>54420000</v>
      </c>
      <c r="P1129" s="52">
        <v>54420000</v>
      </c>
      <c r="Q1129" s="43">
        <f t="shared" si="425"/>
        <v>0</v>
      </c>
      <c r="R1129" s="52"/>
      <c r="S1129" s="53">
        <v>171913542.32142857</v>
      </c>
      <c r="T1129" s="52">
        <v>48</v>
      </c>
      <c r="U1129" s="53">
        <f t="shared" si="439"/>
        <v>3581532.1316964286</v>
      </c>
      <c r="V1129" s="52">
        <v>0.5</v>
      </c>
      <c r="W1129" s="53">
        <f t="shared" ref="W1129" si="441">SUM(U1129*V1129)</f>
        <v>1790766.0658482143</v>
      </c>
      <c r="X1129" s="52">
        <v>0.5</v>
      </c>
      <c r="Y1129" s="56">
        <f t="shared" si="438"/>
        <v>1790766.0658482143</v>
      </c>
      <c r="Z1129" s="56">
        <f t="shared" si="427"/>
        <v>3581532.1316964286</v>
      </c>
      <c r="AA1129" s="52">
        <v>5.5</v>
      </c>
      <c r="AB1129" s="56">
        <f t="shared" si="440"/>
        <v>19698426.724330358</v>
      </c>
      <c r="AC1129" s="53">
        <f t="shared" ref="AC1129" si="442">SUM(S1129-AB1129)</f>
        <v>152215115.5970982</v>
      </c>
      <c r="AD1129" s="52"/>
      <c r="AE1129" s="52"/>
      <c r="AF1129" s="8">
        <v>1790766.0658482143</v>
      </c>
      <c r="AG1129" s="5">
        <v>3581532.1316964286</v>
      </c>
      <c r="AH1129" s="36">
        <v>5.5</v>
      </c>
      <c r="AI1129" s="1">
        <v>19698426.724330358</v>
      </c>
    </row>
    <row r="1130" spans="1:35" s="1" customFormat="1" x14ac:dyDescent="0.25">
      <c r="A1130" s="21">
        <v>32</v>
      </c>
      <c r="B1130" s="22" t="s">
        <v>1793</v>
      </c>
      <c r="C1130" s="187" t="s">
        <v>58</v>
      </c>
      <c r="D1130" s="24" t="s">
        <v>3705</v>
      </c>
      <c r="E1130" s="52"/>
      <c r="F1130" s="24"/>
      <c r="G1130" s="24" t="s">
        <v>1309</v>
      </c>
      <c r="H1130" s="24" t="s">
        <v>62</v>
      </c>
      <c r="I1130" s="24">
        <v>2012</v>
      </c>
      <c r="J1130" s="24"/>
      <c r="K1130" s="24"/>
      <c r="L1130" s="24" t="s">
        <v>64</v>
      </c>
      <c r="M1130" s="24">
        <v>1</v>
      </c>
      <c r="N1130" s="53">
        <f>39622000+47900000</f>
        <v>87522000</v>
      </c>
      <c r="O1130" s="53">
        <f>39622000+47900000</f>
        <v>87522000</v>
      </c>
      <c r="P1130" s="52">
        <v>87522000</v>
      </c>
      <c r="Q1130" s="43">
        <f t="shared" si="425"/>
        <v>0</v>
      </c>
      <c r="R1130" s="52"/>
      <c r="S1130" s="53">
        <v>87522000</v>
      </c>
      <c r="T1130" s="52">
        <v>50</v>
      </c>
      <c r="U1130" s="53">
        <f t="shared" ref="U1130:U1135" si="443">SUM(S1130/T1130)</f>
        <v>1750440</v>
      </c>
      <c r="V1130" s="52">
        <v>0.5</v>
      </c>
      <c r="W1130" s="53"/>
      <c r="X1130" s="52"/>
      <c r="Y1130" s="56"/>
      <c r="Z1130" s="56">
        <f>W1130+Y1130</f>
        <v>0</v>
      </c>
      <c r="AA1130" s="52">
        <v>6.5</v>
      </c>
      <c r="AB1130" s="56">
        <f>SUM(U1130*AA1130)</f>
        <v>11377860</v>
      </c>
      <c r="AC1130" s="53"/>
      <c r="AD1130" s="52" t="s">
        <v>1307</v>
      </c>
      <c r="AE1130" s="52"/>
      <c r="AF1130" s="8"/>
      <c r="AG1130" s="5">
        <v>0</v>
      </c>
      <c r="AH1130" s="36">
        <v>6.5</v>
      </c>
      <c r="AI1130" s="1">
        <v>11377860</v>
      </c>
    </row>
    <row r="1131" spans="1:35" s="1" customFormat="1" x14ac:dyDescent="0.25">
      <c r="A1131" s="21"/>
      <c r="B1131" s="22"/>
      <c r="C1131" s="65"/>
      <c r="D1131" s="24"/>
      <c r="E1131" s="52"/>
      <c r="F1131" s="24"/>
      <c r="G1131" s="24"/>
      <c r="H1131" s="24"/>
      <c r="I1131" s="24"/>
      <c r="J1131" s="24"/>
      <c r="K1131" s="24"/>
      <c r="L1131" s="24"/>
      <c r="M1131" s="24"/>
      <c r="N1131" s="53">
        <f>49780000+49800000</f>
        <v>99580000</v>
      </c>
      <c r="O1131" s="53">
        <f>49780000+49800000</f>
        <v>99580000</v>
      </c>
      <c r="P1131" s="52">
        <v>99580000</v>
      </c>
      <c r="Q1131" s="43">
        <f t="shared" si="425"/>
        <v>0</v>
      </c>
      <c r="R1131" s="92"/>
      <c r="S1131" s="53">
        <v>175724140</v>
      </c>
      <c r="T1131" s="52">
        <v>44</v>
      </c>
      <c r="U1131" s="53">
        <f t="shared" si="443"/>
        <v>3993730.4545454546</v>
      </c>
      <c r="V1131" s="52"/>
      <c r="W1131" s="53">
        <f>SUM(U1131*V1131)</f>
        <v>0</v>
      </c>
      <c r="X1131" s="52"/>
      <c r="Y1131" s="56">
        <f>SUM(U1131*X1131)</f>
        <v>0</v>
      </c>
      <c r="Z1131" s="56">
        <f>W1131+Y1131</f>
        <v>0</v>
      </c>
      <c r="AA1131" s="57">
        <f>1/12+0.5</f>
        <v>0.58333333333333337</v>
      </c>
      <c r="AB1131" s="56">
        <f>SUM(U1131*AA1131)</f>
        <v>2329676.0984848486</v>
      </c>
      <c r="AC1131" s="53"/>
      <c r="AD1131" s="52"/>
      <c r="AE1131" s="52"/>
      <c r="AF1131" s="8">
        <v>0</v>
      </c>
      <c r="AG1131" s="5">
        <v>0</v>
      </c>
      <c r="AH1131" s="36">
        <v>0.58333333333333337</v>
      </c>
      <c r="AI1131" s="1">
        <v>2329676.0984848486</v>
      </c>
    </row>
    <row r="1132" spans="1:35" s="1" customFormat="1" x14ac:dyDescent="0.25">
      <c r="A1132" s="21"/>
      <c r="B1132" s="22"/>
      <c r="C1132" s="65"/>
      <c r="D1132" s="24"/>
      <c r="E1132" s="52"/>
      <c r="F1132" s="24"/>
      <c r="G1132" s="24"/>
      <c r="H1132" s="24"/>
      <c r="I1132" s="24"/>
      <c r="J1132" s="24"/>
      <c r="K1132" s="24"/>
      <c r="L1132" s="24"/>
      <c r="M1132" s="24"/>
      <c r="N1132" s="53">
        <f>92173521+'[2]GEDUNG BANGUNAN'!$P$76+'[2]GEDUNG BANGUNAN'!$P$77</f>
        <v>99466521</v>
      </c>
      <c r="O1132" s="53">
        <f>92173521+'[2]GEDUNG BANGUNAN'!$P$76+'[2]GEDUNG BANGUNAN'!$P$77</f>
        <v>99466521</v>
      </c>
      <c r="P1132" s="52">
        <v>99466521</v>
      </c>
      <c r="Q1132" s="43">
        <f t="shared" si="425"/>
        <v>0</v>
      </c>
      <c r="R1132" s="52"/>
      <c r="S1132" s="53">
        <v>272860984.90151513</v>
      </c>
      <c r="T1132" s="57">
        <f>T1131-AA1131+5</f>
        <v>48.416666666666664</v>
      </c>
      <c r="U1132" s="53">
        <f t="shared" si="443"/>
        <v>5635682.9928023778</v>
      </c>
      <c r="V1132" s="52">
        <v>0.5</v>
      </c>
      <c r="W1132" s="53"/>
      <c r="X1132" s="54"/>
      <c r="Y1132" s="56">
        <f>SUM(U1132*X1132)</f>
        <v>0</v>
      </c>
      <c r="Z1132" s="56"/>
      <c r="AA1132" s="57">
        <f>1/12+0.5</f>
        <v>0.58333333333333337</v>
      </c>
      <c r="AB1132" s="56">
        <f>SUM(U1132*AA1132)</f>
        <v>3287481.7458013874</v>
      </c>
      <c r="AC1132" s="53"/>
      <c r="AD1132" s="52"/>
      <c r="AE1132" s="52"/>
      <c r="AF1132" s="8">
        <v>0</v>
      </c>
      <c r="AG1132" s="5"/>
      <c r="AH1132" s="36">
        <v>0.58333333333333337</v>
      </c>
      <c r="AI1132" s="1">
        <v>3287481.7458013874</v>
      </c>
    </row>
    <row r="1133" spans="1:35" s="1" customFormat="1" x14ac:dyDescent="0.25">
      <c r="A1133" s="21"/>
      <c r="B1133" s="22"/>
      <c r="C1133" s="65"/>
      <c r="D1133" s="24"/>
      <c r="E1133" s="52"/>
      <c r="F1133" s="24"/>
      <c r="G1133" s="24"/>
      <c r="H1133" s="24"/>
      <c r="I1133" s="24"/>
      <c r="J1133" s="24"/>
      <c r="K1133" s="24"/>
      <c r="L1133" s="24"/>
      <c r="M1133" s="24"/>
      <c r="N1133" s="53">
        <v>49720000</v>
      </c>
      <c r="O1133" s="53">
        <v>49720000</v>
      </c>
      <c r="P1133" s="52">
        <v>49720000</v>
      </c>
      <c r="Q1133" s="43">
        <f t="shared" si="425"/>
        <v>0</v>
      </c>
      <c r="R1133" s="52"/>
      <c r="S1133" s="53">
        <v>319293503.15571374</v>
      </c>
      <c r="T1133" s="57">
        <f>T1132-AA1132+5</f>
        <v>52.833333333333329</v>
      </c>
      <c r="U1133" s="53">
        <f t="shared" si="443"/>
        <v>6043410.154366822</v>
      </c>
      <c r="V1133" s="52">
        <v>0.5</v>
      </c>
      <c r="W1133" s="53"/>
      <c r="X1133" s="54"/>
      <c r="Y1133" s="56">
        <f>SUM(U1133*X1133)</f>
        <v>0</v>
      </c>
      <c r="Z1133" s="56">
        <f>W1133+Y1133</f>
        <v>0</v>
      </c>
      <c r="AA1133" s="57">
        <f>2/12+0.5+0.5+0.5</f>
        <v>1.6666666666666665</v>
      </c>
      <c r="AB1133" s="56">
        <v>10072350.257278036</v>
      </c>
      <c r="AC1133" s="53"/>
      <c r="AD1133" s="52"/>
      <c r="AE1133" s="52"/>
      <c r="AF1133" s="8">
        <v>0</v>
      </c>
      <c r="AG1133" s="5">
        <v>0</v>
      </c>
      <c r="AH1133" s="36">
        <v>1.6666666666666665</v>
      </c>
      <c r="AI1133" s="1">
        <v>10072350.257278036</v>
      </c>
    </row>
    <row r="1134" spans="1:35" s="1" customFormat="1" x14ac:dyDescent="0.25">
      <c r="A1134" s="21"/>
      <c r="B1134" s="22"/>
      <c r="C1134" s="65"/>
      <c r="D1134" s="24"/>
      <c r="E1134" s="52"/>
      <c r="F1134" s="24"/>
      <c r="G1134" s="24"/>
      <c r="H1134" s="24"/>
      <c r="I1134" s="24"/>
      <c r="J1134" s="24"/>
      <c r="K1134" s="24"/>
      <c r="L1134" s="24"/>
      <c r="M1134" s="24"/>
      <c r="N1134" s="53">
        <v>49930000</v>
      </c>
      <c r="O1134" s="53">
        <v>49930000</v>
      </c>
      <c r="P1134" s="52">
        <v>49930000</v>
      </c>
      <c r="Q1134" s="43">
        <f t="shared" si="425"/>
        <v>0</v>
      </c>
      <c r="R1134" s="52"/>
      <c r="S1134" s="53">
        <v>359151152.89843571</v>
      </c>
      <c r="T1134" s="57">
        <f>T1133-AA1133</f>
        <v>51.166666666666664</v>
      </c>
      <c r="U1134" s="53">
        <f t="shared" si="443"/>
        <v>7019240.7732593305</v>
      </c>
      <c r="V1134" s="87"/>
      <c r="W1134" s="53">
        <f>SUM(U1134*V1134)</f>
        <v>0</v>
      </c>
      <c r="X1134" s="54"/>
      <c r="Y1134" s="56">
        <f>SUM(U1134*X1134)</f>
        <v>0</v>
      </c>
      <c r="Z1134" s="56">
        <f>W1134+Y1134</f>
        <v>0</v>
      </c>
      <c r="AA1134" s="57">
        <f>5/12+0.5</f>
        <v>0.91666666666666674</v>
      </c>
      <c r="AB1134" s="56">
        <f>SUM(U1134*AA1134)</f>
        <v>6434304.0421543866</v>
      </c>
      <c r="AC1134" s="53"/>
      <c r="AD1134" s="52"/>
      <c r="AE1134" s="52"/>
      <c r="AF1134" s="8">
        <v>0</v>
      </c>
      <c r="AG1134" s="5">
        <v>0</v>
      </c>
      <c r="AH1134" s="36">
        <v>0.91666666666666674</v>
      </c>
      <c r="AI1134" s="1">
        <v>6434304.0421543866</v>
      </c>
    </row>
    <row r="1135" spans="1:35" s="1" customFormat="1" x14ac:dyDescent="0.25">
      <c r="A1135" s="21"/>
      <c r="B1135" s="22"/>
      <c r="C1135" s="65"/>
      <c r="D1135" s="24"/>
      <c r="E1135" s="52"/>
      <c r="F1135" s="24"/>
      <c r="G1135" s="24"/>
      <c r="H1135" s="24"/>
      <c r="I1135" s="24"/>
      <c r="J1135" s="24"/>
      <c r="K1135" s="24"/>
      <c r="L1135" s="24"/>
      <c r="M1135" s="24"/>
      <c r="N1135" s="53">
        <v>50000000</v>
      </c>
      <c r="O1135" s="53">
        <v>50000000</v>
      </c>
      <c r="P1135" s="52">
        <v>50000000</v>
      </c>
      <c r="Q1135" s="43">
        <f t="shared" si="425"/>
        <v>0</v>
      </c>
      <c r="R1135" s="52"/>
      <c r="S1135" s="53">
        <v>402716848.85628134</v>
      </c>
      <c r="T1135" s="57">
        <f>T1134-AA1134</f>
        <v>50.25</v>
      </c>
      <c r="U1135" s="53">
        <f t="shared" si="443"/>
        <v>8014265.6488812203</v>
      </c>
      <c r="V1135" s="87">
        <v>0.5</v>
      </c>
      <c r="W1135" s="53">
        <f>SUM(U1135*V1135)</f>
        <v>4007132.8244406101</v>
      </c>
      <c r="X1135" s="57">
        <v>0.5</v>
      </c>
      <c r="Y1135" s="56">
        <f>SUM(U1135*X1135)</f>
        <v>4007132.8244406101</v>
      </c>
      <c r="Z1135" s="56">
        <f>W1135+Y1135</f>
        <v>8014265.6488812203</v>
      </c>
      <c r="AA1135" s="57">
        <f>1/12+0.5+0.5</f>
        <v>1.0833333333333335</v>
      </c>
      <c r="AB1135" s="56">
        <f t="shared" ref="AB1135" si="444">SUM(U1135*AA1135)</f>
        <v>8682121.1196213234</v>
      </c>
      <c r="AC1135" s="53"/>
      <c r="AD1135" s="52"/>
      <c r="AE1135" s="52"/>
      <c r="AF1135" s="8">
        <v>4007132.8244406101</v>
      </c>
      <c r="AG1135" s="5">
        <v>8014265.6488812203</v>
      </c>
      <c r="AH1135" s="36">
        <v>1.0833333333333335</v>
      </c>
      <c r="AI1135" s="1">
        <v>8682121.1196213234</v>
      </c>
    </row>
    <row r="1136" spans="1:35" s="1" customFormat="1" x14ac:dyDescent="0.25">
      <c r="A1136" s="21"/>
      <c r="B1136" s="22"/>
      <c r="C1136" s="65"/>
      <c r="D1136" s="24"/>
      <c r="E1136" s="52"/>
      <c r="F1136" s="24"/>
      <c r="G1136" s="24"/>
      <c r="H1136" s="24"/>
      <c r="I1136" s="24"/>
      <c r="J1136" s="24"/>
      <c r="K1136" s="24"/>
      <c r="L1136" s="24"/>
      <c r="M1136" s="24"/>
      <c r="N1136" s="53"/>
      <c r="O1136" s="366">
        <v>49658709</v>
      </c>
      <c r="P1136" s="188"/>
      <c r="Q1136" s="377"/>
      <c r="R1136" s="188"/>
      <c r="S1136" s="366">
        <v>443693436.73666</v>
      </c>
      <c r="T1136" s="367">
        <f>T1135-AA1135</f>
        <v>49.166666666666664</v>
      </c>
      <c r="U1136" s="366">
        <f t="shared" ref="U1136" si="445">SUM(S1136/T1136)</f>
        <v>9024273.2895591874</v>
      </c>
      <c r="V1136" s="378"/>
      <c r="W1136" s="366"/>
      <c r="X1136" s="367">
        <f>3/12</f>
        <v>0.25</v>
      </c>
      <c r="Y1136" s="368">
        <f t="shared" ref="Y1136:Y1138" si="446">SUM(U1136*X1136)</f>
        <v>2256068.3223897968</v>
      </c>
      <c r="Z1136" s="368">
        <f t="shared" ref="Z1136:Z1138" si="447">W1136+Y1136</f>
        <v>2256068.3223897968</v>
      </c>
      <c r="AA1136" s="367">
        <f>3/12</f>
        <v>0.25</v>
      </c>
      <c r="AB1136" s="368">
        <f>SUM(U1136*AA1136)</f>
        <v>2256068.3223897968</v>
      </c>
      <c r="AC1136" s="366">
        <f>SUM(S1136-AB1136)</f>
        <v>441437368.41427022</v>
      </c>
      <c r="AD1136" s="52"/>
      <c r="AE1136" s="52"/>
      <c r="AF1136" s="8"/>
      <c r="AG1136" s="5"/>
      <c r="AH1136" s="36"/>
    </row>
    <row r="1137" spans="1:35" s="1" customFormat="1" x14ac:dyDescent="0.25">
      <c r="A1137" s="21">
        <v>33</v>
      </c>
      <c r="B1137" s="22" t="s">
        <v>1794</v>
      </c>
      <c r="C1137" s="65" t="s">
        <v>58</v>
      </c>
      <c r="D1137" s="24" t="s">
        <v>1325</v>
      </c>
      <c r="E1137" s="52"/>
      <c r="F1137" s="24"/>
      <c r="G1137" s="24" t="s">
        <v>1309</v>
      </c>
      <c r="H1137" s="24" t="s">
        <v>62</v>
      </c>
      <c r="I1137" s="24">
        <v>2012</v>
      </c>
      <c r="J1137" s="24"/>
      <c r="K1137" s="24"/>
      <c r="L1137" s="24" t="s">
        <v>64</v>
      </c>
      <c r="M1137" s="24">
        <v>1</v>
      </c>
      <c r="N1137" s="53">
        <v>783377500</v>
      </c>
      <c r="O1137" s="53">
        <v>783377500</v>
      </c>
      <c r="P1137" s="52">
        <v>783377500</v>
      </c>
      <c r="Q1137" s="43">
        <f t="shared" si="425"/>
        <v>0</v>
      </c>
      <c r="R1137" s="52"/>
      <c r="S1137" s="53"/>
      <c r="T1137" s="52"/>
      <c r="U1137" s="53"/>
      <c r="V1137" s="52"/>
      <c r="W1137" s="53"/>
      <c r="X1137" s="52"/>
      <c r="Y1137" s="56">
        <f t="shared" si="446"/>
        <v>0</v>
      </c>
      <c r="Z1137" s="56">
        <f t="shared" si="447"/>
        <v>0</v>
      </c>
      <c r="AA1137" s="52">
        <v>5.5</v>
      </c>
      <c r="AB1137" s="56">
        <v>70503975</v>
      </c>
      <c r="AC1137" s="53"/>
      <c r="AD1137" s="52"/>
      <c r="AE1137" s="52"/>
      <c r="AF1137" s="8">
        <v>0</v>
      </c>
      <c r="AG1137" s="5">
        <v>0</v>
      </c>
      <c r="AH1137" s="36">
        <v>5.5</v>
      </c>
      <c r="AI1137" s="1">
        <v>70503975</v>
      </c>
    </row>
    <row r="1138" spans="1:35" s="1" customFormat="1" x14ac:dyDescent="0.25">
      <c r="A1138" s="21"/>
      <c r="B1138" s="22"/>
      <c r="C1138" s="65"/>
      <c r="D1138" s="24"/>
      <c r="E1138" s="52"/>
      <c r="F1138" s="24"/>
      <c r="G1138" s="24"/>
      <c r="H1138" s="24"/>
      <c r="I1138" s="24"/>
      <c r="J1138" s="24"/>
      <c r="K1138" s="24"/>
      <c r="L1138" s="24"/>
      <c r="M1138" s="24"/>
      <c r="N1138" s="53">
        <v>49800000</v>
      </c>
      <c r="O1138" s="53">
        <v>49800000</v>
      </c>
      <c r="P1138" s="52">
        <v>49800000</v>
      </c>
      <c r="Q1138" s="43">
        <f t="shared" si="425"/>
        <v>0</v>
      </c>
      <c r="R1138" s="52"/>
      <c r="S1138" s="53">
        <v>762673525</v>
      </c>
      <c r="T1138" s="52">
        <v>46</v>
      </c>
      <c r="U1138" s="53">
        <f t="shared" ref="U1138" si="448">SUM(S1138/T1138)</f>
        <v>16579859.239130436</v>
      </c>
      <c r="V1138" s="52">
        <v>0.5</v>
      </c>
      <c r="W1138" s="53">
        <f t="shared" ref="W1138" si="449">SUM(U1138*V1138)</f>
        <v>8289929.6195652178</v>
      </c>
      <c r="X1138" s="52">
        <v>0.5</v>
      </c>
      <c r="Y1138" s="56">
        <f t="shared" si="446"/>
        <v>8289929.6195652178</v>
      </c>
      <c r="Z1138" s="56">
        <f t="shared" si="447"/>
        <v>16579859.239130436</v>
      </c>
      <c r="AA1138" s="52">
        <f>3.25+0.5+0.5+0.5+0.5+0.5+0.5+0.5+0.5</f>
        <v>7.25</v>
      </c>
      <c r="AB1138" s="56">
        <f t="shared" ref="AB1138" si="450">SUM(U1138*AA1138)</f>
        <v>120203979.48369566</v>
      </c>
      <c r="AC1138" s="53">
        <f t="shared" ref="AC1138" si="451">SUM(S1138-AB1138)</f>
        <v>642469545.51630437</v>
      </c>
      <c r="AD1138" s="52" t="s">
        <v>1307</v>
      </c>
      <c r="AE1138" s="52"/>
      <c r="AF1138" s="8">
        <v>8289929.6195652178</v>
      </c>
      <c r="AG1138" s="5">
        <v>16579859.239130436</v>
      </c>
      <c r="AH1138" s="36">
        <v>7.25</v>
      </c>
      <c r="AI1138" s="1">
        <v>120203979.48369566</v>
      </c>
    </row>
    <row r="1139" spans="1:35" s="1" customFormat="1" x14ac:dyDescent="0.25">
      <c r="A1139" s="21">
        <v>34</v>
      </c>
      <c r="B1139" s="22" t="s">
        <v>1794</v>
      </c>
      <c r="C1139" s="65" t="s">
        <v>84</v>
      </c>
      <c r="D1139" s="24" t="s">
        <v>1326</v>
      </c>
      <c r="E1139" s="52"/>
      <c r="F1139" s="24"/>
      <c r="G1139" s="24" t="s">
        <v>1309</v>
      </c>
      <c r="H1139" s="24" t="s">
        <v>62</v>
      </c>
      <c r="I1139" s="24">
        <v>2012</v>
      </c>
      <c r="J1139" s="24"/>
      <c r="K1139" s="24"/>
      <c r="L1139" s="24" t="s">
        <v>64</v>
      </c>
      <c r="M1139" s="24">
        <v>1</v>
      </c>
      <c r="N1139" s="53">
        <v>61250000</v>
      </c>
      <c r="O1139" s="53">
        <v>61250000</v>
      </c>
      <c r="P1139" s="52">
        <v>61250000</v>
      </c>
      <c r="Q1139" s="43">
        <f>O1139-P1139</f>
        <v>0</v>
      </c>
      <c r="R1139" s="52"/>
      <c r="S1139" s="53">
        <v>61250000</v>
      </c>
      <c r="T1139" s="52">
        <v>50</v>
      </c>
      <c r="U1139" s="53">
        <f>SUM(S1139/T1139)</f>
        <v>1225000</v>
      </c>
      <c r="V1139" s="52">
        <v>0.5</v>
      </c>
      <c r="W1139" s="53">
        <f>SUM(U1139*V1139)</f>
        <v>612500</v>
      </c>
      <c r="X1139" s="52">
        <v>0.5</v>
      </c>
      <c r="Y1139" s="56">
        <f>SUM(U1139*X1139)</f>
        <v>612500</v>
      </c>
      <c r="Z1139" s="56">
        <f>W1139+Y1139</f>
        <v>1225000</v>
      </c>
      <c r="AA1139" s="52">
        <v>12</v>
      </c>
      <c r="AB1139" s="56">
        <f>SUM(U1139*AA1139)</f>
        <v>14700000</v>
      </c>
      <c r="AC1139" s="53">
        <f>SUM(S1139-AB1139)</f>
        <v>46550000</v>
      </c>
      <c r="AD1139" s="52" t="s">
        <v>1307</v>
      </c>
      <c r="AE1139" s="52"/>
      <c r="AF1139" s="8"/>
      <c r="AG1139" s="5"/>
      <c r="AH1139" s="36"/>
    </row>
    <row r="1140" spans="1:35" s="1" customFormat="1" x14ac:dyDescent="0.25">
      <c r="A1140" s="21"/>
      <c r="B1140" s="22"/>
      <c r="C1140" s="65"/>
      <c r="D1140" s="24"/>
      <c r="E1140" s="52"/>
      <c r="F1140" s="24"/>
      <c r="G1140" s="24"/>
      <c r="H1140" s="24"/>
      <c r="I1140" s="24"/>
      <c r="J1140" s="24"/>
      <c r="K1140" s="24"/>
      <c r="L1140" s="24"/>
      <c r="M1140" s="24"/>
      <c r="N1140" s="53"/>
      <c r="O1140" s="53"/>
      <c r="P1140" s="52"/>
      <c r="Q1140" s="43"/>
      <c r="R1140" s="52"/>
      <c r="S1140" s="53"/>
      <c r="T1140" s="52"/>
      <c r="U1140" s="53"/>
      <c r="V1140" s="52"/>
      <c r="W1140" s="53"/>
      <c r="X1140" s="52"/>
      <c r="Y1140" s="56"/>
      <c r="Z1140" s="56"/>
      <c r="AA1140" s="57"/>
      <c r="AB1140" s="56"/>
      <c r="AC1140" s="53"/>
      <c r="AD1140" s="52"/>
      <c r="AE1140" s="52"/>
      <c r="AF1140" s="8"/>
      <c r="AG1140" s="5"/>
      <c r="AH1140" s="36"/>
    </row>
    <row r="1141" spans="1:35" s="1" customFormat="1" ht="25.5" x14ac:dyDescent="0.25">
      <c r="A1141" s="25"/>
      <c r="B1141" s="26" t="s">
        <v>1340</v>
      </c>
      <c r="C1141" s="26"/>
      <c r="D1141" s="64" t="s">
        <v>1341</v>
      </c>
      <c r="E1141" s="28"/>
      <c r="F1141" s="28"/>
      <c r="G1141" s="28"/>
      <c r="H1141" s="28"/>
      <c r="I1141" s="28"/>
      <c r="J1141" s="28"/>
      <c r="K1141" s="28"/>
      <c r="L1141" s="28"/>
      <c r="M1141" s="28">
        <f>SUM(M1142:M1186)</f>
        <v>17</v>
      </c>
      <c r="N1141" s="47">
        <f>SUM(N1142:N1183)</f>
        <v>8116236171</v>
      </c>
      <c r="O1141" s="40">
        <f>SUM(O1142:O1186)</f>
        <v>9378480287</v>
      </c>
      <c r="P1141" s="28">
        <f>SUM(P1142:P1187)</f>
        <v>1068355540</v>
      </c>
      <c r="Q1141" s="28">
        <f>SUM(Q1142:Q1187)</f>
        <v>293831107.5</v>
      </c>
      <c r="R1141" s="28">
        <f>SUM(R1142:R1187)</f>
        <v>94888710</v>
      </c>
      <c r="S1141" s="40">
        <f>SUM(S1142:S1186)</f>
        <v>16089198660.142309</v>
      </c>
      <c r="T1141" s="40"/>
      <c r="U1141" s="40">
        <f>SUM(U1142:U1186)</f>
        <v>559919274.47884762</v>
      </c>
      <c r="V1141" s="40"/>
      <c r="W1141" s="40">
        <f>SUM(W1142:W1186)</f>
        <v>110343526.18315722</v>
      </c>
      <c r="X1141" s="40"/>
      <c r="Y1141" s="40">
        <f>SUM(Y1142:Y1186)</f>
        <v>111964815.60059866</v>
      </c>
      <c r="Z1141" s="40">
        <f>SUM(Z1142:Z1186)</f>
        <v>222308341.78375587</v>
      </c>
      <c r="AA1141" s="40"/>
      <c r="AB1141" s="40">
        <f>SUM(AB1142:AB1186)</f>
        <v>3987291302.1942725</v>
      </c>
      <c r="AC1141" s="40">
        <f>SUM(AC1142:AC1186)</f>
        <v>5470203181.2342949</v>
      </c>
      <c r="AD1141" s="28"/>
      <c r="AE1141" s="28"/>
      <c r="AF1141" s="8">
        <v>3764982960.4105167</v>
      </c>
      <c r="AG1141" s="8">
        <f>AF1141+W1141+Y1141-AB1141</f>
        <v>0</v>
      </c>
    </row>
    <row r="1142" spans="1:35" s="1" customFormat="1" x14ac:dyDescent="0.25">
      <c r="A1142" s="21">
        <v>1</v>
      </c>
      <c r="B1142" s="22" t="s">
        <v>1795</v>
      </c>
      <c r="C1142" s="65" t="s">
        <v>153</v>
      </c>
      <c r="D1142" s="24" t="s">
        <v>351</v>
      </c>
      <c r="E1142" s="52"/>
      <c r="F1142" s="24"/>
      <c r="G1142" s="24" t="s">
        <v>1309</v>
      </c>
      <c r="H1142" s="24" t="s">
        <v>62</v>
      </c>
      <c r="I1142" s="24">
        <v>1985</v>
      </c>
      <c r="J1142" s="24"/>
      <c r="K1142" s="24"/>
      <c r="L1142" s="24" t="s">
        <v>64</v>
      </c>
      <c r="M1142" s="24">
        <v>1</v>
      </c>
      <c r="N1142" s="41">
        <f>142710000+(19959000/8)</f>
        <v>145204875</v>
      </c>
      <c r="O1142" s="41">
        <f>142710000+(19959000/8)</f>
        <v>145204875</v>
      </c>
      <c r="P1142" s="24"/>
      <c r="Q1142" s="24"/>
      <c r="R1142" s="24"/>
      <c r="S1142" s="41"/>
      <c r="T1142" s="24"/>
      <c r="U1142" s="41"/>
      <c r="V1142" s="24"/>
      <c r="W1142" s="41"/>
      <c r="X1142" s="24"/>
      <c r="Y1142" s="70">
        <f>SUM(U1142*X1142)</f>
        <v>0</v>
      </c>
      <c r="Z1142" s="70">
        <f t="shared" ref="Z1142:Z1185" si="452">W1142+Y1142</f>
        <v>0</v>
      </c>
      <c r="AA1142" s="24">
        <v>30.5</v>
      </c>
      <c r="AB1142" s="70">
        <v>87122925</v>
      </c>
      <c r="AC1142" s="41"/>
      <c r="AD1142" s="24"/>
      <c r="AE1142" s="24"/>
      <c r="AF1142" s="8">
        <v>30.5</v>
      </c>
      <c r="AG1142" s="5"/>
      <c r="AI1142" s="5"/>
    </row>
    <row r="1143" spans="1:35" s="1" customFormat="1" x14ac:dyDescent="0.25">
      <c r="A1143" s="21"/>
      <c r="B1143" s="22"/>
      <c r="C1143" s="65"/>
      <c r="D1143" s="24"/>
      <c r="E1143" s="52"/>
      <c r="F1143" s="24"/>
      <c r="G1143" s="24"/>
      <c r="H1143" s="24"/>
      <c r="I1143" s="24"/>
      <c r="J1143" s="24"/>
      <c r="K1143" s="24"/>
      <c r="L1143" s="24"/>
      <c r="M1143" s="24"/>
      <c r="N1143" s="41">
        <f>(124569000/8)+(7467000/8)</f>
        <v>16504500</v>
      </c>
      <c r="O1143" s="41">
        <f>(124569000/8)+(7467000/8)</f>
        <v>16504500</v>
      </c>
      <c r="P1143" s="24"/>
      <c r="Q1143" s="24"/>
      <c r="R1143" s="24"/>
      <c r="S1143" s="41">
        <v>74586450</v>
      </c>
      <c r="T1143" s="24">
        <v>20</v>
      </c>
      <c r="U1143" s="41">
        <f t="shared" ref="U1143:U1148" si="453">SUM(S1143/T1143)</f>
        <v>3729322.5</v>
      </c>
      <c r="V1143" s="24"/>
      <c r="W1143" s="41">
        <f>SUM(U1143*V1143)</f>
        <v>0</v>
      </c>
      <c r="X1143" s="24"/>
      <c r="Y1143" s="70">
        <f>SUM(U1143*X1143)</f>
        <v>0</v>
      </c>
      <c r="Z1143" s="70"/>
      <c r="AA1143" s="72">
        <f>4.66666666666667+0.5+0.5+0.5+0.5+0.5</f>
        <v>7.1666666666666696</v>
      </c>
      <c r="AB1143" s="70">
        <v>26726811.250000011</v>
      </c>
      <c r="AC1143" s="41"/>
      <c r="AD1143" s="24" t="s">
        <v>1307</v>
      </c>
      <c r="AE1143" s="24"/>
      <c r="AF1143" s="8">
        <v>7.1666666666666696</v>
      </c>
      <c r="AG1143" s="5"/>
      <c r="AI1143" s="5"/>
    </row>
    <row r="1144" spans="1:35" s="1" customFormat="1" x14ac:dyDescent="0.25">
      <c r="A1144" s="21"/>
      <c r="B1144" s="22"/>
      <c r="C1144" s="65"/>
      <c r="D1144" s="24"/>
      <c r="E1144" s="52"/>
      <c r="F1144" s="24"/>
      <c r="G1144" s="24"/>
      <c r="H1144" s="24"/>
      <c r="I1144" s="24"/>
      <c r="J1144" s="24"/>
      <c r="K1144" s="24"/>
      <c r="L1144" s="24"/>
      <c r="M1144" s="24"/>
      <c r="N1144" s="53">
        <f>76000000/2</f>
        <v>38000000</v>
      </c>
      <c r="O1144" s="53">
        <f>76000000/2</f>
        <v>38000000</v>
      </c>
      <c r="P1144" s="52"/>
      <c r="Q1144" s="52"/>
      <c r="R1144" s="52"/>
      <c r="S1144" s="53">
        <v>85859638.749999985</v>
      </c>
      <c r="T1144" s="57">
        <f>T1143-AA1143</f>
        <v>12.83333333333333</v>
      </c>
      <c r="U1144" s="53">
        <f t="shared" si="453"/>
        <v>6690361.4610389611</v>
      </c>
      <c r="V1144" s="57">
        <v>0.5</v>
      </c>
      <c r="W1144" s="53">
        <f>SUM(U1144*V1144)</f>
        <v>3345180.7305194805</v>
      </c>
      <c r="X1144" s="52">
        <v>0.5</v>
      </c>
      <c r="Y1144" s="56">
        <f t="shared" ref="Y1144" si="454">SUM(U1144*X1144)</f>
        <v>3345180.7305194805</v>
      </c>
      <c r="Z1144" s="56">
        <f t="shared" si="452"/>
        <v>6690361.4610389611</v>
      </c>
      <c r="AA1144" s="57">
        <f>4/12+0.5+0.5+0.5</f>
        <v>1.8333333333333333</v>
      </c>
      <c r="AB1144" s="56">
        <f>SUM(U1144*AA1144)</f>
        <v>12265662.678571427</v>
      </c>
      <c r="AC1144" s="53">
        <f>SUM(S1144-AB1144)</f>
        <v>73593976.071428552</v>
      </c>
      <c r="AD1144" s="24"/>
      <c r="AE1144" s="24"/>
      <c r="AF1144" s="8">
        <v>1.3333333333333333</v>
      </c>
      <c r="AG1144" s="5"/>
      <c r="AI1144" s="5"/>
    </row>
    <row r="1145" spans="1:35" s="1" customFormat="1" x14ac:dyDescent="0.25">
      <c r="A1145" s="21">
        <v>2</v>
      </c>
      <c r="B1145" s="22" t="s">
        <v>1795</v>
      </c>
      <c r="C1145" s="65" t="s">
        <v>58</v>
      </c>
      <c r="D1145" s="24" t="s">
        <v>1342</v>
      </c>
      <c r="E1145" s="52"/>
      <c r="F1145" s="24"/>
      <c r="G1145" s="24" t="s">
        <v>1309</v>
      </c>
      <c r="H1145" s="24" t="s">
        <v>62</v>
      </c>
      <c r="I1145" s="24">
        <v>1985</v>
      </c>
      <c r="J1145" s="24"/>
      <c r="K1145" s="24"/>
      <c r="L1145" s="24" t="s">
        <v>64</v>
      </c>
      <c r="M1145" s="24">
        <v>1</v>
      </c>
      <c r="N1145" s="41">
        <v>983052000</v>
      </c>
      <c r="O1145" s="41">
        <v>983052000</v>
      </c>
      <c r="P1145" s="24"/>
      <c r="Q1145" s="24"/>
      <c r="R1145" s="24"/>
      <c r="S1145" s="41">
        <v>983052000</v>
      </c>
      <c r="T1145" s="24">
        <v>50</v>
      </c>
      <c r="U1145" s="41">
        <f t="shared" si="453"/>
        <v>19661040</v>
      </c>
      <c r="V1145" s="24">
        <v>0.5</v>
      </c>
      <c r="W1145" s="41"/>
      <c r="X1145" s="24"/>
      <c r="Y1145" s="70"/>
      <c r="Z1145" s="70">
        <f t="shared" si="452"/>
        <v>0</v>
      </c>
      <c r="AA1145" s="24">
        <v>33.5</v>
      </c>
      <c r="AB1145" s="70">
        <f>SUM(U1145*AA1145)</f>
        <v>658644840</v>
      </c>
      <c r="AC1145" s="41"/>
      <c r="AD1145" s="24" t="s">
        <v>1307</v>
      </c>
      <c r="AE1145" s="24"/>
      <c r="AF1145" s="8">
        <v>33.5</v>
      </c>
      <c r="AG1145" s="5"/>
      <c r="AI1145" s="5"/>
    </row>
    <row r="1146" spans="1:35" s="1" customFormat="1" x14ac:dyDescent="0.25">
      <c r="A1146" s="21"/>
      <c r="B1146" s="22"/>
      <c r="C1146" s="65"/>
      <c r="D1146" s="24"/>
      <c r="E1146" s="52"/>
      <c r="F1146" s="24"/>
      <c r="G1146" s="24"/>
      <c r="H1146" s="24"/>
      <c r="I1146" s="24"/>
      <c r="J1146" s="24"/>
      <c r="K1146" s="24"/>
      <c r="L1146" s="24"/>
      <c r="M1146" s="24"/>
      <c r="N1146" s="41">
        <v>120138750</v>
      </c>
      <c r="O1146" s="41">
        <v>120138750</v>
      </c>
      <c r="P1146" s="24"/>
      <c r="Q1146" s="24"/>
      <c r="R1146" s="24"/>
      <c r="S1146" s="41">
        <v>444545910</v>
      </c>
      <c r="T1146" s="24">
        <v>17</v>
      </c>
      <c r="U1146" s="41">
        <f t="shared" si="453"/>
        <v>26149759.411764707</v>
      </c>
      <c r="V1146" s="24"/>
      <c r="W1146" s="41">
        <f>SUM(U1146*V1146)</f>
        <v>0</v>
      </c>
      <c r="X1146" s="24"/>
      <c r="Y1146" s="70">
        <f t="shared" ref="Y1146:Y1161" si="455">SUM(U1146*X1146)</f>
        <v>0</v>
      </c>
      <c r="Z1146" s="70"/>
      <c r="AA1146" s="72">
        <f>1.08333333333333+0.5+0.5+0.5+0.5+0.5+0.5</f>
        <v>4.0833333333333304</v>
      </c>
      <c r="AB1146" s="70">
        <f>SUM(U1146*AA1146)</f>
        <v>106778184.26470581</v>
      </c>
      <c r="AC1146" s="41"/>
      <c r="AD1146" s="24"/>
      <c r="AE1146" s="24"/>
      <c r="AF1146" s="8">
        <v>4.0833333333333304</v>
      </c>
      <c r="AG1146" s="5"/>
      <c r="AI1146" s="5"/>
    </row>
    <row r="1147" spans="1:35" s="1" customFormat="1" x14ac:dyDescent="0.25">
      <c r="A1147" s="21"/>
      <c r="B1147" s="22"/>
      <c r="C1147" s="65"/>
      <c r="D1147" s="24"/>
      <c r="E1147" s="52"/>
      <c r="F1147" s="24"/>
      <c r="G1147" s="24"/>
      <c r="H1147" s="24"/>
      <c r="I1147" s="24"/>
      <c r="J1147" s="24"/>
      <c r="K1147" s="24"/>
      <c r="L1147" s="24"/>
      <c r="M1147" s="24"/>
      <c r="N1147" s="53">
        <v>24969000</v>
      </c>
      <c r="O1147" s="53">
        <v>24969000</v>
      </c>
      <c r="P1147" s="52"/>
      <c r="Q1147" s="52"/>
      <c r="R1147" s="52"/>
      <c r="S1147" s="53">
        <v>362736725.73529422</v>
      </c>
      <c r="T1147" s="57">
        <f>T1146-AA1146</f>
        <v>12.91666666666667</v>
      </c>
      <c r="U1147" s="53">
        <f t="shared" si="453"/>
        <v>28082843.282732449</v>
      </c>
      <c r="V1147" s="52">
        <v>0.5</v>
      </c>
      <c r="W1147" s="53">
        <f>SUM(U1147*V1147)</f>
        <v>14041421.641366225</v>
      </c>
      <c r="X1147" s="57"/>
      <c r="Y1147" s="56">
        <f t="shared" si="455"/>
        <v>0</v>
      </c>
      <c r="Z1147" s="56">
        <f t="shared" si="452"/>
        <v>14041421.641366225</v>
      </c>
      <c r="AA1147" s="57">
        <f>4/12+0.5</f>
        <v>0.83333333333333326</v>
      </c>
      <c r="AB1147" s="56">
        <f>SUM(U1147*AA1147)</f>
        <v>23402369.402277038</v>
      </c>
      <c r="AC1147" s="53"/>
      <c r="AD1147" s="52"/>
      <c r="AE1147" s="24"/>
      <c r="AF1147" s="8">
        <v>0.83333333333333326</v>
      </c>
      <c r="AG1147" s="5"/>
      <c r="AI1147" s="5"/>
    </row>
    <row r="1148" spans="1:35" s="1" customFormat="1" x14ac:dyDescent="0.25">
      <c r="A1148" s="21"/>
      <c r="B1148" s="22"/>
      <c r="C1148" s="65"/>
      <c r="D1148" s="24"/>
      <c r="E1148" s="52"/>
      <c r="F1148" s="24"/>
      <c r="G1148" s="24"/>
      <c r="H1148" s="24"/>
      <c r="I1148" s="24"/>
      <c r="J1148" s="24"/>
      <c r="K1148" s="24"/>
      <c r="L1148" s="24"/>
      <c r="M1148" s="24"/>
      <c r="N1148" s="311">
        <v>99942530.5</v>
      </c>
      <c r="O1148" s="311">
        <v>99942530.5</v>
      </c>
      <c r="P1148" s="310"/>
      <c r="Q1148" s="311">
        <f t="shared" ref="Q1148" si="456">O1148-P1148</f>
        <v>99942530.5</v>
      </c>
      <c r="R1148" s="310"/>
      <c r="S1148" s="311">
        <v>439276886.83301717</v>
      </c>
      <c r="T1148" s="312">
        <f>T1147-AA1147</f>
        <v>12.083333333333336</v>
      </c>
      <c r="U1148" s="311">
        <f t="shared" si="453"/>
        <v>36353949.255146243</v>
      </c>
      <c r="V1148" s="312">
        <f>1/12</f>
        <v>8.3333333333333329E-2</v>
      </c>
      <c r="W1148" s="311">
        <f>SUM(U1148*V1148)</f>
        <v>3029495.7712621866</v>
      </c>
      <c r="X1148" s="312">
        <v>0.5</v>
      </c>
      <c r="Y1148" s="313">
        <f t="shared" ref="Y1148" si="457">SUM(U1148*X1148)</f>
        <v>18176974.627573121</v>
      </c>
      <c r="Z1148" s="313">
        <f t="shared" si="452"/>
        <v>21206470.398835309</v>
      </c>
      <c r="AA1148" s="312">
        <f>1/12+0.5</f>
        <v>0.58333333333333337</v>
      </c>
      <c r="AB1148" s="313">
        <f>SUM(U1148*AA1148)</f>
        <v>21206470.398835309</v>
      </c>
      <c r="AC1148" s="311">
        <f>SUM(S1148-AB1148)</f>
        <v>418070416.43418187</v>
      </c>
      <c r="AD1148" s="52"/>
      <c r="AE1148" s="24"/>
      <c r="AF1148" s="8">
        <v>8.3333333333333329E-2</v>
      </c>
      <c r="AG1148" s="5"/>
      <c r="AI1148" s="5"/>
    </row>
    <row r="1149" spans="1:35" s="1" customFormat="1" x14ac:dyDescent="0.25">
      <c r="A1149" s="21">
        <v>3</v>
      </c>
      <c r="B1149" s="22" t="s">
        <v>1795</v>
      </c>
      <c r="C1149" s="65" t="s">
        <v>156</v>
      </c>
      <c r="D1149" s="24" t="s">
        <v>1343</v>
      </c>
      <c r="E1149" s="52"/>
      <c r="F1149" s="24"/>
      <c r="G1149" s="24" t="s">
        <v>1309</v>
      </c>
      <c r="H1149" s="24" t="s">
        <v>62</v>
      </c>
      <c r="I1149" s="24">
        <v>1985</v>
      </c>
      <c r="J1149" s="24"/>
      <c r="K1149" s="24"/>
      <c r="L1149" s="24" t="s">
        <v>64</v>
      </c>
      <c r="M1149" s="24">
        <v>1</v>
      </c>
      <c r="N1149" s="41">
        <f>142710000+(19959000/8)</f>
        <v>145204875</v>
      </c>
      <c r="O1149" s="41">
        <f>142710000+(19959000/8)</f>
        <v>145204875</v>
      </c>
      <c r="P1149" s="24"/>
      <c r="Q1149" s="24"/>
      <c r="R1149" s="24"/>
      <c r="S1149" s="41"/>
      <c r="T1149" s="24"/>
      <c r="U1149" s="41"/>
      <c r="V1149" s="24"/>
      <c r="W1149" s="41"/>
      <c r="X1149" s="24"/>
      <c r="Y1149" s="70">
        <f t="shared" si="455"/>
        <v>0</v>
      </c>
      <c r="Z1149" s="70">
        <f t="shared" si="452"/>
        <v>0</v>
      </c>
      <c r="AA1149" s="24">
        <v>30</v>
      </c>
      <c r="AB1149" s="70">
        <v>87122925</v>
      </c>
      <c r="AC1149" s="41"/>
      <c r="AD1149" s="24"/>
      <c r="AE1149" s="24"/>
      <c r="AF1149" s="8">
        <v>30</v>
      </c>
      <c r="AG1149" s="5"/>
      <c r="AI1149" s="5"/>
    </row>
    <row r="1150" spans="1:35" s="1" customFormat="1" x14ac:dyDescent="0.25">
      <c r="A1150" s="21"/>
      <c r="B1150" s="22"/>
      <c r="C1150" s="65"/>
      <c r="D1150" s="24"/>
      <c r="E1150" s="52"/>
      <c r="F1150" s="24"/>
      <c r="G1150" s="24"/>
      <c r="H1150" s="24"/>
      <c r="I1150" s="24"/>
      <c r="J1150" s="24"/>
      <c r="K1150" s="24"/>
      <c r="L1150" s="24"/>
      <c r="M1150" s="24"/>
      <c r="N1150" s="41">
        <f>(124569000/8)+(7467000/8)</f>
        <v>16504500</v>
      </c>
      <c r="O1150" s="41">
        <f>(124569000/8)+(7467000/8)</f>
        <v>16504500</v>
      </c>
      <c r="P1150" s="24"/>
      <c r="Q1150" s="24"/>
      <c r="R1150" s="24"/>
      <c r="S1150" s="41">
        <v>74586450</v>
      </c>
      <c r="T1150" s="24">
        <v>20</v>
      </c>
      <c r="U1150" s="41">
        <f>SUM(S1150/T1150)</f>
        <v>3729322.5</v>
      </c>
      <c r="V1150" s="24">
        <v>0.5</v>
      </c>
      <c r="W1150" s="41"/>
      <c r="X1150" s="24"/>
      <c r="Y1150" s="70">
        <f t="shared" si="455"/>
        <v>0</v>
      </c>
      <c r="Z1150" s="70"/>
      <c r="AA1150" s="72">
        <f>8/12+1+0.5+1+0.5+0.5</f>
        <v>4.1666666666666661</v>
      </c>
      <c r="AB1150" s="70">
        <f>SUM(U1150*AA1150)</f>
        <v>15538843.749999998</v>
      </c>
      <c r="AC1150" s="41"/>
      <c r="AD1150" s="24" t="s">
        <v>1307</v>
      </c>
      <c r="AE1150" s="24"/>
      <c r="AF1150" s="8">
        <v>4.1666666666666661</v>
      </c>
      <c r="AG1150" s="5"/>
      <c r="AI1150" s="5"/>
    </row>
    <row r="1151" spans="1:35" s="1" customFormat="1" x14ac:dyDescent="0.25">
      <c r="A1151" s="21"/>
      <c r="B1151" s="22"/>
      <c r="C1151" s="65"/>
      <c r="D1151" s="24"/>
      <c r="E1151" s="52"/>
      <c r="F1151" s="24"/>
      <c r="G1151" s="24"/>
      <c r="H1151" s="24"/>
      <c r="I1151" s="24"/>
      <c r="J1151" s="24"/>
      <c r="K1151" s="24"/>
      <c r="L1151" s="24"/>
      <c r="M1151" s="24"/>
      <c r="N1151" s="53">
        <v>49847500</v>
      </c>
      <c r="O1151" s="53">
        <v>49847500</v>
      </c>
      <c r="P1151" s="52"/>
      <c r="Q1151" s="52"/>
      <c r="R1151" s="52"/>
      <c r="S1151" s="53">
        <v>108895106.25</v>
      </c>
      <c r="T1151" s="57">
        <f>T1150-AA1150+5</f>
        <v>20.833333333333336</v>
      </c>
      <c r="U1151" s="53">
        <f>SUM(S1151/T1151)</f>
        <v>5226965.0999999996</v>
      </c>
      <c r="V1151" s="52">
        <v>0.5</v>
      </c>
      <c r="W1151" s="53">
        <f>SUM(U1151*V1151)</f>
        <v>2613482.5499999998</v>
      </c>
      <c r="X1151" s="54">
        <v>0.5</v>
      </c>
      <c r="Y1151" s="56">
        <f t="shared" si="455"/>
        <v>2613482.5499999998</v>
      </c>
      <c r="Z1151" s="56">
        <f t="shared" si="452"/>
        <v>5226965.0999999996</v>
      </c>
      <c r="AA1151" s="57">
        <f>1/12+0.5+0.5+0.5+0.5+0.5+0.5+0.5+0.5</f>
        <v>4.0833333333333339</v>
      </c>
      <c r="AB1151" s="56">
        <f>SUM(U1151*AA1151)</f>
        <v>21343440.825000003</v>
      </c>
      <c r="AC1151" s="53">
        <f>SUM(S1151-AB1151)</f>
        <v>87551665.424999997</v>
      </c>
      <c r="AD1151" s="52"/>
      <c r="AE1151" s="24"/>
      <c r="AF1151" s="8">
        <v>3.5833333333333335</v>
      </c>
      <c r="AG1151" s="5"/>
      <c r="AI1151" s="5"/>
    </row>
    <row r="1152" spans="1:35" s="1" customFormat="1" x14ac:dyDescent="0.25">
      <c r="A1152" s="21">
        <v>4</v>
      </c>
      <c r="B1152" s="22" t="s">
        <v>1795</v>
      </c>
      <c r="C1152" s="65" t="s">
        <v>159</v>
      </c>
      <c r="D1152" s="24" t="s">
        <v>1344</v>
      </c>
      <c r="E1152" s="52"/>
      <c r="F1152" s="24"/>
      <c r="G1152" s="24" t="s">
        <v>1309</v>
      </c>
      <c r="H1152" s="24" t="s">
        <v>62</v>
      </c>
      <c r="I1152" s="24">
        <v>1985</v>
      </c>
      <c r="J1152" s="24"/>
      <c r="K1152" s="24"/>
      <c r="L1152" s="24" t="s">
        <v>64</v>
      </c>
      <c r="M1152" s="24">
        <v>1</v>
      </c>
      <c r="N1152" s="53">
        <v>106523000</v>
      </c>
      <c r="O1152" s="53">
        <v>106523000</v>
      </c>
      <c r="P1152" s="52"/>
      <c r="Q1152" s="52"/>
      <c r="R1152" s="52"/>
      <c r="S1152" s="53">
        <v>106523000</v>
      </c>
      <c r="T1152" s="52">
        <v>50</v>
      </c>
      <c r="U1152" s="53">
        <f>SUM(S1152/T1152)</f>
        <v>2130460</v>
      </c>
      <c r="V1152" s="52">
        <v>0.5</v>
      </c>
      <c r="W1152" s="53">
        <f>SUM(U1152*V1152)</f>
        <v>1065230</v>
      </c>
      <c r="X1152" s="52">
        <v>0.5</v>
      </c>
      <c r="Y1152" s="56">
        <f t="shared" si="455"/>
        <v>1065230</v>
      </c>
      <c r="Z1152" s="56">
        <f t="shared" si="452"/>
        <v>2130460</v>
      </c>
      <c r="AA1152" s="52">
        <v>39</v>
      </c>
      <c r="AB1152" s="56">
        <f>SUM(U1152*AA1152)</f>
        <v>83087940</v>
      </c>
      <c r="AC1152" s="53">
        <f>SUM(S1152-AB1152)</f>
        <v>23435060</v>
      </c>
      <c r="AD1152" s="52" t="s">
        <v>1307</v>
      </c>
      <c r="AE1152" s="24"/>
      <c r="AF1152" s="8">
        <v>38.5</v>
      </c>
      <c r="AG1152" s="5"/>
      <c r="AI1152" s="5"/>
    </row>
    <row r="1153" spans="1:35" s="1" customFormat="1" x14ac:dyDescent="0.25">
      <c r="A1153" s="21">
        <v>5</v>
      </c>
      <c r="B1153" s="22" t="s">
        <v>1795</v>
      </c>
      <c r="C1153" s="65" t="s">
        <v>143</v>
      </c>
      <c r="D1153" s="24" t="s">
        <v>1345</v>
      </c>
      <c r="E1153" s="52"/>
      <c r="F1153" s="24"/>
      <c r="G1153" s="24" t="s">
        <v>1309</v>
      </c>
      <c r="H1153" s="24" t="s">
        <v>62</v>
      </c>
      <c r="I1153" s="24">
        <v>1985</v>
      </c>
      <c r="J1153" s="24"/>
      <c r="K1153" s="24"/>
      <c r="L1153" s="24" t="s">
        <v>64</v>
      </c>
      <c r="M1153" s="24">
        <v>1</v>
      </c>
      <c r="N1153" s="53">
        <f>300303000+9967000</f>
        <v>310270000</v>
      </c>
      <c r="O1153" s="53">
        <f>300303000+9967000</f>
        <v>310270000</v>
      </c>
      <c r="P1153" s="52"/>
      <c r="Q1153" s="52"/>
      <c r="R1153" s="52"/>
      <c r="S1153" s="53"/>
      <c r="T1153" s="52"/>
      <c r="U1153" s="53"/>
      <c r="V1153" s="52"/>
      <c r="W1153" s="53"/>
      <c r="X1153" s="52"/>
      <c r="Y1153" s="56">
        <f t="shared" si="455"/>
        <v>0</v>
      </c>
      <c r="Z1153" s="56">
        <f t="shared" si="452"/>
        <v>0</v>
      </c>
      <c r="AA1153" s="52">
        <v>30.5</v>
      </c>
      <c r="AB1153" s="56">
        <v>186162000</v>
      </c>
      <c r="AC1153" s="53"/>
      <c r="AD1153" s="52"/>
      <c r="AE1153" s="24"/>
      <c r="AF1153" s="8">
        <v>30.5</v>
      </c>
      <c r="AG1153" s="5"/>
      <c r="AI1153" s="5"/>
    </row>
    <row r="1154" spans="1:35" s="1" customFormat="1" x14ac:dyDescent="0.25">
      <c r="A1154" s="21"/>
      <c r="B1154" s="22"/>
      <c r="C1154" s="65"/>
      <c r="D1154" s="24"/>
      <c r="E1154" s="52"/>
      <c r="F1154" s="24"/>
      <c r="G1154" s="24"/>
      <c r="H1154" s="24"/>
      <c r="I1154" s="24"/>
      <c r="J1154" s="24"/>
      <c r="K1154" s="24"/>
      <c r="L1154" s="24"/>
      <c r="M1154" s="24"/>
      <c r="N1154" s="53">
        <f>(124569000/8)+(7467000/8)</f>
        <v>16504500</v>
      </c>
      <c r="O1154" s="53">
        <f>(124569000/8)+(7467000/8)</f>
        <v>16504500</v>
      </c>
      <c r="P1154" s="52"/>
      <c r="Q1154" s="52"/>
      <c r="R1154" s="52"/>
      <c r="S1154" s="53">
        <v>140612500</v>
      </c>
      <c r="T1154" s="52">
        <v>20</v>
      </c>
      <c r="U1154" s="53">
        <f>SUM(S1154/T1154)</f>
        <v>7030625</v>
      </c>
      <c r="V1154" s="52">
        <v>0.5</v>
      </c>
      <c r="W1154" s="53"/>
      <c r="X1154" s="52"/>
      <c r="Y1154" s="56">
        <f t="shared" si="455"/>
        <v>0</v>
      </c>
      <c r="Z1154" s="56"/>
      <c r="AA1154" s="57">
        <f>4.66666666666667+0.5</f>
        <v>5.1666666666666696</v>
      </c>
      <c r="AB1154" s="56">
        <f>SUM(U1154*AA1154)</f>
        <v>36324895.833333351</v>
      </c>
      <c r="AC1154" s="53">
        <f>SUM(S1154-AB1154)</f>
        <v>104287604.16666666</v>
      </c>
      <c r="AD1154" s="52" t="s">
        <v>1307</v>
      </c>
      <c r="AE1154" s="24"/>
      <c r="AF1154" s="8">
        <v>5.1666666666666696</v>
      </c>
      <c r="AG1154" s="5"/>
      <c r="AI1154" s="5"/>
    </row>
    <row r="1155" spans="1:35" s="1" customFormat="1" x14ac:dyDescent="0.25">
      <c r="A1155" s="21"/>
      <c r="B1155" s="22"/>
      <c r="C1155" s="65"/>
      <c r="D1155" s="24"/>
      <c r="E1155" s="52"/>
      <c r="F1155" s="24"/>
      <c r="G1155" s="24"/>
      <c r="H1155" s="24"/>
      <c r="I1155" s="24"/>
      <c r="J1155" s="24"/>
      <c r="K1155" s="24"/>
      <c r="L1155" s="24"/>
      <c r="M1155" s="24"/>
      <c r="N1155" s="53">
        <v>49890000</v>
      </c>
      <c r="O1155" s="53">
        <v>49890000</v>
      </c>
      <c r="P1155" s="52"/>
      <c r="Q1155" s="52"/>
      <c r="R1155" s="52"/>
      <c r="S1155" s="53">
        <v>154177604.16666666</v>
      </c>
      <c r="T1155" s="57">
        <f>T1154-AA1154+5</f>
        <v>19.833333333333329</v>
      </c>
      <c r="U1155" s="53">
        <f>SUM(S1155/T1155)</f>
        <v>7773660.7142857155</v>
      </c>
      <c r="V1155" s="52">
        <v>0.5</v>
      </c>
      <c r="W1155" s="53">
        <f>SUM(U1155*V1155)</f>
        <v>3886830.3571428577</v>
      </c>
      <c r="X1155" s="54">
        <v>0.5</v>
      </c>
      <c r="Y1155" s="56">
        <f t="shared" si="455"/>
        <v>3886830.3571428577</v>
      </c>
      <c r="Z1155" s="56">
        <f t="shared" si="452"/>
        <v>7773660.7142857155</v>
      </c>
      <c r="AA1155" s="57">
        <f>2/12+0.5+0.5+0.5+0.5+0.5+0.5</f>
        <v>3.1666666666666665</v>
      </c>
      <c r="AB1155" s="56">
        <f>SUM(U1155*AA1155)</f>
        <v>24616592.261904765</v>
      </c>
      <c r="AC1155" s="53"/>
      <c r="AD1155" s="52"/>
      <c r="AE1155" s="24"/>
      <c r="AF1155" s="8">
        <v>2.6666666666666665</v>
      </c>
      <c r="AG1155" s="5"/>
      <c r="AI1155" s="5"/>
    </row>
    <row r="1156" spans="1:35" s="1" customFormat="1" x14ac:dyDescent="0.25">
      <c r="A1156" s="21"/>
      <c r="B1156" s="22"/>
      <c r="C1156" s="65"/>
      <c r="D1156" s="24"/>
      <c r="E1156" s="52"/>
      <c r="F1156" s="24"/>
      <c r="G1156" s="24"/>
      <c r="H1156" s="24"/>
      <c r="I1156" s="24"/>
      <c r="J1156" s="24"/>
      <c r="K1156" s="24"/>
      <c r="L1156" s="24"/>
      <c r="M1156" s="24"/>
      <c r="N1156" s="53"/>
      <c r="O1156" s="366">
        <v>98999867</v>
      </c>
      <c r="P1156" s="188"/>
      <c r="Q1156" s="378">
        <v>98999867</v>
      </c>
      <c r="R1156" s="188"/>
      <c r="S1156" s="366">
        <v>203287471.16666698</v>
      </c>
      <c r="T1156" s="367">
        <f>T1155-AA1155</f>
        <v>16.666666666666661</v>
      </c>
      <c r="U1156" s="366">
        <f t="shared" ref="U1156" si="458">SUM(S1156/T1156)</f>
        <v>12197248.270000024</v>
      </c>
      <c r="V1156" s="188"/>
      <c r="W1156" s="366"/>
      <c r="X1156" s="367">
        <f>4/12</f>
        <v>0.33333333333333331</v>
      </c>
      <c r="Y1156" s="368">
        <f t="shared" si="455"/>
        <v>4065749.4233333413</v>
      </c>
      <c r="Z1156" s="368">
        <f t="shared" si="452"/>
        <v>4065749.4233333413</v>
      </c>
      <c r="AA1156" s="367">
        <f>4/12</f>
        <v>0.33333333333333331</v>
      </c>
      <c r="AB1156" s="368">
        <f>SUM(U1156*AA1156)</f>
        <v>4065749.4233333413</v>
      </c>
      <c r="AC1156" s="366">
        <f>SUM(S1156-AB1156)</f>
        <v>199221721.74333364</v>
      </c>
      <c r="AD1156" s="52"/>
      <c r="AE1156" s="24"/>
      <c r="AF1156" s="8"/>
      <c r="AG1156" s="5"/>
      <c r="AI1156" s="5"/>
    </row>
    <row r="1157" spans="1:35" s="1" customFormat="1" x14ac:dyDescent="0.25">
      <c r="A1157" s="21">
        <v>6</v>
      </c>
      <c r="B1157" s="22" t="s">
        <v>1795</v>
      </c>
      <c r="C1157" s="65" t="s">
        <v>140</v>
      </c>
      <c r="D1157" s="24" t="s">
        <v>1346</v>
      </c>
      <c r="E1157" s="52"/>
      <c r="F1157" s="24"/>
      <c r="G1157" s="24" t="s">
        <v>1309</v>
      </c>
      <c r="H1157" s="24" t="s">
        <v>62</v>
      </c>
      <c r="I1157" s="24">
        <v>1985</v>
      </c>
      <c r="J1157" s="24"/>
      <c r="K1157" s="24"/>
      <c r="L1157" s="24" t="s">
        <v>64</v>
      </c>
      <c r="M1157" s="24">
        <v>1</v>
      </c>
      <c r="N1157" s="53">
        <v>77471000</v>
      </c>
      <c r="O1157" s="53">
        <v>77471000</v>
      </c>
      <c r="P1157" s="52"/>
      <c r="Q1157" s="52"/>
      <c r="R1157" s="52"/>
      <c r="S1157" s="53">
        <v>77471000</v>
      </c>
      <c r="T1157" s="52">
        <v>50</v>
      </c>
      <c r="U1157" s="53">
        <f>SUM(S1157/T1157)</f>
        <v>1549420</v>
      </c>
      <c r="V1157" s="52">
        <v>0.5</v>
      </c>
      <c r="W1157" s="53">
        <f>SUM(U1157*V1157)</f>
        <v>774710</v>
      </c>
      <c r="X1157" s="52">
        <v>0.5</v>
      </c>
      <c r="Y1157" s="56">
        <f t="shared" si="455"/>
        <v>774710</v>
      </c>
      <c r="Z1157" s="56">
        <f t="shared" si="452"/>
        <v>1549420</v>
      </c>
      <c r="AA1157" s="52">
        <v>39</v>
      </c>
      <c r="AB1157" s="56">
        <f>SUM(U1157*AA1157)</f>
        <v>60427380</v>
      </c>
      <c r="AC1157" s="53">
        <f>SUM(S1157-AB1157)</f>
        <v>17043620</v>
      </c>
      <c r="AD1157" s="52" t="s">
        <v>1307</v>
      </c>
      <c r="AE1157" s="24"/>
      <c r="AF1157" s="8">
        <v>38.5</v>
      </c>
      <c r="AG1157" s="5"/>
      <c r="AI1157" s="5"/>
    </row>
    <row r="1158" spans="1:35" s="1" customFormat="1" x14ac:dyDescent="0.25">
      <c r="A1158" s="21"/>
      <c r="B1158" s="22"/>
      <c r="C1158" s="65"/>
      <c r="D1158" s="24"/>
      <c r="E1158" s="52"/>
      <c r="F1158" s="24"/>
      <c r="G1158" s="24"/>
      <c r="H1158" s="24"/>
      <c r="I1158" s="24"/>
      <c r="J1158" s="24"/>
      <c r="K1158" s="24"/>
      <c r="L1158" s="24"/>
      <c r="M1158" s="24"/>
      <c r="N1158" s="53"/>
      <c r="O1158" s="53"/>
      <c r="P1158" s="52"/>
      <c r="Q1158" s="52"/>
      <c r="R1158" s="52"/>
      <c r="S1158" s="53"/>
      <c r="T1158" s="52"/>
      <c r="U1158" s="53"/>
      <c r="V1158" s="52"/>
      <c r="W1158" s="53"/>
      <c r="X1158" s="57"/>
      <c r="Y1158" s="56"/>
      <c r="Z1158" s="56"/>
      <c r="AA1158" s="57"/>
      <c r="AB1158" s="56"/>
      <c r="AC1158" s="53"/>
      <c r="AD1158" s="52"/>
      <c r="AE1158" s="24"/>
      <c r="AF1158" s="8"/>
      <c r="AG1158" s="5"/>
      <c r="AI1158" s="5"/>
    </row>
    <row r="1159" spans="1:35" s="1" customFormat="1" x14ac:dyDescent="0.25">
      <c r="A1159" s="21">
        <v>7</v>
      </c>
      <c r="B1159" s="22" t="s">
        <v>1795</v>
      </c>
      <c r="C1159" s="65" t="s">
        <v>313</v>
      </c>
      <c r="D1159" s="24" t="s">
        <v>603</v>
      </c>
      <c r="E1159" s="52"/>
      <c r="F1159" s="24"/>
      <c r="G1159" s="24" t="s">
        <v>1309</v>
      </c>
      <c r="H1159" s="24" t="s">
        <v>62</v>
      </c>
      <c r="I1159" s="24">
        <v>1985</v>
      </c>
      <c r="J1159" s="24"/>
      <c r="K1159" s="24"/>
      <c r="L1159" s="24" t="s">
        <v>64</v>
      </c>
      <c r="M1159" s="24">
        <v>1</v>
      </c>
      <c r="N1159" s="53">
        <f>142710000+(19959000/8)</f>
        <v>145204875</v>
      </c>
      <c r="O1159" s="53">
        <f>142710000+(19959000/8)</f>
        <v>145204875</v>
      </c>
      <c r="P1159" s="52"/>
      <c r="Q1159" s="52"/>
      <c r="R1159" s="52"/>
      <c r="S1159" s="53"/>
      <c r="T1159" s="52"/>
      <c r="U1159" s="53"/>
      <c r="V1159" s="52"/>
      <c r="W1159" s="53"/>
      <c r="X1159" s="52"/>
      <c r="Y1159" s="56">
        <f t="shared" si="455"/>
        <v>0</v>
      </c>
      <c r="Z1159" s="56">
        <f t="shared" si="452"/>
        <v>0</v>
      </c>
      <c r="AA1159" s="52">
        <v>30.5</v>
      </c>
      <c r="AB1159" s="56">
        <v>87122925</v>
      </c>
      <c r="AC1159" s="53"/>
      <c r="AD1159" s="52"/>
      <c r="AE1159" s="24"/>
      <c r="AF1159" s="8">
        <v>30.5</v>
      </c>
      <c r="AG1159" s="5"/>
      <c r="AI1159" s="5"/>
    </row>
    <row r="1160" spans="1:35" s="1" customFormat="1" x14ac:dyDescent="0.25">
      <c r="A1160" s="21"/>
      <c r="B1160" s="22"/>
      <c r="C1160" s="65"/>
      <c r="D1160" s="24"/>
      <c r="E1160" s="52"/>
      <c r="F1160" s="24"/>
      <c r="G1160" s="24"/>
      <c r="H1160" s="24"/>
      <c r="I1160" s="24"/>
      <c r="J1160" s="24"/>
      <c r="K1160" s="24"/>
      <c r="L1160" s="24"/>
      <c r="M1160" s="24"/>
      <c r="N1160" s="53">
        <f>(124569000/8)+(7467000/8)</f>
        <v>16504500</v>
      </c>
      <c r="O1160" s="53">
        <f>(124569000/8)+(7467000/8)</f>
        <v>16504500</v>
      </c>
      <c r="P1160" s="52"/>
      <c r="Q1160" s="52"/>
      <c r="R1160" s="52"/>
      <c r="S1160" s="53">
        <v>74586450</v>
      </c>
      <c r="T1160" s="52">
        <v>20</v>
      </c>
      <c r="U1160" s="53">
        <f t="shared" ref="U1160:U1165" si="459">SUM(S1160/T1160)</f>
        <v>3729322.5</v>
      </c>
      <c r="V1160" s="52">
        <v>0.5</v>
      </c>
      <c r="W1160" s="53"/>
      <c r="X1160" s="52"/>
      <c r="Y1160" s="56">
        <f t="shared" si="455"/>
        <v>0</v>
      </c>
      <c r="Z1160" s="56"/>
      <c r="AA1160" s="57">
        <f>8/12+1+0.5+1+0.5+0.5</f>
        <v>4.1666666666666661</v>
      </c>
      <c r="AB1160" s="56">
        <f t="shared" ref="AB1160:AB1165" si="460">SUM(U1160*AA1160)</f>
        <v>15538843.749999998</v>
      </c>
      <c r="AC1160" s="53"/>
      <c r="AD1160" s="52" t="s">
        <v>1307</v>
      </c>
      <c r="AE1160" s="24"/>
      <c r="AF1160" s="8">
        <v>4.1666666666666661</v>
      </c>
      <c r="AG1160" s="5"/>
      <c r="AI1160" s="5"/>
    </row>
    <row r="1161" spans="1:35" s="1" customFormat="1" x14ac:dyDescent="0.25">
      <c r="A1161" s="21"/>
      <c r="B1161" s="22"/>
      <c r="C1161" s="65"/>
      <c r="D1161" s="24"/>
      <c r="E1161" s="52"/>
      <c r="F1161" s="24"/>
      <c r="G1161" s="24"/>
      <c r="H1161" s="24"/>
      <c r="I1161" s="24"/>
      <c r="J1161" s="24"/>
      <c r="K1161" s="24"/>
      <c r="L1161" s="24"/>
      <c r="M1161" s="24"/>
      <c r="N1161" s="53">
        <v>49847500</v>
      </c>
      <c r="O1161" s="53">
        <v>49847500</v>
      </c>
      <c r="P1161" s="52"/>
      <c r="Q1161" s="52"/>
      <c r="R1161" s="52"/>
      <c r="S1161" s="53">
        <v>108895106.25</v>
      </c>
      <c r="T1161" s="57">
        <f>15.8333333333333+5</f>
        <v>20.8333333333333</v>
      </c>
      <c r="U1161" s="53">
        <f t="shared" si="459"/>
        <v>5226965.100000008</v>
      </c>
      <c r="V1161" s="52">
        <v>0.5</v>
      </c>
      <c r="W1161" s="53">
        <f>SUM(U1161*V1161)</f>
        <v>2613482.550000004</v>
      </c>
      <c r="X1161" s="93">
        <v>0.5</v>
      </c>
      <c r="Y1161" s="56">
        <f t="shared" si="455"/>
        <v>2613482.550000004</v>
      </c>
      <c r="Z1161" s="56">
        <f t="shared" si="452"/>
        <v>5226965.100000008</v>
      </c>
      <c r="AA1161" s="57">
        <f>1/12+0.5+0.5+0.5+0.5+0.5+0.5+0.5+0.5</f>
        <v>4.0833333333333339</v>
      </c>
      <c r="AB1161" s="56">
        <f t="shared" si="460"/>
        <v>21343440.825000037</v>
      </c>
      <c r="AC1161" s="53">
        <f>SUM(S1161-AB1161)</f>
        <v>87551665.424999967</v>
      </c>
      <c r="AD1161" s="52"/>
      <c r="AE1161" s="24"/>
      <c r="AF1161" s="8">
        <v>3.5833333333333335</v>
      </c>
      <c r="AG1161" s="5"/>
      <c r="AI1161" s="5"/>
    </row>
    <row r="1162" spans="1:35" s="1" customFormat="1" x14ac:dyDescent="0.25">
      <c r="A1162" s="21">
        <v>8</v>
      </c>
      <c r="B1162" s="22" t="s">
        <v>1795</v>
      </c>
      <c r="C1162" s="65" t="s">
        <v>75</v>
      </c>
      <c r="D1162" s="24" t="s">
        <v>1347</v>
      </c>
      <c r="E1162" s="52"/>
      <c r="F1162" s="24"/>
      <c r="G1162" s="24" t="s">
        <v>1309</v>
      </c>
      <c r="H1162" s="24" t="s">
        <v>62</v>
      </c>
      <c r="I1162" s="24">
        <v>1985</v>
      </c>
      <c r="J1162" s="24"/>
      <c r="K1162" s="24"/>
      <c r="L1162" s="24" t="s">
        <v>64</v>
      </c>
      <c r="M1162" s="24">
        <v>1</v>
      </c>
      <c r="N1162" s="53">
        <v>910574000</v>
      </c>
      <c r="O1162" s="53">
        <v>910574000</v>
      </c>
      <c r="P1162" s="52"/>
      <c r="Q1162" s="52"/>
      <c r="R1162" s="52"/>
      <c r="S1162" s="53">
        <v>910574000</v>
      </c>
      <c r="T1162" s="52">
        <v>50</v>
      </c>
      <c r="U1162" s="53">
        <f t="shared" si="459"/>
        <v>18211480</v>
      </c>
      <c r="V1162" s="52">
        <v>0.5</v>
      </c>
      <c r="W1162" s="53"/>
      <c r="X1162" s="52"/>
      <c r="Y1162" s="56"/>
      <c r="Z1162" s="56">
        <f t="shared" si="452"/>
        <v>0</v>
      </c>
      <c r="AA1162" s="52">
        <v>33.5</v>
      </c>
      <c r="AB1162" s="56">
        <f t="shared" si="460"/>
        <v>610084580</v>
      </c>
      <c r="AC1162" s="53"/>
      <c r="AD1162" s="52" t="s">
        <v>1307</v>
      </c>
      <c r="AE1162" s="24"/>
      <c r="AF1162" s="8">
        <v>33.5</v>
      </c>
      <c r="AG1162" s="5"/>
      <c r="AI1162" s="5"/>
    </row>
    <row r="1163" spans="1:35" s="1" customFormat="1" x14ac:dyDescent="0.25">
      <c r="A1163" s="21"/>
      <c r="B1163" s="22"/>
      <c r="C1163" s="65"/>
      <c r="D1163" s="24"/>
      <c r="E1163" s="52"/>
      <c r="F1163" s="24"/>
      <c r="G1163" s="24"/>
      <c r="H1163" s="24"/>
      <c r="I1163" s="24"/>
      <c r="J1163" s="24"/>
      <c r="K1163" s="24"/>
      <c r="L1163" s="24"/>
      <c r="M1163" s="24"/>
      <c r="N1163" s="53">
        <v>93441250</v>
      </c>
      <c r="O1163" s="53">
        <v>93441250</v>
      </c>
      <c r="P1163" s="52"/>
      <c r="Q1163" s="52"/>
      <c r="R1163" s="52"/>
      <c r="S1163" s="53">
        <v>393930670</v>
      </c>
      <c r="T1163" s="52">
        <v>17</v>
      </c>
      <c r="U1163" s="53">
        <f t="shared" si="459"/>
        <v>23172392.352941178</v>
      </c>
      <c r="V1163" s="52"/>
      <c r="W1163" s="53">
        <f>SUM(U1163*V1163)</f>
        <v>0</v>
      </c>
      <c r="X1163" s="52"/>
      <c r="Y1163" s="56">
        <f t="shared" ref="Y1163:Y1179" si="461">SUM(U1163*X1163)</f>
        <v>0</v>
      </c>
      <c r="Z1163" s="56"/>
      <c r="AA1163" s="57">
        <f>1.08333333333333+0.5+0.5+0.5+0.5+0.5+0.5</f>
        <v>4.0833333333333304</v>
      </c>
      <c r="AB1163" s="56">
        <f t="shared" si="460"/>
        <v>94620602.107843071</v>
      </c>
      <c r="AC1163" s="53"/>
      <c r="AD1163" s="52"/>
      <c r="AE1163" s="24"/>
      <c r="AF1163" s="8">
        <v>4.0833333333333304</v>
      </c>
      <c r="AG1163" s="5"/>
      <c r="AI1163" s="5"/>
    </row>
    <row r="1164" spans="1:35" s="1" customFormat="1" x14ac:dyDescent="0.25">
      <c r="A1164" s="21"/>
      <c r="B1164" s="22"/>
      <c r="C1164" s="65"/>
      <c r="D1164" s="24"/>
      <c r="E1164" s="52"/>
      <c r="F1164" s="24"/>
      <c r="G1164" s="24"/>
      <c r="H1164" s="24"/>
      <c r="I1164" s="24"/>
      <c r="J1164" s="24"/>
      <c r="K1164" s="24"/>
      <c r="L1164" s="24"/>
      <c r="M1164" s="24"/>
      <c r="N1164" s="53">
        <v>24969000</v>
      </c>
      <c r="O1164" s="53">
        <v>24969000</v>
      </c>
      <c r="P1164" s="52"/>
      <c r="Q1164" s="52"/>
      <c r="R1164" s="52"/>
      <c r="S1164" s="53">
        <v>324279067.89215696</v>
      </c>
      <c r="T1164" s="57">
        <f>T1163-AA1163</f>
        <v>12.91666666666667</v>
      </c>
      <c r="U1164" s="53">
        <f t="shared" si="459"/>
        <v>25105476.22390892</v>
      </c>
      <c r="V1164" s="52">
        <v>0.5</v>
      </c>
      <c r="W1164" s="53">
        <f>SUM(U1164*V1164)</f>
        <v>12552738.11195446</v>
      </c>
      <c r="X1164" s="57"/>
      <c r="Y1164" s="56">
        <f t="shared" ref="Y1164:Y1165" si="462">SUM(U1164*X1164)</f>
        <v>0</v>
      </c>
      <c r="Z1164" s="56">
        <f t="shared" si="452"/>
        <v>12552738.11195446</v>
      </c>
      <c r="AA1164" s="57">
        <f>4/12+0.5</f>
        <v>0.83333333333333326</v>
      </c>
      <c r="AB1164" s="56">
        <f t="shared" si="460"/>
        <v>20921230.186590765</v>
      </c>
      <c r="AC1164" s="53"/>
      <c r="AD1164" s="52"/>
      <c r="AE1164" s="24"/>
      <c r="AF1164" s="8">
        <v>0.83333333333333326</v>
      </c>
      <c r="AG1164" s="5"/>
      <c r="AI1164" s="5"/>
    </row>
    <row r="1165" spans="1:35" s="1" customFormat="1" x14ac:dyDescent="0.25">
      <c r="A1165" s="21"/>
      <c r="B1165" s="22"/>
      <c r="C1165" s="65"/>
      <c r="D1165" s="24"/>
      <c r="E1165" s="52"/>
      <c r="F1165" s="24"/>
      <c r="G1165" s="24"/>
      <c r="H1165" s="24"/>
      <c r="I1165" s="24"/>
      <c r="J1165" s="24"/>
      <c r="K1165" s="24"/>
      <c r="L1165" s="24"/>
      <c r="M1165" s="24"/>
      <c r="N1165" s="311">
        <v>99942530.5</v>
      </c>
      <c r="O1165" s="311">
        <v>99942530.5</v>
      </c>
      <c r="P1165" s="310"/>
      <c r="Q1165" s="310"/>
      <c r="R1165" s="310"/>
      <c r="S1165" s="311">
        <v>403300368.20556617</v>
      </c>
      <c r="T1165" s="312">
        <f>T1164-AA1164</f>
        <v>12.083333333333336</v>
      </c>
      <c r="U1165" s="311">
        <f t="shared" si="459"/>
        <v>33376582.196322709</v>
      </c>
      <c r="V1165" s="312">
        <f>1/12</f>
        <v>8.3333333333333329E-2</v>
      </c>
      <c r="W1165" s="311">
        <f>SUM(U1165*V1165)</f>
        <v>2781381.8496935591</v>
      </c>
      <c r="X1165" s="312">
        <v>0.5</v>
      </c>
      <c r="Y1165" s="313">
        <f t="shared" si="462"/>
        <v>16688291.098161355</v>
      </c>
      <c r="Z1165" s="313">
        <f t="shared" si="452"/>
        <v>19469672.947854914</v>
      </c>
      <c r="AA1165" s="312">
        <f>1/12+0.5</f>
        <v>0.58333333333333337</v>
      </c>
      <c r="AB1165" s="313">
        <f t="shared" si="460"/>
        <v>19469672.947854914</v>
      </c>
      <c r="AC1165" s="311">
        <f>SUM(S1165-AB1165)</f>
        <v>383830695.25771123</v>
      </c>
      <c r="AD1165" s="52"/>
      <c r="AE1165" s="24"/>
      <c r="AF1165" s="8">
        <v>8.3333333333333329E-2</v>
      </c>
      <c r="AG1165" s="5"/>
      <c r="AI1165" s="5"/>
    </row>
    <row r="1166" spans="1:35" s="1" customFormat="1" x14ac:dyDescent="0.25">
      <c r="A1166" s="21">
        <v>9</v>
      </c>
      <c r="B1166" s="22" t="s">
        <v>1795</v>
      </c>
      <c r="C1166" s="65" t="s">
        <v>162</v>
      </c>
      <c r="D1166" s="24" t="s">
        <v>578</v>
      </c>
      <c r="E1166" s="52"/>
      <c r="F1166" s="24"/>
      <c r="G1166" s="24" t="s">
        <v>1309</v>
      </c>
      <c r="H1166" s="24" t="s">
        <v>62</v>
      </c>
      <c r="I1166" s="24">
        <v>1985</v>
      </c>
      <c r="J1166" s="24"/>
      <c r="K1166" s="24"/>
      <c r="L1166" s="24" t="s">
        <v>64</v>
      </c>
      <c r="M1166" s="24">
        <v>1</v>
      </c>
      <c r="N1166" s="53">
        <f>142710000+(19959000/8)</f>
        <v>145204875</v>
      </c>
      <c r="O1166" s="53">
        <f>142710000+(19959000/8)</f>
        <v>145204875</v>
      </c>
      <c r="P1166" s="52"/>
      <c r="Q1166" s="52"/>
      <c r="R1166" s="52"/>
      <c r="S1166" s="53"/>
      <c r="T1166" s="52"/>
      <c r="U1166" s="53"/>
      <c r="V1166" s="52"/>
      <c r="W1166" s="53"/>
      <c r="X1166" s="52"/>
      <c r="Y1166" s="56">
        <f t="shared" si="461"/>
        <v>0</v>
      </c>
      <c r="Z1166" s="56">
        <f t="shared" si="452"/>
        <v>0</v>
      </c>
      <c r="AA1166" s="52">
        <v>30.5</v>
      </c>
      <c r="AB1166" s="56">
        <v>87122925</v>
      </c>
      <c r="AC1166" s="53"/>
      <c r="AD1166" s="52"/>
      <c r="AE1166" s="24"/>
      <c r="AF1166" s="8">
        <v>30.5</v>
      </c>
      <c r="AG1166" s="5"/>
      <c r="AI1166" s="5"/>
    </row>
    <row r="1167" spans="1:35" s="1" customFormat="1" x14ac:dyDescent="0.25">
      <c r="A1167" s="21"/>
      <c r="B1167" s="22"/>
      <c r="C1167" s="65"/>
      <c r="D1167" s="24"/>
      <c r="E1167" s="52"/>
      <c r="F1167" s="24"/>
      <c r="G1167" s="24"/>
      <c r="H1167" s="24"/>
      <c r="I1167" s="24"/>
      <c r="J1167" s="24"/>
      <c r="K1167" s="24"/>
      <c r="L1167" s="24"/>
      <c r="M1167" s="24"/>
      <c r="N1167" s="53">
        <f>(124569000/8)+(7467000/8)</f>
        <v>16504500</v>
      </c>
      <c r="O1167" s="53">
        <f>(124569000/8)+(7467000/8)</f>
        <v>16504500</v>
      </c>
      <c r="P1167" s="52"/>
      <c r="Q1167" s="52"/>
      <c r="R1167" s="52"/>
      <c r="S1167" s="53">
        <v>74586450</v>
      </c>
      <c r="T1167" s="52">
        <v>20</v>
      </c>
      <c r="U1167" s="53">
        <f>SUM(S1167/T1167)</f>
        <v>3729322.5</v>
      </c>
      <c r="V1167" s="52">
        <v>0.5</v>
      </c>
      <c r="W1167" s="53">
        <f>SUM(U1167*V1167)</f>
        <v>1864661.25</v>
      </c>
      <c r="X1167" s="52">
        <v>0.5</v>
      </c>
      <c r="Y1167" s="56">
        <f t="shared" si="461"/>
        <v>1864661.25</v>
      </c>
      <c r="Z1167" s="56">
        <f t="shared" si="452"/>
        <v>3729322.5</v>
      </c>
      <c r="AA1167" s="57">
        <f>4.66666666666667+0.5+0.5+0.5+0.5+0.5+0.5+0.5+0.5</f>
        <v>8.6666666666666696</v>
      </c>
      <c r="AB1167" s="56">
        <f>SUM(U1167*AA1167)</f>
        <v>32320795.000000011</v>
      </c>
      <c r="AC1167" s="53">
        <f>SUM(S1167-AB1167)</f>
        <v>42265654.999999985</v>
      </c>
      <c r="AD1167" s="52" t="s">
        <v>1307</v>
      </c>
      <c r="AE1167" s="24"/>
      <c r="AF1167" s="8">
        <v>8.1666666666666696</v>
      </c>
      <c r="AG1167" s="5"/>
      <c r="AI1167" s="5"/>
    </row>
    <row r="1168" spans="1:35" s="1" customFormat="1" x14ac:dyDescent="0.25">
      <c r="A1168" s="21">
        <v>10</v>
      </c>
      <c r="B1168" s="22" t="s">
        <v>1795</v>
      </c>
      <c r="C1168" s="65" t="s">
        <v>559</v>
      </c>
      <c r="D1168" s="24" t="s">
        <v>597</v>
      </c>
      <c r="E1168" s="52"/>
      <c r="F1168" s="24"/>
      <c r="G1168" s="24" t="s">
        <v>1309</v>
      </c>
      <c r="H1168" s="24" t="s">
        <v>62</v>
      </c>
      <c r="I1168" s="24">
        <v>1985</v>
      </c>
      <c r="J1168" s="24"/>
      <c r="K1168" s="24"/>
      <c r="L1168" s="24" t="s">
        <v>64</v>
      </c>
      <c r="M1168" s="24">
        <v>1</v>
      </c>
      <c r="N1168" s="53">
        <f>142710000+(19959000/8)</f>
        <v>145204875</v>
      </c>
      <c r="O1168" s="53">
        <f>142710000+(19959000/8)</f>
        <v>145204875</v>
      </c>
      <c r="P1168" s="52"/>
      <c r="Q1168" s="52"/>
      <c r="R1168" s="52"/>
      <c r="S1168" s="53"/>
      <c r="T1168" s="52"/>
      <c r="U1168" s="53"/>
      <c r="V1168" s="52"/>
      <c r="W1168" s="53"/>
      <c r="X1168" s="52"/>
      <c r="Y1168" s="56">
        <f t="shared" si="461"/>
        <v>0</v>
      </c>
      <c r="Z1168" s="56">
        <f t="shared" si="452"/>
        <v>0</v>
      </c>
      <c r="AA1168" s="52">
        <v>30.5</v>
      </c>
      <c r="AB1168" s="56">
        <v>87122925</v>
      </c>
      <c r="AC1168" s="53"/>
      <c r="AD1168" s="52"/>
      <c r="AE1168" s="24"/>
      <c r="AF1168" s="8">
        <v>30.5</v>
      </c>
      <c r="AG1168" s="5"/>
      <c r="AI1168" s="5"/>
    </row>
    <row r="1169" spans="1:35" s="1" customFormat="1" x14ac:dyDescent="0.25">
      <c r="A1169" s="21"/>
      <c r="B1169" s="22"/>
      <c r="C1169" s="65"/>
      <c r="D1169" s="24"/>
      <c r="E1169" s="52"/>
      <c r="F1169" s="24"/>
      <c r="G1169" s="24"/>
      <c r="H1169" s="24"/>
      <c r="I1169" s="24"/>
      <c r="J1169" s="24"/>
      <c r="K1169" s="24"/>
      <c r="L1169" s="24"/>
      <c r="M1169" s="24"/>
      <c r="N1169" s="53">
        <f>(124569000/8)+(7467000/8)</f>
        <v>16504500</v>
      </c>
      <c r="O1169" s="53">
        <f>(124569000/8)+(7467000/8)</f>
        <v>16504500</v>
      </c>
      <c r="P1169" s="52"/>
      <c r="Q1169" s="52"/>
      <c r="R1169" s="52"/>
      <c r="S1169" s="53">
        <v>74586450</v>
      </c>
      <c r="T1169" s="52">
        <v>20</v>
      </c>
      <c r="U1169" s="53">
        <f>SUM(S1169/T1169)</f>
        <v>3729322.5</v>
      </c>
      <c r="V1169" s="52">
        <v>0.5</v>
      </c>
      <c r="W1169" s="53"/>
      <c r="X1169" s="52"/>
      <c r="Y1169" s="56">
        <f t="shared" si="461"/>
        <v>0</v>
      </c>
      <c r="Z1169" s="56"/>
      <c r="AA1169" s="57">
        <f>8/12+1+0.5+1+0.5+0.5</f>
        <v>4.1666666666666661</v>
      </c>
      <c r="AB1169" s="56">
        <f>SUM(U1169*AA1169)</f>
        <v>15538843.749999998</v>
      </c>
      <c r="AC1169" s="53"/>
      <c r="AD1169" s="52" t="s">
        <v>1307</v>
      </c>
      <c r="AE1169" s="24"/>
      <c r="AF1169" s="8">
        <v>4.1666666666666661</v>
      </c>
      <c r="AG1169" s="5"/>
      <c r="AI1169" s="5"/>
    </row>
    <row r="1170" spans="1:35" s="1" customFormat="1" x14ac:dyDescent="0.25">
      <c r="A1170" s="21"/>
      <c r="B1170" s="22"/>
      <c r="C1170" s="65"/>
      <c r="D1170" s="24"/>
      <c r="E1170" s="52"/>
      <c r="F1170" s="24"/>
      <c r="G1170" s="24"/>
      <c r="H1170" s="24"/>
      <c r="I1170" s="24"/>
      <c r="J1170" s="24"/>
      <c r="K1170" s="24"/>
      <c r="L1170" s="24"/>
      <c r="M1170" s="24"/>
      <c r="N1170" s="53">
        <v>49847500</v>
      </c>
      <c r="O1170" s="53">
        <v>49847500</v>
      </c>
      <c r="P1170" s="52"/>
      <c r="Q1170" s="52"/>
      <c r="R1170" s="52"/>
      <c r="S1170" s="53">
        <v>108895106.25</v>
      </c>
      <c r="T1170" s="57">
        <f>15.8333333333333+5</f>
        <v>20.8333333333333</v>
      </c>
      <c r="U1170" s="53">
        <f>SUM(S1170/T1170)</f>
        <v>5226965.100000008</v>
      </c>
      <c r="V1170" s="52">
        <v>0.5</v>
      </c>
      <c r="W1170" s="53">
        <f>SUM(U1170*V1170)</f>
        <v>2613482.550000004</v>
      </c>
      <c r="X1170" s="54">
        <v>0.5</v>
      </c>
      <c r="Y1170" s="56">
        <f t="shared" si="461"/>
        <v>2613482.550000004</v>
      </c>
      <c r="Z1170" s="56">
        <f t="shared" si="452"/>
        <v>5226965.100000008</v>
      </c>
      <c r="AA1170" s="57">
        <f>1/12+0.5+0.5+0.5+0.5+0.5+0.5+0.5+0.5</f>
        <v>4.0833333333333339</v>
      </c>
      <c r="AB1170" s="56">
        <f>SUM(U1170*AA1170)</f>
        <v>21343440.825000037</v>
      </c>
      <c r="AC1170" s="53">
        <f>SUM(S1170-AB1170)</f>
        <v>87551665.424999967</v>
      </c>
      <c r="AD1170" s="52"/>
      <c r="AE1170" s="24"/>
      <c r="AF1170" s="8">
        <v>3.5833333333333335</v>
      </c>
      <c r="AG1170" s="5"/>
      <c r="AI1170" s="5"/>
    </row>
    <row r="1171" spans="1:35" s="1" customFormat="1" x14ac:dyDescent="0.25">
      <c r="A1171" s="21">
        <v>11</v>
      </c>
      <c r="B1171" s="22" t="s">
        <v>1795</v>
      </c>
      <c r="C1171" s="65" t="s">
        <v>312</v>
      </c>
      <c r="D1171" s="24" t="s">
        <v>772</v>
      </c>
      <c r="E1171" s="52"/>
      <c r="F1171" s="24"/>
      <c r="G1171" s="24" t="s">
        <v>1309</v>
      </c>
      <c r="H1171" s="24" t="s">
        <v>62</v>
      </c>
      <c r="I1171" s="24">
        <v>1985</v>
      </c>
      <c r="J1171" s="24"/>
      <c r="K1171" s="24"/>
      <c r="L1171" s="24" t="s">
        <v>64</v>
      </c>
      <c r="M1171" s="24">
        <v>1</v>
      </c>
      <c r="N1171" s="53">
        <f>142710000+(19959000/8)</f>
        <v>145204875</v>
      </c>
      <c r="O1171" s="53">
        <f>142710000+(19959000/8)</f>
        <v>145204875</v>
      </c>
      <c r="P1171" s="52"/>
      <c r="Q1171" s="52"/>
      <c r="R1171" s="52"/>
      <c r="S1171" s="53">
        <v>145204875</v>
      </c>
      <c r="T1171" s="52">
        <v>50</v>
      </c>
      <c r="U1171" s="53">
        <f>SUM(S1171/T1171)</f>
        <v>2904097.5</v>
      </c>
      <c r="V1171" s="52">
        <v>0.5</v>
      </c>
      <c r="W1171" s="53">
        <f>SUM(U1171*V1171)</f>
        <v>1452048.75</v>
      </c>
      <c r="X1171" s="54">
        <v>0.5</v>
      </c>
      <c r="Y1171" s="56">
        <f t="shared" si="461"/>
        <v>1452048.75</v>
      </c>
      <c r="Z1171" s="56">
        <f t="shared" si="452"/>
        <v>2904097.5</v>
      </c>
      <c r="AA1171" s="52">
        <v>39</v>
      </c>
      <c r="AB1171" s="56">
        <f>SUM(U1171*AA1171)</f>
        <v>113259802.5</v>
      </c>
      <c r="AC1171" s="53">
        <f>SUM(S1171-AB1171)</f>
        <v>31945072.5</v>
      </c>
      <c r="AD1171" s="52" t="s">
        <v>1307</v>
      </c>
      <c r="AE1171" s="24"/>
      <c r="AF1171" s="8">
        <v>38.5</v>
      </c>
      <c r="AG1171" s="5"/>
      <c r="AI1171" s="5"/>
    </row>
    <row r="1172" spans="1:35" s="1" customFormat="1" x14ac:dyDescent="0.25">
      <c r="A1172" s="21">
        <v>12</v>
      </c>
      <c r="B1172" s="22" t="s">
        <v>1795</v>
      </c>
      <c r="C1172" s="65" t="s">
        <v>561</v>
      </c>
      <c r="D1172" s="24" t="s">
        <v>1348</v>
      </c>
      <c r="E1172" s="52"/>
      <c r="F1172" s="24"/>
      <c r="G1172" s="24" t="s">
        <v>1309</v>
      </c>
      <c r="H1172" s="24" t="s">
        <v>62</v>
      </c>
      <c r="I1172" s="24">
        <v>1985</v>
      </c>
      <c r="J1172" s="24"/>
      <c r="K1172" s="24"/>
      <c r="L1172" s="24" t="s">
        <v>64</v>
      </c>
      <c r="M1172" s="24">
        <v>1</v>
      </c>
      <c r="N1172" s="53">
        <v>107542000</v>
      </c>
      <c r="O1172" s="53">
        <v>107542000</v>
      </c>
      <c r="P1172" s="52"/>
      <c r="Q1172" s="52"/>
      <c r="R1172" s="52"/>
      <c r="S1172" s="53">
        <v>107542000</v>
      </c>
      <c r="T1172" s="52">
        <v>50</v>
      </c>
      <c r="U1172" s="53">
        <f>SUM(S1172/T1172)</f>
        <v>2150840</v>
      </c>
      <c r="V1172" s="52">
        <v>0.5</v>
      </c>
      <c r="W1172" s="53">
        <f>SUM(U1172*V1172)</f>
        <v>1075420</v>
      </c>
      <c r="X1172" s="54">
        <v>0.5</v>
      </c>
      <c r="Y1172" s="56">
        <f t="shared" si="461"/>
        <v>1075420</v>
      </c>
      <c r="Z1172" s="56">
        <f t="shared" si="452"/>
        <v>2150840</v>
      </c>
      <c r="AA1172" s="52">
        <v>39</v>
      </c>
      <c r="AB1172" s="56">
        <f>SUM(U1172*AA1172)</f>
        <v>83882760</v>
      </c>
      <c r="AC1172" s="53">
        <f>SUM(S1172-AB1172)</f>
        <v>23659240</v>
      </c>
      <c r="AD1172" s="52" t="s">
        <v>1307</v>
      </c>
      <c r="AE1172" s="24"/>
      <c r="AF1172" s="8">
        <v>38.5</v>
      </c>
      <c r="AG1172" s="5"/>
      <c r="AI1172" s="5"/>
    </row>
    <row r="1173" spans="1:35" s="1" customFormat="1" x14ac:dyDescent="0.25">
      <c r="A1173" s="21">
        <v>13</v>
      </c>
      <c r="B1173" s="22" t="s">
        <v>1795</v>
      </c>
      <c r="C1173" s="65" t="s">
        <v>150</v>
      </c>
      <c r="D1173" s="24" t="s">
        <v>601</v>
      </c>
      <c r="E1173" s="52"/>
      <c r="F1173" s="24"/>
      <c r="G1173" s="24" t="s">
        <v>1309</v>
      </c>
      <c r="H1173" s="24" t="s">
        <v>62</v>
      </c>
      <c r="I1173" s="24">
        <v>1985</v>
      </c>
      <c r="J1173" s="24"/>
      <c r="K1173" s="24"/>
      <c r="L1173" s="24" t="s">
        <v>212</v>
      </c>
      <c r="M1173" s="24">
        <v>1</v>
      </c>
      <c r="N1173" s="53">
        <f>142710000+(19959000/8)</f>
        <v>145204875</v>
      </c>
      <c r="O1173" s="53">
        <f>142710000+(19959000/8)</f>
        <v>145204875</v>
      </c>
      <c r="P1173" s="52"/>
      <c r="Q1173" s="52"/>
      <c r="R1173" s="52"/>
      <c r="S1173" s="53"/>
      <c r="T1173" s="52"/>
      <c r="U1173" s="53"/>
      <c r="V1173" s="52"/>
      <c r="W1173" s="53"/>
      <c r="X1173" s="52"/>
      <c r="Y1173" s="56">
        <f t="shared" si="461"/>
        <v>0</v>
      </c>
      <c r="Z1173" s="56">
        <f t="shared" si="452"/>
        <v>0</v>
      </c>
      <c r="AA1173" s="52">
        <v>30.5</v>
      </c>
      <c r="AB1173" s="56">
        <v>87122925</v>
      </c>
      <c r="AC1173" s="53"/>
      <c r="AD1173" s="52"/>
      <c r="AE1173" s="24"/>
      <c r="AF1173" s="8">
        <v>30.5</v>
      </c>
      <c r="AG1173" s="5"/>
      <c r="AI1173" s="5"/>
    </row>
    <row r="1174" spans="1:35" s="1" customFormat="1" x14ac:dyDescent="0.25">
      <c r="A1174" s="21"/>
      <c r="B1174" s="22"/>
      <c r="C1174" s="65"/>
      <c r="D1174" s="24"/>
      <c r="E1174" s="52"/>
      <c r="F1174" s="24"/>
      <c r="G1174" s="24"/>
      <c r="H1174" s="24"/>
      <c r="I1174" s="24"/>
      <c r="J1174" s="24"/>
      <c r="K1174" s="24"/>
      <c r="L1174" s="24"/>
      <c r="M1174" s="24"/>
      <c r="N1174" s="53">
        <f>(124569000/8)+(7467000/8)</f>
        <v>16504500</v>
      </c>
      <c r="O1174" s="53">
        <f>(124569000/8)+(7467000/8)</f>
        <v>16504500</v>
      </c>
      <c r="P1174" s="52"/>
      <c r="Q1174" s="52"/>
      <c r="R1174" s="52"/>
      <c r="S1174" s="53">
        <v>74586450</v>
      </c>
      <c r="T1174" s="52">
        <v>20</v>
      </c>
      <c r="U1174" s="53">
        <f>SUM(S1174/T1174)</f>
        <v>3729322.5</v>
      </c>
      <c r="V1174" s="52">
        <v>0.5</v>
      </c>
      <c r="W1174" s="53"/>
      <c r="X1174" s="52"/>
      <c r="Y1174" s="56">
        <f t="shared" si="461"/>
        <v>0</v>
      </c>
      <c r="Z1174" s="56"/>
      <c r="AA1174" s="57">
        <f>8/12+1+0.5+1+0.5+0.5</f>
        <v>4.1666666666666661</v>
      </c>
      <c r="AB1174" s="56">
        <f>SUM(U1174*AA1174)</f>
        <v>15538843.749999998</v>
      </c>
      <c r="AC1174" s="53"/>
      <c r="AD1174" s="52" t="s">
        <v>1307</v>
      </c>
      <c r="AE1174" s="24"/>
      <c r="AF1174" s="8">
        <v>4.1666666666666661</v>
      </c>
      <c r="AG1174" s="5"/>
      <c r="AI1174" s="5"/>
    </row>
    <row r="1175" spans="1:35" s="1" customFormat="1" x14ac:dyDescent="0.25">
      <c r="A1175" s="21"/>
      <c r="B1175" s="22"/>
      <c r="C1175" s="65"/>
      <c r="D1175" s="24"/>
      <c r="E1175" s="52"/>
      <c r="F1175" s="24"/>
      <c r="G1175" s="24"/>
      <c r="H1175" s="24"/>
      <c r="I1175" s="24"/>
      <c r="J1175" s="24"/>
      <c r="K1175" s="24"/>
      <c r="L1175" s="24"/>
      <c r="M1175" s="24"/>
      <c r="N1175" s="53">
        <v>49847500</v>
      </c>
      <c r="O1175" s="53">
        <v>49847500</v>
      </c>
      <c r="P1175" s="52"/>
      <c r="Q1175" s="52"/>
      <c r="R1175" s="52"/>
      <c r="S1175" s="53">
        <v>108895106.25</v>
      </c>
      <c r="T1175" s="57">
        <f>15.8333333333333+5</f>
        <v>20.8333333333333</v>
      </c>
      <c r="U1175" s="53">
        <f>SUM(S1175/T1175)</f>
        <v>5226965.100000008</v>
      </c>
      <c r="V1175" s="52">
        <v>0.5</v>
      </c>
      <c r="W1175" s="53">
        <f>SUM(U1175*V1175)</f>
        <v>2613482.550000004</v>
      </c>
      <c r="X1175" s="54">
        <v>0.5</v>
      </c>
      <c r="Y1175" s="56">
        <f t="shared" si="461"/>
        <v>2613482.550000004</v>
      </c>
      <c r="Z1175" s="56">
        <f t="shared" si="452"/>
        <v>5226965.100000008</v>
      </c>
      <c r="AA1175" s="57">
        <f>1/12+0.5+0.5+0.5+0.5+0.5+0.5+0.5+0.5</f>
        <v>4.0833333333333339</v>
      </c>
      <c r="AB1175" s="56">
        <f>SUM(U1175*AA1175)</f>
        <v>21343440.825000037</v>
      </c>
      <c r="AC1175" s="53">
        <f>SUM(S1175-AB1175)</f>
        <v>87551665.424999967</v>
      </c>
      <c r="AD1175" s="52"/>
      <c r="AE1175" s="24"/>
      <c r="AF1175" s="8">
        <v>3.5833333333333335</v>
      </c>
      <c r="AG1175" s="5"/>
      <c r="AI1175" s="5"/>
    </row>
    <row r="1176" spans="1:35" s="1" customFormat="1" x14ac:dyDescent="0.25">
      <c r="A1176" s="21">
        <v>14</v>
      </c>
      <c r="B1176" s="22" t="s">
        <v>1795</v>
      </c>
      <c r="C1176" s="65" t="s">
        <v>146</v>
      </c>
      <c r="D1176" s="24" t="s">
        <v>1349</v>
      </c>
      <c r="E1176" s="52"/>
      <c r="F1176" s="24"/>
      <c r="G1176" s="24" t="s">
        <v>1309</v>
      </c>
      <c r="H1176" s="24" t="s">
        <v>62</v>
      </c>
      <c r="I1176" s="24">
        <v>1985</v>
      </c>
      <c r="J1176" s="24"/>
      <c r="K1176" s="24"/>
      <c r="L1176" s="24" t="s">
        <v>64</v>
      </c>
      <c r="M1176" s="24">
        <v>1</v>
      </c>
      <c r="N1176" s="41">
        <f>142710000+7218500+2611000+1696000+(19959000/8)</f>
        <v>156730375</v>
      </c>
      <c r="O1176" s="41">
        <f>142710000+7218500+2611000+1696000+(19959000/8)</f>
        <v>156730375</v>
      </c>
      <c r="P1176" s="24"/>
      <c r="Q1176" s="24"/>
      <c r="R1176" s="24"/>
      <c r="S1176" s="41"/>
      <c r="T1176" s="24"/>
      <c r="U1176" s="41"/>
      <c r="V1176" s="24"/>
      <c r="W1176" s="41"/>
      <c r="X1176" s="24"/>
      <c r="Y1176" s="70">
        <f t="shared" si="461"/>
        <v>0</v>
      </c>
      <c r="Z1176" s="70">
        <f t="shared" si="452"/>
        <v>0</v>
      </c>
      <c r="AA1176" s="24">
        <v>30.5</v>
      </c>
      <c r="AB1176" s="70">
        <v>94038225</v>
      </c>
      <c r="AC1176" s="41"/>
      <c r="AD1176" s="24"/>
      <c r="AE1176" s="24"/>
      <c r="AF1176" s="8">
        <v>30.5</v>
      </c>
      <c r="AG1176" s="5"/>
      <c r="AI1176" s="5"/>
    </row>
    <row r="1177" spans="1:35" s="1" customFormat="1" x14ac:dyDescent="0.25">
      <c r="A1177" s="21"/>
      <c r="B1177" s="22"/>
      <c r="C1177" s="65"/>
      <c r="D1177" s="24"/>
      <c r="E1177" s="52"/>
      <c r="F1177" s="24"/>
      <c r="G1177" s="24"/>
      <c r="H1177" s="24"/>
      <c r="I1177" s="24"/>
      <c r="J1177" s="24"/>
      <c r="K1177" s="24"/>
      <c r="L1177" s="24"/>
      <c r="M1177" s="24"/>
      <c r="N1177" s="41">
        <f>(124569000/8)+(7467000/8)</f>
        <v>16504500</v>
      </c>
      <c r="O1177" s="41">
        <f>(124569000/8)+(7467000/8)</f>
        <v>16504500</v>
      </c>
      <c r="P1177" s="24"/>
      <c r="Q1177" s="24"/>
      <c r="R1177" s="24"/>
      <c r="S1177" s="41">
        <v>79196650</v>
      </c>
      <c r="T1177" s="24">
        <v>20</v>
      </c>
      <c r="U1177" s="41">
        <f>SUM(S1177/T1177)</f>
        <v>3959832.5</v>
      </c>
      <c r="V1177" s="24"/>
      <c r="W1177" s="41">
        <f>SUM(U1177*V1177)</f>
        <v>0</v>
      </c>
      <c r="X1177" s="24"/>
      <c r="Y1177" s="70">
        <f t="shared" si="461"/>
        <v>0</v>
      </c>
      <c r="Z1177" s="70"/>
      <c r="AA1177" s="72">
        <f>4.66666666666667+0.5+0.5+0.5+0.5+0.5</f>
        <v>7.1666666666666696</v>
      </c>
      <c r="AB1177" s="70">
        <f>SUM(U1177*AA1177)</f>
        <v>28378799.583333343</v>
      </c>
      <c r="AC1177" s="41"/>
      <c r="AD1177" s="24" t="s">
        <v>1307</v>
      </c>
      <c r="AE1177" s="24"/>
      <c r="AF1177" s="8">
        <v>7.1666666666666696</v>
      </c>
      <c r="AG1177" s="5"/>
      <c r="AI1177" s="5"/>
    </row>
    <row r="1178" spans="1:35" s="1" customFormat="1" x14ac:dyDescent="0.25">
      <c r="A1178" s="21"/>
      <c r="B1178" s="22"/>
      <c r="C1178" s="65"/>
      <c r="D1178" s="24"/>
      <c r="E1178" s="52"/>
      <c r="F1178" s="24"/>
      <c r="G1178" s="24"/>
      <c r="H1178" s="24"/>
      <c r="I1178" s="24"/>
      <c r="J1178" s="24"/>
      <c r="K1178" s="24"/>
      <c r="L1178" s="24"/>
      <c r="M1178" s="24"/>
      <c r="N1178" s="53">
        <f>76000000/2</f>
        <v>38000000</v>
      </c>
      <c r="O1178" s="53">
        <f>76000000/2</f>
        <v>38000000</v>
      </c>
      <c r="P1178" s="52"/>
      <c r="Q1178" s="52"/>
      <c r="R1178" s="52"/>
      <c r="S1178" s="53">
        <v>88817850.416666657</v>
      </c>
      <c r="T1178" s="57">
        <f>T1177-AA1177</f>
        <v>12.83333333333333</v>
      </c>
      <c r="U1178" s="53">
        <f>SUM(S1178/T1178)</f>
        <v>6920871.461038962</v>
      </c>
      <c r="V1178" s="57">
        <v>0.5</v>
      </c>
      <c r="W1178" s="53">
        <f>SUM(U1178*V1178)</f>
        <v>3460435.730519481</v>
      </c>
      <c r="X1178" s="52">
        <v>0.5</v>
      </c>
      <c r="Y1178" s="56">
        <f t="shared" si="461"/>
        <v>3460435.730519481</v>
      </c>
      <c r="Z1178" s="56">
        <f t="shared" si="452"/>
        <v>6920871.461038962</v>
      </c>
      <c r="AA1178" s="57">
        <f>4/12+0.5+0.5+0.5</f>
        <v>1.8333333333333333</v>
      </c>
      <c r="AB1178" s="56">
        <f>SUM(U1178*AA1178)</f>
        <v>12688264.345238097</v>
      </c>
      <c r="AC1178" s="53">
        <f>SUM(S1178-AB1178)</f>
        <v>76129586.071428567</v>
      </c>
      <c r="AD1178" s="24"/>
      <c r="AE1178" s="24"/>
      <c r="AF1178" s="8">
        <v>1.3333333333333333</v>
      </c>
      <c r="AG1178" s="5"/>
      <c r="AI1178" s="5"/>
    </row>
    <row r="1179" spans="1:35" s="1" customFormat="1" x14ac:dyDescent="0.25">
      <c r="A1179" s="21">
        <v>15</v>
      </c>
      <c r="B1179" s="22" t="s">
        <v>1795</v>
      </c>
      <c r="C1179" s="65" t="s">
        <v>58</v>
      </c>
      <c r="D1179" s="24" t="s">
        <v>787</v>
      </c>
      <c r="E1179" s="52"/>
      <c r="F1179" s="24"/>
      <c r="G1179" s="24" t="s">
        <v>1309</v>
      </c>
      <c r="H1179" s="24" t="s">
        <v>62</v>
      </c>
      <c r="I1179" s="24">
        <v>1985</v>
      </c>
      <c r="J1179" s="24"/>
      <c r="K1179" s="24"/>
      <c r="L1179" s="24" t="s">
        <v>64</v>
      </c>
      <c r="M1179" s="24">
        <v>1</v>
      </c>
      <c r="N1179" s="41">
        <v>782271000</v>
      </c>
      <c r="O1179" s="41">
        <v>782271000</v>
      </c>
      <c r="P1179" s="24"/>
      <c r="Q1179" s="24"/>
      <c r="R1179" s="24"/>
      <c r="S1179" s="41"/>
      <c r="T1179" s="24"/>
      <c r="U1179" s="41"/>
      <c r="V1179" s="24"/>
      <c r="W1179" s="41"/>
      <c r="X1179" s="24"/>
      <c r="Y1179" s="70">
        <f t="shared" si="461"/>
        <v>0</v>
      </c>
      <c r="Z1179" s="70">
        <f t="shared" si="452"/>
        <v>0</v>
      </c>
      <c r="AA1179" s="24">
        <v>33</v>
      </c>
      <c r="AB1179" s="70">
        <v>516298860</v>
      </c>
      <c r="AC1179" s="41"/>
      <c r="AD1179" s="24" t="s">
        <v>1307</v>
      </c>
      <c r="AE1179" s="24"/>
      <c r="AF1179" s="8">
        <v>33</v>
      </c>
      <c r="AG1179" s="5"/>
      <c r="AI1179" s="5"/>
    </row>
    <row r="1180" spans="1:35" s="1" customFormat="1" x14ac:dyDescent="0.25">
      <c r="A1180" s="21"/>
      <c r="B1180" s="22"/>
      <c r="C1180" s="65"/>
      <c r="D1180" s="24"/>
      <c r="E1180" s="52"/>
      <c r="F1180" s="24"/>
      <c r="G1180" s="24"/>
      <c r="H1180" s="24"/>
      <c r="I1180" s="24"/>
      <c r="J1180" s="24"/>
      <c r="K1180" s="24"/>
      <c r="L1180" s="24"/>
      <c r="M1180" s="24"/>
      <c r="N1180" s="41">
        <v>189653250</v>
      </c>
      <c r="O1180" s="41">
        <v>189653250</v>
      </c>
      <c r="P1180" s="24"/>
      <c r="Q1180" s="24"/>
      <c r="R1180" s="24"/>
      <c r="S1180" s="41">
        <v>455625390</v>
      </c>
      <c r="T1180" s="24">
        <v>18.5</v>
      </c>
      <c r="U1180" s="41">
        <f>SUM(S1180/T1180)</f>
        <v>24628399.459459461</v>
      </c>
      <c r="V1180" s="72">
        <v>8.3333333333333329E-2</v>
      </c>
      <c r="W1180" s="41"/>
      <c r="X1180" s="72"/>
      <c r="Y1180" s="70"/>
      <c r="Z1180" s="70">
        <f t="shared" si="452"/>
        <v>0</v>
      </c>
      <c r="AA1180" s="72">
        <v>8.3333333333333329E-2</v>
      </c>
      <c r="AB1180" s="70">
        <f>SUM(U1180*AA1180)</f>
        <v>2052366.6216216218</v>
      </c>
      <c r="AC1180" s="41"/>
      <c r="AD1180" s="24"/>
      <c r="AE1180" s="24"/>
      <c r="AF1180" s="8">
        <v>8.3333333333333329E-2</v>
      </c>
      <c r="AG1180" s="5"/>
      <c r="AI1180" s="5"/>
    </row>
    <row r="1181" spans="1:35" s="1" customFormat="1" x14ac:dyDescent="0.25">
      <c r="A1181" s="21"/>
      <c r="B1181" s="22"/>
      <c r="C1181" s="65"/>
      <c r="D1181" s="24"/>
      <c r="E1181" s="52"/>
      <c r="F1181" s="24"/>
      <c r="G1181" s="24"/>
      <c r="H1181" s="24"/>
      <c r="I1181" s="24"/>
      <c r="J1181" s="24"/>
      <c r="K1181" s="24"/>
      <c r="L1181" s="24"/>
      <c r="M1181" s="24"/>
      <c r="N1181" s="41">
        <v>28780750</v>
      </c>
      <c r="O1181" s="41">
        <v>28780750</v>
      </c>
      <c r="P1181" s="24"/>
      <c r="Q1181" s="24"/>
      <c r="R1181" s="24"/>
      <c r="S1181" s="41">
        <v>482353773.37837839</v>
      </c>
      <c r="T1181" s="24">
        <v>19</v>
      </c>
      <c r="U1181" s="41">
        <f>SUM(S1181/T1181)</f>
        <v>25387040.704125177</v>
      </c>
      <c r="V1181" s="24">
        <v>0.5</v>
      </c>
      <c r="W1181" s="41">
        <f>SUM(U1181*V1181)</f>
        <v>12693520.352062589</v>
      </c>
      <c r="X1181" s="24"/>
      <c r="Y1181" s="70">
        <f>SUM(U1181*X1181)</f>
        <v>0</v>
      </c>
      <c r="Z1181" s="70">
        <f t="shared" si="452"/>
        <v>12693520.352062589</v>
      </c>
      <c r="AA1181" s="72">
        <f>1.08333333333333+0.5+0.5+0.5+0.5+0.5+0.5</f>
        <v>4.0833333333333304</v>
      </c>
      <c r="AB1181" s="70">
        <f>SUM(U1181*AA1181)</f>
        <v>103663749.5418444</v>
      </c>
      <c r="AC1181" s="41"/>
      <c r="AD1181" s="24" t="s">
        <v>1307</v>
      </c>
      <c r="AE1181" s="24"/>
      <c r="AF1181" s="8">
        <v>4.0833333333333304</v>
      </c>
      <c r="AG1181" s="5"/>
      <c r="AI1181" s="5"/>
    </row>
    <row r="1182" spans="1:35" s="1" customFormat="1" x14ac:dyDescent="0.25">
      <c r="A1182" s="21"/>
      <c r="B1182" s="22"/>
      <c r="C1182" s="65"/>
      <c r="D1182" s="24"/>
      <c r="E1182" s="318"/>
      <c r="F1182" s="24"/>
      <c r="G1182" s="24"/>
      <c r="H1182" s="24"/>
      <c r="I1182" s="24"/>
      <c r="J1182" s="24"/>
      <c r="K1182" s="24"/>
      <c r="L1182" s="24"/>
      <c r="M1182" s="24"/>
      <c r="N1182" s="366">
        <v>128864715</v>
      </c>
      <c r="O1182" s="366">
        <v>128864715</v>
      </c>
      <c r="P1182" s="188"/>
      <c r="Q1182" s="188"/>
      <c r="R1182" s="188"/>
      <c r="S1182" s="366">
        <v>507554738.83653402</v>
      </c>
      <c r="T1182" s="367">
        <f>T1181-AA1181</f>
        <v>14.91666666666667</v>
      </c>
      <c r="U1182" s="366">
        <f t="shared" ref="U1182" si="463">SUM(S1182/T1182)</f>
        <v>34026016.011387751</v>
      </c>
      <c r="V1182" s="188"/>
      <c r="W1182" s="366"/>
      <c r="X1182" s="367">
        <f>2/12</f>
        <v>0.16666666666666666</v>
      </c>
      <c r="Y1182" s="368">
        <f t="shared" ref="Y1182:Y1185" si="464">SUM(U1182*X1182)</f>
        <v>5671002.6685646251</v>
      </c>
      <c r="Z1182" s="368">
        <f t="shared" si="452"/>
        <v>5671002.6685646251</v>
      </c>
      <c r="AA1182" s="367">
        <f>2/12</f>
        <v>0.16666666666666666</v>
      </c>
      <c r="AB1182" s="368">
        <f t="shared" ref="AB1182" si="465">SUM(U1182*AA1182)</f>
        <v>5671002.6685646251</v>
      </c>
      <c r="AC1182" s="366">
        <f>SUM(S1182-AB1182)</f>
        <v>501883736.16796941</v>
      </c>
      <c r="AD1182" s="24"/>
      <c r="AE1182" s="24"/>
      <c r="AF1182" s="8">
        <v>1.4166666666666667</v>
      </c>
      <c r="AG1182" s="5"/>
      <c r="AI1182" s="5"/>
    </row>
    <row r="1183" spans="1:35" s="1" customFormat="1" x14ac:dyDescent="0.25">
      <c r="A1183" s="49">
        <v>16</v>
      </c>
      <c r="B1183" s="22" t="s">
        <v>1795</v>
      </c>
      <c r="C1183" s="317" t="s">
        <v>75</v>
      </c>
      <c r="D1183" s="52" t="s">
        <v>1350</v>
      </c>
      <c r="E1183" s="318"/>
      <c r="F1183" s="52"/>
      <c r="G1183" s="52" t="s">
        <v>1309</v>
      </c>
      <c r="H1183" s="52" t="s">
        <v>62</v>
      </c>
      <c r="I1183" s="52">
        <v>2010</v>
      </c>
      <c r="J1183" s="52"/>
      <c r="K1183" s="52"/>
      <c r="L1183" s="52" t="s">
        <v>212</v>
      </c>
      <c r="M1183" s="52">
        <v>1</v>
      </c>
      <c r="N1183" s="53">
        <v>2397350895</v>
      </c>
      <c r="O1183" s="53">
        <v>2397350895</v>
      </c>
      <c r="P1183" s="52"/>
      <c r="Q1183" s="52"/>
      <c r="R1183" s="52"/>
      <c r="S1183" s="53">
        <v>2397350895</v>
      </c>
      <c r="T1183" s="57">
        <v>50</v>
      </c>
      <c r="U1183" s="53">
        <f>SUM(S1183/T1183)</f>
        <v>47947017.899999999</v>
      </c>
      <c r="V1183" s="57">
        <v>0.5</v>
      </c>
      <c r="W1183" s="53">
        <f>SUM(U1183*V1183)</f>
        <v>23973508.949999999</v>
      </c>
      <c r="X1183" s="52"/>
      <c r="Y1183" s="56">
        <f t="shared" si="464"/>
        <v>0</v>
      </c>
      <c r="Z1183" s="56">
        <f t="shared" si="452"/>
        <v>23973508.949999999</v>
      </c>
      <c r="AA1183" s="57">
        <f>5/12+0.5+0.5</f>
        <v>1.4166666666666667</v>
      </c>
      <c r="AB1183" s="56">
        <f>SUM(U1183*AA1183)</f>
        <v>67924942.025000006</v>
      </c>
      <c r="AC1183" s="53"/>
      <c r="AD1183" s="52" t="s">
        <v>1307</v>
      </c>
      <c r="AE1183" s="24"/>
      <c r="AF1183" s="8">
        <v>1.4166666666666667</v>
      </c>
      <c r="AG1183" s="5"/>
      <c r="AI1183" s="5"/>
    </row>
    <row r="1184" spans="1:35" s="1" customFormat="1" x14ac:dyDescent="0.25">
      <c r="A1184" s="21"/>
      <c r="B1184" s="50"/>
      <c r="C1184" s="317"/>
      <c r="D1184" s="52"/>
      <c r="E1184" s="318"/>
      <c r="F1184" s="52"/>
      <c r="G1184" s="52"/>
      <c r="H1184" s="52"/>
      <c r="I1184" s="52"/>
      <c r="J1184" s="52"/>
      <c r="K1184" s="52"/>
      <c r="L1184" s="52"/>
      <c r="M1184" s="52"/>
      <c r="N1184" s="311">
        <v>189777419</v>
      </c>
      <c r="O1184" s="311">
        <v>94888709</v>
      </c>
      <c r="P1184" s="310"/>
      <c r="Q1184" s="310"/>
      <c r="R1184" s="310"/>
      <c r="S1184" s="311">
        <v>2424314661.9749999</v>
      </c>
      <c r="T1184" s="312">
        <f>T1183-AA1183</f>
        <v>48.583333333333336</v>
      </c>
      <c r="U1184" s="311">
        <f>SUM(S1184/T1184)</f>
        <v>49900130.263636358</v>
      </c>
      <c r="V1184" s="312">
        <f>1/12</f>
        <v>8.3333333333333329E-2</v>
      </c>
      <c r="W1184" s="311">
        <f>SUM(U1184*V1184)</f>
        <v>4158344.188636363</v>
      </c>
      <c r="X1184" s="310"/>
      <c r="Y1184" s="313">
        <f t="shared" ref="Y1184" si="466">SUM(U1184*X1184)</f>
        <v>0</v>
      </c>
      <c r="Z1184" s="313">
        <f t="shared" si="452"/>
        <v>4158344.188636363</v>
      </c>
      <c r="AA1184" s="312">
        <f>1/12</f>
        <v>8.3333333333333329E-2</v>
      </c>
      <c r="AB1184" s="313">
        <f>SUM(U1184*AA1184)</f>
        <v>4158344.188636363</v>
      </c>
      <c r="AC1184" s="311"/>
      <c r="AD1184" s="52"/>
      <c r="AE1184" s="24"/>
      <c r="AF1184" s="1">
        <v>8.3333333333333329E-2</v>
      </c>
      <c r="AG1184" s="5"/>
      <c r="AI1184" s="5"/>
    </row>
    <row r="1185" spans="1:35" s="1" customFormat="1" x14ac:dyDescent="0.25">
      <c r="A1185" s="21"/>
      <c r="B1185" s="50"/>
      <c r="C1185" s="317"/>
      <c r="D1185" s="52"/>
      <c r="E1185" s="318"/>
      <c r="F1185" s="52"/>
      <c r="G1185" s="52"/>
      <c r="H1185" s="52"/>
      <c r="I1185" s="52"/>
      <c r="J1185" s="52"/>
      <c r="K1185" s="52"/>
      <c r="L1185" s="52"/>
      <c r="M1185" s="52"/>
      <c r="N1185" s="311"/>
      <c r="O1185" s="366">
        <v>94888710</v>
      </c>
      <c r="P1185" s="378">
        <v>94888710</v>
      </c>
      <c r="Q1185" s="378">
        <v>94888710</v>
      </c>
      <c r="R1185" s="188">
        <v>94888710</v>
      </c>
      <c r="S1185" s="366">
        <v>2515045027.7863598</v>
      </c>
      <c r="T1185" s="367">
        <f>T1184-AA1184</f>
        <v>48.5</v>
      </c>
      <c r="U1185" s="366">
        <f>SUM(S1185/T1185)</f>
        <v>51856598.511058964</v>
      </c>
      <c r="V1185" s="367"/>
      <c r="W1185" s="366"/>
      <c r="X1185" s="367">
        <f>7/12</f>
        <v>0.58333333333333337</v>
      </c>
      <c r="Y1185" s="368">
        <f t="shared" si="464"/>
        <v>30249682.464784399</v>
      </c>
      <c r="Z1185" s="368">
        <f t="shared" si="452"/>
        <v>30249682.464784399</v>
      </c>
      <c r="AA1185" s="367">
        <f>7/12</f>
        <v>0.58333333333333337</v>
      </c>
      <c r="AB1185" s="368">
        <f t="shared" ref="AB1185" si="467">SUM(U1185*AA1185)</f>
        <v>30249682.464784399</v>
      </c>
      <c r="AC1185" s="366">
        <f>SUM(S1185-AB1185)</f>
        <v>2484795345.3215752</v>
      </c>
      <c r="AD1185" s="52"/>
      <c r="AE1185" s="24"/>
      <c r="AG1185" s="5"/>
      <c r="AI1185" s="5"/>
    </row>
    <row r="1186" spans="1:35" s="1" customFormat="1" x14ac:dyDescent="0.25">
      <c r="A1186" s="21">
        <v>17</v>
      </c>
      <c r="B1186" s="22" t="s">
        <v>1795</v>
      </c>
      <c r="C1186" s="65" t="s">
        <v>135</v>
      </c>
      <c r="D1186" s="24" t="s">
        <v>1324</v>
      </c>
      <c r="E1186" s="52"/>
      <c r="F1186" s="24"/>
      <c r="G1186" s="24" t="s">
        <v>1309</v>
      </c>
      <c r="H1186" s="24" t="s">
        <v>62</v>
      </c>
      <c r="I1186" s="24">
        <v>2012</v>
      </c>
      <c r="J1186" s="24"/>
      <c r="K1186" s="24"/>
      <c r="L1186" s="24" t="s">
        <v>64</v>
      </c>
      <c r="M1186" s="24">
        <v>1</v>
      </c>
      <c r="N1186" s="53">
        <f>707898600+191880000+73688230</f>
        <v>973466830</v>
      </c>
      <c r="O1186" s="53">
        <f>707898600+191880000+73688230</f>
        <v>973466830</v>
      </c>
      <c r="P1186" s="52">
        <v>973466830</v>
      </c>
      <c r="Q1186" s="43">
        <f>O1186-P1186</f>
        <v>0</v>
      </c>
      <c r="R1186" s="52"/>
      <c r="S1186" s="53">
        <v>973466830</v>
      </c>
      <c r="T1186" s="52">
        <v>50</v>
      </c>
      <c r="U1186" s="53">
        <f>SUM(S1186/T1186)</f>
        <v>19469336.600000001</v>
      </c>
      <c r="V1186" s="52">
        <v>0.5</v>
      </c>
      <c r="W1186" s="53">
        <f>SUM(U1186*V1186)</f>
        <v>9734668.3000000007</v>
      </c>
      <c r="X1186" s="54">
        <v>0.5</v>
      </c>
      <c r="Y1186" s="56">
        <f>SUM(U1186*X1186)</f>
        <v>9734668.3000000007</v>
      </c>
      <c r="Z1186" s="56">
        <f>W1186+Y1186</f>
        <v>19469336.600000001</v>
      </c>
      <c r="AA1186" s="52">
        <v>12</v>
      </c>
      <c r="AB1186" s="56">
        <f>SUM(U1186*AA1186)</f>
        <v>233632039.20000002</v>
      </c>
      <c r="AC1186" s="53">
        <f>SUM(S1186-AB1186)</f>
        <v>739834790.79999995</v>
      </c>
      <c r="AD1186" s="52" t="s">
        <v>1307</v>
      </c>
      <c r="AE1186" s="52"/>
      <c r="AF1186" s="1">
        <v>11.5</v>
      </c>
      <c r="AG1186" s="5"/>
      <c r="AI1186" s="5"/>
    </row>
    <row r="1187" spans="1:35" s="1" customFormat="1" x14ac:dyDescent="0.25">
      <c r="A1187" s="21"/>
      <c r="B1187" s="22"/>
      <c r="C1187" s="22"/>
      <c r="D1187" s="65"/>
      <c r="E1187" s="94"/>
      <c r="F1187" s="24"/>
      <c r="G1187" s="24"/>
      <c r="H1187" s="24"/>
      <c r="I1187" s="24"/>
      <c r="J1187" s="24"/>
      <c r="K1187" s="24"/>
      <c r="L1187" s="24"/>
      <c r="M1187" s="24"/>
      <c r="N1187" s="24"/>
      <c r="O1187" s="24"/>
      <c r="P1187" s="24"/>
      <c r="Q1187" s="24"/>
      <c r="R1187" s="24"/>
      <c r="S1187" s="24"/>
      <c r="T1187" s="24"/>
      <c r="U1187" s="24"/>
      <c r="V1187" s="24"/>
      <c r="W1187" s="24"/>
      <c r="X1187" s="24"/>
      <c r="Y1187" s="24"/>
      <c r="Z1187" s="24"/>
      <c r="AA1187" s="24"/>
      <c r="AB1187" s="24"/>
      <c r="AC1187" s="24"/>
      <c r="AD1187" s="24"/>
      <c r="AE1187" s="24"/>
      <c r="AG1187" s="5"/>
    </row>
    <row r="1188" spans="1:35" s="1" customFormat="1" x14ac:dyDescent="0.25">
      <c r="A1188" s="17"/>
      <c r="B1188" s="18" t="s">
        <v>1351</v>
      </c>
      <c r="C1188" s="18"/>
      <c r="D1188" s="84" t="s">
        <v>1352</v>
      </c>
      <c r="E1188" s="20"/>
      <c r="F1188" s="20"/>
      <c r="G1188" s="20"/>
      <c r="H1188" s="20"/>
      <c r="I1188" s="20"/>
      <c r="J1188" s="20"/>
      <c r="K1188" s="20"/>
      <c r="L1188" s="20"/>
      <c r="M1188" s="20">
        <f>M1189</f>
        <v>0</v>
      </c>
      <c r="N1188" s="20"/>
      <c r="O1188" s="20">
        <f t="shared" ref="O1188:AC1188" si="468">O1189</f>
        <v>0</v>
      </c>
      <c r="P1188" s="20">
        <f t="shared" si="468"/>
        <v>0</v>
      </c>
      <c r="Q1188" s="20">
        <f t="shared" si="468"/>
        <v>0</v>
      </c>
      <c r="R1188" s="20">
        <f t="shared" si="468"/>
        <v>0</v>
      </c>
      <c r="S1188" s="20">
        <f t="shared" si="468"/>
        <v>0</v>
      </c>
      <c r="T1188" s="20"/>
      <c r="U1188" s="20">
        <f t="shared" si="468"/>
        <v>0</v>
      </c>
      <c r="V1188" s="20"/>
      <c r="W1188" s="20">
        <f t="shared" si="468"/>
        <v>0</v>
      </c>
      <c r="X1188" s="20"/>
      <c r="Y1188" s="20">
        <f t="shared" si="468"/>
        <v>0</v>
      </c>
      <c r="Z1188" s="20">
        <f t="shared" si="468"/>
        <v>0</v>
      </c>
      <c r="AA1188" s="20"/>
      <c r="AB1188" s="20">
        <f t="shared" si="468"/>
        <v>0</v>
      </c>
      <c r="AC1188" s="20">
        <f t="shared" si="468"/>
        <v>0</v>
      </c>
      <c r="AD1188" s="20"/>
      <c r="AE1188" s="20"/>
    </row>
    <row r="1189" spans="1:35" s="1" customFormat="1" ht="25.5" x14ac:dyDescent="0.25">
      <c r="A1189" s="25"/>
      <c r="B1189" s="26" t="s">
        <v>1353</v>
      </c>
      <c r="C1189" s="26"/>
      <c r="D1189" s="64" t="s">
        <v>1354</v>
      </c>
      <c r="E1189" s="28"/>
      <c r="F1189" s="28"/>
      <c r="G1189" s="28"/>
      <c r="H1189" s="28"/>
      <c r="I1189" s="28"/>
      <c r="J1189" s="28"/>
      <c r="K1189" s="28"/>
      <c r="L1189" s="28"/>
      <c r="M1189" s="28">
        <f>SUM(M1190:M1190)</f>
        <v>0</v>
      </c>
      <c r="N1189" s="28"/>
      <c r="O1189" s="28">
        <f>SUM(O1190:O1190)</f>
        <v>0</v>
      </c>
      <c r="P1189" s="28">
        <f>SUM(P1190:P1190)</f>
        <v>0</v>
      </c>
      <c r="Q1189" s="28">
        <f>SUM(Q1190:Q1190)</f>
        <v>0</v>
      </c>
      <c r="R1189" s="28">
        <f>SUM(R1190:R1190)</f>
        <v>0</v>
      </c>
      <c r="S1189" s="28">
        <f>SUM(S1190:S1190)</f>
        <v>0</v>
      </c>
      <c r="T1189" s="28"/>
      <c r="U1189" s="28">
        <f>SUM(U1190:U1190)</f>
        <v>0</v>
      </c>
      <c r="V1189" s="28"/>
      <c r="W1189" s="28">
        <f>SUM(W1190:W1190)</f>
        <v>0</v>
      </c>
      <c r="X1189" s="28"/>
      <c r="Y1189" s="28">
        <f>SUM(Y1190:Y1190)</f>
        <v>0</v>
      </c>
      <c r="Z1189" s="28">
        <f>SUM(Z1190:Z1190)</f>
        <v>0</v>
      </c>
      <c r="AA1189" s="28"/>
      <c r="AB1189" s="28">
        <f>SUM(AB1190:AB1190)</f>
        <v>0</v>
      </c>
      <c r="AC1189" s="28">
        <f>SUM(AC1190:AC1190)</f>
        <v>0</v>
      </c>
      <c r="AD1189" s="28"/>
      <c r="AE1189" s="28"/>
    </row>
    <row r="1190" spans="1:35" s="1" customFormat="1" x14ac:dyDescent="0.25">
      <c r="A1190" s="21"/>
      <c r="B1190" s="22"/>
      <c r="C1190" s="22"/>
      <c r="D1190" s="65"/>
      <c r="E1190" s="24"/>
      <c r="F1190" s="24"/>
      <c r="G1190" s="24"/>
      <c r="H1190" s="24"/>
      <c r="I1190" s="24"/>
      <c r="J1190" s="24"/>
      <c r="K1190" s="24"/>
      <c r="L1190" s="24"/>
      <c r="M1190" s="24"/>
      <c r="N1190" s="24"/>
      <c r="O1190" s="24"/>
      <c r="P1190" s="24"/>
      <c r="Q1190" s="24"/>
      <c r="R1190" s="24"/>
      <c r="S1190" s="24"/>
      <c r="T1190" s="24"/>
      <c r="U1190" s="24"/>
      <c r="V1190" s="24"/>
      <c r="W1190" s="24"/>
      <c r="X1190" s="24"/>
      <c r="Y1190" s="24"/>
      <c r="Z1190" s="24"/>
      <c r="AA1190" s="24"/>
      <c r="AB1190" s="24"/>
      <c r="AC1190" s="24"/>
      <c r="AD1190" s="24"/>
      <c r="AE1190" s="24"/>
    </row>
    <row r="1191" spans="1:35" s="1" customFormat="1" x14ac:dyDescent="0.25">
      <c r="A1191" s="17"/>
      <c r="B1191" s="18" t="s">
        <v>1355</v>
      </c>
      <c r="C1191" s="18"/>
      <c r="D1191" s="84" t="s">
        <v>1356</v>
      </c>
      <c r="E1191" s="20"/>
      <c r="F1191" s="20"/>
      <c r="G1191" s="20"/>
      <c r="H1191" s="20"/>
      <c r="I1191" s="20"/>
      <c r="J1191" s="20"/>
      <c r="K1191" s="20"/>
      <c r="L1191" s="20"/>
      <c r="M1191" s="20">
        <f>M1192</f>
        <v>1</v>
      </c>
      <c r="N1191" s="20"/>
      <c r="O1191" s="37">
        <f t="shared" ref="O1191:AC1191" si="469">O1192</f>
        <v>79800000</v>
      </c>
      <c r="P1191" s="37">
        <f t="shared" si="469"/>
        <v>79800000</v>
      </c>
      <c r="Q1191" s="20">
        <f t="shared" si="469"/>
        <v>0</v>
      </c>
      <c r="R1191" s="20">
        <f t="shared" si="469"/>
        <v>0</v>
      </c>
      <c r="S1191" s="37">
        <f t="shared" si="469"/>
        <v>79800000</v>
      </c>
      <c r="T1191" s="20"/>
      <c r="U1191" s="37">
        <f t="shared" si="469"/>
        <v>1596000</v>
      </c>
      <c r="V1191" s="37"/>
      <c r="W1191" s="37">
        <f t="shared" si="469"/>
        <v>798000</v>
      </c>
      <c r="X1191" s="37"/>
      <c r="Y1191" s="37">
        <f t="shared" si="469"/>
        <v>798000</v>
      </c>
      <c r="Z1191" s="37">
        <f t="shared" si="469"/>
        <v>1596000</v>
      </c>
      <c r="AA1191" s="37"/>
      <c r="AB1191" s="37">
        <f t="shared" si="469"/>
        <v>19152000</v>
      </c>
      <c r="AC1191" s="37">
        <f t="shared" si="469"/>
        <v>60648000</v>
      </c>
      <c r="AD1191" s="20"/>
      <c r="AE1191" s="20"/>
    </row>
    <row r="1192" spans="1:35" s="1" customFormat="1" x14ac:dyDescent="0.25">
      <c r="A1192" s="25"/>
      <c r="B1192" s="26" t="s">
        <v>1357</v>
      </c>
      <c r="C1192" s="26"/>
      <c r="D1192" s="64" t="s">
        <v>1358</v>
      </c>
      <c r="E1192" s="28"/>
      <c r="F1192" s="28"/>
      <c r="G1192" s="28"/>
      <c r="H1192" s="28"/>
      <c r="I1192" s="28"/>
      <c r="J1192" s="28"/>
      <c r="K1192" s="28"/>
      <c r="L1192" s="28"/>
      <c r="M1192" s="28">
        <f>SUM(M1193:M1194)</f>
        <v>1</v>
      </c>
      <c r="N1192" s="28"/>
      <c r="O1192" s="40">
        <f>SUM(O1193:O1194)</f>
        <v>79800000</v>
      </c>
      <c r="P1192" s="40">
        <f>SUM(P1193:P1194)</f>
        <v>79800000</v>
      </c>
      <c r="Q1192" s="28">
        <f>SUM(Q1193:Q1194)</f>
        <v>0</v>
      </c>
      <c r="R1192" s="28">
        <f>SUM(R1193:R1194)</f>
        <v>0</v>
      </c>
      <c r="S1192" s="40">
        <f>SUM(S1193:S1194)</f>
        <v>79800000</v>
      </c>
      <c r="T1192" s="28"/>
      <c r="U1192" s="40">
        <f>SUM(U1193:U1194)</f>
        <v>1596000</v>
      </c>
      <c r="V1192" s="40"/>
      <c r="W1192" s="40">
        <f>SUM(W1193:W1194)</f>
        <v>798000</v>
      </c>
      <c r="X1192" s="40"/>
      <c r="Y1192" s="40">
        <f>SUM(Y1193:Y1194)</f>
        <v>798000</v>
      </c>
      <c r="Z1192" s="40">
        <f>SUM(Z1193:Z1194)</f>
        <v>1596000</v>
      </c>
      <c r="AA1192" s="40"/>
      <c r="AB1192" s="40">
        <f>SUM(AB1193:AB1194)</f>
        <v>19152000</v>
      </c>
      <c r="AC1192" s="40">
        <f>SUM(AC1193:AC1194)</f>
        <v>60648000</v>
      </c>
      <c r="AD1192" s="28"/>
      <c r="AE1192" s="28"/>
    </row>
    <row r="1193" spans="1:35" s="1" customFormat="1" x14ac:dyDescent="0.25">
      <c r="A1193" s="21"/>
      <c r="B1193" s="22" t="s">
        <v>1796</v>
      </c>
      <c r="C1193" s="65" t="s">
        <v>58</v>
      </c>
      <c r="D1193" s="24" t="s">
        <v>1321</v>
      </c>
      <c r="E1193" s="52"/>
      <c r="F1193" s="24"/>
      <c r="G1193" s="24" t="s">
        <v>1309</v>
      </c>
      <c r="H1193" s="24" t="s">
        <v>62</v>
      </c>
      <c r="I1193" s="24">
        <v>2012</v>
      </c>
      <c r="J1193" s="24"/>
      <c r="K1193" s="24"/>
      <c r="L1193" s="24" t="s">
        <v>64</v>
      </c>
      <c r="M1193" s="24">
        <v>1</v>
      </c>
      <c r="N1193" s="53">
        <v>79800000</v>
      </c>
      <c r="O1193" s="53">
        <v>79800000</v>
      </c>
      <c r="P1193" s="53">
        <v>79800000</v>
      </c>
      <c r="Q1193" s="43">
        <f>O1193-P1193</f>
        <v>0</v>
      </c>
      <c r="R1193" s="52"/>
      <c r="S1193" s="53">
        <v>79800000</v>
      </c>
      <c r="T1193" s="52">
        <v>50</v>
      </c>
      <c r="U1193" s="53">
        <f>SUM(S1193/T1193)</f>
        <v>1596000</v>
      </c>
      <c r="V1193" s="52">
        <v>0.5</v>
      </c>
      <c r="W1193" s="53">
        <f>SUM(U1193*V1193)</f>
        <v>798000</v>
      </c>
      <c r="X1193" s="54">
        <v>0.5</v>
      </c>
      <c r="Y1193" s="56">
        <f>SUM(U1193*X1193)</f>
        <v>798000</v>
      </c>
      <c r="Z1193" s="56">
        <f>W1193+Y1193</f>
        <v>1596000</v>
      </c>
      <c r="AA1193" s="52">
        <v>12</v>
      </c>
      <c r="AB1193" s="56">
        <f>SUM(U1193*AA1193)</f>
        <v>19152000</v>
      </c>
      <c r="AC1193" s="53">
        <f>SUM(S1193-AB1193)</f>
        <v>60648000</v>
      </c>
      <c r="AD1193" s="52" t="s">
        <v>1307</v>
      </c>
      <c r="AE1193" s="52"/>
    </row>
    <row r="1194" spans="1:35" s="1" customFormat="1" x14ac:dyDescent="0.25">
      <c r="A1194" s="21"/>
      <c r="B1194" s="22"/>
      <c r="C1194" s="22"/>
      <c r="D1194" s="65"/>
      <c r="E1194" s="24"/>
      <c r="F1194" s="24"/>
      <c r="G1194" s="24"/>
      <c r="H1194" s="24"/>
      <c r="I1194" s="24"/>
      <c r="J1194" s="24"/>
      <c r="K1194" s="24"/>
      <c r="L1194" s="24"/>
      <c r="M1194" s="24"/>
      <c r="N1194" s="24"/>
      <c r="O1194" s="24"/>
      <c r="P1194" s="24"/>
      <c r="Q1194" s="24"/>
      <c r="R1194" s="24"/>
      <c r="S1194" s="24"/>
      <c r="T1194" s="24"/>
      <c r="U1194" s="24"/>
      <c r="V1194" s="24"/>
      <c r="W1194" s="24"/>
      <c r="X1194" s="24"/>
      <c r="Y1194" s="24"/>
      <c r="Z1194" s="24"/>
      <c r="AA1194" s="24"/>
      <c r="AB1194" s="24"/>
      <c r="AC1194" s="24"/>
      <c r="AD1194" s="24"/>
      <c r="AE1194" s="24"/>
    </row>
    <row r="1195" spans="1:35" s="1" customFormat="1" x14ac:dyDescent="0.25">
      <c r="A1195" s="17"/>
      <c r="B1195" s="18" t="s">
        <v>1359</v>
      </c>
      <c r="C1195" s="18"/>
      <c r="D1195" s="84" t="s">
        <v>1360</v>
      </c>
      <c r="E1195" s="20"/>
      <c r="F1195" s="20"/>
      <c r="G1195" s="20"/>
      <c r="H1195" s="20"/>
      <c r="I1195" s="20"/>
      <c r="J1195" s="20"/>
      <c r="K1195" s="20"/>
      <c r="L1195" s="20"/>
      <c r="M1195" s="20">
        <f>M1196</f>
        <v>0</v>
      </c>
      <c r="N1195" s="20"/>
      <c r="O1195" s="20">
        <f t="shared" ref="O1195:AC1195" si="470">O1196</f>
        <v>0</v>
      </c>
      <c r="P1195" s="20">
        <f t="shared" si="470"/>
        <v>0</v>
      </c>
      <c r="Q1195" s="20">
        <f t="shared" si="470"/>
        <v>0</v>
      </c>
      <c r="R1195" s="20">
        <f t="shared" si="470"/>
        <v>0</v>
      </c>
      <c r="S1195" s="20">
        <f t="shared" si="470"/>
        <v>0</v>
      </c>
      <c r="T1195" s="20"/>
      <c r="U1195" s="20">
        <f t="shared" si="470"/>
        <v>0</v>
      </c>
      <c r="V1195" s="20"/>
      <c r="W1195" s="20">
        <f t="shared" si="470"/>
        <v>0</v>
      </c>
      <c r="X1195" s="20"/>
      <c r="Y1195" s="20">
        <f t="shared" si="470"/>
        <v>0</v>
      </c>
      <c r="Z1195" s="20">
        <f t="shared" si="470"/>
        <v>0</v>
      </c>
      <c r="AA1195" s="20"/>
      <c r="AB1195" s="20">
        <f t="shared" si="470"/>
        <v>0</v>
      </c>
      <c r="AC1195" s="20">
        <f t="shared" si="470"/>
        <v>0</v>
      </c>
      <c r="AD1195" s="20"/>
      <c r="AE1195" s="20"/>
    </row>
    <row r="1196" spans="1:35" s="1" customFormat="1" x14ac:dyDescent="0.25">
      <c r="A1196" s="25"/>
      <c r="B1196" s="26" t="s">
        <v>1361</v>
      </c>
      <c r="C1196" s="26"/>
      <c r="D1196" s="64" t="s">
        <v>1362</v>
      </c>
      <c r="E1196" s="28"/>
      <c r="F1196" s="28"/>
      <c r="G1196" s="28"/>
      <c r="H1196" s="28"/>
      <c r="I1196" s="28"/>
      <c r="J1196" s="28"/>
      <c r="K1196" s="28"/>
      <c r="L1196" s="28"/>
      <c r="M1196" s="28">
        <f>SUM(M1197:M1197)</f>
        <v>0</v>
      </c>
      <c r="N1196" s="28"/>
      <c r="O1196" s="28">
        <f>SUM(O1197:O1197)</f>
        <v>0</v>
      </c>
      <c r="P1196" s="28">
        <f>SUM(P1197:P1197)</f>
        <v>0</v>
      </c>
      <c r="Q1196" s="28">
        <f>SUM(Q1197:Q1197)</f>
        <v>0</v>
      </c>
      <c r="R1196" s="28">
        <f>SUM(R1197:R1197)</f>
        <v>0</v>
      </c>
      <c r="S1196" s="28">
        <f>SUM(S1197:S1197)</f>
        <v>0</v>
      </c>
      <c r="T1196" s="28"/>
      <c r="U1196" s="28">
        <f>SUM(U1197:U1197)</f>
        <v>0</v>
      </c>
      <c r="V1196" s="28"/>
      <c r="W1196" s="28">
        <f>SUM(W1197:W1197)</f>
        <v>0</v>
      </c>
      <c r="X1196" s="28"/>
      <c r="Y1196" s="28">
        <f>SUM(Y1197:Y1197)</f>
        <v>0</v>
      </c>
      <c r="Z1196" s="28">
        <f>SUM(Z1197:Z1197)</f>
        <v>0</v>
      </c>
      <c r="AA1196" s="28"/>
      <c r="AB1196" s="28">
        <f>SUM(AB1197:AB1197)</f>
        <v>0</v>
      </c>
      <c r="AC1196" s="28">
        <f>SUM(AC1197:AC1197)</f>
        <v>0</v>
      </c>
      <c r="AD1196" s="28"/>
      <c r="AE1196" s="28"/>
    </row>
    <row r="1197" spans="1:35" s="1" customFormat="1" x14ac:dyDescent="0.25">
      <c r="A1197" s="21"/>
      <c r="B1197" s="22"/>
      <c r="C1197" s="22"/>
      <c r="D1197" s="65"/>
      <c r="E1197" s="24"/>
      <c r="F1197" s="24"/>
      <c r="G1197" s="24"/>
      <c r="H1197" s="24"/>
      <c r="I1197" s="24"/>
      <c r="J1197" s="24"/>
      <c r="K1197" s="24"/>
      <c r="L1197" s="24"/>
      <c r="M1197" s="24"/>
      <c r="N1197" s="24"/>
      <c r="O1197" s="24"/>
      <c r="P1197" s="24"/>
      <c r="Q1197" s="24"/>
      <c r="R1197" s="24"/>
      <c r="S1197" s="24"/>
      <c r="T1197" s="24"/>
      <c r="U1197" s="24"/>
      <c r="V1197" s="24"/>
      <c r="W1197" s="24"/>
      <c r="X1197" s="24"/>
      <c r="Y1197" s="24"/>
      <c r="Z1197" s="24"/>
      <c r="AA1197" s="24"/>
      <c r="AB1197" s="24"/>
      <c r="AC1197" s="24"/>
      <c r="AD1197" s="24"/>
      <c r="AE1197" s="24"/>
      <c r="AF1197" s="8"/>
    </row>
    <row r="1198" spans="1:35" s="16" customFormat="1" ht="23.25" customHeight="1" x14ac:dyDescent="0.25">
      <c r="A1198" s="29">
        <v>4</v>
      </c>
      <c r="B1198" s="30" t="s">
        <v>1363</v>
      </c>
      <c r="C1198" s="30"/>
      <c r="D1198" s="89" t="s">
        <v>1364</v>
      </c>
      <c r="E1198" s="32"/>
      <c r="F1198" s="32"/>
      <c r="G1198" s="32"/>
      <c r="H1198" s="32"/>
      <c r="I1198" s="32"/>
      <c r="J1198" s="32"/>
      <c r="K1198" s="32"/>
      <c r="L1198" s="32"/>
      <c r="M1198" s="32">
        <f>M1199+M1206+M1221+M1270</f>
        <v>18</v>
      </c>
      <c r="N1198" s="32"/>
      <c r="O1198" s="34">
        <f>O1199+O1206+O1221+O1270</f>
        <v>1749770100</v>
      </c>
      <c r="P1198" s="32">
        <f>P1199+P1206+P1221+P1270</f>
        <v>0</v>
      </c>
      <c r="Q1198" s="32">
        <f>Q1199+Q1206+Q1221+Q1270</f>
        <v>0</v>
      </c>
      <c r="R1198" s="32">
        <f>R1199+R1206+R1221+R1270</f>
        <v>0</v>
      </c>
      <c r="S1198" s="34">
        <f>S1199+S1206+S1221+S1270</f>
        <v>1837760683.3333335</v>
      </c>
      <c r="T1198" s="34"/>
      <c r="U1198" s="34">
        <f>U1199+U1206+U1221+U1270</f>
        <v>43087151.180672273</v>
      </c>
      <c r="V1198" s="34"/>
      <c r="W1198" s="34">
        <f>W1199+W1206+W1221+W1270</f>
        <v>20656275.590336137</v>
      </c>
      <c r="X1198" s="34"/>
      <c r="Y1198" s="34">
        <f>Y1199+Y1206+Y1221+Y1270</f>
        <v>20656275.590336137</v>
      </c>
      <c r="Z1198" s="34">
        <f>Z1199+Z1206+Z1221+Z1270</f>
        <v>41312551.180672273</v>
      </c>
      <c r="AA1198" s="34"/>
      <c r="AB1198" s="34">
        <f>AB1199+AB1206+AB1221+AB1270</f>
        <v>369947525.48739499</v>
      </c>
      <c r="AC1198" s="34">
        <f>AC1199+AC1206+AC1221+AC1270</f>
        <v>1379822574.512605</v>
      </c>
      <c r="AD1198" s="32"/>
      <c r="AE1198" s="32"/>
      <c r="AF1198" s="90">
        <v>328634974.3067227</v>
      </c>
      <c r="AG1198" s="36"/>
      <c r="AH1198" s="1"/>
    </row>
    <row r="1199" spans="1:35" s="1" customFormat="1" x14ac:dyDescent="0.25">
      <c r="A1199" s="17"/>
      <c r="B1199" s="18" t="s">
        <v>1365</v>
      </c>
      <c r="C1199" s="18"/>
      <c r="D1199" s="84" t="s">
        <v>1366</v>
      </c>
      <c r="E1199" s="20"/>
      <c r="F1199" s="20"/>
      <c r="G1199" s="20"/>
      <c r="H1199" s="20"/>
      <c r="I1199" s="20"/>
      <c r="J1199" s="20"/>
      <c r="K1199" s="20"/>
      <c r="L1199" s="20"/>
      <c r="M1199" s="20"/>
      <c r="N1199" s="20"/>
      <c r="O1199" s="20">
        <f>O1200+O1202</f>
        <v>0</v>
      </c>
      <c r="P1199" s="20">
        <f>P1200+P1202</f>
        <v>0</v>
      </c>
      <c r="Q1199" s="20">
        <f>Q1200+Q1202</f>
        <v>0</v>
      </c>
      <c r="R1199" s="20">
        <f>R1200+R1202</f>
        <v>0</v>
      </c>
      <c r="S1199" s="20">
        <f>S1200+S1202</f>
        <v>0</v>
      </c>
      <c r="T1199" s="20"/>
      <c r="U1199" s="20">
        <f>U1200+U1202</f>
        <v>0</v>
      </c>
      <c r="V1199" s="20"/>
      <c r="W1199" s="20">
        <f>W1200+W1202</f>
        <v>0</v>
      </c>
      <c r="X1199" s="20"/>
      <c r="Y1199" s="20">
        <f>Y1200+Y1202</f>
        <v>0</v>
      </c>
      <c r="Z1199" s="20">
        <f>Z1200+Z1202</f>
        <v>0</v>
      </c>
      <c r="AA1199" s="20"/>
      <c r="AB1199" s="20">
        <f>AB1200+AB1202</f>
        <v>0</v>
      </c>
      <c r="AC1199" s="20">
        <f>AC1200+AC1202</f>
        <v>0</v>
      </c>
      <c r="AD1199" s="20"/>
      <c r="AE1199" s="20"/>
      <c r="AF1199" s="5">
        <f>AF1198+W1198+Y1198-AB1198</f>
        <v>0</v>
      </c>
      <c r="AG1199" s="36"/>
    </row>
    <row r="1200" spans="1:35" s="1" customFormat="1" x14ac:dyDescent="0.25">
      <c r="A1200" s="25"/>
      <c r="B1200" s="26" t="s">
        <v>1367</v>
      </c>
      <c r="C1200" s="26"/>
      <c r="D1200" s="64" t="s">
        <v>1368</v>
      </c>
      <c r="E1200" s="28"/>
      <c r="F1200" s="28"/>
      <c r="G1200" s="28"/>
      <c r="H1200" s="28"/>
      <c r="I1200" s="28"/>
      <c r="J1200" s="28"/>
      <c r="K1200" s="28"/>
      <c r="L1200" s="28"/>
      <c r="M1200" s="28">
        <f>SUM(M1201:M1201)</f>
        <v>0</v>
      </c>
      <c r="N1200" s="28"/>
      <c r="O1200" s="28">
        <f>SUM(O1201:O1201)</f>
        <v>0</v>
      </c>
      <c r="P1200" s="28">
        <f>SUM(P1201:P1201)</f>
        <v>0</v>
      </c>
      <c r="Q1200" s="28">
        <f>SUM(Q1201:Q1201)</f>
        <v>0</v>
      </c>
      <c r="R1200" s="28">
        <f>SUM(R1201:R1201)</f>
        <v>0</v>
      </c>
      <c r="S1200" s="28">
        <f>SUM(S1201:S1201)</f>
        <v>0</v>
      </c>
      <c r="T1200" s="28"/>
      <c r="U1200" s="28">
        <f>SUM(U1201:U1201)</f>
        <v>0</v>
      </c>
      <c r="V1200" s="28"/>
      <c r="W1200" s="28">
        <f>SUM(W1201:W1201)</f>
        <v>0</v>
      </c>
      <c r="X1200" s="28"/>
      <c r="Y1200" s="28">
        <f>SUM(Y1201:Y1201)</f>
        <v>0</v>
      </c>
      <c r="Z1200" s="28">
        <f>SUM(Z1201:Z1201)</f>
        <v>0</v>
      </c>
      <c r="AA1200" s="28"/>
      <c r="AB1200" s="28">
        <f>SUM(AB1201:AB1201)</f>
        <v>0</v>
      </c>
      <c r="AC1200" s="28">
        <f>SUM(AC1201:AC1201)</f>
        <v>0</v>
      </c>
      <c r="AD1200" s="28"/>
      <c r="AE1200" s="28"/>
      <c r="AF1200" s="8"/>
      <c r="AG1200" s="5"/>
      <c r="AH1200" s="16"/>
    </row>
    <row r="1201" spans="1:31" s="1" customFormat="1" x14ac:dyDescent="0.25">
      <c r="A1201" s="21"/>
      <c r="B1201" s="22"/>
      <c r="C1201" s="22"/>
      <c r="D1201" s="65"/>
      <c r="E1201" s="24"/>
      <c r="F1201" s="24"/>
      <c r="G1201" s="24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  <c r="S1201" s="24"/>
      <c r="T1201" s="24"/>
      <c r="U1201" s="24"/>
      <c r="V1201" s="24"/>
      <c r="W1201" s="24"/>
      <c r="X1201" s="24"/>
      <c r="Y1201" s="24"/>
      <c r="Z1201" s="24"/>
      <c r="AA1201" s="24"/>
      <c r="AB1201" s="24"/>
      <c r="AC1201" s="24"/>
      <c r="AD1201" s="24"/>
      <c r="AE1201" s="24"/>
    </row>
    <row r="1202" spans="1:31" s="1" customFormat="1" x14ac:dyDescent="0.25">
      <c r="A1202" s="25"/>
      <c r="B1202" s="26" t="s">
        <v>1369</v>
      </c>
      <c r="C1202" s="26"/>
      <c r="D1202" s="64" t="s">
        <v>1370</v>
      </c>
      <c r="E1202" s="28"/>
      <c r="F1202" s="28"/>
      <c r="G1202" s="28"/>
      <c r="H1202" s="28"/>
      <c r="I1202" s="28"/>
      <c r="J1202" s="28"/>
      <c r="K1202" s="28"/>
      <c r="L1202" s="28"/>
      <c r="M1202" s="28">
        <f>SUM(M1203:M1205)</f>
        <v>0</v>
      </c>
      <c r="N1202" s="28"/>
      <c r="O1202" s="28">
        <f t="shared" ref="O1202:AC1202" si="471">SUM(O1203:O1205)</f>
        <v>0</v>
      </c>
      <c r="P1202" s="28">
        <f t="shared" si="471"/>
        <v>0</v>
      </c>
      <c r="Q1202" s="28">
        <f t="shared" si="471"/>
        <v>0</v>
      </c>
      <c r="R1202" s="28">
        <f t="shared" si="471"/>
        <v>0</v>
      </c>
      <c r="S1202" s="28">
        <f t="shared" si="471"/>
        <v>0</v>
      </c>
      <c r="T1202" s="28"/>
      <c r="U1202" s="28">
        <f t="shared" si="471"/>
        <v>0</v>
      </c>
      <c r="V1202" s="28"/>
      <c r="W1202" s="28">
        <f t="shared" si="471"/>
        <v>0</v>
      </c>
      <c r="X1202" s="28"/>
      <c r="Y1202" s="28">
        <f t="shared" si="471"/>
        <v>0</v>
      </c>
      <c r="Z1202" s="28">
        <f t="shared" si="471"/>
        <v>0</v>
      </c>
      <c r="AA1202" s="28"/>
      <c r="AB1202" s="28">
        <f t="shared" si="471"/>
        <v>0</v>
      </c>
      <c r="AC1202" s="28">
        <f t="shared" si="471"/>
        <v>0</v>
      </c>
      <c r="AD1202" s="28"/>
      <c r="AE1202" s="28"/>
    </row>
    <row r="1203" spans="1:31" s="1" customFormat="1" x14ac:dyDescent="0.25">
      <c r="A1203" s="21"/>
      <c r="B1203" s="22"/>
      <c r="C1203" s="22"/>
      <c r="D1203" s="65"/>
      <c r="E1203" s="24"/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  <c r="S1203" s="24"/>
      <c r="T1203" s="24"/>
      <c r="U1203" s="24"/>
      <c r="V1203" s="24"/>
      <c r="W1203" s="24"/>
      <c r="X1203" s="24"/>
      <c r="Y1203" s="24"/>
      <c r="Z1203" s="24"/>
      <c r="AA1203" s="24"/>
      <c r="AB1203" s="24"/>
      <c r="AC1203" s="24"/>
      <c r="AD1203" s="24"/>
      <c r="AE1203" s="24"/>
    </row>
    <row r="1204" spans="1:31" s="1" customFormat="1" x14ac:dyDescent="0.25">
      <c r="A1204" s="21"/>
      <c r="B1204" s="22"/>
      <c r="C1204" s="22"/>
      <c r="D1204" s="65"/>
      <c r="E1204" s="24"/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4"/>
      <c r="R1204" s="24"/>
      <c r="S1204" s="24"/>
      <c r="T1204" s="24"/>
      <c r="U1204" s="24"/>
      <c r="V1204" s="24"/>
      <c r="W1204" s="24"/>
      <c r="X1204" s="24"/>
      <c r="Y1204" s="24"/>
      <c r="Z1204" s="24"/>
      <c r="AA1204" s="24"/>
      <c r="AB1204" s="24"/>
      <c r="AC1204" s="24"/>
      <c r="AD1204" s="24"/>
      <c r="AE1204" s="24"/>
    </row>
    <row r="1205" spans="1:31" s="1" customFormat="1" x14ac:dyDescent="0.25">
      <c r="A1205" s="21"/>
      <c r="B1205" s="22"/>
      <c r="C1205" s="22"/>
      <c r="D1205" s="65"/>
      <c r="E1205" s="24"/>
      <c r="F1205" s="24"/>
      <c r="G1205" s="24"/>
      <c r="H1205" s="24"/>
      <c r="I1205" s="24"/>
      <c r="J1205" s="24"/>
      <c r="K1205" s="24"/>
      <c r="L1205" s="24"/>
      <c r="M1205" s="24"/>
      <c r="N1205" s="24"/>
      <c r="O1205" s="24"/>
      <c r="P1205" s="24"/>
      <c r="Q1205" s="24"/>
      <c r="R1205" s="24"/>
      <c r="S1205" s="24"/>
      <c r="T1205" s="24"/>
      <c r="U1205" s="24"/>
      <c r="V1205" s="24"/>
      <c r="W1205" s="24"/>
      <c r="X1205" s="24"/>
      <c r="Y1205" s="24"/>
      <c r="Z1205" s="24"/>
      <c r="AA1205" s="24"/>
      <c r="AB1205" s="24"/>
      <c r="AC1205" s="24"/>
      <c r="AD1205" s="24"/>
      <c r="AE1205" s="24"/>
    </row>
    <row r="1206" spans="1:31" s="1" customFormat="1" x14ac:dyDescent="0.25">
      <c r="A1206" s="17"/>
      <c r="B1206" s="18" t="s">
        <v>1371</v>
      </c>
      <c r="C1206" s="18"/>
      <c r="D1206" s="84" t="s">
        <v>1372</v>
      </c>
      <c r="E1206" s="20"/>
      <c r="F1206" s="20"/>
      <c r="G1206" s="20"/>
      <c r="H1206" s="20"/>
      <c r="I1206" s="20"/>
      <c r="J1206" s="20"/>
      <c r="K1206" s="20"/>
      <c r="L1206" s="20"/>
      <c r="M1206" s="20">
        <f>M1207+M1209+M1211+M1213+M1215+M1217+M1219</f>
        <v>0</v>
      </c>
      <c r="N1206" s="20"/>
      <c r="O1206" s="20">
        <f>O1207+O1209+O1211+O1213+O1215+O1217+O1219</f>
        <v>0</v>
      </c>
      <c r="P1206" s="20">
        <f>P1207+P1209+P1211+P1213+P1215+P1217+P1219</f>
        <v>0</v>
      </c>
      <c r="Q1206" s="20">
        <f>Q1207+Q1209+Q1211+Q1213+Q1215+Q1217+Q1219</f>
        <v>0</v>
      </c>
      <c r="R1206" s="20">
        <f>R1207+R1209+R1211+R1213+R1215+R1217+R1219</f>
        <v>0</v>
      </c>
      <c r="S1206" s="20">
        <f>S1207+S1209+S1211+S1213+S1215+S1217+S1219</f>
        <v>0</v>
      </c>
      <c r="T1206" s="20"/>
      <c r="U1206" s="20">
        <f>U1207+U1209+U1211+U1213+U1215+U1217+U1219</f>
        <v>0</v>
      </c>
      <c r="V1206" s="20"/>
      <c r="W1206" s="20">
        <f>W1207+W1209+W1211+W1213+W1215+W1217+W1219</f>
        <v>0</v>
      </c>
      <c r="X1206" s="20"/>
      <c r="Y1206" s="20">
        <f>Y1207+Y1209+Y1211+Y1213+Y1215+Y1217+Y1219</f>
        <v>0</v>
      </c>
      <c r="Z1206" s="20">
        <f>Z1207+Z1209+Z1211+Z1213+Z1215+Z1217+Z1219</f>
        <v>0</v>
      </c>
      <c r="AA1206" s="20"/>
      <c r="AB1206" s="20">
        <f>AB1207+AB1209+AB1211+AB1213+AB1215+AB1217+AB1219</f>
        <v>0</v>
      </c>
      <c r="AC1206" s="20">
        <f>AC1207+AC1209+AC1211+AC1213+AC1215+AC1217+AC1219</f>
        <v>0</v>
      </c>
      <c r="AD1206" s="20"/>
      <c r="AE1206" s="20"/>
    </row>
    <row r="1207" spans="1:31" s="1" customFormat="1" x14ac:dyDescent="0.25">
      <c r="A1207" s="25"/>
      <c r="B1207" s="26" t="s">
        <v>1373</v>
      </c>
      <c r="C1207" s="26"/>
      <c r="D1207" s="64" t="s">
        <v>1374</v>
      </c>
      <c r="E1207" s="28"/>
      <c r="F1207" s="28"/>
      <c r="G1207" s="28"/>
      <c r="H1207" s="28"/>
      <c r="I1207" s="28"/>
      <c r="J1207" s="28"/>
      <c r="K1207" s="28"/>
      <c r="L1207" s="28"/>
      <c r="M1207" s="28">
        <f>SUM(M1208:M1208)</f>
        <v>0</v>
      </c>
      <c r="N1207" s="28"/>
      <c r="O1207" s="28">
        <f>SUM(O1208:O1208)</f>
        <v>0</v>
      </c>
      <c r="P1207" s="28">
        <f>SUM(P1208:P1208)</f>
        <v>0</v>
      </c>
      <c r="Q1207" s="28">
        <f>SUM(Q1208:Q1208)</f>
        <v>0</v>
      </c>
      <c r="R1207" s="28">
        <f>SUM(R1208:R1208)</f>
        <v>0</v>
      </c>
      <c r="S1207" s="28">
        <f>SUM(S1208:S1208)</f>
        <v>0</v>
      </c>
      <c r="T1207" s="28"/>
      <c r="U1207" s="28">
        <f>SUM(U1208:U1208)</f>
        <v>0</v>
      </c>
      <c r="V1207" s="28"/>
      <c r="W1207" s="28">
        <f>SUM(W1208:W1208)</f>
        <v>0</v>
      </c>
      <c r="X1207" s="28"/>
      <c r="Y1207" s="28">
        <f>SUM(Y1208:Y1208)</f>
        <v>0</v>
      </c>
      <c r="Z1207" s="28">
        <f>SUM(Z1208:Z1208)</f>
        <v>0</v>
      </c>
      <c r="AA1207" s="28"/>
      <c r="AB1207" s="28">
        <f>SUM(AB1208:AB1208)</f>
        <v>0</v>
      </c>
      <c r="AC1207" s="28">
        <f>SUM(AC1208:AC1208)</f>
        <v>0</v>
      </c>
      <c r="AD1207" s="28"/>
      <c r="AE1207" s="28"/>
    </row>
    <row r="1208" spans="1:31" s="1" customFormat="1" x14ac:dyDescent="0.25">
      <c r="A1208" s="21"/>
      <c r="B1208" s="22"/>
      <c r="C1208" s="22"/>
      <c r="D1208" s="65"/>
      <c r="E1208" s="24"/>
      <c r="F1208" s="24"/>
      <c r="G1208" s="24"/>
      <c r="H1208" s="24"/>
      <c r="I1208" s="24"/>
      <c r="J1208" s="24"/>
      <c r="K1208" s="24"/>
      <c r="L1208" s="24"/>
      <c r="M1208" s="24"/>
      <c r="N1208" s="24"/>
      <c r="O1208" s="24"/>
      <c r="P1208" s="24"/>
      <c r="Q1208" s="24"/>
      <c r="R1208" s="24"/>
      <c r="S1208" s="24"/>
      <c r="T1208" s="24"/>
      <c r="U1208" s="24"/>
      <c r="V1208" s="24"/>
      <c r="W1208" s="24"/>
      <c r="X1208" s="24"/>
      <c r="Y1208" s="24"/>
      <c r="Z1208" s="24"/>
      <c r="AA1208" s="24"/>
      <c r="AB1208" s="24"/>
      <c r="AC1208" s="24"/>
      <c r="AD1208" s="24"/>
      <c r="AE1208" s="24"/>
    </row>
    <row r="1209" spans="1:31" s="1" customFormat="1" ht="25.5" x14ac:dyDescent="0.25">
      <c r="A1209" s="25"/>
      <c r="B1209" s="26" t="s">
        <v>1375</v>
      </c>
      <c r="C1209" s="26"/>
      <c r="D1209" s="64" t="s">
        <v>1376</v>
      </c>
      <c r="E1209" s="28"/>
      <c r="F1209" s="28"/>
      <c r="G1209" s="28"/>
      <c r="H1209" s="28"/>
      <c r="I1209" s="28"/>
      <c r="J1209" s="28"/>
      <c r="K1209" s="28"/>
      <c r="L1209" s="28"/>
      <c r="M1209" s="28">
        <f>SUM(M1210:M1210)</f>
        <v>0</v>
      </c>
      <c r="N1209" s="28"/>
      <c r="O1209" s="28">
        <f>SUM(O1210:O1210)</f>
        <v>0</v>
      </c>
      <c r="P1209" s="28">
        <f>SUM(P1210:P1210)</f>
        <v>0</v>
      </c>
      <c r="Q1209" s="28">
        <f>SUM(Q1210:Q1210)</f>
        <v>0</v>
      </c>
      <c r="R1209" s="28">
        <f>SUM(R1210:R1210)</f>
        <v>0</v>
      </c>
      <c r="S1209" s="28">
        <f>SUM(S1210:S1210)</f>
        <v>0</v>
      </c>
      <c r="T1209" s="28"/>
      <c r="U1209" s="28">
        <f>SUM(U1210:U1210)</f>
        <v>0</v>
      </c>
      <c r="V1209" s="28"/>
      <c r="W1209" s="28">
        <f>SUM(W1210:W1210)</f>
        <v>0</v>
      </c>
      <c r="X1209" s="28"/>
      <c r="Y1209" s="28">
        <f>SUM(Y1210:Y1210)</f>
        <v>0</v>
      </c>
      <c r="Z1209" s="28">
        <f>SUM(Z1210:Z1210)</f>
        <v>0</v>
      </c>
      <c r="AA1209" s="28"/>
      <c r="AB1209" s="28">
        <f>SUM(AB1210:AB1210)</f>
        <v>0</v>
      </c>
      <c r="AC1209" s="28">
        <f>SUM(AC1210:AC1210)</f>
        <v>0</v>
      </c>
      <c r="AD1209" s="28"/>
      <c r="AE1209" s="28"/>
    </row>
    <row r="1210" spans="1:31" s="1" customFormat="1" x14ac:dyDescent="0.25">
      <c r="A1210" s="21"/>
      <c r="B1210" s="22"/>
      <c r="C1210" s="22"/>
      <c r="D1210" s="65"/>
      <c r="E1210" s="24"/>
      <c r="F1210" s="24"/>
      <c r="G1210" s="24"/>
      <c r="H1210" s="24"/>
      <c r="I1210" s="24"/>
      <c r="J1210" s="24"/>
      <c r="K1210" s="24"/>
      <c r="L1210" s="24"/>
      <c r="M1210" s="24"/>
      <c r="N1210" s="24"/>
      <c r="O1210" s="24"/>
      <c r="P1210" s="24"/>
      <c r="Q1210" s="24"/>
      <c r="R1210" s="24"/>
      <c r="S1210" s="24"/>
      <c r="T1210" s="24"/>
      <c r="U1210" s="24"/>
      <c r="V1210" s="24"/>
      <c r="W1210" s="24"/>
      <c r="X1210" s="24"/>
      <c r="Y1210" s="24"/>
      <c r="Z1210" s="24"/>
      <c r="AA1210" s="24"/>
      <c r="AB1210" s="24"/>
      <c r="AC1210" s="24"/>
      <c r="AD1210" s="24"/>
      <c r="AE1210" s="24"/>
    </row>
    <row r="1211" spans="1:31" s="1" customFormat="1" ht="25.5" x14ac:dyDescent="0.25">
      <c r="A1211" s="25"/>
      <c r="B1211" s="26" t="s">
        <v>1377</v>
      </c>
      <c r="C1211" s="26"/>
      <c r="D1211" s="64" t="s">
        <v>1378</v>
      </c>
      <c r="E1211" s="28"/>
      <c r="F1211" s="28"/>
      <c r="G1211" s="28"/>
      <c r="H1211" s="28"/>
      <c r="I1211" s="28"/>
      <c r="J1211" s="28"/>
      <c r="K1211" s="28"/>
      <c r="L1211" s="28"/>
      <c r="M1211" s="28">
        <f>SUM(M1212:M1212)</f>
        <v>0</v>
      </c>
      <c r="N1211" s="28"/>
      <c r="O1211" s="28">
        <f>SUM(O1212:O1212)</f>
        <v>0</v>
      </c>
      <c r="P1211" s="28">
        <f>SUM(P1212:P1212)</f>
        <v>0</v>
      </c>
      <c r="Q1211" s="28">
        <f>SUM(Q1212:Q1212)</f>
        <v>0</v>
      </c>
      <c r="R1211" s="28">
        <f>SUM(R1212:R1212)</f>
        <v>0</v>
      </c>
      <c r="S1211" s="28">
        <f>SUM(S1212:S1212)</f>
        <v>0</v>
      </c>
      <c r="T1211" s="28"/>
      <c r="U1211" s="28">
        <f>SUM(U1212:U1212)</f>
        <v>0</v>
      </c>
      <c r="V1211" s="28"/>
      <c r="W1211" s="28">
        <f>SUM(W1212:W1212)</f>
        <v>0</v>
      </c>
      <c r="X1211" s="28"/>
      <c r="Y1211" s="28">
        <f>SUM(Y1212:Y1212)</f>
        <v>0</v>
      </c>
      <c r="Z1211" s="28">
        <f>SUM(Z1212:Z1212)</f>
        <v>0</v>
      </c>
      <c r="AA1211" s="28"/>
      <c r="AB1211" s="28">
        <f>SUM(AB1212:AB1212)</f>
        <v>0</v>
      </c>
      <c r="AC1211" s="28">
        <f>SUM(AC1212:AC1212)</f>
        <v>0</v>
      </c>
      <c r="AD1211" s="28"/>
      <c r="AE1211" s="28"/>
    </row>
    <row r="1212" spans="1:31" s="1" customFormat="1" x14ac:dyDescent="0.25">
      <c r="A1212" s="21"/>
      <c r="B1212" s="22"/>
      <c r="C1212" s="22"/>
      <c r="D1212" s="65"/>
      <c r="E1212" s="24"/>
      <c r="F1212" s="24"/>
      <c r="G1212" s="24"/>
      <c r="H1212" s="24"/>
      <c r="I1212" s="24"/>
      <c r="J1212" s="24"/>
      <c r="K1212" s="24"/>
      <c r="L1212" s="24"/>
      <c r="M1212" s="24"/>
      <c r="N1212" s="24"/>
      <c r="O1212" s="24"/>
      <c r="P1212" s="24"/>
      <c r="Q1212" s="24"/>
      <c r="R1212" s="24"/>
      <c r="S1212" s="24"/>
      <c r="T1212" s="24"/>
      <c r="U1212" s="24"/>
      <c r="V1212" s="24"/>
      <c r="W1212" s="24"/>
      <c r="X1212" s="24"/>
      <c r="Y1212" s="24"/>
      <c r="Z1212" s="24"/>
      <c r="AA1212" s="24"/>
      <c r="AB1212" s="24"/>
      <c r="AC1212" s="24"/>
      <c r="AD1212" s="24"/>
      <c r="AE1212" s="24"/>
    </row>
    <row r="1213" spans="1:31" s="1" customFormat="1" ht="38.25" x14ac:dyDescent="0.25">
      <c r="A1213" s="25"/>
      <c r="B1213" s="26" t="s">
        <v>1379</v>
      </c>
      <c r="C1213" s="26"/>
      <c r="D1213" s="64" t="s">
        <v>1380</v>
      </c>
      <c r="E1213" s="28"/>
      <c r="F1213" s="28"/>
      <c r="G1213" s="28"/>
      <c r="H1213" s="28"/>
      <c r="I1213" s="28"/>
      <c r="J1213" s="28"/>
      <c r="K1213" s="28"/>
      <c r="L1213" s="28"/>
      <c r="M1213" s="28">
        <f>SUM(M1214:M1214)</f>
        <v>0</v>
      </c>
      <c r="N1213" s="28"/>
      <c r="O1213" s="28">
        <f>SUM(O1214:O1214)</f>
        <v>0</v>
      </c>
      <c r="P1213" s="28">
        <f>SUM(P1214:P1214)</f>
        <v>0</v>
      </c>
      <c r="Q1213" s="28">
        <f>SUM(Q1214:Q1214)</f>
        <v>0</v>
      </c>
      <c r="R1213" s="28">
        <f>SUM(R1214:R1214)</f>
        <v>0</v>
      </c>
      <c r="S1213" s="28">
        <f>SUM(S1214:S1214)</f>
        <v>0</v>
      </c>
      <c r="T1213" s="28"/>
      <c r="U1213" s="28">
        <f>SUM(U1214:U1214)</f>
        <v>0</v>
      </c>
      <c r="V1213" s="28"/>
      <c r="W1213" s="28">
        <f>SUM(W1214:W1214)</f>
        <v>0</v>
      </c>
      <c r="X1213" s="28"/>
      <c r="Y1213" s="28">
        <f>SUM(Y1214:Y1214)</f>
        <v>0</v>
      </c>
      <c r="Z1213" s="28">
        <f>SUM(Z1214:Z1214)</f>
        <v>0</v>
      </c>
      <c r="AA1213" s="28"/>
      <c r="AB1213" s="28">
        <f>SUM(AB1214:AB1214)</f>
        <v>0</v>
      </c>
      <c r="AC1213" s="28">
        <f>SUM(AC1214:AC1214)</f>
        <v>0</v>
      </c>
      <c r="AD1213" s="28"/>
      <c r="AE1213" s="28"/>
    </row>
    <row r="1214" spans="1:31" s="1" customFormat="1" x14ac:dyDescent="0.25">
      <c r="A1214" s="21"/>
      <c r="B1214" s="22"/>
      <c r="C1214" s="22"/>
      <c r="D1214" s="65"/>
      <c r="E1214" s="24"/>
      <c r="F1214" s="24"/>
      <c r="G1214" s="24"/>
      <c r="H1214" s="24"/>
      <c r="I1214" s="24"/>
      <c r="J1214" s="24"/>
      <c r="K1214" s="24"/>
      <c r="L1214" s="24"/>
      <c r="M1214" s="24"/>
      <c r="N1214" s="24"/>
      <c r="O1214" s="24"/>
      <c r="P1214" s="24"/>
      <c r="Q1214" s="24"/>
      <c r="R1214" s="24"/>
      <c r="S1214" s="24"/>
      <c r="T1214" s="24"/>
      <c r="U1214" s="24"/>
      <c r="V1214" s="24"/>
      <c r="W1214" s="24"/>
      <c r="X1214" s="24"/>
      <c r="Y1214" s="24"/>
      <c r="Z1214" s="24"/>
      <c r="AA1214" s="24"/>
      <c r="AB1214" s="24"/>
      <c r="AC1214" s="24"/>
      <c r="AD1214" s="24"/>
      <c r="AE1214" s="24"/>
    </row>
    <row r="1215" spans="1:31" s="1" customFormat="1" ht="25.5" x14ac:dyDescent="0.25">
      <c r="A1215" s="25"/>
      <c r="B1215" s="26" t="s">
        <v>1381</v>
      </c>
      <c r="C1215" s="26"/>
      <c r="D1215" s="64" t="s">
        <v>1382</v>
      </c>
      <c r="E1215" s="28"/>
      <c r="F1215" s="28"/>
      <c r="G1215" s="28"/>
      <c r="H1215" s="28"/>
      <c r="I1215" s="28"/>
      <c r="J1215" s="28"/>
      <c r="K1215" s="28"/>
      <c r="L1215" s="28"/>
      <c r="M1215" s="28">
        <f>SUM(M1216:M1216)</f>
        <v>0</v>
      </c>
      <c r="N1215" s="28"/>
      <c r="O1215" s="28">
        <f>SUM(O1216:O1216)</f>
        <v>0</v>
      </c>
      <c r="P1215" s="28">
        <f>SUM(P1216:P1216)</f>
        <v>0</v>
      </c>
      <c r="Q1215" s="28">
        <f>SUM(Q1216:Q1216)</f>
        <v>0</v>
      </c>
      <c r="R1215" s="28">
        <f>SUM(R1216:R1216)</f>
        <v>0</v>
      </c>
      <c r="S1215" s="28">
        <f>SUM(S1216:S1216)</f>
        <v>0</v>
      </c>
      <c r="T1215" s="28"/>
      <c r="U1215" s="28">
        <f>SUM(U1216:U1216)</f>
        <v>0</v>
      </c>
      <c r="V1215" s="28"/>
      <c r="W1215" s="28">
        <f>SUM(W1216:W1216)</f>
        <v>0</v>
      </c>
      <c r="X1215" s="28"/>
      <c r="Y1215" s="28">
        <f>SUM(Y1216:Y1216)</f>
        <v>0</v>
      </c>
      <c r="Z1215" s="28">
        <f>SUM(Z1216:Z1216)</f>
        <v>0</v>
      </c>
      <c r="AA1215" s="28"/>
      <c r="AB1215" s="28">
        <f>SUM(AB1216:AB1216)</f>
        <v>0</v>
      </c>
      <c r="AC1215" s="28">
        <f>SUM(AC1216:AC1216)</f>
        <v>0</v>
      </c>
      <c r="AD1215" s="28"/>
      <c r="AE1215" s="28"/>
    </row>
    <row r="1216" spans="1:31" s="1" customFormat="1" x14ac:dyDescent="0.25">
      <c r="A1216" s="21"/>
      <c r="B1216" s="22"/>
      <c r="C1216" s="22"/>
      <c r="D1216" s="65"/>
      <c r="E1216" s="24"/>
      <c r="F1216" s="24"/>
      <c r="G1216" s="24"/>
      <c r="H1216" s="24"/>
      <c r="I1216" s="24"/>
      <c r="J1216" s="24"/>
      <c r="K1216" s="24"/>
      <c r="L1216" s="24"/>
      <c r="M1216" s="24"/>
      <c r="N1216" s="24"/>
      <c r="O1216" s="24"/>
      <c r="P1216" s="24"/>
      <c r="Q1216" s="24"/>
      <c r="R1216" s="24"/>
      <c r="S1216" s="24"/>
      <c r="T1216" s="24"/>
      <c r="U1216" s="24"/>
      <c r="V1216" s="24"/>
      <c r="W1216" s="24"/>
      <c r="X1216" s="24"/>
      <c r="Y1216" s="24"/>
      <c r="Z1216" s="24"/>
      <c r="AA1216" s="24"/>
      <c r="AB1216" s="24"/>
      <c r="AC1216" s="24"/>
      <c r="AD1216" s="24"/>
      <c r="AE1216" s="24"/>
    </row>
    <row r="1217" spans="1:33" s="1" customFormat="1" x14ac:dyDescent="0.25">
      <c r="A1217" s="25"/>
      <c r="B1217" s="26" t="s">
        <v>1383</v>
      </c>
      <c r="C1217" s="26"/>
      <c r="D1217" s="64" t="s">
        <v>1384</v>
      </c>
      <c r="E1217" s="28"/>
      <c r="F1217" s="28"/>
      <c r="G1217" s="28"/>
      <c r="H1217" s="28"/>
      <c r="I1217" s="28"/>
      <c r="J1217" s="28"/>
      <c r="K1217" s="28"/>
      <c r="L1217" s="28"/>
      <c r="M1217" s="28">
        <f>SUM(M1218:M1218)</f>
        <v>0</v>
      </c>
      <c r="N1217" s="28"/>
      <c r="O1217" s="28">
        <f>SUM(O1218:O1218)</f>
        <v>0</v>
      </c>
      <c r="P1217" s="28">
        <f>SUM(P1218:P1218)</f>
        <v>0</v>
      </c>
      <c r="Q1217" s="28">
        <f>SUM(Q1218:Q1218)</f>
        <v>0</v>
      </c>
      <c r="R1217" s="28">
        <f>SUM(R1218:R1218)</f>
        <v>0</v>
      </c>
      <c r="S1217" s="28">
        <f>SUM(S1218:S1218)</f>
        <v>0</v>
      </c>
      <c r="T1217" s="28"/>
      <c r="U1217" s="28">
        <f>SUM(U1218:U1218)</f>
        <v>0</v>
      </c>
      <c r="V1217" s="28"/>
      <c r="W1217" s="28">
        <f>SUM(W1218:W1218)</f>
        <v>0</v>
      </c>
      <c r="X1217" s="28"/>
      <c r="Y1217" s="28">
        <f>SUM(Y1218:Y1218)</f>
        <v>0</v>
      </c>
      <c r="Z1217" s="28">
        <f>SUM(Z1218:Z1218)</f>
        <v>0</v>
      </c>
      <c r="AA1217" s="28"/>
      <c r="AB1217" s="28">
        <f>SUM(AB1218:AB1218)</f>
        <v>0</v>
      </c>
      <c r="AC1217" s="28">
        <f>SUM(AC1218:AC1218)</f>
        <v>0</v>
      </c>
      <c r="AD1217" s="28"/>
      <c r="AE1217" s="28"/>
    </row>
    <row r="1218" spans="1:33" s="1" customFormat="1" x14ac:dyDescent="0.25">
      <c r="A1218" s="21"/>
      <c r="B1218" s="22"/>
      <c r="C1218" s="22"/>
      <c r="D1218" s="65"/>
      <c r="E1218" s="24"/>
      <c r="F1218" s="24"/>
      <c r="G1218" s="24"/>
      <c r="H1218" s="24"/>
      <c r="I1218" s="24"/>
      <c r="J1218" s="24"/>
      <c r="K1218" s="24"/>
      <c r="L1218" s="24"/>
      <c r="M1218" s="24"/>
      <c r="N1218" s="24"/>
      <c r="O1218" s="24"/>
      <c r="P1218" s="24"/>
      <c r="Q1218" s="24"/>
      <c r="R1218" s="24"/>
      <c r="S1218" s="24"/>
      <c r="T1218" s="24"/>
      <c r="U1218" s="24"/>
      <c r="V1218" s="24"/>
      <c r="W1218" s="24"/>
      <c r="X1218" s="24"/>
      <c r="Y1218" s="24"/>
      <c r="Z1218" s="24"/>
      <c r="AA1218" s="24"/>
      <c r="AB1218" s="24"/>
      <c r="AC1218" s="24"/>
      <c r="AD1218" s="24"/>
      <c r="AE1218" s="24"/>
    </row>
    <row r="1219" spans="1:33" s="1" customFormat="1" x14ac:dyDescent="0.25">
      <c r="A1219" s="25"/>
      <c r="B1219" s="26" t="s">
        <v>1385</v>
      </c>
      <c r="C1219" s="26"/>
      <c r="D1219" s="64" t="s">
        <v>1386</v>
      </c>
      <c r="E1219" s="28"/>
      <c r="F1219" s="28"/>
      <c r="G1219" s="28"/>
      <c r="H1219" s="28"/>
      <c r="I1219" s="28"/>
      <c r="J1219" s="28"/>
      <c r="K1219" s="28"/>
      <c r="L1219" s="28"/>
      <c r="M1219" s="28">
        <f>SUM(M1220:M1220)</f>
        <v>0</v>
      </c>
      <c r="N1219" s="28"/>
      <c r="O1219" s="28">
        <f>SUM(O1220:O1220)</f>
        <v>0</v>
      </c>
      <c r="P1219" s="28">
        <f>SUM(P1220:P1220)</f>
        <v>0</v>
      </c>
      <c r="Q1219" s="28">
        <f>SUM(Q1220:Q1220)</f>
        <v>0</v>
      </c>
      <c r="R1219" s="28">
        <f>SUM(R1220:R1220)</f>
        <v>0</v>
      </c>
      <c r="S1219" s="28">
        <f>SUM(S1220:S1220)</f>
        <v>0</v>
      </c>
      <c r="T1219" s="28"/>
      <c r="U1219" s="28">
        <f>SUM(U1220:U1220)</f>
        <v>0</v>
      </c>
      <c r="V1219" s="28"/>
      <c r="W1219" s="28">
        <f>SUM(W1220:W1220)</f>
        <v>0</v>
      </c>
      <c r="X1219" s="28"/>
      <c r="Y1219" s="28">
        <f>SUM(Y1220:Y1220)</f>
        <v>0</v>
      </c>
      <c r="Z1219" s="28">
        <f>SUM(Z1220:Z1220)</f>
        <v>0</v>
      </c>
      <c r="AA1219" s="28"/>
      <c r="AB1219" s="28">
        <f>SUM(AB1220:AB1220)</f>
        <v>0</v>
      </c>
      <c r="AC1219" s="28">
        <f>SUM(AC1220:AC1220)</f>
        <v>0</v>
      </c>
      <c r="AD1219" s="28"/>
      <c r="AE1219" s="28"/>
    </row>
    <row r="1220" spans="1:33" s="1" customFormat="1" x14ac:dyDescent="0.25">
      <c r="A1220" s="21"/>
      <c r="B1220" s="22"/>
      <c r="C1220" s="22"/>
      <c r="D1220" s="65"/>
      <c r="E1220" s="24"/>
      <c r="F1220" s="24"/>
      <c r="G1220" s="24"/>
      <c r="H1220" s="24"/>
      <c r="I1220" s="24"/>
      <c r="J1220" s="24"/>
      <c r="K1220" s="24"/>
      <c r="L1220" s="24"/>
      <c r="M1220" s="24"/>
      <c r="N1220" s="24"/>
      <c r="O1220" s="24"/>
      <c r="P1220" s="24"/>
      <c r="Q1220" s="24"/>
      <c r="R1220" s="24"/>
      <c r="S1220" s="24"/>
      <c r="T1220" s="24"/>
      <c r="U1220" s="24"/>
      <c r="V1220" s="24"/>
      <c r="W1220" s="24"/>
      <c r="X1220" s="24"/>
      <c r="Y1220" s="24"/>
      <c r="Z1220" s="24"/>
      <c r="AA1220" s="24"/>
      <c r="AB1220" s="24"/>
      <c r="AC1220" s="24"/>
      <c r="AD1220" s="24"/>
      <c r="AE1220" s="24"/>
    </row>
    <row r="1221" spans="1:33" s="1" customFormat="1" x14ac:dyDescent="0.25">
      <c r="A1221" s="17"/>
      <c r="B1221" s="18" t="s">
        <v>1387</v>
      </c>
      <c r="C1221" s="18"/>
      <c r="D1221" s="84" t="s">
        <v>1388</v>
      </c>
      <c r="E1221" s="20"/>
      <c r="F1221" s="20"/>
      <c r="G1221" s="20"/>
      <c r="H1221" s="20"/>
      <c r="I1221" s="20"/>
      <c r="J1221" s="20"/>
      <c r="K1221" s="20"/>
      <c r="L1221" s="20"/>
      <c r="M1221" s="20">
        <f>M1222+M1234+M1238+M1242+M1246+M1250+M1254+M1258+M1262+M1266</f>
        <v>8</v>
      </c>
      <c r="N1221" s="20"/>
      <c r="O1221" s="37">
        <f t="shared" ref="O1221:AC1221" si="472">O1222+O1234+O1238+O1242+O1246+O1250+O1254+O1258+O1262+O1266</f>
        <v>489024600</v>
      </c>
      <c r="P1221" s="20">
        <f t="shared" si="472"/>
        <v>0</v>
      </c>
      <c r="Q1221" s="20">
        <f t="shared" si="472"/>
        <v>0</v>
      </c>
      <c r="R1221" s="20">
        <f t="shared" si="472"/>
        <v>0</v>
      </c>
      <c r="S1221" s="95">
        <f t="shared" si="472"/>
        <v>577015183.33333337</v>
      </c>
      <c r="T1221" s="20"/>
      <c r="U1221" s="37">
        <f t="shared" si="472"/>
        <v>11568513.680672269</v>
      </c>
      <c r="V1221" s="20"/>
      <c r="W1221" s="37">
        <f t="shared" si="472"/>
        <v>4896956.8403361347</v>
      </c>
      <c r="X1221" s="37"/>
      <c r="Y1221" s="37">
        <f t="shared" si="472"/>
        <v>4896956.8403361347</v>
      </c>
      <c r="Z1221" s="37">
        <f t="shared" si="472"/>
        <v>9793913.6806722693</v>
      </c>
      <c r="AA1221" s="20"/>
      <c r="AB1221" s="37">
        <f t="shared" si="472"/>
        <v>71614925.487394974</v>
      </c>
      <c r="AC1221" s="37">
        <f t="shared" si="472"/>
        <v>417409674.51260501</v>
      </c>
      <c r="AD1221" s="20"/>
      <c r="AE1221" s="20"/>
      <c r="AF1221" s="1">
        <v>328634974.3067227</v>
      </c>
      <c r="AG1221" s="5">
        <f>W1221+Y1221-AB1221</f>
        <v>-61821011.806722701</v>
      </c>
    </row>
    <row r="1222" spans="1:33" s="1" customFormat="1" x14ac:dyDescent="0.25">
      <c r="A1222" s="25"/>
      <c r="B1222" s="26" t="s">
        <v>1389</v>
      </c>
      <c r="C1222" s="26"/>
      <c r="D1222" s="64" t="s">
        <v>1390</v>
      </c>
      <c r="E1222" s="28"/>
      <c r="F1222" s="28"/>
      <c r="G1222" s="28"/>
      <c r="H1222" s="28"/>
      <c r="I1222" s="28"/>
      <c r="J1222" s="28"/>
      <c r="K1222" s="28"/>
      <c r="L1222" s="28"/>
      <c r="M1222" s="28">
        <f>SUM(M1223:M1233)</f>
        <v>8</v>
      </c>
      <c r="N1222" s="28"/>
      <c r="O1222" s="40">
        <f t="shared" ref="O1222:AC1222" si="473">SUM(O1223:O1233)</f>
        <v>489024600</v>
      </c>
      <c r="P1222" s="28">
        <f t="shared" si="473"/>
        <v>0</v>
      </c>
      <c r="Q1222" s="28">
        <f t="shared" si="473"/>
        <v>0</v>
      </c>
      <c r="R1222" s="28">
        <f t="shared" si="473"/>
        <v>0</v>
      </c>
      <c r="S1222" s="96">
        <f t="shared" si="473"/>
        <v>577015183.33333337</v>
      </c>
      <c r="T1222" s="28"/>
      <c r="U1222" s="40">
        <f t="shared" si="473"/>
        <v>11568513.680672269</v>
      </c>
      <c r="V1222" s="28"/>
      <c r="W1222" s="40">
        <f t="shared" si="473"/>
        <v>4896956.8403361347</v>
      </c>
      <c r="X1222" s="40"/>
      <c r="Y1222" s="40">
        <f t="shared" si="473"/>
        <v>4896956.8403361347</v>
      </c>
      <c r="Z1222" s="40">
        <f t="shared" si="473"/>
        <v>9793913.6806722693</v>
      </c>
      <c r="AA1222" s="28"/>
      <c r="AB1222" s="40">
        <f t="shared" si="473"/>
        <v>71614925.487394974</v>
      </c>
      <c r="AC1222" s="40">
        <f t="shared" si="473"/>
        <v>417409674.51260501</v>
      </c>
      <c r="AD1222" s="28"/>
      <c r="AE1222" s="28"/>
      <c r="AF1222" s="5">
        <v>61821011.806722686</v>
      </c>
      <c r="AG1222" s="8">
        <f>AF1222+W1222+Y1222-AB1222</f>
        <v>0</v>
      </c>
    </row>
    <row r="1223" spans="1:33" s="1" customFormat="1" x14ac:dyDescent="0.25">
      <c r="A1223" s="21">
        <v>1</v>
      </c>
      <c r="B1223" s="22" t="s">
        <v>1797</v>
      </c>
      <c r="C1223" s="22" t="s">
        <v>58</v>
      </c>
      <c r="D1223" s="65" t="s">
        <v>1391</v>
      </c>
      <c r="E1223" s="24"/>
      <c r="F1223" s="24"/>
      <c r="G1223" s="24" t="s">
        <v>466</v>
      </c>
      <c r="H1223" s="24" t="s">
        <v>62</v>
      </c>
      <c r="I1223" s="24">
        <v>2011</v>
      </c>
      <c r="J1223" s="24"/>
      <c r="K1223" s="24" t="s">
        <v>261</v>
      </c>
      <c r="L1223" s="24" t="s">
        <v>64</v>
      </c>
      <c r="M1223" s="24">
        <v>1</v>
      </c>
      <c r="N1223" s="41">
        <v>87000000</v>
      </c>
      <c r="O1223" s="41">
        <v>87000000</v>
      </c>
      <c r="P1223" s="24"/>
      <c r="Q1223" s="24"/>
      <c r="R1223" s="24"/>
      <c r="S1223" s="41">
        <f>SUM(O1223-R1223)</f>
        <v>87000000</v>
      </c>
      <c r="T1223" s="24">
        <v>50</v>
      </c>
      <c r="U1223" s="70">
        <f t="shared" ref="U1223:U1230" si="474">SUM(S1223/T1223)</f>
        <v>1740000</v>
      </c>
      <c r="V1223" s="24">
        <v>0.5</v>
      </c>
      <c r="W1223" s="70">
        <f t="shared" ref="W1223:W1230" si="475">SUM(U1223*V1223)</f>
        <v>870000</v>
      </c>
      <c r="X1223" s="24">
        <v>0.5</v>
      </c>
      <c r="Y1223" s="70">
        <f t="shared" ref="Y1223:Y1227" si="476">SUM(U1223*X1223)</f>
        <v>870000</v>
      </c>
      <c r="Z1223" s="70">
        <f t="shared" ref="Z1223:Z1230" si="477">SUM(W1223+Y1223)</f>
        <v>1740000</v>
      </c>
      <c r="AA1223" s="24">
        <v>13</v>
      </c>
      <c r="AB1223" s="70">
        <f t="shared" ref="AB1223:AB1230" si="478">SUM(U1223*AA1223)</f>
        <v>22620000</v>
      </c>
      <c r="AC1223" s="70">
        <f t="shared" ref="AC1223:AC1228" si="479">SUM(S1223-AB1223)</f>
        <v>64380000</v>
      </c>
      <c r="AD1223" s="24"/>
      <c r="AE1223" s="24"/>
      <c r="AF1223" s="5">
        <v>20880000</v>
      </c>
      <c r="AG1223" s="5">
        <f>AF1223+W1223+Y1223-AB1223</f>
        <v>0</v>
      </c>
    </row>
    <row r="1224" spans="1:33" s="1" customFormat="1" x14ac:dyDescent="0.25">
      <c r="A1224" s="21">
        <v>2</v>
      </c>
      <c r="B1224" s="22" t="s">
        <v>1797</v>
      </c>
      <c r="C1224" s="22" t="s">
        <v>75</v>
      </c>
      <c r="D1224" s="65" t="s">
        <v>1392</v>
      </c>
      <c r="E1224" s="24"/>
      <c r="F1224" s="24"/>
      <c r="G1224" s="24" t="s">
        <v>466</v>
      </c>
      <c r="H1224" s="24" t="s">
        <v>62</v>
      </c>
      <c r="I1224" s="24">
        <v>2012</v>
      </c>
      <c r="J1224" s="24"/>
      <c r="K1224" s="24" t="s">
        <v>261</v>
      </c>
      <c r="L1224" s="24" t="s">
        <v>64</v>
      </c>
      <c r="M1224" s="24">
        <v>1</v>
      </c>
      <c r="N1224" s="41">
        <v>5400000</v>
      </c>
      <c r="O1224" s="41">
        <v>5400000</v>
      </c>
      <c r="P1224" s="24"/>
      <c r="Q1224" s="24"/>
      <c r="R1224" s="24"/>
      <c r="S1224" s="41">
        <f>SUM(O1224-R1224)</f>
        <v>5400000</v>
      </c>
      <c r="T1224" s="24">
        <v>50</v>
      </c>
      <c r="U1224" s="70">
        <f t="shared" si="474"/>
        <v>108000</v>
      </c>
      <c r="V1224" s="24">
        <v>0.5</v>
      </c>
      <c r="W1224" s="70">
        <f t="shared" si="475"/>
        <v>54000</v>
      </c>
      <c r="X1224" s="24">
        <v>0.5</v>
      </c>
      <c r="Y1224" s="70">
        <f t="shared" si="476"/>
        <v>54000</v>
      </c>
      <c r="Z1224" s="70">
        <f t="shared" si="477"/>
        <v>108000</v>
      </c>
      <c r="AA1224" s="24">
        <v>12</v>
      </c>
      <c r="AB1224" s="70">
        <f t="shared" si="478"/>
        <v>1296000</v>
      </c>
      <c r="AC1224" s="70">
        <f t="shared" si="479"/>
        <v>4104000</v>
      </c>
      <c r="AD1224" s="24"/>
      <c r="AE1224" s="24"/>
      <c r="AF1224" s="5">
        <v>1188000</v>
      </c>
      <c r="AG1224" s="5">
        <f t="shared" ref="AG1224:AG1230" si="480">AF1224+W1224+Y1224-AB1224</f>
        <v>0</v>
      </c>
    </row>
    <row r="1225" spans="1:33" s="1" customFormat="1" ht="25.5" x14ac:dyDescent="0.25">
      <c r="A1225" s="21">
        <v>3</v>
      </c>
      <c r="B1225" s="22" t="s">
        <v>1797</v>
      </c>
      <c r="C1225" s="22" t="s">
        <v>79</v>
      </c>
      <c r="D1225" s="65" t="s">
        <v>1393</v>
      </c>
      <c r="E1225" s="24"/>
      <c r="F1225" s="24"/>
      <c r="G1225" s="24" t="s">
        <v>466</v>
      </c>
      <c r="H1225" s="24" t="s">
        <v>62</v>
      </c>
      <c r="I1225" s="24">
        <v>2013</v>
      </c>
      <c r="J1225" s="24"/>
      <c r="K1225" s="24" t="s">
        <v>261</v>
      </c>
      <c r="L1225" s="24" t="s">
        <v>64</v>
      </c>
      <c r="M1225" s="24">
        <v>1</v>
      </c>
      <c r="N1225" s="41">
        <v>24745600</v>
      </c>
      <c r="O1225" s="41">
        <v>24745600</v>
      </c>
      <c r="P1225" s="24"/>
      <c r="Q1225" s="24"/>
      <c r="R1225" s="24"/>
      <c r="S1225" s="41">
        <f>SUM(O1225-R1225)</f>
        <v>24745600</v>
      </c>
      <c r="T1225" s="24">
        <v>50</v>
      </c>
      <c r="U1225" s="70">
        <f t="shared" si="474"/>
        <v>494912</v>
      </c>
      <c r="V1225" s="24">
        <v>0.5</v>
      </c>
      <c r="W1225" s="70">
        <f t="shared" si="475"/>
        <v>247456</v>
      </c>
      <c r="X1225" s="24">
        <v>0.5</v>
      </c>
      <c r="Y1225" s="70">
        <f t="shared" si="476"/>
        <v>247456</v>
      </c>
      <c r="Z1225" s="70">
        <f t="shared" si="477"/>
        <v>494912</v>
      </c>
      <c r="AA1225" s="24">
        <v>11</v>
      </c>
      <c r="AB1225" s="70">
        <f t="shared" si="478"/>
        <v>5444032</v>
      </c>
      <c r="AC1225" s="70">
        <f t="shared" si="479"/>
        <v>19301568</v>
      </c>
      <c r="AD1225" s="24"/>
      <c r="AE1225" s="24"/>
      <c r="AF1225" s="1">
        <v>4949120</v>
      </c>
      <c r="AG1225" s="5">
        <f t="shared" si="480"/>
        <v>0</v>
      </c>
    </row>
    <row r="1226" spans="1:33" s="1" customFormat="1" x14ac:dyDescent="0.25">
      <c r="A1226" s="21">
        <v>4</v>
      </c>
      <c r="B1226" s="22" t="s">
        <v>1797</v>
      </c>
      <c r="C1226" s="22" t="s">
        <v>84</v>
      </c>
      <c r="D1226" s="97" t="s">
        <v>1394</v>
      </c>
      <c r="E1226" s="24"/>
      <c r="F1226" s="24"/>
      <c r="G1226" s="24" t="s">
        <v>466</v>
      </c>
      <c r="H1226" s="24" t="s">
        <v>62</v>
      </c>
      <c r="I1226" s="24">
        <v>2014</v>
      </c>
      <c r="J1226" s="24"/>
      <c r="K1226" s="24" t="s">
        <v>261</v>
      </c>
      <c r="L1226" s="24" t="s">
        <v>64</v>
      </c>
      <c r="M1226" s="24">
        <v>1</v>
      </c>
      <c r="N1226" s="41">
        <v>39560000</v>
      </c>
      <c r="O1226" s="41">
        <v>39560000</v>
      </c>
      <c r="P1226" s="24"/>
      <c r="Q1226" s="24"/>
      <c r="R1226" s="24"/>
      <c r="S1226" s="41">
        <f>SUM(O1226-R1226)</f>
        <v>39560000</v>
      </c>
      <c r="T1226" s="24">
        <v>50</v>
      </c>
      <c r="U1226" s="70">
        <f t="shared" si="474"/>
        <v>791200</v>
      </c>
      <c r="V1226" s="24">
        <v>0.5</v>
      </c>
      <c r="W1226" s="70">
        <f t="shared" si="475"/>
        <v>395600</v>
      </c>
      <c r="X1226" s="24">
        <v>0.5</v>
      </c>
      <c r="Y1226" s="70">
        <f t="shared" si="476"/>
        <v>395600</v>
      </c>
      <c r="Z1226" s="70">
        <f t="shared" si="477"/>
        <v>791200</v>
      </c>
      <c r="AA1226" s="24">
        <v>10</v>
      </c>
      <c r="AB1226" s="70">
        <f t="shared" si="478"/>
        <v>7912000</v>
      </c>
      <c r="AC1226" s="70">
        <f t="shared" si="479"/>
        <v>31648000</v>
      </c>
      <c r="AD1226" s="24"/>
      <c r="AE1226" s="24"/>
      <c r="AF1226" s="1">
        <v>7120800</v>
      </c>
      <c r="AG1226" s="5">
        <f t="shared" si="480"/>
        <v>0</v>
      </c>
    </row>
    <row r="1227" spans="1:33" s="1" customFormat="1" x14ac:dyDescent="0.25">
      <c r="A1227" s="21">
        <v>5</v>
      </c>
      <c r="B1227" s="22" t="s">
        <v>1797</v>
      </c>
      <c r="C1227" s="22" t="s">
        <v>88</v>
      </c>
      <c r="D1227" s="65" t="s">
        <v>1395</v>
      </c>
      <c r="E1227" s="24"/>
      <c r="F1227" s="24"/>
      <c r="G1227" s="24" t="s">
        <v>466</v>
      </c>
      <c r="H1227" s="24" t="s">
        <v>62</v>
      </c>
      <c r="I1227" s="24">
        <v>2014</v>
      </c>
      <c r="J1227" s="24"/>
      <c r="K1227" s="24" t="s">
        <v>261</v>
      </c>
      <c r="L1227" s="24" t="s">
        <v>64</v>
      </c>
      <c r="M1227" s="24">
        <v>1</v>
      </c>
      <c r="N1227" s="41">
        <v>139985000</v>
      </c>
      <c r="O1227" s="41">
        <v>139985000</v>
      </c>
      <c r="P1227" s="24"/>
      <c r="Q1227" s="24"/>
      <c r="R1227" s="24"/>
      <c r="S1227" s="41">
        <f>SUM(O1227-R1227)</f>
        <v>139985000</v>
      </c>
      <c r="T1227" s="24">
        <v>50</v>
      </c>
      <c r="U1227" s="70">
        <f t="shared" si="474"/>
        <v>2799700</v>
      </c>
      <c r="V1227" s="24">
        <v>0.5</v>
      </c>
      <c r="W1227" s="70">
        <f t="shared" si="475"/>
        <v>1399850</v>
      </c>
      <c r="X1227" s="24">
        <v>0.5</v>
      </c>
      <c r="Y1227" s="70">
        <f t="shared" si="476"/>
        <v>1399850</v>
      </c>
      <c r="Z1227" s="70">
        <f t="shared" si="477"/>
        <v>2799700</v>
      </c>
      <c r="AA1227" s="24">
        <v>10</v>
      </c>
      <c r="AB1227" s="70">
        <f t="shared" si="478"/>
        <v>27997000</v>
      </c>
      <c r="AC1227" s="70">
        <f t="shared" si="479"/>
        <v>111988000</v>
      </c>
      <c r="AD1227" s="24"/>
      <c r="AE1227" s="24"/>
      <c r="AF1227" s="1">
        <v>25197300</v>
      </c>
      <c r="AG1227" s="5">
        <f t="shared" si="480"/>
        <v>0</v>
      </c>
    </row>
    <row r="1228" spans="1:33" s="1" customFormat="1" x14ac:dyDescent="0.25">
      <c r="A1228" s="21">
        <v>6</v>
      </c>
      <c r="B1228" s="22" t="s">
        <v>1797</v>
      </c>
      <c r="C1228" s="42" t="s">
        <v>92</v>
      </c>
      <c r="D1228" s="85" t="s">
        <v>1396</v>
      </c>
      <c r="E1228" s="52"/>
      <c r="F1228" s="52"/>
      <c r="G1228" s="52" t="s">
        <v>466</v>
      </c>
      <c r="H1228" s="52" t="s">
        <v>62</v>
      </c>
      <c r="I1228" s="52">
        <v>2019</v>
      </c>
      <c r="J1228" s="52"/>
      <c r="K1228" s="52" t="s">
        <v>261</v>
      </c>
      <c r="L1228" s="52" t="s">
        <v>64</v>
      </c>
      <c r="M1228" s="52">
        <v>1</v>
      </c>
      <c r="N1228" s="53">
        <v>23745000</v>
      </c>
      <c r="O1228" s="53">
        <v>23745000</v>
      </c>
      <c r="P1228" s="53"/>
      <c r="Q1228" s="53"/>
      <c r="R1228" s="53"/>
      <c r="S1228" s="53">
        <v>23745000</v>
      </c>
      <c r="T1228" s="52">
        <v>50</v>
      </c>
      <c r="U1228" s="56">
        <f t="shared" si="474"/>
        <v>474900</v>
      </c>
      <c r="V1228" s="52">
        <v>0.5</v>
      </c>
      <c r="W1228" s="56">
        <f t="shared" si="475"/>
        <v>237450</v>
      </c>
      <c r="X1228" s="24">
        <v>0.5</v>
      </c>
      <c r="Y1228" s="56">
        <f>SUM(U1228*X1228)</f>
        <v>237450</v>
      </c>
      <c r="Z1228" s="56">
        <f t="shared" si="477"/>
        <v>474900</v>
      </c>
      <c r="AA1228" s="57">
        <f>1/12+0.5+0.5+0.5+0.5+0.5+0.5+0.5+0.5</f>
        <v>4.0833333333333339</v>
      </c>
      <c r="AB1228" s="56">
        <f t="shared" si="478"/>
        <v>1939175.0000000002</v>
      </c>
      <c r="AC1228" s="56">
        <f t="shared" si="479"/>
        <v>21805825</v>
      </c>
      <c r="AD1228" s="24"/>
      <c r="AE1228" s="24"/>
      <c r="AF1228" s="1">
        <v>1464275</v>
      </c>
      <c r="AG1228" s="5">
        <f t="shared" si="480"/>
        <v>0</v>
      </c>
    </row>
    <row r="1229" spans="1:33" s="1" customFormat="1" x14ac:dyDescent="0.25">
      <c r="A1229" s="21"/>
      <c r="B1229" s="22" t="s">
        <v>1797</v>
      </c>
      <c r="C1229" s="73" t="s">
        <v>96</v>
      </c>
      <c r="D1229" s="85" t="s">
        <v>1397</v>
      </c>
      <c r="E1229" s="52"/>
      <c r="F1229" s="52"/>
      <c r="G1229" s="52" t="s">
        <v>466</v>
      </c>
      <c r="H1229" s="52" t="s">
        <v>62</v>
      </c>
      <c r="I1229" s="52">
        <v>2022</v>
      </c>
      <c r="J1229" s="52"/>
      <c r="K1229" s="52" t="s">
        <v>261</v>
      </c>
      <c r="L1229" s="52" t="s">
        <v>64</v>
      </c>
      <c r="M1229" s="52">
        <v>1</v>
      </c>
      <c r="N1229" s="53">
        <v>50000000</v>
      </c>
      <c r="O1229" s="53">
        <v>50000000</v>
      </c>
      <c r="P1229" s="52"/>
      <c r="Q1229" s="52"/>
      <c r="R1229" s="52"/>
      <c r="S1229" s="53">
        <v>50000000</v>
      </c>
      <c r="T1229" s="52">
        <v>50</v>
      </c>
      <c r="U1229" s="53">
        <f t="shared" si="474"/>
        <v>1000000</v>
      </c>
      <c r="V1229" s="57"/>
      <c r="W1229" s="53">
        <f t="shared" si="475"/>
        <v>0</v>
      </c>
      <c r="X1229" s="52"/>
      <c r="Y1229" s="87">
        <f>SUM(U1229*X1229)</f>
        <v>0</v>
      </c>
      <c r="Z1229" s="53">
        <f t="shared" si="477"/>
        <v>0</v>
      </c>
      <c r="AA1229" s="57">
        <f>5/12</f>
        <v>0.41666666666666669</v>
      </c>
      <c r="AB1229" s="53">
        <f t="shared" si="478"/>
        <v>416666.66666666669</v>
      </c>
      <c r="AC1229" s="53"/>
      <c r="AD1229" s="24"/>
      <c r="AE1229" s="24"/>
      <c r="AF1229" s="1">
        <v>416666.66666666669</v>
      </c>
      <c r="AG1229" s="5">
        <f t="shared" si="480"/>
        <v>0</v>
      </c>
    </row>
    <row r="1230" spans="1:33" s="1" customFormat="1" x14ac:dyDescent="0.25">
      <c r="A1230" s="21"/>
      <c r="B1230" s="22"/>
      <c r="C1230" s="73"/>
      <c r="D1230" s="85"/>
      <c r="E1230" s="52"/>
      <c r="F1230" s="52"/>
      <c r="G1230" s="52"/>
      <c r="H1230" s="52"/>
      <c r="I1230" s="52"/>
      <c r="J1230" s="52"/>
      <c r="K1230" s="52"/>
      <c r="L1230" s="52"/>
      <c r="M1230" s="52"/>
      <c r="N1230" s="53">
        <v>40000000</v>
      </c>
      <c r="O1230" s="53">
        <v>40000000</v>
      </c>
      <c r="P1230" s="52"/>
      <c r="Q1230" s="52"/>
      <c r="R1230" s="52"/>
      <c r="S1230" s="53">
        <v>89583333.333333343</v>
      </c>
      <c r="T1230" s="57">
        <f>T1229-AA1229</f>
        <v>49.583333333333336</v>
      </c>
      <c r="U1230" s="53">
        <f t="shared" si="474"/>
        <v>1806722.6890756304</v>
      </c>
      <c r="V1230" s="57">
        <v>0.5</v>
      </c>
      <c r="W1230" s="53">
        <f t="shared" si="475"/>
        <v>903361.3445378152</v>
      </c>
      <c r="X1230" s="57">
        <v>0.5</v>
      </c>
      <c r="Y1230" s="87">
        <f>SUM(U1230*X1230)</f>
        <v>903361.3445378152</v>
      </c>
      <c r="Z1230" s="53">
        <f t="shared" si="477"/>
        <v>1806722.6890756304</v>
      </c>
      <c r="AA1230" s="57">
        <f>1/12+0.5+0.5</f>
        <v>1.0833333333333335</v>
      </c>
      <c r="AB1230" s="53">
        <f t="shared" si="478"/>
        <v>1957282.9131652666</v>
      </c>
      <c r="AC1230" s="53">
        <f t="shared" ref="AC1230" si="481">SUM(S1230-AB1230)</f>
        <v>87626050.420168072</v>
      </c>
      <c r="AD1230" s="24"/>
      <c r="AE1230" s="24"/>
      <c r="AF1230" s="1">
        <v>150560.22408963586</v>
      </c>
      <c r="AG1230" s="5">
        <f t="shared" si="480"/>
        <v>0</v>
      </c>
    </row>
    <row r="1231" spans="1:33" s="189" customFormat="1" x14ac:dyDescent="0.25">
      <c r="A1231" s="49"/>
      <c r="B1231" s="50" t="s">
        <v>1798</v>
      </c>
      <c r="C1231" s="73" t="s">
        <v>100</v>
      </c>
      <c r="D1231" s="85" t="s">
        <v>1398</v>
      </c>
      <c r="E1231" s="52"/>
      <c r="F1231" s="52"/>
      <c r="G1231" s="52" t="s">
        <v>466</v>
      </c>
      <c r="H1231" s="52" t="s">
        <v>62</v>
      </c>
      <c r="I1231" s="52">
        <v>2022</v>
      </c>
      <c r="J1231" s="52"/>
      <c r="K1231" s="52" t="s">
        <v>261</v>
      </c>
      <c r="L1231" s="52" t="s">
        <v>64</v>
      </c>
      <c r="M1231" s="52">
        <v>1</v>
      </c>
      <c r="N1231" s="53">
        <v>38730000</v>
      </c>
      <c r="O1231" s="53">
        <v>38730000</v>
      </c>
      <c r="P1231" s="52"/>
      <c r="Q1231" s="52"/>
      <c r="R1231" s="52"/>
      <c r="S1231" s="53">
        <v>38730000</v>
      </c>
      <c r="T1231" s="52">
        <v>50</v>
      </c>
      <c r="U1231" s="53">
        <f>SUM(S1231/T1231)</f>
        <v>774600</v>
      </c>
      <c r="V1231" s="57"/>
      <c r="W1231" s="53">
        <f>SUM(U1231*V1231)</f>
        <v>0</v>
      </c>
      <c r="X1231" s="52"/>
      <c r="Y1231" s="87">
        <f>SUM(U1231*X1231)</f>
        <v>0</v>
      </c>
      <c r="Z1231" s="53">
        <f>SUM(W1231+Y1231)</f>
        <v>0</v>
      </c>
      <c r="AA1231" s="57">
        <f>5/12</f>
        <v>0.41666666666666669</v>
      </c>
      <c r="AB1231" s="53">
        <f>SUM(U1231*AA1231)</f>
        <v>322750</v>
      </c>
      <c r="AC1231" s="53"/>
      <c r="AD1231" s="188"/>
      <c r="AE1231" s="188"/>
      <c r="AF1231" s="189">
        <v>322750</v>
      </c>
      <c r="AG1231" s="190">
        <f>AF1231+W1231+Y1231-AB1231</f>
        <v>0</v>
      </c>
    </row>
    <row r="1232" spans="1:33" s="1" customFormat="1" x14ac:dyDescent="0.25">
      <c r="A1232" s="21"/>
      <c r="B1232" s="22"/>
      <c r="C1232" s="73"/>
      <c r="D1232" s="85"/>
      <c r="E1232" s="52"/>
      <c r="F1232" s="52"/>
      <c r="G1232" s="52"/>
      <c r="H1232" s="52"/>
      <c r="I1232" s="52"/>
      <c r="J1232" s="52"/>
      <c r="K1232" s="52"/>
      <c r="L1232" s="52"/>
      <c r="M1232" s="52"/>
      <c r="N1232" s="53">
        <v>39859000</v>
      </c>
      <c r="O1232" s="53">
        <v>39859000</v>
      </c>
      <c r="P1232" s="52"/>
      <c r="Q1232" s="52"/>
      <c r="R1232" s="52"/>
      <c r="S1232" s="53">
        <v>78266250</v>
      </c>
      <c r="T1232" s="57">
        <f>T1231-AA1231</f>
        <v>49.583333333333336</v>
      </c>
      <c r="U1232" s="53">
        <f>SUM(S1232/T1232)</f>
        <v>1578478.9915966387</v>
      </c>
      <c r="V1232" s="57">
        <v>0.5</v>
      </c>
      <c r="W1232" s="53">
        <f>SUM(U1232*V1232)</f>
        <v>789239.49579831935</v>
      </c>
      <c r="X1232" s="57">
        <v>0.5</v>
      </c>
      <c r="Y1232" s="87">
        <f>SUM(U1232*X1232)</f>
        <v>789239.49579831935</v>
      </c>
      <c r="Z1232" s="53">
        <f>SUM(W1232+Y1232)</f>
        <v>1578478.9915966387</v>
      </c>
      <c r="AA1232" s="57">
        <f>1/12+0.5+0.5</f>
        <v>1.0833333333333335</v>
      </c>
      <c r="AB1232" s="53">
        <f>SUM(U1232*AA1232)</f>
        <v>1710018.9075630256</v>
      </c>
      <c r="AC1232" s="53">
        <f>SUM(S1232-AB1232)</f>
        <v>76556231.092436969</v>
      </c>
      <c r="AD1232" s="24"/>
      <c r="AE1232" s="24"/>
      <c r="AF1232" s="1">
        <v>131539.91596638656</v>
      </c>
      <c r="AG1232" s="5">
        <f>AF1232+W1232+Y1232-AB1232</f>
        <v>0</v>
      </c>
    </row>
    <row r="1233" spans="1:31" s="1" customFormat="1" x14ac:dyDescent="0.25">
      <c r="A1233" s="21"/>
      <c r="B1233" s="22"/>
      <c r="C1233" s="22"/>
      <c r="D1233" s="65"/>
      <c r="E1233" s="24"/>
      <c r="F1233" s="24"/>
      <c r="G1233" s="24"/>
      <c r="H1233" s="24"/>
      <c r="I1233" s="24"/>
      <c r="J1233" s="24"/>
      <c r="K1233" s="24"/>
      <c r="L1233" s="24"/>
      <c r="M1233" s="24"/>
      <c r="N1233" s="24"/>
      <c r="O1233" s="24"/>
      <c r="P1233" s="24"/>
      <c r="Q1233" s="24"/>
      <c r="R1233" s="24"/>
      <c r="S1233" s="24"/>
      <c r="T1233" s="24"/>
      <c r="U1233" s="24"/>
      <c r="V1233" s="24"/>
      <c r="W1233" s="24"/>
      <c r="X1233" s="24"/>
      <c r="Y1233" s="24"/>
      <c r="Z1233" s="24"/>
      <c r="AA1233" s="24"/>
      <c r="AB1233" s="24"/>
      <c r="AC1233" s="24"/>
      <c r="AD1233" s="24"/>
      <c r="AE1233" s="24"/>
    </row>
    <row r="1234" spans="1:31" s="1" customFormat="1" x14ac:dyDescent="0.25">
      <c r="A1234" s="25"/>
      <c r="B1234" s="26" t="s">
        <v>1399</v>
      </c>
      <c r="C1234" s="26"/>
      <c r="D1234" s="64" t="s">
        <v>1400</v>
      </c>
      <c r="E1234" s="28"/>
      <c r="F1234" s="28"/>
      <c r="G1234" s="28"/>
      <c r="H1234" s="28"/>
      <c r="I1234" s="28"/>
      <c r="J1234" s="28"/>
      <c r="K1234" s="28"/>
      <c r="L1234" s="28"/>
      <c r="M1234" s="28">
        <f>SUM(M1235:M1237)</f>
        <v>0</v>
      </c>
      <c r="N1234" s="28"/>
      <c r="O1234" s="28">
        <f t="shared" ref="O1234:AC1234" si="482">SUM(O1235:O1237)</f>
        <v>0</v>
      </c>
      <c r="P1234" s="28">
        <f t="shared" si="482"/>
        <v>0</v>
      </c>
      <c r="Q1234" s="28">
        <f t="shared" si="482"/>
        <v>0</v>
      </c>
      <c r="R1234" s="28">
        <f t="shared" si="482"/>
        <v>0</v>
      </c>
      <c r="S1234" s="28">
        <f t="shared" si="482"/>
        <v>0</v>
      </c>
      <c r="T1234" s="28"/>
      <c r="U1234" s="28">
        <f t="shared" si="482"/>
        <v>0</v>
      </c>
      <c r="V1234" s="28"/>
      <c r="W1234" s="28">
        <f t="shared" si="482"/>
        <v>0</v>
      </c>
      <c r="X1234" s="28"/>
      <c r="Y1234" s="28">
        <f t="shared" si="482"/>
        <v>0</v>
      </c>
      <c r="Z1234" s="28">
        <f t="shared" si="482"/>
        <v>0</v>
      </c>
      <c r="AA1234" s="28"/>
      <c r="AB1234" s="28">
        <f t="shared" si="482"/>
        <v>0</v>
      </c>
      <c r="AC1234" s="28">
        <f t="shared" si="482"/>
        <v>0</v>
      </c>
      <c r="AD1234" s="28"/>
      <c r="AE1234" s="28"/>
    </row>
    <row r="1235" spans="1:31" s="1" customFormat="1" x14ac:dyDescent="0.25">
      <c r="A1235" s="21"/>
      <c r="B1235" s="22"/>
      <c r="C1235" s="22"/>
      <c r="D1235" s="65"/>
      <c r="E1235" s="24"/>
      <c r="F1235" s="24"/>
      <c r="G1235" s="24"/>
      <c r="H1235" s="24"/>
      <c r="I1235" s="24"/>
      <c r="J1235" s="24"/>
      <c r="K1235" s="24"/>
      <c r="L1235" s="24"/>
      <c r="M1235" s="24"/>
      <c r="N1235" s="24"/>
      <c r="O1235" s="24"/>
      <c r="P1235" s="24"/>
      <c r="Q1235" s="24"/>
      <c r="R1235" s="24"/>
      <c r="S1235" s="24"/>
      <c r="T1235" s="24"/>
      <c r="U1235" s="24"/>
      <c r="V1235" s="24"/>
      <c r="W1235" s="24"/>
      <c r="X1235" s="24"/>
      <c r="Y1235" s="24"/>
      <c r="Z1235" s="24"/>
      <c r="AA1235" s="24"/>
      <c r="AB1235" s="24"/>
      <c r="AC1235" s="24"/>
      <c r="AD1235" s="24"/>
      <c r="AE1235" s="24"/>
    </row>
    <row r="1236" spans="1:31" s="1" customFormat="1" x14ac:dyDescent="0.25">
      <c r="A1236" s="21"/>
      <c r="B1236" s="22"/>
      <c r="C1236" s="22"/>
      <c r="D1236" s="65"/>
      <c r="E1236" s="24"/>
      <c r="F1236" s="24"/>
      <c r="G1236" s="24"/>
      <c r="H1236" s="24"/>
      <c r="I1236" s="24"/>
      <c r="J1236" s="24"/>
      <c r="K1236" s="24"/>
      <c r="L1236" s="24"/>
      <c r="M1236" s="24"/>
      <c r="N1236" s="24"/>
      <c r="O1236" s="24"/>
      <c r="P1236" s="24"/>
      <c r="Q1236" s="24"/>
      <c r="R1236" s="24"/>
      <c r="S1236" s="24"/>
      <c r="T1236" s="24"/>
      <c r="U1236" s="24"/>
      <c r="V1236" s="24"/>
      <c r="W1236" s="24"/>
      <c r="X1236" s="24"/>
      <c r="Y1236" s="24"/>
      <c r="Z1236" s="24"/>
      <c r="AA1236" s="24"/>
      <c r="AB1236" s="24"/>
      <c r="AC1236" s="24"/>
      <c r="AD1236" s="24"/>
      <c r="AE1236" s="24"/>
    </row>
    <row r="1237" spans="1:31" s="1" customFormat="1" x14ac:dyDescent="0.25">
      <c r="A1237" s="21"/>
      <c r="B1237" s="22"/>
      <c r="C1237" s="22"/>
      <c r="D1237" s="65"/>
      <c r="E1237" s="24"/>
      <c r="F1237" s="24"/>
      <c r="G1237" s="24"/>
      <c r="H1237" s="24"/>
      <c r="I1237" s="24"/>
      <c r="J1237" s="24"/>
      <c r="K1237" s="24"/>
      <c r="L1237" s="24"/>
      <c r="M1237" s="24"/>
      <c r="N1237" s="24"/>
      <c r="O1237" s="24"/>
      <c r="P1237" s="24"/>
      <c r="Q1237" s="24"/>
      <c r="R1237" s="24"/>
      <c r="S1237" s="24"/>
      <c r="T1237" s="24"/>
      <c r="U1237" s="24"/>
      <c r="V1237" s="24"/>
      <c r="W1237" s="24"/>
      <c r="X1237" s="24"/>
      <c r="Y1237" s="24"/>
      <c r="Z1237" s="24"/>
      <c r="AA1237" s="24"/>
      <c r="AB1237" s="24"/>
      <c r="AC1237" s="24"/>
      <c r="AD1237" s="24"/>
      <c r="AE1237" s="24"/>
    </row>
    <row r="1238" spans="1:31" s="1" customFormat="1" x14ac:dyDescent="0.25">
      <c r="A1238" s="25"/>
      <c r="B1238" s="26" t="s">
        <v>1401</v>
      </c>
      <c r="C1238" s="26"/>
      <c r="D1238" s="64" t="s">
        <v>1402</v>
      </c>
      <c r="E1238" s="28"/>
      <c r="F1238" s="28"/>
      <c r="G1238" s="28"/>
      <c r="H1238" s="28"/>
      <c r="I1238" s="28"/>
      <c r="J1238" s="28"/>
      <c r="K1238" s="28"/>
      <c r="L1238" s="28"/>
      <c r="M1238" s="28">
        <f>SUM(M1239:M1241)</f>
        <v>0</v>
      </c>
      <c r="N1238" s="28"/>
      <c r="O1238" s="28">
        <f t="shared" ref="O1238:AC1238" si="483">SUM(O1239:O1241)</f>
        <v>0</v>
      </c>
      <c r="P1238" s="28">
        <f t="shared" si="483"/>
        <v>0</v>
      </c>
      <c r="Q1238" s="28">
        <f t="shared" si="483"/>
        <v>0</v>
      </c>
      <c r="R1238" s="28">
        <f t="shared" si="483"/>
        <v>0</v>
      </c>
      <c r="S1238" s="28">
        <f t="shared" si="483"/>
        <v>0</v>
      </c>
      <c r="T1238" s="28"/>
      <c r="U1238" s="28">
        <f t="shared" si="483"/>
        <v>0</v>
      </c>
      <c r="V1238" s="28"/>
      <c r="W1238" s="28">
        <f t="shared" si="483"/>
        <v>0</v>
      </c>
      <c r="X1238" s="28"/>
      <c r="Y1238" s="28">
        <f t="shared" si="483"/>
        <v>0</v>
      </c>
      <c r="Z1238" s="28">
        <f t="shared" si="483"/>
        <v>0</v>
      </c>
      <c r="AA1238" s="28"/>
      <c r="AB1238" s="28">
        <f t="shared" si="483"/>
        <v>0</v>
      </c>
      <c r="AC1238" s="28">
        <f t="shared" si="483"/>
        <v>0</v>
      </c>
      <c r="AD1238" s="28"/>
      <c r="AE1238" s="28"/>
    </row>
    <row r="1239" spans="1:31" s="1" customFormat="1" x14ac:dyDescent="0.25">
      <c r="A1239" s="21"/>
      <c r="B1239" s="22"/>
      <c r="C1239" s="22"/>
      <c r="D1239" s="65"/>
      <c r="E1239" s="24"/>
      <c r="F1239" s="24"/>
      <c r="G1239" s="24"/>
      <c r="H1239" s="24"/>
      <c r="I1239" s="24"/>
      <c r="J1239" s="24"/>
      <c r="K1239" s="24"/>
      <c r="L1239" s="24"/>
      <c r="M1239" s="24"/>
      <c r="N1239" s="24"/>
      <c r="O1239" s="24"/>
      <c r="P1239" s="24"/>
      <c r="Q1239" s="24"/>
      <c r="R1239" s="24"/>
      <c r="S1239" s="24"/>
      <c r="T1239" s="24"/>
      <c r="U1239" s="24"/>
      <c r="V1239" s="24"/>
      <c r="W1239" s="24"/>
      <c r="X1239" s="24"/>
      <c r="Y1239" s="24"/>
      <c r="Z1239" s="24"/>
      <c r="AA1239" s="24"/>
      <c r="AB1239" s="24"/>
      <c r="AC1239" s="24"/>
      <c r="AD1239" s="24"/>
      <c r="AE1239" s="24"/>
    </row>
    <row r="1240" spans="1:31" s="1" customFormat="1" x14ac:dyDescent="0.25">
      <c r="A1240" s="21"/>
      <c r="B1240" s="22"/>
      <c r="C1240" s="22"/>
      <c r="D1240" s="65"/>
      <c r="E1240" s="24"/>
      <c r="F1240" s="24"/>
      <c r="G1240" s="24"/>
      <c r="H1240" s="24"/>
      <c r="I1240" s="24"/>
      <c r="J1240" s="24"/>
      <c r="K1240" s="24"/>
      <c r="L1240" s="24"/>
      <c r="M1240" s="24"/>
      <c r="N1240" s="24"/>
      <c r="O1240" s="24"/>
      <c r="P1240" s="24"/>
      <c r="Q1240" s="24"/>
      <c r="R1240" s="24"/>
      <c r="S1240" s="24"/>
      <c r="T1240" s="24"/>
      <c r="U1240" s="24"/>
      <c r="V1240" s="24"/>
      <c r="W1240" s="24"/>
      <c r="X1240" s="24"/>
      <c r="Y1240" s="24"/>
      <c r="Z1240" s="24"/>
      <c r="AA1240" s="24"/>
      <c r="AB1240" s="24"/>
      <c r="AC1240" s="24"/>
      <c r="AD1240" s="24"/>
      <c r="AE1240" s="24"/>
    </row>
    <row r="1241" spans="1:31" s="1" customFormat="1" x14ac:dyDescent="0.25">
      <c r="A1241" s="21"/>
      <c r="B1241" s="22"/>
      <c r="C1241" s="22"/>
      <c r="D1241" s="65"/>
      <c r="E1241" s="24"/>
      <c r="F1241" s="24"/>
      <c r="G1241" s="24"/>
      <c r="H1241" s="24"/>
      <c r="I1241" s="24"/>
      <c r="J1241" s="24"/>
      <c r="K1241" s="24"/>
      <c r="L1241" s="24"/>
      <c r="M1241" s="24"/>
      <c r="N1241" s="24"/>
      <c r="O1241" s="24"/>
      <c r="P1241" s="24"/>
      <c r="Q1241" s="24"/>
      <c r="R1241" s="24"/>
      <c r="S1241" s="24"/>
      <c r="T1241" s="24"/>
      <c r="U1241" s="24"/>
      <c r="V1241" s="24"/>
      <c r="W1241" s="24"/>
      <c r="X1241" s="24"/>
      <c r="Y1241" s="24"/>
      <c r="Z1241" s="24"/>
      <c r="AA1241" s="24"/>
      <c r="AB1241" s="24"/>
      <c r="AC1241" s="24"/>
      <c r="AD1241" s="24"/>
      <c r="AE1241" s="24"/>
    </row>
    <row r="1242" spans="1:31" s="1" customFormat="1" ht="25.5" x14ac:dyDescent="0.25">
      <c r="A1242" s="25"/>
      <c r="B1242" s="26" t="s">
        <v>1403</v>
      </c>
      <c r="C1242" s="26"/>
      <c r="D1242" s="64" t="s">
        <v>1404</v>
      </c>
      <c r="E1242" s="28"/>
      <c r="F1242" s="28"/>
      <c r="G1242" s="28"/>
      <c r="H1242" s="28"/>
      <c r="I1242" s="28"/>
      <c r="J1242" s="28"/>
      <c r="K1242" s="28"/>
      <c r="L1242" s="28"/>
      <c r="M1242" s="28">
        <f>SUM(M1243:M1245)</f>
        <v>0</v>
      </c>
      <c r="N1242" s="28"/>
      <c r="O1242" s="28">
        <f t="shared" ref="O1242:AC1242" si="484">SUM(O1243:O1245)</f>
        <v>0</v>
      </c>
      <c r="P1242" s="28">
        <f t="shared" si="484"/>
        <v>0</v>
      </c>
      <c r="Q1242" s="28">
        <f t="shared" si="484"/>
        <v>0</v>
      </c>
      <c r="R1242" s="28">
        <f t="shared" si="484"/>
        <v>0</v>
      </c>
      <c r="S1242" s="28">
        <f t="shared" si="484"/>
        <v>0</v>
      </c>
      <c r="T1242" s="28"/>
      <c r="U1242" s="28">
        <f t="shared" si="484"/>
        <v>0</v>
      </c>
      <c r="V1242" s="28"/>
      <c r="W1242" s="28">
        <f t="shared" si="484"/>
        <v>0</v>
      </c>
      <c r="X1242" s="28"/>
      <c r="Y1242" s="28">
        <f t="shared" si="484"/>
        <v>0</v>
      </c>
      <c r="Z1242" s="28">
        <f t="shared" si="484"/>
        <v>0</v>
      </c>
      <c r="AA1242" s="28"/>
      <c r="AB1242" s="28">
        <f t="shared" si="484"/>
        <v>0</v>
      </c>
      <c r="AC1242" s="28">
        <f t="shared" si="484"/>
        <v>0</v>
      </c>
      <c r="AD1242" s="28"/>
      <c r="AE1242" s="28"/>
    </row>
    <row r="1243" spans="1:31" s="1" customFormat="1" x14ac:dyDescent="0.25">
      <c r="A1243" s="21"/>
      <c r="B1243" s="22"/>
      <c r="C1243" s="22"/>
      <c r="D1243" s="65"/>
      <c r="E1243" s="24"/>
      <c r="F1243" s="24"/>
      <c r="G1243" s="24"/>
      <c r="H1243" s="24"/>
      <c r="I1243" s="24"/>
      <c r="J1243" s="24"/>
      <c r="K1243" s="24"/>
      <c r="L1243" s="24"/>
      <c r="M1243" s="24"/>
      <c r="N1243" s="24"/>
      <c r="O1243" s="24"/>
      <c r="P1243" s="24"/>
      <c r="Q1243" s="24"/>
      <c r="R1243" s="24"/>
      <c r="S1243" s="24"/>
      <c r="T1243" s="24"/>
      <c r="U1243" s="24"/>
      <c r="V1243" s="24"/>
      <c r="W1243" s="24"/>
      <c r="X1243" s="24"/>
      <c r="Y1243" s="24"/>
      <c r="Z1243" s="24"/>
      <c r="AA1243" s="24"/>
      <c r="AB1243" s="24"/>
      <c r="AC1243" s="24"/>
      <c r="AD1243" s="24"/>
      <c r="AE1243" s="24"/>
    </row>
    <row r="1244" spans="1:31" s="1" customFormat="1" x14ac:dyDescent="0.25">
      <c r="A1244" s="21"/>
      <c r="B1244" s="22"/>
      <c r="C1244" s="22"/>
      <c r="D1244" s="65"/>
      <c r="E1244" s="24"/>
      <c r="F1244" s="24"/>
      <c r="G1244" s="24"/>
      <c r="H1244" s="24"/>
      <c r="I1244" s="24"/>
      <c r="J1244" s="24"/>
      <c r="K1244" s="24"/>
      <c r="L1244" s="24"/>
      <c r="M1244" s="24"/>
      <c r="N1244" s="24"/>
      <c r="O1244" s="24"/>
      <c r="P1244" s="24"/>
      <c r="Q1244" s="24"/>
      <c r="R1244" s="24"/>
      <c r="S1244" s="24"/>
      <c r="T1244" s="24"/>
      <c r="U1244" s="24"/>
      <c r="V1244" s="24"/>
      <c r="W1244" s="24"/>
      <c r="X1244" s="24"/>
      <c r="Y1244" s="24"/>
      <c r="Z1244" s="24"/>
      <c r="AA1244" s="24"/>
      <c r="AB1244" s="24"/>
      <c r="AC1244" s="24"/>
      <c r="AD1244" s="24"/>
      <c r="AE1244" s="24"/>
    </row>
    <row r="1245" spans="1:31" s="1" customFormat="1" x14ac:dyDescent="0.25">
      <c r="A1245" s="21"/>
      <c r="B1245" s="22"/>
      <c r="C1245" s="22"/>
      <c r="D1245" s="65"/>
      <c r="E1245" s="24"/>
      <c r="F1245" s="24"/>
      <c r="G1245" s="24"/>
      <c r="H1245" s="24"/>
      <c r="I1245" s="24"/>
      <c r="J1245" s="24"/>
      <c r="K1245" s="24"/>
      <c r="L1245" s="24"/>
      <c r="M1245" s="24"/>
      <c r="N1245" s="24"/>
      <c r="O1245" s="24"/>
      <c r="P1245" s="24"/>
      <c r="Q1245" s="24"/>
      <c r="R1245" s="24"/>
      <c r="S1245" s="24"/>
      <c r="T1245" s="24"/>
      <c r="U1245" s="24"/>
      <c r="V1245" s="24"/>
      <c r="W1245" s="24"/>
      <c r="X1245" s="24"/>
      <c r="Y1245" s="24"/>
      <c r="Z1245" s="24"/>
      <c r="AA1245" s="24"/>
      <c r="AB1245" s="24"/>
      <c r="AC1245" s="24"/>
      <c r="AD1245" s="24"/>
      <c r="AE1245" s="24"/>
    </row>
    <row r="1246" spans="1:31" s="1" customFormat="1" x14ac:dyDescent="0.25">
      <c r="A1246" s="25"/>
      <c r="B1246" s="26" t="s">
        <v>1405</v>
      </c>
      <c r="C1246" s="26"/>
      <c r="D1246" s="64" t="s">
        <v>1406</v>
      </c>
      <c r="E1246" s="28"/>
      <c r="F1246" s="28"/>
      <c r="G1246" s="28"/>
      <c r="H1246" s="28"/>
      <c r="I1246" s="28"/>
      <c r="J1246" s="28"/>
      <c r="K1246" s="28"/>
      <c r="L1246" s="28"/>
      <c r="M1246" s="28">
        <f>SUM(M1247:M1249)</f>
        <v>0</v>
      </c>
      <c r="N1246" s="28"/>
      <c r="O1246" s="28">
        <f t="shared" ref="O1246:AC1246" si="485">SUM(O1247:O1249)</f>
        <v>0</v>
      </c>
      <c r="P1246" s="28">
        <f t="shared" si="485"/>
        <v>0</v>
      </c>
      <c r="Q1246" s="28">
        <f t="shared" si="485"/>
        <v>0</v>
      </c>
      <c r="R1246" s="28">
        <f t="shared" si="485"/>
        <v>0</v>
      </c>
      <c r="S1246" s="28">
        <f t="shared" si="485"/>
        <v>0</v>
      </c>
      <c r="T1246" s="28"/>
      <c r="U1246" s="28">
        <f t="shared" si="485"/>
        <v>0</v>
      </c>
      <c r="V1246" s="28"/>
      <c r="W1246" s="28">
        <f t="shared" si="485"/>
        <v>0</v>
      </c>
      <c r="X1246" s="28"/>
      <c r="Y1246" s="28">
        <f t="shared" si="485"/>
        <v>0</v>
      </c>
      <c r="Z1246" s="28">
        <f t="shared" si="485"/>
        <v>0</v>
      </c>
      <c r="AA1246" s="28"/>
      <c r="AB1246" s="28">
        <f t="shared" si="485"/>
        <v>0</v>
      </c>
      <c r="AC1246" s="28">
        <f t="shared" si="485"/>
        <v>0</v>
      </c>
      <c r="AD1246" s="28"/>
      <c r="AE1246" s="28"/>
    </row>
    <row r="1247" spans="1:31" s="1" customFormat="1" x14ac:dyDescent="0.25">
      <c r="A1247" s="21"/>
      <c r="B1247" s="22"/>
      <c r="C1247" s="22"/>
      <c r="D1247" s="65"/>
      <c r="E1247" s="24"/>
      <c r="F1247" s="24"/>
      <c r="G1247" s="24"/>
      <c r="H1247" s="24"/>
      <c r="I1247" s="24"/>
      <c r="J1247" s="24"/>
      <c r="K1247" s="24"/>
      <c r="L1247" s="24"/>
      <c r="M1247" s="24"/>
      <c r="N1247" s="24"/>
      <c r="O1247" s="24"/>
      <c r="P1247" s="24"/>
      <c r="Q1247" s="24"/>
      <c r="R1247" s="24"/>
      <c r="S1247" s="24"/>
      <c r="T1247" s="24"/>
      <c r="U1247" s="24"/>
      <c r="V1247" s="24"/>
      <c r="W1247" s="24"/>
      <c r="X1247" s="24"/>
      <c r="Y1247" s="24"/>
      <c r="Z1247" s="24"/>
      <c r="AA1247" s="24"/>
      <c r="AB1247" s="24"/>
      <c r="AC1247" s="24"/>
      <c r="AD1247" s="24"/>
      <c r="AE1247" s="24"/>
    </row>
    <row r="1248" spans="1:31" s="1" customFormat="1" x14ac:dyDescent="0.25">
      <c r="A1248" s="21"/>
      <c r="B1248" s="22"/>
      <c r="C1248" s="22"/>
      <c r="D1248" s="65"/>
      <c r="E1248" s="24"/>
      <c r="F1248" s="24"/>
      <c r="G1248" s="24"/>
      <c r="H1248" s="24"/>
      <c r="I1248" s="24"/>
      <c r="J1248" s="24"/>
      <c r="K1248" s="24"/>
      <c r="L1248" s="24"/>
      <c r="M1248" s="24"/>
      <c r="N1248" s="24"/>
      <c r="O1248" s="24"/>
      <c r="P1248" s="24"/>
      <c r="Q1248" s="24"/>
      <c r="R1248" s="24"/>
      <c r="S1248" s="24"/>
      <c r="T1248" s="24"/>
      <c r="U1248" s="24"/>
      <c r="V1248" s="24"/>
      <c r="W1248" s="24"/>
      <c r="X1248" s="24"/>
      <c r="Y1248" s="24"/>
      <c r="Z1248" s="24"/>
      <c r="AA1248" s="24"/>
      <c r="AB1248" s="24"/>
      <c r="AC1248" s="24"/>
      <c r="AD1248" s="24"/>
      <c r="AE1248" s="24"/>
    </row>
    <row r="1249" spans="1:31" s="1" customFormat="1" x14ac:dyDescent="0.25">
      <c r="A1249" s="21"/>
      <c r="B1249" s="22"/>
      <c r="C1249" s="22"/>
      <c r="D1249" s="65"/>
      <c r="E1249" s="24"/>
      <c r="F1249" s="24"/>
      <c r="G1249" s="24"/>
      <c r="H1249" s="24"/>
      <c r="I1249" s="24"/>
      <c r="J1249" s="24"/>
      <c r="K1249" s="24"/>
      <c r="L1249" s="24"/>
      <c r="M1249" s="24"/>
      <c r="N1249" s="24"/>
      <c r="O1249" s="24"/>
      <c r="P1249" s="24"/>
      <c r="Q1249" s="24"/>
      <c r="R1249" s="24"/>
      <c r="S1249" s="24"/>
      <c r="T1249" s="24"/>
      <c r="U1249" s="24"/>
      <c r="V1249" s="24"/>
      <c r="W1249" s="24"/>
      <c r="X1249" s="24"/>
      <c r="Y1249" s="24"/>
      <c r="Z1249" s="24"/>
      <c r="AA1249" s="24"/>
      <c r="AB1249" s="24"/>
      <c r="AC1249" s="24"/>
      <c r="AD1249" s="24"/>
      <c r="AE1249" s="24"/>
    </row>
    <row r="1250" spans="1:31" s="1" customFormat="1" x14ac:dyDescent="0.25">
      <c r="A1250" s="25"/>
      <c r="B1250" s="26" t="s">
        <v>1407</v>
      </c>
      <c r="C1250" s="26"/>
      <c r="D1250" s="64" t="s">
        <v>1408</v>
      </c>
      <c r="E1250" s="28"/>
      <c r="F1250" s="28"/>
      <c r="G1250" s="28"/>
      <c r="H1250" s="28"/>
      <c r="I1250" s="28"/>
      <c r="J1250" s="28"/>
      <c r="K1250" s="28"/>
      <c r="L1250" s="28"/>
      <c r="M1250" s="28">
        <f>SUM(M1251:M1253)</f>
        <v>0</v>
      </c>
      <c r="N1250" s="28"/>
      <c r="O1250" s="28">
        <f t="shared" ref="O1250:AC1250" si="486">SUM(O1251:O1253)</f>
        <v>0</v>
      </c>
      <c r="P1250" s="28">
        <f t="shared" si="486"/>
        <v>0</v>
      </c>
      <c r="Q1250" s="28">
        <f t="shared" si="486"/>
        <v>0</v>
      </c>
      <c r="R1250" s="28">
        <f t="shared" si="486"/>
        <v>0</v>
      </c>
      <c r="S1250" s="28">
        <f t="shared" si="486"/>
        <v>0</v>
      </c>
      <c r="T1250" s="28"/>
      <c r="U1250" s="28">
        <f t="shared" si="486"/>
        <v>0</v>
      </c>
      <c r="V1250" s="28"/>
      <c r="W1250" s="28">
        <f t="shared" si="486"/>
        <v>0</v>
      </c>
      <c r="X1250" s="28"/>
      <c r="Y1250" s="28">
        <f t="shared" si="486"/>
        <v>0</v>
      </c>
      <c r="Z1250" s="28">
        <f t="shared" si="486"/>
        <v>0</v>
      </c>
      <c r="AA1250" s="28"/>
      <c r="AB1250" s="28">
        <f t="shared" si="486"/>
        <v>0</v>
      </c>
      <c r="AC1250" s="28">
        <f t="shared" si="486"/>
        <v>0</v>
      </c>
      <c r="AD1250" s="28"/>
      <c r="AE1250" s="28"/>
    </row>
    <row r="1251" spans="1:31" s="1" customFormat="1" x14ac:dyDescent="0.25">
      <c r="A1251" s="21"/>
      <c r="B1251" s="22"/>
      <c r="C1251" s="22"/>
      <c r="D1251" s="65"/>
      <c r="E1251" s="24"/>
      <c r="F1251" s="24"/>
      <c r="G1251" s="24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  <c r="S1251" s="24"/>
      <c r="T1251" s="24"/>
      <c r="U1251" s="24"/>
      <c r="V1251" s="24"/>
      <c r="W1251" s="24"/>
      <c r="X1251" s="24"/>
      <c r="Y1251" s="24"/>
      <c r="Z1251" s="24"/>
      <c r="AA1251" s="24"/>
      <c r="AB1251" s="24"/>
      <c r="AC1251" s="24"/>
      <c r="AD1251" s="24"/>
      <c r="AE1251" s="24"/>
    </row>
    <row r="1252" spans="1:31" s="1" customFormat="1" x14ac:dyDescent="0.25">
      <c r="A1252" s="21"/>
      <c r="B1252" s="22"/>
      <c r="C1252" s="22"/>
      <c r="D1252" s="65"/>
      <c r="E1252" s="24"/>
      <c r="F1252" s="24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  <c r="S1252" s="24"/>
      <c r="T1252" s="24"/>
      <c r="U1252" s="24"/>
      <c r="V1252" s="24"/>
      <c r="W1252" s="24"/>
      <c r="X1252" s="24"/>
      <c r="Y1252" s="24"/>
      <c r="Z1252" s="24"/>
      <c r="AA1252" s="24"/>
      <c r="AB1252" s="24"/>
      <c r="AC1252" s="24"/>
      <c r="AD1252" s="24"/>
      <c r="AE1252" s="24"/>
    </row>
    <row r="1253" spans="1:31" s="1" customFormat="1" x14ac:dyDescent="0.25">
      <c r="A1253" s="21"/>
      <c r="B1253" s="22"/>
      <c r="C1253" s="22"/>
      <c r="D1253" s="65"/>
      <c r="E1253" s="24"/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  <c r="S1253" s="24"/>
      <c r="T1253" s="24"/>
      <c r="U1253" s="24"/>
      <c r="V1253" s="24"/>
      <c r="W1253" s="24"/>
      <c r="X1253" s="24"/>
      <c r="Y1253" s="24"/>
      <c r="Z1253" s="24"/>
      <c r="AA1253" s="24"/>
      <c r="AB1253" s="24"/>
      <c r="AC1253" s="24"/>
      <c r="AD1253" s="24"/>
      <c r="AE1253" s="24"/>
    </row>
    <row r="1254" spans="1:31" s="1" customFormat="1" x14ac:dyDescent="0.25">
      <c r="A1254" s="25"/>
      <c r="B1254" s="26" t="s">
        <v>1409</v>
      </c>
      <c r="C1254" s="26"/>
      <c r="D1254" s="64" t="s">
        <v>1410</v>
      </c>
      <c r="E1254" s="28"/>
      <c r="F1254" s="28"/>
      <c r="G1254" s="28"/>
      <c r="H1254" s="28"/>
      <c r="I1254" s="28"/>
      <c r="J1254" s="28"/>
      <c r="K1254" s="28"/>
      <c r="L1254" s="28"/>
      <c r="M1254" s="28">
        <f>SUM(M1255:M1257)</f>
        <v>0</v>
      </c>
      <c r="N1254" s="28"/>
      <c r="O1254" s="28">
        <f t="shared" ref="O1254:AC1254" si="487">SUM(O1255:O1257)</f>
        <v>0</v>
      </c>
      <c r="P1254" s="28">
        <f t="shared" si="487"/>
        <v>0</v>
      </c>
      <c r="Q1254" s="28">
        <f t="shared" si="487"/>
        <v>0</v>
      </c>
      <c r="R1254" s="28">
        <f t="shared" si="487"/>
        <v>0</v>
      </c>
      <c r="S1254" s="28">
        <f t="shared" si="487"/>
        <v>0</v>
      </c>
      <c r="T1254" s="28"/>
      <c r="U1254" s="28">
        <f t="shared" si="487"/>
        <v>0</v>
      </c>
      <c r="V1254" s="28"/>
      <c r="W1254" s="28">
        <f t="shared" si="487"/>
        <v>0</v>
      </c>
      <c r="X1254" s="28"/>
      <c r="Y1254" s="28">
        <f t="shared" si="487"/>
        <v>0</v>
      </c>
      <c r="Z1254" s="28">
        <f t="shared" si="487"/>
        <v>0</v>
      </c>
      <c r="AA1254" s="28"/>
      <c r="AB1254" s="28">
        <f t="shared" si="487"/>
        <v>0</v>
      </c>
      <c r="AC1254" s="28">
        <f t="shared" si="487"/>
        <v>0</v>
      </c>
      <c r="AD1254" s="28"/>
      <c r="AE1254" s="28"/>
    </row>
    <row r="1255" spans="1:31" s="1" customFormat="1" x14ac:dyDescent="0.25">
      <c r="A1255" s="21"/>
      <c r="B1255" s="22"/>
      <c r="C1255" s="22"/>
      <c r="D1255" s="65"/>
      <c r="E1255" s="24"/>
      <c r="F1255" s="24"/>
      <c r="G1255" s="24"/>
      <c r="H1255" s="24"/>
      <c r="I1255" s="24"/>
      <c r="J1255" s="24"/>
      <c r="K1255" s="24"/>
      <c r="L1255" s="24"/>
      <c r="M1255" s="24"/>
      <c r="N1255" s="24"/>
      <c r="O1255" s="24"/>
      <c r="P1255" s="24"/>
      <c r="Q1255" s="24"/>
      <c r="R1255" s="24"/>
      <c r="S1255" s="24"/>
      <c r="T1255" s="24"/>
      <c r="U1255" s="24"/>
      <c r="V1255" s="24"/>
      <c r="W1255" s="24"/>
      <c r="X1255" s="24"/>
      <c r="Y1255" s="24"/>
      <c r="Z1255" s="24"/>
      <c r="AA1255" s="24"/>
      <c r="AB1255" s="24"/>
      <c r="AC1255" s="24"/>
      <c r="AD1255" s="24"/>
      <c r="AE1255" s="24"/>
    </row>
    <row r="1256" spans="1:31" s="1" customFormat="1" x14ac:dyDescent="0.25">
      <c r="A1256" s="21"/>
      <c r="B1256" s="22"/>
      <c r="C1256" s="22"/>
      <c r="D1256" s="65"/>
      <c r="E1256" s="24"/>
      <c r="F1256" s="24"/>
      <c r="G1256" s="24"/>
      <c r="H1256" s="24"/>
      <c r="I1256" s="24"/>
      <c r="J1256" s="24"/>
      <c r="K1256" s="24"/>
      <c r="L1256" s="24"/>
      <c r="M1256" s="24"/>
      <c r="N1256" s="24"/>
      <c r="O1256" s="24"/>
      <c r="P1256" s="24"/>
      <c r="Q1256" s="24"/>
      <c r="R1256" s="24"/>
      <c r="S1256" s="24"/>
      <c r="T1256" s="24"/>
      <c r="U1256" s="24"/>
      <c r="V1256" s="24"/>
      <c r="W1256" s="24"/>
      <c r="X1256" s="24"/>
      <c r="Y1256" s="24"/>
      <c r="Z1256" s="24"/>
      <c r="AA1256" s="24"/>
      <c r="AB1256" s="24"/>
      <c r="AC1256" s="24"/>
      <c r="AD1256" s="24"/>
      <c r="AE1256" s="24"/>
    </row>
    <row r="1257" spans="1:31" s="1" customFormat="1" x14ac:dyDescent="0.25">
      <c r="A1257" s="21"/>
      <c r="B1257" s="22"/>
      <c r="C1257" s="22"/>
      <c r="D1257" s="65"/>
      <c r="E1257" s="24"/>
      <c r="F1257" s="24"/>
      <c r="G1257" s="24"/>
      <c r="H1257" s="24"/>
      <c r="I1257" s="24"/>
      <c r="J1257" s="24"/>
      <c r="K1257" s="24"/>
      <c r="L1257" s="24"/>
      <c r="M1257" s="24"/>
      <c r="N1257" s="24"/>
      <c r="O1257" s="24"/>
      <c r="P1257" s="24"/>
      <c r="Q1257" s="24"/>
      <c r="R1257" s="24"/>
      <c r="S1257" s="24"/>
      <c r="T1257" s="24"/>
      <c r="U1257" s="24"/>
      <c r="V1257" s="24"/>
      <c r="W1257" s="24"/>
      <c r="X1257" s="24"/>
      <c r="Y1257" s="24"/>
      <c r="Z1257" s="24"/>
      <c r="AA1257" s="24"/>
      <c r="AB1257" s="24"/>
      <c r="AC1257" s="24"/>
      <c r="AD1257" s="24"/>
      <c r="AE1257" s="24"/>
    </row>
    <row r="1258" spans="1:31" s="1" customFormat="1" x14ac:dyDescent="0.25">
      <c r="A1258" s="25"/>
      <c r="B1258" s="26" t="s">
        <v>1411</v>
      </c>
      <c r="C1258" s="26"/>
      <c r="D1258" s="64" t="s">
        <v>1412</v>
      </c>
      <c r="E1258" s="28"/>
      <c r="F1258" s="28"/>
      <c r="G1258" s="28"/>
      <c r="H1258" s="28"/>
      <c r="I1258" s="28"/>
      <c r="J1258" s="28"/>
      <c r="K1258" s="28"/>
      <c r="L1258" s="28"/>
      <c r="M1258" s="28">
        <f>SUM(M1259:M1261)</f>
        <v>0</v>
      </c>
      <c r="N1258" s="28"/>
      <c r="O1258" s="28">
        <f t="shared" ref="O1258:AC1258" si="488">SUM(O1259:O1261)</f>
        <v>0</v>
      </c>
      <c r="P1258" s="28">
        <f t="shared" si="488"/>
        <v>0</v>
      </c>
      <c r="Q1258" s="28">
        <f t="shared" si="488"/>
        <v>0</v>
      </c>
      <c r="R1258" s="28">
        <f t="shared" si="488"/>
        <v>0</v>
      </c>
      <c r="S1258" s="28">
        <f t="shared" si="488"/>
        <v>0</v>
      </c>
      <c r="T1258" s="28"/>
      <c r="U1258" s="28">
        <f t="shared" si="488"/>
        <v>0</v>
      </c>
      <c r="V1258" s="28"/>
      <c r="W1258" s="28">
        <f t="shared" si="488"/>
        <v>0</v>
      </c>
      <c r="X1258" s="28"/>
      <c r="Y1258" s="28">
        <f t="shared" si="488"/>
        <v>0</v>
      </c>
      <c r="Z1258" s="28">
        <f t="shared" si="488"/>
        <v>0</v>
      </c>
      <c r="AA1258" s="28"/>
      <c r="AB1258" s="28">
        <f t="shared" si="488"/>
        <v>0</v>
      </c>
      <c r="AC1258" s="28">
        <f t="shared" si="488"/>
        <v>0</v>
      </c>
      <c r="AD1258" s="28"/>
      <c r="AE1258" s="28"/>
    </row>
    <row r="1259" spans="1:31" s="1" customFormat="1" x14ac:dyDescent="0.25">
      <c r="A1259" s="21"/>
      <c r="B1259" s="22"/>
      <c r="C1259" s="22"/>
      <c r="D1259" s="65"/>
      <c r="E1259" s="24"/>
      <c r="F1259" s="24"/>
      <c r="G1259" s="24"/>
      <c r="H1259" s="24"/>
      <c r="I1259" s="24"/>
      <c r="J1259" s="24"/>
      <c r="K1259" s="24"/>
      <c r="L1259" s="24"/>
      <c r="M1259" s="24"/>
      <c r="N1259" s="24"/>
      <c r="O1259" s="24"/>
      <c r="P1259" s="24"/>
      <c r="Q1259" s="24"/>
      <c r="R1259" s="24"/>
      <c r="S1259" s="24"/>
      <c r="T1259" s="24"/>
      <c r="U1259" s="24"/>
      <c r="V1259" s="24"/>
      <c r="W1259" s="24"/>
      <c r="X1259" s="24"/>
      <c r="Y1259" s="24"/>
      <c r="Z1259" s="24"/>
      <c r="AA1259" s="24"/>
      <c r="AB1259" s="24"/>
      <c r="AC1259" s="24"/>
      <c r="AD1259" s="24"/>
      <c r="AE1259" s="24"/>
    </row>
    <row r="1260" spans="1:31" s="1" customFormat="1" x14ac:dyDescent="0.25">
      <c r="A1260" s="21"/>
      <c r="B1260" s="22"/>
      <c r="C1260" s="22"/>
      <c r="D1260" s="65"/>
      <c r="E1260" s="24"/>
      <c r="F1260" s="24"/>
      <c r="G1260" s="24"/>
      <c r="H1260" s="24"/>
      <c r="I1260" s="24"/>
      <c r="J1260" s="24"/>
      <c r="K1260" s="24"/>
      <c r="L1260" s="24"/>
      <c r="M1260" s="24"/>
      <c r="N1260" s="24"/>
      <c r="O1260" s="24"/>
      <c r="P1260" s="24"/>
      <c r="Q1260" s="24"/>
      <c r="R1260" s="24"/>
      <c r="S1260" s="24"/>
      <c r="T1260" s="24"/>
      <c r="U1260" s="24"/>
      <c r="V1260" s="24"/>
      <c r="W1260" s="24"/>
      <c r="X1260" s="24"/>
      <c r="Y1260" s="24"/>
      <c r="Z1260" s="24"/>
      <c r="AA1260" s="24"/>
      <c r="AB1260" s="24"/>
      <c r="AC1260" s="24"/>
      <c r="AD1260" s="24"/>
      <c r="AE1260" s="24"/>
    </row>
    <row r="1261" spans="1:31" s="1" customFormat="1" x14ac:dyDescent="0.25">
      <c r="A1261" s="21"/>
      <c r="B1261" s="22"/>
      <c r="C1261" s="22"/>
      <c r="D1261" s="65"/>
      <c r="E1261" s="24"/>
      <c r="F1261" s="24"/>
      <c r="G1261" s="24"/>
      <c r="H1261" s="24"/>
      <c r="I1261" s="24"/>
      <c r="J1261" s="24"/>
      <c r="K1261" s="24"/>
      <c r="L1261" s="24"/>
      <c r="M1261" s="24"/>
      <c r="N1261" s="24"/>
      <c r="O1261" s="24"/>
      <c r="P1261" s="24"/>
      <c r="Q1261" s="24"/>
      <c r="R1261" s="24"/>
      <c r="S1261" s="24"/>
      <c r="T1261" s="24"/>
      <c r="U1261" s="24"/>
      <c r="V1261" s="24"/>
      <c r="W1261" s="24"/>
      <c r="X1261" s="24"/>
      <c r="Y1261" s="24"/>
      <c r="Z1261" s="24"/>
      <c r="AA1261" s="24"/>
      <c r="AB1261" s="24"/>
      <c r="AC1261" s="24"/>
      <c r="AD1261" s="24"/>
      <c r="AE1261" s="24"/>
    </row>
    <row r="1262" spans="1:31" s="1" customFormat="1" x14ac:dyDescent="0.25">
      <c r="A1262" s="25"/>
      <c r="B1262" s="26" t="s">
        <v>1413</v>
      </c>
      <c r="C1262" s="26"/>
      <c r="D1262" s="64" t="s">
        <v>1414</v>
      </c>
      <c r="E1262" s="28"/>
      <c r="F1262" s="28"/>
      <c r="G1262" s="28"/>
      <c r="H1262" s="28"/>
      <c r="I1262" s="28"/>
      <c r="J1262" s="28"/>
      <c r="K1262" s="28"/>
      <c r="L1262" s="28"/>
      <c r="M1262" s="28">
        <f>SUM(M1263:M1265)</f>
        <v>0</v>
      </c>
      <c r="N1262" s="28"/>
      <c r="O1262" s="28">
        <f t="shared" ref="O1262:AC1262" si="489">SUM(O1263:O1265)</f>
        <v>0</v>
      </c>
      <c r="P1262" s="28">
        <f t="shared" si="489"/>
        <v>0</v>
      </c>
      <c r="Q1262" s="28">
        <f t="shared" si="489"/>
        <v>0</v>
      </c>
      <c r="R1262" s="28">
        <f t="shared" si="489"/>
        <v>0</v>
      </c>
      <c r="S1262" s="28">
        <f t="shared" si="489"/>
        <v>0</v>
      </c>
      <c r="T1262" s="28"/>
      <c r="U1262" s="28">
        <f t="shared" si="489"/>
        <v>0</v>
      </c>
      <c r="V1262" s="28"/>
      <c r="W1262" s="28">
        <f t="shared" si="489"/>
        <v>0</v>
      </c>
      <c r="X1262" s="28"/>
      <c r="Y1262" s="28">
        <f t="shared" si="489"/>
        <v>0</v>
      </c>
      <c r="Z1262" s="28">
        <f t="shared" si="489"/>
        <v>0</v>
      </c>
      <c r="AA1262" s="28"/>
      <c r="AB1262" s="28">
        <f t="shared" si="489"/>
        <v>0</v>
      </c>
      <c r="AC1262" s="28">
        <f t="shared" si="489"/>
        <v>0</v>
      </c>
      <c r="AD1262" s="28"/>
      <c r="AE1262" s="28"/>
    </row>
    <row r="1263" spans="1:31" s="1" customFormat="1" x14ac:dyDescent="0.25">
      <c r="A1263" s="21"/>
      <c r="B1263" s="22"/>
      <c r="C1263" s="22"/>
      <c r="D1263" s="65"/>
      <c r="E1263" s="24"/>
      <c r="F1263" s="24"/>
      <c r="G1263" s="24"/>
      <c r="H1263" s="24"/>
      <c r="I1263" s="24"/>
      <c r="J1263" s="24"/>
      <c r="K1263" s="24"/>
      <c r="L1263" s="24"/>
      <c r="M1263" s="24"/>
      <c r="N1263" s="24"/>
      <c r="O1263" s="24"/>
      <c r="P1263" s="24"/>
      <c r="Q1263" s="24"/>
      <c r="R1263" s="24"/>
      <c r="S1263" s="24"/>
      <c r="T1263" s="24"/>
      <c r="U1263" s="24"/>
      <c r="V1263" s="24"/>
      <c r="W1263" s="24"/>
      <c r="X1263" s="24"/>
      <c r="Y1263" s="24"/>
      <c r="Z1263" s="24"/>
      <c r="AA1263" s="24"/>
      <c r="AB1263" s="24"/>
      <c r="AC1263" s="24"/>
      <c r="AD1263" s="24"/>
      <c r="AE1263" s="24"/>
    </row>
    <row r="1264" spans="1:31" s="1" customFormat="1" x14ac:dyDescent="0.25">
      <c r="A1264" s="21"/>
      <c r="B1264" s="22"/>
      <c r="C1264" s="22"/>
      <c r="D1264" s="65"/>
      <c r="E1264" s="24"/>
      <c r="F1264" s="24"/>
      <c r="G1264" s="24"/>
      <c r="H1264" s="24"/>
      <c r="I1264" s="24"/>
      <c r="J1264" s="24"/>
      <c r="K1264" s="24"/>
      <c r="L1264" s="24"/>
      <c r="M1264" s="24"/>
      <c r="N1264" s="24"/>
      <c r="O1264" s="24"/>
      <c r="P1264" s="24"/>
      <c r="Q1264" s="24"/>
      <c r="R1264" s="24"/>
      <c r="S1264" s="24"/>
      <c r="T1264" s="24"/>
      <c r="U1264" s="24"/>
      <c r="V1264" s="24"/>
      <c r="W1264" s="24"/>
      <c r="X1264" s="24"/>
      <c r="Y1264" s="24"/>
      <c r="Z1264" s="24"/>
      <c r="AA1264" s="24"/>
      <c r="AB1264" s="24"/>
      <c r="AC1264" s="24"/>
      <c r="AD1264" s="24"/>
      <c r="AE1264" s="24"/>
    </row>
    <row r="1265" spans="1:33" s="1" customFormat="1" x14ac:dyDescent="0.25">
      <c r="A1265" s="21"/>
      <c r="B1265" s="22"/>
      <c r="C1265" s="22"/>
      <c r="D1265" s="65"/>
      <c r="E1265" s="24"/>
      <c r="F1265" s="24"/>
      <c r="G1265" s="24"/>
      <c r="H1265" s="24"/>
      <c r="I1265" s="24"/>
      <c r="J1265" s="24"/>
      <c r="K1265" s="24"/>
      <c r="L1265" s="24"/>
      <c r="M1265" s="24"/>
      <c r="N1265" s="24"/>
      <c r="O1265" s="24"/>
      <c r="P1265" s="24"/>
      <c r="Q1265" s="24"/>
      <c r="R1265" s="24"/>
      <c r="S1265" s="24"/>
      <c r="T1265" s="24"/>
      <c r="U1265" s="24"/>
      <c r="V1265" s="24"/>
      <c r="W1265" s="24"/>
      <c r="X1265" s="24"/>
      <c r="Y1265" s="24"/>
      <c r="Z1265" s="24"/>
      <c r="AA1265" s="24"/>
      <c r="AB1265" s="24"/>
      <c r="AC1265" s="24"/>
      <c r="AD1265" s="24"/>
      <c r="AE1265" s="24"/>
    </row>
    <row r="1266" spans="1:33" s="1" customFormat="1" x14ac:dyDescent="0.25">
      <c r="A1266" s="25"/>
      <c r="B1266" s="26" t="s">
        <v>1415</v>
      </c>
      <c r="C1266" s="26"/>
      <c r="D1266" s="64" t="s">
        <v>1416</v>
      </c>
      <c r="E1266" s="28"/>
      <c r="F1266" s="28"/>
      <c r="G1266" s="28"/>
      <c r="H1266" s="28"/>
      <c r="I1266" s="28"/>
      <c r="J1266" s="28"/>
      <c r="K1266" s="28"/>
      <c r="L1266" s="28"/>
      <c r="M1266" s="28">
        <f>SUM(M1267:M1269)</f>
        <v>0</v>
      </c>
      <c r="N1266" s="28"/>
      <c r="O1266" s="28">
        <f t="shared" ref="O1266:AC1266" si="490">SUM(O1267:O1269)</f>
        <v>0</v>
      </c>
      <c r="P1266" s="28">
        <f t="shared" si="490"/>
        <v>0</v>
      </c>
      <c r="Q1266" s="28">
        <f t="shared" si="490"/>
        <v>0</v>
      </c>
      <c r="R1266" s="28">
        <f t="shared" si="490"/>
        <v>0</v>
      </c>
      <c r="S1266" s="28">
        <f t="shared" si="490"/>
        <v>0</v>
      </c>
      <c r="T1266" s="28"/>
      <c r="U1266" s="28">
        <f t="shared" si="490"/>
        <v>0</v>
      </c>
      <c r="V1266" s="28"/>
      <c r="W1266" s="28">
        <f t="shared" si="490"/>
        <v>0</v>
      </c>
      <c r="X1266" s="28"/>
      <c r="Y1266" s="28">
        <f t="shared" si="490"/>
        <v>0</v>
      </c>
      <c r="Z1266" s="28">
        <f t="shared" si="490"/>
        <v>0</v>
      </c>
      <c r="AA1266" s="28"/>
      <c r="AB1266" s="28">
        <f t="shared" si="490"/>
        <v>0</v>
      </c>
      <c r="AC1266" s="28">
        <f t="shared" si="490"/>
        <v>0</v>
      </c>
      <c r="AD1266" s="28"/>
      <c r="AE1266" s="28"/>
    </row>
    <row r="1267" spans="1:33" s="1" customFormat="1" x14ac:dyDescent="0.25">
      <c r="A1267" s="21"/>
      <c r="B1267" s="22"/>
      <c r="C1267" s="22"/>
      <c r="D1267" s="65"/>
      <c r="E1267" s="24"/>
      <c r="F1267" s="24"/>
      <c r="G1267" s="24"/>
      <c r="H1267" s="24"/>
      <c r="I1267" s="24"/>
      <c r="J1267" s="24"/>
      <c r="K1267" s="24"/>
      <c r="L1267" s="24"/>
      <c r="M1267" s="24"/>
      <c r="N1267" s="24"/>
      <c r="O1267" s="24"/>
      <c r="P1267" s="24"/>
      <c r="Q1267" s="24"/>
      <c r="R1267" s="24"/>
      <c r="S1267" s="24"/>
      <c r="T1267" s="24"/>
      <c r="U1267" s="24"/>
      <c r="V1267" s="24"/>
      <c r="W1267" s="24"/>
      <c r="X1267" s="24"/>
      <c r="Y1267" s="24"/>
      <c r="Z1267" s="24"/>
      <c r="AA1267" s="24"/>
      <c r="AB1267" s="24"/>
      <c r="AC1267" s="24"/>
      <c r="AD1267" s="24"/>
      <c r="AE1267" s="24"/>
    </row>
    <row r="1268" spans="1:33" s="1" customFormat="1" x14ac:dyDescent="0.25">
      <c r="A1268" s="21"/>
      <c r="B1268" s="22"/>
      <c r="C1268" s="22"/>
      <c r="D1268" s="65"/>
      <c r="E1268" s="24"/>
      <c r="F1268" s="24"/>
      <c r="G1268" s="24"/>
      <c r="H1268" s="24"/>
      <c r="I1268" s="24"/>
      <c r="J1268" s="24"/>
      <c r="K1268" s="24"/>
      <c r="L1268" s="24"/>
      <c r="M1268" s="24"/>
      <c r="N1268" s="24"/>
      <c r="O1268" s="24"/>
      <c r="P1268" s="24"/>
      <c r="Q1268" s="24"/>
      <c r="R1268" s="24"/>
      <c r="S1268" s="24"/>
      <c r="T1268" s="24"/>
      <c r="U1268" s="24"/>
      <c r="V1268" s="24"/>
      <c r="W1268" s="24"/>
      <c r="X1268" s="24"/>
      <c r="Y1268" s="24"/>
      <c r="Z1268" s="24"/>
      <c r="AA1268" s="24"/>
      <c r="AB1268" s="24"/>
      <c r="AC1268" s="24"/>
      <c r="AD1268" s="24"/>
      <c r="AE1268" s="24"/>
    </row>
    <row r="1269" spans="1:33" s="1" customFormat="1" x14ac:dyDescent="0.25">
      <c r="A1269" s="21"/>
      <c r="B1269" s="22"/>
      <c r="C1269" s="22"/>
      <c r="D1269" s="65"/>
      <c r="E1269" s="24"/>
      <c r="F1269" s="24"/>
      <c r="G1269" s="24"/>
      <c r="H1269" s="24"/>
      <c r="I1269" s="24"/>
      <c r="J1269" s="24"/>
      <c r="K1269" s="24"/>
      <c r="L1269" s="24"/>
      <c r="M1269" s="24"/>
      <c r="N1269" s="24"/>
      <c r="O1269" s="24"/>
      <c r="P1269" s="24"/>
      <c r="Q1269" s="24"/>
      <c r="R1269" s="24"/>
      <c r="S1269" s="24"/>
      <c r="T1269" s="24"/>
      <c r="U1269" s="24"/>
      <c r="V1269" s="24"/>
      <c r="W1269" s="24"/>
      <c r="X1269" s="24"/>
      <c r="Y1269" s="24"/>
      <c r="Z1269" s="24"/>
      <c r="AA1269" s="24"/>
      <c r="AB1269" s="24"/>
      <c r="AC1269" s="24"/>
      <c r="AD1269" s="24"/>
      <c r="AE1269" s="24"/>
    </row>
    <row r="1270" spans="1:33" s="1" customFormat="1" x14ac:dyDescent="0.25">
      <c r="A1270" s="17"/>
      <c r="B1270" s="18" t="s">
        <v>1417</v>
      </c>
      <c r="C1270" s="18"/>
      <c r="D1270" s="84" t="s">
        <v>1418</v>
      </c>
      <c r="E1270" s="20"/>
      <c r="F1270" s="20"/>
      <c r="G1270" s="20"/>
      <c r="H1270" s="20"/>
      <c r="I1270" s="20"/>
      <c r="J1270" s="20"/>
      <c r="K1270" s="20"/>
      <c r="L1270" s="20"/>
      <c r="M1270" s="20">
        <f>M1271+M1275+M1287+M1291</f>
        <v>10</v>
      </c>
      <c r="N1270" s="20"/>
      <c r="O1270" s="37">
        <f>O1271+O1275+O1287+O1291</f>
        <v>1260745500</v>
      </c>
      <c r="P1270" s="20">
        <f>P1271+P1275+P1287+P1291</f>
        <v>0</v>
      </c>
      <c r="Q1270" s="20">
        <f>Q1271+Q1275+Q1287+Q1291</f>
        <v>0</v>
      </c>
      <c r="R1270" s="20">
        <f>R1271+R1275+R1287+R1291</f>
        <v>0</v>
      </c>
      <c r="S1270" s="37">
        <f>S1271+S1275+S1287+S1291</f>
        <v>1260745500</v>
      </c>
      <c r="T1270" s="20"/>
      <c r="U1270" s="37">
        <f>U1271+U1275+U1287+U1291</f>
        <v>31518637.5</v>
      </c>
      <c r="V1270" s="20"/>
      <c r="W1270" s="37">
        <f>W1271+W1275+W1287+W1291</f>
        <v>15759318.75</v>
      </c>
      <c r="X1270" s="20"/>
      <c r="Y1270" s="37">
        <f>Y1271+Y1275+Y1287+Y1291</f>
        <v>15759318.75</v>
      </c>
      <c r="Z1270" s="37">
        <f>Z1271+Z1275+Z1287+Z1291</f>
        <v>31518637.5</v>
      </c>
      <c r="AA1270" s="20"/>
      <c r="AB1270" s="37">
        <f>AB1271+AB1275+AB1287+AB1291</f>
        <v>298332600</v>
      </c>
      <c r="AC1270" s="37">
        <f>AC1271+AC1275+AC1287+AC1291</f>
        <v>962412900</v>
      </c>
      <c r="AD1270" s="20"/>
      <c r="AE1270" s="20"/>
    </row>
    <row r="1271" spans="1:33" s="1" customFormat="1" x14ac:dyDescent="0.25">
      <c r="A1271" s="25"/>
      <c r="B1271" s="26" t="s">
        <v>1419</v>
      </c>
      <c r="C1271" s="26"/>
      <c r="D1271" s="64" t="s">
        <v>1420</v>
      </c>
      <c r="E1271" s="28"/>
      <c r="F1271" s="28"/>
      <c r="G1271" s="28"/>
      <c r="H1271" s="28"/>
      <c r="I1271" s="28"/>
      <c r="J1271" s="28"/>
      <c r="K1271" s="28"/>
      <c r="L1271" s="28"/>
      <c r="M1271" s="28">
        <f>SUM(M1272:M1274)</f>
        <v>0</v>
      </c>
      <c r="N1271" s="28"/>
      <c r="O1271" s="28">
        <f t="shared" ref="O1271:AC1271" si="491">SUM(O1272:O1274)</f>
        <v>0</v>
      </c>
      <c r="P1271" s="28">
        <f t="shared" si="491"/>
        <v>0</v>
      </c>
      <c r="Q1271" s="28">
        <f t="shared" si="491"/>
        <v>0</v>
      </c>
      <c r="R1271" s="28">
        <f t="shared" si="491"/>
        <v>0</v>
      </c>
      <c r="S1271" s="40">
        <f t="shared" si="491"/>
        <v>0</v>
      </c>
      <c r="T1271" s="28"/>
      <c r="U1271" s="48">
        <f t="shared" si="491"/>
        <v>0</v>
      </c>
      <c r="V1271" s="28"/>
      <c r="W1271" s="28">
        <f t="shared" si="491"/>
        <v>0</v>
      </c>
      <c r="X1271" s="28"/>
      <c r="Y1271" s="28">
        <f t="shared" si="491"/>
        <v>0</v>
      </c>
      <c r="Z1271" s="28">
        <f t="shared" si="491"/>
        <v>0</v>
      </c>
      <c r="AA1271" s="28"/>
      <c r="AB1271" s="28">
        <f t="shared" si="491"/>
        <v>0</v>
      </c>
      <c r="AC1271" s="28">
        <f t="shared" si="491"/>
        <v>0</v>
      </c>
      <c r="AD1271" s="28"/>
      <c r="AE1271" s="28"/>
    </row>
    <row r="1272" spans="1:33" s="1" customFormat="1" x14ac:dyDescent="0.25">
      <c r="A1272" s="21"/>
      <c r="B1272" s="22"/>
      <c r="C1272" s="22"/>
      <c r="D1272" s="65"/>
      <c r="E1272" s="24"/>
      <c r="F1272" s="24"/>
      <c r="G1272" s="24"/>
      <c r="H1272" s="24"/>
      <c r="I1272" s="24"/>
      <c r="J1272" s="24"/>
      <c r="K1272" s="24"/>
      <c r="L1272" s="24"/>
      <c r="M1272" s="24"/>
      <c r="N1272" s="24"/>
      <c r="O1272" s="24"/>
      <c r="P1272" s="24"/>
      <c r="Q1272" s="24"/>
      <c r="R1272" s="24"/>
      <c r="S1272" s="41"/>
      <c r="T1272" s="24"/>
      <c r="U1272" s="44"/>
      <c r="V1272" s="24"/>
      <c r="W1272" s="24"/>
      <c r="X1272" s="24"/>
      <c r="Y1272" s="24"/>
      <c r="Z1272" s="24"/>
      <c r="AA1272" s="24"/>
      <c r="AB1272" s="24"/>
      <c r="AC1272" s="24"/>
      <c r="AD1272" s="24"/>
      <c r="AE1272" s="24"/>
    </row>
    <row r="1273" spans="1:33" s="1" customFormat="1" x14ac:dyDescent="0.25">
      <c r="A1273" s="21"/>
      <c r="B1273" s="22"/>
      <c r="C1273" s="22"/>
      <c r="D1273" s="65"/>
      <c r="E1273" s="24"/>
      <c r="F1273" s="24"/>
      <c r="G1273" s="24"/>
      <c r="H1273" s="24"/>
      <c r="I1273" s="24"/>
      <c r="J1273" s="24"/>
      <c r="K1273" s="24"/>
      <c r="L1273" s="24"/>
      <c r="M1273" s="24"/>
      <c r="N1273" s="24"/>
      <c r="O1273" s="24"/>
      <c r="P1273" s="24"/>
      <c r="Q1273" s="24"/>
      <c r="R1273" s="24"/>
      <c r="S1273" s="41"/>
      <c r="T1273" s="24"/>
      <c r="U1273" s="44"/>
      <c r="V1273" s="24"/>
      <c r="W1273" s="24"/>
      <c r="X1273" s="24"/>
      <c r="Y1273" s="24"/>
      <c r="Z1273" s="24"/>
      <c r="AA1273" s="24"/>
      <c r="AB1273" s="24"/>
      <c r="AC1273" s="24"/>
      <c r="AD1273" s="24"/>
      <c r="AE1273" s="24"/>
    </row>
    <row r="1274" spans="1:33" s="1" customFormat="1" x14ac:dyDescent="0.25">
      <c r="A1274" s="21"/>
      <c r="B1274" s="22"/>
      <c r="C1274" s="22"/>
      <c r="D1274" s="65"/>
      <c r="E1274" s="24"/>
      <c r="F1274" s="24"/>
      <c r="G1274" s="24"/>
      <c r="H1274" s="24"/>
      <c r="I1274" s="24"/>
      <c r="J1274" s="24"/>
      <c r="K1274" s="24"/>
      <c r="L1274" s="24"/>
      <c r="M1274" s="24"/>
      <c r="N1274" s="24"/>
      <c r="O1274" s="24"/>
      <c r="P1274" s="24"/>
      <c r="Q1274" s="24"/>
      <c r="R1274" s="24"/>
      <c r="S1274" s="41"/>
      <c r="T1274" s="24"/>
      <c r="U1274" s="44"/>
      <c r="V1274" s="24"/>
      <c r="W1274" s="24"/>
      <c r="X1274" s="24"/>
      <c r="Y1274" s="24"/>
      <c r="Z1274" s="24"/>
      <c r="AA1274" s="24"/>
      <c r="AB1274" s="24"/>
      <c r="AC1274" s="24"/>
      <c r="AD1274" s="24"/>
      <c r="AE1274" s="24"/>
    </row>
    <row r="1275" spans="1:33" s="1" customFormat="1" x14ac:dyDescent="0.25">
      <c r="A1275" s="25"/>
      <c r="B1275" s="26" t="s">
        <v>1421</v>
      </c>
      <c r="C1275" s="26"/>
      <c r="D1275" s="64" t="s">
        <v>1422</v>
      </c>
      <c r="E1275" s="28"/>
      <c r="F1275" s="28"/>
      <c r="G1275" s="28"/>
      <c r="H1275" s="28"/>
      <c r="I1275" s="28"/>
      <c r="J1275" s="28"/>
      <c r="K1275" s="28"/>
      <c r="L1275" s="28"/>
      <c r="M1275" s="28">
        <f>SUM(M1276:M1286)</f>
        <v>10</v>
      </c>
      <c r="N1275" s="28"/>
      <c r="O1275" s="40">
        <f>SUM(O1276:O1286)</f>
        <v>1260745500</v>
      </c>
      <c r="P1275" s="28">
        <f>SUM(P1276:P1286)</f>
        <v>0</v>
      </c>
      <c r="Q1275" s="28">
        <f>SUM(Q1276:Q1286)</f>
        <v>0</v>
      </c>
      <c r="R1275" s="28">
        <f>SUM(R1276:R1286)</f>
        <v>0</v>
      </c>
      <c r="S1275" s="40">
        <f>SUM(S1276:S1286)</f>
        <v>1260745500</v>
      </c>
      <c r="T1275" s="28"/>
      <c r="U1275" s="40">
        <f>SUM(U1276:U1286)</f>
        <v>31518637.5</v>
      </c>
      <c r="V1275" s="28"/>
      <c r="W1275" s="40">
        <f>SUM(W1276:W1286)</f>
        <v>15759318.75</v>
      </c>
      <c r="X1275" s="28"/>
      <c r="Y1275" s="40">
        <f>SUM(Y1276:Y1286)</f>
        <v>15759318.75</v>
      </c>
      <c r="Z1275" s="40">
        <f>SUM(Z1276:Z1286)</f>
        <v>31518637.5</v>
      </c>
      <c r="AA1275" s="28"/>
      <c r="AB1275" s="98">
        <f>SUM(AB1276:AB1286)</f>
        <v>298332600</v>
      </c>
      <c r="AC1275" s="40">
        <f>SUM(AC1276:AC1286)</f>
        <v>962412900</v>
      </c>
      <c r="AD1275" s="28"/>
      <c r="AE1275" s="28"/>
      <c r="AG1275" s="8"/>
    </row>
    <row r="1276" spans="1:33" s="1" customFormat="1" x14ac:dyDescent="0.25">
      <c r="A1276" s="21">
        <v>1</v>
      </c>
      <c r="B1276" s="22" t="s">
        <v>1799</v>
      </c>
      <c r="C1276" s="22" t="s">
        <v>58</v>
      </c>
      <c r="D1276" s="65" t="s">
        <v>1423</v>
      </c>
      <c r="E1276" s="24" t="s">
        <v>263</v>
      </c>
      <c r="F1276" s="24"/>
      <c r="G1276" s="24" t="s">
        <v>260</v>
      </c>
      <c r="H1276" s="24" t="s">
        <v>62</v>
      </c>
      <c r="I1276" s="24">
        <v>2009</v>
      </c>
      <c r="J1276" s="24"/>
      <c r="K1276" s="24" t="s">
        <v>261</v>
      </c>
      <c r="L1276" s="24" t="s">
        <v>64</v>
      </c>
      <c r="M1276" s="24">
        <v>1</v>
      </c>
      <c r="N1276" s="41">
        <v>16825000</v>
      </c>
      <c r="O1276" s="41">
        <v>16825000</v>
      </c>
      <c r="P1276" s="24"/>
      <c r="Q1276" s="24"/>
      <c r="R1276" s="24"/>
      <c r="S1276" s="41">
        <v>16825000</v>
      </c>
      <c r="T1276" s="24">
        <v>40</v>
      </c>
      <c r="U1276" s="41">
        <f t="shared" ref="U1276:U1285" si="492">SUM(S1276/T1276)</f>
        <v>420625</v>
      </c>
      <c r="V1276" s="24">
        <v>0.5</v>
      </c>
      <c r="W1276" s="41">
        <f t="shared" ref="W1276:W1285" si="493">SUM(U1276*V1276)</f>
        <v>210312.5</v>
      </c>
      <c r="X1276" s="24">
        <v>0.5</v>
      </c>
      <c r="Y1276" s="41">
        <f t="shared" ref="Y1276:Y1284" si="494">SUM(U1276*X1276)</f>
        <v>210312.5</v>
      </c>
      <c r="Z1276" s="70">
        <f>W1276+Y1276</f>
        <v>420625</v>
      </c>
      <c r="AA1276" s="24">
        <f t="shared" ref="AA1276:AA1281" si="495">2023-I1276+V1276+X1276</f>
        <v>15</v>
      </c>
      <c r="AB1276" s="41">
        <f t="shared" ref="AB1276:AB1285" si="496">SUM(U1276*AA1276)</f>
        <v>6309375</v>
      </c>
      <c r="AC1276" s="41">
        <f t="shared" ref="AC1276:AC1285" si="497">SUM(S1276-AB1276)</f>
        <v>10515625</v>
      </c>
      <c r="AD1276" s="24"/>
      <c r="AE1276" s="24"/>
      <c r="AF1276" s="1">
        <v>5888750</v>
      </c>
      <c r="AG1276" s="5">
        <f>AF1276+Z1276-AB1276</f>
        <v>0</v>
      </c>
    </row>
    <row r="1277" spans="1:33" s="1" customFormat="1" ht="25.5" x14ac:dyDescent="0.25">
      <c r="A1277" s="21">
        <v>2</v>
      </c>
      <c r="B1277" s="22" t="s">
        <v>1799</v>
      </c>
      <c r="C1277" s="22" t="s">
        <v>75</v>
      </c>
      <c r="D1277" s="65" t="s">
        <v>1424</v>
      </c>
      <c r="E1277" s="24" t="s">
        <v>263</v>
      </c>
      <c r="F1277" s="24"/>
      <c r="G1277" s="24" t="s">
        <v>260</v>
      </c>
      <c r="H1277" s="24" t="s">
        <v>62</v>
      </c>
      <c r="I1277" s="24">
        <v>2011</v>
      </c>
      <c r="J1277" s="24"/>
      <c r="K1277" s="24" t="s">
        <v>261</v>
      </c>
      <c r="L1277" s="24" t="s">
        <v>64</v>
      </c>
      <c r="M1277" s="24">
        <v>1</v>
      </c>
      <c r="N1277" s="41">
        <v>198385000</v>
      </c>
      <c r="O1277" s="41">
        <v>198385000</v>
      </c>
      <c r="P1277" s="24"/>
      <c r="Q1277" s="24"/>
      <c r="R1277" s="24"/>
      <c r="S1277" s="41">
        <v>198385000</v>
      </c>
      <c r="T1277" s="24">
        <v>40</v>
      </c>
      <c r="U1277" s="41">
        <f t="shared" si="492"/>
        <v>4959625</v>
      </c>
      <c r="V1277" s="24">
        <v>0.5</v>
      </c>
      <c r="W1277" s="41">
        <f t="shared" si="493"/>
        <v>2479812.5</v>
      </c>
      <c r="X1277" s="24">
        <v>0.5</v>
      </c>
      <c r="Y1277" s="41">
        <f t="shared" si="494"/>
        <v>2479812.5</v>
      </c>
      <c r="Z1277" s="70">
        <f t="shared" ref="Z1277:Z1285" si="498">W1277+Y1277</f>
        <v>4959625</v>
      </c>
      <c r="AA1277" s="24">
        <f t="shared" si="495"/>
        <v>13</v>
      </c>
      <c r="AB1277" s="41">
        <f t="shared" si="496"/>
        <v>64475125</v>
      </c>
      <c r="AC1277" s="41">
        <f t="shared" si="497"/>
        <v>133909875</v>
      </c>
      <c r="AD1277" s="24"/>
      <c r="AE1277" s="24"/>
      <c r="AF1277" s="1">
        <v>59515500</v>
      </c>
      <c r="AG1277" s="5">
        <f t="shared" ref="AG1277:AG1285" si="499">AF1277+Z1277-AB1277</f>
        <v>0</v>
      </c>
    </row>
    <row r="1278" spans="1:33" s="1" customFormat="1" ht="25.5" x14ac:dyDescent="0.25">
      <c r="A1278" s="21">
        <v>3</v>
      </c>
      <c r="B1278" s="22" t="s">
        <v>1799</v>
      </c>
      <c r="C1278" s="22" t="s">
        <v>79</v>
      </c>
      <c r="D1278" s="65" t="s">
        <v>1424</v>
      </c>
      <c r="E1278" s="24" t="s">
        <v>263</v>
      </c>
      <c r="F1278" s="24"/>
      <c r="G1278" s="24" t="s">
        <v>260</v>
      </c>
      <c r="H1278" s="24" t="s">
        <v>62</v>
      </c>
      <c r="I1278" s="24">
        <v>2012</v>
      </c>
      <c r="J1278" s="24"/>
      <c r="K1278" s="24" t="s">
        <v>261</v>
      </c>
      <c r="L1278" s="24" t="s">
        <v>64</v>
      </c>
      <c r="M1278" s="24">
        <v>1</v>
      </c>
      <c r="N1278" s="41">
        <v>197879000</v>
      </c>
      <c r="O1278" s="41">
        <v>197879000</v>
      </c>
      <c r="P1278" s="24"/>
      <c r="Q1278" s="24"/>
      <c r="R1278" s="24"/>
      <c r="S1278" s="41">
        <v>197879000</v>
      </c>
      <c r="T1278" s="24">
        <v>40</v>
      </c>
      <c r="U1278" s="41">
        <f t="shared" si="492"/>
        <v>4946975</v>
      </c>
      <c r="V1278" s="24">
        <v>0.5</v>
      </c>
      <c r="W1278" s="41">
        <f t="shared" si="493"/>
        <v>2473487.5</v>
      </c>
      <c r="X1278" s="24">
        <v>0.5</v>
      </c>
      <c r="Y1278" s="41">
        <f t="shared" si="494"/>
        <v>2473487.5</v>
      </c>
      <c r="Z1278" s="70">
        <f t="shared" si="498"/>
        <v>4946975</v>
      </c>
      <c r="AA1278" s="24">
        <f t="shared" si="495"/>
        <v>12</v>
      </c>
      <c r="AB1278" s="41">
        <f t="shared" si="496"/>
        <v>59363700</v>
      </c>
      <c r="AC1278" s="41">
        <f t="shared" si="497"/>
        <v>138515300</v>
      </c>
      <c r="AD1278" s="24"/>
      <c r="AE1278" s="24"/>
      <c r="AF1278" s="1">
        <v>54416725</v>
      </c>
      <c r="AG1278" s="5">
        <f t="shared" si="499"/>
        <v>0</v>
      </c>
    </row>
    <row r="1279" spans="1:33" s="1" customFormat="1" ht="25.5" x14ac:dyDescent="0.25">
      <c r="A1279" s="21">
        <v>4</v>
      </c>
      <c r="B1279" s="22" t="s">
        <v>1799</v>
      </c>
      <c r="C1279" s="22" t="s">
        <v>84</v>
      </c>
      <c r="D1279" s="65" t="s">
        <v>1425</v>
      </c>
      <c r="E1279" s="24"/>
      <c r="F1279" s="24"/>
      <c r="G1279" s="24" t="s">
        <v>260</v>
      </c>
      <c r="H1279" s="24" t="s">
        <v>62</v>
      </c>
      <c r="I1279" s="24">
        <v>2014</v>
      </c>
      <c r="J1279" s="24"/>
      <c r="K1279" s="24" t="s">
        <v>261</v>
      </c>
      <c r="L1279" s="24" t="s">
        <v>64</v>
      </c>
      <c r="M1279" s="24">
        <v>1</v>
      </c>
      <c r="N1279" s="41">
        <v>189000000</v>
      </c>
      <c r="O1279" s="41">
        <v>189000000</v>
      </c>
      <c r="P1279" s="24"/>
      <c r="Q1279" s="24"/>
      <c r="R1279" s="24"/>
      <c r="S1279" s="41">
        <v>189000000</v>
      </c>
      <c r="T1279" s="24">
        <v>40</v>
      </c>
      <c r="U1279" s="41">
        <f t="shared" si="492"/>
        <v>4725000</v>
      </c>
      <c r="V1279" s="24">
        <v>0.5</v>
      </c>
      <c r="W1279" s="41">
        <f t="shared" si="493"/>
        <v>2362500</v>
      </c>
      <c r="X1279" s="24">
        <v>0.5</v>
      </c>
      <c r="Y1279" s="41">
        <f t="shared" si="494"/>
        <v>2362500</v>
      </c>
      <c r="Z1279" s="70">
        <f t="shared" si="498"/>
        <v>4725000</v>
      </c>
      <c r="AA1279" s="24">
        <f t="shared" si="495"/>
        <v>10</v>
      </c>
      <c r="AB1279" s="41">
        <f t="shared" si="496"/>
        <v>47250000</v>
      </c>
      <c r="AC1279" s="41">
        <f t="shared" si="497"/>
        <v>141750000</v>
      </c>
      <c r="AD1279" s="24"/>
      <c r="AE1279" s="24"/>
      <c r="AF1279" s="1">
        <v>42525000</v>
      </c>
      <c r="AG1279" s="5">
        <f t="shared" si="499"/>
        <v>0</v>
      </c>
    </row>
    <row r="1280" spans="1:33" s="1" customFormat="1" ht="25.5" x14ac:dyDescent="0.25">
      <c r="A1280" s="21">
        <v>5</v>
      </c>
      <c r="B1280" s="22" t="s">
        <v>1799</v>
      </c>
      <c r="C1280" s="22" t="s">
        <v>88</v>
      </c>
      <c r="D1280" s="65" t="s">
        <v>1426</v>
      </c>
      <c r="E1280" s="24"/>
      <c r="F1280" s="24"/>
      <c r="G1280" s="24" t="s">
        <v>260</v>
      </c>
      <c r="H1280" s="24" t="s">
        <v>62</v>
      </c>
      <c r="I1280" s="24">
        <v>2014</v>
      </c>
      <c r="J1280" s="24"/>
      <c r="K1280" s="24" t="s">
        <v>261</v>
      </c>
      <c r="L1280" s="24" t="s">
        <v>64</v>
      </c>
      <c r="M1280" s="24">
        <v>1</v>
      </c>
      <c r="N1280" s="41">
        <v>196130000</v>
      </c>
      <c r="O1280" s="41">
        <v>196130000</v>
      </c>
      <c r="P1280" s="24"/>
      <c r="Q1280" s="24"/>
      <c r="R1280" s="24"/>
      <c r="S1280" s="41">
        <v>196130000</v>
      </c>
      <c r="T1280" s="24">
        <v>40</v>
      </c>
      <c r="U1280" s="41">
        <f t="shared" si="492"/>
        <v>4903250</v>
      </c>
      <c r="V1280" s="24">
        <v>0.5</v>
      </c>
      <c r="W1280" s="41">
        <f t="shared" si="493"/>
        <v>2451625</v>
      </c>
      <c r="X1280" s="24">
        <v>0.5</v>
      </c>
      <c r="Y1280" s="41">
        <f t="shared" si="494"/>
        <v>2451625</v>
      </c>
      <c r="Z1280" s="70">
        <f t="shared" si="498"/>
        <v>4903250</v>
      </c>
      <c r="AA1280" s="24">
        <f t="shared" si="495"/>
        <v>10</v>
      </c>
      <c r="AB1280" s="41">
        <f t="shared" si="496"/>
        <v>49032500</v>
      </c>
      <c r="AC1280" s="41">
        <f t="shared" si="497"/>
        <v>147097500</v>
      </c>
      <c r="AD1280" s="24"/>
      <c r="AE1280" s="24"/>
      <c r="AF1280" s="1">
        <v>44129250</v>
      </c>
      <c r="AG1280" s="5">
        <f t="shared" si="499"/>
        <v>0</v>
      </c>
    </row>
    <row r="1281" spans="1:34" s="1" customFormat="1" x14ac:dyDescent="0.25">
      <c r="A1281" s="21">
        <v>6</v>
      </c>
      <c r="B1281" s="22" t="s">
        <v>1799</v>
      </c>
      <c r="C1281" s="22" t="s">
        <v>92</v>
      </c>
      <c r="D1281" s="97" t="s">
        <v>1427</v>
      </c>
      <c r="E1281" s="24"/>
      <c r="F1281" s="24"/>
      <c r="G1281" s="24" t="s">
        <v>260</v>
      </c>
      <c r="H1281" s="24" t="s">
        <v>62</v>
      </c>
      <c r="I1281" s="24">
        <v>2014</v>
      </c>
      <c r="J1281" s="24"/>
      <c r="K1281" s="24" t="s">
        <v>261</v>
      </c>
      <c r="L1281" s="24" t="s">
        <v>64</v>
      </c>
      <c r="M1281" s="24">
        <v>1</v>
      </c>
      <c r="N1281" s="41">
        <v>49318500</v>
      </c>
      <c r="O1281" s="41">
        <v>49318500</v>
      </c>
      <c r="P1281" s="24"/>
      <c r="Q1281" s="24"/>
      <c r="R1281" s="24"/>
      <c r="S1281" s="41">
        <v>49318500</v>
      </c>
      <c r="T1281" s="24">
        <v>40</v>
      </c>
      <c r="U1281" s="41">
        <f t="shared" si="492"/>
        <v>1232962.5</v>
      </c>
      <c r="V1281" s="24">
        <v>0.5</v>
      </c>
      <c r="W1281" s="41">
        <f t="shared" si="493"/>
        <v>616481.25</v>
      </c>
      <c r="X1281" s="24">
        <v>0.5</v>
      </c>
      <c r="Y1281" s="41">
        <f t="shared" si="494"/>
        <v>616481.25</v>
      </c>
      <c r="Z1281" s="70">
        <f t="shared" si="498"/>
        <v>1232962.5</v>
      </c>
      <c r="AA1281" s="24">
        <f t="shared" si="495"/>
        <v>10</v>
      </c>
      <c r="AB1281" s="41">
        <f t="shared" si="496"/>
        <v>12329625</v>
      </c>
      <c r="AC1281" s="41">
        <f t="shared" si="497"/>
        <v>36988875</v>
      </c>
      <c r="AD1281" s="24"/>
      <c r="AE1281" s="24"/>
      <c r="AF1281" s="1">
        <v>11096662.5</v>
      </c>
      <c r="AG1281" s="5">
        <f t="shared" si="499"/>
        <v>0</v>
      </c>
    </row>
    <row r="1282" spans="1:34" s="1" customFormat="1" x14ac:dyDescent="0.25">
      <c r="A1282" s="21">
        <v>7</v>
      </c>
      <c r="B1282" s="22" t="s">
        <v>1799</v>
      </c>
      <c r="C1282" s="22" t="s">
        <v>96</v>
      </c>
      <c r="D1282" s="65" t="s">
        <v>1423</v>
      </c>
      <c r="E1282" s="24"/>
      <c r="F1282" s="24"/>
      <c r="G1282" s="24" t="s">
        <v>260</v>
      </c>
      <c r="H1282" s="24" t="s">
        <v>62</v>
      </c>
      <c r="I1282" s="24">
        <v>2016</v>
      </c>
      <c r="J1282" s="24"/>
      <c r="K1282" s="24" t="s">
        <v>261</v>
      </c>
      <c r="L1282" s="24" t="s">
        <v>64</v>
      </c>
      <c r="M1282" s="24">
        <v>1</v>
      </c>
      <c r="N1282" s="41">
        <v>98800000</v>
      </c>
      <c r="O1282" s="41">
        <v>98800000</v>
      </c>
      <c r="P1282" s="24"/>
      <c r="Q1282" s="24"/>
      <c r="R1282" s="24"/>
      <c r="S1282" s="41">
        <v>98800000</v>
      </c>
      <c r="T1282" s="24">
        <v>40</v>
      </c>
      <c r="U1282" s="41">
        <f t="shared" si="492"/>
        <v>2470000</v>
      </c>
      <c r="V1282" s="24">
        <v>0.5</v>
      </c>
      <c r="W1282" s="41">
        <f t="shared" si="493"/>
        <v>1235000</v>
      </c>
      <c r="X1282" s="24">
        <v>0.5</v>
      </c>
      <c r="Y1282" s="41">
        <f t="shared" si="494"/>
        <v>1235000</v>
      </c>
      <c r="Z1282" s="70">
        <f t="shared" si="498"/>
        <v>2470000</v>
      </c>
      <c r="AA1282" s="72">
        <f>2023-I1282+V1282+X1282-2/12</f>
        <v>7.833333333333333</v>
      </c>
      <c r="AB1282" s="41">
        <f t="shared" si="496"/>
        <v>19348333.333333332</v>
      </c>
      <c r="AC1282" s="41">
        <f t="shared" si="497"/>
        <v>79451666.666666672</v>
      </c>
      <c r="AD1282" s="24"/>
      <c r="AE1282" s="24"/>
      <c r="AF1282" s="1">
        <v>16878333.333333332</v>
      </c>
      <c r="AG1282" s="5">
        <f t="shared" si="499"/>
        <v>0</v>
      </c>
    </row>
    <row r="1283" spans="1:34" s="189" customFormat="1" x14ac:dyDescent="0.25">
      <c r="A1283" s="49">
        <v>8</v>
      </c>
      <c r="B1283" s="50" t="s">
        <v>1748</v>
      </c>
      <c r="C1283" s="50" t="s">
        <v>58</v>
      </c>
      <c r="D1283" s="85" t="s">
        <v>681</v>
      </c>
      <c r="E1283" s="52"/>
      <c r="F1283" s="52"/>
      <c r="G1283" s="52" t="s">
        <v>260</v>
      </c>
      <c r="H1283" s="52" t="s">
        <v>62</v>
      </c>
      <c r="I1283" s="52">
        <v>2017</v>
      </c>
      <c r="J1283" s="52"/>
      <c r="K1283" s="52" t="s">
        <v>261</v>
      </c>
      <c r="L1283" s="52" t="s">
        <v>64</v>
      </c>
      <c r="M1283" s="52">
        <v>1</v>
      </c>
      <c r="N1283" s="53">
        <v>39850000</v>
      </c>
      <c r="O1283" s="53">
        <v>39850000</v>
      </c>
      <c r="P1283" s="52"/>
      <c r="Q1283" s="52"/>
      <c r="R1283" s="52"/>
      <c r="S1283" s="53">
        <v>39850000</v>
      </c>
      <c r="T1283" s="52">
        <v>40</v>
      </c>
      <c r="U1283" s="53">
        <f t="shared" si="492"/>
        <v>996250</v>
      </c>
      <c r="V1283" s="52">
        <v>0.5</v>
      </c>
      <c r="W1283" s="53">
        <f t="shared" si="493"/>
        <v>498125</v>
      </c>
      <c r="X1283" s="52">
        <v>0.5</v>
      </c>
      <c r="Y1283" s="53">
        <f t="shared" si="494"/>
        <v>498125</v>
      </c>
      <c r="Z1283" s="56">
        <f t="shared" si="498"/>
        <v>996250</v>
      </c>
      <c r="AA1283" s="57">
        <f>2023-I1283+V1283+X1283-1/12</f>
        <v>6.916666666666667</v>
      </c>
      <c r="AB1283" s="53">
        <f t="shared" si="496"/>
        <v>6890729.166666667</v>
      </c>
      <c r="AC1283" s="53">
        <f t="shared" si="497"/>
        <v>32959270.833333332</v>
      </c>
      <c r="AD1283" s="52"/>
      <c r="AE1283" s="52"/>
      <c r="AF1283" s="189">
        <v>5894479.166666667</v>
      </c>
      <c r="AG1283" s="190">
        <f t="shared" si="499"/>
        <v>0</v>
      </c>
    </row>
    <row r="1284" spans="1:34" s="1" customFormat="1" x14ac:dyDescent="0.25">
      <c r="A1284" s="21">
        <v>9</v>
      </c>
      <c r="B1284" s="22" t="s">
        <v>1799</v>
      </c>
      <c r="C1284" s="22" t="s">
        <v>75</v>
      </c>
      <c r="D1284" s="65" t="s">
        <v>1428</v>
      </c>
      <c r="E1284" s="24"/>
      <c r="F1284" s="24"/>
      <c r="G1284" s="24" t="s">
        <v>260</v>
      </c>
      <c r="H1284" s="24" t="s">
        <v>62</v>
      </c>
      <c r="I1284" s="24">
        <v>2017</v>
      </c>
      <c r="J1284" s="24"/>
      <c r="K1284" s="24" t="s">
        <v>261</v>
      </c>
      <c r="L1284" s="24" t="s">
        <v>64</v>
      </c>
      <c r="M1284" s="24">
        <v>1</v>
      </c>
      <c r="N1284" s="41">
        <v>74900000</v>
      </c>
      <c r="O1284" s="41">
        <v>74900000</v>
      </c>
      <c r="P1284" s="24"/>
      <c r="Q1284" s="24"/>
      <c r="R1284" s="24"/>
      <c r="S1284" s="41">
        <v>74900000</v>
      </c>
      <c r="T1284" s="24">
        <v>40</v>
      </c>
      <c r="U1284" s="41">
        <f t="shared" si="492"/>
        <v>1872500</v>
      </c>
      <c r="V1284" s="24">
        <v>0.5</v>
      </c>
      <c r="W1284" s="41">
        <f t="shared" si="493"/>
        <v>936250</v>
      </c>
      <c r="X1284" s="24">
        <v>0.5</v>
      </c>
      <c r="Y1284" s="41">
        <f t="shared" si="494"/>
        <v>936250</v>
      </c>
      <c r="Z1284" s="70">
        <f t="shared" si="498"/>
        <v>1872500</v>
      </c>
      <c r="AA1284" s="72">
        <f>2023-I1284+V1284+X1284-1/12</f>
        <v>6.916666666666667</v>
      </c>
      <c r="AB1284" s="41">
        <f t="shared" si="496"/>
        <v>12951458.333333334</v>
      </c>
      <c r="AC1284" s="41">
        <f t="shared" si="497"/>
        <v>61948541.666666664</v>
      </c>
      <c r="AD1284" s="24"/>
      <c r="AE1284" s="24"/>
      <c r="AF1284" s="1">
        <v>11078958.333333334</v>
      </c>
      <c r="AG1284" s="5">
        <f t="shared" si="499"/>
        <v>0</v>
      </c>
    </row>
    <row r="1285" spans="1:34" s="1" customFormat="1" x14ac:dyDescent="0.25">
      <c r="A1285" s="21">
        <v>10</v>
      </c>
      <c r="B1285" s="22" t="s">
        <v>1799</v>
      </c>
      <c r="C1285" s="42" t="s">
        <v>79</v>
      </c>
      <c r="D1285" s="85" t="s">
        <v>1428</v>
      </c>
      <c r="E1285" s="52"/>
      <c r="F1285" s="52"/>
      <c r="G1285" s="52" t="s">
        <v>260</v>
      </c>
      <c r="H1285" s="52" t="s">
        <v>62</v>
      </c>
      <c r="I1285" s="52">
        <v>2019</v>
      </c>
      <c r="J1285" s="52"/>
      <c r="K1285" s="52" t="s">
        <v>261</v>
      </c>
      <c r="L1285" s="52" t="s">
        <v>64</v>
      </c>
      <c r="M1285" s="52">
        <v>1</v>
      </c>
      <c r="N1285" s="53">
        <v>199658000</v>
      </c>
      <c r="O1285" s="53">
        <v>199658000</v>
      </c>
      <c r="P1285" s="53"/>
      <c r="Q1285" s="53"/>
      <c r="R1285" s="53"/>
      <c r="S1285" s="53">
        <v>199658000</v>
      </c>
      <c r="T1285" s="52">
        <v>40</v>
      </c>
      <c r="U1285" s="53">
        <f t="shared" si="492"/>
        <v>4991450</v>
      </c>
      <c r="V1285" s="52">
        <v>0.5</v>
      </c>
      <c r="W1285" s="53">
        <f t="shared" si="493"/>
        <v>2495725</v>
      </c>
      <c r="X1285" s="24">
        <v>0.5</v>
      </c>
      <c r="Y1285" s="53">
        <f t="shared" ref="Y1285" si="500">SUM(U1285*X1285)</f>
        <v>2495725</v>
      </c>
      <c r="Z1285" s="56">
        <f t="shared" si="498"/>
        <v>4991450</v>
      </c>
      <c r="AA1285" s="72">
        <f>2023-I1285+V1285+X1285-11/12</f>
        <v>4.083333333333333</v>
      </c>
      <c r="AB1285" s="53">
        <f t="shared" si="496"/>
        <v>20381754.166666664</v>
      </c>
      <c r="AC1285" s="53">
        <f t="shared" si="497"/>
        <v>179276245.83333334</v>
      </c>
      <c r="AD1285" s="24"/>
      <c r="AE1285" s="24"/>
      <c r="AF1285" s="1">
        <v>15390304.166666668</v>
      </c>
      <c r="AG1285" s="5">
        <f t="shared" si="499"/>
        <v>0</v>
      </c>
    </row>
    <row r="1286" spans="1:34" s="1" customFormat="1" x14ac:dyDescent="0.25">
      <c r="A1286" s="21"/>
      <c r="B1286" s="22"/>
      <c r="C1286" s="22"/>
      <c r="D1286" s="65"/>
      <c r="E1286" s="24"/>
      <c r="F1286" s="24"/>
      <c r="G1286" s="24"/>
      <c r="H1286" s="24"/>
      <c r="I1286" s="24"/>
      <c r="J1286" s="24"/>
      <c r="K1286" s="24"/>
      <c r="L1286" s="24"/>
      <c r="M1286" s="24"/>
      <c r="N1286" s="24"/>
      <c r="O1286" s="24"/>
      <c r="P1286" s="24"/>
      <c r="Q1286" s="24"/>
      <c r="R1286" s="24"/>
      <c r="S1286" s="24"/>
      <c r="T1286" s="24"/>
      <c r="U1286" s="24"/>
      <c r="V1286" s="24"/>
      <c r="W1286" s="24"/>
      <c r="X1286" s="24"/>
      <c r="Y1286" s="24"/>
      <c r="Z1286" s="24"/>
      <c r="AA1286" s="24"/>
      <c r="AB1286" s="24"/>
      <c r="AC1286" s="24"/>
      <c r="AD1286" s="24"/>
      <c r="AE1286" s="24"/>
    </row>
    <row r="1287" spans="1:34" s="1" customFormat="1" x14ac:dyDescent="0.25">
      <c r="A1287" s="25"/>
      <c r="B1287" s="26" t="s">
        <v>1429</v>
      </c>
      <c r="C1287" s="26"/>
      <c r="D1287" s="64" t="s">
        <v>1430</v>
      </c>
      <c r="E1287" s="28"/>
      <c r="F1287" s="28"/>
      <c r="G1287" s="28"/>
      <c r="H1287" s="28"/>
      <c r="I1287" s="28"/>
      <c r="J1287" s="28"/>
      <c r="K1287" s="28"/>
      <c r="L1287" s="28"/>
      <c r="M1287" s="28">
        <f>SUM(M1288:M1290)</f>
        <v>0</v>
      </c>
      <c r="N1287" s="40"/>
      <c r="O1287" s="40">
        <f t="shared" ref="O1287:AC1287" si="501">SUM(O1288:O1290)</f>
        <v>0</v>
      </c>
      <c r="P1287" s="28">
        <f t="shared" si="501"/>
        <v>0</v>
      </c>
      <c r="Q1287" s="28">
        <f t="shared" si="501"/>
        <v>0</v>
      </c>
      <c r="R1287" s="28">
        <f t="shared" si="501"/>
        <v>0</v>
      </c>
      <c r="S1287" s="40">
        <f t="shared" si="501"/>
        <v>0</v>
      </c>
      <c r="T1287" s="28"/>
      <c r="U1287" s="40">
        <f t="shared" si="501"/>
        <v>0</v>
      </c>
      <c r="V1287" s="28"/>
      <c r="W1287" s="28">
        <f t="shared" si="501"/>
        <v>0</v>
      </c>
      <c r="X1287" s="28"/>
      <c r="Y1287" s="40">
        <f t="shared" si="501"/>
        <v>0</v>
      </c>
      <c r="Z1287" s="40">
        <f t="shared" si="501"/>
        <v>0</v>
      </c>
      <c r="AA1287" s="28"/>
      <c r="AB1287" s="40">
        <f t="shared" si="501"/>
        <v>0</v>
      </c>
      <c r="AC1287" s="40">
        <f t="shared" si="501"/>
        <v>0</v>
      </c>
      <c r="AD1287" s="28"/>
      <c r="AE1287" s="28"/>
    </row>
    <row r="1288" spans="1:34" s="1" customFormat="1" x14ac:dyDescent="0.25">
      <c r="A1288" s="21"/>
      <c r="B1288" s="22"/>
      <c r="C1288" s="22"/>
      <c r="D1288" s="65"/>
      <c r="E1288" s="24"/>
      <c r="F1288" s="24"/>
      <c r="G1288" s="24"/>
      <c r="H1288" s="24"/>
      <c r="I1288" s="24"/>
      <c r="J1288" s="24"/>
      <c r="K1288" s="24"/>
      <c r="L1288" s="24"/>
      <c r="M1288" s="24"/>
      <c r="N1288" s="41"/>
      <c r="O1288" s="41"/>
      <c r="P1288" s="24"/>
      <c r="Q1288" s="24"/>
      <c r="R1288" s="24"/>
      <c r="S1288" s="41"/>
      <c r="T1288" s="24"/>
      <c r="U1288" s="41"/>
      <c r="V1288" s="24"/>
      <c r="W1288" s="24"/>
      <c r="X1288" s="72"/>
      <c r="Y1288" s="41"/>
      <c r="Z1288" s="41"/>
      <c r="AA1288" s="72"/>
      <c r="AB1288" s="41"/>
      <c r="AC1288" s="41"/>
      <c r="AD1288" s="24"/>
      <c r="AE1288" s="24"/>
    </row>
    <row r="1289" spans="1:34" s="1" customFormat="1" x14ac:dyDescent="0.25">
      <c r="A1289" s="21"/>
      <c r="B1289" s="22"/>
      <c r="C1289" s="22"/>
      <c r="D1289" s="65"/>
      <c r="E1289" s="24"/>
      <c r="F1289" s="24"/>
      <c r="G1289" s="24"/>
      <c r="H1289" s="24"/>
      <c r="I1289" s="24"/>
      <c r="J1289" s="24"/>
      <c r="K1289" s="24"/>
      <c r="L1289" s="24"/>
      <c r="M1289" s="24"/>
      <c r="N1289" s="24"/>
      <c r="O1289" s="24"/>
      <c r="P1289" s="24"/>
      <c r="Q1289" s="24"/>
      <c r="R1289" s="24"/>
      <c r="S1289" s="24"/>
      <c r="T1289" s="24"/>
      <c r="U1289" s="24"/>
      <c r="V1289" s="24"/>
      <c r="W1289" s="24"/>
      <c r="X1289" s="24"/>
      <c r="Y1289" s="24"/>
      <c r="Z1289" s="24"/>
      <c r="AA1289" s="24"/>
      <c r="AB1289" s="24"/>
      <c r="AC1289" s="24"/>
      <c r="AD1289" s="24"/>
      <c r="AE1289" s="24"/>
    </row>
    <row r="1290" spans="1:34" s="1" customFormat="1" x14ac:dyDescent="0.25">
      <c r="A1290" s="21"/>
      <c r="B1290" s="22"/>
      <c r="C1290" s="22"/>
      <c r="D1290" s="65"/>
      <c r="E1290" s="24"/>
      <c r="F1290" s="24"/>
      <c r="G1290" s="24"/>
      <c r="H1290" s="24"/>
      <c r="I1290" s="24"/>
      <c r="J1290" s="24"/>
      <c r="K1290" s="24"/>
      <c r="L1290" s="24"/>
      <c r="M1290" s="24"/>
      <c r="N1290" s="24"/>
      <c r="O1290" s="24"/>
      <c r="P1290" s="24"/>
      <c r="Q1290" s="24"/>
      <c r="R1290" s="24"/>
      <c r="S1290" s="24"/>
      <c r="T1290" s="24"/>
      <c r="U1290" s="24"/>
      <c r="V1290" s="24"/>
      <c r="W1290" s="24"/>
      <c r="X1290" s="24"/>
      <c r="Y1290" s="24"/>
      <c r="Z1290" s="24"/>
      <c r="AA1290" s="24"/>
      <c r="AB1290" s="24"/>
      <c r="AC1290" s="24"/>
      <c r="AD1290" s="24"/>
      <c r="AE1290" s="24"/>
    </row>
    <row r="1291" spans="1:34" s="1" customFormat="1" x14ac:dyDescent="0.25">
      <c r="A1291" s="25"/>
      <c r="B1291" s="26" t="s">
        <v>1431</v>
      </c>
      <c r="C1291" s="26"/>
      <c r="D1291" s="64" t="s">
        <v>1432</v>
      </c>
      <c r="E1291" s="28"/>
      <c r="F1291" s="28"/>
      <c r="G1291" s="28"/>
      <c r="H1291" s="28"/>
      <c r="I1291" s="28"/>
      <c r="J1291" s="28"/>
      <c r="K1291" s="28"/>
      <c r="L1291" s="28"/>
      <c r="M1291" s="28">
        <f>SUM(M1292:M1294)</f>
        <v>0</v>
      </c>
      <c r="N1291" s="28"/>
      <c r="O1291" s="28">
        <f t="shared" ref="O1291:AC1291" si="502">SUM(O1292:O1294)</f>
        <v>0</v>
      </c>
      <c r="P1291" s="28">
        <f t="shared" si="502"/>
        <v>0</v>
      </c>
      <c r="Q1291" s="28">
        <f t="shared" si="502"/>
        <v>0</v>
      </c>
      <c r="R1291" s="28">
        <f t="shared" si="502"/>
        <v>0</v>
      </c>
      <c r="S1291" s="28">
        <f t="shared" si="502"/>
        <v>0</v>
      </c>
      <c r="T1291" s="28"/>
      <c r="U1291" s="28">
        <f t="shared" si="502"/>
        <v>0</v>
      </c>
      <c r="V1291" s="28"/>
      <c r="W1291" s="28">
        <f t="shared" si="502"/>
        <v>0</v>
      </c>
      <c r="X1291" s="28"/>
      <c r="Y1291" s="28">
        <f t="shared" si="502"/>
        <v>0</v>
      </c>
      <c r="Z1291" s="28">
        <f t="shared" si="502"/>
        <v>0</v>
      </c>
      <c r="AA1291" s="28"/>
      <c r="AB1291" s="28">
        <f t="shared" si="502"/>
        <v>0</v>
      </c>
      <c r="AC1291" s="28">
        <f t="shared" si="502"/>
        <v>0</v>
      </c>
      <c r="AD1291" s="28"/>
      <c r="AE1291" s="28"/>
    </row>
    <row r="1292" spans="1:34" s="1" customFormat="1" x14ac:dyDescent="0.25">
      <c r="A1292" s="21"/>
      <c r="B1292" s="22"/>
      <c r="C1292" s="22"/>
      <c r="D1292" s="65"/>
      <c r="E1292" s="24"/>
      <c r="F1292" s="24"/>
      <c r="G1292" s="24"/>
      <c r="H1292" s="24"/>
      <c r="I1292" s="24"/>
      <c r="J1292" s="24"/>
      <c r="K1292" s="24"/>
      <c r="L1292" s="24"/>
      <c r="M1292" s="24"/>
      <c r="N1292" s="24"/>
      <c r="O1292" s="24"/>
      <c r="P1292" s="24"/>
      <c r="Q1292" s="24"/>
      <c r="R1292" s="24"/>
      <c r="S1292" s="24"/>
      <c r="T1292" s="24"/>
      <c r="U1292" s="24"/>
      <c r="V1292" s="24"/>
      <c r="W1292" s="24"/>
      <c r="X1292" s="24"/>
      <c r="Y1292" s="24"/>
      <c r="Z1292" s="24"/>
      <c r="AA1292" s="24"/>
      <c r="AB1292" s="24"/>
      <c r="AC1292" s="24"/>
      <c r="AD1292" s="24"/>
      <c r="AE1292" s="24"/>
    </row>
    <row r="1293" spans="1:34" s="1" customFormat="1" x14ac:dyDescent="0.25">
      <c r="A1293" s="21"/>
      <c r="B1293" s="22"/>
      <c r="C1293" s="22"/>
      <c r="D1293" s="65"/>
      <c r="E1293" s="24"/>
      <c r="F1293" s="24"/>
      <c r="G1293" s="24"/>
      <c r="H1293" s="24"/>
      <c r="I1293" s="24"/>
      <c r="J1293" s="24"/>
      <c r="K1293" s="24"/>
      <c r="L1293" s="24"/>
      <c r="M1293" s="24"/>
      <c r="N1293" s="24"/>
      <c r="O1293" s="24"/>
      <c r="P1293" s="24"/>
      <c r="Q1293" s="24"/>
      <c r="R1293" s="24"/>
      <c r="S1293" s="24"/>
      <c r="T1293" s="24"/>
      <c r="U1293" s="24"/>
      <c r="V1293" s="24"/>
      <c r="W1293" s="24"/>
      <c r="X1293" s="24"/>
      <c r="Y1293" s="24"/>
      <c r="Z1293" s="24"/>
      <c r="AA1293" s="24"/>
      <c r="AB1293" s="24"/>
      <c r="AC1293" s="24"/>
      <c r="AD1293" s="24"/>
      <c r="AE1293" s="24"/>
    </row>
    <row r="1294" spans="1:34" s="1" customFormat="1" x14ac:dyDescent="0.25">
      <c r="A1294" s="21"/>
      <c r="B1294" s="22"/>
      <c r="C1294" s="22"/>
      <c r="D1294" s="65"/>
      <c r="E1294" s="24"/>
      <c r="F1294" s="24"/>
      <c r="G1294" s="24"/>
      <c r="H1294" s="24"/>
      <c r="I1294" s="24"/>
      <c r="J1294" s="24"/>
      <c r="K1294" s="24"/>
      <c r="L1294" s="24"/>
      <c r="M1294" s="24"/>
      <c r="N1294" s="24"/>
      <c r="O1294" s="24"/>
      <c r="P1294" s="24"/>
      <c r="Q1294" s="24"/>
      <c r="R1294" s="24"/>
      <c r="S1294" s="24"/>
      <c r="T1294" s="24"/>
      <c r="U1294" s="24"/>
      <c r="V1294" s="24"/>
      <c r="W1294" s="24"/>
      <c r="X1294" s="24"/>
      <c r="Y1294" s="24"/>
      <c r="Z1294" s="24"/>
      <c r="AA1294" s="24"/>
      <c r="AB1294" s="24"/>
      <c r="AC1294" s="24"/>
      <c r="AD1294" s="24"/>
      <c r="AE1294" s="24"/>
    </row>
    <row r="1295" spans="1:34" s="16" customFormat="1" ht="25.5" customHeight="1" x14ac:dyDescent="0.25">
      <c r="A1295" s="29">
        <v>5</v>
      </c>
      <c r="B1295" s="30" t="s">
        <v>1433</v>
      </c>
      <c r="C1295" s="30"/>
      <c r="D1295" s="89" t="s">
        <v>1434</v>
      </c>
      <c r="E1295" s="32"/>
      <c r="F1295" s="32"/>
      <c r="G1295" s="32"/>
      <c r="H1295" s="32"/>
      <c r="I1295" s="32"/>
      <c r="J1295" s="32"/>
      <c r="K1295" s="32"/>
      <c r="L1295" s="32"/>
      <c r="M1295" s="32">
        <f>M1296+M1344+M1357+M1370+M1411+M1416+M1421</f>
        <v>924</v>
      </c>
      <c r="N1295" s="32"/>
      <c r="O1295" s="34">
        <f>O1296+O1344+O1357+O1370+O1411+O1416+O1421</f>
        <v>254806915</v>
      </c>
      <c r="P1295" s="32">
        <f>P1296+P1344+P1357+P1370+P1411+P1416+P1421</f>
        <v>0</v>
      </c>
      <c r="Q1295" s="32">
        <f>Q1296+Q1344+Q1357+Q1370+Q1411+Q1416+Q1421</f>
        <v>0</v>
      </c>
      <c r="R1295" s="32">
        <f>R1296+R1344+R1357+R1370+R1411+R1416+R1421</f>
        <v>0</v>
      </c>
      <c r="S1295" s="32">
        <f>S1296+S1344+S1357+S1370+S1411+S1416+S1421</f>
        <v>0</v>
      </c>
      <c r="T1295" s="32"/>
      <c r="U1295" s="32">
        <f>U1296+U1344+U1357+U1370+U1411+U1416+U1421</f>
        <v>0</v>
      </c>
      <c r="V1295" s="32"/>
      <c r="W1295" s="32">
        <f>W1296+W1344+W1357+W1370+W1411+W1416+W1421</f>
        <v>0</v>
      </c>
      <c r="X1295" s="32"/>
      <c r="Y1295" s="32">
        <f>Y1296+Y1344+Y1357+Y1370+Y1411+Y1416+Y1421</f>
        <v>0</v>
      </c>
      <c r="Z1295" s="32">
        <f>Z1296+Z1344+Z1357+Z1370+Z1411+Z1416+Z1421</f>
        <v>0</v>
      </c>
      <c r="AA1295" s="32"/>
      <c r="AB1295" s="32">
        <f>AB1296+AB1344+AB1357+AB1370+AB1411+AB1416+AB1421</f>
        <v>0</v>
      </c>
      <c r="AC1295" s="34">
        <f>AC1296+AC1344+AC1357+AC1370+AC1411+AC1416+AC1421</f>
        <v>254806915</v>
      </c>
      <c r="AD1295" s="32"/>
      <c r="AE1295" s="32"/>
      <c r="AH1295" s="1"/>
    </row>
    <row r="1296" spans="1:34" s="1" customFormat="1" x14ac:dyDescent="0.25">
      <c r="A1296" s="17"/>
      <c r="B1296" s="18" t="s">
        <v>1435</v>
      </c>
      <c r="C1296" s="18"/>
      <c r="D1296" s="84" t="s">
        <v>1436</v>
      </c>
      <c r="E1296" s="20"/>
      <c r="F1296" s="20"/>
      <c r="G1296" s="20"/>
      <c r="H1296" s="20"/>
      <c r="I1296" s="20"/>
      <c r="J1296" s="20"/>
      <c r="K1296" s="20"/>
      <c r="L1296" s="20"/>
      <c r="M1296" s="20">
        <f>M1297+M1320+M1324+M1328+M1332+M1336+M1340</f>
        <v>924</v>
      </c>
      <c r="N1296" s="20"/>
      <c r="O1296" s="37">
        <f>O1297+O1320+O1324+O1328+O1332+O1336+O1340</f>
        <v>254806915</v>
      </c>
      <c r="P1296" s="20">
        <f>P1297+P1320+P1324+P1328+P1332+P1336+P1340</f>
        <v>0</v>
      </c>
      <c r="Q1296" s="20">
        <f>Q1297+Q1320+Q1324+Q1328+Q1332+Q1336+Q1340</f>
        <v>0</v>
      </c>
      <c r="R1296" s="20">
        <f>R1297+R1320+R1324+R1328+R1332+R1336+R1340</f>
        <v>0</v>
      </c>
      <c r="S1296" s="20">
        <f>S1297+S1320+S1324+S1328+S1332+S1336+S1340</f>
        <v>0</v>
      </c>
      <c r="T1296" s="20"/>
      <c r="U1296" s="20">
        <f>U1297+U1320+U1324+U1328+U1332+U1336+U1340</f>
        <v>0</v>
      </c>
      <c r="V1296" s="20"/>
      <c r="W1296" s="20">
        <f>W1297+W1320+W1324+W1328+W1332+W1336+W1340</f>
        <v>0</v>
      </c>
      <c r="X1296" s="20"/>
      <c r="Y1296" s="20">
        <f>Y1297+Y1320+Y1324+Y1328+Y1332+Y1336+Y1340</f>
        <v>0</v>
      </c>
      <c r="Z1296" s="20">
        <f>Z1297+Z1320+Z1324+Z1328+Z1332+Z1336+Z1340</f>
        <v>0</v>
      </c>
      <c r="AA1296" s="20"/>
      <c r="AB1296" s="20">
        <f>AB1297+AB1320+AB1324+AB1328+AB1332+AB1336+AB1340</f>
        <v>0</v>
      </c>
      <c r="AC1296" s="37">
        <f>AC1297+AC1320+AC1324+AC1328+AC1332+AC1336+AC1340</f>
        <v>254806915</v>
      </c>
      <c r="AD1296" s="20"/>
      <c r="AE1296" s="20"/>
    </row>
    <row r="1297" spans="1:34" s="1" customFormat="1" x14ac:dyDescent="0.25">
      <c r="A1297" s="25"/>
      <c r="B1297" s="26" t="s">
        <v>1437</v>
      </c>
      <c r="C1297" s="26"/>
      <c r="D1297" s="64" t="s">
        <v>1438</v>
      </c>
      <c r="E1297" s="28"/>
      <c r="F1297" s="28"/>
      <c r="G1297" s="28"/>
      <c r="H1297" s="28"/>
      <c r="I1297" s="28"/>
      <c r="J1297" s="28"/>
      <c r="K1297" s="28"/>
      <c r="L1297" s="28"/>
      <c r="M1297" s="28">
        <f>SUM(M1298:M1319)</f>
        <v>924</v>
      </c>
      <c r="N1297" s="28"/>
      <c r="O1297" s="40">
        <f>SUM(O1298:O1319)</f>
        <v>254806915</v>
      </c>
      <c r="P1297" s="28">
        <f>SUM(P1298:P1319)</f>
        <v>0</v>
      </c>
      <c r="Q1297" s="28">
        <f>SUM(Q1298:Q1319)</f>
        <v>0</v>
      </c>
      <c r="R1297" s="28">
        <f>SUM(R1298:R1319)</f>
        <v>0</v>
      </c>
      <c r="S1297" s="28">
        <f>SUM(S1298:S1319)</f>
        <v>0</v>
      </c>
      <c r="T1297" s="28"/>
      <c r="U1297" s="28">
        <f>SUM(U1298:U1319)</f>
        <v>0</v>
      </c>
      <c r="V1297" s="28"/>
      <c r="W1297" s="28">
        <f>SUM(W1298:W1319)</f>
        <v>0</v>
      </c>
      <c r="X1297" s="28"/>
      <c r="Y1297" s="28">
        <f>SUM(Y1298:Y1319)</f>
        <v>0</v>
      </c>
      <c r="Z1297" s="28">
        <f>SUM(Z1298:Z1319)</f>
        <v>0</v>
      </c>
      <c r="AA1297" s="28"/>
      <c r="AB1297" s="28">
        <f>SUM(AB1298:AB1319)</f>
        <v>0</v>
      </c>
      <c r="AC1297" s="40">
        <f>SUM(AC1298:AC1319)</f>
        <v>254806915</v>
      </c>
      <c r="AD1297" s="28"/>
      <c r="AE1297" s="28"/>
      <c r="AH1297" s="16"/>
    </row>
    <row r="1298" spans="1:34" s="1" customFormat="1" x14ac:dyDescent="0.25">
      <c r="A1298" s="21">
        <v>1</v>
      </c>
      <c r="B1298" s="22" t="s">
        <v>1800</v>
      </c>
      <c r="C1298" s="22" t="s">
        <v>1439</v>
      </c>
      <c r="D1298" s="65" t="s">
        <v>1440</v>
      </c>
      <c r="E1298" s="24" t="s">
        <v>263</v>
      </c>
      <c r="F1298" s="24"/>
      <c r="G1298" s="24" t="s">
        <v>1441</v>
      </c>
      <c r="H1298" s="24" t="s">
        <v>62</v>
      </c>
      <c r="I1298" s="24">
        <v>2004</v>
      </c>
      <c r="J1298" s="24"/>
      <c r="K1298" s="24" t="s">
        <v>63</v>
      </c>
      <c r="L1298" s="24" t="s">
        <v>64</v>
      </c>
      <c r="M1298" s="24">
        <v>30</v>
      </c>
      <c r="N1298" s="41">
        <v>1162000</v>
      </c>
      <c r="O1298" s="41">
        <v>1162000</v>
      </c>
      <c r="P1298" s="24"/>
      <c r="Q1298" s="24"/>
      <c r="R1298" s="24"/>
      <c r="S1298" s="24"/>
      <c r="T1298" s="24"/>
      <c r="U1298" s="24"/>
      <c r="V1298" s="24"/>
      <c r="W1298" s="24"/>
      <c r="X1298" s="24"/>
      <c r="Y1298" s="24"/>
      <c r="Z1298" s="24"/>
      <c r="AA1298" s="24"/>
      <c r="AB1298" s="24"/>
      <c r="AC1298" s="41">
        <v>1162000</v>
      </c>
      <c r="AD1298" s="24"/>
      <c r="AE1298" s="24"/>
    </row>
    <row r="1299" spans="1:34" s="1" customFormat="1" x14ac:dyDescent="0.25">
      <c r="A1299" s="21">
        <v>2</v>
      </c>
      <c r="B1299" s="22" t="s">
        <v>1800</v>
      </c>
      <c r="C1299" s="22" t="s">
        <v>1439</v>
      </c>
      <c r="D1299" s="65" t="s">
        <v>1442</v>
      </c>
      <c r="E1299" s="24" t="s">
        <v>263</v>
      </c>
      <c r="F1299" s="24"/>
      <c r="G1299" s="24" t="s">
        <v>1441</v>
      </c>
      <c r="H1299" s="24" t="s">
        <v>62</v>
      </c>
      <c r="I1299" s="24">
        <v>2004</v>
      </c>
      <c r="J1299" s="24"/>
      <c r="K1299" s="24" t="s">
        <v>63</v>
      </c>
      <c r="L1299" s="24" t="s">
        <v>64</v>
      </c>
      <c r="M1299" s="24">
        <v>30</v>
      </c>
      <c r="N1299" s="41">
        <v>2214000</v>
      </c>
      <c r="O1299" s="41">
        <v>2214000</v>
      </c>
      <c r="P1299" s="24"/>
      <c r="Q1299" s="24"/>
      <c r="R1299" s="24"/>
      <c r="S1299" s="24"/>
      <c r="T1299" s="24"/>
      <c r="U1299" s="24"/>
      <c r="V1299" s="24"/>
      <c r="W1299" s="24"/>
      <c r="X1299" s="24"/>
      <c r="Y1299" s="24"/>
      <c r="Z1299" s="24"/>
      <c r="AA1299" s="24"/>
      <c r="AB1299" s="24"/>
      <c r="AC1299" s="41">
        <v>2214000</v>
      </c>
      <c r="AD1299" s="24"/>
      <c r="AE1299" s="24"/>
    </row>
    <row r="1300" spans="1:34" s="1" customFormat="1" x14ac:dyDescent="0.25">
      <c r="A1300" s="21">
        <v>3</v>
      </c>
      <c r="B1300" s="22" t="s">
        <v>1800</v>
      </c>
      <c r="C1300" s="22" t="s">
        <v>868</v>
      </c>
      <c r="D1300" s="65" t="s">
        <v>1443</v>
      </c>
      <c r="E1300" s="24" t="s">
        <v>263</v>
      </c>
      <c r="F1300" s="24"/>
      <c r="G1300" s="24" t="s">
        <v>1441</v>
      </c>
      <c r="H1300" s="24" t="s">
        <v>62</v>
      </c>
      <c r="I1300" s="24">
        <v>2004</v>
      </c>
      <c r="J1300" s="24"/>
      <c r="K1300" s="24" t="s">
        <v>1444</v>
      </c>
      <c r="L1300" s="24" t="s">
        <v>64</v>
      </c>
      <c r="M1300" s="24">
        <v>4</v>
      </c>
      <c r="N1300" s="41">
        <v>520000</v>
      </c>
      <c r="O1300" s="41">
        <v>520000</v>
      </c>
      <c r="P1300" s="24"/>
      <c r="Q1300" s="24"/>
      <c r="R1300" s="24"/>
      <c r="S1300" s="24"/>
      <c r="T1300" s="24"/>
      <c r="U1300" s="24"/>
      <c r="V1300" s="24"/>
      <c r="W1300" s="24"/>
      <c r="X1300" s="24"/>
      <c r="Y1300" s="24"/>
      <c r="Z1300" s="24"/>
      <c r="AA1300" s="24"/>
      <c r="AB1300" s="24"/>
      <c r="AC1300" s="41">
        <v>520000</v>
      </c>
      <c r="AD1300" s="24"/>
      <c r="AE1300" s="24"/>
    </row>
    <row r="1301" spans="1:34" s="1" customFormat="1" x14ac:dyDescent="0.25">
      <c r="A1301" s="21">
        <v>4</v>
      </c>
      <c r="B1301" s="22" t="s">
        <v>1800</v>
      </c>
      <c r="C1301" s="22" t="s">
        <v>274</v>
      </c>
      <c r="D1301" s="65" t="s">
        <v>1445</v>
      </c>
      <c r="E1301" s="24" t="s">
        <v>263</v>
      </c>
      <c r="F1301" s="24"/>
      <c r="G1301" s="24" t="s">
        <v>1441</v>
      </c>
      <c r="H1301" s="24" t="s">
        <v>62</v>
      </c>
      <c r="I1301" s="24">
        <v>2004</v>
      </c>
      <c r="J1301" s="24"/>
      <c r="K1301" s="24" t="s">
        <v>1444</v>
      </c>
      <c r="L1301" s="24" t="s">
        <v>64</v>
      </c>
      <c r="M1301" s="24">
        <v>5</v>
      </c>
      <c r="N1301" s="41">
        <v>1360000</v>
      </c>
      <c r="O1301" s="41">
        <v>1360000</v>
      </c>
      <c r="P1301" s="24"/>
      <c r="Q1301" s="24"/>
      <c r="R1301" s="24"/>
      <c r="S1301" s="24"/>
      <c r="T1301" s="24"/>
      <c r="U1301" s="24"/>
      <c r="V1301" s="24"/>
      <c r="W1301" s="24"/>
      <c r="X1301" s="24"/>
      <c r="Y1301" s="24"/>
      <c r="Z1301" s="24"/>
      <c r="AA1301" s="24"/>
      <c r="AB1301" s="24"/>
      <c r="AC1301" s="41">
        <v>1360000</v>
      </c>
      <c r="AD1301" s="24"/>
      <c r="AE1301" s="24"/>
    </row>
    <row r="1302" spans="1:34" s="1" customFormat="1" x14ac:dyDescent="0.25">
      <c r="A1302" s="21">
        <v>5</v>
      </c>
      <c r="B1302" s="22" t="s">
        <v>1800</v>
      </c>
      <c r="C1302" s="22" t="s">
        <v>58</v>
      </c>
      <c r="D1302" s="65" t="s">
        <v>1446</v>
      </c>
      <c r="E1302" s="24" t="s">
        <v>263</v>
      </c>
      <c r="F1302" s="24"/>
      <c r="G1302" s="24" t="s">
        <v>1441</v>
      </c>
      <c r="H1302" s="24" t="s">
        <v>62</v>
      </c>
      <c r="I1302" s="24">
        <v>2004</v>
      </c>
      <c r="J1302" s="24"/>
      <c r="K1302" s="24" t="s">
        <v>202</v>
      </c>
      <c r="L1302" s="24" t="s">
        <v>64</v>
      </c>
      <c r="M1302" s="24">
        <v>1</v>
      </c>
      <c r="N1302" s="41">
        <v>1499200</v>
      </c>
      <c r="O1302" s="41">
        <v>1499200</v>
      </c>
      <c r="P1302" s="24"/>
      <c r="Q1302" s="24"/>
      <c r="R1302" s="24"/>
      <c r="S1302" s="24"/>
      <c r="T1302" s="24"/>
      <c r="U1302" s="24"/>
      <c r="V1302" s="24"/>
      <c r="W1302" s="24"/>
      <c r="X1302" s="24"/>
      <c r="Y1302" s="24"/>
      <c r="Z1302" s="24"/>
      <c r="AA1302" s="24"/>
      <c r="AB1302" s="24"/>
      <c r="AC1302" s="41">
        <v>1499200</v>
      </c>
      <c r="AD1302" s="24"/>
      <c r="AE1302" s="24"/>
    </row>
    <row r="1303" spans="1:34" s="1" customFormat="1" x14ac:dyDescent="0.25">
      <c r="A1303" s="21">
        <v>6</v>
      </c>
      <c r="B1303" s="22" t="s">
        <v>1800</v>
      </c>
      <c r="C1303" s="22" t="s">
        <v>1439</v>
      </c>
      <c r="D1303" s="65" t="s">
        <v>1440</v>
      </c>
      <c r="E1303" s="24" t="s">
        <v>263</v>
      </c>
      <c r="F1303" s="24"/>
      <c r="G1303" s="24" t="s">
        <v>1441</v>
      </c>
      <c r="H1303" s="24" t="s">
        <v>62</v>
      </c>
      <c r="I1303" s="24">
        <v>2007</v>
      </c>
      <c r="J1303" s="24"/>
      <c r="K1303" s="24" t="s">
        <v>63</v>
      </c>
      <c r="L1303" s="24" t="s">
        <v>64</v>
      </c>
      <c r="M1303" s="24">
        <v>30</v>
      </c>
      <c r="N1303" s="41">
        <v>6146800</v>
      </c>
      <c r="O1303" s="41">
        <v>6146800</v>
      </c>
      <c r="P1303" s="24"/>
      <c r="Q1303" s="24"/>
      <c r="R1303" s="24"/>
      <c r="S1303" s="24"/>
      <c r="T1303" s="24"/>
      <c r="U1303" s="24"/>
      <c r="V1303" s="24"/>
      <c r="W1303" s="24"/>
      <c r="X1303" s="24"/>
      <c r="Y1303" s="24"/>
      <c r="Z1303" s="24"/>
      <c r="AA1303" s="24"/>
      <c r="AB1303" s="24"/>
      <c r="AC1303" s="41">
        <v>6146800</v>
      </c>
      <c r="AD1303" s="24"/>
      <c r="AE1303" s="24"/>
    </row>
    <row r="1304" spans="1:34" s="1" customFormat="1" x14ac:dyDescent="0.25">
      <c r="A1304" s="21">
        <v>7</v>
      </c>
      <c r="B1304" s="22" t="s">
        <v>1800</v>
      </c>
      <c r="C1304" s="22" t="s">
        <v>1447</v>
      </c>
      <c r="D1304" s="65" t="s">
        <v>1448</v>
      </c>
      <c r="E1304" s="24" t="s">
        <v>263</v>
      </c>
      <c r="F1304" s="24"/>
      <c r="G1304" s="24" t="s">
        <v>1441</v>
      </c>
      <c r="H1304" s="24" t="s">
        <v>62</v>
      </c>
      <c r="I1304" s="24">
        <v>2007</v>
      </c>
      <c r="J1304" s="24"/>
      <c r="K1304" s="24" t="s">
        <v>63</v>
      </c>
      <c r="L1304" s="24" t="s">
        <v>64</v>
      </c>
      <c r="M1304" s="24">
        <v>48</v>
      </c>
      <c r="N1304" s="41">
        <v>3730700</v>
      </c>
      <c r="O1304" s="41">
        <v>3730700</v>
      </c>
      <c r="P1304" s="24"/>
      <c r="Q1304" s="24"/>
      <c r="R1304" s="24"/>
      <c r="S1304" s="24"/>
      <c r="T1304" s="24"/>
      <c r="U1304" s="24"/>
      <c r="V1304" s="24"/>
      <c r="W1304" s="24"/>
      <c r="X1304" s="24"/>
      <c r="Y1304" s="24"/>
      <c r="Z1304" s="24"/>
      <c r="AA1304" s="24"/>
      <c r="AB1304" s="24"/>
      <c r="AC1304" s="41">
        <v>3730700</v>
      </c>
      <c r="AD1304" s="24"/>
      <c r="AE1304" s="24"/>
    </row>
    <row r="1305" spans="1:34" s="1" customFormat="1" x14ac:dyDescent="0.25">
      <c r="A1305" s="21">
        <v>8</v>
      </c>
      <c r="B1305" s="22" t="s">
        <v>1800</v>
      </c>
      <c r="C1305" s="22" t="s">
        <v>58</v>
      </c>
      <c r="D1305" s="65" t="s">
        <v>1449</v>
      </c>
      <c r="E1305" s="24" t="s">
        <v>263</v>
      </c>
      <c r="F1305" s="24"/>
      <c r="G1305" s="24" t="s">
        <v>1441</v>
      </c>
      <c r="H1305" s="24" t="s">
        <v>62</v>
      </c>
      <c r="I1305" s="24">
        <v>2007</v>
      </c>
      <c r="J1305" s="24"/>
      <c r="K1305" s="24" t="s">
        <v>63</v>
      </c>
      <c r="L1305" s="24" t="s">
        <v>64</v>
      </c>
      <c r="M1305" s="24">
        <v>1</v>
      </c>
      <c r="N1305" s="41">
        <v>1499200</v>
      </c>
      <c r="O1305" s="41">
        <v>1499200</v>
      </c>
      <c r="P1305" s="24"/>
      <c r="Q1305" s="24"/>
      <c r="R1305" s="24"/>
      <c r="S1305" s="24"/>
      <c r="T1305" s="24"/>
      <c r="U1305" s="24"/>
      <c r="V1305" s="24"/>
      <c r="W1305" s="24"/>
      <c r="X1305" s="24"/>
      <c r="Y1305" s="24"/>
      <c r="Z1305" s="24"/>
      <c r="AA1305" s="24"/>
      <c r="AB1305" s="24"/>
      <c r="AC1305" s="41">
        <v>1499200</v>
      </c>
      <c r="AD1305" s="24"/>
      <c r="AE1305" s="24"/>
    </row>
    <row r="1306" spans="1:34" s="1" customFormat="1" x14ac:dyDescent="0.25">
      <c r="A1306" s="21">
        <v>9</v>
      </c>
      <c r="B1306" s="22" t="s">
        <v>1800</v>
      </c>
      <c r="C1306" s="22" t="s">
        <v>1450</v>
      </c>
      <c r="D1306" s="65" t="s">
        <v>1449</v>
      </c>
      <c r="E1306" s="24" t="s">
        <v>263</v>
      </c>
      <c r="F1306" s="24"/>
      <c r="G1306" s="24" t="s">
        <v>1441</v>
      </c>
      <c r="H1306" s="24" t="s">
        <v>62</v>
      </c>
      <c r="I1306" s="24">
        <v>2007</v>
      </c>
      <c r="J1306" s="24"/>
      <c r="K1306" s="24" t="s">
        <v>63</v>
      </c>
      <c r="L1306" s="24" t="s">
        <v>64</v>
      </c>
      <c r="M1306" s="24">
        <v>82</v>
      </c>
      <c r="N1306" s="41">
        <v>2997300</v>
      </c>
      <c r="O1306" s="41">
        <v>2997300</v>
      </c>
      <c r="P1306" s="24"/>
      <c r="Q1306" s="24"/>
      <c r="R1306" s="24"/>
      <c r="S1306" s="24"/>
      <c r="T1306" s="24"/>
      <c r="U1306" s="24"/>
      <c r="V1306" s="24"/>
      <c r="W1306" s="24"/>
      <c r="X1306" s="24"/>
      <c r="Y1306" s="24"/>
      <c r="Z1306" s="24"/>
      <c r="AA1306" s="24"/>
      <c r="AB1306" s="24"/>
      <c r="AC1306" s="41">
        <v>2997300</v>
      </c>
      <c r="AD1306" s="24"/>
      <c r="AE1306" s="24"/>
    </row>
    <row r="1307" spans="1:34" s="1" customFormat="1" x14ac:dyDescent="0.25">
      <c r="A1307" s="21">
        <v>10</v>
      </c>
      <c r="B1307" s="22" t="s">
        <v>1800</v>
      </c>
      <c r="C1307" s="22" t="s">
        <v>1439</v>
      </c>
      <c r="D1307" s="65" t="s">
        <v>1451</v>
      </c>
      <c r="E1307" s="24" t="s">
        <v>263</v>
      </c>
      <c r="F1307" s="24"/>
      <c r="G1307" s="24" t="s">
        <v>1441</v>
      </c>
      <c r="H1307" s="24" t="s">
        <v>62</v>
      </c>
      <c r="I1307" s="24">
        <v>2007</v>
      </c>
      <c r="J1307" s="24"/>
      <c r="K1307" s="24" t="s">
        <v>63</v>
      </c>
      <c r="L1307" s="24" t="s">
        <v>64</v>
      </c>
      <c r="M1307" s="24">
        <v>30</v>
      </c>
      <c r="N1307" s="41">
        <v>2214000</v>
      </c>
      <c r="O1307" s="41">
        <v>2214000</v>
      </c>
      <c r="P1307" s="24"/>
      <c r="Q1307" s="24"/>
      <c r="R1307" s="24"/>
      <c r="S1307" s="24"/>
      <c r="T1307" s="24"/>
      <c r="U1307" s="24"/>
      <c r="V1307" s="24"/>
      <c r="W1307" s="24"/>
      <c r="X1307" s="24"/>
      <c r="Y1307" s="24"/>
      <c r="Z1307" s="24"/>
      <c r="AA1307" s="24"/>
      <c r="AB1307" s="24"/>
      <c r="AC1307" s="41">
        <v>2214000</v>
      </c>
      <c r="AD1307" s="24"/>
      <c r="AE1307" s="24"/>
    </row>
    <row r="1308" spans="1:34" s="1" customFormat="1" x14ac:dyDescent="0.25">
      <c r="A1308" s="21">
        <v>11</v>
      </c>
      <c r="B1308" s="22" t="s">
        <v>1800</v>
      </c>
      <c r="C1308" s="22" t="s">
        <v>1452</v>
      </c>
      <c r="D1308" s="65" t="s">
        <v>1451</v>
      </c>
      <c r="E1308" s="24" t="s">
        <v>263</v>
      </c>
      <c r="F1308" s="24"/>
      <c r="G1308" s="24" t="s">
        <v>1441</v>
      </c>
      <c r="H1308" s="24" t="s">
        <v>62</v>
      </c>
      <c r="I1308" s="24">
        <v>2007</v>
      </c>
      <c r="J1308" s="24"/>
      <c r="K1308" s="24" t="s">
        <v>63</v>
      </c>
      <c r="L1308" s="24" t="s">
        <v>64</v>
      </c>
      <c r="M1308" s="24">
        <v>201</v>
      </c>
      <c r="N1308" s="41">
        <v>20124250</v>
      </c>
      <c r="O1308" s="41">
        <v>20124250</v>
      </c>
      <c r="P1308" s="24"/>
      <c r="Q1308" s="24"/>
      <c r="R1308" s="24"/>
      <c r="S1308" s="24"/>
      <c r="T1308" s="24"/>
      <c r="U1308" s="24"/>
      <c r="V1308" s="24"/>
      <c r="W1308" s="24"/>
      <c r="X1308" s="24"/>
      <c r="Y1308" s="24"/>
      <c r="Z1308" s="24"/>
      <c r="AA1308" s="24"/>
      <c r="AB1308" s="24"/>
      <c r="AC1308" s="41">
        <v>20124250</v>
      </c>
      <c r="AD1308" s="24"/>
      <c r="AE1308" s="24"/>
    </row>
    <row r="1309" spans="1:34" s="1" customFormat="1" x14ac:dyDescent="0.25">
      <c r="A1309" s="21">
        <v>12</v>
      </c>
      <c r="B1309" s="22" t="s">
        <v>1800</v>
      </c>
      <c r="C1309" s="22" t="s">
        <v>1453</v>
      </c>
      <c r="D1309" s="65" t="s">
        <v>1454</v>
      </c>
      <c r="E1309" s="24" t="s">
        <v>263</v>
      </c>
      <c r="F1309" s="24"/>
      <c r="G1309" s="24" t="s">
        <v>1441</v>
      </c>
      <c r="H1309" s="24" t="s">
        <v>62</v>
      </c>
      <c r="I1309" s="24">
        <v>2007</v>
      </c>
      <c r="J1309" s="24"/>
      <c r="K1309" s="24" t="s">
        <v>63</v>
      </c>
      <c r="L1309" s="24" t="s">
        <v>64</v>
      </c>
      <c r="M1309" s="24">
        <v>79</v>
      </c>
      <c r="N1309" s="41">
        <v>6119000</v>
      </c>
      <c r="O1309" s="41">
        <v>6119000</v>
      </c>
      <c r="P1309" s="24"/>
      <c r="Q1309" s="24"/>
      <c r="R1309" s="24"/>
      <c r="S1309" s="24"/>
      <c r="T1309" s="24"/>
      <c r="U1309" s="24"/>
      <c r="V1309" s="24"/>
      <c r="W1309" s="24"/>
      <c r="X1309" s="24"/>
      <c r="Y1309" s="24"/>
      <c r="Z1309" s="24"/>
      <c r="AA1309" s="24"/>
      <c r="AB1309" s="24"/>
      <c r="AC1309" s="41">
        <v>6119000</v>
      </c>
      <c r="AD1309" s="24"/>
      <c r="AE1309" s="24"/>
    </row>
    <row r="1310" spans="1:34" s="1" customFormat="1" x14ac:dyDescent="0.25">
      <c r="A1310" s="21">
        <v>13</v>
      </c>
      <c r="B1310" s="22" t="s">
        <v>1800</v>
      </c>
      <c r="C1310" s="22" t="s">
        <v>1455</v>
      </c>
      <c r="D1310" s="65" t="s">
        <v>1456</v>
      </c>
      <c r="E1310" s="24" t="s">
        <v>263</v>
      </c>
      <c r="F1310" s="24"/>
      <c r="G1310" s="24" t="s">
        <v>1441</v>
      </c>
      <c r="H1310" s="24" t="s">
        <v>62</v>
      </c>
      <c r="I1310" s="24">
        <v>2007</v>
      </c>
      <c r="J1310" s="24"/>
      <c r="K1310" s="24" t="s">
        <v>63</v>
      </c>
      <c r="L1310" s="24" t="s">
        <v>64</v>
      </c>
      <c r="M1310" s="24">
        <v>117</v>
      </c>
      <c r="N1310" s="41">
        <v>15926750</v>
      </c>
      <c r="O1310" s="41">
        <v>15926750</v>
      </c>
      <c r="P1310" s="24"/>
      <c r="Q1310" s="24"/>
      <c r="R1310" s="24"/>
      <c r="S1310" s="24"/>
      <c r="T1310" s="24"/>
      <c r="U1310" s="24"/>
      <c r="V1310" s="24"/>
      <c r="W1310" s="24"/>
      <c r="X1310" s="24"/>
      <c r="Y1310" s="24"/>
      <c r="Z1310" s="24"/>
      <c r="AA1310" s="24"/>
      <c r="AB1310" s="24"/>
      <c r="AC1310" s="41">
        <v>15926750</v>
      </c>
      <c r="AD1310" s="24"/>
      <c r="AE1310" s="24"/>
    </row>
    <row r="1311" spans="1:34" s="1" customFormat="1" x14ac:dyDescent="0.25">
      <c r="A1311" s="21">
        <v>14</v>
      </c>
      <c r="B1311" s="22" t="s">
        <v>1800</v>
      </c>
      <c r="C1311" s="22" t="s">
        <v>1457</v>
      </c>
      <c r="D1311" s="65" t="s">
        <v>1456</v>
      </c>
      <c r="E1311" s="24" t="s">
        <v>263</v>
      </c>
      <c r="F1311" s="24"/>
      <c r="G1311" s="24" t="s">
        <v>1441</v>
      </c>
      <c r="H1311" s="24" t="s">
        <v>62</v>
      </c>
      <c r="I1311" s="24">
        <v>2007</v>
      </c>
      <c r="J1311" s="24"/>
      <c r="K1311" s="24" t="s">
        <v>63</v>
      </c>
      <c r="L1311" s="24" t="s">
        <v>64</v>
      </c>
      <c r="M1311" s="24">
        <v>68</v>
      </c>
      <c r="N1311" s="41">
        <v>8805900</v>
      </c>
      <c r="O1311" s="41">
        <v>8805900</v>
      </c>
      <c r="P1311" s="24"/>
      <c r="Q1311" s="24"/>
      <c r="R1311" s="24"/>
      <c r="S1311" s="24"/>
      <c r="T1311" s="24"/>
      <c r="U1311" s="24"/>
      <c r="V1311" s="24"/>
      <c r="W1311" s="24"/>
      <c r="X1311" s="24"/>
      <c r="Y1311" s="24"/>
      <c r="Z1311" s="24"/>
      <c r="AA1311" s="24"/>
      <c r="AB1311" s="24"/>
      <c r="AC1311" s="41">
        <v>8805900</v>
      </c>
      <c r="AD1311" s="24"/>
      <c r="AE1311" s="24"/>
    </row>
    <row r="1312" spans="1:34" s="1" customFormat="1" x14ac:dyDescent="0.25">
      <c r="A1312" s="21">
        <v>15</v>
      </c>
      <c r="B1312" s="22" t="s">
        <v>1800</v>
      </c>
      <c r="C1312" s="22" t="s">
        <v>1458</v>
      </c>
      <c r="D1312" s="65" t="s">
        <v>1459</v>
      </c>
      <c r="E1312" s="24" t="s">
        <v>263</v>
      </c>
      <c r="F1312" s="24"/>
      <c r="G1312" s="24" t="s">
        <v>1441</v>
      </c>
      <c r="H1312" s="24" t="s">
        <v>62</v>
      </c>
      <c r="I1312" s="24">
        <v>2007</v>
      </c>
      <c r="J1312" s="24"/>
      <c r="K1312" s="24" t="s">
        <v>63</v>
      </c>
      <c r="L1312" s="24" t="s">
        <v>64</v>
      </c>
      <c r="M1312" s="24">
        <v>49</v>
      </c>
      <c r="N1312" s="41">
        <v>2496800</v>
      </c>
      <c r="O1312" s="41">
        <v>2496800</v>
      </c>
      <c r="P1312" s="24"/>
      <c r="Q1312" s="24"/>
      <c r="R1312" s="24"/>
      <c r="S1312" s="24"/>
      <c r="T1312" s="24"/>
      <c r="U1312" s="24"/>
      <c r="V1312" s="24"/>
      <c r="W1312" s="24"/>
      <c r="X1312" s="24"/>
      <c r="Y1312" s="24"/>
      <c r="Z1312" s="24"/>
      <c r="AA1312" s="24"/>
      <c r="AB1312" s="24"/>
      <c r="AC1312" s="41">
        <v>2496800</v>
      </c>
      <c r="AD1312" s="24"/>
      <c r="AE1312" s="24"/>
    </row>
    <row r="1313" spans="1:31" s="1" customFormat="1" x14ac:dyDescent="0.25">
      <c r="A1313" s="21">
        <v>16</v>
      </c>
      <c r="B1313" s="22" t="s">
        <v>1800</v>
      </c>
      <c r="C1313" s="22" t="s">
        <v>1460</v>
      </c>
      <c r="D1313" s="65" t="s">
        <v>1461</v>
      </c>
      <c r="E1313" s="24" t="s">
        <v>263</v>
      </c>
      <c r="F1313" s="24"/>
      <c r="G1313" s="24" t="s">
        <v>1441</v>
      </c>
      <c r="H1313" s="24" t="s">
        <v>62</v>
      </c>
      <c r="I1313" s="24">
        <v>2007</v>
      </c>
      <c r="J1313" s="24"/>
      <c r="K1313" s="24" t="s">
        <v>63</v>
      </c>
      <c r="L1313" s="24" t="s">
        <v>64</v>
      </c>
      <c r="M1313" s="24">
        <v>144</v>
      </c>
      <c r="N1313" s="41">
        <v>8290800</v>
      </c>
      <c r="O1313" s="41">
        <v>8290800</v>
      </c>
      <c r="P1313" s="24"/>
      <c r="Q1313" s="24"/>
      <c r="R1313" s="24"/>
      <c r="S1313" s="24"/>
      <c r="T1313" s="24"/>
      <c r="U1313" s="24"/>
      <c r="V1313" s="24"/>
      <c r="W1313" s="24"/>
      <c r="X1313" s="24"/>
      <c r="Y1313" s="24"/>
      <c r="Z1313" s="24"/>
      <c r="AA1313" s="24"/>
      <c r="AB1313" s="24"/>
      <c r="AC1313" s="41">
        <v>8290800</v>
      </c>
      <c r="AD1313" s="24"/>
      <c r="AE1313" s="24"/>
    </row>
    <row r="1314" spans="1:31" s="1" customFormat="1" x14ac:dyDescent="0.25">
      <c r="A1314" s="21">
        <v>17</v>
      </c>
      <c r="B1314" s="22" t="s">
        <v>1800</v>
      </c>
      <c r="C1314" s="22" t="s">
        <v>1028</v>
      </c>
      <c r="D1314" s="65" t="s">
        <v>1462</v>
      </c>
      <c r="E1314" s="24" t="s">
        <v>263</v>
      </c>
      <c r="F1314" s="24"/>
      <c r="G1314" s="24" t="s">
        <v>1441</v>
      </c>
      <c r="H1314" s="24" t="s">
        <v>62</v>
      </c>
      <c r="I1314" s="24">
        <v>2015</v>
      </c>
      <c r="J1314" s="24"/>
      <c r="K1314" s="24" t="s">
        <v>664</v>
      </c>
      <c r="L1314" s="24" t="s">
        <v>64</v>
      </c>
      <c r="M1314" s="24">
        <v>1</v>
      </c>
      <c r="N1314" s="41">
        <v>20373100</v>
      </c>
      <c r="O1314" s="41">
        <v>20373100</v>
      </c>
      <c r="P1314" s="24"/>
      <c r="Q1314" s="24"/>
      <c r="R1314" s="24"/>
      <c r="S1314" s="24"/>
      <c r="T1314" s="24"/>
      <c r="U1314" s="24"/>
      <c r="V1314" s="24"/>
      <c r="W1314" s="24"/>
      <c r="X1314" s="24"/>
      <c r="Y1314" s="24"/>
      <c r="Z1314" s="24"/>
      <c r="AA1314" s="24"/>
      <c r="AB1314" s="24"/>
      <c r="AC1314" s="41">
        <v>20373100</v>
      </c>
      <c r="AD1314" s="24"/>
      <c r="AE1314" s="24"/>
    </row>
    <row r="1315" spans="1:31" s="1" customFormat="1" x14ac:dyDescent="0.25">
      <c r="A1315" s="21">
        <v>18</v>
      </c>
      <c r="B1315" s="22" t="s">
        <v>1800</v>
      </c>
      <c r="C1315" s="22" t="s">
        <v>1029</v>
      </c>
      <c r="D1315" s="65" t="s">
        <v>1462</v>
      </c>
      <c r="E1315" s="24" t="s">
        <v>263</v>
      </c>
      <c r="F1315" s="24"/>
      <c r="G1315" s="24" t="s">
        <v>1441</v>
      </c>
      <c r="H1315" s="24" t="s">
        <v>62</v>
      </c>
      <c r="I1315" s="24">
        <v>2016</v>
      </c>
      <c r="J1315" s="24"/>
      <c r="K1315" s="24" t="s">
        <v>664</v>
      </c>
      <c r="L1315" s="24" t="s">
        <v>64</v>
      </c>
      <c r="M1315" s="24">
        <v>1</v>
      </c>
      <c r="N1315" s="41">
        <v>24844600</v>
      </c>
      <c r="O1315" s="41">
        <v>24844600</v>
      </c>
      <c r="P1315" s="24"/>
      <c r="Q1315" s="24"/>
      <c r="R1315" s="24"/>
      <c r="S1315" s="24"/>
      <c r="T1315" s="24"/>
      <c r="U1315" s="24"/>
      <c r="V1315" s="24"/>
      <c r="W1315" s="24"/>
      <c r="X1315" s="24"/>
      <c r="Y1315" s="24"/>
      <c r="Z1315" s="24"/>
      <c r="AA1315" s="24"/>
      <c r="AB1315" s="24"/>
      <c r="AC1315" s="41">
        <v>24844600</v>
      </c>
      <c r="AD1315" s="24"/>
      <c r="AE1315" s="24"/>
    </row>
    <row r="1316" spans="1:31" s="1" customFormat="1" x14ac:dyDescent="0.25">
      <c r="A1316" s="21">
        <v>19</v>
      </c>
      <c r="B1316" s="22" t="s">
        <v>1800</v>
      </c>
      <c r="C1316" s="22" t="s">
        <v>1030</v>
      </c>
      <c r="D1316" s="65" t="s">
        <v>1462</v>
      </c>
      <c r="E1316" s="24"/>
      <c r="F1316" s="24"/>
      <c r="G1316" s="24" t="s">
        <v>1441</v>
      </c>
      <c r="H1316" s="24" t="s">
        <v>62</v>
      </c>
      <c r="I1316" s="24">
        <v>2017</v>
      </c>
      <c r="J1316" s="24"/>
      <c r="K1316" s="24" t="s">
        <v>261</v>
      </c>
      <c r="L1316" s="24" t="s">
        <v>64</v>
      </c>
      <c r="M1316" s="24">
        <v>1</v>
      </c>
      <c r="N1316" s="41">
        <v>34989141</v>
      </c>
      <c r="O1316" s="41">
        <v>34989141</v>
      </c>
      <c r="P1316" s="24"/>
      <c r="Q1316" s="24"/>
      <c r="R1316" s="24"/>
      <c r="S1316" s="24"/>
      <c r="T1316" s="24"/>
      <c r="U1316" s="24"/>
      <c r="V1316" s="24"/>
      <c r="W1316" s="24"/>
      <c r="X1316" s="24"/>
      <c r="Y1316" s="24"/>
      <c r="Z1316" s="24"/>
      <c r="AA1316" s="24"/>
      <c r="AB1316" s="24"/>
      <c r="AC1316" s="41">
        <v>34989141</v>
      </c>
      <c r="AD1316" s="24"/>
      <c r="AE1316" s="24"/>
    </row>
    <row r="1317" spans="1:31" s="1" customFormat="1" x14ac:dyDescent="0.25">
      <c r="A1317" s="21">
        <v>20</v>
      </c>
      <c r="B1317" s="22" t="s">
        <v>1800</v>
      </c>
      <c r="C1317" s="22" t="s">
        <v>1032</v>
      </c>
      <c r="D1317" s="65" t="s">
        <v>1462</v>
      </c>
      <c r="E1317" s="24"/>
      <c r="F1317" s="24"/>
      <c r="G1317" s="24" t="s">
        <v>1441</v>
      </c>
      <c r="H1317" s="24" t="s">
        <v>62</v>
      </c>
      <c r="I1317" s="24">
        <v>2018</v>
      </c>
      <c r="J1317" s="24"/>
      <c r="K1317" s="24" t="s">
        <v>261</v>
      </c>
      <c r="L1317" s="24" t="s">
        <v>64</v>
      </c>
      <c r="M1317" s="24">
        <v>1</v>
      </c>
      <c r="N1317" s="41">
        <v>51578800</v>
      </c>
      <c r="O1317" s="41">
        <v>51578800</v>
      </c>
      <c r="P1317" s="24"/>
      <c r="Q1317" s="24"/>
      <c r="R1317" s="24"/>
      <c r="S1317" s="24"/>
      <c r="T1317" s="24"/>
      <c r="U1317" s="24"/>
      <c r="V1317" s="24"/>
      <c r="W1317" s="24"/>
      <c r="X1317" s="24"/>
      <c r="Y1317" s="24"/>
      <c r="Z1317" s="24"/>
      <c r="AA1317" s="24"/>
      <c r="AB1317" s="24"/>
      <c r="AC1317" s="41">
        <v>51578800</v>
      </c>
      <c r="AD1317" s="24"/>
      <c r="AE1317" s="24"/>
    </row>
    <row r="1318" spans="1:31" s="1" customFormat="1" x14ac:dyDescent="0.25">
      <c r="A1318" s="21"/>
      <c r="B1318" s="22" t="s">
        <v>1800</v>
      </c>
      <c r="C1318" s="99" t="s">
        <v>1212</v>
      </c>
      <c r="D1318" s="100" t="s">
        <v>1462</v>
      </c>
      <c r="E1318" s="101"/>
      <c r="F1318" s="101"/>
      <c r="G1318" s="101" t="s">
        <v>1441</v>
      </c>
      <c r="H1318" s="101" t="s">
        <v>62</v>
      </c>
      <c r="I1318" s="101">
        <v>2020</v>
      </c>
      <c r="J1318" s="101"/>
      <c r="K1318" s="101" t="s">
        <v>261</v>
      </c>
      <c r="L1318" s="101" t="s">
        <v>64</v>
      </c>
      <c r="M1318" s="101">
        <v>1</v>
      </c>
      <c r="N1318" s="77">
        <v>37914574</v>
      </c>
      <c r="O1318" s="77">
        <v>37914574</v>
      </c>
      <c r="P1318" s="24"/>
      <c r="Q1318" s="24"/>
      <c r="R1318" s="24"/>
      <c r="S1318" s="24"/>
      <c r="T1318" s="24"/>
      <c r="U1318" s="24"/>
      <c r="V1318" s="24"/>
      <c r="W1318" s="24"/>
      <c r="X1318" s="24"/>
      <c r="Y1318" s="24"/>
      <c r="Z1318" s="24"/>
      <c r="AA1318" s="24"/>
      <c r="AB1318" s="24"/>
      <c r="AC1318" s="53">
        <v>37914574</v>
      </c>
      <c r="AD1318" s="24"/>
      <c r="AE1318" s="24"/>
    </row>
    <row r="1319" spans="1:31" s="1" customFormat="1" x14ac:dyDescent="0.25">
      <c r="A1319" s="21"/>
      <c r="B1319" s="22"/>
      <c r="C1319" s="22"/>
      <c r="D1319" s="65"/>
      <c r="E1319" s="24"/>
      <c r="F1319" s="24"/>
      <c r="G1319" s="24"/>
      <c r="H1319" s="24"/>
      <c r="I1319" s="24"/>
      <c r="J1319" s="24"/>
      <c r="K1319" s="24"/>
      <c r="L1319" s="24"/>
      <c r="M1319" s="24"/>
      <c r="N1319" s="24"/>
      <c r="O1319" s="24"/>
      <c r="P1319" s="24"/>
      <c r="Q1319" s="24"/>
      <c r="R1319" s="24"/>
      <c r="S1319" s="24"/>
      <c r="T1319" s="24"/>
      <c r="U1319" s="24"/>
      <c r="V1319" s="24"/>
      <c r="W1319" s="24"/>
      <c r="X1319" s="24"/>
      <c r="Y1319" s="24"/>
      <c r="Z1319" s="24"/>
      <c r="AA1319" s="24"/>
      <c r="AB1319" s="24"/>
      <c r="AC1319" s="24"/>
      <c r="AD1319" s="24"/>
      <c r="AE1319" s="24"/>
    </row>
    <row r="1320" spans="1:31" s="1" customFormat="1" ht="25.5" x14ac:dyDescent="0.25">
      <c r="A1320" s="25"/>
      <c r="B1320" s="26" t="s">
        <v>1463</v>
      </c>
      <c r="C1320" s="26"/>
      <c r="D1320" s="64" t="s">
        <v>1464</v>
      </c>
      <c r="E1320" s="28"/>
      <c r="F1320" s="28"/>
      <c r="G1320" s="28"/>
      <c r="H1320" s="28"/>
      <c r="I1320" s="28"/>
      <c r="J1320" s="28"/>
      <c r="K1320" s="28"/>
      <c r="L1320" s="28"/>
      <c r="M1320" s="28">
        <f>SUM(M1321:M1323)</f>
        <v>0</v>
      </c>
      <c r="N1320" s="28"/>
      <c r="O1320" s="28">
        <f>SUM(O1321:O1323)</f>
        <v>0</v>
      </c>
      <c r="P1320" s="28">
        <f t="shared" ref="P1320:AC1320" si="503">SUM(P1321:P1323)</f>
        <v>0</v>
      </c>
      <c r="Q1320" s="28">
        <f t="shared" si="503"/>
        <v>0</v>
      </c>
      <c r="R1320" s="28">
        <f t="shared" si="503"/>
        <v>0</v>
      </c>
      <c r="S1320" s="28">
        <f t="shared" si="503"/>
        <v>0</v>
      </c>
      <c r="T1320" s="28"/>
      <c r="U1320" s="28">
        <f t="shared" si="503"/>
        <v>0</v>
      </c>
      <c r="V1320" s="28"/>
      <c r="W1320" s="28">
        <f t="shared" si="503"/>
        <v>0</v>
      </c>
      <c r="X1320" s="28"/>
      <c r="Y1320" s="28">
        <f t="shared" si="503"/>
        <v>0</v>
      </c>
      <c r="Z1320" s="28">
        <f t="shared" si="503"/>
        <v>0</v>
      </c>
      <c r="AA1320" s="28"/>
      <c r="AB1320" s="28">
        <f t="shared" si="503"/>
        <v>0</v>
      </c>
      <c r="AC1320" s="28">
        <f t="shared" si="503"/>
        <v>0</v>
      </c>
      <c r="AD1320" s="28"/>
      <c r="AE1320" s="28"/>
    </row>
    <row r="1321" spans="1:31" s="1" customFormat="1" x14ac:dyDescent="0.25">
      <c r="A1321" s="21"/>
      <c r="B1321" s="22"/>
      <c r="C1321" s="22"/>
      <c r="D1321" s="65"/>
      <c r="E1321" s="24"/>
      <c r="F1321" s="24"/>
      <c r="G1321" s="24"/>
      <c r="H1321" s="24"/>
      <c r="I1321" s="24"/>
      <c r="J1321" s="24"/>
      <c r="K1321" s="24"/>
      <c r="L1321" s="24"/>
      <c r="M1321" s="24"/>
      <c r="N1321" s="24"/>
      <c r="O1321" s="24"/>
      <c r="P1321" s="24"/>
      <c r="Q1321" s="24"/>
      <c r="R1321" s="24"/>
      <c r="S1321" s="24"/>
      <c r="T1321" s="24"/>
      <c r="U1321" s="24"/>
      <c r="V1321" s="24"/>
      <c r="W1321" s="24"/>
      <c r="X1321" s="24"/>
      <c r="Y1321" s="24"/>
      <c r="Z1321" s="24"/>
      <c r="AA1321" s="24"/>
      <c r="AB1321" s="24"/>
      <c r="AC1321" s="24"/>
      <c r="AD1321" s="24"/>
      <c r="AE1321" s="24"/>
    </row>
    <row r="1322" spans="1:31" s="1" customFormat="1" x14ac:dyDescent="0.25">
      <c r="A1322" s="21"/>
      <c r="B1322" s="22"/>
      <c r="C1322" s="22"/>
      <c r="D1322" s="65"/>
      <c r="E1322" s="24"/>
      <c r="F1322" s="24"/>
      <c r="G1322" s="24"/>
      <c r="H1322" s="24"/>
      <c r="I1322" s="24"/>
      <c r="J1322" s="24"/>
      <c r="K1322" s="24"/>
      <c r="L1322" s="24"/>
      <c r="M1322" s="24"/>
      <c r="N1322" s="24"/>
      <c r="O1322" s="24"/>
      <c r="P1322" s="24"/>
      <c r="Q1322" s="24"/>
      <c r="R1322" s="24"/>
      <c r="S1322" s="24"/>
      <c r="T1322" s="24"/>
      <c r="U1322" s="24"/>
      <c r="V1322" s="24"/>
      <c r="W1322" s="24"/>
      <c r="X1322" s="24"/>
      <c r="Y1322" s="24"/>
      <c r="Z1322" s="24"/>
      <c r="AA1322" s="24"/>
      <c r="AB1322" s="24"/>
      <c r="AC1322" s="24"/>
      <c r="AD1322" s="24"/>
      <c r="AE1322" s="24"/>
    </row>
    <row r="1323" spans="1:31" s="1" customFormat="1" x14ac:dyDescent="0.25">
      <c r="A1323" s="21"/>
      <c r="B1323" s="22"/>
      <c r="C1323" s="22"/>
      <c r="D1323" s="65"/>
      <c r="E1323" s="24"/>
      <c r="F1323" s="24"/>
      <c r="G1323" s="24"/>
      <c r="H1323" s="24"/>
      <c r="I1323" s="24"/>
      <c r="J1323" s="24"/>
      <c r="K1323" s="24"/>
      <c r="L1323" s="24"/>
      <c r="M1323" s="24"/>
      <c r="N1323" s="24"/>
      <c r="O1323" s="24"/>
      <c r="P1323" s="24"/>
      <c r="Q1323" s="24"/>
      <c r="R1323" s="24"/>
      <c r="S1323" s="24"/>
      <c r="T1323" s="24"/>
      <c r="U1323" s="24"/>
      <c r="V1323" s="24"/>
      <c r="W1323" s="24"/>
      <c r="X1323" s="24"/>
      <c r="Y1323" s="24"/>
      <c r="Z1323" s="24"/>
      <c r="AA1323" s="24"/>
      <c r="AB1323" s="24"/>
      <c r="AC1323" s="24"/>
      <c r="AD1323" s="24"/>
      <c r="AE1323" s="24"/>
    </row>
    <row r="1324" spans="1:31" s="1" customFormat="1" x14ac:dyDescent="0.25">
      <c r="A1324" s="25"/>
      <c r="B1324" s="26" t="s">
        <v>1465</v>
      </c>
      <c r="C1324" s="26"/>
      <c r="D1324" s="64" t="s">
        <v>1466</v>
      </c>
      <c r="E1324" s="28"/>
      <c r="F1324" s="28"/>
      <c r="G1324" s="28"/>
      <c r="H1324" s="28"/>
      <c r="I1324" s="28"/>
      <c r="J1324" s="28"/>
      <c r="K1324" s="28"/>
      <c r="L1324" s="28"/>
      <c r="M1324" s="28">
        <f>SUM(M1325:M1327)</f>
        <v>0</v>
      </c>
      <c r="N1324" s="28"/>
      <c r="O1324" s="28">
        <f t="shared" ref="O1324:AC1324" si="504">SUM(O1325:O1327)</f>
        <v>0</v>
      </c>
      <c r="P1324" s="28">
        <f t="shared" si="504"/>
        <v>0</v>
      </c>
      <c r="Q1324" s="28">
        <f t="shared" si="504"/>
        <v>0</v>
      </c>
      <c r="R1324" s="28">
        <f t="shared" si="504"/>
        <v>0</v>
      </c>
      <c r="S1324" s="28">
        <f t="shared" si="504"/>
        <v>0</v>
      </c>
      <c r="T1324" s="28"/>
      <c r="U1324" s="28">
        <f t="shared" si="504"/>
        <v>0</v>
      </c>
      <c r="V1324" s="28"/>
      <c r="W1324" s="28">
        <f t="shared" si="504"/>
        <v>0</v>
      </c>
      <c r="X1324" s="28"/>
      <c r="Y1324" s="28">
        <f t="shared" si="504"/>
        <v>0</v>
      </c>
      <c r="Z1324" s="28">
        <f t="shared" si="504"/>
        <v>0</v>
      </c>
      <c r="AA1324" s="28"/>
      <c r="AB1324" s="28">
        <f t="shared" si="504"/>
        <v>0</v>
      </c>
      <c r="AC1324" s="28">
        <f t="shared" si="504"/>
        <v>0</v>
      </c>
      <c r="AD1324" s="28"/>
      <c r="AE1324" s="28"/>
    </row>
    <row r="1325" spans="1:31" s="1" customFormat="1" x14ac:dyDescent="0.25">
      <c r="A1325" s="21"/>
      <c r="B1325" s="22"/>
      <c r="C1325" s="22"/>
      <c r="D1325" s="65"/>
      <c r="E1325" s="24"/>
      <c r="F1325" s="24"/>
      <c r="G1325" s="24"/>
      <c r="H1325" s="24"/>
      <c r="I1325" s="24"/>
      <c r="J1325" s="24"/>
      <c r="K1325" s="24"/>
      <c r="L1325" s="24"/>
      <c r="M1325" s="24"/>
      <c r="N1325" s="24"/>
      <c r="O1325" s="24"/>
      <c r="P1325" s="24"/>
      <c r="Q1325" s="24"/>
      <c r="R1325" s="24"/>
      <c r="S1325" s="24"/>
      <c r="T1325" s="24"/>
      <c r="U1325" s="24"/>
      <c r="V1325" s="24"/>
      <c r="W1325" s="24"/>
      <c r="X1325" s="24"/>
      <c r="Y1325" s="24"/>
      <c r="Z1325" s="24"/>
      <c r="AA1325" s="24"/>
      <c r="AB1325" s="24"/>
      <c r="AC1325" s="24"/>
      <c r="AD1325" s="24"/>
      <c r="AE1325" s="24"/>
    </row>
    <row r="1326" spans="1:31" s="1" customFormat="1" x14ac:dyDescent="0.25">
      <c r="A1326" s="21"/>
      <c r="B1326" s="22"/>
      <c r="C1326" s="22"/>
      <c r="D1326" s="65"/>
      <c r="E1326" s="24"/>
      <c r="F1326" s="24"/>
      <c r="G1326" s="24"/>
      <c r="H1326" s="24"/>
      <c r="I1326" s="24"/>
      <c r="J1326" s="24"/>
      <c r="K1326" s="24"/>
      <c r="L1326" s="24"/>
      <c r="M1326" s="24"/>
      <c r="N1326" s="24"/>
      <c r="O1326" s="24"/>
      <c r="P1326" s="24"/>
      <c r="Q1326" s="24"/>
      <c r="R1326" s="24"/>
      <c r="S1326" s="24"/>
      <c r="T1326" s="24"/>
      <c r="U1326" s="24"/>
      <c r="V1326" s="24"/>
      <c r="W1326" s="24"/>
      <c r="X1326" s="24"/>
      <c r="Y1326" s="24"/>
      <c r="Z1326" s="24"/>
      <c r="AA1326" s="24"/>
      <c r="AB1326" s="24"/>
      <c r="AC1326" s="24"/>
      <c r="AD1326" s="24"/>
      <c r="AE1326" s="24"/>
    </row>
    <row r="1327" spans="1:31" s="1" customFormat="1" x14ac:dyDescent="0.25">
      <c r="A1327" s="21"/>
      <c r="B1327" s="22"/>
      <c r="C1327" s="22"/>
      <c r="D1327" s="65"/>
      <c r="E1327" s="24"/>
      <c r="F1327" s="24"/>
      <c r="G1327" s="24"/>
      <c r="H1327" s="24"/>
      <c r="I1327" s="24"/>
      <c r="J1327" s="24"/>
      <c r="K1327" s="24"/>
      <c r="L1327" s="24"/>
      <c r="M1327" s="24"/>
      <c r="N1327" s="24"/>
      <c r="O1327" s="24"/>
      <c r="P1327" s="24"/>
      <c r="Q1327" s="24"/>
      <c r="R1327" s="24"/>
      <c r="S1327" s="24"/>
      <c r="T1327" s="24"/>
      <c r="U1327" s="24"/>
      <c r="V1327" s="24"/>
      <c r="W1327" s="24"/>
      <c r="X1327" s="24"/>
      <c r="Y1327" s="24"/>
      <c r="Z1327" s="24"/>
      <c r="AA1327" s="24"/>
      <c r="AB1327" s="24"/>
      <c r="AC1327" s="24"/>
      <c r="AD1327" s="24"/>
      <c r="AE1327" s="24"/>
    </row>
    <row r="1328" spans="1:31" s="1" customFormat="1" x14ac:dyDescent="0.25">
      <c r="A1328" s="25"/>
      <c r="B1328" s="26" t="s">
        <v>1467</v>
      </c>
      <c r="C1328" s="26"/>
      <c r="D1328" s="64" t="s">
        <v>1468</v>
      </c>
      <c r="E1328" s="28"/>
      <c r="F1328" s="28"/>
      <c r="G1328" s="28"/>
      <c r="H1328" s="28"/>
      <c r="I1328" s="28"/>
      <c r="J1328" s="28"/>
      <c r="K1328" s="28"/>
      <c r="L1328" s="28"/>
      <c r="M1328" s="28">
        <f>SUM(M1329:M1331)</f>
        <v>0</v>
      </c>
      <c r="N1328" s="28"/>
      <c r="O1328" s="28">
        <f t="shared" ref="O1328:AC1328" si="505">SUM(O1329:O1331)</f>
        <v>0</v>
      </c>
      <c r="P1328" s="28">
        <f t="shared" si="505"/>
        <v>0</v>
      </c>
      <c r="Q1328" s="28">
        <f t="shared" si="505"/>
        <v>0</v>
      </c>
      <c r="R1328" s="28">
        <f t="shared" si="505"/>
        <v>0</v>
      </c>
      <c r="S1328" s="28">
        <f t="shared" si="505"/>
        <v>0</v>
      </c>
      <c r="T1328" s="28"/>
      <c r="U1328" s="28">
        <f t="shared" si="505"/>
        <v>0</v>
      </c>
      <c r="V1328" s="28"/>
      <c r="W1328" s="28">
        <f t="shared" si="505"/>
        <v>0</v>
      </c>
      <c r="X1328" s="28"/>
      <c r="Y1328" s="28">
        <f t="shared" si="505"/>
        <v>0</v>
      </c>
      <c r="Z1328" s="28">
        <f t="shared" si="505"/>
        <v>0</v>
      </c>
      <c r="AA1328" s="28"/>
      <c r="AB1328" s="28">
        <f t="shared" si="505"/>
        <v>0</v>
      </c>
      <c r="AC1328" s="28">
        <f t="shared" si="505"/>
        <v>0</v>
      </c>
      <c r="AD1328" s="28"/>
      <c r="AE1328" s="28"/>
    </row>
    <row r="1329" spans="1:31" s="1" customFormat="1" x14ac:dyDescent="0.25">
      <c r="A1329" s="21"/>
      <c r="B1329" s="22"/>
      <c r="C1329" s="22"/>
      <c r="D1329" s="65"/>
      <c r="E1329" s="24"/>
      <c r="F1329" s="24"/>
      <c r="G1329" s="24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  <c r="S1329" s="24"/>
      <c r="T1329" s="24"/>
      <c r="U1329" s="24"/>
      <c r="V1329" s="24"/>
      <c r="W1329" s="24"/>
      <c r="X1329" s="24"/>
      <c r="Y1329" s="24"/>
      <c r="Z1329" s="24"/>
      <c r="AA1329" s="24"/>
      <c r="AB1329" s="24"/>
      <c r="AC1329" s="24"/>
      <c r="AD1329" s="24"/>
      <c r="AE1329" s="24"/>
    </row>
    <row r="1330" spans="1:31" s="1" customFormat="1" x14ac:dyDescent="0.25">
      <c r="A1330" s="21"/>
      <c r="B1330" s="22"/>
      <c r="C1330" s="22"/>
      <c r="D1330" s="65"/>
      <c r="E1330" s="24"/>
      <c r="F1330" s="24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  <c r="S1330" s="24"/>
      <c r="T1330" s="24"/>
      <c r="U1330" s="24"/>
      <c r="V1330" s="24"/>
      <c r="W1330" s="24"/>
      <c r="X1330" s="24"/>
      <c r="Y1330" s="24"/>
      <c r="Z1330" s="24"/>
      <c r="AA1330" s="24"/>
      <c r="AB1330" s="24"/>
      <c r="AC1330" s="24"/>
      <c r="AD1330" s="24"/>
      <c r="AE1330" s="24"/>
    </row>
    <row r="1331" spans="1:31" s="1" customFormat="1" x14ac:dyDescent="0.25">
      <c r="A1331" s="21"/>
      <c r="B1331" s="22"/>
      <c r="C1331" s="22"/>
      <c r="D1331" s="65"/>
      <c r="E1331" s="24"/>
      <c r="F1331" s="24"/>
      <c r="G1331" s="24"/>
      <c r="H1331" s="24"/>
      <c r="I1331" s="24"/>
      <c r="J1331" s="24"/>
      <c r="K1331" s="24"/>
      <c r="L1331" s="24"/>
      <c r="M1331" s="24"/>
      <c r="N1331" s="24"/>
      <c r="O1331" s="24"/>
      <c r="P1331" s="24"/>
      <c r="Q1331" s="24"/>
      <c r="R1331" s="24"/>
      <c r="S1331" s="24"/>
      <c r="T1331" s="24"/>
      <c r="U1331" s="24"/>
      <c r="V1331" s="24"/>
      <c r="W1331" s="24"/>
      <c r="X1331" s="24"/>
      <c r="Y1331" s="24"/>
      <c r="Z1331" s="24"/>
      <c r="AA1331" s="24"/>
      <c r="AB1331" s="24"/>
      <c r="AC1331" s="24"/>
      <c r="AD1331" s="24"/>
      <c r="AE1331" s="24"/>
    </row>
    <row r="1332" spans="1:31" s="1" customFormat="1" ht="25.5" x14ac:dyDescent="0.25">
      <c r="A1332" s="25"/>
      <c r="B1332" s="26" t="s">
        <v>1469</v>
      </c>
      <c r="C1332" s="26"/>
      <c r="D1332" s="64" t="s">
        <v>1470</v>
      </c>
      <c r="E1332" s="28"/>
      <c r="F1332" s="28"/>
      <c r="G1332" s="28"/>
      <c r="H1332" s="28"/>
      <c r="I1332" s="28"/>
      <c r="J1332" s="28"/>
      <c r="K1332" s="28"/>
      <c r="L1332" s="28"/>
      <c r="M1332" s="28">
        <f>SUM(M1333:M1335)</f>
        <v>0</v>
      </c>
      <c r="N1332" s="28"/>
      <c r="O1332" s="28">
        <f t="shared" ref="O1332:AC1332" si="506">SUM(O1333:O1335)</f>
        <v>0</v>
      </c>
      <c r="P1332" s="28">
        <f t="shared" si="506"/>
        <v>0</v>
      </c>
      <c r="Q1332" s="28">
        <f t="shared" si="506"/>
        <v>0</v>
      </c>
      <c r="R1332" s="28">
        <f t="shared" si="506"/>
        <v>0</v>
      </c>
      <c r="S1332" s="28">
        <f t="shared" si="506"/>
        <v>0</v>
      </c>
      <c r="T1332" s="28"/>
      <c r="U1332" s="28">
        <f t="shared" si="506"/>
        <v>0</v>
      </c>
      <c r="V1332" s="28"/>
      <c r="W1332" s="28">
        <f t="shared" si="506"/>
        <v>0</v>
      </c>
      <c r="X1332" s="28"/>
      <c r="Y1332" s="28">
        <f t="shared" si="506"/>
        <v>0</v>
      </c>
      <c r="Z1332" s="28">
        <f t="shared" si="506"/>
        <v>0</v>
      </c>
      <c r="AA1332" s="28"/>
      <c r="AB1332" s="28">
        <f t="shared" si="506"/>
        <v>0</v>
      </c>
      <c r="AC1332" s="28">
        <f t="shared" si="506"/>
        <v>0</v>
      </c>
      <c r="AD1332" s="28"/>
      <c r="AE1332" s="28"/>
    </row>
    <row r="1333" spans="1:31" s="1" customFormat="1" x14ac:dyDescent="0.25">
      <c r="A1333" s="21"/>
      <c r="B1333" s="22"/>
      <c r="C1333" s="22"/>
      <c r="D1333" s="65"/>
      <c r="E1333" s="24"/>
      <c r="F1333" s="24"/>
      <c r="G1333" s="24"/>
      <c r="H1333" s="24"/>
      <c r="I1333" s="24"/>
      <c r="J1333" s="24"/>
      <c r="K1333" s="24"/>
      <c r="L1333" s="24"/>
      <c r="M1333" s="24"/>
      <c r="N1333" s="24"/>
      <c r="O1333" s="24"/>
      <c r="P1333" s="24"/>
      <c r="Q1333" s="24"/>
      <c r="R1333" s="24"/>
      <c r="S1333" s="24"/>
      <c r="T1333" s="24"/>
      <c r="U1333" s="24"/>
      <c r="V1333" s="24"/>
      <c r="W1333" s="24"/>
      <c r="X1333" s="24"/>
      <c r="Y1333" s="24"/>
      <c r="Z1333" s="24"/>
      <c r="AA1333" s="24"/>
      <c r="AB1333" s="24"/>
      <c r="AC1333" s="24"/>
      <c r="AD1333" s="24"/>
      <c r="AE1333" s="24"/>
    </row>
    <row r="1334" spans="1:31" s="1" customFormat="1" x14ac:dyDescent="0.25">
      <c r="A1334" s="21"/>
      <c r="B1334" s="22"/>
      <c r="C1334" s="22"/>
      <c r="D1334" s="65"/>
      <c r="E1334" s="24"/>
      <c r="F1334" s="24"/>
      <c r="G1334" s="24"/>
      <c r="H1334" s="24"/>
      <c r="I1334" s="24"/>
      <c r="J1334" s="24"/>
      <c r="K1334" s="24"/>
      <c r="L1334" s="24"/>
      <c r="M1334" s="24"/>
      <c r="N1334" s="24"/>
      <c r="O1334" s="24"/>
      <c r="P1334" s="24"/>
      <c r="Q1334" s="24"/>
      <c r="R1334" s="24"/>
      <c r="S1334" s="24"/>
      <c r="T1334" s="24"/>
      <c r="U1334" s="24"/>
      <c r="V1334" s="24"/>
      <c r="W1334" s="24"/>
      <c r="X1334" s="24"/>
      <c r="Y1334" s="24"/>
      <c r="Z1334" s="24"/>
      <c r="AA1334" s="24"/>
      <c r="AB1334" s="24"/>
      <c r="AC1334" s="24"/>
      <c r="AD1334" s="24"/>
      <c r="AE1334" s="24"/>
    </row>
    <row r="1335" spans="1:31" s="1" customFormat="1" x14ac:dyDescent="0.25">
      <c r="A1335" s="21"/>
      <c r="B1335" s="22"/>
      <c r="C1335" s="22"/>
      <c r="D1335" s="65"/>
      <c r="E1335" s="24"/>
      <c r="F1335" s="24"/>
      <c r="G1335" s="24"/>
      <c r="H1335" s="24"/>
      <c r="I1335" s="24"/>
      <c r="J1335" s="24"/>
      <c r="K1335" s="24"/>
      <c r="L1335" s="24"/>
      <c r="M1335" s="24"/>
      <c r="N1335" s="24"/>
      <c r="O1335" s="24"/>
      <c r="P1335" s="24"/>
      <c r="Q1335" s="24"/>
      <c r="R1335" s="24"/>
      <c r="S1335" s="24"/>
      <c r="T1335" s="24"/>
      <c r="U1335" s="24"/>
      <c r="V1335" s="24"/>
      <c r="W1335" s="24"/>
      <c r="X1335" s="24"/>
      <c r="Y1335" s="24"/>
      <c r="Z1335" s="24"/>
      <c r="AA1335" s="24"/>
      <c r="AB1335" s="24"/>
      <c r="AC1335" s="24"/>
      <c r="AD1335" s="24"/>
      <c r="AE1335" s="24"/>
    </row>
    <row r="1336" spans="1:31" s="1" customFormat="1" ht="25.5" x14ac:dyDescent="0.25">
      <c r="A1336" s="25"/>
      <c r="B1336" s="26" t="s">
        <v>1471</v>
      </c>
      <c r="C1336" s="26"/>
      <c r="D1336" s="64" t="s">
        <v>1472</v>
      </c>
      <c r="E1336" s="28"/>
      <c r="F1336" s="28"/>
      <c r="G1336" s="28"/>
      <c r="H1336" s="28"/>
      <c r="I1336" s="28"/>
      <c r="J1336" s="28"/>
      <c r="K1336" s="28"/>
      <c r="L1336" s="28"/>
      <c r="M1336" s="28">
        <f>SUM(M1337:M1339)</f>
        <v>0</v>
      </c>
      <c r="N1336" s="28"/>
      <c r="O1336" s="28">
        <f t="shared" ref="O1336:AC1336" si="507">SUM(O1337:O1339)</f>
        <v>0</v>
      </c>
      <c r="P1336" s="28">
        <f t="shared" si="507"/>
        <v>0</v>
      </c>
      <c r="Q1336" s="28">
        <f t="shared" si="507"/>
        <v>0</v>
      </c>
      <c r="R1336" s="28">
        <f t="shared" si="507"/>
        <v>0</v>
      </c>
      <c r="S1336" s="28">
        <f t="shared" si="507"/>
        <v>0</v>
      </c>
      <c r="T1336" s="28"/>
      <c r="U1336" s="28">
        <f t="shared" si="507"/>
        <v>0</v>
      </c>
      <c r="V1336" s="28"/>
      <c r="W1336" s="28">
        <f t="shared" si="507"/>
        <v>0</v>
      </c>
      <c r="X1336" s="28"/>
      <c r="Y1336" s="28">
        <f t="shared" si="507"/>
        <v>0</v>
      </c>
      <c r="Z1336" s="28">
        <f t="shared" si="507"/>
        <v>0</v>
      </c>
      <c r="AA1336" s="28"/>
      <c r="AB1336" s="28">
        <f t="shared" si="507"/>
        <v>0</v>
      </c>
      <c r="AC1336" s="28">
        <f t="shared" si="507"/>
        <v>0</v>
      </c>
      <c r="AD1336" s="28"/>
      <c r="AE1336" s="28"/>
    </row>
    <row r="1337" spans="1:31" s="1" customFormat="1" x14ac:dyDescent="0.25">
      <c r="A1337" s="21"/>
      <c r="B1337" s="22"/>
      <c r="C1337" s="22"/>
      <c r="D1337" s="65"/>
      <c r="E1337" s="24"/>
      <c r="F1337" s="24"/>
      <c r="G1337" s="24"/>
      <c r="H1337" s="24"/>
      <c r="I1337" s="24"/>
      <c r="J1337" s="24"/>
      <c r="K1337" s="24"/>
      <c r="L1337" s="24"/>
      <c r="M1337" s="24"/>
      <c r="N1337" s="24"/>
      <c r="O1337" s="24"/>
      <c r="P1337" s="24"/>
      <c r="Q1337" s="24"/>
      <c r="R1337" s="24"/>
      <c r="S1337" s="24"/>
      <c r="T1337" s="24"/>
      <c r="U1337" s="24"/>
      <c r="V1337" s="24"/>
      <c r="W1337" s="24"/>
      <c r="X1337" s="24"/>
      <c r="Y1337" s="24"/>
      <c r="Z1337" s="24"/>
      <c r="AA1337" s="24"/>
      <c r="AB1337" s="24"/>
      <c r="AC1337" s="24"/>
      <c r="AD1337" s="24"/>
      <c r="AE1337" s="24"/>
    </row>
    <row r="1338" spans="1:31" s="1" customFormat="1" x14ac:dyDescent="0.25">
      <c r="A1338" s="21"/>
      <c r="B1338" s="22"/>
      <c r="C1338" s="22"/>
      <c r="D1338" s="65"/>
      <c r="E1338" s="24"/>
      <c r="F1338" s="24"/>
      <c r="G1338" s="24"/>
      <c r="H1338" s="24"/>
      <c r="I1338" s="24"/>
      <c r="J1338" s="24"/>
      <c r="K1338" s="24"/>
      <c r="L1338" s="24"/>
      <c r="M1338" s="24"/>
      <c r="N1338" s="24"/>
      <c r="O1338" s="24"/>
      <c r="P1338" s="24"/>
      <c r="Q1338" s="24"/>
      <c r="R1338" s="24"/>
      <c r="S1338" s="24"/>
      <c r="T1338" s="24"/>
      <c r="U1338" s="24"/>
      <c r="V1338" s="24"/>
      <c r="W1338" s="24"/>
      <c r="X1338" s="24"/>
      <c r="Y1338" s="24"/>
      <c r="Z1338" s="24"/>
      <c r="AA1338" s="24"/>
      <c r="AB1338" s="24"/>
      <c r="AC1338" s="24"/>
      <c r="AD1338" s="24"/>
      <c r="AE1338" s="24"/>
    </row>
    <row r="1339" spans="1:31" s="1" customFormat="1" x14ac:dyDescent="0.25">
      <c r="A1339" s="21"/>
      <c r="B1339" s="22"/>
      <c r="C1339" s="22"/>
      <c r="D1339" s="65"/>
      <c r="E1339" s="24"/>
      <c r="F1339" s="24"/>
      <c r="G1339" s="24"/>
      <c r="H1339" s="24"/>
      <c r="I1339" s="24"/>
      <c r="J1339" s="24"/>
      <c r="K1339" s="24"/>
      <c r="L1339" s="24"/>
      <c r="M1339" s="24"/>
      <c r="N1339" s="24"/>
      <c r="O1339" s="24"/>
      <c r="P1339" s="24"/>
      <c r="Q1339" s="24"/>
      <c r="R1339" s="24"/>
      <c r="S1339" s="24"/>
      <c r="T1339" s="24"/>
      <c r="U1339" s="24"/>
      <c r="V1339" s="24"/>
      <c r="W1339" s="24"/>
      <c r="X1339" s="24"/>
      <c r="Y1339" s="24"/>
      <c r="Z1339" s="24"/>
      <c r="AA1339" s="24"/>
      <c r="AB1339" s="24"/>
      <c r="AC1339" s="24"/>
      <c r="AD1339" s="24"/>
      <c r="AE1339" s="24"/>
    </row>
    <row r="1340" spans="1:31" s="1" customFormat="1" x14ac:dyDescent="0.25">
      <c r="A1340" s="25"/>
      <c r="B1340" s="26" t="s">
        <v>1473</v>
      </c>
      <c r="C1340" s="26"/>
      <c r="D1340" s="64" t="s">
        <v>1474</v>
      </c>
      <c r="E1340" s="28"/>
      <c r="F1340" s="28"/>
      <c r="G1340" s="28"/>
      <c r="H1340" s="28"/>
      <c r="I1340" s="28"/>
      <c r="J1340" s="28"/>
      <c r="K1340" s="28"/>
      <c r="L1340" s="28"/>
      <c r="M1340" s="28">
        <f>SUM(M1341:M1343)</f>
        <v>0</v>
      </c>
      <c r="N1340" s="28"/>
      <c r="O1340" s="28">
        <f t="shared" ref="O1340:AC1340" si="508">SUM(O1341:O1343)</f>
        <v>0</v>
      </c>
      <c r="P1340" s="28">
        <f t="shared" si="508"/>
        <v>0</v>
      </c>
      <c r="Q1340" s="28">
        <f t="shared" si="508"/>
        <v>0</v>
      </c>
      <c r="R1340" s="28">
        <f t="shared" si="508"/>
        <v>0</v>
      </c>
      <c r="S1340" s="28">
        <f t="shared" si="508"/>
        <v>0</v>
      </c>
      <c r="T1340" s="28"/>
      <c r="U1340" s="28">
        <f t="shared" si="508"/>
        <v>0</v>
      </c>
      <c r="V1340" s="28"/>
      <c r="W1340" s="28">
        <f t="shared" si="508"/>
        <v>0</v>
      </c>
      <c r="X1340" s="28"/>
      <c r="Y1340" s="28">
        <f t="shared" si="508"/>
        <v>0</v>
      </c>
      <c r="Z1340" s="28">
        <f t="shared" si="508"/>
        <v>0</v>
      </c>
      <c r="AA1340" s="28"/>
      <c r="AB1340" s="28">
        <f t="shared" si="508"/>
        <v>0</v>
      </c>
      <c r="AC1340" s="28">
        <f t="shared" si="508"/>
        <v>0</v>
      </c>
      <c r="AD1340" s="28"/>
      <c r="AE1340" s="28"/>
    </row>
    <row r="1341" spans="1:31" s="1" customFormat="1" x14ac:dyDescent="0.25">
      <c r="A1341" s="21"/>
      <c r="B1341" s="22"/>
      <c r="C1341" s="22"/>
      <c r="D1341" s="65"/>
      <c r="E1341" s="24"/>
      <c r="F1341" s="24"/>
      <c r="G1341" s="24"/>
      <c r="H1341" s="24"/>
      <c r="I1341" s="24"/>
      <c r="J1341" s="24"/>
      <c r="K1341" s="24"/>
      <c r="L1341" s="24"/>
      <c r="M1341" s="24"/>
      <c r="N1341" s="24"/>
      <c r="O1341" s="24"/>
      <c r="P1341" s="24"/>
      <c r="Q1341" s="24"/>
      <c r="R1341" s="24"/>
      <c r="S1341" s="24"/>
      <c r="T1341" s="24"/>
      <c r="U1341" s="24"/>
      <c r="V1341" s="24"/>
      <c r="W1341" s="24"/>
      <c r="X1341" s="24"/>
      <c r="Y1341" s="24"/>
      <c r="Z1341" s="24"/>
      <c r="AA1341" s="24"/>
      <c r="AB1341" s="24"/>
      <c r="AC1341" s="24"/>
      <c r="AD1341" s="24"/>
      <c r="AE1341" s="24"/>
    </row>
    <row r="1342" spans="1:31" s="1" customFormat="1" x14ac:dyDescent="0.25">
      <c r="A1342" s="21"/>
      <c r="B1342" s="22"/>
      <c r="C1342" s="22"/>
      <c r="D1342" s="65"/>
      <c r="E1342" s="24"/>
      <c r="F1342" s="24"/>
      <c r="G1342" s="24"/>
      <c r="H1342" s="24"/>
      <c r="I1342" s="24"/>
      <c r="J1342" s="24"/>
      <c r="K1342" s="24"/>
      <c r="L1342" s="24"/>
      <c r="M1342" s="24"/>
      <c r="N1342" s="24"/>
      <c r="O1342" s="24"/>
      <c r="P1342" s="24"/>
      <c r="Q1342" s="24"/>
      <c r="R1342" s="24"/>
      <c r="S1342" s="24"/>
      <c r="T1342" s="24"/>
      <c r="U1342" s="24"/>
      <c r="V1342" s="24"/>
      <c r="W1342" s="24"/>
      <c r="X1342" s="24"/>
      <c r="Y1342" s="24"/>
      <c r="Z1342" s="24"/>
      <c r="AA1342" s="24"/>
      <c r="AB1342" s="24"/>
      <c r="AC1342" s="24"/>
      <c r="AD1342" s="24"/>
      <c r="AE1342" s="24"/>
    </row>
    <row r="1343" spans="1:31" s="1" customFormat="1" x14ac:dyDescent="0.25">
      <c r="A1343" s="21"/>
      <c r="B1343" s="22"/>
      <c r="C1343" s="22"/>
      <c r="D1343" s="65"/>
      <c r="E1343" s="24"/>
      <c r="F1343" s="24"/>
      <c r="G1343" s="24"/>
      <c r="H1343" s="24"/>
      <c r="I1343" s="24"/>
      <c r="J1343" s="24"/>
      <c r="K1343" s="24"/>
      <c r="L1343" s="24"/>
      <c r="M1343" s="24"/>
      <c r="N1343" s="24"/>
      <c r="O1343" s="24"/>
      <c r="P1343" s="24"/>
      <c r="Q1343" s="24"/>
      <c r="R1343" s="24"/>
      <c r="S1343" s="24"/>
      <c r="T1343" s="24"/>
      <c r="U1343" s="24"/>
      <c r="V1343" s="24"/>
      <c r="W1343" s="24"/>
      <c r="X1343" s="24"/>
      <c r="Y1343" s="24"/>
      <c r="Z1343" s="24"/>
      <c r="AA1343" s="24"/>
      <c r="AB1343" s="24"/>
      <c r="AC1343" s="24"/>
      <c r="AD1343" s="24"/>
      <c r="AE1343" s="24"/>
    </row>
    <row r="1344" spans="1:31" s="1" customFormat="1" ht="38.25" x14ac:dyDescent="0.25">
      <c r="A1344" s="17"/>
      <c r="B1344" s="18" t="s">
        <v>1475</v>
      </c>
      <c r="C1344" s="18"/>
      <c r="D1344" s="84" t="s">
        <v>1476</v>
      </c>
      <c r="E1344" s="20"/>
      <c r="F1344" s="20"/>
      <c r="G1344" s="20"/>
      <c r="H1344" s="20"/>
      <c r="I1344" s="20"/>
      <c r="J1344" s="20"/>
      <c r="K1344" s="20"/>
      <c r="L1344" s="20"/>
      <c r="M1344" s="20">
        <f>M1345+M1349+M1353</f>
        <v>0</v>
      </c>
      <c r="N1344" s="20"/>
      <c r="O1344" s="20">
        <f t="shared" ref="O1344:AC1344" si="509">O1345+O1349+O1353</f>
        <v>0</v>
      </c>
      <c r="P1344" s="20">
        <f t="shared" si="509"/>
        <v>0</v>
      </c>
      <c r="Q1344" s="20">
        <f t="shared" si="509"/>
        <v>0</v>
      </c>
      <c r="R1344" s="20">
        <f t="shared" si="509"/>
        <v>0</v>
      </c>
      <c r="S1344" s="20">
        <f t="shared" si="509"/>
        <v>0</v>
      </c>
      <c r="T1344" s="20"/>
      <c r="U1344" s="20">
        <f t="shared" si="509"/>
        <v>0</v>
      </c>
      <c r="V1344" s="20"/>
      <c r="W1344" s="20">
        <f t="shared" si="509"/>
        <v>0</v>
      </c>
      <c r="X1344" s="20"/>
      <c r="Y1344" s="20">
        <f t="shared" si="509"/>
        <v>0</v>
      </c>
      <c r="Z1344" s="20">
        <f t="shared" si="509"/>
        <v>0</v>
      </c>
      <c r="AA1344" s="20"/>
      <c r="AB1344" s="20">
        <f t="shared" si="509"/>
        <v>0</v>
      </c>
      <c r="AC1344" s="20">
        <f t="shared" si="509"/>
        <v>0</v>
      </c>
      <c r="AD1344" s="20"/>
      <c r="AE1344" s="20"/>
    </row>
    <row r="1345" spans="1:31" s="1" customFormat="1" x14ac:dyDescent="0.25">
      <c r="A1345" s="25"/>
      <c r="B1345" s="26" t="s">
        <v>1477</v>
      </c>
      <c r="C1345" s="26"/>
      <c r="D1345" s="64" t="s">
        <v>1478</v>
      </c>
      <c r="E1345" s="28"/>
      <c r="F1345" s="28"/>
      <c r="G1345" s="28"/>
      <c r="H1345" s="28"/>
      <c r="I1345" s="28"/>
      <c r="J1345" s="28"/>
      <c r="K1345" s="28"/>
      <c r="L1345" s="28"/>
      <c r="M1345" s="28">
        <f>SUM(M1346:M1348)</f>
        <v>0</v>
      </c>
      <c r="N1345" s="28"/>
      <c r="O1345" s="28">
        <f t="shared" ref="O1345:AC1345" si="510">SUM(O1346:O1348)</f>
        <v>0</v>
      </c>
      <c r="P1345" s="28">
        <f t="shared" si="510"/>
        <v>0</v>
      </c>
      <c r="Q1345" s="28">
        <f t="shared" si="510"/>
        <v>0</v>
      </c>
      <c r="R1345" s="28">
        <f t="shared" si="510"/>
        <v>0</v>
      </c>
      <c r="S1345" s="28">
        <f t="shared" si="510"/>
        <v>0</v>
      </c>
      <c r="T1345" s="28"/>
      <c r="U1345" s="28">
        <f t="shared" si="510"/>
        <v>0</v>
      </c>
      <c r="V1345" s="28"/>
      <c r="W1345" s="28">
        <f t="shared" si="510"/>
        <v>0</v>
      </c>
      <c r="X1345" s="28"/>
      <c r="Y1345" s="28">
        <f t="shared" si="510"/>
        <v>0</v>
      </c>
      <c r="Z1345" s="28">
        <f t="shared" si="510"/>
        <v>0</v>
      </c>
      <c r="AA1345" s="28"/>
      <c r="AB1345" s="28">
        <f t="shared" si="510"/>
        <v>0</v>
      </c>
      <c r="AC1345" s="28">
        <f t="shared" si="510"/>
        <v>0</v>
      </c>
      <c r="AD1345" s="28"/>
      <c r="AE1345" s="28"/>
    </row>
    <row r="1346" spans="1:31" s="1" customFormat="1" x14ac:dyDescent="0.25">
      <c r="A1346" s="21"/>
      <c r="B1346" s="22"/>
      <c r="C1346" s="22"/>
      <c r="D1346" s="65"/>
      <c r="E1346" s="24"/>
      <c r="F1346" s="24"/>
      <c r="G1346" s="24"/>
      <c r="H1346" s="24"/>
      <c r="I1346" s="24"/>
      <c r="J1346" s="24"/>
      <c r="K1346" s="24"/>
      <c r="L1346" s="24"/>
      <c r="M1346" s="24"/>
      <c r="N1346" s="24"/>
      <c r="O1346" s="24"/>
      <c r="P1346" s="24"/>
      <c r="Q1346" s="24"/>
      <c r="R1346" s="24"/>
      <c r="S1346" s="24"/>
      <c r="T1346" s="24"/>
      <c r="U1346" s="24"/>
      <c r="V1346" s="24"/>
      <c r="W1346" s="24"/>
      <c r="X1346" s="24"/>
      <c r="Y1346" s="24"/>
      <c r="Z1346" s="24"/>
      <c r="AA1346" s="24"/>
      <c r="AB1346" s="24"/>
      <c r="AC1346" s="24"/>
      <c r="AD1346" s="24"/>
      <c r="AE1346" s="24"/>
    </row>
    <row r="1347" spans="1:31" s="1" customFormat="1" x14ac:dyDescent="0.25">
      <c r="A1347" s="21"/>
      <c r="B1347" s="22"/>
      <c r="C1347" s="22"/>
      <c r="D1347" s="65"/>
      <c r="E1347" s="24"/>
      <c r="F1347" s="24"/>
      <c r="G1347" s="24"/>
      <c r="H1347" s="24"/>
      <c r="I1347" s="24"/>
      <c r="J1347" s="24"/>
      <c r="K1347" s="24"/>
      <c r="L1347" s="24"/>
      <c r="M1347" s="24"/>
      <c r="N1347" s="24"/>
      <c r="O1347" s="24"/>
      <c r="P1347" s="24"/>
      <c r="Q1347" s="24"/>
      <c r="R1347" s="24"/>
      <c r="S1347" s="24"/>
      <c r="T1347" s="24"/>
      <c r="U1347" s="24"/>
      <c r="V1347" s="24"/>
      <c r="W1347" s="24"/>
      <c r="X1347" s="24"/>
      <c r="Y1347" s="24"/>
      <c r="Z1347" s="24"/>
      <c r="AA1347" s="24"/>
      <c r="AB1347" s="24"/>
      <c r="AC1347" s="24"/>
      <c r="AD1347" s="24"/>
      <c r="AE1347" s="24"/>
    </row>
    <row r="1348" spans="1:31" s="1" customFormat="1" x14ac:dyDescent="0.25">
      <c r="A1348" s="21"/>
      <c r="B1348" s="22"/>
      <c r="C1348" s="22"/>
      <c r="D1348" s="65"/>
      <c r="E1348" s="24"/>
      <c r="F1348" s="24"/>
      <c r="G1348" s="24"/>
      <c r="H1348" s="24"/>
      <c r="I1348" s="24"/>
      <c r="J1348" s="24"/>
      <c r="K1348" s="24"/>
      <c r="L1348" s="24"/>
      <c r="M1348" s="24"/>
      <c r="N1348" s="24"/>
      <c r="O1348" s="24"/>
      <c r="P1348" s="24"/>
      <c r="Q1348" s="24"/>
      <c r="R1348" s="24"/>
      <c r="S1348" s="24"/>
      <c r="T1348" s="24"/>
      <c r="U1348" s="24"/>
      <c r="V1348" s="24"/>
      <c r="W1348" s="24"/>
      <c r="X1348" s="24"/>
      <c r="Y1348" s="24"/>
      <c r="Z1348" s="24"/>
      <c r="AA1348" s="24"/>
      <c r="AB1348" s="24"/>
      <c r="AC1348" s="24"/>
      <c r="AD1348" s="24"/>
      <c r="AE1348" s="24"/>
    </row>
    <row r="1349" spans="1:31" s="1" customFormat="1" x14ac:dyDescent="0.25">
      <c r="A1349" s="25"/>
      <c r="B1349" s="26" t="s">
        <v>1479</v>
      </c>
      <c r="C1349" s="26"/>
      <c r="D1349" s="64" t="s">
        <v>1480</v>
      </c>
      <c r="E1349" s="28"/>
      <c r="F1349" s="28"/>
      <c r="G1349" s="28"/>
      <c r="H1349" s="28"/>
      <c r="I1349" s="28"/>
      <c r="J1349" s="28"/>
      <c r="K1349" s="28"/>
      <c r="L1349" s="28"/>
      <c r="M1349" s="28">
        <f>SUM(M1350:M1352)</f>
        <v>0</v>
      </c>
      <c r="N1349" s="28"/>
      <c r="O1349" s="28">
        <f t="shared" ref="O1349:AC1349" si="511">SUM(O1350:O1352)</f>
        <v>0</v>
      </c>
      <c r="P1349" s="28">
        <f t="shared" si="511"/>
        <v>0</v>
      </c>
      <c r="Q1349" s="28">
        <f t="shared" si="511"/>
        <v>0</v>
      </c>
      <c r="R1349" s="28">
        <f t="shared" si="511"/>
        <v>0</v>
      </c>
      <c r="S1349" s="28">
        <f t="shared" si="511"/>
        <v>0</v>
      </c>
      <c r="T1349" s="28"/>
      <c r="U1349" s="28">
        <f t="shared" si="511"/>
        <v>0</v>
      </c>
      <c r="V1349" s="28"/>
      <c r="W1349" s="28">
        <f t="shared" si="511"/>
        <v>0</v>
      </c>
      <c r="X1349" s="28"/>
      <c r="Y1349" s="28">
        <f t="shared" si="511"/>
        <v>0</v>
      </c>
      <c r="Z1349" s="28">
        <f t="shared" si="511"/>
        <v>0</v>
      </c>
      <c r="AA1349" s="28"/>
      <c r="AB1349" s="28">
        <f t="shared" si="511"/>
        <v>0</v>
      </c>
      <c r="AC1349" s="28">
        <f t="shared" si="511"/>
        <v>0</v>
      </c>
      <c r="AD1349" s="28"/>
      <c r="AE1349" s="28"/>
    </row>
    <row r="1350" spans="1:31" s="1" customFormat="1" x14ac:dyDescent="0.25">
      <c r="A1350" s="21"/>
      <c r="B1350" s="22"/>
      <c r="C1350" s="22"/>
      <c r="D1350" s="65"/>
      <c r="E1350" s="24"/>
      <c r="F1350" s="24"/>
      <c r="G1350" s="24"/>
      <c r="H1350" s="24"/>
      <c r="I1350" s="24"/>
      <c r="J1350" s="24"/>
      <c r="K1350" s="24"/>
      <c r="L1350" s="24"/>
      <c r="M1350" s="24"/>
      <c r="N1350" s="24"/>
      <c r="O1350" s="24"/>
      <c r="P1350" s="24"/>
      <c r="Q1350" s="24"/>
      <c r="R1350" s="24"/>
      <c r="S1350" s="24"/>
      <c r="T1350" s="24"/>
      <c r="U1350" s="24"/>
      <c r="V1350" s="24"/>
      <c r="W1350" s="24"/>
      <c r="X1350" s="24"/>
      <c r="Y1350" s="24"/>
      <c r="Z1350" s="24"/>
      <c r="AA1350" s="24"/>
      <c r="AB1350" s="24"/>
      <c r="AC1350" s="24"/>
      <c r="AD1350" s="24"/>
      <c r="AE1350" s="24"/>
    </row>
    <row r="1351" spans="1:31" s="1" customFormat="1" x14ac:dyDescent="0.25">
      <c r="A1351" s="21"/>
      <c r="B1351" s="22"/>
      <c r="C1351" s="22"/>
      <c r="D1351" s="65"/>
      <c r="E1351" s="24"/>
      <c r="F1351" s="24"/>
      <c r="G1351" s="24"/>
      <c r="H1351" s="24"/>
      <c r="I1351" s="24"/>
      <c r="J1351" s="24"/>
      <c r="K1351" s="24"/>
      <c r="L1351" s="24"/>
      <c r="M1351" s="24"/>
      <c r="N1351" s="24"/>
      <c r="O1351" s="24"/>
      <c r="P1351" s="24"/>
      <c r="Q1351" s="24"/>
      <c r="R1351" s="24"/>
      <c r="S1351" s="24"/>
      <c r="T1351" s="24"/>
      <c r="U1351" s="24"/>
      <c r="V1351" s="24"/>
      <c r="W1351" s="24"/>
      <c r="X1351" s="24"/>
      <c r="Y1351" s="24"/>
      <c r="Z1351" s="24"/>
      <c r="AA1351" s="24"/>
      <c r="AB1351" s="24"/>
      <c r="AC1351" s="24"/>
      <c r="AD1351" s="24"/>
      <c r="AE1351" s="24"/>
    </row>
    <row r="1352" spans="1:31" s="1" customFormat="1" x14ac:dyDescent="0.25">
      <c r="A1352" s="21"/>
      <c r="B1352" s="22"/>
      <c r="C1352" s="22"/>
      <c r="D1352" s="65"/>
      <c r="E1352" s="24"/>
      <c r="F1352" s="24"/>
      <c r="G1352" s="24"/>
      <c r="H1352" s="24"/>
      <c r="I1352" s="24"/>
      <c r="J1352" s="24"/>
      <c r="K1352" s="24"/>
      <c r="L1352" s="24"/>
      <c r="M1352" s="24"/>
      <c r="N1352" s="24"/>
      <c r="O1352" s="24"/>
      <c r="P1352" s="24"/>
      <c r="Q1352" s="24"/>
      <c r="R1352" s="24"/>
      <c r="S1352" s="24"/>
      <c r="T1352" s="24"/>
      <c r="U1352" s="24"/>
      <c r="V1352" s="24"/>
      <c r="W1352" s="24"/>
      <c r="X1352" s="24"/>
      <c r="Y1352" s="24"/>
      <c r="Z1352" s="24"/>
      <c r="AA1352" s="24"/>
      <c r="AB1352" s="24"/>
      <c r="AC1352" s="24"/>
      <c r="AD1352" s="24"/>
      <c r="AE1352" s="24"/>
    </row>
    <row r="1353" spans="1:31" s="1" customFormat="1" x14ac:dyDescent="0.25">
      <c r="A1353" s="25"/>
      <c r="B1353" s="26" t="s">
        <v>1481</v>
      </c>
      <c r="C1353" s="26"/>
      <c r="D1353" s="64" t="s">
        <v>1482</v>
      </c>
      <c r="E1353" s="28"/>
      <c r="F1353" s="28"/>
      <c r="G1353" s="28"/>
      <c r="H1353" s="28"/>
      <c r="I1353" s="28"/>
      <c r="J1353" s="28"/>
      <c r="K1353" s="28"/>
      <c r="L1353" s="28"/>
      <c r="M1353" s="28">
        <f>SUM(M1354:M1356)</f>
        <v>0</v>
      </c>
      <c r="N1353" s="28"/>
      <c r="O1353" s="28">
        <f t="shared" ref="O1353:AC1353" si="512">SUM(O1354:O1356)</f>
        <v>0</v>
      </c>
      <c r="P1353" s="28">
        <f t="shared" si="512"/>
        <v>0</v>
      </c>
      <c r="Q1353" s="28">
        <f t="shared" si="512"/>
        <v>0</v>
      </c>
      <c r="R1353" s="28">
        <f t="shared" si="512"/>
        <v>0</v>
      </c>
      <c r="S1353" s="28">
        <f t="shared" si="512"/>
        <v>0</v>
      </c>
      <c r="T1353" s="28"/>
      <c r="U1353" s="28">
        <f t="shared" si="512"/>
        <v>0</v>
      </c>
      <c r="V1353" s="28"/>
      <c r="W1353" s="28">
        <f t="shared" si="512"/>
        <v>0</v>
      </c>
      <c r="X1353" s="28"/>
      <c r="Y1353" s="28">
        <f t="shared" si="512"/>
        <v>0</v>
      </c>
      <c r="Z1353" s="28">
        <f t="shared" si="512"/>
        <v>0</v>
      </c>
      <c r="AA1353" s="28"/>
      <c r="AB1353" s="28">
        <f t="shared" si="512"/>
        <v>0</v>
      </c>
      <c r="AC1353" s="28">
        <f t="shared" si="512"/>
        <v>0</v>
      </c>
      <c r="AD1353" s="28"/>
      <c r="AE1353" s="28"/>
    </row>
    <row r="1354" spans="1:31" s="1" customFormat="1" x14ac:dyDescent="0.25">
      <c r="A1354" s="21"/>
      <c r="B1354" s="22"/>
      <c r="C1354" s="22"/>
      <c r="D1354" s="65"/>
      <c r="E1354" s="24"/>
      <c r="F1354" s="24"/>
      <c r="G1354" s="24"/>
      <c r="H1354" s="24"/>
      <c r="I1354" s="24"/>
      <c r="J1354" s="24"/>
      <c r="K1354" s="24"/>
      <c r="L1354" s="24"/>
      <c r="M1354" s="24"/>
      <c r="N1354" s="24"/>
      <c r="O1354" s="24"/>
      <c r="P1354" s="24"/>
      <c r="Q1354" s="24"/>
      <c r="R1354" s="24"/>
      <c r="S1354" s="24"/>
      <c r="T1354" s="24"/>
      <c r="U1354" s="24"/>
      <c r="V1354" s="24"/>
      <c r="W1354" s="24"/>
      <c r="X1354" s="24"/>
      <c r="Y1354" s="24"/>
      <c r="Z1354" s="24"/>
      <c r="AA1354" s="24"/>
      <c r="AB1354" s="24"/>
      <c r="AC1354" s="24"/>
      <c r="AD1354" s="24"/>
      <c r="AE1354" s="24"/>
    </row>
    <row r="1355" spans="1:31" s="1" customFormat="1" x14ac:dyDescent="0.25">
      <c r="A1355" s="21"/>
      <c r="B1355" s="22"/>
      <c r="C1355" s="22"/>
      <c r="D1355" s="65"/>
      <c r="E1355" s="24"/>
      <c r="F1355" s="24"/>
      <c r="G1355" s="24"/>
      <c r="H1355" s="24"/>
      <c r="I1355" s="24"/>
      <c r="J1355" s="24"/>
      <c r="K1355" s="24"/>
      <c r="L1355" s="24"/>
      <c r="M1355" s="24"/>
      <c r="N1355" s="24"/>
      <c r="O1355" s="24"/>
      <c r="P1355" s="24"/>
      <c r="Q1355" s="24"/>
      <c r="R1355" s="24"/>
      <c r="S1355" s="24"/>
      <c r="T1355" s="24"/>
      <c r="U1355" s="24"/>
      <c r="V1355" s="24"/>
      <c r="W1355" s="24"/>
      <c r="X1355" s="24"/>
      <c r="Y1355" s="24"/>
      <c r="Z1355" s="24"/>
      <c r="AA1355" s="24"/>
      <c r="AB1355" s="24"/>
      <c r="AC1355" s="24"/>
      <c r="AD1355" s="24"/>
      <c r="AE1355" s="24"/>
    </row>
    <row r="1356" spans="1:31" s="1" customFormat="1" x14ac:dyDescent="0.25">
      <c r="A1356" s="21"/>
      <c r="B1356" s="22"/>
      <c r="C1356" s="22"/>
      <c r="D1356" s="65"/>
      <c r="E1356" s="24"/>
      <c r="F1356" s="24"/>
      <c r="G1356" s="24"/>
      <c r="H1356" s="24"/>
      <c r="I1356" s="24"/>
      <c r="J1356" s="24"/>
      <c r="K1356" s="24"/>
      <c r="L1356" s="24"/>
      <c r="M1356" s="24"/>
      <c r="N1356" s="24"/>
      <c r="O1356" s="24"/>
      <c r="P1356" s="24"/>
      <c r="Q1356" s="24"/>
      <c r="R1356" s="24"/>
      <c r="S1356" s="24"/>
      <c r="T1356" s="24"/>
      <c r="U1356" s="24"/>
      <c r="V1356" s="24"/>
      <c r="W1356" s="24"/>
      <c r="X1356" s="24"/>
      <c r="Y1356" s="24"/>
      <c r="Z1356" s="24"/>
      <c r="AA1356" s="24"/>
      <c r="AB1356" s="24"/>
      <c r="AC1356" s="24"/>
      <c r="AD1356" s="24"/>
      <c r="AE1356" s="24"/>
    </row>
    <row r="1357" spans="1:31" s="1" customFormat="1" x14ac:dyDescent="0.25">
      <c r="A1357" s="17"/>
      <c r="B1357" s="18" t="s">
        <v>1483</v>
      </c>
      <c r="C1357" s="18"/>
      <c r="D1357" s="84" t="s">
        <v>1484</v>
      </c>
      <c r="E1357" s="20"/>
      <c r="F1357" s="20"/>
      <c r="G1357" s="20"/>
      <c r="H1357" s="20"/>
      <c r="I1357" s="20"/>
      <c r="J1357" s="20"/>
      <c r="K1357" s="20"/>
      <c r="L1357" s="20"/>
      <c r="M1357" s="20">
        <f>M1358+M1362+M1366</f>
        <v>0</v>
      </c>
      <c r="N1357" s="20"/>
      <c r="O1357" s="20">
        <f t="shared" ref="O1357:AC1357" si="513">O1358+O1362+O1366</f>
        <v>0</v>
      </c>
      <c r="P1357" s="20">
        <f t="shared" si="513"/>
        <v>0</v>
      </c>
      <c r="Q1357" s="20">
        <f t="shared" si="513"/>
        <v>0</v>
      </c>
      <c r="R1357" s="20">
        <f t="shared" si="513"/>
        <v>0</v>
      </c>
      <c r="S1357" s="20">
        <f t="shared" si="513"/>
        <v>0</v>
      </c>
      <c r="T1357" s="20"/>
      <c r="U1357" s="20">
        <f t="shared" si="513"/>
        <v>0</v>
      </c>
      <c r="V1357" s="20"/>
      <c r="W1357" s="20">
        <f t="shared" si="513"/>
        <v>0</v>
      </c>
      <c r="X1357" s="20"/>
      <c r="Y1357" s="20">
        <f t="shared" si="513"/>
        <v>0</v>
      </c>
      <c r="Z1357" s="20">
        <f t="shared" si="513"/>
        <v>0</v>
      </c>
      <c r="AA1357" s="20"/>
      <c r="AB1357" s="20">
        <f t="shared" si="513"/>
        <v>0</v>
      </c>
      <c r="AC1357" s="20">
        <f t="shared" si="513"/>
        <v>0</v>
      </c>
      <c r="AD1357" s="20"/>
      <c r="AE1357" s="20"/>
    </row>
    <row r="1358" spans="1:31" s="1" customFormat="1" x14ac:dyDescent="0.25">
      <c r="A1358" s="25"/>
      <c r="B1358" s="26" t="s">
        <v>1485</v>
      </c>
      <c r="C1358" s="26"/>
      <c r="D1358" s="64" t="s">
        <v>1486</v>
      </c>
      <c r="E1358" s="28"/>
      <c r="F1358" s="28"/>
      <c r="G1358" s="28"/>
      <c r="H1358" s="28"/>
      <c r="I1358" s="28"/>
      <c r="J1358" s="28"/>
      <c r="K1358" s="28"/>
      <c r="L1358" s="28"/>
      <c r="M1358" s="28">
        <f>SUM(M1359:M1361)</f>
        <v>0</v>
      </c>
      <c r="N1358" s="28"/>
      <c r="O1358" s="28">
        <f t="shared" ref="O1358:AC1358" si="514">SUM(O1359:O1361)</f>
        <v>0</v>
      </c>
      <c r="P1358" s="28">
        <f t="shared" si="514"/>
        <v>0</v>
      </c>
      <c r="Q1358" s="28">
        <f t="shared" si="514"/>
        <v>0</v>
      </c>
      <c r="R1358" s="28">
        <f t="shared" si="514"/>
        <v>0</v>
      </c>
      <c r="S1358" s="28">
        <f t="shared" si="514"/>
        <v>0</v>
      </c>
      <c r="T1358" s="28"/>
      <c r="U1358" s="28">
        <f t="shared" si="514"/>
        <v>0</v>
      </c>
      <c r="V1358" s="28"/>
      <c r="W1358" s="28">
        <f t="shared" si="514"/>
        <v>0</v>
      </c>
      <c r="X1358" s="28"/>
      <c r="Y1358" s="28">
        <f t="shared" si="514"/>
        <v>0</v>
      </c>
      <c r="Z1358" s="28">
        <f t="shared" si="514"/>
        <v>0</v>
      </c>
      <c r="AA1358" s="28"/>
      <c r="AB1358" s="28">
        <f t="shared" si="514"/>
        <v>0</v>
      </c>
      <c r="AC1358" s="28">
        <f t="shared" si="514"/>
        <v>0</v>
      </c>
      <c r="AD1358" s="28"/>
      <c r="AE1358" s="28"/>
    </row>
    <row r="1359" spans="1:31" s="1" customFormat="1" x14ac:dyDescent="0.25">
      <c r="A1359" s="21"/>
      <c r="B1359" s="22"/>
      <c r="C1359" s="22"/>
      <c r="D1359" s="65"/>
      <c r="E1359" s="24"/>
      <c r="F1359" s="24"/>
      <c r="G1359" s="24"/>
      <c r="H1359" s="24"/>
      <c r="I1359" s="24"/>
      <c r="J1359" s="24"/>
      <c r="K1359" s="24"/>
      <c r="L1359" s="24"/>
      <c r="M1359" s="24"/>
      <c r="N1359" s="24"/>
      <c r="O1359" s="24"/>
      <c r="P1359" s="24"/>
      <c r="Q1359" s="24"/>
      <c r="R1359" s="24"/>
      <c r="S1359" s="24"/>
      <c r="T1359" s="24"/>
      <c r="U1359" s="24"/>
      <c r="V1359" s="24"/>
      <c r="W1359" s="24"/>
      <c r="X1359" s="24"/>
      <c r="Y1359" s="24"/>
      <c r="Z1359" s="24"/>
      <c r="AA1359" s="24"/>
      <c r="AB1359" s="24"/>
      <c r="AC1359" s="24"/>
      <c r="AD1359" s="24"/>
      <c r="AE1359" s="24"/>
    </row>
    <row r="1360" spans="1:31" s="1" customFormat="1" x14ac:dyDescent="0.25">
      <c r="A1360" s="21"/>
      <c r="B1360" s="22"/>
      <c r="C1360" s="22"/>
      <c r="D1360" s="65"/>
      <c r="E1360" s="24"/>
      <c r="F1360" s="24"/>
      <c r="G1360" s="24"/>
      <c r="H1360" s="24"/>
      <c r="I1360" s="24"/>
      <c r="J1360" s="24"/>
      <c r="K1360" s="24"/>
      <c r="L1360" s="24"/>
      <c r="M1360" s="24"/>
      <c r="N1360" s="24"/>
      <c r="O1360" s="24"/>
      <c r="P1360" s="24"/>
      <c r="Q1360" s="24"/>
      <c r="R1360" s="24"/>
      <c r="S1360" s="24"/>
      <c r="T1360" s="24"/>
      <c r="U1360" s="24"/>
      <c r="V1360" s="24"/>
      <c r="W1360" s="24"/>
      <c r="X1360" s="24"/>
      <c r="Y1360" s="24"/>
      <c r="Z1360" s="24"/>
      <c r="AA1360" s="24"/>
      <c r="AB1360" s="24"/>
      <c r="AC1360" s="24"/>
      <c r="AD1360" s="24"/>
      <c r="AE1360" s="24"/>
    </row>
    <row r="1361" spans="1:31" s="1" customFormat="1" x14ac:dyDescent="0.25">
      <c r="A1361" s="21"/>
      <c r="B1361" s="22"/>
      <c r="C1361" s="22"/>
      <c r="D1361" s="65"/>
      <c r="E1361" s="24"/>
      <c r="F1361" s="24"/>
      <c r="G1361" s="24"/>
      <c r="H1361" s="24"/>
      <c r="I1361" s="24"/>
      <c r="J1361" s="24"/>
      <c r="K1361" s="24"/>
      <c r="L1361" s="24"/>
      <c r="M1361" s="24"/>
      <c r="N1361" s="24"/>
      <c r="O1361" s="24"/>
      <c r="P1361" s="24"/>
      <c r="Q1361" s="24"/>
      <c r="R1361" s="24"/>
      <c r="S1361" s="24"/>
      <c r="T1361" s="24"/>
      <c r="U1361" s="24"/>
      <c r="V1361" s="24"/>
      <c r="W1361" s="24"/>
      <c r="X1361" s="24"/>
      <c r="Y1361" s="24"/>
      <c r="Z1361" s="24"/>
      <c r="AA1361" s="24"/>
      <c r="AB1361" s="24"/>
      <c r="AC1361" s="24"/>
      <c r="AD1361" s="24"/>
      <c r="AE1361" s="24"/>
    </row>
    <row r="1362" spans="1:31" s="1" customFormat="1" x14ac:dyDescent="0.25">
      <c r="A1362" s="25"/>
      <c r="B1362" s="26" t="s">
        <v>1487</v>
      </c>
      <c r="C1362" s="26"/>
      <c r="D1362" s="64" t="s">
        <v>1488</v>
      </c>
      <c r="E1362" s="28"/>
      <c r="F1362" s="28"/>
      <c r="G1362" s="28"/>
      <c r="H1362" s="28"/>
      <c r="I1362" s="28"/>
      <c r="J1362" s="28"/>
      <c r="K1362" s="28"/>
      <c r="L1362" s="28"/>
      <c r="M1362" s="28">
        <f>SUM(M1363:M1365)</f>
        <v>0</v>
      </c>
      <c r="N1362" s="28"/>
      <c r="O1362" s="28">
        <f t="shared" ref="O1362:AC1362" si="515">SUM(O1363:O1365)</f>
        <v>0</v>
      </c>
      <c r="P1362" s="28">
        <f t="shared" si="515"/>
        <v>0</v>
      </c>
      <c r="Q1362" s="28">
        <f t="shared" si="515"/>
        <v>0</v>
      </c>
      <c r="R1362" s="28">
        <f t="shared" si="515"/>
        <v>0</v>
      </c>
      <c r="S1362" s="28">
        <f t="shared" si="515"/>
        <v>0</v>
      </c>
      <c r="T1362" s="28"/>
      <c r="U1362" s="28">
        <f t="shared" si="515"/>
        <v>0</v>
      </c>
      <c r="V1362" s="28"/>
      <c r="W1362" s="28">
        <f t="shared" si="515"/>
        <v>0</v>
      </c>
      <c r="X1362" s="28"/>
      <c r="Y1362" s="28">
        <f t="shared" si="515"/>
        <v>0</v>
      </c>
      <c r="Z1362" s="28">
        <f t="shared" si="515"/>
        <v>0</v>
      </c>
      <c r="AA1362" s="28"/>
      <c r="AB1362" s="28">
        <f t="shared" si="515"/>
        <v>0</v>
      </c>
      <c r="AC1362" s="28">
        <f t="shared" si="515"/>
        <v>0</v>
      </c>
      <c r="AD1362" s="28"/>
      <c r="AE1362" s="28"/>
    </row>
    <row r="1363" spans="1:31" s="1" customFormat="1" x14ac:dyDescent="0.25">
      <c r="A1363" s="21"/>
      <c r="B1363" s="22"/>
      <c r="C1363" s="22"/>
      <c r="D1363" s="65"/>
      <c r="E1363" s="24"/>
      <c r="F1363" s="24"/>
      <c r="G1363" s="24"/>
      <c r="H1363" s="24"/>
      <c r="I1363" s="24"/>
      <c r="J1363" s="24"/>
      <c r="K1363" s="24"/>
      <c r="L1363" s="24"/>
      <c r="M1363" s="24"/>
      <c r="N1363" s="24"/>
      <c r="O1363" s="24"/>
      <c r="P1363" s="24"/>
      <c r="Q1363" s="24"/>
      <c r="R1363" s="24"/>
      <c r="S1363" s="24"/>
      <c r="T1363" s="24"/>
      <c r="U1363" s="24"/>
      <c r="V1363" s="24"/>
      <c r="W1363" s="24"/>
      <c r="X1363" s="24"/>
      <c r="Y1363" s="24"/>
      <c r="Z1363" s="24"/>
      <c r="AA1363" s="24"/>
      <c r="AB1363" s="24"/>
      <c r="AC1363" s="24"/>
      <c r="AD1363" s="24"/>
      <c r="AE1363" s="24"/>
    </row>
    <row r="1364" spans="1:31" s="1" customFormat="1" x14ac:dyDescent="0.25">
      <c r="A1364" s="21"/>
      <c r="B1364" s="22"/>
      <c r="C1364" s="22"/>
      <c r="D1364" s="65"/>
      <c r="E1364" s="24"/>
      <c r="F1364" s="24"/>
      <c r="G1364" s="24"/>
      <c r="H1364" s="24"/>
      <c r="I1364" s="24"/>
      <c r="J1364" s="24"/>
      <c r="K1364" s="24"/>
      <c r="L1364" s="24"/>
      <c r="M1364" s="24"/>
      <c r="N1364" s="24"/>
      <c r="O1364" s="24"/>
      <c r="P1364" s="24"/>
      <c r="Q1364" s="24"/>
      <c r="R1364" s="24"/>
      <c r="S1364" s="24"/>
      <c r="T1364" s="24"/>
      <c r="U1364" s="24"/>
      <c r="V1364" s="24"/>
      <c r="W1364" s="24"/>
      <c r="X1364" s="24"/>
      <c r="Y1364" s="24"/>
      <c r="Z1364" s="24"/>
      <c r="AA1364" s="24"/>
      <c r="AB1364" s="24"/>
      <c r="AC1364" s="24"/>
      <c r="AD1364" s="24"/>
      <c r="AE1364" s="24"/>
    </row>
    <row r="1365" spans="1:31" s="1" customFormat="1" x14ac:dyDescent="0.25">
      <c r="A1365" s="21"/>
      <c r="B1365" s="22"/>
      <c r="C1365" s="22"/>
      <c r="D1365" s="65"/>
      <c r="E1365" s="24"/>
      <c r="F1365" s="24"/>
      <c r="G1365" s="24"/>
      <c r="H1365" s="24"/>
      <c r="I1365" s="24"/>
      <c r="J1365" s="24"/>
      <c r="K1365" s="24"/>
      <c r="L1365" s="24"/>
      <c r="M1365" s="24"/>
      <c r="N1365" s="24"/>
      <c r="O1365" s="24"/>
      <c r="P1365" s="24"/>
      <c r="Q1365" s="24"/>
      <c r="R1365" s="24"/>
      <c r="S1365" s="24"/>
      <c r="T1365" s="24"/>
      <c r="U1365" s="24"/>
      <c r="V1365" s="24"/>
      <c r="W1365" s="24"/>
      <c r="X1365" s="24"/>
      <c r="Y1365" s="24"/>
      <c r="Z1365" s="24"/>
      <c r="AA1365" s="24"/>
      <c r="AB1365" s="24"/>
      <c r="AC1365" s="24"/>
      <c r="AD1365" s="24"/>
      <c r="AE1365" s="24"/>
    </row>
    <row r="1366" spans="1:31" s="1" customFormat="1" x14ac:dyDescent="0.25">
      <c r="A1366" s="25"/>
      <c r="B1366" s="26" t="s">
        <v>1489</v>
      </c>
      <c r="C1366" s="26"/>
      <c r="D1366" s="64" t="s">
        <v>1490</v>
      </c>
      <c r="E1366" s="28"/>
      <c r="F1366" s="28"/>
      <c r="G1366" s="28"/>
      <c r="H1366" s="28"/>
      <c r="I1366" s="28"/>
      <c r="J1366" s="28"/>
      <c r="K1366" s="28"/>
      <c r="L1366" s="28"/>
      <c r="M1366" s="28">
        <f>SUM(M1367:M1369)</f>
        <v>0</v>
      </c>
      <c r="N1366" s="28"/>
      <c r="O1366" s="28">
        <f t="shared" ref="O1366:AC1366" si="516">SUM(O1367:O1369)</f>
        <v>0</v>
      </c>
      <c r="P1366" s="28">
        <f t="shared" si="516"/>
        <v>0</v>
      </c>
      <c r="Q1366" s="28">
        <f t="shared" si="516"/>
        <v>0</v>
      </c>
      <c r="R1366" s="28">
        <f t="shared" si="516"/>
        <v>0</v>
      </c>
      <c r="S1366" s="28">
        <f t="shared" si="516"/>
        <v>0</v>
      </c>
      <c r="T1366" s="28"/>
      <c r="U1366" s="28">
        <f t="shared" si="516"/>
        <v>0</v>
      </c>
      <c r="V1366" s="28"/>
      <c r="W1366" s="28">
        <f t="shared" si="516"/>
        <v>0</v>
      </c>
      <c r="X1366" s="28"/>
      <c r="Y1366" s="28">
        <f t="shared" si="516"/>
        <v>0</v>
      </c>
      <c r="Z1366" s="28">
        <f t="shared" si="516"/>
        <v>0</v>
      </c>
      <c r="AA1366" s="28"/>
      <c r="AB1366" s="28">
        <f t="shared" si="516"/>
        <v>0</v>
      </c>
      <c r="AC1366" s="28">
        <f t="shared" si="516"/>
        <v>0</v>
      </c>
      <c r="AD1366" s="28"/>
      <c r="AE1366" s="28"/>
    </row>
    <row r="1367" spans="1:31" s="1" customFormat="1" x14ac:dyDescent="0.25">
      <c r="A1367" s="21"/>
      <c r="B1367" s="22"/>
      <c r="C1367" s="22"/>
      <c r="D1367" s="65"/>
      <c r="E1367" s="24"/>
      <c r="F1367" s="24"/>
      <c r="G1367" s="24"/>
      <c r="H1367" s="24"/>
      <c r="I1367" s="24"/>
      <c r="J1367" s="24"/>
      <c r="K1367" s="24"/>
      <c r="L1367" s="24"/>
      <c r="M1367" s="24"/>
      <c r="N1367" s="24"/>
      <c r="O1367" s="24"/>
      <c r="P1367" s="24"/>
      <c r="Q1367" s="24"/>
      <c r="R1367" s="24"/>
      <c r="S1367" s="24"/>
      <c r="T1367" s="24"/>
      <c r="U1367" s="24"/>
      <c r="V1367" s="24"/>
      <c r="W1367" s="24"/>
      <c r="X1367" s="24"/>
      <c r="Y1367" s="24"/>
      <c r="Z1367" s="24"/>
      <c r="AA1367" s="24"/>
      <c r="AB1367" s="24"/>
      <c r="AC1367" s="24"/>
      <c r="AD1367" s="24"/>
      <c r="AE1367" s="24"/>
    </row>
    <row r="1368" spans="1:31" s="1" customFormat="1" x14ac:dyDescent="0.25">
      <c r="A1368" s="21"/>
      <c r="B1368" s="22"/>
      <c r="C1368" s="22"/>
      <c r="D1368" s="65"/>
      <c r="E1368" s="24"/>
      <c r="F1368" s="24"/>
      <c r="G1368" s="24"/>
      <c r="H1368" s="24"/>
      <c r="I1368" s="24"/>
      <c r="J1368" s="24"/>
      <c r="K1368" s="24"/>
      <c r="L1368" s="24"/>
      <c r="M1368" s="24"/>
      <c r="N1368" s="24"/>
      <c r="O1368" s="24"/>
      <c r="P1368" s="24"/>
      <c r="Q1368" s="24"/>
      <c r="R1368" s="24"/>
      <c r="S1368" s="24"/>
      <c r="T1368" s="24"/>
      <c r="U1368" s="24"/>
      <c r="V1368" s="24"/>
      <c r="W1368" s="24"/>
      <c r="X1368" s="24"/>
      <c r="Y1368" s="24"/>
      <c r="Z1368" s="24"/>
      <c r="AA1368" s="24"/>
      <c r="AB1368" s="24"/>
      <c r="AC1368" s="24"/>
      <c r="AD1368" s="24"/>
      <c r="AE1368" s="24"/>
    </row>
    <row r="1369" spans="1:31" s="1" customFormat="1" x14ac:dyDescent="0.25">
      <c r="A1369" s="21"/>
      <c r="B1369" s="22"/>
      <c r="C1369" s="22"/>
      <c r="D1369" s="65"/>
      <c r="E1369" s="24"/>
      <c r="F1369" s="24"/>
      <c r="G1369" s="24"/>
      <c r="H1369" s="24"/>
      <c r="I1369" s="24"/>
      <c r="J1369" s="24"/>
      <c r="K1369" s="24"/>
      <c r="L1369" s="24"/>
      <c r="M1369" s="24"/>
      <c r="N1369" s="24"/>
      <c r="O1369" s="24"/>
      <c r="P1369" s="24"/>
      <c r="Q1369" s="24"/>
      <c r="R1369" s="24"/>
      <c r="S1369" s="24"/>
      <c r="T1369" s="24"/>
      <c r="U1369" s="24"/>
      <c r="V1369" s="24"/>
      <c r="W1369" s="24"/>
      <c r="X1369" s="24"/>
      <c r="Y1369" s="24"/>
      <c r="Z1369" s="24"/>
      <c r="AA1369" s="24"/>
      <c r="AB1369" s="24"/>
      <c r="AC1369" s="24"/>
      <c r="AD1369" s="24"/>
      <c r="AE1369" s="24"/>
    </row>
    <row r="1370" spans="1:31" s="1" customFormat="1" x14ac:dyDescent="0.25">
      <c r="A1370" s="17"/>
      <c r="B1370" s="18" t="s">
        <v>1491</v>
      </c>
      <c r="C1370" s="18"/>
      <c r="D1370" s="84" t="s">
        <v>1492</v>
      </c>
      <c r="E1370" s="20"/>
      <c r="F1370" s="20"/>
      <c r="G1370" s="20"/>
      <c r="H1370" s="20"/>
      <c r="I1370" s="20"/>
      <c r="J1370" s="20"/>
      <c r="K1370" s="20"/>
      <c r="L1370" s="20"/>
      <c r="M1370" s="20">
        <f>M1371+M1375+M1379+M1383+M1387+M1391+M1395+M1399+M1403+M1407</f>
        <v>0</v>
      </c>
      <c r="N1370" s="20"/>
      <c r="O1370" s="20">
        <f t="shared" ref="O1370:AC1370" si="517">O1371+O1375+O1379+O1383+O1387+O1391+O1395+O1399+O1403+O1407</f>
        <v>0</v>
      </c>
      <c r="P1370" s="20">
        <f t="shared" si="517"/>
        <v>0</v>
      </c>
      <c r="Q1370" s="20">
        <f t="shared" si="517"/>
        <v>0</v>
      </c>
      <c r="R1370" s="20">
        <f t="shared" si="517"/>
        <v>0</v>
      </c>
      <c r="S1370" s="20">
        <f t="shared" si="517"/>
        <v>0</v>
      </c>
      <c r="T1370" s="20"/>
      <c r="U1370" s="20">
        <f t="shared" si="517"/>
        <v>0</v>
      </c>
      <c r="V1370" s="20"/>
      <c r="W1370" s="20">
        <f t="shared" si="517"/>
        <v>0</v>
      </c>
      <c r="X1370" s="20"/>
      <c r="Y1370" s="20">
        <f t="shared" si="517"/>
        <v>0</v>
      </c>
      <c r="Z1370" s="20">
        <f t="shared" si="517"/>
        <v>0</v>
      </c>
      <c r="AA1370" s="20"/>
      <c r="AB1370" s="20">
        <f t="shared" si="517"/>
        <v>0</v>
      </c>
      <c r="AC1370" s="20">
        <f t="shared" si="517"/>
        <v>0</v>
      </c>
      <c r="AD1370" s="20"/>
      <c r="AE1370" s="20"/>
    </row>
    <row r="1371" spans="1:31" s="1" customFormat="1" ht="25.5" x14ac:dyDescent="0.25">
      <c r="A1371" s="25"/>
      <c r="B1371" s="26" t="s">
        <v>1493</v>
      </c>
      <c r="C1371" s="26"/>
      <c r="D1371" s="64" t="s">
        <v>1494</v>
      </c>
      <c r="E1371" s="28"/>
      <c r="F1371" s="28"/>
      <c r="G1371" s="28"/>
      <c r="H1371" s="28"/>
      <c r="I1371" s="28"/>
      <c r="J1371" s="28"/>
      <c r="K1371" s="28"/>
      <c r="L1371" s="28"/>
      <c r="M1371" s="28">
        <f>SUM(M1372:M1374)</f>
        <v>0</v>
      </c>
      <c r="N1371" s="28"/>
      <c r="O1371" s="28">
        <f t="shared" ref="O1371:AC1371" si="518">SUM(O1372:O1374)</f>
        <v>0</v>
      </c>
      <c r="P1371" s="28">
        <f t="shared" si="518"/>
        <v>0</v>
      </c>
      <c r="Q1371" s="28">
        <f t="shared" si="518"/>
        <v>0</v>
      </c>
      <c r="R1371" s="28">
        <f t="shared" si="518"/>
        <v>0</v>
      </c>
      <c r="S1371" s="28">
        <f t="shared" si="518"/>
        <v>0</v>
      </c>
      <c r="T1371" s="28"/>
      <c r="U1371" s="28">
        <f t="shared" si="518"/>
        <v>0</v>
      </c>
      <c r="V1371" s="28"/>
      <c r="W1371" s="28">
        <f t="shared" si="518"/>
        <v>0</v>
      </c>
      <c r="X1371" s="28"/>
      <c r="Y1371" s="28">
        <f t="shared" si="518"/>
        <v>0</v>
      </c>
      <c r="Z1371" s="28">
        <f t="shared" si="518"/>
        <v>0</v>
      </c>
      <c r="AA1371" s="28"/>
      <c r="AB1371" s="28">
        <f t="shared" si="518"/>
        <v>0</v>
      </c>
      <c r="AC1371" s="28">
        <f t="shared" si="518"/>
        <v>0</v>
      </c>
      <c r="AD1371" s="28"/>
      <c r="AE1371" s="28"/>
    </row>
    <row r="1372" spans="1:31" s="1" customFormat="1" x14ac:dyDescent="0.25">
      <c r="A1372" s="21"/>
      <c r="B1372" s="22"/>
      <c r="C1372" s="22"/>
      <c r="D1372" s="65"/>
      <c r="E1372" s="24"/>
      <c r="F1372" s="24"/>
      <c r="G1372" s="24"/>
      <c r="H1372" s="24"/>
      <c r="I1372" s="24"/>
      <c r="J1372" s="24"/>
      <c r="K1372" s="24"/>
      <c r="L1372" s="24"/>
      <c r="M1372" s="24"/>
      <c r="N1372" s="24"/>
      <c r="O1372" s="24"/>
      <c r="P1372" s="24"/>
      <c r="Q1372" s="24"/>
      <c r="R1372" s="24"/>
      <c r="S1372" s="24"/>
      <c r="T1372" s="24"/>
      <c r="U1372" s="24"/>
      <c r="V1372" s="24"/>
      <c r="W1372" s="24"/>
      <c r="X1372" s="24"/>
      <c r="Y1372" s="24"/>
      <c r="Z1372" s="24"/>
      <c r="AA1372" s="24"/>
      <c r="AB1372" s="24"/>
      <c r="AC1372" s="24"/>
      <c r="AD1372" s="24"/>
      <c r="AE1372" s="24"/>
    </row>
    <row r="1373" spans="1:31" s="1" customFormat="1" x14ac:dyDescent="0.25">
      <c r="A1373" s="21"/>
      <c r="B1373" s="22"/>
      <c r="C1373" s="22"/>
      <c r="D1373" s="65"/>
      <c r="E1373" s="24"/>
      <c r="F1373" s="24"/>
      <c r="G1373" s="24"/>
      <c r="H1373" s="24"/>
      <c r="I1373" s="24"/>
      <c r="J1373" s="24"/>
      <c r="K1373" s="24"/>
      <c r="L1373" s="24"/>
      <c r="M1373" s="24"/>
      <c r="N1373" s="24"/>
      <c r="O1373" s="24"/>
      <c r="P1373" s="24"/>
      <c r="Q1373" s="24"/>
      <c r="R1373" s="24"/>
      <c r="S1373" s="24"/>
      <c r="T1373" s="24"/>
      <c r="U1373" s="24"/>
      <c r="V1373" s="24"/>
      <c r="W1373" s="24"/>
      <c r="X1373" s="24"/>
      <c r="Y1373" s="24"/>
      <c r="Z1373" s="24"/>
      <c r="AA1373" s="24"/>
      <c r="AB1373" s="24"/>
      <c r="AC1373" s="24"/>
      <c r="AD1373" s="24"/>
      <c r="AE1373" s="24"/>
    </row>
    <row r="1374" spans="1:31" s="1" customFormat="1" x14ac:dyDescent="0.25">
      <c r="A1374" s="21"/>
      <c r="B1374" s="22"/>
      <c r="C1374" s="22"/>
      <c r="D1374" s="65"/>
      <c r="E1374" s="24"/>
      <c r="F1374" s="24"/>
      <c r="G1374" s="24"/>
      <c r="H1374" s="24"/>
      <c r="I1374" s="24"/>
      <c r="J1374" s="24"/>
      <c r="K1374" s="24"/>
      <c r="L1374" s="24"/>
      <c r="M1374" s="24"/>
      <c r="N1374" s="24"/>
      <c r="O1374" s="24"/>
      <c r="P1374" s="24"/>
      <c r="Q1374" s="24"/>
      <c r="R1374" s="24"/>
      <c r="S1374" s="24"/>
      <c r="T1374" s="24"/>
      <c r="U1374" s="24"/>
      <c r="V1374" s="24"/>
      <c r="W1374" s="24"/>
      <c r="X1374" s="24"/>
      <c r="Y1374" s="24"/>
      <c r="Z1374" s="24"/>
      <c r="AA1374" s="24"/>
      <c r="AB1374" s="24"/>
      <c r="AC1374" s="24"/>
      <c r="AD1374" s="24"/>
      <c r="AE1374" s="24"/>
    </row>
    <row r="1375" spans="1:31" s="1" customFormat="1" ht="25.5" x14ac:dyDescent="0.25">
      <c r="A1375" s="25"/>
      <c r="B1375" s="26" t="s">
        <v>1495</v>
      </c>
      <c r="C1375" s="26"/>
      <c r="D1375" s="64" t="s">
        <v>1496</v>
      </c>
      <c r="E1375" s="28"/>
      <c r="F1375" s="28"/>
      <c r="G1375" s="28"/>
      <c r="H1375" s="28"/>
      <c r="I1375" s="28"/>
      <c r="J1375" s="28"/>
      <c r="K1375" s="28"/>
      <c r="L1375" s="28"/>
      <c r="M1375" s="28">
        <f>SUM(M1376:M1378)</f>
        <v>0</v>
      </c>
      <c r="N1375" s="28"/>
      <c r="O1375" s="28">
        <f t="shared" ref="O1375:AC1375" si="519">SUM(O1376:O1378)</f>
        <v>0</v>
      </c>
      <c r="P1375" s="28">
        <f t="shared" si="519"/>
        <v>0</v>
      </c>
      <c r="Q1375" s="28">
        <f t="shared" si="519"/>
        <v>0</v>
      </c>
      <c r="R1375" s="28">
        <f t="shared" si="519"/>
        <v>0</v>
      </c>
      <c r="S1375" s="28">
        <f t="shared" si="519"/>
        <v>0</v>
      </c>
      <c r="T1375" s="28"/>
      <c r="U1375" s="28">
        <f t="shared" si="519"/>
        <v>0</v>
      </c>
      <c r="V1375" s="28"/>
      <c r="W1375" s="28">
        <f t="shared" si="519"/>
        <v>0</v>
      </c>
      <c r="X1375" s="28"/>
      <c r="Y1375" s="28">
        <f t="shared" si="519"/>
        <v>0</v>
      </c>
      <c r="Z1375" s="28">
        <f t="shared" si="519"/>
        <v>0</v>
      </c>
      <c r="AA1375" s="28"/>
      <c r="AB1375" s="28">
        <f t="shared" si="519"/>
        <v>0</v>
      </c>
      <c r="AC1375" s="28">
        <f t="shared" si="519"/>
        <v>0</v>
      </c>
      <c r="AD1375" s="28"/>
      <c r="AE1375" s="28"/>
    </row>
    <row r="1376" spans="1:31" s="1" customFormat="1" x14ac:dyDescent="0.25">
      <c r="A1376" s="21"/>
      <c r="B1376" s="22"/>
      <c r="C1376" s="22"/>
      <c r="D1376" s="65"/>
      <c r="E1376" s="24"/>
      <c r="F1376" s="24"/>
      <c r="G1376" s="24"/>
      <c r="H1376" s="24"/>
      <c r="I1376" s="24"/>
      <c r="J1376" s="24"/>
      <c r="K1376" s="24"/>
      <c r="L1376" s="24"/>
      <c r="M1376" s="24"/>
      <c r="N1376" s="24"/>
      <c r="O1376" s="24"/>
      <c r="P1376" s="24"/>
      <c r="Q1376" s="24"/>
      <c r="R1376" s="24"/>
      <c r="S1376" s="24"/>
      <c r="T1376" s="24"/>
      <c r="U1376" s="24"/>
      <c r="V1376" s="24"/>
      <c r="W1376" s="24"/>
      <c r="X1376" s="24"/>
      <c r="Y1376" s="24"/>
      <c r="Z1376" s="24"/>
      <c r="AA1376" s="24"/>
      <c r="AB1376" s="24"/>
      <c r="AC1376" s="24"/>
      <c r="AD1376" s="24"/>
      <c r="AE1376" s="24"/>
    </row>
    <row r="1377" spans="1:31" s="1" customFormat="1" x14ac:dyDescent="0.25">
      <c r="A1377" s="21"/>
      <c r="B1377" s="22"/>
      <c r="C1377" s="22"/>
      <c r="D1377" s="65"/>
      <c r="E1377" s="24"/>
      <c r="F1377" s="24"/>
      <c r="G1377" s="24"/>
      <c r="H1377" s="24"/>
      <c r="I1377" s="24"/>
      <c r="J1377" s="24"/>
      <c r="K1377" s="24"/>
      <c r="L1377" s="24"/>
      <c r="M1377" s="24"/>
      <c r="N1377" s="24"/>
      <c r="O1377" s="24"/>
      <c r="P1377" s="24"/>
      <c r="Q1377" s="24"/>
      <c r="R1377" s="24"/>
      <c r="S1377" s="24"/>
      <c r="T1377" s="24"/>
      <c r="U1377" s="24"/>
      <c r="V1377" s="24"/>
      <c r="W1377" s="24"/>
      <c r="X1377" s="24"/>
      <c r="Y1377" s="24"/>
      <c r="Z1377" s="24"/>
      <c r="AA1377" s="24"/>
      <c r="AB1377" s="24"/>
      <c r="AC1377" s="24"/>
      <c r="AD1377" s="24"/>
      <c r="AE1377" s="24"/>
    </row>
    <row r="1378" spans="1:31" s="1" customFormat="1" x14ac:dyDescent="0.25">
      <c r="A1378" s="21"/>
      <c r="B1378" s="22"/>
      <c r="C1378" s="22"/>
      <c r="D1378" s="65"/>
      <c r="E1378" s="24"/>
      <c r="F1378" s="24"/>
      <c r="G1378" s="24"/>
      <c r="H1378" s="24"/>
      <c r="I1378" s="24"/>
      <c r="J1378" s="24"/>
      <c r="K1378" s="24"/>
      <c r="L1378" s="24"/>
      <c r="M1378" s="24"/>
      <c r="N1378" s="24"/>
      <c r="O1378" s="24"/>
      <c r="P1378" s="24"/>
      <c r="Q1378" s="24"/>
      <c r="R1378" s="24"/>
      <c r="S1378" s="24"/>
      <c r="T1378" s="24"/>
      <c r="U1378" s="24"/>
      <c r="V1378" s="24"/>
      <c r="W1378" s="24"/>
      <c r="X1378" s="24"/>
      <c r="Y1378" s="24"/>
      <c r="Z1378" s="24"/>
      <c r="AA1378" s="24"/>
      <c r="AB1378" s="24"/>
      <c r="AC1378" s="24"/>
      <c r="AD1378" s="24"/>
      <c r="AE1378" s="24"/>
    </row>
    <row r="1379" spans="1:31" s="1" customFormat="1" ht="38.25" x14ac:dyDescent="0.25">
      <c r="A1379" s="25"/>
      <c r="B1379" s="26" t="s">
        <v>1497</v>
      </c>
      <c r="C1379" s="26"/>
      <c r="D1379" s="64" t="s">
        <v>1498</v>
      </c>
      <c r="E1379" s="28"/>
      <c r="F1379" s="28"/>
      <c r="G1379" s="28"/>
      <c r="H1379" s="28"/>
      <c r="I1379" s="28"/>
      <c r="J1379" s="28"/>
      <c r="K1379" s="28"/>
      <c r="L1379" s="28"/>
      <c r="M1379" s="28">
        <f>SUM(M1380:M1382)</f>
        <v>0</v>
      </c>
      <c r="N1379" s="28"/>
      <c r="O1379" s="28">
        <f t="shared" ref="O1379:AC1379" si="520">SUM(O1380:O1382)</f>
        <v>0</v>
      </c>
      <c r="P1379" s="28">
        <f t="shared" si="520"/>
        <v>0</v>
      </c>
      <c r="Q1379" s="28">
        <f t="shared" si="520"/>
        <v>0</v>
      </c>
      <c r="R1379" s="28">
        <f t="shared" si="520"/>
        <v>0</v>
      </c>
      <c r="S1379" s="28">
        <f t="shared" si="520"/>
        <v>0</v>
      </c>
      <c r="T1379" s="28"/>
      <c r="U1379" s="28">
        <f t="shared" si="520"/>
        <v>0</v>
      </c>
      <c r="V1379" s="28"/>
      <c r="W1379" s="28">
        <f t="shared" si="520"/>
        <v>0</v>
      </c>
      <c r="X1379" s="28"/>
      <c r="Y1379" s="28">
        <f t="shared" si="520"/>
        <v>0</v>
      </c>
      <c r="Z1379" s="28">
        <f t="shared" si="520"/>
        <v>0</v>
      </c>
      <c r="AA1379" s="28"/>
      <c r="AB1379" s="28">
        <f t="shared" si="520"/>
        <v>0</v>
      </c>
      <c r="AC1379" s="28">
        <f t="shared" si="520"/>
        <v>0</v>
      </c>
      <c r="AD1379" s="28"/>
      <c r="AE1379" s="28"/>
    </row>
    <row r="1380" spans="1:31" s="1" customFormat="1" x14ac:dyDescent="0.25">
      <c r="A1380" s="21"/>
      <c r="B1380" s="22"/>
      <c r="C1380" s="22"/>
      <c r="D1380" s="65"/>
      <c r="E1380" s="24"/>
      <c r="F1380" s="24"/>
      <c r="G1380" s="24"/>
      <c r="H1380" s="24"/>
      <c r="I1380" s="24"/>
      <c r="J1380" s="24"/>
      <c r="K1380" s="24"/>
      <c r="L1380" s="24"/>
      <c r="M1380" s="24"/>
      <c r="N1380" s="24"/>
      <c r="O1380" s="24"/>
      <c r="P1380" s="24"/>
      <c r="Q1380" s="24"/>
      <c r="R1380" s="24"/>
      <c r="S1380" s="24"/>
      <c r="T1380" s="24"/>
      <c r="U1380" s="24"/>
      <c r="V1380" s="24"/>
      <c r="W1380" s="24"/>
      <c r="X1380" s="24"/>
      <c r="Y1380" s="24"/>
      <c r="Z1380" s="24"/>
      <c r="AA1380" s="24"/>
      <c r="AB1380" s="24"/>
      <c r="AC1380" s="24"/>
      <c r="AD1380" s="24"/>
      <c r="AE1380" s="24"/>
    </row>
    <row r="1381" spans="1:31" s="1" customFormat="1" x14ac:dyDescent="0.25">
      <c r="A1381" s="21"/>
      <c r="B1381" s="22"/>
      <c r="C1381" s="22"/>
      <c r="D1381" s="65"/>
      <c r="E1381" s="24"/>
      <c r="F1381" s="24"/>
      <c r="G1381" s="24"/>
      <c r="H1381" s="24"/>
      <c r="I1381" s="24"/>
      <c r="J1381" s="24"/>
      <c r="K1381" s="24"/>
      <c r="L1381" s="24"/>
      <c r="M1381" s="24"/>
      <c r="N1381" s="24"/>
      <c r="O1381" s="24"/>
      <c r="P1381" s="24"/>
      <c r="Q1381" s="24"/>
      <c r="R1381" s="24"/>
      <c r="S1381" s="24"/>
      <c r="T1381" s="24"/>
      <c r="U1381" s="24"/>
      <c r="V1381" s="24"/>
      <c r="W1381" s="24"/>
      <c r="X1381" s="24"/>
      <c r="Y1381" s="24"/>
      <c r="Z1381" s="24"/>
      <c r="AA1381" s="24"/>
      <c r="AB1381" s="24"/>
      <c r="AC1381" s="24"/>
      <c r="AD1381" s="24"/>
      <c r="AE1381" s="24"/>
    </row>
    <row r="1382" spans="1:31" s="1" customFormat="1" x14ac:dyDescent="0.25">
      <c r="A1382" s="21"/>
      <c r="B1382" s="22"/>
      <c r="C1382" s="22"/>
      <c r="D1382" s="65"/>
      <c r="E1382" s="24"/>
      <c r="F1382" s="24"/>
      <c r="G1382" s="24"/>
      <c r="H1382" s="24"/>
      <c r="I1382" s="24"/>
      <c r="J1382" s="24"/>
      <c r="K1382" s="24"/>
      <c r="L1382" s="24"/>
      <c r="M1382" s="24"/>
      <c r="N1382" s="24"/>
      <c r="O1382" s="24"/>
      <c r="P1382" s="24"/>
      <c r="Q1382" s="24"/>
      <c r="R1382" s="24"/>
      <c r="S1382" s="24"/>
      <c r="T1382" s="24"/>
      <c r="U1382" s="24"/>
      <c r="V1382" s="24"/>
      <c r="W1382" s="24"/>
      <c r="X1382" s="24"/>
      <c r="Y1382" s="24"/>
      <c r="Z1382" s="24"/>
      <c r="AA1382" s="24"/>
      <c r="AB1382" s="24"/>
      <c r="AC1382" s="24"/>
      <c r="AD1382" s="24"/>
      <c r="AE1382" s="24"/>
    </row>
    <row r="1383" spans="1:31" s="1" customFormat="1" ht="25.5" x14ac:dyDescent="0.25">
      <c r="A1383" s="25"/>
      <c r="B1383" s="26" t="s">
        <v>1499</v>
      </c>
      <c r="C1383" s="26"/>
      <c r="D1383" s="64" t="s">
        <v>1500</v>
      </c>
      <c r="E1383" s="28"/>
      <c r="F1383" s="28"/>
      <c r="G1383" s="28"/>
      <c r="H1383" s="28"/>
      <c r="I1383" s="28"/>
      <c r="J1383" s="28"/>
      <c r="K1383" s="28"/>
      <c r="L1383" s="28"/>
      <c r="M1383" s="28">
        <f>SUM(M1384:M1386)</f>
        <v>0</v>
      </c>
      <c r="N1383" s="28"/>
      <c r="O1383" s="28">
        <f t="shared" ref="O1383:AC1383" si="521">SUM(O1384:O1386)</f>
        <v>0</v>
      </c>
      <c r="P1383" s="28">
        <f t="shared" si="521"/>
        <v>0</v>
      </c>
      <c r="Q1383" s="28">
        <f t="shared" si="521"/>
        <v>0</v>
      </c>
      <c r="R1383" s="28">
        <f t="shared" si="521"/>
        <v>0</v>
      </c>
      <c r="S1383" s="28">
        <f t="shared" si="521"/>
        <v>0</v>
      </c>
      <c r="T1383" s="28"/>
      <c r="U1383" s="28">
        <f t="shared" si="521"/>
        <v>0</v>
      </c>
      <c r="V1383" s="28"/>
      <c r="W1383" s="28">
        <f t="shared" si="521"/>
        <v>0</v>
      </c>
      <c r="X1383" s="28"/>
      <c r="Y1383" s="28">
        <f t="shared" si="521"/>
        <v>0</v>
      </c>
      <c r="Z1383" s="28">
        <f t="shared" si="521"/>
        <v>0</v>
      </c>
      <c r="AA1383" s="28"/>
      <c r="AB1383" s="28">
        <f t="shared" si="521"/>
        <v>0</v>
      </c>
      <c r="AC1383" s="28">
        <f t="shared" si="521"/>
        <v>0</v>
      </c>
      <c r="AD1383" s="28"/>
      <c r="AE1383" s="28"/>
    </row>
    <row r="1384" spans="1:31" s="1" customFormat="1" x14ac:dyDescent="0.25">
      <c r="A1384" s="21"/>
      <c r="B1384" s="22"/>
      <c r="C1384" s="22"/>
      <c r="D1384" s="65"/>
      <c r="E1384" s="24"/>
      <c r="F1384" s="24"/>
      <c r="G1384" s="24"/>
      <c r="H1384" s="24"/>
      <c r="I1384" s="24"/>
      <c r="J1384" s="24"/>
      <c r="K1384" s="24"/>
      <c r="L1384" s="24"/>
      <c r="M1384" s="24"/>
      <c r="N1384" s="24"/>
      <c r="O1384" s="24"/>
      <c r="P1384" s="24"/>
      <c r="Q1384" s="24"/>
      <c r="R1384" s="24"/>
      <c r="S1384" s="24"/>
      <c r="T1384" s="24"/>
      <c r="U1384" s="24"/>
      <c r="V1384" s="24"/>
      <c r="W1384" s="24"/>
      <c r="X1384" s="24"/>
      <c r="Y1384" s="24"/>
      <c r="Z1384" s="24"/>
      <c r="AA1384" s="24"/>
      <c r="AB1384" s="24"/>
      <c r="AC1384" s="24"/>
      <c r="AD1384" s="24"/>
      <c r="AE1384" s="24"/>
    </row>
    <row r="1385" spans="1:31" s="1" customFormat="1" x14ac:dyDescent="0.25">
      <c r="A1385" s="21"/>
      <c r="B1385" s="22"/>
      <c r="C1385" s="22"/>
      <c r="D1385" s="65"/>
      <c r="E1385" s="24"/>
      <c r="F1385" s="24"/>
      <c r="G1385" s="24"/>
      <c r="H1385" s="24"/>
      <c r="I1385" s="24"/>
      <c r="J1385" s="24"/>
      <c r="K1385" s="24"/>
      <c r="L1385" s="24"/>
      <c r="M1385" s="24"/>
      <c r="N1385" s="24"/>
      <c r="O1385" s="24"/>
      <c r="P1385" s="24"/>
      <c r="Q1385" s="24"/>
      <c r="R1385" s="24"/>
      <c r="S1385" s="24"/>
      <c r="T1385" s="24"/>
      <c r="U1385" s="24"/>
      <c r="V1385" s="24"/>
      <c r="W1385" s="24"/>
      <c r="X1385" s="24"/>
      <c r="Y1385" s="24"/>
      <c r="Z1385" s="24"/>
      <c r="AA1385" s="24"/>
      <c r="AB1385" s="24"/>
      <c r="AC1385" s="24"/>
      <c r="AD1385" s="24"/>
      <c r="AE1385" s="24"/>
    </row>
    <row r="1386" spans="1:31" s="1" customFormat="1" x14ac:dyDescent="0.25">
      <c r="A1386" s="21"/>
      <c r="B1386" s="22"/>
      <c r="C1386" s="22"/>
      <c r="D1386" s="65"/>
      <c r="E1386" s="24"/>
      <c r="F1386" s="24"/>
      <c r="G1386" s="24"/>
      <c r="H1386" s="24"/>
      <c r="I1386" s="24"/>
      <c r="J1386" s="24"/>
      <c r="K1386" s="24"/>
      <c r="L1386" s="24"/>
      <c r="M1386" s="24"/>
      <c r="N1386" s="24"/>
      <c r="O1386" s="24"/>
      <c r="P1386" s="24"/>
      <c r="Q1386" s="24"/>
      <c r="R1386" s="24"/>
      <c r="S1386" s="24"/>
      <c r="T1386" s="24"/>
      <c r="U1386" s="24"/>
      <c r="V1386" s="24"/>
      <c r="W1386" s="24"/>
      <c r="X1386" s="24"/>
      <c r="Y1386" s="24"/>
      <c r="Z1386" s="24"/>
      <c r="AA1386" s="24"/>
      <c r="AB1386" s="24"/>
      <c r="AC1386" s="24"/>
      <c r="AD1386" s="24"/>
      <c r="AE1386" s="24"/>
    </row>
    <row r="1387" spans="1:31" s="1" customFormat="1" ht="25.5" x14ac:dyDescent="0.25">
      <c r="A1387" s="25"/>
      <c r="B1387" s="26" t="s">
        <v>1501</v>
      </c>
      <c r="C1387" s="26"/>
      <c r="D1387" s="64" t="s">
        <v>1502</v>
      </c>
      <c r="E1387" s="28"/>
      <c r="F1387" s="28"/>
      <c r="G1387" s="28"/>
      <c r="H1387" s="28"/>
      <c r="I1387" s="28"/>
      <c r="J1387" s="28"/>
      <c r="K1387" s="28"/>
      <c r="L1387" s="28"/>
      <c r="M1387" s="28">
        <f>SUM(M1388:M1390)</f>
        <v>0</v>
      </c>
      <c r="N1387" s="28"/>
      <c r="O1387" s="28">
        <f t="shared" ref="O1387:AC1387" si="522">SUM(O1388:O1390)</f>
        <v>0</v>
      </c>
      <c r="P1387" s="28">
        <f t="shared" si="522"/>
        <v>0</v>
      </c>
      <c r="Q1387" s="28">
        <f t="shared" si="522"/>
        <v>0</v>
      </c>
      <c r="R1387" s="28">
        <f t="shared" si="522"/>
        <v>0</v>
      </c>
      <c r="S1387" s="28">
        <f t="shared" si="522"/>
        <v>0</v>
      </c>
      <c r="T1387" s="28"/>
      <c r="U1387" s="28">
        <f t="shared" si="522"/>
        <v>0</v>
      </c>
      <c r="V1387" s="28"/>
      <c r="W1387" s="28">
        <f t="shared" si="522"/>
        <v>0</v>
      </c>
      <c r="X1387" s="28"/>
      <c r="Y1387" s="28">
        <f t="shared" si="522"/>
        <v>0</v>
      </c>
      <c r="Z1387" s="28">
        <f t="shared" si="522"/>
        <v>0</v>
      </c>
      <c r="AA1387" s="28"/>
      <c r="AB1387" s="28">
        <f t="shared" si="522"/>
        <v>0</v>
      </c>
      <c r="AC1387" s="28">
        <f t="shared" si="522"/>
        <v>0</v>
      </c>
      <c r="AD1387" s="28"/>
      <c r="AE1387" s="28"/>
    </row>
    <row r="1388" spans="1:31" s="1" customFormat="1" x14ac:dyDescent="0.25">
      <c r="A1388" s="21"/>
      <c r="B1388" s="22"/>
      <c r="C1388" s="22"/>
      <c r="D1388" s="65"/>
      <c r="E1388" s="24"/>
      <c r="F1388" s="24"/>
      <c r="G1388" s="24"/>
      <c r="H1388" s="24"/>
      <c r="I1388" s="24"/>
      <c r="J1388" s="24"/>
      <c r="K1388" s="24"/>
      <c r="L1388" s="24"/>
      <c r="M1388" s="24"/>
      <c r="N1388" s="24"/>
      <c r="O1388" s="24"/>
      <c r="P1388" s="24"/>
      <c r="Q1388" s="24"/>
      <c r="R1388" s="24"/>
      <c r="S1388" s="24"/>
      <c r="T1388" s="24"/>
      <c r="U1388" s="24"/>
      <c r="V1388" s="24"/>
      <c r="W1388" s="24"/>
      <c r="X1388" s="24"/>
      <c r="Y1388" s="24"/>
      <c r="Z1388" s="24"/>
      <c r="AA1388" s="24"/>
      <c r="AB1388" s="24"/>
      <c r="AC1388" s="24"/>
      <c r="AD1388" s="24"/>
      <c r="AE1388" s="24"/>
    </row>
    <row r="1389" spans="1:31" s="1" customFormat="1" x14ac:dyDescent="0.25">
      <c r="A1389" s="21"/>
      <c r="B1389" s="22"/>
      <c r="C1389" s="22"/>
      <c r="D1389" s="65"/>
      <c r="E1389" s="24"/>
      <c r="F1389" s="24"/>
      <c r="G1389" s="24"/>
      <c r="H1389" s="24"/>
      <c r="I1389" s="24"/>
      <c r="J1389" s="24"/>
      <c r="K1389" s="24"/>
      <c r="L1389" s="24"/>
      <c r="M1389" s="24"/>
      <c r="N1389" s="24"/>
      <c r="O1389" s="24"/>
      <c r="P1389" s="24"/>
      <c r="Q1389" s="24"/>
      <c r="R1389" s="24"/>
      <c r="S1389" s="24"/>
      <c r="T1389" s="24"/>
      <c r="U1389" s="24"/>
      <c r="V1389" s="24"/>
      <c r="W1389" s="24"/>
      <c r="X1389" s="24"/>
      <c r="Y1389" s="24"/>
      <c r="Z1389" s="24"/>
      <c r="AA1389" s="24"/>
      <c r="AB1389" s="24"/>
      <c r="AC1389" s="24"/>
      <c r="AD1389" s="24"/>
      <c r="AE1389" s="24"/>
    </row>
    <row r="1390" spans="1:31" s="1" customFormat="1" x14ac:dyDescent="0.25">
      <c r="A1390" s="21"/>
      <c r="B1390" s="22"/>
      <c r="C1390" s="22"/>
      <c r="D1390" s="65"/>
      <c r="E1390" s="24"/>
      <c r="F1390" s="24"/>
      <c r="G1390" s="24"/>
      <c r="H1390" s="24"/>
      <c r="I1390" s="24"/>
      <c r="J1390" s="24"/>
      <c r="K1390" s="24"/>
      <c r="L1390" s="24"/>
      <c r="M1390" s="24"/>
      <c r="N1390" s="24"/>
      <c r="O1390" s="24"/>
      <c r="P1390" s="24"/>
      <c r="Q1390" s="24"/>
      <c r="R1390" s="24"/>
      <c r="S1390" s="24"/>
      <c r="T1390" s="24"/>
      <c r="U1390" s="24"/>
      <c r="V1390" s="24"/>
      <c r="W1390" s="24"/>
      <c r="X1390" s="24"/>
      <c r="Y1390" s="24"/>
      <c r="Z1390" s="24"/>
      <c r="AA1390" s="24"/>
      <c r="AB1390" s="24"/>
      <c r="AC1390" s="24"/>
      <c r="AD1390" s="24"/>
      <c r="AE1390" s="24"/>
    </row>
    <row r="1391" spans="1:31" s="1" customFormat="1" ht="25.5" x14ac:dyDescent="0.25">
      <c r="A1391" s="25"/>
      <c r="B1391" s="26" t="s">
        <v>1503</v>
      </c>
      <c r="C1391" s="26"/>
      <c r="D1391" s="64" t="s">
        <v>1504</v>
      </c>
      <c r="E1391" s="28"/>
      <c r="F1391" s="28"/>
      <c r="G1391" s="28"/>
      <c r="H1391" s="28"/>
      <c r="I1391" s="28"/>
      <c r="J1391" s="28"/>
      <c r="K1391" s="28"/>
      <c r="L1391" s="28"/>
      <c r="M1391" s="28">
        <f>SUM(M1392:M1394)</f>
        <v>0</v>
      </c>
      <c r="N1391" s="28"/>
      <c r="O1391" s="28">
        <f t="shared" ref="O1391:AC1391" si="523">SUM(O1392:O1394)</f>
        <v>0</v>
      </c>
      <c r="P1391" s="28">
        <f t="shared" si="523"/>
        <v>0</v>
      </c>
      <c r="Q1391" s="28">
        <f t="shared" si="523"/>
        <v>0</v>
      </c>
      <c r="R1391" s="28">
        <f t="shared" si="523"/>
        <v>0</v>
      </c>
      <c r="S1391" s="28">
        <f t="shared" si="523"/>
        <v>0</v>
      </c>
      <c r="T1391" s="28"/>
      <c r="U1391" s="28">
        <f t="shared" si="523"/>
        <v>0</v>
      </c>
      <c r="V1391" s="28"/>
      <c r="W1391" s="28">
        <f t="shared" si="523"/>
        <v>0</v>
      </c>
      <c r="X1391" s="28"/>
      <c r="Y1391" s="28">
        <f t="shared" si="523"/>
        <v>0</v>
      </c>
      <c r="Z1391" s="28">
        <f t="shared" si="523"/>
        <v>0</v>
      </c>
      <c r="AA1391" s="28"/>
      <c r="AB1391" s="28">
        <f t="shared" si="523"/>
        <v>0</v>
      </c>
      <c r="AC1391" s="28">
        <f t="shared" si="523"/>
        <v>0</v>
      </c>
      <c r="AD1391" s="28"/>
      <c r="AE1391" s="28"/>
    </row>
    <row r="1392" spans="1:31" s="1" customFormat="1" x14ac:dyDescent="0.25">
      <c r="A1392" s="21"/>
      <c r="B1392" s="22"/>
      <c r="C1392" s="22"/>
      <c r="D1392" s="65"/>
      <c r="E1392" s="24"/>
      <c r="F1392" s="24"/>
      <c r="G1392" s="24"/>
      <c r="H1392" s="24"/>
      <c r="I1392" s="24"/>
      <c r="J1392" s="24"/>
      <c r="K1392" s="24"/>
      <c r="L1392" s="24"/>
      <c r="M1392" s="24"/>
      <c r="N1392" s="24"/>
      <c r="O1392" s="24"/>
      <c r="P1392" s="24"/>
      <c r="Q1392" s="24"/>
      <c r="R1392" s="24"/>
      <c r="S1392" s="24"/>
      <c r="T1392" s="24"/>
      <c r="U1392" s="24"/>
      <c r="V1392" s="24"/>
      <c r="W1392" s="24"/>
      <c r="X1392" s="24"/>
      <c r="Y1392" s="24"/>
      <c r="Z1392" s="24"/>
      <c r="AA1392" s="24"/>
      <c r="AB1392" s="24"/>
      <c r="AC1392" s="24"/>
      <c r="AD1392" s="24"/>
      <c r="AE1392" s="24"/>
    </row>
    <row r="1393" spans="1:31" s="1" customFormat="1" x14ac:dyDescent="0.25">
      <c r="A1393" s="21"/>
      <c r="B1393" s="22"/>
      <c r="C1393" s="22"/>
      <c r="D1393" s="65"/>
      <c r="E1393" s="24"/>
      <c r="F1393" s="24"/>
      <c r="G1393" s="24"/>
      <c r="H1393" s="24"/>
      <c r="I1393" s="24"/>
      <c r="J1393" s="24"/>
      <c r="K1393" s="24"/>
      <c r="L1393" s="24"/>
      <c r="M1393" s="24"/>
      <c r="N1393" s="24"/>
      <c r="O1393" s="24"/>
      <c r="P1393" s="24"/>
      <c r="Q1393" s="24"/>
      <c r="R1393" s="24"/>
      <c r="S1393" s="24"/>
      <c r="T1393" s="24"/>
      <c r="U1393" s="24"/>
      <c r="V1393" s="24"/>
      <c r="W1393" s="24"/>
      <c r="X1393" s="24"/>
      <c r="Y1393" s="24"/>
      <c r="Z1393" s="24"/>
      <c r="AA1393" s="24"/>
      <c r="AB1393" s="24"/>
      <c r="AC1393" s="24"/>
      <c r="AD1393" s="24"/>
      <c r="AE1393" s="24"/>
    </row>
    <row r="1394" spans="1:31" s="1" customFormat="1" x14ac:dyDescent="0.25">
      <c r="A1394" s="21"/>
      <c r="B1394" s="22"/>
      <c r="C1394" s="22"/>
      <c r="D1394" s="65"/>
      <c r="E1394" s="24"/>
      <c r="F1394" s="24"/>
      <c r="G1394" s="24"/>
      <c r="H1394" s="24"/>
      <c r="I1394" s="24"/>
      <c r="J1394" s="24"/>
      <c r="K1394" s="24"/>
      <c r="L1394" s="24"/>
      <c r="M1394" s="24"/>
      <c r="N1394" s="24"/>
      <c r="O1394" s="24"/>
      <c r="P1394" s="24"/>
      <c r="Q1394" s="24"/>
      <c r="R1394" s="24"/>
      <c r="S1394" s="24"/>
      <c r="T1394" s="24"/>
      <c r="U1394" s="24"/>
      <c r="V1394" s="24"/>
      <c r="W1394" s="24"/>
      <c r="X1394" s="24"/>
      <c r="Y1394" s="24"/>
      <c r="Z1394" s="24"/>
      <c r="AA1394" s="24"/>
      <c r="AB1394" s="24"/>
      <c r="AC1394" s="24"/>
      <c r="AD1394" s="24"/>
      <c r="AE1394" s="24"/>
    </row>
    <row r="1395" spans="1:31" s="1" customFormat="1" ht="38.25" x14ac:dyDescent="0.25">
      <c r="A1395" s="25"/>
      <c r="B1395" s="26" t="s">
        <v>1505</v>
      </c>
      <c r="C1395" s="26"/>
      <c r="D1395" s="64" t="s">
        <v>1506</v>
      </c>
      <c r="E1395" s="28"/>
      <c r="F1395" s="28"/>
      <c r="G1395" s="28"/>
      <c r="H1395" s="28"/>
      <c r="I1395" s="28"/>
      <c r="J1395" s="28"/>
      <c r="K1395" s="28"/>
      <c r="L1395" s="28"/>
      <c r="M1395" s="28">
        <f>SUM(M1396:M1398)</f>
        <v>0</v>
      </c>
      <c r="N1395" s="28"/>
      <c r="O1395" s="28">
        <f t="shared" ref="O1395:AC1395" si="524">SUM(O1396:O1398)</f>
        <v>0</v>
      </c>
      <c r="P1395" s="28">
        <f t="shared" si="524"/>
        <v>0</v>
      </c>
      <c r="Q1395" s="28">
        <f t="shared" si="524"/>
        <v>0</v>
      </c>
      <c r="R1395" s="28">
        <f t="shared" si="524"/>
        <v>0</v>
      </c>
      <c r="S1395" s="28">
        <f t="shared" si="524"/>
        <v>0</v>
      </c>
      <c r="T1395" s="28"/>
      <c r="U1395" s="28">
        <f t="shared" si="524"/>
        <v>0</v>
      </c>
      <c r="V1395" s="28"/>
      <c r="W1395" s="28">
        <f t="shared" si="524"/>
        <v>0</v>
      </c>
      <c r="X1395" s="28"/>
      <c r="Y1395" s="28">
        <f t="shared" si="524"/>
        <v>0</v>
      </c>
      <c r="Z1395" s="28">
        <f t="shared" si="524"/>
        <v>0</v>
      </c>
      <c r="AA1395" s="28"/>
      <c r="AB1395" s="28">
        <f t="shared" si="524"/>
        <v>0</v>
      </c>
      <c r="AC1395" s="28">
        <f t="shared" si="524"/>
        <v>0</v>
      </c>
      <c r="AD1395" s="28"/>
      <c r="AE1395" s="28"/>
    </row>
    <row r="1396" spans="1:31" s="1" customFormat="1" x14ac:dyDescent="0.25">
      <c r="A1396" s="21"/>
      <c r="B1396" s="22"/>
      <c r="C1396" s="22"/>
      <c r="D1396" s="65"/>
      <c r="E1396" s="24"/>
      <c r="F1396" s="24"/>
      <c r="G1396" s="24"/>
      <c r="H1396" s="24"/>
      <c r="I1396" s="24"/>
      <c r="J1396" s="24"/>
      <c r="K1396" s="24"/>
      <c r="L1396" s="24"/>
      <c r="M1396" s="24"/>
      <c r="N1396" s="24"/>
      <c r="O1396" s="24"/>
      <c r="P1396" s="24"/>
      <c r="Q1396" s="24"/>
      <c r="R1396" s="24"/>
      <c r="S1396" s="24"/>
      <c r="T1396" s="24"/>
      <c r="U1396" s="24"/>
      <c r="V1396" s="24"/>
      <c r="W1396" s="24"/>
      <c r="X1396" s="24"/>
      <c r="Y1396" s="24"/>
      <c r="Z1396" s="24"/>
      <c r="AA1396" s="24"/>
      <c r="AB1396" s="24"/>
      <c r="AC1396" s="24"/>
      <c r="AD1396" s="24"/>
      <c r="AE1396" s="24"/>
    </row>
    <row r="1397" spans="1:31" s="1" customFormat="1" x14ac:dyDescent="0.25">
      <c r="A1397" s="21"/>
      <c r="B1397" s="22"/>
      <c r="C1397" s="22"/>
      <c r="D1397" s="65"/>
      <c r="E1397" s="24"/>
      <c r="F1397" s="24"/>
      <c r="G1397" s="24"/>
      <c r="H1397" s="24"/>
      <c r="I1397" s="24"/>
      <c r="J1397" s="24"/>
      <c r="K1397" s="24"/>
      <c r="L1397" s="24"/>
      <c r="M1397" s="24"/>
      <c r="N1397" s="24"/>
      <c r="O1397" s="24"/>
      <c r="P1397" s="24"/>
      <c r="Q1397" s="24"/>
      <c r="R1397" s="24"/>
      <c r="S1397" s="24"/>
      <c r="T1397" s="24"/>
      <c r="U1397" s="24"/>
      <c r="V1397" s="24"/>
      <c r="W1397" s="24"/>
      <c r="X1397" s="24"/>
      <c r="Y1397" s="24"/>
      <c r="Z1397" s="24"/>
      <c r="AA1397" s="24"/>
      <c r="AB1397" s="24"/>
      <c r="AC1397" s="24"/>
      <c r="AD1397" s="24"/>
      <c r="AE1397" s="24"/>
    </row>
    <row r="1398" spans="1:31" s="1" customFormat="1" x14ac:dyDescent="0.25">
      <c r="A1398" s="21"/>
      <c r="B1398" s="22"/>
      <c r="C1398" s="22"/>
      <c r="D1398" s="65"/>
      <c r="E1398" s="24"/>
      <c r="F1398" s="24"/>
      <c r="G1398" s="24"/>
      <c r="H1398" s="24"/>
      <c r="I1398" s="24"/>
      <c r="J1398" s="24"/>
      <c r="K1398" s="24"/>
      <c r="L1398" s="24"/>
      <c r="M1398" s="24"/>
      <c r="N1398" s="24"/>
      <c r="O1398" s="24"/>
      <c r="P1398" s="24"/>
      <c r="Q1398" s="24"/>
      <c r="R1398" s="24"/>
      <c r="S1398" s="24"/>
      <c r="T1398" s="24"/>
      <c r="U1398" s="24"/>
      <c r="V1398" s="24"/>
      <c r="W1398" s="24"/>
      <c r="X1398" s="24"/>
      <c r="Y1398" s="24"/>
      <c r="Z1398" s="24"/>
      <c r="AA1398" s="24"/>
      <c r="AB1398" s="24"/>
      <c r="AC1398" s="24"/>
      <c r="AD1398" s="24"/>
      <c r="AE1398" s="24"/>
    </row>
    <row r="1399" spans="1:31" s="1" customFormat="1" ht="38.25" x14ac:dyDescent="0.25">
      <c r="A1399" s="25"/>
      <c r="B1399" s="26" t="s">
        <v>1507</v>
      </c>
      <c r="C1399" s="26"/>
      <c r="D1399" s="64" t="s">
        <v>1508</v>
      </c>
      <c r="E1399" s="28"/>
      <c r="F1399" s="28"/>
      <c r="G1399" s="28"/>
      <c r="H1399" s="28"/>
      <c r="I1399" s="28"/>
      <c r="J1399" s="28"/>
      <c r="K1399" s="28"/>
      <c r="L1399" s="28"/>
      <c r="M1399" s="28">
        <f>SUM(M1400:M1402)</f>
        <v>0</v>
      </c>
      <c r="N1399" s="28"/>
      <c r="O1399" s="28">
        <f t="shared" ref="O1399:AC1399" si="525">SUM(O1400:O1402)</f>
        <v>0</v>
      </c>
      <c r="P1399" s="28">
        <f t="shared" si="525"/>
        <v>0</v>
      </c>
      <c r="Q1399" s="28">
        <f t="shared" si="525"/>
        <v>0</v>
      </c>
      <c r="R1399" s="28">
        <f t="shared" si="525"/>
        <v>0</v>
      </c>
      <c r="S1399" s="28">
        <f t="shared" si="525"/>
        <v>0</v>
      </c>
      <c r="T1399" s="28"/>
      <c r="U1399" s="28">
        <f t="shared" si="525"/>
        <v>0</v>
      </c>
      <c r="V1399" s="28"/>
      <c r="W1399" s="28">
        <f t="shared" si="525"/>
        <v>0</v>
      </c>
      <c r="X1399" s="28"/>
      <c r="Y1399" s="28">
        <f t="shared" si="525"/>
        <v>0</v>
      </c>
      <c r="Z1399" s="28">
        <f t="shared" si="525"/>
        <v>0</v>
      </c>
      <c r="AA1399" s="28"/>
      <c r="AB1399" s="28">
        <f t="shared" si="525"/>
        <v>0</v>
      </c>
      <c r="AC1399" s="28">
        <f t="shared" si="525"/>
        <v>0</v>
      </c>
      <c r="AD1399" s="28"/>
      <c r="AE1399" s="28"/>
    </row>
    <row r="1400" spans="1:31" s="1" customFormat="1" x14ac:dyDescent="0.25">
      <c r="A1400" s="21"/>
      <c r="B1400" s="22"/>
      <c r="C1400" s="22"/>
      <c r="D1400" s="65"/>
      <c r="E1400" s="24"/>
      <c r="F1400" s="24"/>
      <c r="G1400" s="24"/>
      <c r="H1400" s="24"/>
      <c r="I1400" s="24"/>
      <c r="J1400" s="24"/>
      <c r="K1400" s="24"/>
      <c r="L1400" s="24"/>
      <c r="M1400" s="24"/>
      <c r="N1400" s="24"/>
      <c r="O1400" s="24"/>
      <c r="P1400" s="24"/>
      <c r="Q1400" s="24"/>
      <c r="R1400" s="24"/>
      <c r="S1400" s="24"/>
      <c r="T1400" s="24"/>
      <c r="U1400" s="24"/>
      <c r="V1400" s="24"/>
      <c r="W1400" s="24"/>
      <c r="X1400" s="24"/>
      <c r="Y1400" s="24"/>
      <c r="Z1400" s="24"/>
      <c r="AA1400" s="24"/>
      <c r="AB1400" s="24"/>
      <c r="AC1400" s="24"/>
      <c r="AD1400" s="24"/>
      <c r="AE1400" s="24"/>
    </row>
    <row r="1401" spans="1:31" s="1" customFormat="1" x14ac:dyDescent="0.25">
      <c r="A1401" s="21"/>
      <c r="B1401" s="22"/>
      <c r="C1401" s="22"/>
      <c r="D1401" s="65"/>
      <c r="E1401" s="24"/>
      <c r="F1401" s="24"/>
      <c r="G1401" s="24"/>
      <c r="H1401" s="24"/>
      <c r="I1401" s="24"/>
      <c r="J1401" s="24"/>
      <c r="K1401" s="24"/>
      <c r="L1401" s="24"/>
      <c r="M1401" s="24"/>
      <c r="N1401" s="24"/>
      <c r="O1401" s="24"/>
      <c r="P1401" s="24"/>
      <c r="Q1401" s="24"/>
      <c r="R1401" s="24"/>
      <c r="S1401" s="24"/>
      <c r="T1401" s="24"/>
      <c r="U1401" s="24"/>
      <c r="V1401" s="24"/>
      <c r="W1401" s="24"/>
      <c r="X1401" s="24"/>
      <c r="Y1401" s="24"/>
      <c r="Z1401" s="24"/>
      <c r="AA1401" s="24"/>
      <c r="AB1401" s="24"/>
      <c r="AC1401" s="24"/>
      <c r="AD1401" s="24"/>
      <c r="AE1401" s="24"/>
    </row>
    <row r="1402" spans="1:31" s="1" customFormat="1" x14ac:dyDescent="0.25">
      <c r="A1402" s="21"/>
      <c r="B1402" s="22"/>
      <c r="C1402" s="22"/>
      <c r="D1402" s="65"/>
      <c r="E1402" s="24"/>
      <c r="F1402" s="24"/>
      <c r="G1402" s="24"/>
      <c r="H1402" s="24"/>
      <c r="I1402" s="24"/>
      <c r="J1402" s="24"/>
      <c r="K1402" s="24"/>
      <c r="L1402" s="24"/>
      <c r="M1402" s="24"/>
      <c r="N1402" s="24"/>
      <c r="O1402" s="24"/>
      <c r="P1402" s="24"/>
      <c r="Q1402" s="24"/>
      <c r="R1402" s="24"/>
      <c r="S1402" s="24"/>
      <c r="T1402" s="24"/>
      <c r="U1402" s="24"/>
      <c r="V1402" s="24"/>
      <c r="W1402" s="24"/>
      <c r="X1402" s="24"/>
      <c r="Y1402" s="24"/>
      <c r="Z1402" s="24"/>
      <c r="AA1402" s="24"/>
      <c r="AB1402" s="24"/>
      <c r="AC1402" s="24"/>
      <c r="AD1402" s="24"/>
      <c r="AE1402" s="24"/>
    </row>
    <row r="1403" spans="1:31" s="1" customFormat="1" ht="38.25" x14ac:dyDescent="0.25">
      <c r="A1403" s="25"/>
      <c r="B1403" s="26" t="s">
        <v>1509</v>
      </c>
      <c r="C1403" s="26"/>
      <c r="D1403" s="64" t="s">
        <v>1510</v>
      </c>
      <c r="E1403" s="28"/>
      <c r="F1403" s="28"/>
      <c r="G1403" s="28"/>
      <c r="H1403" s="28"/>
      <c r="I1403" s="28"/>
      <c r="J1403" s="28"/>
      <c r="K1403" s="28"/>
      <c r="L1403" s="28"/>
      <c r="M1403" s="28">
        <f>SUM(M1404:M1406)</f>
        <v>0</v>
      </c>
      <c r="N1403" s="28"/>
      <c r="O1403" s="28">
        <f t="shared" ref="O1403:AC1403" si="526">SUM(O1404:O1406)</f>
        <v>0</v>
      </c>
      <c r="P1403" s="28">
        <f t="shared" si="526"/>
        <v>0</v>
      </c>
      <c r="Q1403" s="28">
        <f t="shared" si="526"/>
        <v>0</v>
      </c>
      <c r="R1403" s="28">
        <f t="shared" si="526"/>
        <v>0</v>
      </c>
      <c r="S1403" s="28">
        <f t="shared" si="526"/>
        <v>0</v>
      </c>
      <c r="T1403" s="28"/>
      <c r="U1403" s="28">
        <f t="shared" si="526"/>
        <v>0</v>
      </c>
      <c r="V1403" s="28"/>
      <c r="W1403" s="28">
        <f t="shared" si="526"/>
        <v>0</v>
      </c>
      <c r="X1403" s="28"/>
      <c r="Y1403" s="28">
        <f t="shared" si="526"/>
        <v>0</v>
      </c>
      <c r="Z1403" s="28">
        <f t="shared" si="526"/>
        <v>0</v>
      </c>
      <c r="AA1403" s="28"/>
      <c r="AB1403" s="28">
        <f t="shared" si="526"/>
        <v>0</v>
      </c>
      <c r="AC1403" s="28">
        <f t="shared" si="526"/>
        <v>0</v>
      </c>
      <c r="AD1403" s="28"/>
      <c r="AE1403" s="28"/>
    </row>
    <row r="1404" spans="1:31" s="1" customFormat="1" x14ac:dyDescent="0.25">
      <c r="A1404" s="21"/>
      <c r="B1404" s="22"/>
      <c r="C1404" s="22"/>
      <c r="D1404" s="65"/>
      <c r="E1404" s="24"/>
      <c r="F1404" s="24"/>
      <c r="G1404" s="24"/>
      <c r="H1404" s="24"/>
      <c r="I1404" s="24"/>
      <c r="J1404" s="24"/>
      <c r="K1404" s="24"/>
      <c r="L1404" s="24"/>
      <c r="M1404" s="24"/>
      <c r="N1404" s="24"/>
      <c r="O1404" s="24"/>
      <c r="P1404" s="24"/>
      <c r="Q1404" s="24"/>
      <c r="R1404" s="24"/>
      <c r="S1404" s="24"/>
      <c r="T1404" s="24"/>
      <c r="U1404" s="24"/>
      <c r="V1404" s="24"/>
      <c r="W1404" s="24"/>
      <c r="X1404" s="24"/>
      <c r="Y1404" s="24"/>
      <c r="Z1404" s="24"/>
      <c r="AA1404" s="24"/>
      <c r="AB1404" s="24"/>
      <c r="AC1404" s="24"/>
      <c r="AD1404" s="24"/>
      <c r="AE1404" s="24"/>
    </row>
    <row r="1405" spans="1:31" s="1" customFormat="1" x14ac:dyDescent="0.25">
      <c r="A1405" s="21"/>
      <c r="B1405" s="22"/>
      <c r="C1405" s="22"/>
      <c r="D1405" s="65"/>
      <c r="E1405" s="24"/>
      <c r="F1405" s="24"/>
      <c r="G1405" s="24"/>
      <c r="H1405" s="24"/>
      <c r="I1405" s="24"/>
      <c r="J1405" s="24"/>
      <c r="K1405" s="24"/>
      <c r="L1405" s="24"/>
      <c r="M1405" s="24"/>
      <c r="N1405" s="24"/>
      <c r="O1405" s="24"/>
      <c r="P1405" s="24"/>
      <c r="Q1405" s="24"/>
      <c r="R1405" s="24"/>
      <c r="S1405" s="24"/>
      <c r="T1405" s="24"/>
      <c r="U1405" s="24"/>
      <c r="V1405" s="24"/>
      <c r="W1405" s="24"/>
      <c r="X1405" s="24"/>
      <c r="Y1405" s="24"/>
      <c r="Z1405" s="24"/>
      <c r="AA1405" s="24"/>
      <c r="AB1405" s="24"/>
      <c r="AC1405" s="24"/>
      <c r="AD1405" s="24"/>
      <c r="AE1405" s="24"/>
    </row>
    <row r="1406" spans="1:31" s="1" customFormat="1" x14ac:dyDescent="0.25">
      <c r="A1406" s="21"/>
      <c r="B1406" s="22"/>
      <c r="C1406" s="22"/>
      <c r="D1406" s="65"/>
      <c r="E1406" s="24"/>
      <c r="F1406" s="24"/>
      <c r="G1406" s="24"/>
      <c r="H1406" s="24"/>
      <c r="I1406" s="24"/>
      <c r="J1406" s="24"/>
      <c r="K1406" s="24"/>
      <c r="L1406" s="24"/>
      <c r="M1406" s="24"/>
      <c r="N1406" s="24"/>
      <c r="O1406" s="24"/>
      <c r="P1406" s="24"/>
      <c r="Q1406" s="24"/>
      <c r="R1406" s="24"/>
      <c r="S1406" s="24"/>
      <c r="T1406" s="24"/>
      <c r="U1406" s="24"/>
      <c r="V1406" s="24"/>
      <c r="W1406" s="24"/>
      <c r="X1406" s="24"/>
      <c r="Y1406" s="24"/>
      <c r="Z1406" s="24"/>
      <c r="AA1406" s="24"/>
      <c r="AB1406" s="24"/>
      <c r="AC1406" s="24"/>
      <c r="AD1406" s="24"/>
      <c r="AE1406" s="24"/>
    </row>
    <row r="1407" spans="1:31" s="1" customFormat="1" x14ac:dyDescent="0.25">
      <c r="A1407" s="25"/>
      <c r="B1407" s="26" t="s">
        <v>1511</v>
      </c>
      <c r="C1407" s="26"/>
      <c r="D1407" s="64" t="s">
        <v>1512</v>
      </c>
      <c r="E1407" s="28"/>
      <c r="F1407" s="28"/>
      <c r="G1407" s="28"/>
      <c r="H1407" s="28"/>
      <c r="I1407" s="28"/>
      <c r="J1407" s="28"/>
      <c r="K1407" s="28"/>
      <c r="L1407" s="28"/>
      <c r="M1407" s="28">
        <f>SUM(M1408:M1410)</f>
        <v>0</v>
      </c>
      <c r="N1407" s="28"/>
      <c r="O1407" s="28">
        <f t="shared" ref="O1407:AC1407" si="527">SUM(O1408:O1410)</f>
        <v>0</v>
      </c>
      <c r="P1407" s="28">
        <f t="shared" si="527"/>
        <v>0</v>
      </c>
      <c r="Q1407" s="28">
        <f t="shared" si="527"/>
        <v>0</v>
      </c>
      <c r="R1407" s="28">
        <f t="shared" si="527"/>
        <v>0</v>
      </c>
      <c r="S1407" s="28">
        <f t="shared" si="527"/>
        <v>0</v>
      </c>
      <c r="T1407" s="28"/>
      <c r="U1407" s="28">
        <f t="shared" si="527"/>
        <v>0</v>
      </c>
      <c r="V1407" s="28"/>
      <c r="W1407" s="28">
        <f t="shared" si="527"/>
        <v>0</v>
      </c>
      <c r="X1407" s="28"/>
      <c r="Y1407" s="28">
        <f t="shared" si="527"/>
        <v>0</v>
      </c>
      <c r="Z1407" s="28">
        <f t="shared" si="527"/>
        <v>0</v>
      </c>
      <c r="AA1407" s="28"/>
      <c r="AB1407" s="28">
        <f t="shared" si="527"/>
        <v>0</v>
      </c>
      <c r="AC1407" s="28">
        <f t="shared" si="527"/>
        <v>0</v>
      </c>
      <c r="AD1407" s="28"/>
      <c r="AE1407" s="28"/>
    </row>
    <row r="1408" spans="1:31" s="1" customFormat="1" x14ac:dyDescent="0.25">
      <c r="A1408" s="21"/>
      <c r="B1408" s="22"/>
      <c r="C1408" s="22"/>
      <c r="D1408" s="65"/>
      <c r="E1408" s="24"/>
      <c r="F1408" s="24"/>
      <c r="G1408" s="24"/>
      <c r="H1408" s="24"/>
      <c r="I1408" s="24"/>
      <c r="J1408" s="24"/>
      <c r="K1408" s="24"/>
      <c r="L1408" s="24"/>
      <c r="M1408" s="24"/>
      <c r="N1408" s="24"/>
      <c r="O1408" s="24"/>
      <c r="P1408" s="24"/>
      <c r="Q1408" s="24"/>
      <c r="R1408" s="24"/>
      <c r="S1408" s="24"/>
      <c r="T1408" s="24"/>
      <c r="U1408" s="24"/>
      <c r="V1408" s="24"/>
      <c r="W1408" s="24"/>
      <c r="X1408" s="24"/>
      <c r="Y1408" s="24"/>
      <c r="Z1408" s="24"/>
      <c r="AA1408" s="24"/>
      <c r="AB1408" s="24"/>
      <c r="AC1408" s="24"/>
      <c r="AD1408" s="24"/>
      <c r="AE1408" s="24"/>
    </row>
    <row r="1409" spans="1:31" s="1" customFormat="1" x14ac:dyDescent="0.25">
      <c r="A1409" s="21"/>
      <c r="B1409" s="22"/>
      <c r="C1409" s="22"/>
      <c r="D1409" s="65"/>
      <c r="E1409" s="24"/>
      <c r="F1409" s="24"/>
      <c r="G1409" s="24"/>
      <c r="H1409" s="24"/>
      <c r="I1409" s="24"/>
      <c r="J1409" s="24"/>
      <c r="K1409" s="24"/>
      <c r="L1409" s="24"/>
      <c r="M1409" s="24"/>
      <c r="N1409" s="24"/>
      <c r="O1409" s="24"/>
      <c r="P1409" s="24"/>
      <c r="Q1409" s="24"/>
      <c r="R1409" s="24"/>
      <c r="S1409" s="24"/>
      <c r="T1409" s="24"/>
      <c r="U1409" s="24"/>
      <c r="V1409" s="24"/>
      <c r="W1409" s="24"/>
      <c r="X1409" s="24"/>
      <c r="Y1409" s="24"/>
      <c r="Z1409" s="24"/>
      <c r="AA1409" s="24"/>
      <c r="AB1409" s="24"/>
      <c r="AC1409" s="24"/>
      <c r="AD1409" s="24"/>
      <c r="AE1409" s="24"/>
    </row>
    <row r="1410" spans="1:31" s="1" customFormat="1" x14ac:dyDescent="0.25">
      <c r="A1410" s="21"/>
      <c r="B1410" s="22"/>
      <c r="C1410" s="22"/>
      <c r="D1410" s="65"/>
      <c r="E1410" s="24"/>
      <c r="F1410" s="24"/>
      <c r="G1410" s="24"/>
      <c r="H1410" s="24"/>
      <c r="I1410" s="24"/>
      <c r="J1410" s="24"/>
      <c r="K1410" s="24"/>
      <c r="L1410" s="24"/>
      <c r="M1410" s="24"/>
      <c r="N1410" s="24"/>
      <c r="O1410" s="24"/>
      <c r="P1410" s="24"/>
      <c r="Q1410" s="24"/>
      <c r="R1410" s="24"/>
      <c r="S1410" s="24"/>
      <c r="T1410" s="24"/>
      <c r="U1410" s="24"/>
      <c r="V1410" s="24"/>
      <c r="W1410" s="24"/>
      <c r="X1410" s="24"/>
      <c r="Y1410" s="24"/>
      <c r="Z1410" s="24"/>
      <c r="AA1410" s="24"/>
      <c r="AB1410" s="24"/>
      <c r="AC1410" s="24"/>
      <c r="AD1410" s="24"/>
      <c r="AE1410" s="24"/>
    </row>
    <row r="1411" spans="1:31" s="1" customFormat="1" x14ac:dyDescent="0.25">
      <c r="A1411" s="17"/>
      <c r="B1411" s="18" t="s">
        <v>1513</v>
      </c>
      <c r="C1411" s="18"/>
      <c r="D1411" s="84" t="s">
        <v>1514</v>
      </c>
      <c r="E1411" s="20"/>
      <c r="F1411" s="20"/>
      <c r="G1411" s="20"/>
      <c r="H1411" s="20"/>
      <c r="I1411" s="20"/>
      <c r="J1411" s="20"/>
      <c r="K1411" s="20"/>
      <c r="L1411" s="20"/>
      <c r="M1411" s="20">
        <f>M1412</f>
        <v>0</v>
      </c>
      <c r="N1411" s="20"/>
      <c r="O1411" s="20">
        <f t="shared" ref="O1411:AC1411" si="528">O1412</f>
        <v>0</v>
      </c>
      <c r="P1411" s="20">
        <f t="shared" si="528"/>
        <v>0</v>
      </c>
      <c r="Q1411" s="20">
        <f t="shared" si="528"/>
        <v>0</v>
      </c>
      <c r="R1411" s="20">
        <f t="shared" si="528"/>
        <v>0</v>
      </c>
      <c r="S1411" s="20">
        <f t="shared" si="528"/>
        <v>0</v>
      </c>
      <c r="T1411" s="20"/>
      <c r="U1411" s="20">
        <f t="shared" si="528"/>
        <v>0</v>
      </c>
      <c r="V1411" s="20"/>
      <c r="W1411" s="20">
        <f t="shared" si="528"/>
        <v>0</v>
      </c>
      <c r="X1411" s="20"/>
      <c r="Y1411" s="20">
        <f t="shared" si="528"/>
        <v>0</v>
      </c>
      <c r="Z1411" s="20">
        <f t="shared" si="528"/>
        <v>0</v>
      </c>
      <c r="AA1411" s="20"/>
      <c r="AB1411" s="20">
        <f t="shared" si="528"/>
        <v>0</v>
      </c>
      <c r="AC1411" s="20">
        <f t="shared" si="528"/>
        <v>0</v>
      </c>
      <c r="AD1411" s="20"/>
      <c r="AE1411" s="20"/>
    </row>
    <row r="1412" spans="1:31" s="1" customFormat="1" x14ac:dyDescent="0.25">
      <c r="A1412" s="25"/>
      <c r="B1412" s="26" t="s">
        <v>1515</v>
      </c>
      <c r="C1412" s="26"/>
      <c r="D1412" s="64" t="s">
        <v>1514</v>
      </c>
      <c r="E1412" s="28"/>
      <c r="F1412" s="28"/>
      <c r="G1412" s="28"/>
      <c r="H1412" s="28"/>
      <c r="I1412" s="28"/>
      <c r="J1412" s="28"/>
      <c r="K1412" s="28"/>
      <c r="L1412" s="28"/>
      <c r="M1412" s="28">
        <f>SUM(M1413:M1415)</f>
        <v>0</v>
      </c>
      <c r="N1412" s="28"/>
      <c r="O1412" s="28">
        <f t="shared" ref="O1412:AC1412" si="529">SUM(O1413:O1415)</f>
        <v>0</v>
      </c>
      <c r="P1412" s="28">
        <f t="shared" si="529"/>
        <v>0</v>
      </c>
      <c r="Q1412" s="28">
        <f t="shared" si="529"/>
        <v>0</v>
      </c>
      <c r="R1412" s="28">
        <f t="shared" si="529"/>
        <v>0</v>
      </c>
      <c r="S1412" s="28">
        <f t="shared" si="529"/>
        <v>0</v>
      </c>
      <c r="T1412" s="28"/>
      <c r="U1412" s="28">
        <f t="shared" si="529"/>
        <v>0</v>
      </c>
      <c r="V1412" s="28"/>
      <c r="W1412" s="28">
        <f t="shared" si="529"/>
        <v>0</v>
      </c>
      <c r="X1412" s="28"/>
      <c r="Y1412" s="28">
        <f t="shared" si="529"/>
        <v>0</v>
      </c>
      <c r="Z1412" s="28">
        <f t="shared" si="529"/>
        <v>0</v>
      </c>
      <c r="AA1412" s="28"/>
      <c r="AB1412" s="28">
        <f t="shared" si="529"/>
        <v>0</v>
      </c>
      <c r="AC1412" s="28">
        <f t="shared" si="529"/>
        <v>0</v>
      </c>
      <c r="AD1412" s="28"/>
      <c r="AE1412" s="28"/>
    </row>
    <row r="1413" spans="1:31" s="1" customFormat="1" x14ac:dyDescent="0.25">
      <c r="A1413" s="21"/>
      <c r="B1413" s="22"/>
      <c r="C1413" s="22"/>
      <c r="D1413" s="65"/>
      <c r="E1413" s="24"/>
      <c r="F1413" s="24"/>
      <c r="G1413" s="24"/>
      <c r="H1413" s="24"/>
      <c r="I1413" s="24"/>
      <c r="J1413" s="24"/>
      <c r="K1413" s="24"/>
      <c r="L1413" s="24"/>
      <c r="M1413" s="24"/>
      <c r="N1413" s="24"/>
      <c r="O1413" s="24"/>
      <c r="P1413" s="24"/>
      <c r="Q1413" s="24"/>
      <c r="R1413" s="24"/>
      <c r="S1413" s="24"/>
      <c r="T1413" s="24"/>
      <c r="U1413" s="24"/>
      <c r="V1413" s="24"/>
      <c r="W1413" s="24"/>
      <c r="X1413" s="24"/>
      <c r="Y1413" s="24"/>
      <c r="Z1413" s="24"/>
      <c r="AA1413" s="24"/>
      <c r="AB1413" s="24"/>
      <c r="AC1413" s="24"/>
      <c r="AD1413" s="24"/>
      <c r="AE1413" s="24"/>
    </row>
    <row r="1414" spans="1:31" s="1" customFormat="1" x14ac:dyDescent="0.25">
      <c r="A1414" s="21"/>
      <c r="B1414" s="22"/>
      <c r="C1414" s="22"/>
      <c r="D1414" s="65"/>
      <c r="E1414" s="24"/>
      <c r="F1414" s="24"/>
      <c r="G1414" s="24"/>
      <c r="H1414" s="24"/>
      <c r="I1414" s="24"/>
      <c r="J1414" s="24"/>
      <c r="K1414" s="24"/>
      <c r="L1414" s="24"/>
      <c r="M1414" s="24"/>
      <c r="N1414" s="24"/>
      <c r="O1414" s="24"/>
      <c r="P1414" s="24"/>
      <c r="Q1414" s="24"/>
      <c r="R1414" s="24"/>
      <c r="S1414" s="24"/>
      <c r="T1414" s="24"/>
      <c r="U1414" s="24"/>
      <c r="V1414" s="24"/>
      <c r="W1414" s="24"/>
      <c r="X1414" s="24"/>
      <c r="Y1414" s="24"/>
      <c r="Z1414" s="24"/>
      <c r="AA1414" s="24"/>
      <c r="AB1414" s="24"/>
      <c r="AC1414" s="24"/>
      <c r="AD1414" s="24"/>
      <c r="AE1414" s="24"/>
    </row>
    <row r="1415" spans="1:31" s="1" customFormat="1" x14ac:dyDescent="0.25">
      <c r="A1415" s="21"/>
      <c r="B1415" s="22"/>
      <c r="C1415" s="22"/>
      <c r="D1415" s="65"/>
      <c r="E1415" s="24"/>
      <c r="F1415" s="24"/>
      <c r="G1415" s="24"/>
      <c r="H1415" s="24"/>
      <c r="I1415" s="24"/>
      <c r="J1415" s="24"/>
      <c r="K1415" s="24"/>
      <c r="L1415" s="24"/>
      <c r="M1415" s="24"/>
      <c r="N1415" s="24"/>
      <c r="O1415" s="24"/>
      <c r="P1415" s="24"/>
      <c r="Q1415" s="24"/>
      <c r="R1415" s="24"/>
      <c r="S1415" s="24"/>
      <c r="T1415" s="24"/>
      <c r="U1415" s="24"/>
      <c r="V1415" s="24"/>
      <c r="W1415" s="24"/>
      <c r="X1415" s="24"/>
      <c r="Y1415" s="24"/>
      <c r="Z1415" s="24"/>
      <c r="AA1415" s="24"/>
      <c r="AB1415" s="24"/>
      <c r="AC1415" s="24"/>
      <c r="AD1415" s="24"/>
      <c r="AE1415" s="24"/>
    </row>
    <row r="1416" spans="1:31" s="1" customFormat="1" x14ac:dyDescent="0.25">
      <c r="A1416" s="17"/>
      <c r="B1416" s="18" t="s">
        <v>1516</v>
      </c>
      <c r="C1416" s="18"/>
      <c r="D1416" s="84" t="s">
        <v>1517</v>
      </c>
      <c r="E1416" s="20"/>
      <c r="F1416" s="20"/>
      <c r="G1416" s="20"/>
      <c r="H1416" s="20"/>
      <c r="I1416" s="20"/>
      <c r="J1416" s="20"/>
      <c r="K1416" s="20"/>
      <c r="L1416" s="20"/>
      <c r="M1416" s="20">
        <f>M1417</f>
        <v>0</v>
      </c>
      <c r="N1416" s="20"/>
      <c r="O1416" s="20">
        <f t="shared" ref="O1416:AC1416" si="530">O1417</f>
        <v>0</v>
      </c>
      <c r="P1416" s="20">
        <f t="shared" si="530"/>
        <v>0</v>
      </c>
      <c r="Q1416" s="20">
        <f t="shared" si="530"/>
        <v>0</v>
      </c>
      <c r="R1416" s="20">
        <f t="shared" si="530"/>
        <v>0</v>
      </c>
      <c r="S1416" s="20">
        <f t="shared" si="530"/>
        <v>0</v>
      </c>
      <c r="T1416" s="20"/>
      <c r="U1416" s="20">
        <f t="shared" si="530"/>
        <v>0</v>
      </c>
      <c r="V1416" s="20"/>
      <c r="W1416" s="20">
        <f t="shared" si="530"/>
        <v>0</v>
      </c>
      <c r="X1416" s="20"/>
      <c r="Y1416" s="20">
        <f t="shared" si="530"/>
        <v>0</v>
      </c>
      <c r="Z1416" s="20">
        <f t="shared" si="530"/>
        <v>0</v>
      </c>
      <c r="AA1416" s="20"/>
      <c r="AB1416" s="20">
        <f t="shared" si="530"/>
        <v>0</v>
      </c>
      <c r="AC1416" s="20">
        <f t="shared" si="530"/>
        <v>0</v>
      </c>
      <c r="AD1416" s="20"/>
      <c r="AE1416" s="20"/>
    </row>
    <row r="1417" spans="1:31" s="1" customFormat="1" x14ac:dyDescent="0.25">
      <c r="A1417" s="25"/>
      <c r="B1417" s="26" t="s">
        <v>1518</v>
      </c>
      <c r="C1417" s="26"/>
      <c r="D1417" s="64" t="s">
        <v>1517</v>
      </c>
      <c r="E1417" s="28"/>
      <c r="F1417" s="28"/>
      <c r="G1417" s="28"/>
      <c r="H1417" s="28"/>
      <c r="I1417" s="28"/>
      <c r="J1417" s="28"/>
      <c r="K1417" s="28"/>
      <c r="L1417" s="28"/>
      <c r="M1417" s="28">
        <f>SUM(M1418:M1420)</f>
        <v>0</v>
      </c>
      <c r="N1417" s="28"/>
      <c r="O1417" s="28">
        <f t="shared" ref="O1417:AC1417" si="531">SUM(O1418:O1420)</f>
        <v>0</v>
      </c>
      <c r="P1417" s="28">
        <f t="shared" si="531"/>
        <v>0</v>
      </c>
      <c r="Q1417" s="28">
        <f t="shared" si="531"/>
        <v>0</v>
      </c>
      <c r="R1417" s="28">
        <f t="shared" si="531"/>
        <v>0</v>
      </c>
      <c r="S1417" s="28">
        <f t="shared" si="531"/>
        <v>0</v>
      </c>
      <c r="T1417" s="28"/>
      <c r="U1417" s="28">
        <f t="shared" si="531"/>
        <v>0</v>
      </c>
      <c r="V1417" s="28"/>
      <c r="W1417" s="28">
        <f t="shared" si="531"/>
        <v>0</v>
      </c>
      <c r="X1417" s="28"/>
      <c r="Y1417" s="28">
        <f t="shared" si="531"/>
        <v>0</v>
      </c>
      <c r="Z1417" s="28">
        <f t="shared" si="531"/>
        <v>0</v>
      </c>
      <c r="AA1417" s="28"/>
      <c r="AB1417" s="28">
        <f t="shared" si="531"/>
        <v>0</v>
      </c>
      <c r="AC1417" s="28">
        <f t="shared" si="531"/>
        <v>0</v>
      </c>
      <c r="AD1417" s="28"/>
      <c r="AE1417" s="28"/>
    </row>
    <row r="1418" spans="1:31" s="1" customFormat="1" x14ac:dyDescent="0.25">
      <c r="A1418" s="21"/>
      <c r="B1418" s="22"/>
      <c r="C1418" s="22"/>
      <c r="D1418" s="65"/>
      <c r="E1418" s="24"/>
      <c r="F1418" s="24"/>
      <c r="G1418" s="24"/>
      <c r="H1418" s="24"/>
      <c r="I1418" s="24"/>
      <c r="J1418" s="24"/>
      <c r="K1418" s="24"/>
      <c r="L1418" s="24"/>
      <c r="M1418" s="24"/>
      <c r="N1418" s="24"/>
      <c r="O1418" s="24"/>
      <c r="P1418" s="24"/>
      <c r="Q1418" s="24"/>
      <c r="R1418" s="24"/>
      <c r="S1418" s="24"/>
      <c r="T1418" s="24"/>
      <c r="U1418" s="24"/>
      <c r="V1418" s="24"/>
      <c r="W1418" s="24"/>
      <c r="X1418" s="24"/>
      <c r="Y1418" s="24"/>
      <c r="Z1418" s="24"/>
      <c r="AA1418" s="24"/>
      <c r="AB1418" s="24"/>
      <c r="AC1418" s="24"/>
      <c r="AD1418" s="24"/>
      <c r="AE1418" s="24"/>
    </row>
    <row r="1419" spans="1:31" s="1" customFormat="1" x14ac:dyDescent="0.25">
      <c r="A1419" s="21"/>
      <c r="B1419" s="22"/>
      <c r="C1419" s="22"/>
      <c r="D1419" s="65"/>
      <c r="E1419" s="24"/>
      <c r="F1419" s="24"/>
      <c r="G1419" s="24"/>
      <c r="H1419" s="24"/>
      <c r="I1419" s="24"/>
      <c r="J1419" s="24"/>
      <c r="K1419" s="24"/>
      <c r="L1419" s="24"/>
      <c r="M1419" s="24"/>
      <c r="N1419" s="24"/>
      <c r="O1419" s="24"/>
      <c r="P1419" s="24"/>
      <c r="Q1419" s="24"/>
      <c r="R1419" s="24"/>
      <c r="S1419" s="24"/>
      <c r="T1419" s="24"/>
      <c r="U1419" s="24"/>
      <c r="V1419" s="24"/>
      <c r="W1419" s="24"/>
      <c r="X1419" s="24"/>
      <c r="Y1419" s="24"/>
      <c r="Z1419" s="24"/>
      <c r="AA1419" s="24"/>
      <c r="AB1419" s="24"/>
      <c r="AC1419" s="24"/>
      <c r="AD1419" s="24"/>
      <c r="AE1419" s="24"/>
    </row>
    <row r="1420" spans="1:31" s="1" customFormat="1" x14ac:dyDescent="0.25">
      <c r="A1420" s="21"/>
      <c r="B1420" s="22"/>
      <c r="C1420" s="22"/>
      <c r="D1420" s="65"/>
      <c r="E1420" s="24"/>
      <c r="F1420" s="24"/>
      <c r="G1420" s="24"/>
      <c r="H1420" s="24"/>
      <c r="I1420" s="24"/>
      <c r="J1420" s="24"/>
      <c r="K1420" s="24"/>
      <c r="L1420" s="24"/>
      <c r="M1420" s="24"/>
      <c r="N1420" s="24"/>
      <c r="O1420" s="24"/>
      <c r="P1420" s="24"/>
      <c r="Q1420" s="24"/>
      <c r="R1420" s="24"/>
      <c r="S1420" s="24"/>
      <c r="T1420" s="24"/>
      <c r="U1420" s="24"/>
      <c r="V1420" s="24"/>
      <c r="W1420" s="24"/>
      <c r="X1420" s="24"/>
      <c r="Y1420" s="24"/>
      <c r="Z1420" s="24"/>
      <c r="AA1420" s="24"/>
      <c r="AB1420" s="24"/>
      <c r="AC1420" s="24"/>
      <c r="AD1420" s="24"/>
      <c r="AE1420" s="24"/>
    </row>
    <row r="1421" spans="1:31" s="1" customFormat="1" x14ac:dyDescent="0.25">
      <c r="A1421" s="17"/>
      <c r="B1421" s="18" t="s">
        <v>1519</v>
      </c>
      <c r="C1421" s="18"/>
      <c r="D1421" s="84" t="s">
        <v>1520</v>
      </c>
      <c r="E1421" s="20"/>
      <c r="F1421" s="20"/>
      <c r="G1421" s="20"/>
      <c r="H1421" s="20"/>
      <c r="I1421" s="20"/>
      <c r="J1421" s="20"/>
      <c r="K1421" s="20"/>
      <c r="L1421" s="20"/>
      <c r="M1421" s="20">
        <f>M1422</f>
        <v>0</v>
      </c>
      <c r="N1421" s="20"/>
      <c r="O1421" s="37">
        <f t="shared" ref="O1421:AC1421" si="532">O1422</f>
        <v>0</v>
      </c>
      <c r="P1421" s="20">
        <f t="shared" si="532"/>
        <v>0</v>
      </c>
      <c r="Q1421" s="20">
        <f t="shared" si="532"/>
        <v>0</v>
      </c>
      <c r="R1421" s="20">
        <f t="shared" si="532"/>
        <v>0</v>
      </c>
      <c r="S1421" s="20">
        <f t="shared" si="532"/>
        <v>0</v>
      </c>
      <c r="T1421" s="20"/>
      <c r="U1421" s="20">
        <f t="shared" si="532"/>
        <v>0</v>
      </c>
      <c r="V1421" s="20"/>
      <c r="W1421" s="20">
        <f t="shared" si="532"/>
        <v>0</v>
      </c>
      <c r="X1421" s="20"/>
      <c r="Y1421" s="20">
        <f t="shared" si="532"/>
        <v>0</v>
      </c>
      <c r="Z1421" s="20">
        <f t="shared" si="532"/>
        <v>0</v>
      </c>
      <c r="AA1421" s="20"/>
      <c r="AB1421" s="20">
        <f t="shared" si="532"/>
        <v>0</v>
      </c>
      <c r="AC1421" s="20">
        <f t="shared" si="532"/>
        <v>0</v>
      </c>
      <c r="AD1421" s="20"/>
      <c r="AE1421" s="20"/>
    </row>
    <row r="1422" spans="1:31" s="1" customFormat="1" x14ac:dyDescent="0.25">
      <c r="A1422" s="25"/>
      <c r="B1422" s="26" t="s">
        <v>1521</v>
      </c>
      <c r="C1422" s="26"/>
      <c r="D1422" s="64" t="s">
        <v>1520</v>
      </c>
      <c r="E1422" s="28"/>
      <c r="F1422" s="28"/>
      <c r="G1422" s="28"/>
      <c r="H1422" s="28"/>
      <c r="I1422" s="28"/>
      <c r="J1422" s="28"/>
      <c r="K1422" s="28"/>
      <c r="L1422" s="28"/>
      <c r="M1422" s="28">
        <f>SUM(M1423:M1425)</f>
        <v>0</v>
      </c>
      <c r="N1422" s="28"/>
      <c r="O1422" s="40">
        <f>SUM(O1423:O1425)</f>
        <v>0</v>
      </c>
      <c r="P1422" s="28">
        <f t="shared" ref="P1422:AC1422" si="533">SUM(P1423:P1425)</f>
        <v>0</v>
      </c>
      <c r="Q1422" s="28">
        <f t="shared" si="533"/>
        <v>0</v>
      </c>
      <c r="R1422" s="28">
        <f t="shared" si="533"/>
        <v>0</v>
      </c>
      <c r="S1422" s="28">
        <f t="shared" si="533"/>
        <v>0</v>
      </c>
      <c r="T1422" s="28"/>
      <c r="U1422" s="28">
        <f t="shared" si="533"/>
        <v>0</v>
      </c>
      <c r="V1422" s="28"/>
      <c r="W1422" s="28">
        <f t="shared" si="533"/>
        <v>0</v>
      </c>
      <c r="X1422" s="28"/>
      <c r="Y1422" s="28">
        <f t="shared" si="533"/>
        <v>0</v>
      </c>
      <c r="Z1422" s="28">
        <f t="shared" si="533"/>
        <v>0</v>
      </c>
      <c r="AA1422" s="28"/>
      <c r="AB1422" s="28">
        <f t="shared" si="533"/>
        <v>0</v>
      </c>
      <c r="AC1422" s="28">
        <f t="shared" si="533"/>
        <v>0</v>
      </c>
      <c r="AD1422" s="28"/>
      <c r="AE1422" s="28"/>
    </row>
    <row r="1423" spans="1:31" s="1" customFormat="1" x14ac:dyDescent="0.25">
      <c r="A1423" s="21"/>
      <c r="B1423" s="22"/>
      <c r="C1423" s="42"/>
      <c r="D1423" s="65"/>
      <c r="E1423" s="24"/>
      <c r="F1423" s="24"/>
      <c r="G1423" s="24"/>
      <c r="H1423" s="24"/>
      <c r="I1423" s="24"/>
      <c r="J1423" s="24"/>
      <c r="K1423" s="24"/>
      <c r="L1423" s="24"/>
      <c r="M1423" s="24"/>
      <c r="N1423" s="41"/>
      <c r="O1423" s="41"/>
      <c r="P1423" s="24"/>
      <c r="Q1423" s="24"/>
      <c r="R1423" s="24"/>
      <c r="S1423" s="24"/>
      <c r="T1423" s="24"/>
      <c r="U1423" s="24"/>
      <c r="V1423" s="24"/>
      <c r="W1423" s="24"/>
      <c r="X1423" s="24"/>
      <c r="Y1423" s="24"/>
      <c r="Z1423" s="24"/>
      <c r="AA1423" s="24"/>
      <c r="AB1423" s="24"/>
      <c r="AC1423" s="24"/>
      <c r="AD1423" s="24"/>
      <c r="AE1423" s="24"/>
    </row>
    <row r="1424" spans="1:31" s="1" customFormat="1" x14ac:dyDescent="0.25">
      <c r="A1424" s="21"/>
      <c r="B1424" s="22"/>
      <c r="C1424" s="22"/>
      <c r="D1424" s="65"/>
      <c r="E1424" s="24"/>
      <c r="F1424" s="24"/>
      <c r="G1424" s="24"/>
      <c r="H1424" s="24"/>
      <c r="I1424" s="24"/>
      <c r="J1424" s="24"/>
      <c r="K1424" s="24"/>
      <c r="L1424" s="24"/>
      <c r="M1424" s="24"/>
      <c r="N1424" s="24"/>
      <c r="O1424" s="24"/>
      <c r="P1424" s="24"/>
      <c r="Q1424" s="24"/>
      <c r="R1424" s="24"/>
      <c r="S1424" s="24"/>
      <c r="T1424" s="24"/>
      <c r="U1424" s="24"/>
      <c r="V1424" s="24"/>
      <c r="W1424" s="24"/>
      <c r="X1424" s="24"/>
      <c r="Y1424" s="24"/>
      <c r="Z1424" s="24"/>
      <c r="AA1424" s="24"/>
      <c r="AB1424" s="24"/>
      <c r="AC1424" s="24"/>
      <c r="AD1424" s="24"/>
      <c r="AE1424" s="24"/>
    </row>
    <row r="1425" spans="1:34" s="1" customFormat="1" x14ac:dyDescent="0.25">
      <c r="A1425" s="21"/>
      <c r="B1425" s="22"/>
      <c r="C1425" s="22"/>
      <c r="D1425" s="65"/>
      <c r="E1425" s="24"/>
      <c r="F1425" s="24"/>
      <c r="G1425" s="24"/>
      <c r="H1425" s="24"/>
      <c r="I1425" s="24"/>
      <c r="J1425" s="24"/>
      <c r="K1425" s="24"/>
      <c r="L1425" s="24"/>
      <c r="M1425" s="24"/>
      <c r="N1425" s="24"/>
      <c r="O1425" s="24"/>
      <c r="P1425" s="24"/>
      <c r="Q1425" s="24"/>
      <c r="R1425" s="24"/>
      <c r="S1425" s="24"/>
      <c r="T1425" s="24"/>
      <c r="U1425" s="24"/>
      <c r="V1425" s="24"/>
      <c r="W1425" s="24"/>
      <c r="X1425" s="24"/>
      <c r="Y1425" s="24"/>
      <c r="Z1425" s="24"/>
      <c r="AA1425" s="24"/>
      <c r="AB1425" s="24"/>
      <c r="AC1425" s="24"/>
      <c r="AD1425" s="24"/>
      <c r="AE1425" s="24"/>
    </row>
    <row r="1426" spans="1:34" s="103" customFormat="1" ht="28.5" customHeight="1" x14ac:dyDescent="0.25">
      <c r="A1426" s="29">
        <v>6</v>
      </c>
      <c r="B1426" s="30" t="s">
        <v>1522</v>
      </c>
      <c r="C1426" s="30"/>
      <c r="D1426" s="89" t="s">
        <v>1523</v>
      </c>
      <c r="E1426" s="102"/>
      <c r="F1426" s="102"/>
      <c r="G1426" s="102"/>
      <c r="H1426" s="102"/>
      <c r="I1426" s="102"/>
      <c r="J1426" s="102"/>
      <c r="K1426" s="102"/>
      <c r="L1426" s="102"/>
      <c r="M1426" s="102">
        <f>M1427</f>
        <v>0</v>
      </c>
      <c r="N1426" s="102"/>
      <c r="O1426" s="102">
        <f t="shared" ref="O1426:AC1427" si="534">O1427</f>
        <v>0</v>
      </c>
      <c r="P1426" s="102">
        <f t="shared" si="534"/>
        <v>0</v>
      </c>
      <c r="Q1426" s="102">
        <f t="shared" si="534"/>
        <v>0</v>
      </c>
      <c r="R1426" s="102">
        <f t="shared" si="534"/>
        <v>0</v>
      </c>
      <c r="S1426" s="102">
        <f t="shared" si="534"/>
        <v>0</v>
      </c>
      <c r="T1426" s="102"/>
      <c r="U1426" s="102">
        <f t="shared" si="534"/>
        <v>0</v>
      </c>
      <c r="V1426" s="102"/>
      <c r="W1426" s="102">
        <f t="shared" si="534"/>
        <v>0</v>
      </c>
      <c r="X1426" s="102"/>
      <c r="Y1426" s="102">
        <f t="shared" si="534"/>
        <v>0</v>
      </c>
      <c r="Z1426" s="102">
        <f t="shared" si="534"/>
        <v>0</v>
      </c>
      <c r="AA1426" s="102"/>
      <c r="AB1426" s="102">
        <f t="shared" si="534"/>
        <v>0</v>
      </c>
      <c r="AC1426" s="102">
        <f t="shared" si="534"/>
        <v>0</v>
      </c>
      <c r="AD1426" s="102"/>
      <c r="AE1426" s="102"/>
      <c r="AH1426" s="1"/>
    </row>
    <row r="1427" spans="1:34" s="1" customFormat="1" x14ac:dyDescent="0.25">
      <c r="A1427" s="17"/>
      <c r="B1427" s="18" t="s">
        <v>1524</v>
      </c>
      <c r="C1427" s="18"/>
      <c r="D1427" s="84" t="s">
        <v>1523</v>
      </c>
      <c r="E1427" s="20"/>
      <c r="F1427" s="20"/>
      <c r="G1427" s="20"/>
      <c r="H1427" s="20"/>
      <c r="I1427" s="20"/>
      <c r="J1427" s="20"/>
      <c r="K1427" s="20"/>
      <c r="L1427" s="20"/>
      <c r="M1427" s="20">
        <f>M1428</f>
        <v>0</v>
      </c>
      <c r="N1427" s="20"/>
      <c r="O1427" s="20">
        <f t="shared" si="534"/>
        <v>0</v>
      </c>
      <c r="P1427" s="20">
        <f t="shared" si="534"/>
        <v>0</v>
      </c>
      <c r="Q1427" s="20">
        <f t="shared" si="534"/>
        <v>0</v>
      </c>
      <c r="R1427" s="20">
        <f t="shared" si="534"/>
        <v>0</v>
      </c>
      <c r="S1427" s="20">
        <f t="shared" si="534"/>
        <v>0</v>
      </c>
      <c r="T1427" s="20"/>
      <c r="U1427" s="20">
        <f t="shared" si="534"/>
        <v>0</v>
      </c>
      <c r="V1427" s="20"/>
      <c r="W1427" s="20">
        <f t="shared" si="534"/>
        <v>0</v>
      </c>
      <c r="X1427" s="20"/>
      <c r="Y1427" s="20">
        <f t="shared" si="534"/>
        <v>0</v>
      </c>
      <c r="Z1427" s="20">
        <f t="shared" si="534"/>
        <v>0</v>
      </c>
      <c r="AA1427" s="20"/>
      <c r="AB1427" s="20">
        <f t="shared" si="534"/>
        <v>0</v>
      </c>
      <c r="AC1427" s="20">
        <f t="shared" si="534"/>
        <v>0</v>
      </c>
      <c r="AD1427" s="20"/>
      <c r="AE1427" s="20"/>
    </row>
    <row r="1428" spans="1:34" s="1" customFormat="1" x14ac:dyDescent="0.25">
      <c r="A1428" s="25"/>
      <c r="B1428" s="26" t="s">
        <v>1525</v>
      </c>
      <c r="C1428" s="26"/>
      <c r="D1428" s="64" t="s">
        <v>1523</v>
      </c>
      <c r="E1428" s="28"/>
      <c r="F1428" s="28"/>
      <c r="G1428" s="28"/>
      <c r="H1428" s="28"/>
      <c r="I1428" s="28"/>
      <c r="J1428" s="28"/>
      <c r="K1428" s="28"/>
      <c r="L1428" s="28"/>
      <c r="M1428" s="28">
        <f>SUM(M1429:M1431)</f>
        <v>0</v>
      </c>
      <c r="N1428" s="28"/>
      <c r="O1428" s="28">
        <f t="shared" ref="O1428:AC1428" si="535">SUM(O1429:O1431)</f>
        <v>0</v>
      </c>
      <c r="P1428" s="28">
        <f t="shared" si="535"/>
        <v>0</v>
      </c>
      <c r="Q1428" s="28">
        <f t="shared" si="535"/>
        <v>0</v>
      </c>
      <c r="R1428" s="28">
        <f t="shared" si="535"/>
        <v>0</v>
      </c>
      <c r="S1428" s="28">
        <f t="shared" si="535"/>
        <v>0</v>
      </c>
      <c r="T1428" s="28"/>
      <c r="U1428" s="28">
        <f t="shared" si="535"/>
        <v>0</v>
      </c>
      <c r="V1428" s="28"/>
      <c r="W1428" s="28">
        <f t="shared" si="535"/>
        <v>0</v>
      </c>
      <c r="X1428" s="28"/>
      <c r="Y1428" s="28">
        <f t="shared" si="535"/>
        <v>0</v>
      </c>
      <c r="Z1428" s="28">
        <f t="shared" si="535"/>
        <v>0</v>
      </c>
      <c r="AA1428" s="28"/>
      <c r="AB1428" s="28">
        <f t="shared" si="535"/>
        <v>0</v>
      </c>
      <c r="AC1428" s="28">
        <f t="shared" si="535"/>
        <v>0</v>
      </c>
      <c r="AD1428" s="28"/>
      <c r="AE1428" s="28"/>
      <c r="AH1428" s="103"/>
    </row>
    <row r="1429" spans="1:34" s="1" customFormat="1" x14ac:dyDescent="0.25">
      <c r="A1429" s="21"/>
      <c r="B1429" s="22"/>
      <c r="C1429" s="22"/>
      <c r="D1429" s="65"/>
      <c r="E1429" s="24"/>
      <c r="F1429" s="24"/>
      <c r="G1429" s="24"/>
      <c r="H1429" s="24"/>
      <c r="I1429" s="24"/>
      <c r="J1429" s="24"/>
      <c r="K1429" s="24"/>
      <c r="L1429" s="24"/>
      <c r="M1429" s="24"/>
      <c r="N1429" s="24"/>
      <c r="O1429" s="24"/>
      <c r="P1429" s="24"/>
      <c r="Q1429" s="24"/>
      <c r="R1429" s="24"/>
      <c r="S1429" s="24"/>
      <c r="T1429" s="24"/>
      <c r="U1429" s="24"/>
      <c r="V1429" s="24"/>
      <c r="W1429" s="24"/>
      <c r="X1429" s="24"/>
      <c r="Y1429" s="24"/>
      <c r="Z1429" s="24"/>
      <c r="AA1429" s="24"/>
      <c r="AB1429" s="24"/>
      <c r="AC1429" s="24"/>
      <c r="AD1429" s="24"/>
      <c r="AE1429" s="24"/>
    </row>
    <row r="1430" spans="1:34" s="1" customFormat="1" x14ac:dyDescent="0.25">
      <c r="A1430" s="21"/>
      <c r="B1430" s="22"/>
      <c r="C1430" s="22"/>
      <c r="D1430" s="65"/>
      <c r="E1430" s="24"/>
      <c r="F1430" s="24"/>
      <c r="G1430" s="24"/>
      <c r="H1430" s="24"/>
      <c r="I1430" s="24"/>
      <c r="J1430" s="24"/>
      <c r="K1430" s="24"/>
      <c r="L1430" s="24"/>
      <c r="M1430" s="24"/>
      <c r="N1430" s="24"/>
      <c r="O1430" s="24"/>
      <c r="P1430" s="24"/>
      <c r="Q1430" s="24"/>
      <c r="R1430" s="24"/>
      <c r="S1430" s="24"/>
      <c r="T1430" s="24"/>
      <c r="U1430" s="24"/>
      <c r="V1430" s="24"/>
      <c r="W1430" s="24"/>
      <c r="X1430" s="24"/>
      <c r="Y1430" s="24"/>
      <c r="Z1430" s="24"/>
      <c r="AA1430" s="24"/>
      <c r="AB1430" s="24"/>
      <c r="AC1430" s="24"/>
      <c r="AD1430" s="24"/>
      <c r="AE1430" s="24"/>
    </row>
    <row r="1431" spans="1:34" s="1" customFormat="1" x14ac:dyDescent="0.25">
      <c r="A1431" s="21"/>
      <c r="B1431" s="22"/>
      <c r="C1431" s="22"/>
      <c r="D1431" s="65"/>
      <c r="E1431" s="24"/>
      <c r="F1431" s="24"/>
      <c r="G1431" s="24"/>
      <c r="H1431" s="24"/>
      <c r="I1431" s="24"/>
      <c r="J1431" s="24"/>
      <c r="K1431" s="24"/>
      <c r="L1431" s="24"/>
      <c r="M1431" s="24"/>
      <c r="N1431" s="24"/>
      <c r="O1431" s="24"/>
      <c r="P1431" s="24"/>
      <c r="Q1431" s="24"/>
      <c r="R1431" s="24"/>
      <c r="S1431" s="24"/>
      <c r="T1431" s="24"/>
      <c r="U1431" s="24"/>
      <c r="V1431" s="24"/>
      <c r="W1431" s="24"/>
      <c r="X1431" s="24"/>
      <c r="Y1431" s="24"/>
      <c r="Z1431" s="24"/>
      <c r="AA1431" s="24"/>
      <c r="AB1431" s="24"/>
      <c r="AC1431" s="24"/>
      <c r="AD1431" s="24"/>
      <c r="AE1431" s="24"/>
    </row>
    <row r="1432" spans="1:34" s="103" customFormat="1" ht="24.75" customHeight="1" x14ac:dyDescent="0.25">
      <c r="A1432" s="29">
        <v>7</v>
      </c>
      <c r="B1432" s="30" t="s">
        <v>1526</v>
      </c>
      <c r="C1432" s="30"/>
      <c r="D1432" s="89" t="s">
        <v>1527</v>
      </c>
      <c r="E1432" s="102"/>
      <c r="F1432" s="102"/>
      <c r="G1432" s="102"/>
      <c r="H1432" s="102"/>
      <c r="I1432" s="102"/>
      <c r="J1432" s="102"/>
      <c r="K1432" s="102"/>
      <c r="L1432" s="102"/>
      <c r="M1432" s="102">
        <f>M1433+M1510+M1527+M1544</f>
        <v>0</v>
      </c>
      <c r="N1432" s="102"/>
      <c r="O1432" s="104">
        <f t="shared" ref="O1432:AC1432" si="536">O1433+O1510+O1527+O1544</f>
        <v>21601343410.967552</v>
      </c>
      <c r="P1432" s="102">
        <f t="shared" si="536"/>
        <v>0</v>
      </c>
      <c r="Q1432" s="102">
        <f t="shared" si="536"/>
        <v>0</v>
      </c>
      <c r="R1432" s="102">
        <f t="shared" si="536"/>
        <v>0</v>
      </c>
      <c r="S1432" s="102">
        <f t="shared" si="536"/>
        <v>0</v>
      </c>
      <c r="T1432" s="102"/>
      <c r="U1432" s="102">
        <f t="shared" si="536"/>
        <v>0</v>
      </c>
      <c r="V1432" s="102"/>
      <c r="W1432" s="102">
        <f t="shared" si="536"/>
        <v>0</v>
      </c>
      <c r="X1432" s="102"/>
      <c r="Y1432" s="102">
        <f t="shared" si="536"/>
        <v>0</v>
      </c>
      <c r="Z1432" s="102">
        <f t="shared" si="536"/>
        <v>0</v>
      </c>
      <c r="AA1432" s="102"/>
      <c r="AB1432" s="102">
        <f t="shared" si="536"/>
        <v>0</v>
      </c>
      <c r="AC1432" s="102">
        <f t="shared" si="536"/>
        <v>0</v>
      </c>
      <c r="AD1432" s="102"/>
      <c r="AE1432" s="102"/>
      <c r="AH1432" s="1"/>
    </row>
    <row r="1433" spans="1:34" s="1" customFormat="1" ht="25.5" x14ac:dyDescent="0.25">
      <c r="A1433" s="17"/>
      <c r="B1433" s="18" t="s">
        <v>1528</v>
      </c>
      <c r="C1433" s="18"/>
      <c r="D1433" s="84" t="s">
        <v>1529</v>
      </c>
      <c r="E1433" s="20"/>
      <c r="F1433" s="20"/>
      <c r="G1433" s="20"/>
      <c r="H1433" s="20"/>
      <c r="I1433" s="20"/>
      <c r="J1433" s="20"/>
      <c r="K1433" s="20"/>
      <c r="L1433" s="20"/>
      <c r="M1433" s="20">
        <f>M1434+M1438+M1442+M1446+M1450+M1454+M1458+M1462+M1466+M1470+M1474+M1478+M1482+M1486+M1490+M1494+M1498+M1502+M1506</f>
        <v>0</v>
      </c>
      <c r="N1433" s="20"/>
      <c r="O1433" s="37">
        <f t="shared" ref="O1433:AC1433" si="537">O1434+O1438+O1442+O1446+O1450+O1454+O1458+O1462+O1466+O1470+O1474+O1478+O1482+O1486+O1490+O1494+O1498+O1502+O1506</f>
        <v>11993366561.708664</v>
      </c>
      <c r="P1433" s="20">
        <f t="shared" si="537"/>
        <v>0</v>
      </c>
      <c r="Q1433" s="20">
        <f t="shared" si="537"/>
        <v>0</v>
      </c>
      <c r="R1433" s="20">
        <f t="shared" si="537"/>
        <v>0</v>
      </c>
      <c r="S1433" s="20">
        <f t="shared" si="537"/>
        <v>0</v>
      </c>
      <c r="T1433" s="20"/>
      <c r="U1433" s="20">
        <f t="shared" si="537"/>
        <v>0</v>
      </c>
      <c r="V1433" s="20"/>
      <c r="W1433" s="20">
        <f t="shared" si="537"/>
        <v>0</v>
      </c>
      <c r="X1433" s="20"/>
      <c r="Y1433" s="20">
        <f t="shared" si="537"/>
        <v>0</v>
      </c>
      <c r="Z1433" s="20">
        <f t="shared" si="537"/>
        <v>0</v>
      </c>
      <c r="AA1433" s="20"/>
      <c r="AB1433" s="20">
        <f t="shared" si="537"/>
        <v>0</v>
      </c>
      <c r="AC1433" s="20">
        <f t="shared" si="537"/>
        <v>0</v>
      </c>
      <c r="AD1433" s="20"/>
      <c r="AE1433" s="20"/>
    </row>
    <row r="1434" spans="1:34" s="1" customFormat="1" ht="25.5" x14ac:dyDescent="0.25">
      <c r="A1434" s="25"/>
      <c r="B1434" s="26" t="s">
        <v>1530</v>
      </c>
      <c r="C1434" s="26"/>
      <c r="D1434" s="64" t="s">
        <v>1531</v>
      </c>
      <c r="E1434" s="28"/>
      <c r="F1434" s="28"/>
      <c r="G1434" s="28"/>
      <c r="H1434" s="28"/>
      <c r="I1434" s="28"/>
      <c r="J1434" s="28"/>
      <c r="K1434" s="28"/>
      <c r="L1434" s="28"/>
      <c r="M1434" s="28">
        <f>SUM(M1435:M1437)</f>
        <v>0</v>
      </c>
      <c r="N1434" s="28"/>
      <c r="O1434" s="40">
        <f t="shared" ref="O1434:AC1434" si="538">SUM(O1435:O1437)</f>
        <v>509600000</v>
      </c>
      <c r="P1434" s="28">
        <f t="shared" si="538"/>
        <v>0</v>
      </c>
      <c r="Q1434" s="28">
        <f t="shared" si="538"/>
        <v>0</v>
      </c>
      <c r="R1434" s="28">
        <f t="shared" si="538"/>
        <v>0</v>
      </c>
      <c r="S1434" s="28">
        <f t="shared" si="538"/>
        <v>0</v>
      </c>
      <c r="T1434" s="28"/>
      <c r="U1434" s="28">
        <f t="shared" si="538"/>
        <v>0</v>
      </c>
      <c r="V1434" s="28"/>
      <c r="W1434" s="28">
        <f t="shared" si="538"/>
        <v>0</v>
      </c>
      <c r="X1434" s="28"/>
      <c r="Y1434" s="28">
        <f t="shared" si="538"/>
        <v>0</v>
      </c>
      <c r="Z1434" s="28">
        <f t="shared" si="538"/>
        <v>0</v>
      </c>
      <c r="AA1434" s="28"/>
      <c r="AB1434" s="28">
        <f t="shared" si="538"/>
        <v>0</v>
      </c>
      <c r="AC1434" s="28">
        <f t="shared" si="538"/>
        <v>0</v>
      </c>
      <c r="AD1434" s="28"/>
      <c r="AE1434" s="28"/>
      <c r="AH1434" s="103"/>
    </row>
    <row r="1435" spans="1:34" s="1" customFormat="1" x14ac:dyDescent="0.25">
      <c r="A1435" s="21"/>
      <c r="B1435" s="22"/>
      <c r="C1435" s="22"/>
      <c r="D1435" s="65"/>
      <c r="E1435" s="24"/>
      <c r="F1435" s="24"/>
      <c r="G1435" s="24"/>
      <c r="H1435" s="24"/>
      <c r="I1435" s="24"/>
      <c r="J1435" s="24"/>
      <c r="K1435" s="24"/>
      <c r="L1435" s="24"/>
      <c r="M1435" s="24"/>
      <c r="N1435" s="24"/>
      <c r="O1435" s="41">
        <f>AB31</f>
        <v>509600000</v>
      </c>
      <c r="P1435" s="24"/>
      <c r="Q1435" s="24"/>
      <c r="R1435" s="24"/>
      <c r="S1435" s="24"/>
      <c r="T1435" s="24"/>
      <c r="U1435" s="24"/>
      <c r="V1435" s="24"/>
      <c r="W1435" s="24"/>
      <c r="X1435" s="24"/>
      <c r="Y1435" s="24"/>
      <c r="Z1435" s="24"/>
      <c r="AA1435" s="24"/>
      <c r="AB1435" s="24"/>
      <c r="AC1435" s="24"/>
      <c r="AD1435" s="24"/>
      <c r="AE1435" s="24"/>
    </row>
    <row r="1436" spans="1:34" s="1" customFormat="1" x14ac:dyDescent="0.25">
      <c r="A1436" s="21"/>
      <c r="B1436" s="22"/>
      <c r="C1436" s="22"/>
      <c r="D1436" s="65"/>
      <c r="E1436" s="24"/>
      <c r="F1436" s="24"/>
      <c r="G1436" s="24"/>
      <c r="H1436" s="24"/>
      <c r="I1436" s="24"/>
      <c r="J1436" s="24"/>
      <c r="K1436" s="24"/>
      <c r="L1436" s="24"/>
      <c r="M1436" s="24"/>
      <c r="N1436" s="24"/>
      <c r="O1436" s="41"/>
      <c r="P1436" s="24"/>
      <c r="Q1436" s="24"/>
      <c r="R1436" s="24"/>
      <c r="S1436" s="24"/>
      <c r="T1436" s="24"/>
      <c r="U1436" s="24"/>
      <c r="V1436" s="24"/>
      <c r="W1436" s="24"/>
      <c r="X1436" s="24"/>
      <c r="Y1436" s="24"/>
      <c r="Z1436" s="24"/>
      <c r="AA1436" s="24"/>
      <c r="AB1436" s="24"/>
      <c r="AC1436" s="24"/>
      <c r="AD1436" s="24"/>
      <c r="AE1436" s="24"/>
    </row>
    <row r="1437" spans="1:34" s="1" customFormat="1" x14ac:dyDescent="0.25">
      <c r="A1437" s="21"/>
      <c r="B1437" s="22"/>
      <c r="C1437" s="22"/>
      <c r="D1437" s="65"/>
      <c r="E1437" s="24"/>
      <c r="F1437" s="24"/>
      <c r="G1437" s="24"/>
      <c r="H1437" s="24"/>
      <c r="I1437" s="24"/>
      <c r="J1437" s="24"/>
      <c r="K1437" s="24"/>
      <c r="L1437" s="24"/>
      <c r="M1437" s="24"/>
      <c r="N1437" s="24"/>
      <c r="O1437" s="41"/>
      <c r="P1437" s="24"/>
      <c r="Q1437" s="24"/>
      <c r="R1437" s="24"/>
      <c r="S1437" s="24"/>
      <c r="T1437" s="24"/>
      <c r="U1437" s="24"/>
      <c r="V1437" s="24"/>
      <c r="W1437" s="24"/>
      <c r="X1437" s="24"/>
      <c r="Y1437" s="24"/>
      <c r="Z1437" s="24"/>
      <c r="AA1437" s="24"/>
      <c r="AB1437" s="24"/>
      <c r="AC1437" s="24"/>
      <c r="AD1437" s="24"/>
      <c r="AE1437" s="24"/>
    </row>
    <row r="1438" spans="1:34" s="1" customFormat="1" ht="25.5" x14ac:dyDescent="0.25">
      <c r="A1438" s="25"/>
      <c r="B1438" s="26" t="s">
        <v>1532</v>
      </c>
      <c r="C1438" s="26"/>
      <c r="D1438" s="64" t="s">
        <v>1533</v>
      </c>
      <c r="E1438" s="28"/>
      <c r="F1438" s="28"/>
      <c r="G1438" s="28"/>
      <c r="H1438" s="28"/>
      <c r="I1438" s="28"/>
      <c r="J1438" s="28"/>
      <c r="K1438" s="28"/>
      <c r="L1438" s="28"/>
      <c r="M1438" s="28">
        <f>SUM(M1439:M1441)</f>
        <v>0</v>
      </c>
      <c r="N1438" s="28"/>
      <c r="O1438" s="40">
        <f t="shared" ref="O1438:AC1438" si="539">SUM(O1439:O1441)</f>
        <v>2345503947.6190476</v>
      </c>
      <c r="P1438" s="28">
        <f t="shared" si="539"/>
        <v>0</v>
      </c>
      <c r="Q1438" s="28">
        <f t="shared" si="539"/>
        <v>0</v>
      </c>
      <c r="R1438" s="28">
        <f t="shared" si="539"/>
        <v>0</v>
      </c>
      <c r="S1438" s="28">
        <f t="shared" si="539"/>
        <v>0</v>
      </c>
      <c r="T1438" s="28"/>
      <c r="U1438" s="28">
        <f t="shared" si="539"/>
        <v>0</v>
      </c>
      <c r="V1438" s="28"/>
      <c r="W1438" s="28">
        <f t="shared" si="539"/>
        <v>0</v>
      </c>
      <c r="X1438" s="28"/>
      <c r="Y1438" s="28">
        <f t="shared" si="539"/>
        <v>0</v>
      </c>
      <c r="Z1438" s="28">
        <f t="shared" si="539"/>
        <v>0</v>
      </c>
      <c r="AA1438" s="28"/>
      <c r="AB1438" s="28">
        <f t="shared" si="539"/>
        <v>0</v>
      </c>
      <c r="AC1438" s="28">
        <f t="shared" si="539"/>
        <v>0</v>
      </c>
      <c r="AD1438" s="28"/>
      <c r="AE1438" s="28"/>
    </row>
    <row r="1439" spans="1:34" s="1" customFormat="1" x14ac:dyDescent="0.25">
      <c r="A1439" s="21"/>
      <c r="B1439" s="22"/>
      <c r="C1439" s="22"/>
      <c r="D1439" s="65"/>
      <c r="E1439" s="24"/>
      <c r="F1439" s="24"/>
      <c r="G1439" s="24"/>
      <c r="H1439" s="24"/>
      <c r="I1439" s="24"/>
      <c r="J1439" s="24"/>
      <c r="K1439" s="24"/>
      <c r="L1439" s="24"/>
      <c r="M1439" s="24"/>
      <c r="N1439" s="24"/>
      <c r="O1439" s="41">
        <f>AB44</f>
        <v>2345503947.6190476</v>
      </c>
      <c r="P1439" s="24"/>
      <c r="Q1439" s="24"/>
      <c r="R1439" s="24"/>
      <c r="S1439" s="24"/>
      <c r="T1439" s="24"/>
      <c r="U1439" s="24"/>
      <c r="V1439" s="24"/>
      <c r="W1439" s="24"/>
      <c r="X1439" s="24"/>
      <c r="Y1439" s="24"/>
      <c r="Z1439" s="24"/>
      <c r="AA1439" s="24"/>
      <c r="AB1439" s="24"/>
      <c r="AC1439" s="24"/>
      <c r="AD1439" s="24"/>
      <c r="AE1439" s="24"/>
    </row>
    <row r="1440" spans="1:34" s="1" customFormat="1" x14ac:dyDescent="0.25">
      <c r="A1440" s="21"/>
      <c r="B1440" s="22"/>
      <c r="C1440" s="22"/>
      <c r="D1440" s="65"/>
      <c r="E1440" s="24"/>
      <c r="F1440" s="24"/>
      <c r="G1440" s="24"/>
      <c r="H1440" s="24"/>
      <c r="I1440" s="24"/>
      <c r="J1440" s="24"/>
      <c r="K1440" s="24"/>
      <c r="L1440" s="24"/>
      <c r="M1440" s="24"/>
      <c r="N1440" s="24"/>
      <c r="O1440" s="41"/>
      <c r="P1440" s="24"/>
      <c r="Q1440" s="24"/>
      <c r="R1440" s="24"/>
      <c r="S1440" s="24"/>
      <c r="T1440" s="24"/>
      <c r="U1440" s="24"/>
      <c r="V1440" s="24"/>
      <c r="W1440" s="24"/>
      <c r="X1440" s="24"/>
      <c r="Y1440" s="24"/>
      <c r="Z1440" s="24"/>
      <c r="AA1440" s="24"/>
      <c r="AB1440" s="24"/>
      <c r="AC1440" s="24"/>
      <c r="AD1440" s="24"/>
      <c r="AE1440" s="24"/>
    </row>
    <row r="1441" spans="1:31" s="1" customFormat="1" x14ac:dyDescent="0.25">
      <c r="A1441" s="21"/>
      <c r="B1441" s="22"/>
      <c r="C1441" s="22"/>
      <c r="D1441" s="65"/>
      <c r="E1441" s="24"/>
      <c r="F1441" s="24"/>
      <c r="G1441" s="24"/>
      <c r="H1441" s="24"/>
      <c r="I1441" s="24"/>
      <c r="J1441" s="24"/>
      <c r="K1441" s="24"/>
      <c r="L1441" s="24"/>
      <c r="M1441" s="24"/>
      <c r="N1441" s="24"/>
      <c r="O1441" s="41"/>
      <c r="P1441" s="24"/>
      <c r="Q1441" s="24"/>
      <c r="R1441" s="24"/>
      <c r="S1441" s="24"/>
      <c r="T1441" s="24"/>
      <c r="U1441" s="24"/>
      <c r="V1441" s="24"/>
      <c r="W1441" s="24"/>
      <c r="X1441" s="24"/>
      <c r="Y1441" s="24"/>
      <c r="Z1441" s="24"/>
      <c r="AA1441" s="24"/>
      <c r="AB1441" s="24"/>
      <c r="AC1441" s="24"/>
      <c r="AD1441" s="24"/>
      <c r="AE1441" s="24"/>
    </row>
    <row r="1442" spans="1:31" s="1" customFormat="1" ht="25.5" x14ac:dyDescent="0.25">
      <c r="A1442" s="25"/>
      <c r="B1442" s="26" t="s">
        <v>1534</v>
      </c>
      <c r="C1442" s="26"/>
      <c r="D1442" s="64" t="s">
        <v>1535</v>
      </c>
      <c r="E1442" s="28"/>
      <c r="F1442" s="28"/>
      <c r="G1442" s="28"/>
      <c r="H1442" s="28"/>
      <c r="I1442" s="28"/>
      <c r="J1442" s="28"/>
      <c r="K1442" s="28"/>
      <c r="L1442" s="28"/>
      <c r="M1442" s="28">
        <f>SUM(M1443:M1445)</f>
        <v>0</v>
      </c>
      <c r="N1442" s="28"/>
      <c r="O1442" s="40">
        <f t="shared" ref="O1442:AC1442" si="540">SUM(O1443:O1445)</f>
        <v>0</v>
      </c>
      <c r="P1442" s="28">
        <f t="shared" si="540"/>
        <v>0</v>
      </c>
      <c r="Q1442" s="28">
        <f t="shared" si="540"/>
        <v>0</v>
      </c>
      <c r="R1442" s="28">
        <f t="shared" si="540"/>
        <v>0</v>
      </c>
      <c r="S1442" s="28">
        <f t="shared" si="540"/>
        <v>0</v>
      </c>
      <c r="T1442" s="28"/>
      <c r="U1442" s="28">
        <f t="shared" si="540"/>
        <v>0</v>
      </c>
      <c r="V1442" s="28"/>
      <c r="W1442" s="28">
        <f t="shared" si="540"/>
        <v>0</v>
      </c>
      <c r="X1442" s="28"/>
      <c r="Y1442" s="28">
        <f t="shared" si="540"/>
        <v>0</v>
      </c>
      <c r="Z1442" s="28">
        <f t="shared" si="540"/>
        <v>0</v>
      </c>
      <c r="AA1442" s="28"/>
      <c r="AB1442" s="28">
        <f t="shared" si="540"/>
        <v>0</v>
      </c>
      <c r="AC1442" s="28">
        <f t="shared" si="540"/>
        <v>0</v>
      </c>
      <c r="AD1442" s="28"/>
      <c r="AE1442" s="28"/>
    </row>
    <row r="1443" spans="1:31" s="1" customFormat="1" x14ac:dyDescent="0.25">
      <c r="A1443" s="21"/>
      <c r="B1443" s="22"/>
      <c r="C1443" s="22"/>
      <c r="D1443" s="65"/>
      <c r="E1443" s="24"/>
      <c r="F1443" s="24"/>
      <c r="G1443" s="24"/>
      <c r="H1443" s="24"/>
      <c r="I1443" s="24"/>
      <c r="J1443" s="24"/>
      <c r="K1443" s="24"/>
      <c r="L1443" s="24"/>
      <c r="M1443" s="24"/>
      <c r="N1443" s="24"/>
      <c r="O1443" s="41">
        <f>AB89</f>
        <v>0</v>
      </c>
      <c r="P1443" s="24"/>
      <c r="Q1443" s="24"/>
      <c r="R1443" s="24"/>
      <c r="S1443" s="24"/>
      <c r="T1443" s="24"/>
      <c r="U1443" s="24"/>
      <c r="V1443" s="24"/>
      <c r="W1443" s="24"/>
      <c r="X1443" s="24"/>
      <c r="Y1443" s="24"/>
      <c r="Z1443" s="24"/>
      <c r="AA1443" s="24"/>
      <c r="AB1443" s="24"/>
      <c r="AC1443" s="24"/>
      <c r="AD1443" s="24"/>
      <c r="AE1443" s="24"/>
    </row>
    <row r="1444" spans="1:31" s="1" customFormat="1" x14ac:dyDescent="0.25">
      <c r="A1444" s="21"/>
      <c r="B1444" s="22"/>
      <c r="C1444" s="22"/>
      <c r="D1444" s="65"/>
      <c r="E1444" s="24"/>
      <c r="F1444" s="24"/>
      <c r="G1444" s="24"/>
      <c r="H1444" s="24"/>
      <c r="I1444" s="24"/>
      <c r="J1444" s="24"/>
      <c r="K1444" s="24"/>
      <c r="L1444" s="24"/>
      <c r="M1444" s="24"/>
      <c r="N1444" s="24"/>
      <c r="O1444" s="41"/>
      <c r="P1444" s="24"/>
      <c r="Q1444" s="24"/>
      <c r="R1444" s="24"/>
      <c r="S1444" s="24"/>
      <c r="T1444" s="24"/>
      <c r="U1444" s="24"/>
      <c r="V1444" s="24"/>
      <c r="W1444" s="24"/>
      <c r="X1444" s="24"/>
      <c r="Y1444" s="24"/>
      <c r="Z1444" s="24"/>
      <c r="AA1444" s="24"/>
      <c r="AB1444" s="24"/>
      <c r="AC1444" s="24"/>
      <c r="AD1444" s="24"/>
      <c r="AE1444" s="24"/>
    </row>
    <row r="1445" spans="1:31" s="1" customFormat="1" x14ac:dyDescent="0.25">
      <c r="A1445" s="21"/>
      <c r="B1445" s="22"/>
      <c r="C1445" s="22"/>
      <c r="D1445" s="65"/>
      <c r="E1445" s="24"/>
      <c r="F1445" s="24"/>
      <c r="G1445" s="24"/>
      <c r="H1445" s="24"/>
      <c r="I1445" s="24"/>
      <c r="J1445" s="24"/>
      <c r="K1445" s="24"/>
      <c r="L1445" s="24"/>
      <c r="M1445" s="24"/>
      <c r="N1445" s="24"/>
      <c r="O1445" s="41"/>
      <c r="P1445" s="24"/>
      <c r="Q1445" s="24"/>
      <c r="R1445" s="24"/>
      <c r="S1445" s="24"/>
      <c r="T1445" s="24"/>
      <c r="U1445" s="24"/>
      <c r="V1445" s="24"/>
      <c r="W1445" s="24"/>
      <c r="X1445" s="24"/>
      <c r="Y1445" s="24"/>
      <c r="Z1445" s="24"/>
      <c r="AA1445" s="24"/>
      <c r="AB1445" s="24"/>
      <c r="AC1445" s="24"/>
      <c r="AD1445" s="24"/>
      <c r="AE1445" s="24"/>
    </row>
    <row r="1446" spans="1:31" s="1" customFormat="1" ht="25.5" x14ac:dyDescent="0.25">
      <c r="A1446" s="25"/>
      <c r="B1446" s="26" t="s">
        <v>1536</v>
      </c>
      <c r="C1446" s="26"/>
      <c r="D1446" s="64" t="s">
        <v>1537</v>
      </c>
      <c r="E1446" s="28"/>
      <c r="F1446" s="28"/>
      <c r="G1446" s="28"/>
      <c r="H1446" s="28"/>
      <c r="I1446" s="28"/>
      <c r="J1446" s="28"/>
      <c r="K1446" s="28"/>
      <c r="L1446" s="28"/>
      <c r="M1446" s="28">
        <f>SUM(M1447:M1449)</f>
        <v>0</v>
      </c>
      <c r="N1446" s="28"/>
      <c r="O1446" s="40">
        <f t="shared" ref="O1446:AC1446" si="541">SUM(O1447:O1449)</f>
        <v>0</v>
      </c>
      <c r="P1446" s="28">
        <f t="shared" si="541"/>
        <v>0</v>
      </c>
      <c r="Q1446" s="28">
        <f t="shared" si="541"/>
        <v>0</v>
      </c>
      <c r="R1446" s="28">
        <f t="shared" si="541"/>
        <v>0</v>
      </c>
      <c r="S1446" s="28">
        <f t="shared" si="541"/>
        <v>0</v>
      </c>
      <c r="T1446" s="28"/>
      <c r="U1446" s="28">
        <f t="shared" si="541"/>
        <v>0</v>
      </c>
      <c r="V1446" s="28"/>
      <c r="W1446" s="28">
        <f t="shared" si="541"/>
        <v>0</v>
      </c>
      <c r="X1446" s="28"/>
      <c r="Y1446" s="28">
        <f t="shared" si="541"/>
        <v>0</v>
      </c>
      <c r="Z1446" s="28">
        <f t="shared" si="541"/>
        <v>0</v>
      </c>
      <c r="AA1446" s="28"/>
      <c r="AB1446" s="28">
        <f t="shared" si="541"/>
        <v>0</v>
      </c>
      <c r="AC1446" s="28">
        <f t="shared" si="541"/>
        <v>0</v>
      </c>
      <c r="AD1446" s="28"/>
      <c r="AE1446" s="28"/>
    </row>
    <row r="1447" spans="1:31" s="1" customFormat="1" x14ac:dyDescent="0.25">
      <c r="A1447" s="21"/>
      <c r="B1447" s="22"/>
      <c r="C1447" s="22"/>
      <c r="D1447" s="65"/>
      <c r="E1447" s="24"/>
      <c r="F1447" s="24"/>
      <c r="G1447" s="24"/>
      <c r="H1447" s="24"/>
      <c r="I1447" s="24"/>
      <c r="J1447" s="24"/>
      <c r="K1447" s="24"/>
      <c r="L1447" s="24"/>
      <c r="M1447" s="24"/>
      <c r="N1447" s="24"/>
      <c r="O1447" s="41">
        <f>AB96</f>
        <v>0</v>
      </c>
      <c r="P1447" s="24"/>
      <c r="Q1447" s="24"/>
      <c r="R1447" s="24"/>
      <c r="S1447" s="24"/>
      <c r="T1447" s="24"/>
      <c r="U1447" s="24"/>
      <c r="V1447" s="24"/>
      <c r="W1447" s="24"/>
      <c r="X1447" s="24"/>
      <c r="Y1447" s="24"/>
      <c r="Z1447" s="24"/>
      <c r="AA1447" s="24"/>
      <c r="AB1447" s="24"/>
      <c r="AC1447" s="24"/>
      <c r="AD1447" s="24"/>
      <c r="AE1447" s="24"/>
    </row>
    <row r="1448" spans="1:31" s="1" customFormat="1" x14ac:dyDescent="0.25">
      <c r="A1448" s="21"/>
      <c r="B1448" s="22"/>
      <c r="C1448" s="22"/>
      <c r="D1448" s="65"/>
      <c r="E1448" s="24"/>
      <c r="F1448" s="24"/>
      <c r="G1448" s="24"/>
      <c r="H1448" s="24"/>
      <c r="I1448" s="24"/>
      <c r="J1448" s="24"/>
      <c r="K1448" s="24"/>
      <c r="L1448" s="24"/>
      <c r="M1448" s="24"/>
      <c r="N1448" s="24"/>
      <c r="O1448" s="41"/>
      <c r="P1448" s="24"/>
      <c r="Q1448" s="24"/>
      <c r="R1448" s="24"/>
      <c r="S1448" s="24"/>
      <c r="T1448" s="24"/>
      <c r="U1448" s="24"/>
      <c r="V1448" s="24"/>
      <c r="W1448" s="24"/>
      <c r="X1448" s="24"/>
      <c r="Y1448" s="24"/>
      <c r="Z1448" s="24"/>
      <c r="AA1448" s="24"/>
      <c r="AB1448" s="24"/>
      <c r="AC1448" s="24"/>
      <c r="AD1448" s="24"/>
      <c r="AE1448" s="24"/>
    </row>
    <row r="1449" spans="1:31" s="1" customFormat="1" x14ac:dyDescent="0.25">
      <c r="A1449" s="21"/>
      <c r="B1449" s="22"/>
      <c r="C1449" s="22"/>
      <c r="D1449" s="65"/>
      <c r="E1449" s="24"/>
      <c r="F1449" s="24"/>
      <c r="G1449" s="24"/>
      <c r="H1449" s="24"/>
      <c r="I1449" s="24"/>
      <c r="J1449" s="24"/>
      <c r="K1449" s="24"/>
      <c r="L1449" s="24"/>
      <c r="M1449" s="24"/>
      <c r="N1449" s="24"/>
      <c r="O1449" s="41"/>
      <c r="P1449" s="24"/>
      <c r="Q1449" s="24"/>
      <c r="R1449" s="24"/>
      <c r="S1449" s="24"/>
      <c r="T1449" s="24"/>
      <c r="U1449" s="24"/>
      <c r="V1449" s="24"/>
      <c r="W1449" s="24"/>
      <c r="X1449" s="24"/>
      <c r="Y1449" s="24"/>
      <c r="Z1449" s="24"/>
      <c r="AA1449" s="24"/>
      <c r="AB1449" s="24"/>
      <c r="AC1449" s="24"/>
      <c r="AD1449" s="24"/>
      <c r="AE1449" s="24"/>
    </row>
    <row r="1450" spans="1:31" s="1" customFormat="1" ht="25.5" x14ac:dyDescent="0.25">
      <c r="A1450" s="25"/>
      <c r="B1450" s="26" t="s">
        <v>1538</v>
      </c>
      <c r="C1450" s="26"/>
      <c r="D1450" s="64" t="s">
        <v>1539</v>
      </c>
      <c r="E1450" s="28"/>
      <c r="F1450" s="28"/>
      <c r="G1450" s="28"/>
      <c r="H1450" s="28"/>
      <c r="I1450" s="28"/>
      <c r="J1450" s="28"/>
      <c r="K1450" s="28"/>
      <c r="L1450" s="28"/>
      <c r="M1450" s="28">
        <f>SUM(M1451:M1453)</f>
        <v>0</v>
      </c>
      <c r="N1450" s="28"/>
      <c r="O1450" s="40">
        <f t="shared" ref="O1450:AC1450" si="542">SUM(O1451:O1453)</f>
        <v>7158232068.8146162</v>
      </c>
      <c r="P1450" s="28">
        <f t="shared" si="542"/>
        <v>0</v>
      </c>
      <c r="Q1450" s="28">
        <f t="shared" si="542"/>
        <v>0</v>
      </c>
      <c r="R1450" s="28">
        <f t="shared" si="542"/>
        <v>0</v>
      </c>
      <c r="S1450" s="28">
        <f t="shared" si="542"/>
        <v>0</v>
      </c>
      <c r="T1450" s="28"/>
      <c r="U1450" s="28">
        <f t="shared" si="542"/>
        <v>0</v>
      </c>
      <c r="V1450" s="28"/>
      <c r="W1450" s="28">
        <f t="shared" si="542"/>
        <v>0</v>
      </c>
      <c r="X1450" s="28"/>
      <c r="Y1450" s="28">
        <f t="shared" si="542"/>
        <v>0</v>
      </c>
      <c r="Z1450" s="28">
        <f t="shared" si="542"/>
        <v>0</v>
      </c>
      <c r="AA1450" s="28"/>
      <c r="AB1450" s="28">
        <f t="shared" si="542"/>
        <v>0</v>
      </c>
      <c r="AC1450" s="28">
        <f t="shared" si="542"/>
        <v>0</v>
      </c>
      <c r="AD1450" s="28"/>
      <c r="AE1450" s="28"/>
    </row>
    <row r="1451" spans="1:31" s="1" customFormat="1" x14ac:dyDescent="0.25">
      <c r="A1451" s="21"/>
      <c r="B1451" s="22"/>
      <c r="C1451" s="22"/>
      <c r="D1451" s="65"/>
      <c r="E1451" s="24"/>
      <c r="F1451" s="24"/>
      <c r="G1451" s="24"/>
      <c r="H1451" s="24"/>
      <c r="I1451" s="24"/>
      <c r="J1451" s="24"/>
      <c r="K1451" s="24"/>
      <c r="L1451" s="24"/>
      <c r="M1451" s="24"/>
      <c r="N1451" s="24"/>
      <c r="O1451" s="41">
        <f>AB101</f>
        <v>7158232068.8146162</v>
      </c>
      <c r="P1451" s="24"/>
      <c r="Q1451" s="24"/>
      <c r="R1451" s="24"/>
      <c r="S1451" s="24"/>
      <c r="T1451" s="24"/>
      <c r="U1451" s="24"/>
      <c r="V1451" s="24"/>
      <c r="W1451" s="24"/>
      <c r="X1451" s="24"/>
      <c r="Y1451" s="24"/>
      <c r="Z1451" s="24"/>
      <c r="AA1451" s="24"/>
      <c r="AB1451" s="24"/>
      <c r="AC1451" s="24"/>
      <c r="AD1451" s="24"/>
      <c r="AE1451" s="24"/>
    </row>
    <row r="1452" spans="1:31" s="1" customFormat="1" x14ac:dyDescent="0.25">
      <c r="A1452" s="21"/>
      <c r="B1452" s="22"/>
      <c r="C1452" s="22"/>
      <c r="D1452" s="65"/>
      <c r="E1452" s="24"/>
      <c r="F1452" s="24"/>
      <c r="G1452" s="24"/>
      <c r="H1452" s="24"/>
      <c r="I1452" s="24"/>
      <c r="J1452" s="24"/>
      <c r="K1452" s="24"/>
      <c r="L1452" s="24"/>
      <c r="M1452" s="24"/>
      <c r="N1452" s="24"/>
      <c r="O1452" s="41"/>
      <c r="P1452" s="24"/>
      <c r="Q1452" s="24"/>
      <c r="R1452" s="24"/>
      <c r="S1452" s="24"/>
      <c r="T1452" s="24"/>
      <c r="U1452" s="24"/>
      <c r="V1452" s="24"/>
      <c r="W1452" s="24"/>
      <c r="X1452" s="24"/>
      <c r="Y1452" s="24"/>
      <c r="Z1452" s="24"/>
      <c r="AA1452" s="24"/>
      <c r="AB1452" s="24"/>
      <c r="AC1452" s="24"/>
      <c r="AD1452" s="24"/>
      <c r="AE1452" s="24"/>
    </row>
    <row r="1453" spans="1:31" s="1" customFormat="1" x14ac:dyDescent="0.25">
      <c r="A1453" s="21"/>
      <c r="B1453" s="22"/>
      <c r="C1453" s="22"/>
      <c r="D1453" s="65"/>
      <c r="E1453" s="24"/>
      <c r="F1453" s="24"/>
      <c r="G1453" s="24"/>
      <c r="H1453" s="24"/>
      <c r="I1453" s="24"/>
      <c r="J1453" s="24"/>
      <c r="K1453" s="24"/>
      <c r="L1453" s="24"/>
      <c r="M1453" s="24"/>
      <c r="N1453" s="24"/>
      <c r="O1453" s="41"/>
      <c r="P1453" s="24"/>
      <c r="Q1453" s="24"/>
      <c r="R1453" s="24"/>
      <c r="S1453" s="24"/>
      <c r="T1453" s="24"/>
      <c r="U1453" s="24"/>
      <c r="V1453" s="24"/>
      <c r="W1453" s="24"/>
      <c r="X1453" s="24"/>
      <c r="Y1453" s="24"/>
      <c r="Z1453" s="24"/>
      <c r="AA1453" s="24"/>
      <c r="AB1453" s="24"/>
      <c r="AC1453" s="24"/>
      <c r="AD1453" s="24"/>
      <c r="AE1453" s="24"/>
    </row>
    <row r="1454" spans="1:31" s="1" customFormat="1" ht="38.25" x14ac:dyDescent="0.25">
      <c r="A1454" s="25"/>
      <c r="B1454" s="26" t="s">
        <v>1540</v>
      </c>
      <c r="C1454" s="26"/>
      <c r="D1454" s="64" t="s">
        <v>1541</v>
      </c>
      <c r="E1454" s="28"/>
      <c r="F1454" s="28"/>
      <c r="G1454" s="28"/>
      <c r="H1454" s="28"/>
      <c r="I1454" s="28"/>
      <c r="J1454" s="28"/>
      <c r="K1454" s="28"/>
      <c r="L1454" s="28"/>
      <c r="M1454" s="28">
        <f>SUM(M1455:M1457)</f>
        <v>0</v>
      </c>
      <c r="N1454" s="28"/>
      <c r="O1454" s="40">
        <f t="shared" ref="O1454:AC1454" si="543">SUM(O1455:O1457)</f>
        <v>187850500</v>
      </c>
      <c r="P1454" s="28">
        <f t="shared" si="543"/>
        <v>0</v>
      </c>
      <c r="Q1454" s="28">
        <f t="shared" si="543"/>
        <v>0</v>
      </c>
      <c r="R1454" s="28">
        <f t="shared" si="543"/>
        <v>0</v>
      </c>
      <c r="S1454" s="28">
        <f t="shared" si="543"/>
        <v>0</v>
      </c>
      <c r="T1454" s="28"/>
      <c r="U1454" s="28">
        <f t="shared" si="543"/>
        <v>0</v>
      </c>
      <c r="V1454" s="28"/>
      <c r="W1454" s="28">
        <f t="shared" si="543"/>
        <v>0</v>
      </c>
      <c r="X1454" s="28"/>
      <c r="Y1454" s="28">
        <f t="shared" si="543"/>
        <v>0</v>
      </c>
      <c r="Z1454" s="28">
        <f t="shared" si="543"/>
        <v>0</v>
      </c>
      <c r="AA1454" s="28"/>
      <c r="AB1454" s="28">
        <f t="shared" si="543"/>
        <v>0</v>
      </c>
      <c r="AC1454" s="28">
        <f t="shared" si="543"/>
        <v>0</v>
      </c>
      <c r="AD1454" s="28"/>
      <c r="AE1454" s="28"/>
    </row>
    <row r="1455" spans="1:31" s="1" customFormat="1" x14ac:dyDescent="0.25">
      <c r="A1455" s="21"/>
      <c r="B1455" s="22"/>
      <c r="C1455" s="22"/>
      <c r="D1455" s="65"/>
      <c r="E1455" s="24"/>
      <c r="F1455" s="24"/>
      <c r="G1455" s="24"/>
      <c r="H1455" s="24"/>
      <c r="I1455" s="24"/>
      <c r="J1455" s="24"/>
      <c r="K1455" s="24"/>
      <c r="L1455" s="24"/>
      <c r="M1455" s="24"/>
      <c r="N1455" s="24"/>
      <c r="O1455" s="41">
        <f>AB786</f>
        <v>187850500</v>
      </c>
      <c r="P1455" s="24"/>
      <c r="Q1455" s="24"/>
      <c r="R1455" s="24"/>
      <c r="S1455" s="24"/>
      <c r="T1455" s="24"/>
      <c r="U1455" s="24"/>
      <c r="V1455" s="24"/>
      <c r="W1455" s="24"/>
      <c r="X1455" s="24"/>
      <c r="Y1455" s="24"/>
      <c r="Z1455" s="24"/>
      <c r="AA1455" s="24"/>
      <c r="AB1455" s="24"/>
      <c r="AC1455" s="24"/>
      <c r="AD1455" s="24"/>
      <c r="AE1455" s="24"/>
    </row>
    <row r="1456" spans="1:31" s="1" customFormat="1" x14ac:dyDescent="0.25">
      <c r="A1456" s="21"/>
      <c r="B1456" s="22"/>
      <c r="C1456" s="22"/>
      <c r="D1456" s="65"/>
      <c r="E1456" s="24"/>
      <c r="F1456" s="24"/>
      <c r="G1456" s="24"/>
      <c r="H1456" s="24"/>
      <c r="I1456" s="24"/>
      <c r="J1456" s="24"/>
      <c r="K1456" s="24"/>
      <c r="L1456" s="24"/>
      <c r="M1456" s="24"/>
      <c r="N1456" s="24"/>
      <c r="O1456" s="41"/>
      <c r="P1456" s="24"/>
      <c r="Q1456" s="24"/>
      <c r="R1456" s="24"/>
      <c r="S1456" s="24"/>
      <c r="T1456" s="24"/>
      <c r="U1456" s="24"/>
      <c r="V1456" s="24"/>
      <c r="W1456" s="24"/>
      <c r="X1456" s="24"/>
      <c r="Y1456" s="24"/>
      <c r="Z1456" s="24"/>
      <c r="AA1456" s="24"/>
      <c r="AB1456" s="24"/>
      <c r="AC1456" s="24"/>
      <c r="AD1456" s="24"/>
      <c r="AE1456" s="24"/>
    </row>
    <row r="1457" spans="1:31" s="1" customFormat="1" x14ac:dyDescent="0.25">
      <c r="A1457" s="21"/>
      <c r="B1457" s="22"/>
      <c r="C1457" s="22"/>
      <c r="D1457" s="65"/>
      <c r="E1457" s="24"/>
      <c r="F1457" s="24"/>
      <c r="G1457" s="24"/>
      <c r="H1457" s="24"/>
      <c r="I1457" s="24"/>
      <c r="J1457" s="24"/>
      <c r="K1457" s="24"/>
      <c r="L1457" s="24"/>
      <c r="M1457" s="24"/>
      <c r="N1457" s="24"/>
      <c r="O1457" s="41"/>
      <c r="P1457" s="24"/>
      <c r="Q1457" s="24"/>
      <c r="R1457" s="24"/>
      <c r="S1457" s="24"/>
      <c r="T1457" s="24"/>
      <c r="U1457" s="24"/>
      <c r="V1457" s="24"/>
      <c r="W1457" s="24"/>
      <c r="X1457" s="24"/>
      <c r="Y1457" s="24"/>
      <c r="Z1457" s="24"/>
      <c r="AA1457" s="24"/>
      <c r="AB1457" s="24"/>
      <c r="AC1457" s="24"/>
      <c r="AD1457" s="24"/>
      <c r="AE1457" s="24"/>
    </row>
    <row r="1458" spans="1:31" s="1" customFormat="1" ht="25.5" x14ac:dyDescent="0.25">
      <c r="A1458" s="25"/>
      <c r="B1458" s="26" t="s">
        <v>1542</v>
      </c>
      <c r="C1458" s="26"/>
      <c r="D1458" s="64" t="s">
        <v>1543</v>
      </c>
      <c r="E1458" s="28"/>
      <c r="F1458" s="28"/>
      <c r="G1458" s="28"/>
      <c r="H1458" s="28"/>
      <c r="I1458" s="28"/>
      <c r="J1458" s="28"/>
      <c r="K1458" s="28"/>
      <c r="L1458" s="28"/>
      <c r="M1458" s="28">
        <f>SUM(M1459:M1461)</f>
        <v>0</v>
      </c>
      <c r="N1458" s="28"/>
      <c r="O1458" s="40">
        <f t="shared" ref="O1458:AC1458" si="544">SUM(O1459:O1461)</f>
        <v>1993333.3333333335</v>
      </c>
      <c r="P1458" s="28">
        <f t="shared" si="544"/>
        <v>0</v>
      </c>
      <c r="Q1458" s="28">
        <f t="shared" si="544"/>
        <v>0</v>
      </c>
      <c r="R1458" s="28">
        <f t="shared" si="544"/>
        <v>0</v>
      </c>
      <c r="S1458" s="28">
        <f t="shared" si="544"/>
        <v>0</v>
      </c>
      <c r="T1458" s="28"/>
      <c r="U1458" s="28">
        <f t="shared" si="544"/>
        <v>0</v>
      </c>
      <c r="V1458" s="28"/>
      <c r="W1458" s="28">
        <f t="shared" si="544"/>
        <v>0</v>
      </c>
      <c r="X1458" s="28"/>
      <c r="Y1458" s="28">
        <f t="shared" si="544"/>
        <v>0</v>
      </c>
      <c r="Z1458" s="28">
        <f t="shared" si="544"/>
        <v>0</v>
      </c>
      <c r="AA1458" s="28"/>
      <c r="AB1458" s="28">
        <f t="shared" si="544"/>
        <v>0</v>
      </c>
      <c r="AC1458" s="28">
        <f t="shared" si="544"/>
        <v>0</v>
      </c>
      <c r="AD1458" s="28"/>
      <c r="AE1458" s="28"/>
    </row>
    <row r="1459" spans="1:31" s="1" customFormat="1" x14ac:dyDescent="0.25">
      <c r="A1459" s="21"/>
      <c r="B1459" s="22"/>
      <c r="C1459" s="22"/>
      <c r="D1459" s="65"/>
      <c r="E1459" s="24"/>
      <c r="F1459" s="24"/>
      <c r="G1459" s="24"/>
      <c r="H1459" s="24"/>
      <c r="I1459" s="24"/>
      <c r="J1459" s="24"/>
      <c r="K1459" s="24"/>
      <c r="L1459" s="24"/>
      <c r="M1459" s="24"/>
      <c r="N1459" s="24"/>
      <c r="O1459" s="41">
        <f>AB808</f>
        <v>1993333.3333333335</v>
      </c>
      <c r="P1459" s="24"/>
      <c r="Q1459" s="24"/>
      <c r="R1459" s="24"/>
      <c r="S1459" s="24"/>
      <c r="T1459" s="24"/>
      <c r="U1459" s="24"/>
      <c r="V1459" s="24"/>
      <c r="W1459" s="24"/>
      <c r="X1459" s="24"/>
      <c r="Y1459" s="24"/>
      <c r="Z1459" s="24"/>
      <c r="AA1459" s="24"/>
      <c r="AB1459" s="24"/>
      <c r="AC1459" s="24"/>
      <c r="AD1459" s="24"/>
      <c r="AE1459" s="24"/>
    </row>
    <row r="1460" spans="1:31" s="1" customFormat="1" x14ac:dyDescent="0.25">
      <c r="A1460" s="21"/>
      <c r="B1460" s="22"/>
      <c r="C1460" s="22"/>
      <c r="D1460" s="65"/>
      <c r="E1460" s="24"/>
      <c r="F1460" s="24"/>
      <c r="G1460" s="24"/>
      <c r="H1460" s="24"/>
      <c r="I1460" s="24"/>
      <c r="J1460" s="24"/>
      <c r="K1460" s="24"/>
      <c r="L1460" s="24"/>
      <c r="M1460" s="24"/>
      <c r="N1460" s="24"/>
      <c r="O1460" s="41"/>
      <c r="P1460" s="24"/>
      <c r="Q1460" s="24"/>
      <c r="R1460" s="24"/>
      <c r="S1460" s="24"/>
      <c r="T1460" s="24"/>
      <c r="U1460" s="24"/>
      <c r="V1460" s="24"/>
      <c r="W1460" s="24"/>
      <c r="X1460" s="24"/>
      <c r="Y1460" s="24"/>
      <c r="Z1460" s="24"/>
      <c r="AA1460" s="24"/>
      <c r="AB1460" s="24"/>
      <c r="AC1460" s="24"/>
      <c r="AD1460" s="24"/>
      <c r="AE1460" s="24"/>
    </row>
    <row r="1461" spans="1:31" s="1" customFormat="1" x14ac:dyDescent="0.25">
      <c r="A1461" s="21"/>
      <c r="B1461" s="22"/>
      <c r="C1461" s="22"/>
      <c r="D1461" s="65"/>
      <c r="E1461" s="24"/>
      <c r="F1461" s="24"/>
      <c r="G1461" s="24"/>
      <c r="H1461" s="24"/>
      <c r="I1461" s="24"/>
      <c r="J1461" s="24"/>
      <c r="K1461" s="24"/>
      <c r="L1461" s="24"/>
      <c r="M1461" s="24"/>
      <c r="N1461" s="24"/>
      <c r="O1461" s="41"/>
      <c r="P1461" s="24"/>
      <c r="Q1461" s="24"/>
      <c r="R1461" s="24"/>
      <c r="S1461" s="24"/>
      <c r="T1461" s="24"/>
      <c r="U1461" s="24"/>
      <c r="V1461" s="24"/>
      <c r="W1461" s="24"/>
      <c r="X1461" s="24"/>
      <c r="Y1461" s="24"/>
      <c r="Z1461" s="24"/>
      <c r="AA1461" s="24"/>
      <c r="AB1461" s="24"/>
      <c r="AC1461" s="24"/>
      <c r="AD1461" s="24"/>
      <c r="AE1461" s="24"/>
    </row>
    <row r="1462" spans="1:31" s="1" customFormat="1" ht="25.5" x14ac:dyDescent="0.25">
      <c r="A1462" s="25"/>
      <c r="B1462" s="26" t="s">
        <v>1544</v>
      </c>
      <c r="C1462" s="26"/>
      <c r="D1462" s="64" t="s">
        <v>1545</v>
      </c>
      <c r="E1462" s="28"/>
      <c r="F1462" s="28"/>
      <c r="G1462" s="28"/>
      <c r="H1462" s="28"/>
      <c r="I1462" s="28"/>
      <c r="J1462" s="28"/>
      <c r="K1462" s="28"/>
      <c r="L1462" s="28"/>
      <c r="M1462" s="28">
        <f>SUM(M1463:M1465)</f>
        <v>0</v>
      </c>
      <c r="N1462" s="28"/>
      <c r="O1462" s="40">
        <f t="shared" ref="O1462:AC1462" si="545">SUM(O1463:O1465)</f>
        <v>0</v>
      </c>
      <c r="P1462" s="28">
        <f t="shared" si="545"/>
        <v>0</v>
      </c>
      <c r="Q1462" s="28">
        <f t="shared" si="545"/>
        <v>0</v>
      </c>
      <c r="R1462" s="28">
        <f t="shared" si="545"/>
        <v>0</v>
      </c>
      <c r="S1462" s="28">
        <f t="shared" si="545"/>
        <v>0</v>
      </c>
      <c r="T1462" s="28"/>
      <c r="U1462" s="28">
        <f t="shared" si="545"/>
        <v>0</v>
      </c>
      <c r="V1462" s="28"/>
      <c r="W1462" s="28">
        <f t="shared" si="545"/>
        <v>0</v>
      </c>
      <c r="X1462" s="28"/>
      <c r="Y1462" s="28">
        <f t="shared" si="545"/>
        <v>0</v>
      </c>
      <c r="Z1462" s="28">
        <f t="shared" si="545"/>
        <v>0</v>
      </c>
      <c r="AA1462" s="28"/>
      <c r="AB1462" s="28">
        <f t="shared" si="545"/>
        <v>0</v>
      </c>
      <c r="AC1462" s="28">
        <f t="shared" si="545"/>
        <v>0</v>
      </c>
      <c r="AD1462" s="28"/>
      <c r="AE1462" s="28"/>
    </row>
    <row r="1463" spans="1:31" s="1" customFormat="1" x14ac:dyDescent="0.25">
      <c r="A1463" s="21"/>
      <c r="B1463" s="22"/>
      <c r="C1463" s="22"/>
      <c r="D1463" s="65"/>
      <c r="E1463" s="24"/>
      <c r="F1463" s="24"/>
      <c r="G1463" s="24"/>
      <c r="H1463" s="24"/>
      <c r="I1463" s="24"/>
      <c r="J1463" s="24"/>
      <c r="K1463" s="24"/>
      <c r="L1463" s="24"/>
      <c r="M1463" s="24"/>
      <c r="N1463" s="24"/>
      <c r="O1463" s="41">
        <f>AB816</f>
        <v>0</v>
      </c>
      <c r="P1463" s="24"/>
      <c r="Q1463" s="24"/>
      <c r="R1463" s="24"/>
      <c r="S1463" s="24"/>
      <c r="T1463" s="24"/>
      <c r="U1463" s="24"/>
      <c r="V1463" s="24"/>
      <c r="W1463" s="24"/>
      <c r="X1463" s="24"/>
      <c r="Y1463" s="24"/>
      <c r="Z1463" s="24"/>
      <c r="AA1463" s="24"/>
      <c r="AB1463" s="24"/>
      <c r="AC1463" s="24"/>
      <c r="AD1463" s="24"/>
      <c r="AE1463" s="24"/>
    </row>
    <row r="1464" spans="1:31" s="1" customFormat="1" x14ac:dyDescent="0.25">
      <c r="A1464" s="21"/>
      <c r="B1464" s="22"/>
      <c r="C1464" s="22"/>
      <c r="D1464" s="65"/>
      <c r="E1464" s="24"/>
      <c r="F1464" s="24"/>
      <c r="G1464" s="24"/>
      <c r="H1464" s="24"/>
      <c r="I1464" s="24"/>
      <c r="J1464" s="24"/>
      <c r="K1464" s="24"/>
      <c r="L1464" s="24"/>
      <c r="M1464" s="24"/>
      <c r="N1464" s="24"/>
      <c r="O1464" s="41"/>
      <c r="P1464" s="24"/>
      <c r="Q1464" s="24"/>
      <c r="R1464" s="24"/>
      <c r="S1464" s="24"/>
      <c r="T1464" s="24"/>
      <c r="U1464" s="24"/>
      <c r="V1464" s="24"/>
      <c r="W1464" s="24"/>
      <c r="X1464" s="24"/>
      <c r="Y1464" s="24"/>
      <c r="Z1464" s="24"/>
      <c r="AA1464" s="24"/>
      <c r="AB1464" s="24"/>
      <c r="AC1464" s="24"/>
      <c r="AD1464" s="24"/>
      <c r="AE1464" s="24"/>
    </row>
    <row r="1465" spans="1:31" s="1" customFormat="1" x14ac:dyDescent="0.25">
      <c r="A1465" s="21"/>
      <c r="B1465" s="22"/>
      <c r="C1465" s="22"/>
      <c r="D1465" s="65"/>
      <c r="E1465" s="24"/>
      <c r="F1465" s="24"/>
      <c r="G1465" s="24"/>
      <c r="H1465" s="24"/>
      <c r="I1465" s="24"/>
      <c r="J1465" s="24"/>
      <c r="K1465" s="24"/>
      <c r="L1465" s="24"/>
      <c r="M1465" s="24"/>
      <c r="N1465" s="24"/>
      <c r="O1465" s="41"/>
      <c r="P1465" s="24"/>
      <c r="Q1465" s="24"/>
      <c r="R1465" s="24"/>
      <c r="S1465" s="24"/>
      <c r="T1465" s="24"/>
      <c r="U1465" s="24"/>
      <c r="V1465" s="24"/>
      <c r="W1465" s="24"/>
      <c r="X1465" s="24"/>
      <c r="Y1465" s="24"/>
      <c r="Z1465" s="24"/>
      <c r="AA1465" s="24"/>
      <c r="AB1465" s="24"/>
      <c r="AC1465" s="24"/>
      <c r="AD1465" s="24"/>
      <c r="AE1465" s="24"/>
    </row>
    <row r="1466" spans="1:31" s="1" customFormat="1" ht="25.5" x14ac:dyDescent="0.25">
      <c r="A1466" s="25"/>
      <c r="B1466" s="26" t="s">
        <v>1546</v>
      </c>
      <c r="C1466" s="26"/>
      <c r="D1466" s="64" t="s">
        <v>1547</v>
      </c>
      <c r="E1466" s="28"/>
      <c r="F1466" s="28"/>
      <c r="G1466" s="28"/>
      <c r="H1466" s="28"/>
      <c r="I1466" s="28"/>
      <c r="J1466" s="28"/>
      <c r="K1466" s="28"/>
      <c r="L1466" s="28"/>
      <c r="M1466" s="28">
        <f>SUM(M1467:M1469)</f>
        <v>0</v>
      </c>
      <c r="N1466" s="28"/>
      <c r="O1466" s="40">
        <f t="shared" ref="O1466:AC1466" si="546">SUM(O1467:O1469)</f>
        <v>0</v>
      </c>
      <c r="P1466" s="28">
        <f t="shared" si="546"/>
        <v>0</v>
      </c>
      <c r="Q1466" s="28">
        <f t="shared" si="546"/>
        <v>0</v>
      </c>
      <c r="R1466" s="28">
        <f t="shared" si="546"/>
        <v>0</v>
      </c>
      <c r="S1466" s="28">
        <f t="shared" si="546"/>
        <v>0</v>
      </c>
      <c r="T1466" s="28"/>
      <c r="U1466" s="28">
        <f t="shared" si="546"/>
        <v>0</v>
      </c>
      <c r="V1466" s="28"/>
      <c r="W1466" s="28">
        <f t="shared" si="546"/>
        <v>0</v>
      </c>
      <c r="X1466" s="28"/>
      <c r="Y1466" s="28">
        <f t="shared" si="546"/>
        <v>0</v>
      </c>
      <c r="Z1466" s="28">
        <f t="shared" si="546"/>
        <v>0</v>
      </c>
      <c r="AA1466" s="28"/>
      <c r="AB1466" s="28">
        <f t="shared" si="546"/>
        <v>0</v>
      </c>
      <c r="AC1466" s="28">
        <f t="shared" si="546"/>
        <v>0</v>
      </c>
      <c r="AD1466" s="28"/>
      <c r="AE1466" s="28"/>
    </row>
    <row r="1467" spans="1:31" s="1" customFormat="1" x14ac:dyDescent="0.25">
      <c r="A1467" s="21"/>
      <c r="B1467" s="22"/>
      <c r="C1467" s="22"/>
      <c r="D1467" s="65"/>
      <c r="E1467" s="24"/>
      <c r="F1467" s="24"/>
      <c r="G1467" s="24"/>
      <c r="H1467" s="24"/>
      <c r="I1467" s="24"/>
      <c r="J1467" s="24"/>
      <c r="K1467" s="24"/>
      <c r="L1467" s="24"/>
      <c r="M1467" s="24"/>
      <c r="N1467" s="24"/>
      <c r="O1467" s="41">
        <f>AB837</f>
        <v>0</v>
      </c>
      <c r="P1467" s="24"/>
      <c r="Q1467" s="24"/>
      <c r="R1467" s="24"/>
      <c r="S1467" s="24"/>
      <c r="T1467" s="24"/>
      <c r="U1467" s="24"/>
      <c r="V1467" s="24"/>
      <c r="W1467" s="24"/>
      <c r="X1467" s="24"/>
      <c r="Y1467" s="24"/>
      <c r="Z1467" s="24"/>
      <c r="AA1467" s="24"/>
      <c r="AB1467" s="24"/>
      <c r="AC1467" s="24"/>
      <c r="AD1467" s="24"/>
      <c r="AE1467" s="24"/>
    </row>
    <row r="1468" spans="1:31" s="1" customFormat="1" x14ac:dyDescent="0.25">
      <c r="A1468" s="21"/>
      <c r="B1468" s="22"/>
      <c r="C1468" s="22"/>
      <c r="D1468" s="65"/>
      <c r="E1468" s="24"/>
      <c r="F1468" s="24"/>
      <c r="G1468" s="24"/>
      <c r="H1468" s="24"/>
      <c r="I1468" s="24"/>
      <c r="J1468" s="24"/>
      <c r="K1468" s="24"/>
      <c r="L1468" s="24"/>
      <c r="M1468" s="24"/>
      <c r="N1468" s="24"/>
      <c r="O1468" s="41"/>
      <c r="P1468" s="24"/>
      <c r="Q1468" s="24"/>
      <c r="R1468" s="24"/>
      <c r="S1468" s="24"/>
      <c r="T1468" s="24"/>
      <c r="U1468" s="24"/>
      <c r="V1468" s="24"/>
      <c r="W1468" s="24"/>
      <c r="X1468" s="24"/>
      <c r="Y1468" s="24"/>
      <c r="Z1468" s="24"/>
      <c r="AA1468" s="24"/>
      <c r="AB1468" s="24"/>
      <c r="AC1468" s="24"/>
      <c r="AD1468" s="24"/>
      <c r="AE1468" s="24"/>
    </row>
    <row r="1469" spans="1:31" s="1" customFormat="1" x14ac:dyDescent="0.25">
      <c r="A1469" s="21"/>
      <c r="B1469" s="22"/>
      <c r="C1469" s="22"/>
      <c r="D1469" s="65"/>
      <c r="E1469" s="24"/>
      <c r="F1469" s="24"/>
      <c r="G1469" s="24"/>
      <c r="H1469" s="24"/>
      <c r="I1469" s="24"/>
      <c r="J1469" s="24"/>
      <c r="K1469" s="24"/>
      <c r="L1469" s="24"/>
      <c r="M1469" s="24"/>
      <c r="N1469" s="24"/>
      <c r="O1469" s="41"/>
      <c r="P1469" s="24"/>
      <c r="Q1469" s="24"/>
      <c r="R1469" s="24"/>
      <c r="S1469" s="24"/>
      <c r="T1469" s="24"/>
      <c r="U1469" s="24"/>
      <c r="V1469" s="24"/>
      <c r="W1469" s="24"/>
      <c r="X1469" s="24"/>
      <c r="Y1469" s="24"/>
      <c r="Z1469" s="24"/>
      <c r="AA1469" s="24"/>
      <c r="AB1469" s="24"/>
      <c r="AC1469" s="24"/>
      <c r="AD1469" s="24"/>
      <c r="AE1469" s="24"/>
    </row>
    <row r="1470" spans="1:31" s="1" customFormat="1" ht="25.5" x14ac:dyDescent="0.25">
      <c r="A1470" s="25"/>
      <c r="B1470" s="26" t="s">
        <v>1548</v>
      </c>
      <c r="C1470" s="26"/>
      <c r="D1470" s="64" t="s">
        <v>1549</v>
      </c>
      <c r="E1470" s="28"/>
      <c r="F1470" s="28"/>
      <c r="G1470" s="28"/>
      <c r="H1470" s="28"/>
      <c r="I1470" s="28"/>
      <c r="J1470" s="28"/>
      <c r="K1470" s="28"/>
      <c r="L1470" s="28"/>
      <c r="M1470" s="28">
        <f>SUM(M1471:M1473)</f>
        <v>0</v>
      </c>
      <c r="N1470" s="28"/>
      <c r="O1470" s="40">
        <f t="shared" ref="O1470:AC1470" si="547">SUM(O1471:O1473)</f>
        <v>1746108836.9416664</v>
      </c>
      <c r="P1470" s="28">
        <f t="shared" si="547"/>
        <v>0</v>
      </c>
      <c r="Q1470" s="28">
        <f t="shared" si="547"/>
        <v>0</v>
      </c>
      <c r="R1470" s="28">
        <f t="shared" si="547"/>
        <v>0</v>
      </c>
      <c r="S1470" s="28">
        <f t="shared" si="547"/>
        <v>0</v>
      </c>
      <c r="T1470" s="28"/>
      <c r="U1470" s="28">
        <f t="shared" si="547"/>
        <v>0</v>
      </c>
      <c r="V1470" s="28"/>
      <c r="W1470" s="28">
        <f t="shared" si="547"/>
        <v>0</v>
      </c>
      <c r="X1470" s="28"/>
      <c r="Y1470" s="28">
        <f t="shared" si="547"/>
        <v>0</v>
      </c>
      <c r="Z1470" s="28">
        <f t="shared" si="547"/>
        <v>0</v>
      </c>
      <c r="AA1470" s="28"/>
      <c r="AB1470" s="28">
        <f t="shared" si="547"/>
        <v>0</v>
      </c>
      <c r="AC1470" s="28">
        <f t="shared" si="547"/>
        <v>0</v>
      </c>
      <c r="AD1470" s="28"/>
      <c r="AE1470" s="28"/>
    </row>
    <row r="1471" spans="1:31" s="1" customFormat="1" x14ac:dyDescent="0.25">
      <c r="A1471" s="21"/>
      <c r="B1471" s="22"/>
      <c r="C1471" s="22"/>
      <c r="D1471" s="65"/>
      <c r="E1471" s="24"/>
      <c r="F1471" s="24"/>
      <c r="G1471" s="24"/>
      <c r="H1471" s="24"/>
      <c r="I1471" s="24"/>
      <c r="J1471" s="24"/>
      <c r="K1471" s="24"/>
      <c r="L1471" s="24"/>
      <c r="M1471" s="24"/>
      <c r="N1471" s="24"/>
      <c r="O1471" s="41">
        <f>AB846</f>
        <v>1746108836.9416664</v>
      </c>
      <c r="P1471" s="24"/>
      <c r="Q1471" s="24"/>
      <c r="R1471" s="24"/>
      <c r="S1471" s="24"/>
      <c r="T1471" s="24"/>
      <c r="U1471" s="24"/>
      <c r="V1471" s="24"/>
      <c r="W1471" s="24"/>
      <c r="X1471" s="24"/>
      <c r="Y1471" s="24"/>
      <c r="Z1471" s="24"/>
      <c r="AA1471" s="24"/>
      <c r="AB1471" s="24"/>
      <c r="AC1471" s="24"/>
      <c r="AD1471" s="24"/>
      <c r="AE1471" s="24"/>
    </row>
    <row r="1472" spans="1:31" s="1" customFormat="1" x14ac:dyDescent="0.25">
      <c r="A1472" s="21"/>
      <c r="B1472" s="22"/>
      <c r="C1472" s="22"/>
      <c r="D1472" s="65"/>
      <c r="E1472" s="24"/>
      <c r="F1472" s="24"/>
      <c r="G1472" s="24"/>
      <c r="H1472" s="24"/>
      <c r="I1472" s="24"/>
      <c r="J1472" s="24"/>
      <c r="K1472" s="24"/>
      <c r="L1472" s="24"/>
      <c r="M1472" s="24"/>
      <c r="N1472" s="24"/>
      <c r="O1472" s="41"/>
      <c r="P1472" s="24"/>
      <c r="Q1472" s="24"/>
      <c r="R1472" s="24"/>
      <c r="S1472" s="24"/>
      <c r="T1472" s="24"/>
      <c r="U1472" s="24"/>
      <c r="V1472" s="24"/>
      <c r="W1472" s="24"/>
      <c r="X1472" s="24"/>
      <c r="Y1472" s="24"/>
      <c r="Z1472" s="24"/>
      <c r="AA1472" s="24"/>
      <c r="AB1472" s="24"/>
      <c r="AC1472" s="24"/>
      <c r="AD1472" s="24"/>
      <c r="AE1472" s="24"/>
    </row>
    <row r="1473" spans="1:31" s="1" customFormat="1" x14ac:dyDescent="0.25">
      <c r="A1473" s="21"/>
      <c r="B1473" s="22"/>
      <c r="C1473" s="22"/>
      <c r="D1473" s="65"/>
      <c r="E1473" s="24"/>
      <c r="F1473" s="24"/>
      <c r="G1473" s="24"/>
      <c r="H1473" s="24"/>
      <c r="I1473" s="24"/>
      <c r="J1473" s="24"/>
      <c r="K1473" s="24"/>
      <c r="L1473" s="24"/>
      <c r="M1473" s="24"/>
      <c r="N1473" s="24"/>
      <c r="O1473" s="41"/>
      <c r="P1473" s="24"/>
      <c r="Q1473" s="24"/>
      <c r="R1473" s="24"/>
      <c r="S1473" s="24"/>
      <c r="T1473" s="24"/>
      <c r="U1473" s="24"/>
      <c r="V1473" s="24"/>
      <c r="W1473" s="24"/>
      <c r="X1473" s="24"/>
      <c r="Y1473" s="24"/>
      <c r="Z1473" s="24"/>
      <c r="AA1473" s="24"/>
      <c r="AB1473" s="24"/>
      <c r="AC1473" s="24"/>
      <c r="AD1473" s="24"/>
      <c r="AE1473" s="24"/>
    </row>
    <row r="1474" spans="1:31" s="1" customFormat="1" ht="25.5" x14ac:dyDescent="0.25">
      <c r="A1474" s="25"/>
      <c r="B1474" s="26" t="s">
        <v>1550</v>
      </c>
      <c r="C1474" s="26"/>
      <c r="D1474" s="64" t="s">
        <v>1551</v>
      </c>
      <c r="E1474" s="28"/>
      <c r="F1474" s="28"/>
      <c r="G1474" s="28"/>
      <c r="H1474" s="28"/>
      <c r="I1474" s="28"/>
      <c r="J1474" s="28"/>
      <c r="K1474" s="28"/>
      <c r="L1474" s="28"/>
      <c r="M1474" s="28">
        <f>SUM(M1475:M1477)</f>
        <v>0</v>
      </c>
      <c r="N1474" s="28"/>
      <c r="O1474" s="40">
        <f t="shared" ref="O1474:AC1474" si="548">SUM(O1475:O1477)</f>
        <v>0</v>
      </c>
      <c r="P1474" s="28">
        <f t="shared" si="548"/>
        <v>0</v>
      </c>
      <c r="Q1474" s="28">
        <f t="shared" si="548"/>
        <v>0</v>
      </c>
      <c r="R1474" s="28">
        <f t="shared" si="548"/>
        <v>0</v>
      </c>
      <c r="S1474" s="28">
        <f t="shared" si="548"/>
        <v>0</v>
      </c>
      <c r="T1474" s="28"/>
      <c r="U1474" s="28">
        <f t="shared" si="548"/>
        <v>0</v>
      </c>
      <c r="V1474" s="28"/>
      <c r="W1474" s="28">
        <f t="shared" si="548"/>
        <v>0</v>
      </c>
      <c r="X1474" s="28"/>
      <c r="Y1474" s="28">
        <f t="shared" si="548"/>
        <v>0</v>
      </c>
      <c r="Z1474" s="28">
        <f t="shared" si="548"/>
        <v>0</v>
      </c>
      <c r="AA1474" s="28"/>
      <c r="AB1474" s="28">
        <f t="shared" si="548"/>
        <v>0</v>
      </c>
      <c r="AC1474" s="28">
        <f t="shared" si="548"/>
        <v>0</v>
      </c>
      <c r="AD1474" s="28"/>
      <c r="AE1474" s="28"/>
    </row>
    <row r="1475" spans="1:31" s="1" customFormat="1" x14ac:dyDescent="0.25">
      <c r="A1475" s="21"/>
      <c r="B1475" s="22"/>
      <c r="C1475" s="22"/>
      <c r="D1475" s="65"/>
      <c r="E1475" s="24"/>
      <c r="F1475" s="24"/>
      <c r="G1475" s="24"/>
      <c r="H1475" s="24"/>
      <c r="I1475" s="24"/>
      <c r="J1475" s="24"/>
      <c r="K1475" s="24"/>
      <c r="L1475" s="24"/>
      <c r="M1475" s="24"/>
      <c r="N1475" s="24"/>
      <c r="O1475" s="41">
        <f>AB1014</f>
        <v>0</v>
      </c>
      <c r="P1475" s="24"/>
      <c r="Q1475" s="24"/>
      <c r="R1475" s="24"/>
      <c r="S1475" s="24"/>
      <c r="T1475" s="24"/>
      <c r="U1475" s="24"/>
      <c r="V1475" s="24"/>
      <c r="W1475" s="24"/>
      <c r="X1475" s="24"/>
      <c r="Y1475" s="24"/>
      <c r="Z1475" s="24"/>
      <c r="AA1475" s="24"/>
      <c r="AB1475" s="24"/>
      <c r="AC1475" s="24"/>
      <c r="AD1475" s="24"/>
      <c r="AE1475" s="24"/>
    </row>
    <row r="1476" spans="1:31" s="1" customFormat="1" x14ac:dyDescent="0.25">
      <c r="A1476" s="21"/>
      <c r="B1476" s="22"/>
      <c r="C1476" s="22"/>
      <c r="D1476" s="65"/>
      <c r="E1476" s="24"/>
      <c r="F1476" s="24"/>
      <c r="G1476" s="24"/>
      <c r="H1476" s="24"/>
      <c r="I1476" s="24"/>
      <c r="J1476" s="24"/>
      <c r="K1476" s="24"/>
      <c r="L1476" s="24"/>
      <c r="M1476" s="24"/>
      <c r="N1476" s="24"/>
      <c r="O1476" s="41"/>
      <c r="P1476" s="24"/>
      <c r="Q1476" s="24"/>
      <c r="R1476" s="24"/>
      <c r="S1476" s="24"/>
      <c r="T1476" s="24"/>
      <c r="U1476" s="24"/>
      <c r="V1476" s="24"/>
      <c r="W1476" s="24"/>
      <c r="X1476" s="24"/>
      <c r="Y1476" s="24"/>
      <c r="Z1476" s="24"/>
      <c r="AA1476" s="24"/>
      <c r="AB1476" s="24"/>
      <c r="AC1476" s="24"/>
      <c r="AD1476" s="24"/>
      <c r="AE1476" s="24"/>
    </row>
    <row r="1477" spans="1:31" s="1" customFormat="1" x14ac:dyDescent="0.25">
      <c r="A1477" s="21"/>
      <c r="B1477" s="22"/>
      <c r="C1477" s="22"/>
      <c r="D1477" s="65"/>
      <c r="E1477" s="24"/>
      <c r="F1477" s="24"/>
      <c r="G1477" s="24"/>
      <c r="H1477" s="24"/>
      <c r="I1477" s="24"/>
      <c r="J1477" s="24"/>
      <c r="K1477" s="24"/>
      <c r="L1477" s="24"/>
      <c r="M1477" s="24"/>
      <c r="N1477" s="24"/>
      <c r="O1477" s="41"/>
      <c r="P1477" s="24"/>
      <c r="Q1477" s="24"/>
      <c r="R1477" s="24"/>
      <c r="S1477" s="24"/>
      <c r="T1477" s="24"/>
      <c r="U1477" s="24"/>
      <c r="V1477" s="24"/>
      <c r="W1477" s="24"/>
      <c r="X1477" s="24"/>
      <c r="Y1477" s="24"/>
      <c r="Z1477" s="24"/>
      <c r="AA1477" s="24"/>
      <c r="AB1477" s="24"/>
      <c r="AC1477" s="24"/>
      <c r="AD1477" s="24"/>
      <c r="AE1477" s="24"/>
    </row>
    <row r="1478" spans="1:31" s="1" customFormat="1" ht="25.5" x14ac:dyDescent="0.25">
      <c r="A1478" s="25"/>
      <c r="B1478" s="26" t="s">
        <v>1552</v>
      </c>
      <c r="C1478" s="26"/>
      <c r="D1478" s="64" t="s">
        <v>1553</v>
      </c>
      <c r="E1478" s="28"/>
      <c r="F1478" s="28"/>
      <c r="G1478" s="28"/>
      <c r="H1478" s="28"/>
      <c r="I1478" s="28"/>
      <c r="J1478" s="28"/>
      <c r="K1478" s="28"/>
      <c r="L1478" s="28"/>
      <c r="M1478" s="28">
        <f>SUM(M1479:M1481)</f>
        <v>0</v>
      </c>
      <c r="N1478" s="28"/>
      <c r="O1478" s="40">
        <f t="shared" ref="O1478:AC1478" si="549">SUM(O1479:O1481)</f>
        <v>0</v>
      </c>
      <c r="P1478" s="28">
        <f t="shared" si="549"/>
        <v>0</v>
      </c>
      <c r="Q1478" s="28">
        <f t="shared" si="549"/>
        <v>0</v>
      </c>
      <c r="R1478" s="28">
        <f t="shared" si="549"/>
        <v>0</v>
      </c>
      <c r="S1478" s="28">
        <f t="shared" si="549"/>
        <v>0</v>
      </c>
      <c r="T1478" s="28"/>
      <c r="U1478" s="28">
        <f t="shared" si="549"/>
        <v>0</v>
      </c>
      <c r="V1478" s="28"/>
      <c r="W1478" s="28">
        <f t="shared" si="549"/>
        <v>0</v>
      </c>
      <c r="X1478" s="28"/>
      <c r="Y1478" s="28">
        <f t="shared" si="549"/>
        <v>0</v>
      </c>
      <c r="Z1478" s="28">
        <f t="shared" si="549"/>
        <v>0</v>
      </c>
      <c r="AA1478" s="28"/>
      <c r="AB1478" s="28">
        <f t="shared" si="549"/>
        <v>0</v>
      </c>
      <c r="AC1478" s="28">
        <f t="shared" si="549"/>
        <v>0</v>
      </c>
      <c r="AD1478" s="28"/>
      <c r="AE1478" s="28"/>
    </row>
    <row r="1479" spans="1:31" s="1" customFormat="1" x14ac:dyDescent="0.25">
      <c r="A1479" s="21"/>
      <c r="B1479" s="22"/>
      <c r="C1479" s="22"/>
      <c r="D1479" s="65"/>
      <c r="E1479" s="24"/>
      <c r="F1479" s="24"/>
      <c r="G1479" s="24"/>
      <c r="H1479" s="24"/>
      <c r="I1479" s="24"/>
      <c r="J1479" s="24"/>
      <c r="K1479" s="24"/>
      <c r="L1479" s="24"/>
      <c r="M1479" s="24"/>
      <c r="N1479" s="24"/>
      <c r="O1479" s="41">
        <f>AB1019</f>
        <v>0</v>
      </c>
      <c r="P1479" s="24"/>
      <c r="Q1479" s="24"/>
      <c r="R1479" s="24"/>
      <c r="S1479" s="24"/>
      <c r="T1479" s="24"/>
      <c r="U1479" s="24"/>
      <c r="V1479" s="24"/>
      <c r="W1479" s="24"/>
      <c r="X1479" s="24"/>
      <c r="Y1479" s="24"/>
      <c r="Z1479" s="24"/>
      <c r="AA1479" s="24"/>
      <c r="AB1479" s="24"/>
      <c r="AC1479" s="24"/>
      <c r="AD1479" s="24"/>
      <c r="AE1479" s="24"/>
    </row>
    <row r="1480" spans="1:31" s="1" customFormat="1" x14ac:dyDescent="0.25">
      <c r="A1480" s="21"/>
      <c r="B1480" s="22"/>
      <c r="C1480" s="22"/>
      <c r="D1480" s="65"/>
      <c r="E1480" s="24"/>
      <c r="F1480" s="24"/>
      <c r="G1480" s="24"/>
      <c r="H1480" s="24"/>
      <c r="I1480" s="24"/>
      <c r="J1480" s="24"/>
      <c r="K1480" s="24"/>
      <c r="L1480" s="24"/>
      <c r="M1480" s="24"/>
      <c r="N1480" s="24"/>
      <c r="O1480" s="41"/>
      <c r="P1480" s="24"/>
      <c r="Q1480" s="24"/>
      <c r="R1480" s="24"/>
      <c r="S1480" s="24"/>
      <c r="T1480" s="24"/>
      <c r="U1480" s="24"/>
      <c r="V1480" s="24"/>
      <c r="W1480" s="24"/>
      <c r="X1480" s="24"/>
      <c r="Y1480" s="24"/>
      <c r="Z1480" s="24"/>
      <c r="AA1480" s="24"/>
      <c r="AB1480" s="24"/>
      <c r="AC1480" s="24"/>
      <c r="AD1480" s="24"/>
      <c r="AE1480" s="24"/>
    </row>
    <row r="1481" spans="1:31" s="1" customFormat="1" x14ac:dyDescent="0.25">
      <c r="A1481" s="21"/>
      <c r="B1481" s="22"/>
      <c r="C1481" s="22"/>
      <c r="D1481" s="65"/>
      <c r="E1481" s="24"/>
      <c r="F1481" s="24"/>
      <c r="G1481" s="24"/>
      <c r="H1481" s="24"/>
      <c r="I1481" s="24"/>
      <c r="J1481" s="24"/>
      <c r="K1481" s="24"/>
      <c r="L1481" s="24"/>
      <c r="M1481" s="24"/>
      <c r="N1481" s="24"/>
      <c r="O1481" s="41"/>
      <c r="P1481" s="24"/>
      <c r="Q1481" s="24"/>
      <c r="R1481" s="24"/>
      <c r="S1481" s="24"/>
      <c r="T1481" s="24"/>
      <c r="U1481" s="24"/>
      <c r="V1481" s="24"/>
      <c r="W1481" s="24"/>
      <c r="X1481" s="24"/>
      <c r="Y1481" s="24"/>
      <c r="Z1481" s="24"/>
      <c r="AA1481" s="24"/>
      <c r="AB1481" s="24"/>
      <c r="AC1481" s="24"/>
      <c r="AD1481" s="24"/>
      <c r="AE1481" s="24"/>
    </row>
    <row r="1482" spans="1:31" s="1" customFormat="1" ht="38.25" x14ac:dyDescent="0.25">
      <c r="A1482" s="25"/>
      <c r="B1482" s="26" t="s">
        <v>1554</v>
      </c>
      <c r="C1482" s="26"/>
      <c r="D1482" s="64" t="s">
        <v>1555</v>
      </c>
      <c r="E1482" s="28"/>
      <c r="F1482" s="28"/>
      <c r="G1482" s="28"/>
      <c r="H1482" s="28"/>
      <c r="I1482" s="28"/>
      <c r="J1482" s="28"/>
      <c r="K1482" s="28"/>
      <c r="L1482" s="28"/>
      <c r="M1482" s="28">
        <f>SUM(M1483:M1485)</f>
        <v>0</v>
      </c>
      <c r="N1482" s="28"/>
      <c r="O1482" s="40">
        <f t="shared" ref="O1482:AC1482" si="550">SUM(O1483:O1485)</f>
        <v>0</v>
      </c>
      <c r="P1482" s="28">
        <f t="shared" si="550"/>
        <v>0</v>
      </c>
      <c r="Q1482" s="28">
        <f t="shared" si="550"/>
        <v>0</v>
      </c>
      <c r="R1482" s="28">
        <f t="shared" si="550"/>
        <v>0</v>
      </c>
      <c r="S1482" s="28">
        <f t="shared" si="550"/>
        <v>0</v>
      </c>
      <c r="T1482" s="28"/>
      <c r="U1482" s="28">
        <f t="shared" si="550"/>
        <v>0</v>
      </c>
      <c r="V1482" s="28"/>
      <c r="W1482" s="28">
        <f t="shared" si="550"/>
        <v>0</v>
      </c>
      <c r="X1482" s="28"/>
      <c r="Y1482" s="28">
        <f t="shared" si="550"/>
        <v>0</v>
      </c>
      <c r="Z1482" s="28">
        <f t="shared" si="550"/>
        <v>0</v>
      </c>
      <c r="AA1482" s="28"/>
      <c r="AB1482" s="28">
        <f t="shared" si="550"/>
        <v>0</v>
      </c>
      <c r="AC1482" s="28">
        <f t="shared" si="550"/>
        <v>0</v>
      </c>
      <c r="AD1482" s="28"/>
      <c r="AE1482" s="28"/>
    </row>
    <row r="1483" spans="1:31" s="1" customFormat="1" x14ac:dyDescent="0.25">
      <c r="A1483" s="21"/>
      <c r="B1483" s="22"/>
      <c r="C1483" s="22"/>
      <c r="D1483" s="65"/>
      <c r="E1483" s="24"/>
      <c r="F1483" s="24"/>
      <c r="G1483" s="24"/>
      <c r="H1483" s="24"/>
      <c r="I1483" s="24"/>
      <c r="J1483" s="24"/>
      <c r="K1483" s="24"/>
      <c r="L1483" s="24"/>
      <c r="M1483" s="24"/>
      <c r="N1483" s="24"/>
      <c r="O1483" s="41">
        <f>AB1024</f>
        <v>0</v>
      </c>
      <c r="P1483" s="24"/>
      <c r="Q1483" s="24"/>
      <c r="R1483" s="24"/>
      <c r="S1483" s="24"/>
      <c r="T1483" s="24"/>
      <c r="U1483" s="24"/>
      <c r="V1483" s="24"/>
      <c r="W1483" s="24"/>
      <c r="X1483" s="24"/>
      <c r="Y1483" s="24"/>
      <c r="Z1483" s="24"/>
      <c r="AA1483" s="24"/>
      <c r="AB1483" s="24"/>
      <c r="AC1483" s="24"/>
      <c r="AD1483" s="24"/>
      <c r="AE1483" s="24"/>
    </row>
    <row r="1484" spans="1:31" s="1" customFormat="1" x14ac:dyDescent="0.25">
      <c r="A1484" s="21"/>
      <c r="B1484" s="22"/>
      <c r="C1484" s="22"/>
      <c r="D1484" s="65"/>
      <c r="E1484" s="24"/>
      <c r="F1484" s="24"/>
      <c r="G1484" s="24"/>
      <c r="H1484" s="24"/>
      <c r="I1484" s="24"/>
      <c r="J1484" s="24"/>
      <c r="K1484" s="24"/>
      <c r="L1484" s="24"/>
      <c r="M1484" s="24"/>
      <c r="N1484" s="24"/>
      <c r="O1484" s="41"/>
      <c r="P1484" s="24"/>
      <c r="Q1484" s="24"/>
      <c r="R1484" s="24"/>
      <c r="S1484" s="24"/>
      <c r="T1484" s="24"/>
      <c r="U1484" s="24"/>
      <c r="V1484" s="24"/>
      <c r="W1484" s="24"/>
      <c r="X1484" s="24"/>
      <c r="Y1484" s="24"/>
      <c r="Z1484" s="24"/>
      <c r="AA1484" s="24"/>
      <c r="AB1484" s="24"/>
      <c r="AC1484" s="24"/>
      <c r="AD1484" s="24"/>
      <c r="AE1484" s="24"/>
    </row>
    <row r="1485" spans="1:31" s="1" customFormat="1" x14ac:dyDescent="0.25">
      <c r="A1485" s="21"/>
      <c r="B1485" s="22"/>
      <c r="C1485" s="22"/>
      <c r="D1485" s="65"/>
      <c r="E1485" s="24"/>
      <c r="F1485" s="24"/>
      <c r="G1485" s="24"/>
      <c r="H1485" s="24"/>
      <c r="I1485" s="24"/>
      <c r="J1485" s="24"/>
      <c r="K1485" s="24"/>
      <c r="L1485" s="24"/>
      <c r="M1485" s="24"/>
      <c r="N1485" s="24"/>
      <c r="O1485" s="41"/>
      <c r="P1485" s="24"/>
      <c r="Q1485" s="24"/>
      <c r="R1485" s="24"/>
      <c r="S1485" s="24"/>
      <c r="T1485" s="24"/>
      <c r="U1485" s="24"/>
      <c r="V1485" s="24"/>
      <c r="W1485" s="24"/>
      <c r="X1485" s="24"/>
      <c r="Y1485" s="24"/>
      <c r="Z1485" s="24"/>
      <c r="AA1485" s="24"/>
      <c r="AB1485" s="24"/>
      <c r="AC1485" s="24"/>
      <c r="AD1485" s="24"/>
      <c r="AE1485" s="24"/>
    </row>
    <row r="1486" spans="1:31" s="1" customFormat="1" ht="25.5" x14ac:dyDescent="0.25">
      <c r="A1486" s="25"/>
      <c r="B1486" s="26" t="s">
        <v>1556</v>
      </c>
      <c r="C1486" s="26"/>
      <c r="D1486" s="64" t="s">
        <v>1557</v>
      </c>
      <c r="E1486" s="28"/>
      <c r="F1486" s="28"/>
      <c r="G1486" s="28"/>
      <c r="H1486" s="28"/>
      <c r="I1486" s="28"/>
      <c r="J1486" s="28"/>
      <c r="K1486" s="28"/>
      <c r="L1486" s="28"/>
      <c r="M1486" s="28">
        <f>SUM(M1487:M1489)</f>
        <v>0</v>
      </c>
      <c r="N1486" s="28"/>
      <c r="O1486" s="40">
        <f t="shared" ref="O1486:AC1486" si="551">SUM(O1487:O1489)</f>
        <v>0</v>
      </c>
      <c r="P1486" s="28">
        <f t="shared" si="551"/>
        <v>0</v>
      </c>
      <c r="Q1486" s="28">
        <f t="shared" si="551"/>
        <v>0</v>
      </c>
      <c r="R1486" s="28">
        <f t="shared" si="551"/>
        <v>0</v>
      </c>
      <c r="S1486" s="28">
        <f t="shared" si="551"/>
        <v>0</v>
      </c>
      <c r="T1486" s="28"/>
      <c r="U1486" s="28">
        <f t="shared" si="551"/>
        <v>0</v>
      </c>
      <c r="V1486" s="28"/>
      <c r="W1486" s="28">
        <f t="shared" si="551"/>
        <v>0</v>
      </c>
      <c r="X1486" s="28"/>
      <c r="Y1486" s="28">
        <f t="shared" si="551"/>
        <v>0</v>
      </c>
      <c r="Z1486" s="28">
        <f t="shared" si="551"/>
        <v>0</v>
      </c>
      <c r="AA1486" s="28"/>
      <c r="AB1486" s="28">
        <f t="shared" si="551"/>
        <v>0</v>
      </c>
      <c r="AC1486" s="28">
        <f t="shared" si="551"/>
        <v>0</v>
      </c>
      <c r="AD1486" s="28"/>
      <c r="AE1486" s="28"/>
    </row>
    <row r="1487" spans="1:31" s="1" customFormat="1" x14ac:dyDescent="0.25">
      <c r="A1487" s="21"/>
      <c r="B1487" s="22"/>
      <c r="C1487" s="22"/>
      <c r="D1487" s="65"/>
      <c r="E1487" s="24"/>
      <c r="F1487" s="24"/>
      <c r="G1487" s="24"/>
      <c r="H1487" s="24"/>
      <c r="I1487" s="24"/>
      <c r="J1487" s="24"/>
      <c r="K1487" s="24"/>
      <c r="L1487" s="24"/>
      <c r="M1487" s="24"/>
      <c r="N1487" s="24"/>
      <c r="O1487" s="41">
        <f>AB1033</f>
        <v>0</v>
      </c>
      <c r="P1487" s="24"/>
      <c r="Q1487" s="24"/>
      <c r="R1487" s="24"/>
      <c r="S1487" s="24"/>
      <c r="T1487" s="24"/>
      <c r="U1487" s="24"/>
      <c r="V1487" s="24"/>
      <c r="W1487" s="24"/>
      <c r="X1487" s="24"/>
      <c r="Y1487" s="24"/>
      <c r="Z1487" s="24"/>
      <c r="AA1487" s="24"/>
      <c r="AB1487" s="24"/>
      <c r="AC1487" s="24"/>
      <c r="AD1487" s="24"/>
      <c r="AE1487" s="24"/>
    </row>
    <row r="1488" spans="1:31" s="1" customFormat="1" x14ac:dyDescent="0.25">
      <c r="A1488" s="21"/>
      <c r="B1488" s="22"/>
      <c r="C1488" s="22"/>
      <c r="D1488" s="65"/>
      <c r="E1488" s="24"/>
      <c r="F1488" s="24"/>
      <c r="G1488" s="24"/>
      <c r="H1488" s="24"/>
      <c r="I1488" s="24"/>
      <c r="J1488" s="24"/>
      <c r="K1488" s="24"/>
      <c r="L1488" s="24"/>
      <c r="M1488" s="24"/>
      <c r="N1488" s="24"/>
      <c r="O1488" s="41"/>
      <c r="P1488" s="24"/>
      <c r="Q1488" s="24"/>
      <c r="R1488" s="24"/>
      <c r="S1488" s="24"/>
      <c r="T1488" s="24"/>
      <c r="U1488" s="24"/>
      <c r="V1488" s="24"/>
      <c r="W1488" s="24"/>
      <c r="X1488" s="24"/>
      <c r="Y1488" s="24"/>
      <c r="Z1488" s="24"/>
      <c r="AA1488" s="24"/>
      <c r="AB1488" s="24"/>
      <c r="AC1488" s="24"/>
      <c r="AD1488" s="24"/>
      <c r="AE1488" s="24"/>
    </row>
    <row r="1489" spans="1:31" s="1" customFormat="1" x14ac:dyDescent="0.25">
      <c r="A1489" s="21"/>
      <c r="B1489" s="22"/>
      <c r="C1489" s="22"/>
      <c r="D1489" s="65"/>
      <c r="E1489" s="24"/>
      <c r="F1489" s="24"/>
      <c r="G1489" s="24"/>
      <c r="H1489" s="24"/>
      <c r="I1489" s="24"/>
      <c r="J1489" s="24"/>
      <c r="K1489" s="24"/>
      <c r="L1489" s="24"/>
      <c r="M1489" s="24"/>
      <c r="N1489" s="24"/>
      <c r="O1489" s="41"/>
      <c r="P1489" s="24"/>
      <c r="Q1489" s="24"/>
      <c r="R1489" s="24"/>
      <c r="S1489" s="24"/>
      <c r="T1489" s="24"/>
      <c r="U1489" s="24"/>
      <c r="V1489" s="24"/>
      <c r="W1489" s="24"/>
      <c r="X1489" s="24"/>
      <c r="Y1489" s="24"/>
      <c r="Z1489" s="24"/>
      <c r="AA1489" s="24"/>
      <c r="AB1489" s="24"/>
      <c r="AC1489" s="24"/>
      <c r="AD1489" s="24"/>
      <c r="AE1489" s="24"/>
    </row>
    <row r="1490" spans="1:31" s="1" customFormat="1" ht="25.5" x14ac:dyDescent="0.25">
      <c r="A1490" s="25"/>
      <c r="B1490" s="26" t="s">
        <v>1558</v>
      </c>
      <c r="C1490" s="26"/>
      <c r="D1490" s="64" t="s">
        <v>1559</v>
      </c>
      <c r="E1490" s="28"/>
      <c r="F1490" s="28"/>
      <c r="G1490" s="28"/>
      <c r="H1490" s="28"/>
      <c r="I1490" s="28"/>
      <c r="J1490" s="28"/>
      <c r="K1490" s="28"/>
      <c r="L1490" s="28"/>
      <c r="M1490" s="28">
        <f>SUM(M1491:M1493)</f>
        <v>0</v>
      </c>
      <c r="N1490" s="28"/>
      <c r="O1490" s="40">
        <f t="shared" ref="O1490:AC1490" si="552">SUM(O1491:O1493)</f>
        <v>0</v>
      </c>
      <c r="P1490" s="28">
        <f t="shared" si="552"/>
        <v>0</v>
      </c>
      <c r="Q1490" s="28">
        <f t="shared" si="552"/>
        <v>0</v>
      </c>
      <c r="R1490" s="28">
        <f t="shared" si="552"/>
        <v>0</v>
      </c>
      <c r="S1490" s="28">
        <f t="shared" si="552"/>
        <v>0</v>
      </c>
      <c r="T1490" s="28"/>
      <c r="U1490" s="28">
        <f t="shared" si="552"/>
        <v>0</v>
      </c>
      <c r="V1490" s="28"/>
      <c r="W1490" s="28">
        <f t="shared" si="552"/>
        <v>0</v>
      </c>
      <c r="X1490" s="28"/>
      <c r="Y1490" s="28">
        <f t="shared" si="552"/>
        <v>0</v>
      </c>
      <c r="Z1490" s="28">
        <f t="shared" si="552"/>
        <v>0</v>
      </c>
      <c r="AA1490" s="28"/>
      <c r="AB1490" s="28">
        <f t="shared" si="552"/>
        <v>0</v>
      </c>
      <c r="AC1490" s="28">
        <f t="shared" si="552"/>
        <v>0</v>
      </c>
      <c r="AD1490" s="28"/>
      <c r="AE1490" s="28"/>
    </row>
    <row r="1491" spans="1:31" s="1" customFormat="1" x14ac:dyDescent="0.25">
      <c r="A1491" s="21"/>
      <c r="B1491" s="22"/>
      <c r="C1491" s="22"/>
      <c r="D1491" s="65"/>
      <c r="E1491" s="24"/>
      <c r="F1491" s="24"/>
      <c r="G1491" s="24"/>
      <c r="H1491" s="24"/>
      <c r="I1491" s="24"/>
      <c r="J1491" s="24"/>
      <c r="K1491" s="24"/>
      <c r="L1491" s="24"/>
      <c r="M1491" s="24"/>
      <c r="N1491" s="24"/>
      <c r="O1491" s="41">
        <f>AB1040</f>
        <v>0</v>
      </c>
      <c r="P1491" s="24"/>
      <c r="Q1491" s="24"/>
      <c r="R1491" s="24"/>
      <c r="S1491" s="24"/>
      <c r="T1491" s="24"/>
      <c r="U1491" s="24"/>
      <c r="V1491" s="24"/>
      <c r="W1491" s="24"/>
      <c r="X1491" s="24"/>
      <c r="Y1491" s="24"/>
      <c r="Z1491" s="24"/>
      <c r="AA1491" s="24"/>
      <c r="AB1491" s="24"/>
      <c r="AC1491" s="24"/>
      <c r="AD1491" s="24"/>
      <c r="AE1491" s="24"/>
    </row>
    <row r="1492" spans="1:31" s="1" customFormat="1" x14ac:dyDescent="0.25">
      <c r="A1492" s="21"/>
      <c r="B1492" s="22"/>
      <c r="C1492" s="22"/>
      <c r="D1492" s="65"/>
      <c r="E1492" s="24"/>
      <c r="F1492" s="24"/>
      <c r="G1492" s="24"/>
      <c r="H1492" s="24"/>
      <c r="I1492" s="24"/>
      <c r="J1492" s="24"/>
      <c r="K1492" s="24"/>
      <c r="L1492" s="24"/>
      <c r="M1492" s="24"/>
      <c r="N1492" s="24"/>
      <c r="O1492" s="41"/>
      <c r="P1492" s="24"/>
      <c r="Q1492" s="24"/>
      <c r="R1492" s="24"/>
      <c r="S1492" s="24"/>
      <c r="T1492" s="24"/>
      <c r="U1492" s="24"/>
      <c r="V1492" s="24"/>
      <c r="W1492" s="24"/>
      <c r="X1492" s="24"/>
      <c r="Y1492" s="24"/>
      <c r="Z1492" s="24"/>
      <c r="AA1492" s="24"/>
      <c r="AB1492" s="24"/>
      <c r="AC1492" s="24"/>
      <c r="AD1492" s="24"/>
      <c r="AE1492" s="24"/>
    </row>
    <row r="1493" spans="1:31" s="1" customFormat="1" x14ac:dyDescent="0.25">
      <c r="A1493" s="21"/>
      <c r="B1493" s="22"/>
      <c r="C1493" s="22"/>
      <c r="D1493" s="65"/>
      <c r="E1493" s="24"/>
      <c r="F1493" s="24"/>
      <c r="G1493" s="24"/>
      <c r="H1493" s="24"/>
      <c r="I1493" s="24"/>
      <c r="J1493" s="24"/>
      <c r="K1493" s="24"/>
      <c r="L1493" s="24"/>
      <c r="M1493" s="24"/>
      <c r="N1493" s="24"/>
      <c r="O1493" s="41"/>
      <c r="P1493" s="24"/>
      <c r="Q1493" s="24"/>
      <c r="R1493" s="24"/>
      <c r="S1493" s="24"/>
      <c r="T1493" s="24"/>
      <c r="U1493" s="24"/>
      <c r="V1493" s="24"/>
      <c r="W1493" s="24"/>
      <c r="X1493" s="24"/>
      <c r="Y1493" s="24"/>
      <c r="Z1493" s="24"/>
      <c r="AA1493" s="24"/>
      <c r="AB1493" s="24"/>
      <c r="AC1493" s="24"/>
      <c r="AD1493" s="24"/>
      <c r="AE1493" s="24"/>
    </row>
    <row r="1494" spans="1:31" s="1" customFormat="1" ht="25.5" x14ac:dyDescent="0.25">
      <c r="A1494" s="25"/>
      <c r="B1494" s="26" t="s">
        <v>1560</v>
      </c>
      <c r="C1494" s="26"/>
      <c r="D1494" s="64" t="s">
        <v>1561</v>
      </c>
      <c r="E1494" s="28"/>
      <c r="F1494" s="28"/>
      <c r="G1494" s="28"/>
      <c r="H1494" s="28"/>
      <c r="I1494" s="28"/>
      <c r="J1494" s="28"/>
      <c r="K1494" s="28"/>
      <c r="L1494" s="28"/>
      <c r="M1494" s="28">
        <f>SUM(M1495:M1497)</f>
        <v>0</v>
      </c>
      <c r="N1494" s="28"/>
      <c r="O1494" s="40">
        <f t="shared" ref="O1494:AC1494" si="553">SUM(O1495:O1497)</f>
        <v>0</v>
      </c>
      <c r="P1494" s="28">
        <f t="shared" si="553"/>
        <v>0</v>
      </c>
      <c r="Q1494" s="28">
        <f t="shared" si="553"/>
        <v>0</v>
      </c>
      <c r="R1494" s="28">
        <f t="shared" si="553"/>
        <v>0</v>
      </c>
      <c r="S1494" s="28">
        <f t="shared" si="553"/>
        <v>0</v>
      </c>
      <c r="T1494" s="28"/>
      <c r="U1494" s="28">
        <f t="shared" si="553"/>
        <v>0</v>
      </c>
      <c r="V1494" s="28"/>
      <c r="W1494" s="28">
        <f t="shared" si="553"/>
        <v>0</v>
      </c>
      <c r="X1494" s="28"/>
      <c r="Y1494" s="28">
        <f t="shared" si="553"/>
        <v>0</v>
      </c>
      <c r="Z1494" s="28">
        <f t="shared" si="553"/>
        <v>0</v>
      </c>
      <c r="AA1494" s="28"/>
      <c r="AB1494" s="28">
        <f t="shared" si="553"/>
        <v>0</v>
      </c>
      <c r="AC1494" s="28">
        <f t="shared" si="553"/>
        <v>0</v>
      </c>
      <c r="AD1494" s="28"/>
      <c r="AE1494" s="28"/>
    </row>
    <row r="1495" spans="1:31" s="1" customFormat="1" x14ac:dyDescent="0.25">
      <c r="A1495" s="21"/>
      <c r="B1495" s="22"/>
      <c r="C1495" s="22"/>
      <c r="D1495" s="65"/>
      <c r="E1495" s="24"/>
      <c r="F1495" s="24"/>
      <c r="G1495" s="24"/>
      <c r="H1495" s="24"/>
      <c r="I1495" s="24"/>
      <c r="J1495" s="24"/>
      <c r="K1495" s="24"/>
      <c r="L1495" s="24"/>
      <c r="M1495" s="24"/>
      <c r="N1495" s="24"/>
      <c r="O1495" s="41">
        <f>AB1049</f>
        <v>0</v>
      </c>
      <c r="P1495" s="24"/>
      <c r="Q1495" s="24"/>
      <c r="R1495" s="24"/>
      <c r="S1495" s="24"/>
      <c r="T1495" s="24"/>
      <c r="U1495" s="24"/>
      <c r="V1495" s="24"/>
      <c r="W1495" s="24"/>
      <c r="X1495" s="24"/>
      <c r="Y1495" s="24"/>
      <c r="Z1495" s="24"/>
      <c r="AA1495" s="24"/>
      <c r="AB1495" s="24"/>
      <c r="AC1495" s="24"/>
      <c r="AD1495" s="24"/>
      <c r="AE1495" s="24"/>
    </row>
    <row r="1496" spans="1:31" s="1" customFormat="1" x14ac:dyDescent="0.25">
      <c r="A1496" s="21"/>
      <c r="B1496" s="22"/>
      <c r="C1496" s="22"/>
      <c r="D1496" s="65"/>
      <c r="E1496" s="24"/>
      <c r="F1496" s="24"/>
      <c r="G1496" s="24"/>
      <c r="H1496" s="24"/>
      <c r="I1496" s="24"/>
      <c r="J1496" s="24"/>
      <c r="K1496" s="24"/>
      <c r="L1496" s="24"/>
      <c r="M1496" s="24"/>
      <c r="N1496" s="24"/>
      <c r="O1496" s="41"/>
      <c r="P1496" s="24"/>
      <c r="Q1496" s="24"/>
      <c r="R1496" s="24"/>
      <c r="S1496" s="24"/>
      <c r="T1496" s="24"/>
      <c r="U1496" s="24"/>
      <c r="V1496" s="24"/>
      <c r="W1496" s="24"/>
      <c r="X1496" s="24"/>
      <c r="Y1496" s="24"/>
      <c r="Z1496" s="24"/>
      <c r="AA1496" s="24"/>
      <c r="AB1496" s="24"/>
      <c r="AC1496" s="24"/>
      <c r="AD1496" s="24"/>
      <c r="AE1496" s="24"/>
    </row>
    <row r="1497" spans="1:31" s="1" customFormat="1" x14ac:dyDescent="0.25">
      <c r="A1497" s="21"/>
      <c r="B1497" s="22"/>
      <c r="C1497" s="22"/>
      <c r="D1497" s="65"/>
      <c r="E1497" s="24"/>
      <c r="F1497" s="24"/>
      <c r="G1497" s="24"/>
      <c r="H1497" s="24"/>
      <c r="I1497" s="24"/>
      <c r="J1497" s="24"/>
      <c r="K1497" s="24"/>
      <c r="L1497" s="24"/>
      <c r="M1497" s="24"/>
      <c r="N1497" s="24"/>
      <c r="O1497" s="41"/>
      <c r="P1497" s="24"/>
      <c r="Q1497" s="24"/>
      <c r="R1497" s="24"/>
      <c r="S1497" s="24"/>
      <c r="T1497" s="24"/>
      <c r="U1497" s="24"/>
      <c r="V1497" s="24"/>
      <c r="W1497" s="24"/>
      <c r="X1497" s="24"/>
      <c r="Y1497" s="24"/>
      <c r="Z1497" s="24"/>
      <c r="AA1497" s="24"/>
      <c r="AB1497" s="24"/>
      <c r="AC1497" s="24"/>
      <c r="AD1497" s="24"/>
      <c r="AE1497" s="24"/>
    </row>
    <row r="1498" spans="1:31" s="1" customFormat="1" ht="25.5" x14ac:dyDescent="0.25">
      <c r="A1498" s="25"/>
      <c r="B1498" s="26" t="s">
        <v>1562</v>
      </c>
      <c r="C1498" s="26"/>
      <c r="D1498" s="64" t="s">
        <v>1563</v>
      </c>
      <c r="E1498" s="28"/>
      <c r="F1498" s="28"/>
      <c r="G1498" s="28"/>
      <c r="H1498" s="28"/>
      <c r="I1498" s="28"/>
      <c r="J1498" s="28"/>
      <c r="K1498" s="28"/>
      <c r="L1498" s="28"/>
      <c r="M1498" s="28">
        <f>SUM(M1499:M1501)</f>
        <v>0</v>
      </c>
      <c r="N1498" s="28"/>
      <c r="O1498" s="40">
        <f t="shared" ref="O1498:AC1498" si="554">SUM(O1499:O1501)</f>
        <v>0</v>
      </c>
      <c r="P1498" s="28">
        <f t="shared" si="554"/>
        <v>0</v>
      </c>
      <c r="Q1498" s="28">
        <f t="shared" si="554"/>
        <v>0</v>
      </c>
      <c r="R1498" s="28">
        <f t="shared" si="554"/>
        <v>0</v>
      </c>
      <c r="S1498" s="28">
        <f t="shared" si="554"/>
        <v>0</v>
      </c>
      <c r="T1498" s="28"/>
      <c r="U1498" s="28">
        <f t="shared" si="554"/>
        <v>0</v>
      </c>
      <c r="V1498" s="28"/>
      <c r="W1498" s="28">
        <f t="shared" si="554"/>
        <v>0</v>
      </c>
      <c r="X1498" s="28"/>
      <c r="Y1498" s="28">
        <f t="shared" si="554"/>
        <v>0</v>
      </c>
      <c r="Z1498" s="28">
        <f t="shared" si="554"/>
        <v>0</v>
      </c>
      <c r="AA1498" s="28"/>
      <c r="AB1498" s="28">
        <f t="shared" si="554"/>
        <v>0</v>
      </c>
      <c r="AC1498" s="28">
        <f t="shared" si="554"/>
        <v>0</v>
      </c>
      <c r="AD1498" s="28"/>
      <c r="AE1498" s="28"/>
    </row>
    <row r="1499" spans="1:31" s="1" customFormat="1" x14ac:dyDescent="0.25">
      <c r="A1499" s="21"/>
      <c r="B1499" s="22"/>
      <c r="C1499" s="22"/>
      <c r="D1499" s="65"/>
      <c r="E1499" s="24"/>
      <c r="F1499" s="24"/>
      <c r="G1499" s="24"/>
      <c r="H1499" s="24"/>
      <c r="I1499" s="24"/>
      <c r="J1499" s="24"/>
      <c r="K1499" s="24"/>
      <c r="L1499" s="24"/>
      <c r="M1499" s="24"/>
      <c r="N1499" s="24"/>
      <c r="O1499" s="41">
        <f>AB1052</f>
        <v>0</v>
      </c>
      <c r="P1499" s="24"/>
      <c r="Q1499" s="24"/>
      <c r="R1499" s="24"/>
      <c r="S1499" s="24"/>
      <c r="T1499" s="24"/>
      <c r="U1499" s="24"/>
      <c r="V1499" s="24"/>
      <c r="W1499" s="24"/>
      <c r="X1499" s="24"/>
      <c r="Y1499" s="24"/>
      <c r="Z1499" s="24"/>
      <c r="AA1499" s="24"/>
      <c r="AB1499" s="24"/>
      <c r="AC1499" s="24"/>
      <c r="AD1499" s="24"/>
      <c r="AE1499" s="24"/>
    </row>
    <row r="1500" spans="1:31" s="1" customFormat="1" x14ac:dyDescent="0.25">
      <c r="A1500" s="21"/>
      <c r="B1500" s="22"/>
      <c r="C1500" s="22"/>
      <c r="D1500" s="65"/>
      <c r="E1500" s="24"/>
      <c r="F1500" s="24"/>
      <c r="G1500" s="24"/>
      <c r="H1500" s="24"/>
      <c r="I1500" s="24"/>
      <c r="J1500" s="24"/>
      <c r="K1500" s="24"/>
      <c r="L1500" s="24"/>
      <c r="M1500" s="24"/>
      <c r="N1500" s="24"/>
      <c r="O1500" s="41"/>
      <c r="P1500" s="24"/>
      <c r="Q1500" s="24"/>
      <c r="R1500" s="24"/>
      <c r="S1500" s="24"/>
      <c r="T1500" s="24"/>
      <c r="U1500" s="24"/>
      <c r="V1500" s="24"/>
      <c r="W1500" s="24"/>
      <c r="X1500" s="24"/>
      <c r="Y1500" s="24"/>
      <c r="Z1500" s="24"/>
      <c r="AA1500" s="24"/>
      <c r="AB1500" s="24"/>
      <c r="AC1500" s="24"/>
      <c r="AD1500" s="24"/>
      <c r="AE1500" s="24"/>
    </row>
    <row r="1501" spans="1:31" s="1" customFormat="1" x14ac:dyDescent="0.25">
      <c r="A1501" s="21"/>
      <c r="B1501" s="22"/>
      <c r="C1501" s="22"/>
      <c r="D1501" s="65"/>
      <c r="E1501" s="24"/>
      <c r="F1501" s="24"/>
      <c r="G1501" s="24"/>
      <c r="H1501" s="24"/>
      <c r="I1501" s="24"/>
      <c r="J1501" s="24"/>
      <c r="K1501" s="24"/>
      <c r="L1501" s="24"/>
      <c r="M1501" s="24"/>
      <c r="N1501" s="24"/>
      <c r="O1501" s="41"/>
      <c r="P1501" s="24"/>
      <c r="Q1501" s="24"/>
      <c r="R1501" s="24"/>
      <c r="S1501" s="24"/>
      <c r="T1501" s="24"/>
      <c r="U1501" s="24"/>
      <c r="V1501" s="24"/>
      <c r="W1501" s="24"/>
      <c r="X1501" s="24"/>
      <c r="Y1501" s="24"/>
      <c r="Z1501" s="24"/>
      <c r="AA1501" s="24"/>
      <c r="AB1501" s="24"/>
      <c r="AC1501" s="24"/>
      <c r="AD1501" s="24"/>
      <c r="AE1501" s="24"/>
    </row>
    <row r="1502" spans="1:31" s="1" customFormat="1" ht="25.5" x14ac:dyDescent="0.25">
      <c r="A1502" s="25"/>
      <c r="B1502" s="26" t="s">
        <v>1564</v>
      </c>
      <c r="C1502" s="26"/>
      <c r="D1502" s="64" t="s">
        <v>1565</v>
      </c>
      <c r="E1502" s="28"/>
      <c r="F1502" s="28"/>
      <c r="G1502" s="28"/>
      <c r="H1502" s="28"/>
      <c r="I1502" s="28"/>
      <c r="J1502" s="28"/>
      <c r="K1502" s="28"/>
      <c r="L1502" s="28"/>
      <c r="M1502" s="28">
        <f>SUM(M1503:M1505)</f>
        <v>0</v>
      </c>
      <c r="N1502" s="28"/>
      <c r="O1502" s="40">
        <f t="shared" ref="O1502:AC1502" si="555">SUM(O1503:O1505)</f>
        <v>0</v>
      </c>
      <c r="P1502" s="28">
        <f t="shared" si="555"/>
        <v>0</v>
      </c>
      <c r="Q1502" s="28">
        <f t="shared" si="555"/>
        <v>0</v>
      </c>
      <c r="R1502" s="28">
        <f t="shared" si="555"/>
        <v>0</v>
      </c>
      <c r="S1502" s="28">
        <f t="shared" si="555"/>
        <v>0</v>
      </c>
      <c r="T1502" s="28"/>
      <c r="U1502" s="28">
        <f t="shared" si="555"/>
        <v>0</v>
      </c>
      <c r="V1502" s="28"/>
      <c r="W1502" s="28">
        <f t="shared" si="555"/>
        <v>0</v>
      </c>
      <c r="X1502" s="28"/>
      <c r="Y1502" s="28">
        <f t="shared" si="555"/>
        <v>0</v>
      </c>
      <c r="Z1502" s="28">
        <f t="shared" si="555"/>
        <v>0</v>
      </c>
      <c r="AA1502" s="28"/>
      <c r="AB1502" s="28">
        <f t="shared" si="555"/>
        <v>0</v>
      </c>
      <c r="AC1502" s="28">
        <f t="shared" si="555"/>
        <v>0</v>
      </c>
      <c r="AD1502" s="28"/>
      <c r="AE1502" s="28"/>
    </row>
    <row r="1503" spans="1:31" s="1" customFormat="1" x14ac:dyDescent="0.25">
      <c r="A1503" s="21"/>
      <c r="B1503" s="22"/>
      <c r="C1503" s="22"/>
      <c r="D1503" s="65"/>
      <c r="E1503" s="24"/>
      <c r="F1503" s="24"/>
      <c r="G1503" s="24"/>
      <c r="H1503" s="24"/>
      <c r="I1503" s="24"/>
      <c r="J1503" s="24"/>
      <c r="K1503" s="24"/>
      <c r="L1503" s="24"/>
      <c r="M1503" s="24"/>
      <c r="N1503" s="24"/>
      <c r="O1503" s="41">
        <f>AB1055</f>
        <v>0</v>
      </c>
      <c r="P1503" s="24"/>
      <c r="Q1503" s="24"/>
      <c r="R1503" s="24"/>
      <c r="S1503" s="24"/>
      <c r="T1503" s="24"/>
      <c r="U1503" s="24"/>
      <c r="V1503" s="24"/>
      <c r="W1503" s="24"/>
      <c r="X1503" s="24"/>
      <c r="Y1503" s="24"/>
      <c r="Z1503" s="24"/>
      <c r="AA1503" s="24"/>
      <c r="AB1503" s="24"/>
      <c r="AC1503" s="24"/>
      <c r="AD1503" s="24"/>
      <c r="AE1503" s="24"/>
    </row>
    <row r="1504" spans="1:31" s="1" customFormat="1" x14ac:dyDescent="0.25">
      <c r="A1504" s="21"/>
      <c r="B1504" s="22"/>
      <c r="C1504" s="22"/>
      <c r="D1504" s="65"/>
      <c r="E1504" s="24"/>
      <c r="F1504" s="24"/>
      <c r="G1504" s="24"/>
      <c r="H1504" s="24"/>
      <c r="I1504" s="24"/>
      <c r="J1504" s="24"/>
      <c r="K1504" s="24"/>
      <c r="L1504" s="24"/>
      <c r="M1504" s="24"/>
      <c r="N1504" s="24"/>
      <c r="O1504" s="41"/>
      <c r="P1504" s="24"/>
      <c r="Q1504" s="24"/>
      <c r="R1504" s="24"/>
      <c r="S1504" s="24"/>
      <c r="T1504" s="24"/>
      <c r="U1504" s="24"/>
      <c r="V1504" s="24"/>
      <c r="W1504" s="24"/>
      <c r="X1504" s="24"/>
      <c r="Y1504" s="24"/>
      <c r="Z1504" s="24"/>
      <c r="AA1504" s="24"/>
      <c r="AB1504" s="24"/>
      <c r="AC1504" s="24"/>
      <c r="AD1504" s="24"/>
      <c r="AE1504" s="24"/>
    </row>
    <row r="1505" spans="1:31" s="1" customFormat="1" x14ac:dyDescent="0.25">
      <c r="A1505" s="21"/>
      <c r="B1505" s="22"/>
      <c r="C1505" s="22"/>
      <c r="D1505" s="65"/>
      <c r="E1505" s="24"/>
      <c r="F1505" s="24"/>
      <c r="G1505" s="24"/>
      <c r="H1505" s="24"/>
      <c r="I1505" s="24"/>
      <c r="J1505" s="24"/>
      <c r="K1505" s="24"/>
      <c r="L1505" s="24"/>
      <c r="M1505" s="24"/>
      <c r="N1505" s="24"/>
      <c r="O1505" s="41"/>
      <c r="P1505" s="24"/>
      <c r="Q1505" s="24"/>
      <c r="R1505" s="24"/>
      <c r="S1505" s="24"/>
      <c r="T1505" s="24"/>
      <c r="U1505" s="24"/>
      <c r="V1505" s="24"/>
      <c r="W1505" s="24"/>
      <c r="X1505" s="24"/>
      <c r="Y1505" s="24"/>
      <c r="Z1505" s="24"/>
      <c r="AA1505" s="24"/>
      <c r="AB1505" s="24"/>
      <c r="AC1505" s="24"/>
      <c r="AD1505" s="24"/>
      <c r="AE1505" s="24"/>
    </row>
    <row r="1506" spans="1:31" s="1" customFormat="1" ht="25.5" x14ac:dyDescent="0.25">
      <c r="A1506" s="25"/>
      <c r="B1506" s="26" t="s">
        <v>1566</v>
      </c>
      <c r="C1506" s="26"/>
      <c r="D1506" s="64" t="s">
        <v>1567</v>
      </c>
      <c r="E1506" s="28"/>
      <c r="F1506" s="28"/>
      <c r="G1506" s="28"/>
      <c r="H1506" s="28"/>
      <c r="I1506" s="28"/>
      <c r="J1506" s="28"/>
      <c r="K1506" s="28"/>
      <c r="L1506" s="28"/>
      <c r="M1506" s="28">
        <f>SUM(M1507:M1509)</f>
        <v>0</v>
      </c>
      <c r="N1506" s="28"/>
      <c r="O1506" s="40">
        <f t="shared" ref="O1506:AC1506" si="556">SUM(O1507:O1509)</f>
        <v>44077875</v>
      </c>
      <c r="P1506" s="28">
        <f t="shared" si="556"/>
        <v>0</v>
      </c>
      <c r="Q1506" s="28">
        <f t="shared" si="556"/>
        <v>0</v>
      </c>
      <c r="R1506" s="28">
        <f t="shared" si="556"/>
        <v>0</v>
      </c>
      <c r="S1506" s="28">
        <f t="shared" si="556"/>
        <v>0</v>
      </c>
      <c r="T1506" s="28"/>
      <c r="U1506" s="28">
        <f t="shared" si="556"/>
        <v>0</v>
      </c>
      <c r="V1506" s="28"/>
      <c r="W1506" s="28">
        <f t="shared" si="556"/>
        <v>0</v>
      </c>
      <c r="X1506" s="28"/>
      <c r="Y1506" s="28">
        <f t="shared" si="556"/>
        <v>0</v>
      </c>
      <c r="Z1506" s="28">
        <f t="shared" si="556"/>
        <v>0</v>
      </c>
      <c r="AA1506" s="28"/>
      <c r="AB1506" s="28">
        <f t="shared" si="556"/>
        <v>0</v>
      </c>
      <c r="AC1506" s="28">
        <f t="shared" si="556"/>
        <v>0</v>
      </c>
      <c r="AD1506" s="28"/>
      <c r="AE1506" s="28"/>
    </row>
    <row r="1507" spans="1:31" s="1" customFormat="1" x14ac:dyDescent="0.25">
      <c r="A1507" s="21"/>
      <c r="B1507" s="22"/>
      <c r="C1507" s="22"/>
      <c r="D1507" s="65"/>
      <c r="E1507" s="24"/>
      <c r="F1507" s="24"/>
      <c r="G1507" s="24"/>
      <c r="H1507" s="24"/>
      <c r="I1507" s="24"/>
      <c r="J1507" s="24"/>
      <c r="K1507" s="24"/>
      <c r="L1507" s="24"/>
      <c r="M1507" s="24"/>
      <c r="N1507" s="24"/>
      <c r="O1507" s="41">
        <f>AB1062</f>
        <v>44077875</v>
      </c>
      <c r="P1507" s="24"/>
      <c r="Q1507" s="24"/>
      <c r="R1507" s="24"/>
      <c r="S1507" s="24"/>
      <c r="T1507" s="24"/>
      <c r="U1507" s="24"/>
      <c r="V1507" s="24"/>
      <c r="W1507" s="24"/>
      <c r="X1507" s="24"/>
      <c r="Y1507" s="24"/>
      <c r="Z1507" s="24"/>
      <c r="AA1507" s="24"/>
      <c r="AB1507" s="24"/>
      <c r="AC1507" s="24"/>
      <c r="AD1507" s="24"/>
      <c r="AE1507" s="24"/>
    </row>
    <row r="1508" spans="1:31" s="1" customFormat="1" x14ac:dyDescent="0.25">
      <c r="A1508" s="21"/>
      <c r="B1508" s="22"/>
      <c r="C1508" s="22"/>
      <c r="D1508" s="65"/>
      <c r="E1508" s="24"/>
      <c r="F1508" s="24"/>
      <c r="G1508" s="24"/>
      <c r="H1508" s="24"/>
      <c r="I1508" s="24"/>
      <c r="J1508" s="24"/>
      <c r="K1508" s="24"/>
      <c r="L1508" s="24"/>
      <c r="M1508" s="24"/>
      <c r="N1508" s="24"/>
      <c r="O1508" s="24"/>
      <c r="P1508" s="24"/>
      <c r="Q1508" s="24"/>
      <c r="R1508" s="24"/>
      <c r="S1508" s="24"/>
      <c r="T1508" s="24"/>
      <c r="U1508" s="24"/>
      <c r="V1508" s="24"/>
      <c r="W1508" s="24"/>
      <c r="X1508" s="24"/>
      <c r="Y1508" s="24"/>
      <c r="Z1508" s="24"/>
      <c r="AA1508" s="24"/>
      <c r="AB1508" s="24"/>
      <c r="AC1508" s="24"/>
      <c r="AD1508" s="24"/>
      <c r="AE1508" s="24"/>
    </row>
    <row r="1509" spans="1:31" s="1" customFormat="1" x14ac:dyDescent="0.25">
      <c r="A1509" s="21"/>
      <c r="B1509" s="22"/>
      <c r="C1509" s="22"/>
      <c r="D1509" s="65"/>
      <c r="E1509" s="24"/>
      <c r="F1509" s="24"/>
      <c r="G1509" s="24"/>
      <c r="H1509" s="24"/>
      <c r="I1509" s="24"/>
      <c r="J1509" s="24"/>
      <c r="K1509" s="24"/>
      <c r="L1509" s="24"/>
      <c r="M1509" s="24"/>
      <c r="N1509" s="24"/>
      <c r="O1509" s="24"/>
      <c r="P1509" s="24"/>
      <c r="Q1509" s="24"/>
      <c r="R1509" s="24"/>
      <c r="S1509" s="24"/>
      <c r="T1509" s="24"/>
      <c r="U1509" s="24"/>
      <c r="V1509" s="24"/>
      <c r="W1509" s="24"/>
      <c r="X1509" s="24"/>
      <c r="Y1509" s="24"/>
      <c r="Z1509" s="24"/>
      <c r="AA1509" s="24"/>
      <c r="AB1509" s="24"/>
      <c r="AC1509" s="24"/>
      <c r="AD1509" s="24"/>
      <c r="AE1509" s="24"/>
    </row>
    <row r="1510" spans="1:31" s="1" customFormat="1" ht="25.5" x14ac:dyDescent="0.25">
      <c r="A1510" s="17"/>
      <c r="B1510" s="18" t="s">
        <v>1568</v>
      </c>
      <c r="C1510" s="18"/>
      <c r="D1510" s="84" t="s">
        <v>1569</v>
      </c>
      <c r="E1510" s="20"/>
      <c r="F1510" s="20"/>
      <c r="G1510" s="20"/>
      <c r="H1510" s="20"/>
      <c r="I1510" s="20"/>
      <c r="J1510" s="20"/>
      <c r="K1510" s="20"/>
      <c r="L1510" s="20"/>
      <c r="M1510" s="20">
        <f>M1511+M1515+M1519+M1523</f>
        <v>0</v>
      </c>
      <c r="N1510" s="20"/>
      <c r="O1510" s="37">
        <f t="shared" ref="O1510:AC1510" si="557">O1511+O1515+O1519+O1523</f>
        <v>9238029323.7714939</v>
      </c>
      <c r="P1510" s="20">
        <f t="shared" si="557"/>
        <v>0</v>
      </c>
      <c r="Q1510" s="20">
        <f t="shared" si="557"/>
        <v>0</v>
      </c>
      <c r="R1510" s="20">
        <f t="shared" si="557"/>
        <v>0</v>
      </c>
      <c r="S1510" s="20">
        <f t="shared" si="557"/>
        <v>0</v>
      </c>
      <c r="T1510" s="20"/>
      <c r="U1510" s="20">
        <f t="shared" si="557"/>
        <v>0</v>
      </c>
      <c r="V1510" s="20"/>
      <c r="W1510" s="20">
        <f t="shared" si="557"/>
        <v>0</v>
      </c>
      <c r="X1510" s="20"/>
      <c r="Y1510" s="20">
        <f t="shared" si="557"/>
        <v>0</v>
      </c>
      <c r="Z1510" s="20">
        <f t="shared" si="557"/>
        <v>0</v>
      </c>
      <c r="AA1510" s="20"/>
      <c r="AB1510" s="20">
        <f t="shared" si="557"/>
        <v>0</v>
      </c>
      <c r="AC1510" s="20">
        <f t="shared" si="557"/>
        <v>0</v>
      </c>
      <c r="AD1510" s="20"/>
      <c r="AE1510" s="20"/>
    </row>
    <row r="1511" spans="1:31" s="1" customFormat="1" ht="25.5" x14ac:dyDescent="0.25">
      <c r="A1511" s="25"/>
      <c r="B1511" s="26" t="s">
        <v>1570</v>
      </c>
      <c r="C1511" s="26"/>
      <c r="D1511" s="64" t="s">
        <v>1571</v>
      </c>
      <c r="E1511" s="28"/>
      <c r="F1511" s="28"/>
      <c r="G1511" s="28"/>
      <c r="H1511" s="28"/>
      <c r="I1511" s="28"/>
      <c r="J1511" s="28"/>
      <c r="K1511" s="28"/>
      <c r="L1511" s="28"/>
      <c r="M1511" s="28">
        <f>SUM(M1512:M1514)</f>
        <v>0</v>
      </c>
      <c r="N1511" s="28"/>
      <c r="O1511" s="40">
        <f t="shared" ref="O1511:AC1511" si="558">SUM(O1512:O1514)</f>
        <v>9218877323.7714939</v>
      </c>
      <c r="P1511" s="28">
        <f t="shared" si="558"/>
        <v>0</v>
      </c>
      <c r="Q1511" s="28">
        <f t="shared" si="558"/>
        <v>0</v>
      </c>
      <c r="R1511" s="28">
        <f t="shared" si="558"/>
        <v>0</v>
      </c>
      <c r="S1511" s="28">
        <f t="shared" si="558"/>
        <v>0</v>
      </c>
      <c r="T1511" s="28"/>
      <c r="U1511" s="28">
        <f t="shared" si="558"/>
        <v>0</v>
      </c>
      <c r="V1511" s="28"/>
      <c r="W1511" s="28">
        <f t="shared" si="558"/>
        <v>0</v>
      </c>
      <c r="X1511" s="28"/>
      <c r="Y1511" s="28">
        <f t="shared" si="558"/>
        <v>0</v>
      </c>
      <c r="Z1511" s="28">
        <f t="shared" si="558"/>
        <v>0</v>
      </c>
      <c r="AA1511" s="28"/>
      <c r="AB1511" s="28">
        <f t="shared" si="558"/>
        <v>0</v>
      </c>
      <c r="AC1511" s="28">
        <f t="shared" si="558"/>
        <v>0</v>
      </c>
      <c r="AD1511" s="28"/>
      <c r="AE1511" s="28"/>
    </row>
    <row r="1512" spans="1:31" s="1" customFormat="1" x14ac:dyDescent="0.25">
      <c r="A1512" s="21"/>
      <c r="B1512" s="22"/>
      <c r="C1512" s="22"/>
      <c r="D1512" s="65"/>
      <c r="E1512" s="24"/>
      <c r="F1512" s="24"/>
      <c r="G1512" s="24"/>
      <c r="H1512" s="24"/>
      <c r="I1512" s="24"/>
      <c r="J1512" s="24"/>
      <c r="K1512" s="24"/>
      <c r="L1512" s="24"/>
      <c r="M1512" s="24"/>
      <c r="N1512" s="24"/>
      <c r="O1512" s="41">
        <f>AB1071</f>
        <v>9218877323.7714939</v>
      </c>
      <c r="P1512" s="24"/>
      <c r="Q1512" s="24"/>
      <c r="R1512" s="24"/>
      <c r="S1512" s="24"/>
      <c r="T1512" s="24"/>
      <c r="U1512" s="24"/>
      <c r="V1512" s="24"/>
      <c r="W1512" s="24"/>
      <c r="X1512" s="24"/>
      <c r="Y1512" s="24"/>
      <c r="Z1512" s="24"/>
      <c r="AA1512" s="24"/>
      <c r="AB1512" s="24"/>
      <c r="AC1512" s="24"/>
      <c r="AD1512" s="24"/>
      <c r="AE1512" s="24"/>
    </row>
    <row r="1513" spans="1:31" s="1" customFormat="1" x14ac:dyDescent="0.25">
      <c r="A1513" s="21"/>
      <c r="B1513" s="22"/>
      <c r="C1513" s="22"/>
      <c r="D1513" s="65"/>
      <c r="E1513" s="24"/>
      <c r="F1513" s="24"/>
      <c r="G1513" s="24"/>
      <c r="H1513" s="24"/>
      <c r="I1513" s="24"/>
      <c r="J1513" s="24"/>
      <c r="K1513" s="24"/>
      <c r="L1513" s="24"/>
      <c r="M1513" s="24"/>
      <c r="N1513" s="24"/>
      <c r="O1513" s="41"/>
      <c r="P1513" s="24"/>
      <c r="Q1513" s="24"/>
      <c r="R1513" s="24"/>
      <c r="S1513" s="24"/>
      <c r="T1513" s="24"/>
      <c r="U1513" s="24"/>
      <c r="V1513" s="24"/>
      <c r="W1513" s="24"/>
      <c r="X1513" s="24"/>
      <c r="Y1513" s="24"/>
      <c r="Z1513" s="24"/>
      <c r="AA1513" s="24"/>
      <c r="AB1513" s="24"/>
      <c r="AC1513" s="24"/>
      <c r="AD1513" s="24"/>
      <c r="AE1513" s="24"/>
    </row>
    <row r="1514" spans="1:31" s="1" customFormat="1" x14ac:dyDescent="0.25">
      <c r="A1514" s="21"/>
      <c r="B1514" s="22"/>
      <c r="C1514" s="22"/>
      <c r="D1514" s="65"/>
      <c r="E1514" s="24"/>
      <c r="F1514" s="24"/>
      <c r="G1514" s="24"/>
      <c r="H1514" s="24"/>
      <c r="I1514" s="24"/>
      <c r="J1514" s="24"/>
      <c r="K1514" s="24"/>
      <c r="L1514" s="24"/>
      <c r="M1514" s="24"/>
      <c r="N1514" s="24"/>
      <c r="O1514" s="41"/>
      <c r="P1514" s="24"/>
      <c r="Q1514" s="24"/>
      <c r="R1514" s="24"/>
      <c r="S1514" s="24"/>
      <c r="T1514" s="24"/>
      <c r="U1514" s="24"/>
      <c r="V1514" s="24"/>
      <c r="W1514" s="24"/>
      <c r="X1514" s="24"/>
      <c r="Y1514" s="24"/>
      <c r="Z1514" s="24"/>
      <c r="AA1514" s="24"/>
      <c r="AB1514" s="24"/>
      <c r="AC1514" s="24"/>
      <c r="AD1514" s="24"/>
      <c r="AE1514" s="24"/>
    </row>
    <row r="1515" spans="1:31" s="1" customFormat="1" ht="25.5" x14ac:dyDescent="0.25">
      <c r="A1515" s="25"/>
      <c r="B1515" s="26" t="s">
        <v>1572</v>
      </c>
      <c r="C1515" s="26"/>
      <c r="D1515" s="64" t="s">
        <v>1573</v>
      </c>
      <c r="E1515" s="28"/>
      <c r="F1515" s="28"/>
      <c r="G1515" s="28"/>
      <c r="H1515" s="28"/>
      <c r="I1515" s="28"/>
      <c r="J1515" s="28"/>
      <c r="K1515" s="28"/>
      <c r="L1515" s="28"/>
      <c r="M1515" s="28">
        <f>SUM(M1516:M1518)</f>
        <v>0</v>
      </c>
      <c r="N1515" s="28"/>
      <c r="O1515" s="40">
        <f t="shared" ref="O1515:AC1515" si="559">SUM(O1516:O1518)</f>
        <v>0</v>
      </c>
      <c r="P1515" s="28">
        <f t="shared" si="559"/>
        <v>0</v>
      </c>
      <c r="Q1515" s="28">
        <f t="shared" si="559"/>
        <v>0</v>
      </c>
      <c r="R1515" s="28">
        <f t="shared" si="559"/>
        <v>0</v>
      </c>
      <c r="S1515" s="28">
        <f t="shared" si="559"/>
        <v>0</v>
      </c>
      <c r="T1515" s="28"/>
      <c r="U1515" s="28">
        <f t="shared" si="559"/>
        <v>0</v>
      </c>
      <c r="V1515" s="28"/>
      <c r="W1515" s="28">
        <f t="shared" si="559"/>
        <v>0</v>
      </c>
      <c r="X1515" s="28"/>
      <c r="Y1515" s="28">
        <f t="shared" si="559"/>
        <v>0</v>
      </c>
      <c r="Z1515" s="28">
        <f t="shared" si="559"/>
        <v>0</v>
      </c>
      <c r="AA1515" s="28"/>
      <c r="AB1515" s="28">
        <f t="shared" si="559"/>
        <v>0</v>
      </c>
      <c r="AC1515" s="28">
        <f t="shared" si="559"/>
        <v>0</v>
      </c>
      <c r="AD1515" s="28"/>
      <c r="AE1515" s="28"/>
    </row>
    <row r="1516" spans="1:31" s="1" customFormat="1" x14ac:dyDescent="0.25">
      <c r="A1516" s="21"/>
      <c r="B1516" s="22"/>
      <c r="C1516" s="22"/>
      <c r="D1516" s="85"/>
      <c r="E1516" s="24"/>
      <c r="F1516" s="24"/>
      <c r="G1516" s="24"/>
      <c r="H1516" s="24"/>
      <c r="I1516" s="24"/>
      <c r="J1516" s="24"/>
      <c r="K1516" s="24"/>
      <c r="L1516" s="24"/>
      <c r="M1516" s="24"/>
      <c r="N1516" s="24"/>
      <c r="O1516" s="41">
        <f>AB1188</f>
        <v>0</v>
      </c>
      <c r="P1516" s="24"/>
      <c r="Q1516" s="24"/>
      <c r="R1516" s="24"/>
      <c r="S1516" s="24"/>
      <c r="T1516" s="24"/>
      <c r="U1516" s="24"/>
      <c r="V1516" s="24"/>
      <c r="W1516" s="24"/>
      <c r="X1516" s="24"/>
      <c r="Y1516" s="24"/>
      <c r="Z1516" s="24"/>
      <c r="AA1516" s="24"/>
      <c r="AB1516" s="24"/>
      <c r="AC1516" s="24"/>
      <c r="AD1516" s="24"/>
      <c r="AE1516" s="24"/>
    </row>
    <row r="1517" spans="1:31" s="1" customFormat="1" x14ac:dyDescent="0.25">
      <c r="A1517" s="21"/>
      <c r="B1517" s="22"/>
      <c r="C1517" s="22"/>
      <c r="D1517" s="85"/>
      <c r="E1517" s="24"/>
      <c r="F1517" s="24"/>
      <c r="G1517" s="24"/>
      <c r="H1517" s="24"/>
      <c r="I1517" s="24"/>
      <c r="J1517" s="24"/>
      <c r="K1517" s="24"/>
      <c r="L1517" s="24"/>
      <c r="M1517" s="24"/>
      <c r="N1517" s="24"/>
      <c r="O1517" s="41"/>
      <c r="P1517" s="24"/>
      <c r="Q1517" s="24"/>
      <c r="R1517" s="24"/>
      <c r="S1517" s="24"/>
      <c r="T1517" s="24"/>
      <c r="U1517" s="24"/>
      <c r="V1517" s="24"/>
      <c r="W1517" s="24"/>
      <c r="X1517" s="24"/>
      <c r="Y1517" s="24"/>
      <c r="Z1517" s="24"/>
      <c r="AA1517" s="24"/>
      <c r="AB1517" s="24"/>
      <c r="AC1517" s="24"/>
      <c r="AD1517" s="24"/>
      <c r="AE1517" s="24"/>
    </row>
    <row r="1518" spans="1:31" s="1" customFormat="1" x14ac:dyDescent="0.25">
      <c r="A1518" s="21"/>
      <c r="B1518" s="22"/>
      <c r="C1518" s="22"/>
      <c r="D1518" s="85"/>
      <c r="E1518" s="24"/>
      <c r="F1518" s="24"/>
      <c r="G1518" s="24"/>
      <c r="H1518" s="24"/>
      <c r="I1518" s="24"/>
      <c r="J1518" s="24"/>
      <c r="K1518" s="24"/>
      <c r="L1518" s="24"/>
      <c r="M1518" s="24"/>
      <c r="N1518" s="24"/>
      <c r="O1518" s="41"/>
      <c r="P1518" s="24"/>
      <c r="Q1518" s="24"/>
      <c r="R1518" s="24"/>
      <c r="S1518" s="24"/>
      <c r="T1518" s="24"/>
      <c r="U1518" s="24"/>
      <c r="V1518" s="24"/>
      <c r="W1518" s="24"/>
      <c r="X1518" s="24"/>
      <c r="Y1518" s="24"/>
      <c r="Z1518" s="24"/>
      <c r="AA1518" s="24"/>
      <c r="AB1518" s="24"/>
      <c r="AC1518" s="24"/>
      <c r="AD1518" s="24"/>
      <c r="AE1518" s="24"/>
    </row>
    <row r="1519" spans="1:31" s="1" customFormat="1" ht="25.5" x14ac:dyDescent="0.25">
      <c r="A1519" s="25"/>
      <c r="B1519" s="26" t="s">
        <v>1574</v>
      </c>
      <c r="C1519" s="26"/>
      <c r="D1519" s="64" t="s">
        <v>1575</v>
      </c>
      <c r="E1519" s="28"/>
      <c r="F1519" s="28"/>
      <c r="G1519" s="28"/>
      <c r="H1519" s="28"/>
      <c r="I1519" s="28"/>
      <c r="J1519" s="28"/>
      <c r="K1519" s="28"/>
      <c r="L1519" s="28"/>
      <c r="M1519" s="28">
        <f>SUM(M1520:M1522)</f>
        <v>0</v>
      </c>
      <c r="N1519" s="28"/>
      <c r="O1519" s="40">
        <f t="shared" ref="O1519:AC1519" si="560">SUM(O1520:O1522)</f>
        <v>19152000</v>
      </c>
      <c r="P1519" s="28">
        <f t="shared" si="560"/>
        <v>0</v>
      </c>
      <c r="Q1519" s="28">
        <f t="shared" si="560"/>
        <v>0</v>
      </c>
      <c r="R1519" s="28">
        <f t="shared" si="560"/>
        <v>0</v>
      </c>
      <c r="S1519" s="28">
        <f t="shared" si="560"/>
        <v>0</v>
      </c>
      <c r="T1519" s="28"/>
      <c r="U1519" s="28">
        <f t="shared" si="560"/>
        <v>0</v>
      </c>
      <c r="V1519" s="28"/>
      <c r="W1519" s="28">
        <f t="shared" si="560"/>
        <v>0</v>
      </c>
      <c r="X1519" s="28"/>
      <c r="Y1519" s="28">
        <f t="shared" si="560"/>
        <v>0</v>
      </c>
      <c r="Z1519" s="28">
        <f t="shared" si="560"/>
        <v>0</v>
      </c>
      <c r="AA1519" s="28"/>
      <c r="AB1519" s="28">
        <f t="shared" si="560"/>
        <v>0</v>
      </c>
      <c r="AC1519" s="28">
        <f t="shared" si="560"/>
        <v>0</v>
      </c>
      <c r="AD1519" s="28"/>
      <c r="AE1519" s="28"/>
    </row>
    <row r="1520" spans="1:31" s="1" customFormat="1" x14ac:dyDescent="0.25">
      <c r="A1520" s="21"/>
      <c r="B1520" s="22"/>
      <c r="C1520" s="22"/>
      <c r="D1520" s="65"/>
      <c r="E1520" s="24"/>
      <c r="F1520" s="24"/>
      <c r="G1520" s="24"/>
      <c r="H1520" s="24"/>
      <c r="I1520" s="24"/>
      <c r="J1520" s="24"/>
      <c r="K1520" s="24"/>
      <c r="L1520" s="24"/>
      <c r="M1520" s="24"/>
      <c r="N1520" s="24"/>
      <c r="O1520" s="41">
        <f>AB1191</f>
        <v>19152000</v>
      </c>
      <c r="P1520" s="24"/>
      <c r="Q1520" s="24"/>
      <c r="R1520" s="24"/>
      <c r="S1520" s="24"/>
      <c r="T1520" s="24"/>
      <c r="U1520" s="24"/>
      <c r="V1520" s="24"/>
      <c r="W1520" s="24"/>
      <c r="X1520" s="24"/>
      <c r="Y1520" s="24"/>
      <c r="Z1520" s="24"/>
      <c r="AA1520" s="24"/>
      <c r="AB1520" s="24"/>
      <c r="AC1520" s="24"/>
      <c r="AD1520" s="24"/>
      <c r="AE1520" s="24"/>
    </row>
    <row r="1521" spans="1:31" s="1" customFormat="1" x14ac:dyDescent="0.25">
      <c r="A1521" s="21"/>
      <c r="B1521" s="22"/>
      <c r="C1521" s="22"/>
      <c r="D1521" s="65"/>
      <c r="E1521" s="24"/>
      <c r="F1521" s="24"/>
      <c r="G1521" s="24"/>
      <c r="H1521" s="24"/>
      <c r="I1521" s="24"/>
      <c r="J1521" s="24"/>
      <c r="K1521" s="24"/>
      <c r="L1521" s="24"/>
      <c r="M1521" s="24"/>
      <c r="N1521" s="24"/>
      <c r="O1521" s="41"/>
      <c r="P1521" s="24"/>
      <c r="Q1521" s="24"/>
      <c r="R1521" s="24"/>
      <c r="S1521" s="24"/>
      <c r="T1521" s="24"/>
      <c r="U1521" s="24"/>
      <c r="V1521" s="24"/>
      <c r="W1521" s="24"/>
      <c r="X1521" s="24"/>
      <c r="Y1521" s="24"/>
      <c r="Z1521" s="24"/>
      <c r="AA1521" s="24"/>
      <c r="AB1521" s="24"/>
      <c r="AC1521" s="24"/>
      <c r="AD1521" s="24"/>
      <c r="AE1521" s="24"/>
    </row>
    <row r="1522" spans="1:31" s="1" customFormat="1" x14ac:dyDescent="0.25">
      <c r="A1522" s="21"/>
      <c r="B1522" s="22"/>
      <c r="C1522" s="22"/>
      <c r="D1522" s="65"/>
      <c r="E1522" s="24"/>
      <c r="F1522" s="24"/>
      <c r="G1522" s="24"/>
      <c r="H1522" s="24"/>
      <c r="I1522" s="24"/>
      <c r="J1522" s="24"/>
      <c r="K1522" s="24"/>
      <c r="L1522" s="24"/>
      <c r="M1522" s="24"/>
      <c r="N1522" s="24"/>
      <c r="O1522" s="41"/>
      <c r="P1522" s="24"/>
      <c r="Q1522" s="24"/>
      <c r="R1522" s="24"/>
      <c r="S1522" s="24"/>
      <c r="T1522" s="24"/>
      <c r="U1522" s="24"/>
      <c r="V1522" s="24"/>
      <c r="W1522" s="24"/>
      <c r="X1522" s="24"/>
      <c r="Y1522" s="24"/>
      <c r="Z1522" s="24"/>
      <c r="AA1522" s="24"/>
      <c r="AB1522" s="24"/>
      <c r="AC1522" s="24"/>
      <c r="AD1522" s="24"/>
      <c r="AE1522" s="24"/>
    </row>
    <row r="1523" spans="1:31" s="1" customFormat="1" ht="25.5" x14ac:dyDescent="0.25">
      <c r="A1523" s="25"/>
      <c r="B1523" s="26" t="s">
        <v>1576</v>
      </c>
      <c r="C1523" s="26"/>
      <c r="D1523" s="64" t="s">
        <v>1577</v>
      </c>
      <c r="E1523" s="28"/>
      <c r="F1523" s="28"/>
      <c r="G1523" s="28"/>
      <c r="H1523" s="28"/>
      <c r="I1523" s="28"/>
      <c r="J1523" s="28"/>
      <c r="K1523" s="28"/>
      <c r="L1523" s="28"/>
      <c r="M1523" s="28">
        <f>SUM(M1524:M1526)</f>
        <v>0</v>
      </c>
      <c r="N1523" s="28"/>
      <c r="O1523" s="40">
        <f t="shared" ref="O1523:AC1523" si="561">SUM(O1524:O1526)</f>
        <v>0</v>
      </c>
      <c r="P1523" s="28">
        <f t="shared" si="561"/>
        <v>0</v>
      </c>
      <c r="Q1523" s="28">
        <f t="shared" si="561"/>
        <v>0</v>
      </c>
      <c r="R1523" s="28">
        <f t="shared" si="561"/>
        <v>0</v>
      </c>
      <c r="S1523" s="28">
        <f t="shared" si="561"/>
        <v>0</v>
      </c>
      <c r="T1523" s="28"/>
      <c r="U1523" s="28">
        <f t="shared" si="561"/>
        <v>0</v>
      </c>
      <c r="V1523" s="28"/>
      <c r="W1523" s="28">
        <f t="shared" si="561"/>
        <v>0</v>
      </c>
      <c r="X1523" s="28"/>
      <c r="Y1523" s="28">
        <f t="shared" si="561"/>
        <v>0</v>
      </c>
      <c r="Z1523" s="28">
        <f t="shared" si="561"/>
        <v>0</v>
      </c>
      <c r="AA1523" s="28"/>
      <c r="AB1523" s="28">
        <f t="shared" si="561"/>
        <v>0</v>
      </c>
      <c r="AC1523" s="28">
        <f t="shared" si="561"/>
        <v>0</v>
      </c>
      <c r="AD1523" s="28"/>
      <c r="AE1523" s="28"/>
    </row>
    <row r="1524" spans="1:31" s="1" customFormat="1" x14ac:dyDescent="0.25">
      <c r="A1524" s="21"/>
      <c r="B1524" s="22"/>
      <c r="C1524" s="22"/>
      <c r="D1524" s="65"/>
      <c r="E1524" s="24"/>
      <c r="F1524" s="24"/>
      <c r="G1524" s="24"/>
      <c r="H1524" s="24"/>
      <c r="I1524" s="24"/>
      <c r="J1524" s="24"/>
      <c r="K1524" s="24"/>
      <c r="L1524" s="24"/>
      <c r="M1524" s="24"/>
      <c r="N1524" s="24"/>
      <c r="O1524" s="41">
        <f>AB1195</f>
        <v>0</v>
      </c>
      <c r="P1524" s="24"/>
      <c r="Q1524" s="24"/>
      <c r="R1524" s="24"/>
      <c r="S1524" s="24"/>
      <c r="T1524" s="24"/>
      <c r="U1524" s="24"/>
      <c r="V1524" s="24"/>
      <c r="W1524" s="24"/>
      <c r="X1524" s="24"/>
      <c r="Y1524" s="24"/>
      <c r="Z1524" s="24"/>
      <c r="AA1524" s="24"/>
      <c r="AB1524" s="24"/>
      <c r="AC1524" s="24"/>
      <c r="AD1524" s="24"/>
      <c r="AE1524" s="24"/>
    </row>
    <row r="1525" spans="1:31" s="1" customFormat="1" x14ac:dyDescent="0.25">
      <c r="A1525" s="21"/>
      <c r="B1525" s="22"/>
      <c r="C1525" s="22"/>
      <c r="D1525" s="65"/>
      <c r="E1525" s="24"/>
      <c r="F1525" s="24"/>
      <c r="G1525" s="24"/>
      <c r="H1525" s="24"/>
      <c r="I1525" s="24"/>
      <c r="J1525" s="24"/>
      <c r="K1525" s="24"/>
      <c r="L1525" s="24"/>
      <c r="M1525" s="24"/>
      <c r="N1525" s="24"/>
      <c r="O1525" s="41"/>
      <c r="P1525" s="24"/>
      <c r="Q1525" s="24"/>
      <c r="R1525" s="24"/>
      <c r="S1525" s="24"/>
      <c r="T1525" s="24"/>
      <c r="U1525" s="24"/>
      <c r="V1525" s="24"/>
      <c r="W1525" s="24"/>
      <c r="X1525" s="24"/>
      <c r="Y1525" s="24"/>
      <c r="Z1525" s="24"/>
      <c r="AA1525" s="24"/>
      <c r="AB1525" s="24"/>
      <c r="AC1525" s="24"/>
      <c r="AD1525" s="24"/>
      <c r="AE1525" s="24"/>
    </row>
    <row r="1526" spans="1:31" s="1" customFormat="1" x14ac:dyDescent="0.25">
      <c r="A1526" s="21"/>
      <c r="B1526" s="22"/>
      <c r="C1526" s="22"/>
      <c r="D1526" s="65"/>
      <c r="E1526" s="24"/>
      <c r="F1526" s="24"/>
      <c r="G1526" s="24"/>
      <c r="H1526" s="24"/>
      <c r="I1526" s="24"/>
      <c r="J1526" s="24"/>
      <c r="K1526" s="24"/>
      <c r="L1526" s="24"/>
      <c r="M1526" s="24"/>
      <c r="N1526" s="24"/>
      <c r="O1526" s="41"/>
      <c r="P1526" s="24"/>
      <c r="Q1526" s="24"/>
      <c r="R1526" s="24"/>
      <c r="S1526" s="24"/>
      <c r="T1526" s="24"/>
      <c r="U1526" s="24"/>
      <c r="V1526" s="24"/>
      <c r="W1526" s="24"/>
      <c r="X1526" s="24"/>
      <c r="Y1526" s="24"/>
      <c r="Z1526" s="24"/>
      <c r="AA1526" s="24"/>
      <c r="AB1526" s="24"/>
      <c r="AC1526" s="24"/>
      <c r="AD1526" s="24"/>
      <c r="AE1526" s="24"/>
    </row>
    <row r="1527" spans="1:31" s="1" customFormat="1" ht="25.5" x14ac:dyDescent="0.25">
      <c r="A1527" s="17"/>
      <c r="B1527" s="18" t="s">
        <v>1578</v>
      </c>
      <c r="C1527" s="18"/>
      <c r="D1527" s="84" t="s">
        <v>1579</v>
      </c>
      <c r="E1527" s="20"/>
      <c r="F1527" s="20"/>
      <c r="G1527" s="20"/>
      <c r="H1527" s="20"/>
      <c r="I1527" s="20"/>
      <c r="J1527" s="20"/>
      <c r="K1527" s="20"/>
      <c r="L1527" s="20"/>
      <c r="M1527" s="20">
        <f>M1528+M1532+M1536+M1540</f>
        <v>0</v>
      </c>
      <c r="N1527" s="20"/>
      <c r="O1527" s="37">
        <f t="shared" ref="O1527:AC1527" si="562">O1528+O1532+O1536+O1540</f>
        <v>369947525.48739499</v>
      </c>
      <c r="P1527" s="20">
        <f t="shared" si="562"/>
        <v>0</v>
      </c>
      <c r="Q1527" s="20">
        <f t="shared" si="562"/>
        <v>0</v>
      </c>
      <c r="R1527" s="20">
        <f t="shared" si="562"/>
        <v>0</v>
      </c>
      <c r="S1527" s="20">
        <f t="shared" si="562"/>
        <v>0</v>
      </c>
      <c r="T1527" s="20"/>
      <c r="U1527" s="20">
        <f t="shared" si="562"/>
        <v>0</v>
      </c>
      <c r="V1527" s="20"/>
      <c r="W1527" s="20">
        <f t="shared" si="562"/>
        <v>0</v>
      </c>
      <c r="X1527" s="20"/>
      <c r="Y1527" s="20">
        <f t="shared" si="562"/>
        <v>0</v>
      </c>
      <c r="Z1527" s="20">
        <f t="shared" si="562"/>
        <v>0</v>
      </c>
      <c r="AA1527" s="20"/>
      <c r="AB1527" s="20">
        <f t="shared" si="562"/>
        <v>0</v>
      </c>
      <c r="AC1527" s="20">
        <f t="shared" si="562"/>
        <v>0</v>
      </c>
      <c r="AD1527" s="20"/>
      <c r="AE1527" s="20"/>
    </row>
    <row r="1528" spans="1:31" s="1" customFormat="1" ht="25.5" x14ac:dyDescent="0.25">
      <c r="A1528" s="25"/>
      <c r="B1528" s="26" t="s">
        <v>1580</v>
      </c>
      <c r="C1528" s="26"/>
      <c r="D1528" s="64" t="s">
        <v>1581</v>
      </c>
      <c r="E1528" s="28"/>
      <c r="F1528" s="28"/>
      <c r="G1528" s="28"/>
      <c r="H1528" s="28"/>
      <c r="I1528" s="28"/>
      <c r="J1528" s="28"/>
      <c r="K1528" s="28"/>
      <c r="L1528" s="28"/>
      <c r="M1528" s="28">
        <f>SUM(M1529:M1531)</f>
        <v>0</v>
      </c>
      <c r="N1528" s="28"/>
      <c r="O1528" s="40">
        <f t="shared" ref="O1528:AC1528" si="563">SUM(O1529:O1531)</f>
        <v>0</v>
      </c>
      <c r="P1528" s="28">
        <f t="shared" si="563"/>
        <v>0</v>
      </c>
      <c r="Q1528" s="28">
        <f t="shared" si="563"/>
        <v>0</v>
      </c>
      <c r="R1528" s="28">
        <f t="shared" si="563"/>
        <v>0</v>
      </c>
      <c r="S1528" s="28">
        <f t="shared" si="563"/>
        <v>0</v>
      </c>
      <c r="T1528" s="28"/>
      <c r="U1528" s="28">
        <f t="shared" si="563"/>
        <v>0</v>
      </c>
      <c r="V1528" s="28"/>
      <c r="W1528" s="28">
        <f t="shared" si="563"/>
        <v>0</v>
      </c>
      <c r="X1528" s="28"/>
      <c r="Y1528" s="28">
        <f t="shared" si="563"/>
        <v>0</v>
      </c>
      <c r="Z1528" s="28">
        <f t="shared" si="563"/>
        <v>0</v>
      </c>
      <c r="AA1528" s="28"/>
      <c r="AB1528" s="28">
        <f t="shared" si="563"/>
        <v>0</v>
      </c>
      <c r="AC1528" s="28">
        <f t="shared" si="563"/>
        <v>0</v>
      </c>
      <c r="AD1528" s="28"/>
      <c r="AE1528" s="28"/>
    </row>
    <row r="1529" spans="1:31" s="1" customFormat="1" x14ac:dyDescent="0.25">
      <c r="A1529" s="21"/>
      <c r="B1529" s="22"/>
      <c r="C1529" s="22"/>
      <c r="D1529" s="65"/>
      <c r="E1529" s="24"/>
      <c r="F1529" s="24"/>
      <c r="G1529" s="24"/>
      <c r="H1529" s="24"/>
      <c r="I1529" s="24"/>
      <c r="J1529" s="24"/>
      <c r="K1529" s="24"/>
      <c r="L1529" s="24"/>
      <c r="M1529" s="24"/>
      <c r="N1529" s="24"/>
      <c r="O1529" s="41">
        <f>AB1199</f>
        <v>0</v>
      </c>
      <c r="P1529" s="24"/>
      <c r="Q1529" s="24"/>
      <c r="R1529" s="24"/>
      <c r="S1529" s="24"/>
      <c r="T1529" s="24"/>
      <c r="U1529" s="24"/>
      <c r="V1529" s="24"/>
      <c r="W1529" s="24"/>
      <c r="X1529" s="24"/>
      <c r="Y1529" s="24"/>
      <c r="Z1529" s="24"/>
      <c r="AA1529" s="24"/>
      <c r="AB1529" s="24"/>
      <c r="AC1529" s="24"/>
      <c r="AD1529" s="24"/>
      <c r="AE1529" s="24"/>
    </row>
    <row r="1530" spans="1:31" s="1" customFormat="1" x14ac:dyDescent="0.25">
      <c r="A1530" s="21"/>
      <c r="B1530" s="22"/>
      <c r="C1530" s="22"/>
      <c r="D1530" s="65"/>
      <c r="E1530" s="24"/>
      <c r="F1530" s="24"/>
      <c r="G1530" s="24"/>
      <c r="H1530" s="24"/>
      <c r="I1530" s="24"/>
      <c r="J1530" s="24"/>
      <c r="K1530" s="24"/>
      <c r="L1530" s="24"/>
      <c r="M1530" s="24"/>
      <c r="N1530" s="24"/>
      <c r="O1530" s="41"/>
      <c r="P1530" s="24"/>
      <c r="Q1530" s="24"/>
      <c r="R1530" s="24"/>
      <c r="S1530" s="24"/>
      <c r="T1530" s="24"/>
      <c r="U1530" s="24"/>
      <c r="V1530" s="24"/>
      <c r="W1530" s="24"/>
      <c r="X1530" s="24"/>
      <c r="Y1530" s="24"/>
      <c r="Z1530" s="24"/>
      <c r="AA1530" s="24"/>
      <c r="AB1530" s="24"/>
      <c r="AC1530" s="24"/>
      <c r="AD1530" s="24"/>
      <c r="AE1530" s="24"/>
    </row>
    <row r="1531" spans="1:31" s="1" customFormat="1" x14ac:dyDescent="0.25">
      <c r="A1531" s="21"/>
      <c r="B1531" s="22"/>
      <c r="C1531" s="22"/>
      <c r="D1531" s="65"/>
      <c r="E1531" s="24"/>
      <c r="F1531" s="24"/>
      <c r="G1531" s="24"/>
      <c r="H1531" s="24"/>
      <c r="I1531" s="24"/>
      <c r="J1531" s="24"/>
      <c r="K1531" s="24"/>
      <c r="L1531" s="24"/>
      <c r="M1531" s="24"/>
      <c r="N1531" s="24"/>
      <c r="O1531" s="41"/>
      <c r="P1531" s="24"/>
      <c r="Q1531" s="24"/>
      <c r="R1531" s="24"/>
      <c r="S1531" s="24"/>
      <c r="T1531" s="24"/>
      <c r="U1531" s="24"/>
      <c r="V1531" s="24"/>
      <c r="W1531" s="24"/>
      <c r="X1531" s="24"/>
      <c r="Y1531" s="24"/>
      <c r="Z1531" s="24"/>
      <c r="AA1531" s="24"/>
      <c r="AB1531" s="24"/>
      <c r="AC1531" s="24"/>
      <c r="AD1531" s="24"/>
      <c r="AE1531" s="24"/>
    </row>
    <row r="1532" spans="1:31" s="1" customFormat="1" ht="25.5" x14ac:dyDescent="0.25">
      <c r="A1532" s="25"/>
      <c r="B1532" s="26" t="s">
        <v>1582</v>
      </c>
      <c r="C1532" s="26"/>
      <c r="D1532" s="64" t="s">
        <v>1583</v>
      </c>
      <c r="E1532" s="28"/>
      <c r="F1532" s="28"/>
      <c r="G1532" s="28"/>
      <c r="H1532" s="28"/>
      <c r="I1532" s="28"/>
      <c r="J1532" s="28"/>
      <c r="K1532" s="28"/>
      <c r="L1532" s="28"/>
      <c r="M1532" s="28">
        <f>SUM(M1533:M1535)</f>
        <v>0</v>
      </c>
      <c r="N1532" s="28"/>
      <c r="O1532" s="40">
        <f t="shared" ref="O1532:AC1532" si="564">SUM(O1533:O1535)</f>
        <v>0</v>
      </c>
      <c r="P1532" s="28">
        <f t="shared" si="564"/>
        <v>0</v>
      </c>
      <c r="Q1532" s="28">
        <f t="shared" si="564"/>
        <v>0</v>
      </c>
      <c r="R1532" s="28">
        <f t="shared" si="564"/>
        <v>0</v>
      </c>
      <c r="S1532" s="28">
        <f t="shared" si="564"/>
        <v>0</v>
      </c>
      <c r="T1532" s="28"/>
      <c r="U1532" s="28">
        <f t="shared" si="564"/>
        <v>0</v>
      </c>
      <c r="V1532" s="28"/>
      <c r="W1532" s="28">
        <f t="shared" si="564"/>
        <v>0</v>
      </c>
      <c r="X1532" s="28"/>
      <c r="Y1532" s="28">
        <f t="shared" si="564"/>
        <v>0</v>
      </c>
      <c r="Z1532" s="28">
        <f t="shared" si="564"/>
        <v>0</v>
      </c>
      <c r="AA1532" s="28"/>
      <c r="AB1532" s="28">
        <f t="shared" si="564"/>
        <v>0</v>
      </c>
      <c r="AC1532" s="28">
        <f t="shared" si="564"/>
        <v>0</v>
      </c>
      <c r="AD1532" s="28"/>
      <c r="AE1532" s="28"/>
    </row>
    <row r="1533" spans="1:31" s="1" customFormat="1" x14ac:dyDescent="0.25">
      <c r="A1533" s="21"/>
      <c r="B1533" s="22"/>
      <c r="C1533" s="22"/>
      <c r="D1533" s="65"/>
      <c r="E1533" s="24"/>
      <c r="F1533" s="24"/>
      <c r="G1533" s="24"/>
      <c r="H1533" s="24"/>
      <c r="I1533" s="24"/>
      <c r="J1533" s="24"/>
      <c r="K1533" s="24"/>
      <c r="L1533" s="24"/>
      <c r="M1533" s="24"/>
      <c r="N1533" s="24"/>
      <c r="O1533" s="41">
        <f>AB1206</f>
        <v>0</v>
      </c>
      <c r="P1533" s="24"/>
      <c r="Q1533" s="24"/>
      <c r="R1533" s="24"/>
      <c r="S1533" s="24"/>
      <c r="T1533" s="24"/>
      <c r="U1533" s="24"/>
      <c r="V1533" s="24"/>
      <c r="W1533" s="24"/>
      <c r="X1533" s="24"/>
      <c r="Y1533" s="24"/>
      <c r="Z1533" s="24"/>
      <c r="AA1533" s="24"/>
      <c r="AB1533" s="24"/>
      <c r="AC1533" s="24"/>
      <c r="AD1533" s="24"/>
      <c r="AE1533" s="24"/>
    </row>
    <row r="1534" spans="1:31" s="1" customFormat="1" x14ac:dyDescent="0.25">
      <c r="A1534" s="21"/>
      <c r="B1534" s="22"/>
      <c r="C1534" s="22"/>
      <c r="D1534" s="65"/>
      <c r="E1534" s="24"/>
      <c r="F1534" s="24"/>
      <c r="G1534" s="24"/>
      <c r="H1534" s="24"/>
      <c r="I1534" s="24"/>
      <c r="J1534" s="24"/>
      <c r="K1534" s="24"/>
      <c r="L1534" s="24"/>
      <c r="M1534" s="24"/>
      <c r="N1534" s="24"/>
      <c r="O1534" s="41"/>
      <c r="P1534" s="24"/>
      <c r="Q1534" s="24"/>
      <c r="R1534" s="24"/>
      <c r="S1534" s="24"/>
      <c r="T1534" s="24"/>
      <c r="U1534" s="24"/>
      <c r="V1534" s="24"/>
      <c r="W1534" s="24"/>
      <c r="X1534" s="24"/>
      <c r="Y1534" s="24"/>
      <c r="Z1534" s="24"/>
      <c r="AA1534" s="24"/>
      <c r="AB1534" s="24"/>
      <c r="AC1534" s="24"/>
      <c r="AD1534" s="24"/>
      <c r="AE1534" s="24"/>
    </row>
    <row r="1535" spans="1:31" s="1" customFormat="1" x14ac:dyDescent="0.25">
      <c r="A1535" s="21"/>
      <c r="B1535" s="22"/>
      <c r="C1535" s="22"/>
      <c r="D1535" s="65"/>
      <c r="E1535" s="24"/>
      <c r="F1535" s="24"/>
      <c r="G1535" s="24"/>
      <c r="H1535" s="24"/>
      <c r="I1535" s="24"/>
      <c r="J1535" s="24"/>
      <c r="K1535" s="24"/>
      <c r="L1535" s="24"/>
      <c r="M1535" s="24"/>
      <c r="N1535" s="24"/>
      <c r="O1535" s="41"/>
      <c r="P1535" s="24"/>
      <c r="Q1535" s="24"/>
      <c r="R1535" s="24"/>
      <c r="S1535" s="24"/>
      <c r="T1535" s="24"/>
      <c r="U1535" s="24"/>
      <c r="V1535" s="24"/>
      <c r="W1535" s="24"/>
      <c r="X1535" s="24"/>
      <c r="Y1535" s="24"/>
      <c r="Z1535" s="24"/>
      <c r="AA1535" s="24"/>
      <c r="AB1535" s="24"/>
      <c r="AC1535" s="24"/>
      <c r="AD1535" s="24"/>
      <c r="AE1535" s="24"/>
    </row>
    <row r="1536" spans="1:31" s="1" customFormat="1" ht="38.25" x14ac:dyDescent="0.25">
      <c r="A1536" s="25"/>
      <c r="B1536" s="26" t="s">
        <v>1584</v>
      </c>
      <c r="C1536" s="26"/>
      <c r="D1536" s="64" t="s">
        <v>1585</v>
      </c>
      <c r="E1536" s="28"/>
      <c r="F1536" s="28"/>
      <c r="G1536" s="28"/>
      <c r="H1536" s="28"/>
      <c r="I1536" s="28"/>
      <c r="J1536" s="28"/>
      <c r="K1536" s="28"/>
      <c r="L1536" s="28"/>
      <c r="M1536" s="28">
        <f>SUM(M1537:M1539)</f>
        <v>0</v>
      </c>
      <c r="N1536" s="28"/>
      <c r="O1536" s="40">
        <f t="shared" ref="O1536:AC1536" si="565">SUM(O1537:O1539)</f>
        <v>71614925.487394974</v>
      </c>
      <c r="P1536" s="28">
        <f t="shared" si="565"/>
        <v>0</v>
      </c>
      <c r="Q1536" s="28">
        <f t="shared" si="565"/>
        <v>0</v>
      </c>
      <c r="R1536" s="28">
        <f t="shared" si="565"/>
        <v>0</v>
      </c>
      <c r="S1536" s="28">
        <f t="shared" si="565"/>
        <v>0</v>
      </c>
      <c r="T1536" s="28"/>
      <c r="U1536" s="28">
        <f t="shared" si="565"/>
        <v>0</v>
      </c>
      <c r="V1536" s="28"/>
      <c r="W1536" s="28">
        <f t="shared" si="565"/>
        <v>0</v>
      </c>
      <c r="X1536" s="28"/>
      <c r="Y1536" s="28">
        <f t="shared" si="565"/>
        <v>0</v>
      </c>
      <c r="Z1536" s="28">
        <f t="shared" si="565"/>
        <v>0</v>
      </c>
      <c r="AA1536" s="28"/>
      <c r="AB1536" s="28">
        <f t="shared" si="565"/>
        <v>0</v>
      </c>
      <c r="AC1536" s="28">
        <f t="shared" si="565"/>
        <v>0</v>
      </c>
      <c r="AD1536" s="28"/>
      <c r="AE1536" s="28"/>
    </row>
    <row r="1537" spans="1:34" s="1" customFormat="1" x14ac:dyDescent="0.25">
      <c r="A1537" s="21"/>
      <c r="B1537" s="22"/>
      <c r="C1537" s="22"/>
      <c r="D1537" s="65"/>
      <c r="E1537" s="24"/>
      <c r="F1537" s="24"/>
      <c r="G1537" s="24"/>
      <c r="H1537" s="24"/>
      <c r="I1537" s="24"/>
      <c r="J1537" s="24"/>
      <c r="K1537" s="24"/>
      <c r="L1537" s="24"/>
      <c r="M1537" s="24"/>
      <c r="N1537" s="24"/>
      <c r="O1537" s="41">
        <f>AB1221</f>
        <v>71614925.487394974</v>
      </c>
      <c r="P1537" s="24"/>
      <c r="Q1537" s="24"/>
      <c r="R1537" s="24"/>
      <c r="S1537" s="24"/>
      <c r="T1537" s="24"/>
      <c r="U1537" s="24"/>
      <c r="V1537" s="24"/>
      <c r="W1537" s="24"/>
      <c r="X1537" s="24"/>
      <c r="Y1537" s="24"/>
      <c r="Z1537" s="24"/>
      <c r="AA1537" s="24"/>
      <c r="AB1537" s="24"/>
      <c r="AC1537" s="24"/>
      <c r="AD1537" s="24"/>
      <c r="AE1537" s="24"/>
    </row>
    <row r="1538" spans="1:34" s="1" customFormat="1" x14ac:dyDescent="0.25">
      <c r="A1538" s="21"/>
      <c r="B1538" s="22"/>
      <c r="C1538" s="22"/>
      <c r="D1538" s="65"/>
      <c r="E1538" s="24"/>
      <c r="F1538" s="24"/>
      <c r="G1538" s="24"/>
      <c r="H1538" s="24"/>
      <c r="I1538" s="24"/>
      <c r="J1538" s="24"/>
      <c r="K1538" s="24"/>
      <c r="L1538" s="24"/>
      <c r="M1538" s="24"/>
      <c r="N1538" s="24"/>
      <c r="O1538" s="41"/>
      <c r="P1538" s="24"/>
      <c r="Q1538" s="24"/>
      <c r="R1538" s="24"/>
      <c r="S1538" s="24"/>
      <c r="T1538" s="24"/>
      <c r="U1538" s="24"/>
      <c r="V1538" s="24"/>
      <c r="W1538" s="24"/>
      <c r="X1538" s="24"/>
      <c r="Y1538" s="24"/>
      <c r="Z1538" s="24"/>
      <c r="AA1538" s="24"/>
      <c r="AB1538" s="24"/>
      <c r="AC1538" s="24"/>
      <c r="AD1538" s="24"/>
      <c r="AE1538" s="24"/>
    </row>
    <row r="1539" spans="1:34" s="1" customFormat="1" x14ac:dyDescent="0.25">
      <c r="A1539" s="21"/>
      <c r="B1539" s="22"/>
      <c r="C1539" s="22"/>
      <c r="D1539" s="65"/>
      <c r="E1539" s="24"/>
      <c r="F1539" s="24"/>
      <c r="G1539" s="24"/>
      <c r="H1539" s="24"/>
      <c r="I1539" s="24"/>
      <c r="J1539" s="24"/>
      <c r="K1539" s="24"/>
      <c r="L1539" s="24"/>
      <c r="M1539" s="24"/>
      <c r="N1539" s="24"/>
      <c r="O1539" s="41"/>
      <c r="P1539" s="24"/>
      <c r="Q1539" s="24"/>
      <c r="R1539" s="24"/>
      <c r="S1539" s="24"/>
      <c r="T1539" s="24"/>
      <c r="U1539" s="24"/>
      <c r="V1539" s="24"/>
      <c r="W1539" s="24"/>
      <c r="X1539" s="24"/>
      <c r="Y1539" s="24"/>
      <c r="Z1539" s="24"/>
      <c r="AA1539" s="24"/>
      <c r="AB1539" s="24"/>
      <c r="AC1539" s="24"/>
      <c r="AD1539" s="24"/>
      <c r="AE1539" s="24"/>
    </row>
    <row r="1540" spans="1:34" s="1" customFormat="1" ht="25.5" x14ac:dyDescent="0.25">
      <c r="A1540" s="25"/>
      <c r="B1540" s="26" t="s">
        <v>1586</v>
      </c>
      <c r="C1540" s="26"/>
      <c r="D1540" s="64" t="s">
        <v>1587</v>
      </c>
      <c r="E1540" s="28"/>
      <c r="F1540" s="28"/>
      <c r="G1540" s="28"/>
      <c r="H1540" s="28"/>
      <c r="I1540" s="28"/>
      <c r="J1540" s="28"/>
      <c r="K1540" s="28"/>
      <c r="L1540" s="28"/>
      <c r="M1540" s="28">
        <f>SUM(M1541:M1543)</f>
        <v>0</v>
      </c>
      <c r="N1540" s="28"/>
      <c r="O1540" s="40">
        <f t="shared" ref="O1540:AC1540" si="566">SUM(O1541:O1543)</f>
        <v>298332600</v>
      </c>
      <c r="P1540" s="28">
        <f t="shared" si="566"/>
        <v>0</v>
      </c>
      <c r="Q1540" s="28">
        <f t="shared" si="566"/>
        <v>0</v>
      </c>
      <c r="R1540" s="28">
        <f t="shared" si="566"/>
        <v>0</v>
      </c>
      <c r="S1540" s="28">
        <f t="shared" si="566"/>
        <v>0</v>
      </c>
      <c r="T1540" s="28"/>
      <c r="U1540" s="28">
        <f t="shared" si="566"/>
        <v>0</v>
      </c>
      <c r="V1540" s="28"/>
      <c r="W1540" s="28">
        <f t="shared" si="566"/>
        <v>0</v>
      </c>
      <c r="X1540" s="28"/>
      <c r="Y1540" s="28">
        <f t="shared" si="566"/>
        <v>0</v>
      </c>
      <c r="Z1540" s="28">
        <f t="shared" si="566"/>
        <v>0</v>
      </c>
      <c r="AA1540" s="28"/>
      <c r="AB1540" s="28">
        <f t="shared" si="566"/>
        <v>0</v>
      </c>
      <c r="AC1540" s="28">
        <f t="shared" si="566"/>
        <v>0</v>
      </c>
      <c r="AD1540" s="28"/>
      <c r="AE1540" s="28"/>
    </row>
    <row r="1541" spans="1:34" s="1" customFormat="1" x14ac:dyDescent="0.25">
      <c r="A1541" s="21"/>
      <c r="B1541" s="22"/>
      <c r="C1541" s="22"/>
      <c r="D1541" s="65"/>
      <c r="E1541" s="24"/>
      <c r="F1541" s="24"/>
      <c r="G1541" s="24"/>
      <c r="H1541" s="24"/>
      <c r="I1541" s="24"/>
      <c r="J1541" s="24"/>
      <c r="K1541" s="24"/>
      <c r="L1541" s="24"/>
      <c r="M1541" s="24"/>
      <c r="N1541" s="24"/>
      <c r="O1541" s="41">
        <f>AB1270</f>
        <v>298332600</v>
      </c>
      <c r="P1541" s="24"/>
      <c r="Q1541" s="24"/>
      <c r="R1541" s="24"/>
      <c r="S1541" s="24"/>
      <c r="T1541" s="24"/>
      <c r="U1541" s="24"/>
      <c r="V1541" s="24"/>
      <c r="W1541" s="24"/>
      <c r="X1541" s="24"/>
      <c r="Y1541" s="24"/>
      <c r="Z1541" s="24"/>
      <c r="AA1541" s="24"/>
      <c r="AB1541" s="24"/>
      <c r="AC1541" s="24"/>
      <c r="AD1541" s="24"/>
      <c r="AE1541" s="24"/>
    </row>
    <row r="1542" spans="1:34" s="1" customFormat="1" x14ac:dyDescent="0.25">
      <c r="A1542" s="21"/>
      <c r="B1542" s="22"/>
      <c r="C1542" s="22"/>
      <c r="D1542" s="65"/>
      <c r="E1542" s="24"/>
      <c r="F1542" s="24"/>
      <c r="G1542" s="24"/>
      <c r="H1542" s="24"/>
      <c r="I1542" s="24"/>
      <c r="J1542" s="24"/>
      <c r="K1542" s="24"/>
      <c r="L1542" s="24"/>
      <c r="M1542" s="24"/>
      <c r="N1542" s="24"/>
      <c r="O1542" s="41"/>
      <c r="P1542" s="24"/>
      <c r="Q1542" s="24"/>
      <c r="R1542" s="24"/>
      <c r="S1542" s="24"/>
      <c r="T1542" s="24"/>
      <c r="U1542" s="24"/>
      <c r="V1542" s="24"/>
      <c r="W1542" s="24"/>
      <c r="X1542" s="24"/>
      <c r="Y1542" s="24"/>
      <c r="Z1542" s="24"/>
      <c r="AA1542" s="24"/>
      <c r="AB1542" s="24"/>
      <c r="AC1542" s="24"/>
      <c r="AD1542" s="24"/>
      <c r="AE1542" s="24"/>
    </row>
    <row r="1543" spans="1:34" s="1" customFormat="1" x14ac:dyDescent="0.25">
      <c r="A1543" s="21"/>
      <c r="B1543" s="22"/>
      <c r="C1543" s="22"/>
      <c r="D1543" s="65"/>
      <c r="E1543" s="24"/>
      <c r="F1543" s="24"/>
      <c r="G1543" s="24"/>
      <c r="H1543" s="24"/>
      <c r="I1543" s="24"/>
      <c r="J1543" s="24"/>
      <c r="K1543" s="24"/>
      <c r="L1543" s="24"/>
      <c r="M1543" s="24"/>
      <c r="N1543" s="24"/>
      <c r="O1543" s="41"/>
      <c r="P1543" s="24"/>
      <c r="Q1543" s="24"/>
      <c r="R1543" s="24"/>
      <c r="S1543" s="24"/>
      <c r="T1543" s="24"/>
      <c r="U1543" s="24"/>
      <c r="V1543" s="24"/>
      <c r="W1543" s="24"/>
      <c r="X1543" s="24"/>
      <c r="Y1543" s="24"/>
      <c r="Z1543" s="24"/>
      <c r="AA1543" s="24"/>
      <c r="AB1543" s="24"/>
      <c r="AC1543" s="24"/>
      <c r="AD1543" s="24"/>
      <c r="AE1543" s="24"/>
    </row>
    <row r="1544" spans="1:34" s="1" customFormat="1" ht="25.5" x14ac:dyDescent="0.25">
      <c r="A1544" s="17"/>
      <c r="B1544" s="18" t="s">
        <v>1588</v>
      </c>
      <c r="C1544" s="18"/>
      <c r="D1544" s="84" t="s">
        <v>1589</v>
      </c>
      <c r="E1544" s="20"/>
      <c r="F1544" s="20"/>
      <c r="G1544" s="20"/>
      <c r="H1544" s="20"/>
      <c r="I1544" s="20"/>
      <c r="J1544" s="20"/>
      <c r="K1544" s="20"/>
      <c r="L1544" s="20"/>
      <c r="M1544" s="20">
        <f>M1545</f>
        <v>0</v>
      </c>
      <c r="N1544" s="20"/>
      <c r="O1544" s="37">
        <f t="shared" ref="O1544:AC1544" si="567">O1545</f>
        <v>0</v>
      </c>
      <c r="P1544" s="20">
        <f t="shared" si="567"/>
        <v>0</v>
      </c>
      <c r="Q1544" s="20">
        <f t="shared" si="567"/>
        <v>0</v>
      </c>
      <c r="R1544" s="20">
        <f t="shared" si="567"/>
        <v>0</v>
      </c>
      <c r="S1544" s="20">
        <f t="shared" si="567"/>
        <v>0</v>
      </c>
      <c r="T1544" s="20"/>
      <c r="U1544" s="20">
        <f t="shared" si="567"/>
        <v>0</v>
      </c>
      <c r="V1544" s="20"/>
      <c r="W1544" s="20">
        <f t="shared" si="567"/>
        <v>0</v>
      </c>
      <c r="X1544" s="20"/>
      <c r="Y1544" s="20">
        <f t="shared" si="567"/>
        <v>0</v>
      </c>
      <c r="Z1544" s="20">
        <f t="shared" si="567"/>
        <v>0</v>
      </c>
      <c r="AA1544" s="20"/>
      <c r="AB1544" s="20">
        <f t="shared" si="567"/>
        <v>0</v>
      </c>
      <c r="AC1544" s="20">
        <f t="shared" si="567"/>
        <v>0</v>
      </c>
      <c r="AD1544" s="20"/>
      <c r="AE1544" s="20"/>
    </row>
    <row r="1545" spans="1:34" s="1" customFormat="1" ht="25.5" x14ac:dyDescent="0.25">
      <c r="A1545" s="25"/>
      <c r="B1545" s="26" t="s">
        <v>1590</v>
      </c>
      <c r="C1545" s="26"/>
      <c r="D1545" s="64" t="s">
        <v>1589</v>
      </c>
      <c r="E1545" s="28"/>
      <c r="F1545" s="28"/>
      <c r="G1545" s="28"/>
      <c r="H1545" s="28"/>
      <c r="I1545" s="28"/>
      <c r="J1545" s="28"/>
      <c r="K1545" s="28"/>
      <c r="L1545" s="28"/>
      <c r="M1545" s="28">
        <f>SUM(M1546:M1548)</f>
        <v>0</v>
      </c>
      <c r="N1545" s="28"/>
      <c r="O1545" s="40">
        <f t="shared" ref="O1545:AC1545" si="568">SUM(O1546:O1548)</f>
        <v>0</v>
      </c>
      <c r="P1545" s="28">
        <f t="shared" si="568"/>
        <v>0</v>
      </c>
      <c r="Q1545" s="28">
        <f t="shared" si="568"/>
        <v>0</v>
      </c>
      <c r="R1545" s="28">
        <f t="shared" si="568"/>
        <v>0</v>
      </c>
      <c r="S1545" s="28">
        <f t="shared" si="568"/>
        <v>0</v>
      </c>
      <c r="T1545" s="28"/>
      <c r="U1545" s="28">
        <f t="shared" si="568"/>
        <v>0</v>
      </c>
      <c r="V1545" s="28"/>
      <c r="W1545" s="28">
        <f t="shared" si="568"/>
        <v>0</v>
      </c>
      <c r="X1545" s="28"/>
      <c r="Y1545" s="28">
        <f t="shared" si="568"/>
        <v>0</v>
      </c>
      <c r="Z1545" s="28">
        <f t="shared" si="568"/>
        <v>0</v>
      </c>
      <c r="AA1545" s="28"/>
      <c r="AB1545" s="28">
        <f t="shared" si="568"/>
        <v>0</v>
      </c>
      <c r="AC1545" s="28">
        <f t="shared" si="568"/>
        <v>0</v>
      </c>
      <c r="AD1545" s="28"/>
      <c r="AE1545" s="28"/>
    </row>
    <row r="1546" spans="1:34" s="1" customFormat="1" x14ac:dyDescent="0.25">
      <c r="A1546" s="21"/>
      <c r="B1546" s="22"/>
      <c r="C1546" s="22"/>
      <c r="D1546" s="65"/>
      <c r="E1546" s="24"/>
      <c r="F1546" s="24"/>
      <c r="G1546" s="24"/>
      <c r="H1546" s="24"/>
      <c r="I1546" s="24"/>
      <c r="J1546" s="24"/>
      <c r="K1546" s="24"/>
      <c r="L1546" s="24"/>
      <c r="M1546" s="24"/>
      <c r="N1546" s="24"/>
      <c r="O1546" s="41">
        <f>AB1295</f>
        <v>0</v>
      </c>
      <c r="P1546" s="24"/>
      <c r="Q1546" s="24"/>
      <c r="R1546" s="24"/>
      <c r="S1546" s="24"/>
      <c r="T1546" s="24"/>
      <c r="U1546" s="24"/>
      <c r="V1546" s="24"/>
      <c r="W1546" s="24"/>
      <c r="X1546" s="24"/>
      <c r="Y1546" s="24"/>
      <c r="Z1546" s="24"/>
      <c r="AA1546" s="24"/>
      <c r="AB1546" s="24"/>
      <c r="AC1546" s="24"/>
      <c r="AD1546" s="24"/>
      <c r="AE1546" s="24"/>
    </row>
    <row r="1547" spans="1:34" s="1" customFormat="1" x14ac:dyDescent="0.25">
      <c r="A1547" s="21"/>
      <c r="B1547" s="22"/>
      <c r="C1547" s="22"/>
      <c r="D1547" s="65"/>
      <c r="E1547" s="24"/>
      <c r="F1547" s="24"/>
      <c r="G1547" s="24"/>
      <c r="H1547" s="24"/>
      <c r="I1547" s="24"/>
      <c r="J1547" s="24"/>
      <c r="K1547" s="24"/>
      <c r="L1547" s="24"/>
      <c r="M1547" s="24"/>
      <c r="N1547" s="24"/>
      <c r="O1547" s="41"/>
      <c r="P1547" s="24"/>
      <c r="Q1547" s="24"/>
      <c r="R1547" s="24"/>
      <c r="S1547" s="24"/>
      <c r="T1547" s="24"/>
      <c r="U1547" s="24"/>
      <c r="V1547" s="24"/>
      <c r="W1547" s="24"/>
      <c r="X1547" s="24"/>
      <c r="Y1547" s="24"/>
      <c r="Z1547" s="24"/>
      <c r="AA1547" s="24"/>
      <c r="AB1547" s="24"/>
      <c r="AC1547" s="24"/>
      <c r="AD1547" s="24"/>
      <c r="AE1547" s="24"/>
    </row>
    <row r="1548" spans="1:34" s="1" customFormat="1" x14ac:dyDescent="0.25">
      <c r="A1548" s="21"/>
      <c r="B1548" s="22"/>
      <c r="C1548" s="22"/>
      <c r="D1548" s="65"/>
      <c r="E1548" s="24"/>
      <c r="F1548" s="24"/>
      <c r="G1548" s="24"/>
      <c r="H1548" s="24"/>
      <c r="I1548" s="24"/>
      <c r="J1548" s="24"/>
      <c r="K1548" s="24"/>
      <c r="L1548" s="24"/>
      <c r="M1548" s="24"/>
      <c r="N1548" s="24"/>
      <c r="O1548" s="41"/>
      <c r="P1548" s="24"/>
      <c r="Q1548" s="24"/>
      <c r="R1548" s="24"/>
      <c r="S1548" s="24"/>
      <c r="T1548" s="24"/>
      <c r="U1548" s="24"/>
      <c r="V1548" s="24"/>
      <c r="W1548" s="24"/>
      <c r="X1548" s="24"/>
      <c r="Y1548" s="24"/>
      <c r="Z1548" s="24"/>
      <c r="AA1548" s="24"/>
      <c r="AB1548" s="24"/>
      <c r="AC1548" s="24"/>
      <c r="AD1548" s="24"/>
      <c r="AE1548" s="24"/>
    </row>
    <row r="1549" spans="1:34" s="110" customFormat="1" ht="33" customHeight="1" x14ac:dyDescent="0.25">
      <c r="A1549" s="105"/>
      <c r="B1549" s="106" t="s">
        <v>1591</v>
      </c>
      <c r="C1549" s="106"/>
      <c r="D1549" s="107" t="s">
        <v>1592</v>
      </c>
      <c r="E1549" s="108"/>
      <c r="F1549" s="108"/>
      <c r="G1549" s="108"/>
      <c r="H1549" s="108"/>
      <c r="I1549" s="108"/>
      <c r="J1549" s="108"/>
      <c r="K1549" s="108"/>
      <c r="L1549" s="108"/>
      <c r="M1549" s="108">
        <f>M1550+M1556+M1562+M1570+M1576</f>
        <v>4</v>
      </c>
      <c r="N1549" s="108"/>
      <c r="O1549" s="109">
        <f>O1550+O1556+O1562+O1570+O1576</f>
        <v>50400000</v>
      </c>
      <c r="P1549" s="108">
        <f>P1550+P1556+P1562+P1570+P1576</f>
        <v>0</v>
      </c>
      <c r="Q1549" s="108">
        <f>Q1550+Q1556+Q1562+Q1570+Q1576</f>
        <v>0</v>
      </c>
      <c r="R1549" s="108">
        <f>R1550+R1556+R1562+R1570+R1576</f>
        <v>0</v>
      </c>
      <c r="S1549" s="108">
        <f>S1550+S1556+S1562+S1570+S1576</f>
        <v>25200000</v>
      </c>
      <c r="T1549" s="108"/>
      <c r="U1549" s="108">
        <f>U1550+U1556+U1562+U1570+U1576</f>
        <v>0</v>
      </c>
      <c r="V1549" s="108"/>
      <c r="W1549" s="108">
        <f>W1550+W1556+W1562+W1570+W1576</f>
        <v>0</v>
      </c>
      <c r="X1549" s="108"/>
      <c r="Y1549" s="108">
        <f>Y1550+Y1556+Y1562+Y1570+Y1576</f>
        <v>0</v>
      </c>
      <c r="Z1549" s="108">
        <f>Z1550+Z1556+Z1562+Z1570+Z1576</f>
        <v>0</v>
      </c>
      <c r="AA1549" s="108"/>
      <c r="AB1549" s="109">
        <f>AB1550+AB1556+AB1562+AB1570+AB1576</f>
        <v>25200000</v>
      </c>
      <c r="AC1549" s="108">
        <f>AC1550+AC1556+AC1562+AC1570+AC1576</f>
        <v>25200000</v>
      </c>
      <c r="AD1549" s="108"/>
      <c r="AE1549" s="108"/>
      <c r="AH1549" s="1"/>
    </row>
    <row r="1550" spans="1:34" s="16" customFormat="1" ht="27.75" customHeight="1" x14ac:dyDescent="0.25">
      <c r="A1550" s="29"/>
      <c r="B1550" s="30" t="s">
        <v>1593</v>
      </c>
      <c r="C1550" s="30"/>
      <c r="D1550" s="89" t="s">
        <v>1594</v>
      </c>
      <c r="E1550" s="32"/>
      <c r="F1550" s="32"/>
      <c r="G1550" s="32"/>
      <c r="H1550" s="32"/>
      <c r="I1550" s="32"/>
      <c r="J1550" s="32"/>
      <c r="K1550" s="32"/>
      <c r="L1550" s="32"/>
      <c r="M1550" s="32">
        <f>M1551</f>
        <v>0</v>
      </c>
      <c r="N1550" s="32"/>
      <c r="O1550" s="34">
        <f t="shared" ref="O1550:AC1551" si="569">O1551</f>
        <v>0</v>
      </c>
      <c r="P1550" s="32">
        <f t="shared" si="569"/>
        <v>0</v>
      </c>
      <c r="Q1550" s="32">
        <f t="shared" si="569"/>
        <v>0</v>
      </c>
      <c r="R1550" s="32">
        <f t="shared" si="569"/>
        <v>0</v>
      </c>
      <c r="S1550" s="32">
        <f t="shared" si="569"/>
        <v>0</v>
      </c>
      <c r="T1550" s="32"/>
      <c r="U1550" s="32">
        <f t="shared" si="569"/>
        <v>0</v>
      </c>
      <c r="V1550" s="32"/>
      <c r="W1550" s="32">
        <f t="shared" si="569"/>
        <v>0</v>
      </c>
      <c r="X1550" s="32"/>
      <c r="Y1550" s="32">
        <f t="shared" si="569"/>
        <v>0</v>
      </c>
      <c r="Z1550" s="32">
        <f t="shared" si="569"/>
        <v>0</v>
      </c>
      <c r="AA1550" s="32"/>
      <c r="AB1550" s="32">
        <f t="shared" si="569"/>
        <v>0</v>
      </c>
      <c r="AC1550" s="32">
        <f t="shared" si="569"/>
        <v>0</v>
      </c>
      <c r="AD1550" s="32"/>
      <c r="AE1550" s="32"/>
      <c r="AH1550" s="1"/>
    </row>
    <row r="1551" spans="1:34" s="1" customFormat="1" x14ac:dyDescent="0.25">
      <c r="A1551" s="17"/>
      <c r="B1551" s="18" t="s">
        <v>1595</v>
      </c>
      <c r="C1551" s="18"/>
      <c r="D1551" s="84" t="s">
        <v>1594</v>
      </c>
      <c r="E1551" s="20"/>
      <c r="F1551" s="20"/>
      <c r="G1551" s="20"/>
      <c r="H1551" s="20"/>
      <c r="I1551" s="20"/>
      <c r="J1551" s="20"/>
      <c r="K1551" s="20"/>
      <c r="L1551" s="20"/>
      <c r="M1551" s="20">
        <f>M1552</f>
        <v>0</v>
      </c>
      <c r="N1551" s="20"/>
      <c r="O1551" s="37">
        <f t="shared" si="569"/>
        <v>0</v>
      </c>
      <c r="P1551" s="20">
        <f t="shared" si="569"/>
        <v>0</v>
      </c>
      <c r="Q1551" s="20">
        <f t="shared" si="569"/>
        <v>0</v>
      </c>
      <c r="R1551" s="20">
        <f t="shared" si="569"/>
        <v>0</v>
      </c>
      <c r="S1551" s="20">
        <f t="shared" si="569"/>
        <v>0</v>
      </c>
      <c r="T1551" s="20"/>
      <c r="U1551" s="20">
        <f t="shared" si="569"/>
        <v>0</v>
      </c>
      <c r="V1551" s="20"/>
      <c r="W1551" s="20">
        <f t="shared" si="569"/>
        <v>0</v>
      </c>
      <c r="X1551" s="20"/>
      <c r="Y1551" s="20">
        <f t="shared" si="569"/>
        <v>0</v>
      </c>
      <c r="Z1551" s="20">
        <f t="shared" si="569"/>
        <v>0</v>
      </c>
      <c r="AA1551" s="20"/>
      <c r="AB1551" s="20">
        <f t="shared" si="569"/>
        <v>0</v>
      </c>
      <c r="AC1551" s="20">
        <f t="shared" si="569"/>
        <v>0</v>
      </c>
      <c r="AD1551" s="20"/>
      <c r="AE1551" s="20"/>
      <c r="AH1551" s="110"/>
    </row>
    <row r="1552" spans="1:34" s="1" customFormat="1" x14ac:dyDescent="0.25">
      <c r="A1552" s="25"/>
      <c r="B1552" s="26" t="s">
        <v>1596</v>
      </c>
      <c r="C1552" s="26"/>
      <c r="D1552" s="64" t="s">
        <v>1594</v>
      </c>
      <c r="E1552" s="28"/>
      <c r="F1552" s="28"/>
      <c r="G1552" s="28"/>
      <c r="H1552" s="28"/>
      <c r="I1552" s="28"/>
      <c r="J1552" s="28"/>
      <c r="K1552" s="28"/>
      <c r="L1552" s="28"/>
      <c r="M1552" s="28">
        <f>SUM(M1553:M1555)</f>
        <v>0</v>
      </c>
      <c r="N1552" s="28"/>
      <c r="O1552" s="40">
        <f t="shared" ref="O1552:AC1552" si="570">SUM(O1553:O1555)</f>
        <v>0</v>
      </c>
      <c r="P1552" s="28">
        <f t="shared" si="570"/>
        <v>0</v>
      </c>
      <c r="Q1552" s="28">
        <f t="shared" si="570"/>
        <v>0</v>
      </c>
      <c r="R1552" s="28">
        <f t="shared" si="570"/>
        <v>0</v>
      </c>
      <c r="S1552" s="28">
        <f t="shared" si="570"/>
        <v>0</v>
      </c>
      <c r="T1552" s="28"/>
      <c r="U1552" s="28">
        <f t="shared" si="570"/>
        <v>0</v>
      </c>
      <c r="V1552" s="28"/>
      <c r="W1552" s="28">
        <f t="shared" si="570"/>
        <v>0</v>
      </c>
      <c r="X1552" s="28"/>
      <c r="Y1552" s="28">
        <f t="shared" si="570"/>
        <v>0</v>
      </c>
      <c r="Z1552" s="28">
        <f t="shared" si="570"/>
        <v>0</v>
      </c>
      <c r="AA1552" s="28"/>
      <c r="AB1552" s="28">
        <f t="shared" si="570"/>
        <v>0</v>
      </c>
      <c r="AC1552" s="28">
        <f t="shared" si="570"/>
        <v>0</v>
      </c>
      <c r="AD1552" s="28"/>
      <c r="AE1552" s="28"/>
      <c r="AH1552" s="16"/>
    </row>
    <row r="1553" spans="1:34" s="1" customFormat="1" x14ac:dyDescent="0.25">
      <c r="A1553" s="21"/>
      <c r="B1553" s="22"/>
      <c r="C1553" s="22"/>
      <c r="D1553" s="65"/>
      <c r="E1553" s="24"/>
      <c r="F1553" s="24"/>
      <c r="G1553" s="24"/>
      <c r="H1553" s="24"/>
      <c r="I1553" s="24"/>
      <c r="J1553" s="24"/>
      <c r="K1553" s="24"/>
      <c r="L1553" s="24"/>
      <c r="M1553" s="24"/>
      <c r="N1553" s="24"/>
      <c r="O1553" s="41"/>
      <c r="P1553" s="24"/>
      <c r="Q1553" s="24"/>
      <c r="R1553" s="24"/>
      <c r="S1553" s="24"/>
      <c r="T1553" s="24"/>
      <c r="U1553" s="24"/>
      <c r="V1553" s="24"/>
      <c r="W1553" s="24"/>
      <c r="X1553" s="24"/>
      <c r="Y1553" s="24"/>
      <c r="Z1553" s="24"/>
      <c r="AA1553" s="24"/>
      <c r="AB1553" s="24"/>
      <c r="AC1553" s="24"/>
      <c r="AD1553" s="24"/>
      <c r="AE1553" s="24"/>
    </row>
    <row r="1554" spans="1:34" s="1" customFormat="1" x14ac:dyDescent="0.25">
      <c r="A1554" s="21"/>
      <c r="B1554" s="22"/>
      <c r="C1554" s="22"/>
      <c r="D1554" s="65"/>
      <c r="E1554" s="24"/>
      <c r="F1554" s="24"/>
      <c r="G1554" s="24"/>
      <c r="H1554" s="24"/>
      <c r="I1554" s="24"/>
      <c r="J1554" s="24"/>
      <c r="K1554" s="24"/>
      <c r="L1554" s="24"/>
      <c r="M1554" s="24"/>
      <c r="N1554" s="24"/>
      <c r="O1554" s="41"/>
      <c r="P1554" s="24"/>
      <c r="Q1554" s="24"/>
      <c r="R1554" s="24"/>
      <c r="S1554" s="24"/>
      <c r="T1554" s="24"/>
      <c r="U1554" s="24"/>
      <c r="V1554" s="24"/>
      <c r="W1554" s="24"/>
      <c r="X1554" s="24"/>
      <c r="Y1554" s="24"/>
      <c r="Z1554" s="24"/>
      <c r="AA1554" s="24"/>
      <c r="AB1554" s="24"/>
      <c r="AC1554" s="24"/>
      <c r="AD1554" s="24"/>
      <c r="AE1554" s="24"/>
    </row>
    <row r="1555" spans="1:34" s="1" customFormat="1" x14ac:dyDescent="0.25">
      <c r="A1555" s="21"/>
      <c r="B1555" s="22"/>
      <c r="C1555" s="22"/>
      <c r="D1555" s="65"/>
      <c r="E1555" s="24"/>
      <c r="F1555" s="24"/>
      <c r="G1555" s="24"/>
      <c r="H1555" s="24"/>
      <c r="I1555" s="24"/>
      <c r="J1555" s="24"/>
      <c r="K1555" s="24"/>
      <c r="L1555" s="24"/>
      <c r="M1555" s="24"/>
      <c r="N1555" s="24"/>
      <c r="O1555" s="41"/>
      <c r="P1555" s="24"/>
      <c r="Q1555" s="24"/>
      <c r="R1555" s="24"/>
      <c r="S1555" s="24"/>
      <c r="T1555" s="24"/>
      <c r="U1555" s="24"/>
      <c r="V1555" s="24"/>
      <c r="W1555" s="24"/>
      <c r="X1555" s="24"/>
      <c r="Y1555" s="24"/>
      <c r="Z1555" s="24"/>
      <c r="AA1555" s="24"/>
      <c r="AB1555" s="24"/>
      <c r="AC1555" s="24"/>
      <c r="AD1555" s="24"/>
      <c r="AE1555" s="24"/>
    </row>
    <row r="1556" spans="1:34" s="115" customFormat="1" ht="27.75" customHeight="1" x14ac:dyDescent="0.25">
      <c r="A1556" s="111"/>
      <c r="B1556" s="30" t="s">
        <v>1597</v>
      </c>
      <c r="C1556" s="112"/>
      <c r="D1556" s="89" t="s">
        <v>1598</v>
      </c>
      <c r="E1556" s="113"/>
      <c r="F1556" s="113"/>
      <c r="G1556" s="113"/>
      <c r="H1556" s="113"/>
      <c r="I1556" s="113"/>
      <c r="J1556" s="113"/>
      <c r="K1556" s="113"/>
      <c r="L1556" s="113"/>
      <c r="M1556" s="113">
        <f>M1557</f>
        <v>0</v>
      </c>
      <c r="N1556" s="113"/>
      <c r="O1556" s="114">
        <f t="shared" ref="O1556:AC1557" si="571">O1557</f>
        <v>0</v>
      </c>
      <c r="P1556" s="113">
        <f t="shared" si="571"/>
        <v>0</v>
      </c>
      <c r="Q1556" s="113">
        <f t="shared" si="571"/>
        <v>0</v>
      </c>
      <c r="R1556" s="113">
        <f t="shared" si="571"/>
        <v>0</v>
      </c>
      <c r="S1556" s="113">
        <f t="shared" si="571"/>
        <v>0</v>
      </c>
      <c r="T1556" s="113"/>
      <c r="U1556" s="113">
        <f t="shared" si="571"/>
        <v>0</v>
      </c>
      <c r="V1556" s="113"/>
      <c r="W1556" s="113">
        <f t="shared" si="571"/>
        <v>0</v>
      </c>
      <c r="X1556" s="113"/>
      <c r="Y1556" s="113">
        <f t="shared" si="571"/>
        <v>0</v>
      </c>
      <c r="Z1556" s="113">
        <f t="shared" si="571"/>
        <v>0</v>
      </c>
      <c r="AA1556" s="113"/>
      <c r="AB1556" s="113">
        <f t="shared" si="571"/>
        <v>0</v>
      </c>
      <c r="AC1556" s="113">
        <f t="shared" si="571"/>
        <v>0</v>
      </c>
      <c r="AD1556" s="113"/>
      <c r="AE1556" s="113"/>
      <c r="AH1556" s="1"/>
    </row>
    <row r="1557" spans="1:34" s="1" customFormat="1" x14ac:dyDescent="0.25">
      <c r="A1557" s="17"/>
      <c r="B1557" s="18" t="s">
        <v>1599</v>
      </c>
      <c r="C1557" s="18"/>
      <c r="D1557" s="84" t="s">
        <v>1598</v>
      </c>
      <c r="E1557" s="20"/>
      <c r="F1557" s="20"/>
      <c r="G1557" s="20"/>
      <c r="H1557" s="20"/>
      <c r="I1557" s="20"/>
      <c r="J1557" s="20"/>
      <c r="K1557" s="20"/>
      <c r="L1557" s="20"/>
      <c r="M1557" s="20">
        <f>M1558</f>
        <v>0</v>
      </c>
      <c r="N1557" s="20"/>
      <c r="O1557" s="37">
        <f t="shared" si="571"/>
        <v>0</v>
      </c>
      <c r="P1557" s="20">
        <f t="shared" si="571"/>
        <v>0</v>
      </c>
      <c r="Q1557" s="20">
        <f t="shared" si="571"/>
        <v>0</v>
      </c>
      <c r="R1557" s="20">
        <f t="shared" si="571"/>
        <v>0</v>
      </c>
      <c r="S1557" s="20">
        <f t="shared" si="571"/>
        <v>0</v>
      </c>
      <c r="T1557" s="20"/>
      <c r="U1557" s="20">
        <f t="shared" si="571"/>
        <v>0</v>
      </c>
      <c r="V1557" s="20"/>
      <c r="W1557" s="20">
        <f t="shared" si="571"/>
        <v>0</v>
      </c>
      <c r="X1557" s="20"/>
      <c r="Y1557" s="20">
        <f t="shared" si="571"/>
        <v>0</v>
      </c>
      <c r="Z1557" s="20">
        <f t="shared" si="571"/>
        <v>0</v>
      </c>
      <c r="AA1557" s="20"/>
      <c r="AB1557" s="20">
        <f t="shared" si="571"/>
        <v>0</v>
      </c>
      <c r="AC1557" s="20">
        <f t="shared" si="571"/>
        <v>0</v>
      </c>
      <c r="AD1557" s="20"/>
      <c r="AE1557" s="20"/>
    </row>
    <row r="1558" spans="1:34" s="1" customFormat="1" x14ac:dyDescent="0.25">
      <c r="A1558" s="25"/>
      <c r="B1558" s="26" t="s">
        <v>1600</v>
      </c>
      <c r="C1558" s="26"/>
      <c r="D1558" s="64" t="s">
        <v>1598</v>
      </c>
      <c r="E1558" s="28"/>
      <c r="F1558" s="28"/>
      <c r="G1558" s="28"/>
      <c r="H1558" s="28"/>
      <c r="I1558" s="28"/>
      <c r="J1558" s="28"/>
      <c r="K1558" s="28"/>
      <c r="L1558" s="28"/>
      <c r="M1558" s="28">
        <f>SUM(M1559:M1560)</f>
        <v>0</v>
      </c>
      <c r="N1558" s="28"/>
      <c r="O1558" s="40">
        <f t="shared" ref="O1558:AC1558" si="572">SUM(O1559:O1560)</f>
        <v>0</v>
      </c>
      <c r="P1558" s="28">
        <f t="shared" si="572"/>
        <v>0</v>
      </c>
      <c r="Q1558" s="28">
        <f t="shared" si="572"/>
        <v>0</v>
      </c>
      <c r="R1558" s="28">
        <f t="shared" si="572"/>
        <v>0</v>
      </c>
      <c r="S1558" s="28">
        <f t="shared" si="572"/>
        <v>0</v>
      </c>
      <c r="T1558" s="28"/>
      <c r="U1558" s="28">
        <f t="shared" si="572"/>
        <v>0</v>
      </c>
      <c r="V1558" s="28"/>
      <c r="W1558" s="28">
        <f t="shared" si="572"/>
        <v>0</v>
      </c>
      <c r="X1558" s="28"/>
      <c r="Y1558" s="28">
        <f t="shared" si="572"/>
        <v>0</v>
      </c>
      <c r="Z1558" s="28">
        <f t="shared" si="572"/>
        <v>0</v>
      </c>
      <c r="AA1558" s="28"/>
      <c r="AB1558" s="28">
        <f t="shared" si="572"/>
        <v>0</v>
      </c>
      <c r="AC1558" s="28">
        <f t="shared" si="572"/>
        <v>0</v>
      </c>
      <c r="AD1558" s="28"/>
      <c r="AE1558" s="28"/>
      <c r="AH1558" s="115"/>
    </row>
    <row r="1559" spans="1:34" s="1" customFormat="1" x14ac:dyDescent="0.25">
      <c r="A1559" s="21"/>
      <c r="B1559" s="22"/>
      <c r="C1559" s="22"/>
      <c r="D1559" s="85"/>
      <c r="E1559" s="24"/>
      <c r="F1559" s="24"/>
      <c r="G1559" s="24"/>
      <c r="H1559" s="24"/>
      <c r="I1559" s="24"/>
      <c r="J1559" s="24"/>
      <c r="K1559" s="24"/>
      <c r="L1559" s="24"/>
      <c r="M1559" s="24"/>
      <c r="N1559" s="24"/>
      <c r="O1559" s="41"/>
      <c r="P1559" s="24"/>
      <c r="Q1559" s="24"/>
      <c r="R1559" s="24"/>
      <c r="S1559" s="24"/>
      <c r="T1559" s="24"/>
      <c r="U1559" s="24"/>
      <c r="V1559" s="24"/>
      <c r="W1559" s="24"/>
      <c r="X1559" s="24"/>
      <c r="Y1559" s="24"/>
      <c r="Z1559" s="24"/>
      <c r="AA1559" s="24"/>
      <c r="AB1559" s="24"/>
      <c r="AC1559" s="24"/>
      <c r="AD1559" s="24"/>
      <c r="AE1559" s="24"/>
    </row>
    <row r="1560" spans="1:34" s="1" customFormat="1" x14ac:dyDescent="0.25">
      <c r="A1560" s="21"/>
      <c r="B1560" s="22"/>
      <c r="C1560" s="22"/>
      <c r="D1560" s="85"/>
      <c r="E1560" s="24"/>
      <c r="F1560" s="24"/>
      <c r="G1560" s="24"/>
      <c r="H1560" s="24"/>
      <c r="I1560" s="24"/>
      <c r="J1560" s="24"/>
      <c r="K1560" s="24"/>
      <c r="L1560" s="24"/>
      <c r="M1560" s="24"/>
      <c r="N1560" s="24"/>
      <c r="O1560" s="41"/>
      <c r="P1560" s="24"/>
      <c r="Q1560" s="24"/>
      <c r="R1560" s="24"/>
      <c r="S1560" s="24"/>
      <c r="T1560" s="24"/>
      <c r="U1560" s="24"/>
      <c r="V1560" s="24"/>
      <c r="W1560" s="24"/>
      <c r="X1560" s="24"/>
      <c r="Y1560" s="24"/>
      <c r="Z1560" s="24"/>
      <c r="AA1560" s="24"/>
      <c r="AB1560" s="24"/>
      <c r="AC1560" s="24"/>
      <c r="AD1560" s="24"/>
      <c r="AE1560" s="24"/>
    </row>
    <row r="1561" spans="1:34" s="1" customFormat="1" x14ac:dyDescent="0.25">
      <c r="A1561" s="21"/>
      <c r="B1561" s="22"/>
      <c r="C1561" s="22"/>
      <c r="D1561" s="85"/>
      <c r="E1561" s="24"/>
      <c r="F1561" s="24"/>
      <c r="G1561" s="24"/>
      <c r="H1561" s="24"/>
      <c r="I1561" s="24"/>
      <c r="J1561" s="24"/>
      <c r="K1561" s="24"/>
      <c r="L1561" s="24"/>
      <c r="M1561" s="24"/>
      <c r="N1561" s="24"/>
      <c r="O1561" s="41"/>
      <c r="P1561" s="24"/>
      <c r="Q1561" s="24"/>
      <c r="R1561" s="24"/>
      <c r="S1561" s="24"/>
      <c r="T1561" s="24"/>
      <c r="U1561" s="24"/>
      <c r="V1561" s="24"/>
      <c r="W1561" s="24"/>
      <c r="X1561" s="24"/>
      <c r="Y1561" s="24"/>
      <c r="Z1561" s="24"/>
      <c r="AA1561" s="24"/>
      <c r="AB1561" s="24"/>
      <c r="AC1561" s="24"/>
      <c r="AD1561" s="24"/>
      <c r="AE1561" s="24"/>
    </row>
    <row r="1562" spans="1:34" s="16" customFormat="1" ht="24.75" customHeight="1" x14ac:dyDescent="0.25">
      <c r="A1562" s="29"/>
      <c r="B1562" s="30" t="s">
        <v>1601</v>
      </c>
      <c r="C1562" s="30"/>
      <c r="D1562" s="89" t="s">
        <v>1602</v>
      </c>
      <c r="E1562" s="32"/>
      <c r="F1562" s="32"/>
      <c r="G1562" s="32"/>
      <c r="H1562" s="32"/>
      <c r="I1562" s="32"/>
      <c r="J1562" s="32"/>
      <c r="K1562" s="32"/>
      <c r="L1562" s="32"/>
      <c r="M1562" s="32">
        <f>M1563</f>
        <v>4</v>
      </c>
      <c r="N1562" s="32"/>
      <c r="O1562" s="34">
        <f t="shared" ref="O1562:AC1563" si="573">O1563</f>
        <v>25200000</v>
      </c>
      <c r="P1562" s="32">
        <f t="shared" si="573"/>
        <v>0</v>
      </c>
      <c r="Q1562" s="32">
        <f t="shared" si="573"/>
        <v>0</v>
      </c>
      <c r="R1562" s="32">
        <f t="shared" si="573"/>
        <v>0</v>
      </c>
      <c r="S1562" s="34">
        <f t="shared" si="573"/>
        <v>25200000</v>
      </c>
      <c r="T1562" s="32"/>
      <c r="U1562" s="34">
        <f t="shared" si="573"/>
        <v>0</v>
      </c>
      <c r="V1562" s="32"/>
      <c r="W1562" s="34">
        <f t="shared" si="573"/>
        <v>0</v>
      </c>
      <c r="X1562" s="32"/>
      <c r="Y1562" s="34">
        <f t="shared" si="573"/>
        <v>0</v>
      </c>
      <c r="Z1562" s="34">
        <f t="shared" si="573"/>
        <v>0</v>
      </c>
      <c r="AA1562" s="32"/>
      <c r="AB1562" s="34">
        <f t="shared" si="573"/>
        <v>25200000</v>
      </c>
      <c r="AC1562" s="34">
        <f t="shared" si="573"/>
        <v>0</v>
      </c>
      <c r="AD1562" s="32"/>
      <c r="AE1562" s="32"/>
      <c r="AH1562" s="1"/>
    </row>
    <row r="1563" spans="1:34" s="1" customFormat="1" x14ac:dyDescent="0.25">
      <c r="A1563" s="17"/>
      <c r="B1563" s="18" t="s">
        <v>1603</v>
      </c>
      <c r="C1563" s="18"/>
      <c r="D1563" s="84" t="s">
        <v>1602</v>
      </c>
      <c r="E1563" s="20"/>
      <c r="F1563" s="20"/>
      <c r="G1563" s="20"/>
      <c r="H1563" s="20"/>
      <c r="I1563" s="20"/>
      <c r="J1563" s="20"/>
      <c r="K1563" s="20"/>
      <c r="L1563" s="20"/>
      <c r="M1563" s="20">
        <f>M1564</f>
        <v>4</v>
      </c>
      <c r="N1563" s="20"/>
      <c r="O1563" s="37">
        <f t="shared" si="573"/>
        <v>25200000</v>
      </c>
      <c r="P1563" s="20">
        <f t="shared" si="573"/>
        <v>0</v>
      </c>
      <c r="Q1563" s="20">
        <f t="shared" si="573"/>
        <v>0</v>
      </c>
      <c r="R1563" s="20">
        <f t="shared" si="573"/>
        <v>0</v>
      </c>
      <c r="S1563" s="37">
        <f t="shared" si="573"/>
        <v>25200000</v>
      </c>
      <c r="T1563" s="20"/>
      <c r="U1563" s="37">
        <f t="shared" si="573"/>
        <v>0</v>
      </c>
      <c r="V1563" s="20"/>
      <c r="W1563" s="37">
        <f t="shared" si="573"/>
        <v>0</v>
      </c>
      <c r="X1563" s="20"/>
      <c r="Y1563" s="37">
        <f t="shared" si="573"/>
        <v>0</v>
      </c>
      <c r="Z1563" s="37">
        <f t="shared" si="573"/>
        <v>0</v>
      </c>
      <c r="AA1563" s="20"/>
      <c r="AB1563" s="37">
        <f t="shared" si="573"/>
        <v>25200000</v>
      </c>
      <c r="AC1563" s="37">
        <f t="shared" si="573"/>
        <v>0</v>
      </c>
      <c r="AD1563" s="20"/>
      <c r="AE1563" s="20"/>
    </row>
    <row r="1564" spans="1:34" s="1" customFormat="1" x14ac:dyDescent="0.25">
      <c r="A1564" s="25"/>
      <c r="B1564" s="26" t="s">
        <v>1604</v>
      </c>
      <c r="C1564" s="26"/>
      <c r="D1564" s="64" t="s">
        <v>1602</v>
      </c>
      <c r="E1564" s="28"/>
      <c r="F1564" s="28"/>
      <c r="G1564" s="28"/>
      <c r="H1564" s="28"/>
      <c r="I1564" s="28"/>
      <c r="J1564" s="28"/>
      <c r="K1564" s="28"/>
      <c r="L1564" s="28"/>
      <c r="M1564" s="28">
        <f>SUM(M1565:M1568)</f>
        <v>4</v>
      </c>
      <c r="N1564" s="28"/>
      <c r="O1564" s="40">
        <f t="shared" ref="O1564:AC1564" si="574">SUM(O1565:O1568)</f>
        <v>25200000</v>
      </c>
      <c r="P1564" s="28">
        <f t="shared" si="574"/>
        <v>0</v>
      </c>
      <c r="Q1564" s="28">
        <f t="shared" si="574"/>
        <v>0</v>
      </c>
      <c r="R1564" s="28">
        <f t="shared" si="574"/>
        <v>0</v>
      </c>
      <c r="S1564" s="40">
        <f t="shared" si="574"/>
        <v>25200000</v>
      </c>
      <c r="T1564" s="28"/>
      <c r="U1564" s="40">
        <f t="shared" si="574"/>
        <v>0</v>
      </c>
      <c r="V1564" s="28"/>
      <c r="W1564" s="40">
        <f t="shared" si="574"/>
        <v>0</v>
      </c>
      <c r="X1564" s="28"/>
      <c r="Y1564" s="40">
        <f t="shared" si="574"/>
        <v>0</v>
      </c>
      <c r="Z1564" s="40">
        <f t="shared" si="574"/>
        <v>0</v>
      </c>
      <c r="AA1564" s="28"/>
      <c r="AB1564" s="40">
        <f t="shared" si="574"/>
        <v>25200000</v>
      </c>
      <c r="AC1564" s="40">
        <f t="shared" si="574"/>
        <v>0</v>
      </c>
      <c r="AD1564" s="28"/>
      <c r="AE1564" s="28"/>
      <c r="AH1564" s="16"/>
    </row>
    <row r="1565" spans="1:34" s="1" customFormat="1" x14ac:dyDescent="0.25">
      <c r="A1565" s="21">
        <v>1</v>
      </c>
      <c r="B1565" s="22" t="s">
        <v>1801</v>
      </c>
      <c r="C1565" s="22" t="s">
        <v>58</v>
      </c>
      <c r="D1565" s="65" t="s">
        <v>1605</v>
      </c>
      <c r="E1565" s="24" t="s">
        <v>1606</v>
      </c>
      <c r="F1565" s="24" t="s">
        <v>1607</v>
      </c>
      <c r="G1565" s="24"/>
      <c r="H1565" s="24" t="s">
        <v>62</v>
      </c>
      <c r="I1565" s="24">
        <v>1995</v>
      </c>
      <c r="J1565" s="24"/>
      <c r="K1565" s="24" t="s">
        <v>63</v>
      </c>
      <c r="L1565" s="24" t="s">
        <v>167</v>
      </c>
      <c r="M1565" s="24">
        <v>1</v>
      </c>
      <c r="N1565" s="41">
        <v>6000000</v>
      </c>
      <c r="O1565" s="41">
        <v>6000000</v>
      </c>
      <c r="P1565" s="24"/>
      <c r="Q1565" s="24"/>
      <c r="R1565" s="24"/>
      <c r="S1565" s="41">
        <v>6000000</v>
      </c>
      <c r="T1565" s="24">
        <v>7</v>
      </c>
      <c r="U1565" s="41"/>
      <c r="V1565" s="24">
        <v>0.5</v>
      </c>
      <c r="W1565" s="41">
        <f t="shared" ref="W1565:W1568" si="575">SUM(U1565*V1565)</f>
        <v>0</v>
      </c>
      <c r="X1565" s="24">
        <v>0.5</v>
      </c>
      <c r="Y1565" s="41">
        <f t="shared" ref="Y1565:Y1568" si="576">SUM(U1565*X1565)</f>
        <v>0</v>
      </c>
      <c r="Z1565" s="41">
        <f t="shared" ref="Z1565:Z1568" si="577">SUM(W1565+Y1565)</f>
        <v>0</v>
      </c>
      <c r="AA1565" s="24">
        <v>7</v>
      </c>
      <c r="AB1565" s="41">
        <v>6000000</v>
      </c>
      <c r="AC1565" s="41"/>
      <c r="AD1565" s="70"/>
      <c r="AE1565" s="24"/>
    </row>
    <row r="1566" spans="1:34" s="1" customFormat="1" x14ac:dyDescent="0.25">
      <c r="A1566" s="21">
        <v>2</v>
      </c>
      <c r="B1566" s="22" t="s">
        <v>1801</v>
      </c>
      <c r="C1566" s="22" t="s">
        <v>75</v>
      </c>
      <c r="D1566" s="65" t="s">
        <v>1605</v>
      </c>
      <c r="E1566" s="24" t="s">
        <v>1608</v>
      </c>
      <c r="F1566" s="24" t="s">
        <v>1609</v>
      </c>
      <c r="G1566" s="24"/>
      <c r="H1566" s="24" t="s">
        <v>62</v>
      </c>
      <c r="I1566" s="24">
        <v>1997</v>
      </c>
      <c r="J1566" s="24"/>
      <c r="K1566" s="24" t="s">
        <v>63</v>
      </c>
      <c r="L1566" s="24" t="s">
        <v>167</v>
      </c>
      <c r="M1566" s="24">
        <v>1</v>
      </c>
      <c r="N1566" s="41">
        <v>6400000</v>
      </c>
      <c r="O1566" s="41">
        <v>6400000</v>
      </c>
      <c r="P1566" s="24"/>
      <c r="Q1566" s="24"/>
      <c r="R1566" s="24"/>
      <c r="S1566" s="41">
        <v>6400000</v>
      </c>
      <c r="T1566" s="24">
        <v>7</v>
      </c>
      <c r="U1566" s="41"/>
      <c r="V1566" s="24">
        <v>0.5</v>
      </c>
      <c r="W1566" s="41">
        <f t="shared" si="575"/>
        <v>0</v>
      </c>
      <c r="X1566" s="24">
        <v>0.5</v>
      </c>
      <c r="Y1566" s="41">
        <f t="shared" si="576"/>
        <v>0</v>
      </c>
      <c r="Z1566" s="41">
        <f t="shared" si="577"/>
        <v>0</v>
      </c>
      <c r="AA1566" s="24">
        <v>7</v>
      </c>
      <c r="AB1566" s="41">
        <v>6400000</v>
      </c>
      <c r="AC1566" s="41"/>
      <c r="AD1566" s="70"/>
      <c r="AE1566" s="24"/>
    </row>
    <row r="1567" spans="1:34" s="1" customFormat="1" x14ac:dyDescent="0.25">
      <c r="A1567" s="21">
        <v>3</v>
      </c>
      <c r="B1567" s="22" t="s">
        <v>1801</v>
      </c>
      <c r="C1567" s="22" t="s">
        <v>79</v>
      </c>
      <c r="D1567" s="65" t="s">
        <v>1605</v>
      </c>
      <c r="E1567" s="24" t="s">
        <v>1608</v>
      </c>
      <c r="F1567" s="24" t="s">
        <v>1610</v>
      </c>
      <c r="G1567" s="24"/>
      <c r="H1567" s="24" t="s">
        <v>62</v>
      </c>
      <c r="I1567" s="24">
        <v>1997</v>
      </c>
      <c r="J1567" s="24"/>
      <c r="K1567" s="24" t="s">
        <v>63</v>
      </c>
      <c r="L1567" s="24" t="s">
        <v>167</v>
      </c>
      <c r="M1567" s="24">
        <v>1</v>
      </c>
      <c r="N1567" s="41">
        <v>6400000</v>
      </c>
      <c r="O1567" s="41">
        <v>6400000</v>
      </c>
      <c r="P1567" s="24"/>
      <c r="Q1567" s="24"/>
      <c r="R1567" s="24"/>
      <c r="S1567" s="41">
        <v>6400000</v>
      </c>
      <c r="T1567" s="24">
        <v>7</v>
      </c>
      <c r="U1567" s="41"/>
      <c r="V1567" s="24">
        <v>0.5</v>
      </c>
      <c r="W1567" s="41">
        <f t="shared" si="575"/>
        <v>0</v>
      </c>
      <c r="X1567" s="24">
        <v>0.5</v>
      </c>
      <c r="Y1567" s="41">
        <f t="shared" si="576"/>
        <v>0</v>
      </c>
      <c r="Z1567" s="41">
        <f t="shared" si="577"/>
        <v>0</v>
      </c>
      <c r="AA1567" s="24">
        <v>7</v>
      </c>
      <c r="AB1567" s="41">
        <v>6400000</v>
      </c>
      <c r="AC1567" s="41"/>
      <c r="AD1567" s="70"/>
      <c r="AE1567" s="24"/>
    </row>
    <row r="1568" spans="1:34" s="1" customFormat="1" x14ac:dyDescent="0.25">
      <c r="A1568" s="21">
        <v>4</v>
      </c>
      <c r="B1568" s="22" t="s">
        <v>1801</v>
      </c>
      <c r="C1568" s="22" t="s">
        <v>84</v>
      </c>
      <c r="D1568" s="65" t="s">
        <v>1605</v>
      </c>
      <c r="E1568" s="24" t="s">
        <v>1608</v>
      </c>
      <c r="F1568" s="24" t="s">
        <v>1611</v>
      </c>
      <c r="G1568" s="24"/>
      <c r="H1568" s="24" t="s">
        <v>62</v>
      </c>
      <c r="I1568" s="24">
        <v>1997</v>
      </c>
      <c r="J1568" s="24"/>
      <c r="K1568" s="24" t="s">
        <v>63</v>
      </c>
      <c r="L1568" s="24" t="s">
        <v>167</v>
      </c>
      <c r="M1568" s="24">
        <v>1</v>
      </c>
      <c r="N1568" s="41">
        <v>6400000</v>
      </c>
      <c r="O1568" s="41">
        <v>6400000</v>
      </c>
      <c r="P1568" s="24"/>
      <c r="Q1568" s="24"/>
      <c r="R1568" s="24"/>
      <c r="S1568" s="41">
        <v>6400000</v>
      </c>
      <c r="T1568" s="24">
        <v>7</v>
      </c>
      <c r="U1568" s="41"/>
      <c r="V1568" s="24">
        <v>0.5</v>
      </c>
      <c r="W1568" s="41">
        <f t="shared" si="575"/>
        <v>0</v>
      </c>
      <c r="X1568" s="24">
        <v>0.5</v>
      </c>
      <c r="Y1568" s="41">
        <f t="shared" si="576"/>
        <v>0</v>
      </c>
      <c r="Z1568" s="41">
        <f t="shared" si="577"/>
        <v>0</v>
      </c>
      <c r="AA1568" s="24">
        <v>7</v>
      </c>
      <c r="AB1568" s="41">
        <v>6400000</v>
      </c>
      <c r="AC1568" s="41"/>
      <c r="AD1568" s="70"/>
      <c r="AE1568" s="24"/>
    </row>
    <row r="1569" spans="1:34" s="1" customFormat="1" x14ac:dyDescent="0.25">
      <c r="A1569" s="21"/>
      <c r="B1569" s="22"/>
      <c r="C1569" s="22"/>
      <c r="D1569" s="65"/>
      <c r="E1569" s="24"/>
      <c r="F1569" s="24"/>
      <c r="G1569" s="24"/>
      <c r="H1569" s="24"/>
      <c r="I1569" s="24"/>
      <c r="J1569" s="24"/>
      <c r="K1569" s="24"/>
      <c r="L1569" s="24"/>
      <c r="M1569" s="24"/>
      <c r="N1569" s="24"/>
      <c r="O1569" s="41"/>
      <c r="P1569" s="24"/>
      <c r="Q1569" s="24"/>
      <c r="R1569" s="24"/>
      <c r="S1569" s="24"/>
      <c r="T1569" s="24"/>
      <c r="U1569" s="24"/>
      <c r="V1569" s="24"/>
      <c r="W1569" s="24"/>
      <c r="X1569" s="24"/>
      <c r="Y1569" s="24"/>
      <c r="Z1569" s="24"/>
      <c r="AA1569" s="24"/>
      <c r="AB1569" s="24"/>
      <c r="AC1569" s="24"/>
      <c r="AD1569" s="24"/>
      <c r="AE1569" s="24"/>
    </row>
    <row r="1570" spans="1:34" s="16" customFormat="1" ht="25.5" customHeight="1" x14ac:dyDescent="0.25">
      <c r="A1570" s="29"/>
      <c r="B1570" s="30" t="s">
        <v>1612</v>
      </c>
      <c r="C1570" s="30"/>
      <c r="D1570" s="89" t="s">
        <v>1613</v>
      </c>
      <c r="E1570" s="32"/>
      <c r="F1570" s="32"/>
      <c r="G1570" s="32"/>
      <c r="H1570" s="32"/>
      <c r="I1570" s="32"/>
      <c r="J1570" s="32"/>
      <c r="K1570" s="32"/>
      <c r="L1570" s="32"/>
      <c r="M1570" s="32">
        <f>M1571</f>
        <v>0</v>
      </c>
      <c r="N1570" s="32"/>
      <c r="O1570" s="34">
        <f t="shared" ref="O1570:AC1571" si="578">O1571</f>
        <v>0</v>
      </c>
      <c r="P1570" s="32">
        <f t="shared" si="578"/>
        <v>0</v>
      </c>
      <c r="Q1570" s="32">
        <f t="shared" si="578"/>
        <v>0</v>
      </c>
      <c r="R1570" s="32">
        <f t="shared" si="578"/>
        <v>0</v>
      </c>
      <c r="S1570" s="32">
        <f t="shared" si="578"/>
        <v>0</v>
      </c>
      <c r="T1570" s="32"/>
      <c r="U1570" s="32">
        <f t="shared" si="578"/>
        <v>0</v>
      </c>
      <c r="V1570" s="32"/>
      <c r="W1570" s="32">
        <f t="shared" si="578"/>
        <v>0</v>
      </c>
      <c r="X1570" s="32"/>
      <c r="Y1570" s="32">
        <f t="shared" si="578"/>
        <v>0</v>
      </c>
      <c r="Z1570" s="32">
        <f t="shared" si="578"/>
        <v>0</v>
      </c>
      <c r="AA1570" s="32"/>
      <c r="AB1570" s="32">
        <f t="shared" si="578"/>
        <v>0</v>
      </c>
      <c r="AC1570" s="32">
        <f t="shared" si="578"/>
        <v>0</v>
      </c>
      <c r="AD1570" s="32"/>
      <c r="AE1570" s="32"/>
      <c r="AH1570" s="1"/>
    </row>
    <row r="1571" spans="1:34" s="1" customFormat="1" ht="25.5" x14ac:dyDescent="0.25">
      <c r="A1571" s="17"/>
      <c r="B1571" s="18" t="s">
        <v>1614</v>
      </c>
      <c r="C1571" s="18"/>
      <c r="D1571" s="84" t="s">
        <v>1613</v>
      </c>
      <c r="E1571" s="20"/>
      <c r="F1571" s="20"/>
      <c r="G1571" s="20"/>
      <c r="H1571" s="20"/>
      <c r="I1571" s="20"/>
      <c r="J1571" s="20"/>
      <c r="K1571" s="20"/>
      <c r="L1571" s="20"/>
      <c r="M1571" s="20">
        <f>M1572</f>
        <v>0</v>
      </c>
      <c r="N1571" s="20"/>
      <c r="O1571" s="37">
        <f t="shared" si="578"/>
        <v>0</v>
      </c>
      <c r="P1571" s="20">
        <f t="shared" si="578"/>
        <v>0</v>
      </c>
      <c r="Q1571" s="20">
        <f t="shared" si="578"/>
        <v>0</v>
      </c>
      <c r="R1571" s="20">
        <f t="shared" si="578"/>
        <v>0</v>
      </c>
      <c r="S1571" s="20">
        <f t="shared" si="578"/>
        <v>0</v>
      </c>
      <c r="T1571" s="20"/>
      <c r="U1571" s="20">
        <f t="shared" si="578"/>
        <v>0</v>
      </c>
      <c r="V1571" s="20"/>
      <c r="W1571" s="20">
        <f t="shared" si="578"/>
        <v>0</v>
      </c>
      <c r="X1571" s="20"/>
      <c r="Y1571" s="20">
        <f t="shared" si="578"/>
        <v>0</v>
      </c>
      <c r="Z1571" s="20">
        <f t="shared" si="578"/>
        <v>0</v>
      </c>
      <c r="AA1571" s="20"/>
      <c r="AB1571" s="20">
        <f t="shared" si="578"/>
        <v>0</v>
      </c>
      <c r="AC1571" s="20">
        <f t="shared" si="578"/>
        <v>0</v>
      </c>
      <c r="AD1571" s="20"/>
      <c r="AE1571" s="20"/>
    </row>
    <row r="1572" spans="1:34" s="1" customFormat="1" ht="25.5" x14ac:dyDescent="0.25">
      <c r="A1572" s="25"/>
      <c r="B1572" s="26" t="s">
        <v>1615</v>
      </c>
      <c r="C1572" s="26"/>
      <c r="D1572" s="64" t="s">
        <v>1613</v>
      </c>
      <c r="E1572" s="28"/>
      <c r="F1572" s="28"/>
      <c r="G1572" s="28"/>
      <c r="H1572" s="28"/>
      <c r="I1572" s="28"/>
      <c r="J1572" s="28"/>
      <c r="K1572" s="28"/>
      <c r="L1572" s="28"/>
      <c r="M1572" s="28">
        <f>SUM(M1573:M1575)</f>
        <v>0</v>
      </c>
      <c r="N1572" s="28"/>
      <c r="O1572" s="40">
        <f t="shared" ref="O1572:AC1572" si="579">SUM(O1573:O1575)</f>
        <v>0</v>
      </c>
      <c r="P1572" s="28">
        <f t="shared" si="579"/>
        <v>0</v>
      </c>
      <c r="Q1572" s="28">
        <f t="shared" si="579"/>
        <v>0</v>
      </c>
      <c r="R1572" s="28">
        <f t="shared" si="579"/>
        <v>0</v>
      </c>
      <c r="S1572" s="28">
        <f t="shared" si="579"/>
        <v>0</v>
      </c>
      <c r="T1572" s="28"/>
      <c r="U1572" s="28">
        <f t="shared" si="579"/>
        <v>0</v>
      </c>
      <c r="V1572" s="28"/>
      <c r="W1572" s="28">
        <f t="shared" si="579"/>
        <v>0</v>
      </c>
      <c r="X1572" s="28"/>
      <c r="Y1572" s="28">
        <f t="shared" si="579"/>
        <v>0</v>
      </c>
      <c r="Z1572" s="28">
        <f t="shared" si="579"/>
        <v>0</v>
      </c>
      <c r="AA1572" s="28"/>
      <c r="AB1572" s="28">
        <f t="shared" si="579"/>
        <v>0</v>
      </c>
      <c r="AC1572" s="28">
        <f t="shared" si="579"/>
        <v>0</v>
      </c>
      <c r="AD1572" s="28"/>
      <c r="AE1572" s="28"/>
      <c r="AH1572" s="16"/>
    </row>
    <row r="1573" spans="1:34" s="1" customFormat="1" x14ac:dyDescent="0.25">
      <c r="A1573" s="21"/>
      <c r="B1573" s="22"/>
      <c r="C1573" s="22"/>
      <c r="D1573" s="65"/>
      <c r="E1573" s="24"/>
      <c r="F1573" s="24"/>
      <c r="G1573" s="24"/>
      <c r="H1573" s="24"/>
      <c r="I1573" s="24"/>
      <c r="J1573" s="24"/>
      <c r="K1573" s="24"/>
      <c r="L1573" s="24"/>
      <c r="M1573" s="24"/>
      <c r="N1573" s="24"/>
      <c r="O1573" s="41"/>
      <c r="P1573" s="24"/>
      <c r="Q1573" s="24"/>
      <c r="R1573" s="24"/>
      <c r="S1573" s="24"/>
      <c r="T1573" s="24"/>
      <c r="U1573" s="24"/>
      <c r="V1573" s="24"/>
      <c r="W1573" s="24"/>
      <c r="X1573" s="24"/>
      <c r="Y1573" s="24"/>
      <c r="Z1573" s="24"/>
      <c r="AA1573" s="24"/>
      <c r="AB1573" s="24"/>
      <c r="AC1573" s="24"/>
      <c r="AD1573" s="24"/>
      <c r="AE1573" s="24"/>
    </row>
    <row r="1574" spans="1:34" s="1" customFormat="1" x14ac:dyDescent="0.25">
      <c r="A1574" s="21"/>
      <c r="B1574" s="22"/>
      <c r="C1574" s="22"/>
      <c r="D1574" s="65"/>
      <c r="E1574" s="24"/>
      <c r="F1574" s="24"/>
      <c r="G1574" s="24"/>
      <c r="H1574" s="24"/>
      <c r="I1574" s="24"/>
      <c r="J1574" s="24"/>
      <c r="K1574" s="24"/>
      <c r="L1574" s="24"/>
      <c r="M1574" s="24"/>
      <c r="N1574" s="24"/>
      <c r="O1574" s="41"/>
      <c r="P1574" s="24"/>
      <c r="Q1574" s="24"/>
      <c r="R1574" s="24"/>
      <c r="S1574" s="24"/>
      <c r="T1574" s="24"/>
      <c r="U1574" s="24"/>
      <c r="V1574" s="24"/>
      <c r="W1574" s="24"/>
      <c r="X1574" s="24"/>
      <c r="Y1574" s="24"/>
      <c r="Z1574" s="24"/>
      <c r="AA1574" s="24"/>
      <c r="AB1574" s="24"/>
      <c r="AC1574" s="24"/>
      <c r="AD1574" s="24"/>
      <c r="AE1574" s="24"/>
    </row>
    <row r="1575" spans="1:34" s="1" customFormat="1" x14ac:dyDescent="0.25">
      <c r="A1575" s="21"/>
      <c r="B1575" s="22"/>
      <c r="C1575" s="22"/>
      <c r="D1575" s="65"/>
      <c r="E1575" s="24"/>
      <c r="F1575" s="24"/>
      <c r="G1575" s="24"/>
      <c r="H1575" s="24"/>
      <c r="I1575" s="24"/>
      <c r="J1575" s="24"/>
      <c r="K1575" s="24"/>
      <c r="L1575" s="24"/>
      <c r="M1575" s="24"/>
      <c r="N1575" s="24"/>
      <c r="O1575" s="41"/>
      <c r="P1575" s="24"/>
      <c r="Q1575" s="24"/>
      <c r="R1575" s="24"/>
      <c r="S1575" s="24"/>
      <c r="T1575" s="24"/>
      <c r="U1575" s="24"/>
      <c r="V1575" s="24"/>
      <c r="W1575" s="24"/>
      <c r="X1575" s="24"/>
      <c r="Y1575" s="24"/>
      <c r="Z1575" s="24"/>
      <c r="AA1575" s="24"/>
      <c r="AB1575" s="24"/>
      <c r="AC1575" s="24"/>
      <c r="AD1575" s="24"/>
      <c r="AE1575" s="24"/>
    </row>
    <row r="1576" spans="1:34" s="16" customFormat="1" ht="24" x14ac:dyDescent="0.25">
      <c r="A1576" s="29"/>
      <c r="B1576" s="30" t="s">
        <v>1616</v>
      </c>
      <c r="C1576" s="30"/>
      <c r="D1576" s="89" t="s">
        <v>1617</v>
      </c>
      <c r="E1576" s="32"/>
      <c r="F1576" s="32"/>
      <c r="G1576" s="32"/>
      <c r="H1576" s="32"/>
      <c r="I1576" s="32"/>
      <c r="J1576" s="32"/>
      <c r="K1576" s="32"/>
      <c r="L1576" s="32"/>
      <c r="M1576" s="32">
        <f>M1577</f>
        <v>0</v>
      </c>
      <c r="N1576" s="32"/>
      <c r="O1576" s="34">
        <f t="shared" ref="O1576:AC1577" si="580">O1577</f>
        <v>25200000</v>
      </c>
      <c r="P1576" s="32">
        <f t="shared" si="580"/>
        <v>0</v>
      </c>
      <c r="Q1576" s="32">
        <f t="shared" si="580"/>
        <v>0</v>
      </c>
      <c r="R1576" s="32">
        <f t="shared" si="580"/>
        <v>0</v>
      </c>
      <c r="S1576" s="32">
        <f t="shared" si="580"/>
        <v>0</v>
      </c>
      <c r="T1576" s="32"/>
      <c r="U1576" s="32">
        <f t="shared" si="580"/>
        <v>0</v>
      </c>
      <c r="V1576" s="32"/>
      <c r="W1576" s="32">
        <f t="shared" si="580"/>
        <v>0</v>
      </c>
      <c r="X1576" s="32"/>
      <c r="Y1576" s="32">
        <f t="shared" si="580"/>
        <v>0</v>
      </c>
      <c r="Z1576" s="32">
        <f t="shared" si="580"/>
        <v>0</v>
      </c>
      <c r="AA1576" s="32"/>
      <c r="AB1576" s="32">
        <f t="shared" si="580"/>
        <v>0</v>
      </c>
      <c r="AC1576" s="34">
        <f t="shared" si="580"/>
        <v>25200000</v>
      </c>
      <c r="AD1576" s="32"/>
      <c r="AE1576" s="32"/>
      <c r="AH1576" s="1"/>
    </row>
    <row r="1577" spans="1:34" s="1" customFormat="1" ht="25.5" x14ac:dyDescent="0.25">
      <c r="A1577" s="17"/>
      <c r="B1577" s="18" t="s">
        <v>1618</v>
      </c>
      <c r="C1577" s="18"/>
      <c r="D1577" s="84" t="s">
        <v>1617</v>
      </c>
      <c r="E1577" s="20"/>
      <c r="F1577" s="20"/>
      <c r="G1577" s="20"/>
      <c r="H1577" s="20"/>
      <c r="I1577" s="20"/>
      <c r="J1577" s="20"/>
      <c r="K1577" s="20"/>
      <c r="L1577" s="20"/>
      <c r="M1577" s="20">
        <f>M1578</f>
        <v>0</v>
      </c>
      <c r="N1577" s="20"/>
      <c r="O1577" s="37">
        <f t="shared" si="580"/>
        <v>25200000</v>
      </c>
      <c r="P1577" s="20">
        <f t="shared" si="580"/>
        <v>0</v>
      </c>
      <c r="Q1577" s="20">
        <f t="shared" si="580"/>
        <v>0</v>
      </c>
      <c r="R1577" s="20">
        <f t="shared" si="580"/>
        <v>0</v>
      </c>
      <c r="S1577" s="20">
        <f t="shared" si="580"/>
        <v>0</v>
      </c>
      <c r="T1577" s="20"/>
      <c r="U1577" s="20">
        <f t="shared" si="580"/>
        <v>0</v>
      </c>
      <c r="V1577" s="20"/>
      <c r="W1577" s="20">
        <f t="shared" si="580"/>
        <v>0</v>
      </c>
      <c r="X1577" s="20"/>
      <c r="Y1577" s="20">
        <f t="shared" si="580"/>
        <v>0</v>
      </c>
      <c r="Z1577" s="20">
        <f t="shared" si="580"/>
        <v>0</v>
      </c>
      <c r="AA1577" s="20"/>
      <c r="AB1577" s="20">
        <f t="shared" si="580"/>
        <v>0</v>
      </c>
      <c r="AC1577" s="37">
        <f t="shared" si="580"/>
        <v>25200000</v>
      </c>
      <c r="AD1577" s="20"/>
      <c r="AE1577" s="20"/>
    </row>
    <row r="1578" spans="1:34" s="1" customFormat="1" ht="25.5" x14ac:dyDescent="0.25">
      <c r="A1578" s="25"/>
      <c r="B1578" s="26" t="s">
        <v>1619</v>
      </c>
      <c r="C1578" s="26"/>
      <c r="D1578" s="64" t="s">
        <v>1617</v>
      </c>
      <c r="E1578" s="28"/>
      <c r="F1578" s="28"/>
      <c r="G1578" s="28"/>
      <c r="H1578" s="28"/>
      <c r="I1578" s="28"/>
      <c r="J1578" s="28"/>
      <c r="K1578" s="28"/>
      <c r="L1578" s="28"/>
      <c r="M1578" s="28">
        <f>SUM(M1579:M1581)</f>
        <v>0</v>
      </c>
      <c r="N1578" s="28"/>
      <c r="O1578" s="40">
        <f t="shared" ref="O1578:AC1578" si="581">SUM(O1579:O1581)</f>
        <v>25200000</v>
      </c>
      <c r="P1578" s="28">
        <f t="shared" si="581"/>
        <v>0</v>
      </c>
      <c r="Q1578" s="28">
        <f t="shared" si="581"/>
        <v>0</v>
      </c>
      <c r="R1578" s="28">
        <f t="shared" si="581"/>
        <v>0</v>
      </c>
      <c r="S1578" s="28">
        <f t="shared" si="581"/>
        <v>0</v>
      </c>
      <c r="T1578" s="28"/>
      <c r="U1578" s="28">
        <f t="shared" si="581"/>
        <v>0</v>
      </c>
      <c r="V1578" s="28"/>
      <c r="W1578" s="28">
        <f t="shared" si="581"/>
        <v>0</v>
      </c>
      <c r="X1578" s="28"/>
      <c r="Y1578" s="28">
        <f t="shared" si="581"/>
        <v>0</v>
      </c>
      <c r="Z1578" s="28">
        <f t="shared" si="581"/>
        <v>0</v>
      </c>
      <c r="AA1578" s="28"/>
      <c r="AB1578" s="28">
        <f t="shared" si="581"/>
        <v>0</v>
      </c>
      <c r="AC1578" s="40">
        <f t="shared" si="581"/>
        <v>25200000</v>
      </c>
      <c r="AD1578" s="28"/>
      <c r="AE1578" s="28"/>
      <c r="AH1578" s="16"/>
    </row>
    <row r="1579" spans="1:34" s="1" customFormat="1" x14ac:dyDescent="0.25">
      <c r="A1579" s="21"/>
      <c r="B1579" s="24"/>
      <c r="C1579" s="24"/>
      <c r="D1579" s="116"/>
      <c r="E1579" s="24"/>
      <c r="F1579" s="24"/>
      <c r="G1579" s="24"/>
      <c r="H1579" s="24"/>
      <c r="I1579" s="24"/>
      <c r="J1579" s="24"/>
      <c r="K1579" s="24"/>
      <c r="L1579" s="24"/>
      <c r="M1579" s="24"/>
      <c r="N1579" s="24"/>
      <c r="O1579" s="41">
        <f>AB1549</f>
        <v>25200000</v>
      </c>
      <c r="P1579" s="24"/>
      <c r="Q1579" s="24"/>
      <c r="R1579" s="24"/>
      <c r="S1579" s="24"/>
      <c r="T1579" s="24"/>
      <c r="U1579" s="24"/>
      <c r="V1579" s="24"/>
      <c r="W1579" s="24"/>
      <c r="X1579" s="24"/>
      <c r="Y1579" s="24"/>
      <c r="Z1579" s="24"/>
      <c r="AA1579" s="24"/>
      <c r="AB1579" s="24"/>
      <c r="AC1579" s="41">
        <v>25200000</v>
      </c>
      <c r="AD1579" s="24"/>
      <c r="AE1579" s="24"/>
    </row>
    <row r="1580" spans="1:34" s="1" customFormat="1" x14ac:dyDescent="0.25">
      <c r="A1580" s="21"/>
      <c r="B1580" s="24"/>
      <c r="C1580" s="24"/>
      <c r="D1580" s="116"/>
      <c r="E1580" s="24"/>
      <c r="F1580" s="24"/>
      <c r="G1580" s="24"/>
      <c r="H1580" s="24"/>
      <c r="I1580" s="24"/>
      <c r="J1580" s="24"/>
      <c r="K1580" s="24"/>
      <c r="L1580" s="24"/>
      <c r="M1580" s="24"/>
      <c r="N1580" s="24"/>
      <c r="O1580" s="41"/>
      <c r="P1580" s="24"/>
      <c r="Q1580" s="24"/>
      <c r="R1580" s="24"/>
      <c r="S1580" s="24"/>
      <c r="T1580" s="24"/>
      <c r="U1580" s="24"/>
      <c r="V1580" s="24"/>
      <c r="W1580" s="24"/>
      <c r="X1580" s="24"/>
      <c r="Y1580" s="24"/>
      <c r="Z1580" s="24"/>
      <c r="AA1580" s="24"/>
      <c r="AB1580" s="24"/>
      <c r="AC1580" s="24"/>
      <c r="AD1580" s="24"/>
      <c r="AE1580" s="24"/>
    </row>
    <row r="1581" spans="1:34" s="1" customFormat="1" x14ac:dyDescent="0.25">
      <c r="A1581" s="117"/>
      <c r="B1581" s="118"/>
      <c r="C1581" s="118"/>
      <c r="D1581" s="119"/>
      <c r="E1581" s="118"/>
      <c r="F1581" s="118"/>
      <c r="G1581" s="118"/>
      <c r="H1581" s="118"/>
      <c r="I1581" s="118"/>
      <c r="J1581" s="118"/>
      <c r="K1581" s="118"/>
      <c r="L1581" s="118"/>
      <c r="M1581" s="118"/>
      <c r="N1581" s="118"/>
      <c r="O1581" s="120"/>
      <c r="P1581" s="118"/>
      <c r="Q1581" s="118"/>
      <c r="R1581" s="118"/>
      <c r="S1581" s="118"/>
      <c r="T1581" s="118"/>
      <c r="U1581" s="118"/>
      <c r="V1581" s="118"/>
      <c r="W1581" s="118"/>
      <c r="X1581" s="118"/>
      <c r="Y1581" s="118"/>
      <c r="Z1581" s="118"/>
      <c r="AA1581" s="118"/>
      <c r="AB1581" s="118"/>
      <c r="AC1581" s="118"/>
      <c r="AD1581" s="118"/>
      <c r="AE1581" s="118"/>
    </row>
    <row r="1582" spans="1:34" s="124" customFormat="1" ht="26.25" customHeight="1" x14ac:dyDescent="0.25">
      <c r="A1582" s="414" t="s">
        <v>1620</v>
      </c>
      <c r="B1582" s="414"/>
      <c r="C1582" s="414"/>
      <c r="D1582" s="414"/>
      <c r="E1582" s="414"/>
      <c r="F1582" s="414"/>
      <c r="G1582" s="414"/>
      <c r="H1582" s="414"/>
      <c r="I1582" s="414"/>
      <c r="J1582" s="414"/>
      <c r="K1582" s="414"/>
      <c r="L1582" s="414"/>
      <c r="M1582" s="121">
        <f>SUM(M30+M1070+M1198+M1295+M1426+M1562)</f>
        <v>6056</v>
      </c>
      <c r="N1582" s="121">
        <f>SUM(N30+N1070+N1198+N1295+N1426+N1562)</f>
        <v>0</v>
      </c>
      <c r="O1582" s="122">
        <f>SUM(O30+O1070+O1198+O1295+O1426+O1562)</f>
        <v>38515014404.004616</v>
      </c>
      <c r="P1582" s="122">
        <f>P1549+P1432+P1426+P1295+P1198+P1070+P30+P8</f>
        <v>14804092406</v>
      </c>
      <c r="Q1582" s="122">
        <f>Q1549+Q1432+Q1426+Q1295+Q1198+Q1070+Q30+Q8</f>
        <v>642030476.5</v>
      </c>
      <c r="R1582" s="123">
        <f>R1549+R1432+R1426+R1295+R1198+R1070+R30+R8</f>
        <v>94888710</v>
      </c>
      <c r="S1582" s="122">
        <f t="shared" ref="S1582:AA1582" si="582">SUM(S30+S1070+S1198+S1295+S1426+S1562)</f>
        <v>56327510821.275452</v>
      </c>
      <c r="T1582" s="122">
        <f t="shared" si="582"/>
        <v>0</v>
      </c>
      <c r="U1582" s="122">
        <f t="shared" si="582"/>
        <v>2281276724.3075852</v>
      </c>
      <c r="V1582" s="122">
        <f t="shared" si="582"/>
        <v>0</v>
      </c>
      <c r="W1582" s="122">
        <f t="shared" si="582"/>
        <v>574060949.75224078</v>
      </c>
      <c r="X1582" s="122">
        <f t="shared" si="582"/>
        <v>0</v>
      </c>
      <c r="Y1582" s="122">
        <f t="shared" si="582"/>
        <v>494283325.07219541</v>
      </c>
      <c r="Z1582" s="122">
        <f t="shared" si="582"/>
        <v>1068344274.8244363</v>
      </c>
      <c r="AA1582" s="122">
        <f t="shared" si="582"/>
        <v>0</v>
      </c>
      <c r="AB1582" s="122">
        <f>SUM(AB30+AB1070+AB1198+AB1295+AB1426)-0.48</f>
        <v>21601343410.487553</v>
      </c>
      <c r="AC1582" s="122">
        <f>SUM(AC30+AC1070+AC1198+AC1295+AC1426+AC1576)</f>
        <v>17060103566.585154</v>
      </c>
      <c r="AD1582" s="122"/>
      <c r="AE1582" s="123"/>
      <c r="AH1582" s="1"/>
    </row>
    <row r="1583" spans="1:34" x14ac:dyDescent="0.25">
      <c r="M1583" s="125"/>
      <c r="N1583" s="125"/>
      <c r="O1583" s="126"/>
      <c r="W1583" s="127"/>
      <c r="Y1583" s="129"/>
      <c r="Z1583" s="128"/>
      <c r="AB1583" s="128"/>
      <c r="AC1583" s="129"/>
      <c r="AF1583" s="129"/>
      <c r="AH1583" s="1"/>
    </row>
    <row r="1584" spans="1:34" ht="23.25" x14ac:dyDescent="0.25">
      <c r="M1584" s="130"/>
      <c r="O1584" s="131"/>
      <c r="U1584" s="129"/>
      <c r="Z1584" s="462"/>
      <c r="AA1584" s="415"/>
      <c r="AB1584" s="415"/>
      <c r="AC1584" s="128"/>
      <c r="AH1584" s="124"/>
    </row>
    <row r="1585" spans="1:29" ht="25.5" x14ac:dyDescent="0.35">
      <c r="D1585" s="191"/>
      <c r="E1585"/>
      <c r="M1585" s="130"/>
      <c r="O1585" s="132"/>
      <c r="P1585" s="132"/>
      <c r="Q1585" s="132"/>
      <c r="R1585" s="132"/>
      <c r="S1585" s="132"/>
      <c r="T1585" s="132"/>
      <c r="U1585" s="132"/>
      <c r="V1585" s="132"/>
      <c r="W1585" s="133"/>
      <c r="X1585" s="134"/>
      <c r="Y1585" s="134"/>
      <c r="Z1585" s="415"/>
      <c r="AA1585" s="415"/>
      <c r="AB1585" s="415"/>
      <c r="AC1585" s="129"/>
    </row>
    <row r="1586" spans="1:29" ht="25.5" x14ac:dyDescent="0.35">
      <c r="D1586" s="191"/>
      <c r="E1586"/>
      <c r="M1586" s="130"/>
      <c r="O1586" s="132"/>
      <c r="P1586" s="132"/>
      <c r="Q1586" s="132"/>
      <c r="R1586" s="134"/>
      <c r="S1586" s="132"/>
      <c r="T1586" s="132"/>
      <c r="U1586" s="132"/>
      <c r="V1586" s="132"/>
      <c r="W1586" s="134"/>
      <c r="X1586" s="132"/>
      <c r="Y1586" s="134"/>
      <c r="Z1586" s="415"/>
      <c r="AA1586" s="415"/>
      <c r="AB1586" s="415"/>
    </row>
    <row r="1587" spans="1:29" ht="25.5" x14ac:dyDescent="0.35">
      <c r="A1587" s="3"/>
      <c r="D1587" s="191"/>
      <c r="E1587"/>
      <c r="O1587" s="132"/>
      <c r="P1587" s="132"/>
      <c r="Q1587" s="132"/>
      <c r="R1587" s="132"/>
      <c r="S1587" s="132"/>
      <c r="T1587" s="132"/>
      <c r="U1587" s="132"/>
      <c r="V1587" s="132"/>
      <c r="W1587" s="135"/>
      <c r="X1587" s="135"/>
      <c r="Y1587" s="132"/>
      <c r="Z1587" s="415"/>
      <c r="AA1587" s="415"/>
      <c r="AB1587" s="415"/>
    </row>
    <row r="1588" spans="1:29" ht="26.25" x14ac:dyDescent="0.4">
      <c r="A1588" s="3"/>
      <c r="D1588" s="192"/>
      <c r="E1588"/>
      <c r="O1588" s="132"/>
      <c r="P1588" s="132"/>
      <c r="Q1588" s="132"/>
      <c r="R1588" s="132"/>
      <c r="S1588" s="132"/>
      <c r="T1588" s="132"/>
      <c r="U1588" s="132"/>
      <c r="V1588" s="132"/>
      <c r="W1588" s="132"/>
      <c r="X1588" s="135"/>
      <c r="Y1588" s="134"/>
      <c r="Z1588" s="193"/>
      <c r="AA1588" s="193"/>
      <c r="AB1588" s="193"/>
    </row>
    <row r="1589" spans="1:29" ht="25.5" x14ac:dyDescent="0.35">
      <c r="D1589" s="191"/>
      <c r="E1589"/>
      <c r="O1589" s="132"/>
      <c r="P1589" s="132"/>
      <c r="Q1589" s="132"/>
      <c r="R1589" s="132"/>
      <c r="S1589" s="132"/>
      <c r="T1589" s="132"/>
      <c r="U1589" s="132"/>
      <c r="V1589" s="132"/>
      <c r="W1589" s="132"/>
      <c r="X1589" s="132"/>
      <c r="Y1589" s="132"/>
      <c r="Z1589" s="193"/>
      <c r="AA1589" s="193"/>
      <c r="AB1589" s="193"/>
      <c r="AC1589" s="129"/>
    </row>
    <row r="1590" spans="1:29" ht="23.25" x14ac:dyDescent="0.25">
      <c r="O1590" s="132"/>
      <c r="P1590" s="132"/>
      <c r="Q1590" s="132"/>
      <c r="R1590" s="132"/>
      <c r="S1590" s="132"/>
      <c r="T1590" s="132"/>
      <c r="U1590" s="132"/>
      <c r="V1590" s="132"/>
      <c r="W1590" s="132"/>
      <c r="X1590" s="132"/>
      <c r="Y1590" s="132"/>
      <c r="Z1590" s="193"/>
      <c r="AA1590" s="193"/>
      <c r="AB1590" s="193"/>
    </row>
    <row r="1591" spans="1:29" ht="23.25" x14ac:dyDescent="0.25">
      <c r="A1591" s="3"/>
      <c r="D1591" s="3"/>
      <c r="O1591" s="132"/>
      <c r="P1591" s="132"/>
      <c r="Q1591" s="132"/>
      <c r="R1591" s="132"/>
      <c r="S1591" s="132"/>
      <c r="T1591" s="132"/>
      <c r="U1591" s="132"/>
      <c r="V1591" s="132"/>
      <c r="W1591" s="134"/>
      <c r="X1591" s="135"/>
      <c r="Y1591" s="132"/>
      <c r="Z1591" s="410"/>
      <c r="AA1591" s="410"/>
      <c r="AB1591" s="410"/>
      <c r="AC1591" s="410"/>
    </row>
    <row r="1592" spans="1:29" ht="23.25" x14ac:dyDescent="0.25">
      <c r="A1592" s="3"/>
      <c r="D1592" s="3"/>
      <c r="O1592" s="132"/>
      <c r="P1592" s="132"/>
      <c r="Q1592" s="132"/>
      <c r="R1592" s="132"/>
      <c r="S1592" s="132"/>
      <c r="T1592" s="132"/>
      <c r="U1592" s="132"/>
      <c r="V1592" s="132"/>
      <c r="W1592" s="132"/>
      <c r="X1592" s="135"/>
      <c r="Y1592" s="132"/>
      <c r="Z1592" s="411"/>
      <c r="AA1592" s="411"/>
      <c r="AB1592" s="411"/>
    </row>
    <row r="1593" spans="1:29" ht="23.25" x14ac:dyDescent="0.25">
      <c r="Z1593" s="411"/>
      <c r="AA1593" s="411"/>
      <c r="AB1593" s="411"/>
      <c r="AC1593" s="411"/>
    </row>
  </sheetData>
  <mergeCells count="58">
    <mergeCell ref="Z1586:AB1586"/>
    <mergeCell ref="Z1587:AB1587"/>
    <mergeCell ref="Z1591:AC1591"/>
    <mergeCell ref="Z1592:AB1592"/>
    <mergeCell ref="Z1593:AC1593"/>
    <mergeCell ref="E644:F644"/>
    <mergeCell ref="A1582:L1582"/>
    <mergeCell ref="Z1584:AB1584"/>
    <mergeCell ref="Z1585:AB1585"/>
    <mergeCell ref="AD71:AE71"/>
    <mergeCell ref="AD72:AE72"/>
    <mergeCell ref="AD73:AE73"/>
    <mergeCell ref="AD74:AE74"/>
    <mergeCell ref="AD75:AE75"/>
    <mergeCell ref="AD77:AE77"/>
    <mergeCell ref="AD63:AE63"/>
    <mergeCell ref="AD64:AE64"/>
    <mergeCell ref="AD65:AE65"/>
    <mergeCell ref="AD66:AE66"/>
    <mergeCell ref="AD68:AE68"/>
    <mergeCell ref="AD70:AE70"/>
    <mergeCell ref="AD4:AD6"/>
    <mergeCell ref="AE4:AE6"/>
    <mergeCell ref="A5:A6"/>
    <mergeCell ref="B5:B6"/>
    <mergeCell ref="C5:C6"/>
    <mergeCell ref="D5:D6"/>
    <mergeCell ref="E5:E6"/>
    <mergeCell ref="F5:F6"/>
    <mergeCell ref="M5:M6"/>
    <mergeCell ref="N5:N6"/>
    <mergeCell ref="U4:U6"/>
    <mergeCell ref="V4:Y4"/>
    <mergeCell ref="Z4:Z6"/>
    <mergeCell ref="AA4:AA6"/>
    <mergeCell ref="AB4:AB6"/>
    <mergeCell ref="Q4:R4"/>
    <mergeCell ref="S4:S6"/>
    <mergeCell ref="T4:T6"/>
    <mergeCell ref="O5:O6"/>
    <mergeCell ref="Q5:Q6"/>
    <mergeCell ref="R5:R6"/>
    <mergeCell ref="A1:AE1"/>
    <mergeCell ref="A2:AE2"/>
    <mergeCell ref="A3:AE3"/>
    <mergeCell ref="A4:C4"/>
    <mergeCell ref="D4:F4"/>
    <mergeCell ref="G4:G6"/>
    <mergeCell ref="H4:H6"/>
    <mergeCell ref="I4:I6"/>
    <mergeCell ref="J4:J6"/>
    <mergeCell ref="K4:K6"/>
    <mergeCell ref="AC4:AC6"/>
    <mergeCell ref="V5:W5"/>
    <mergeCell ref="X5:Y5"/>
    <mergeCell ref="L4:L5"/>
    <mergeCell ref="M4:O4"/>
    <mergeCell ref="P4:P6"/>
  </mergeCells>
  <pageMargins left="0.11811023622047245" right="0.70866141732283472" top="0.74803149606299213" bottom="0.74803149606299213" header="0.31496062992125984" footer="0.31496062992125984"/>
  <pageSetup paperSize="5" scale="39" orientation="landscape" horizontalDpi="200" verticalDpi="200" r:id="rId1"/>
  <headerFoot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3AF3F-B95D-485D-8208-12867D587DD3}">
  <dimension ref="A1:AL1874"/>
  <sheetViews>
    <sheetView view="pageBreakPreview" zoomScale="85" zoomScaleNormal="100" zoomScaleSheetLayoutView="85" workbookViewId="0">
      <pane xSplit="8" ySplit="10" topLeftCell="I868" activePane="bottomRight" state="frozen"/>
      <selection pane="topRight" activeCell="I1" sqref="I1"/>
      <selection pane="bottomLeft" activeCell="A11" sqref="A11"/>
      <selection pane="bottomRight" activeCell="O1825" sqref="O1825"/>
    </sheetView>
  </sheetViews>
  <sheetFormatPr defaultColWidth="9.140625" defaultRowHeight="15" x14ac:dyDescent="0.25"/>
  <cols>
    <col min="1" max="1" width="3.42578125" style="351" bestFit="1" customWidth="1"/>
    <col min="2" max="2" width="7" style="357" bestFit="1" customWidth="1"/>
    <col min="3" max="3" width="8.140625" style="357" customWidth="1"/>
    <col min="4" max="4" width="7.28515625" style="357" customWidth="1"/>
    <col min="5" max="5" width="8.140625" style="357" customWidth="1"/>
    <col min="6" max="6" width="10" style="357" customWidth="1"/>
    <col min="7" max="7" width="9.85546875" style="357" customWidth="1"/>
    <col min="8" max="8" width="43.5703125" style="357" customWidth="1"/>
    <col min="9" max="9" width="24.42578125" style="354" bestFit="1" customWidth="1"/>
    <col min="10" max="10" width="21.85546875" style="357" customWidth="1"/>
    <col min="11" max="11" width="20.28515625" style="357" customWidth="1"/>
    <col min="12" max="12" width="20.42578125" style="357" customWidth="1"/>
    <col min="13" max="13" width="21.7109375" style="357" customWidth="1"/>
    <col min="14" max="14" width="23.85546875" style="356" customWidth="1"/>
    <col min="15" max="15" width="23.140625" style="356" customWidth="1"/>
    <col min="16" max="16" width="23" style="356" customWidth="1"/>
    <col min="17" max="18" width="9.140625" style="356" customWidth="1"/>
    <col min="19" max="19" width="9.140625" style="356"/>
    <col min="20" max="20" width="16.5703125" style="356" bestFit="1" customWidth="1"/>
    <col min="21" max="16384" width="9.140625" style="356"/>
  </cols>
  <sheetData>
    <row r="1" spans="1:36" s="320" customFormat="1" ht="17.25" customHeight="1" x14ac:dyDescent="0.25">
      <c r="A1" s="319"/>
      <c r="B1" s="468" t="s">
        <v>1804</v>
      </c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</row>
    <row r="2" spans="1:36" s="320" customFormat="1" ht="18" customHeight="1" x14ac:dyDescent="0.25">
      <c r="A2" s="319"/>
      <c r="B2" s="468" t="s">
        <v>1805</v>
      </c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</row>
    <row r="3" spans="1:36" s="320" customFormat="1" ht="15" customHeight="1" x14ac:dyDescent="0.25">
      <c r="A3" s="319"/>
      <c r="B3" s="469" t="s">
        <v>3712</v>
      </c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</row>
    <row r="4" spans="1:36" s="320" customFormat="1" ht="15" customHeight="1" x14ac:dyDescent="0.25">
      <c r="A4" s="319"/>
      <c r="B4" s="321"/>
      <c r="C4" s="321"/>
      <c r="D4" s="321"/>
      <c r="E4" s="321"/>
      <c r="F4" s="321"/>
      <c r="G4" s="321"/>
      <c r="H4" s="321"/>
      <c r="I4" s="321"/>
      <c r="J4" s="321"/>
      <c r="K4" s="321"/>
      <c r="L4" s="321"/>
      <c r="M4" s="321"/>
      <c r="N4" s="322"/>
      <c r="O4" s="397"/>
      <c r="P4" s="321"/>
    </row>
    <row r="5" spans="1:36" s="325" customFormat="1" ht="15" customHeight="1" x14ac:dyDescent="0.25">
      <c r="A5" s="323"/>
      <c r="B5" s="324" t="s">
        <v>1807</v>
      </c>
      <c r="C5" s="201" t="s">
        <v>1808</v>
      </c>
      <c r="D5" s="201"/>
      <c r="E5" s="201"/>
      <c r="F5" s="201"/>
      <c r="G5" s="201"/>
      <c r="H5" s="201"/>
      <c r="I5" s="201"/>
      <c r="J5" s="201"/>
      <c r="K5" s="201"/>
      <c r="L5" s="201"/>
      <c r="M5" s="394"/>
      <c r="N5" s="280"/>
      <c r="O5" s="385"/>
      <c r="P5" s="201"/>
      <c r="Q5" s="201"/>
      <c r="R5" s="201"/>
      <c r="S5" s="201"/>
      <c r="T5" s="201"/>
      <c r="U5" s="201"/>
      <c r="V5" s="201"/>
      <c r="W5" s="201"/>
      <c r="X5" s="201"/>
      <c r="Y5" s="201"/>
      <c r="Z5" s="201"/>
      <c r="AA5" s="201"/>
      <c r="AB5" s="201"/>
      <c r="AC5" s="201"/>
      <c r="AD5" s="201"/>
      <c r="AE5" s="201"/>
      <c r="AF5" s="201"/>
      <c r="AG5" s="201"/>
      <c r="AH5" s="201"/>
      <c r="AI5" s="201"/>
      <c r="AJ5" s="201"/>
    </row>
    <row r="6" spans="1:36" s="320" customFormat="1" x14ac:dyDescent="0.25">
      <c r="A6" s="319"/>
      <c r="I6" s="326"/>
      <c r="M6" s="387"/>
      <c r="N6" s="386"/>
      <c r="O6" s="387"/>
    </row>
    <row r="7" spans="1:36" s="320" customFormat="1" ht="22.5" customHeight="1" x14ac:dyDescent="0.25">
      <c r="A7" s="319"/>
      <c r="B7" s="470" t="s">
        <v>22</v>
      </c>
      <c r="C7" s="470" t="s">
        <v>1809</v>
      </c>
      <c r="D7" s="470" t="s">
        <v>1810</v>
      </c>
      <c r="E7" s="470" t="s">
        <v>1811</v>
      </c>
      <c r="F7" s="470" t="s">
        <v>1812</v>
      </c>
      <c r="G7" s="470" t="s">
        <v>1813</v>
      </c>
      <c r="H7" s="466" t="s">
        <v>1814</v>
      </c>
      <c r="I7" s="466" t="s">
        <v>1815</v>
      </c>
      <c r="J7" s="466" t="s">
        <v>1816</v>
      </c>
      <c r="K7" s="466" t="s">
        <v>1817</v>
      </c>
      <c r="L7" s="466" t="s">
        <v>1818</v>
      </c>
      <c r="M7" s="466" t="s">
        <v>1819</v>
      </c>
      <c r="N7" s="467" t="s">
        <v>3711</v>
      </c>
      <c r="O7" s="467" t="s">
        <v>1821</v>
      </c>
      <c r="P7" s="466" t="s">
        <v>21</v>
      </c>
    </row>
    <row r="8" spans="1:36" s="320" customFormat="1" ht="24.75" customHeight="1" x14ac:dyDescent="0.25">
      <c r="A8" s="319"/>
      <c r="B8" s="471"/>
      <c r="C8" s="471"/>
      <c r="D8" s="471"/>
      <c r="E8" s="471"/>
      <c r="F8" s="471"/>
      <c r="G8" s="471"/>
      <c r="H8" s="466"/>
      <c r="I8" s="466"/>
      <c r="J8" s="466"/>
      <c r="K8" s="466"/>
      <c r="L8" s="466"/>
      <c r="M8" s="466"/>
      <c r="N8" s="467"/>
      <c r="O8" s="467"/>
      <c r="P8" s="466"/>
    </row>
    <row r="9" spans="1:36" s="320" customFormat="1" ht="15" customHeight="1" x14ac:dyDescent="0.25">
      <c r="A9" s="319"/>
      <c r="B9" s="472"/>
      <c r="C9" s="472"/>
      <c r="D9" s="472"/>
      <c r="E9" s="472"/>
      <c r="F9" s="472"/>
      <c r="G9" s="472"/>
      <c r="H9" s="466"/>
      <c r="I9" s="466"/>
      <c r="J9" s="466"/>
      <c r="K9" s="466"/>
      <c r="L9" s="466"/>
      <c r="M9" s="466"/>
      <c r="N9" s="467"/>
      <c r="O9" s="467"/>
      <c r="P9" s="466"/>
    </row>
    <row r="10" spans="1:36" s="320" customFormat="1" x14ac:dyDescent="0.25">
      <c r="A10" s="319"/>
      <c r="B10" s="327">
        <v>1</v>
      </c>
      <c r="C10" s="327">
        <v>2</v>
      </c>
      <c r="D10" s="327"/>
      <c r="E10" s="327"/>
      <c r="F10" s="327"/>
      <c r="G10" s="327">
        <v>3</v>
      </c>
      <c r="H10" s="327">
        <v>4</v>
      </c>
      <c r="I10" s="328">
        <v>5</v>
      </c>
      <c r="J10" s="327">
        <v>6</v>
      </c>
      <c r="K10" s="328">
        <v>7</v>
      </c>
      <c r="L10" s="327">
        <v>8</v>
      </c>
      <c r="M10" s="328">
        <v>9</v>
      </c>
      <c r="N10" s="329">
        <v>10</v>
      </c>
      <c r="O10" s="330">
        <v>11</v>
      </c>
      <c r="P10" s="327">
        <v>12</v>
      </c>
    </row>
    <row r="11" spans="1:36" s="213" customFormat="1" x14ac:dyDescent="0.25">
      <c r="A11" s="208"/>
      <c r="B11" s="209" t="s">
        <v>1822</v>
      </c>
      <c r="C11" s="209" t="s">
        <v>1823</v>
      </c>
      <c r="D11" s="209"/>
      <c r="E11" s="209"/>
      <c r="F11" s="209"/>
      <c r="G11" s="209"/>
      <c r="H11" s="210" t="s">
        <v>1824</v>
      </c>
      <c r="I11" s="211">
        <f>SUM(I13+I54+I628+I703+I868+I968)</f>
        <v>38489814404.004616</v>
      </c>
      <c r="J11" s="211">
        <f t="shared" ref="J11:O11" si="0">SUM(J13+J54+J628+J703+J868+J968)</f>
        <v>2281276724.3075852</v>
      </c>
      <c r="K11" s="211">
        <f t="shared" si="0"/>
        <v>574060949.75224078</v>
      </c>
      <c r="L11" s="211">
        <f t="shared" si="0"/>
        <v>494283325.07219541</v>
      </c>
      <c r="M11" s="211">
        <f>SUM(K11+L11)</f>
        <v>1068344274.8244362</v>
      </c>
      <c r="N11" s="211">
        <f>SUM(N13+N54+N628+N703+N868+N968)-0.48</f>
        <v>21601343410.487553</v>
      </c>
      <c r="O11" s="211">
        <f t="shared" si="0"/>
        <v>17034903566.585154</v>
      </c>
      <c r="P11" s="211"/>
      <c r="Q11" s="212"/>
    </row>
    <row r="12" spans="1:36" s="219" customFormat="1" hidden="1" x14ac:dyDescent="0.25">
      <c r="A12" s="214"/>
      <c r="B12" s="215"/>
      <c r="C12" s="215"/>
      <c r="D12" s="215"/>
      <c r="E12" s="215"/>
      <c r="F12" s="215"/>
      <c r="G12" s="215"/>
      <c r="H12" s="216"/>
      <c r="I12" s="217"/>
      <c r="J12" s="217"/>
      <c r="K12" s="217"/>
      <c r="L12" s="217"/>
      <c r="M12" s="217"/>
      <c r="N12" s="217"/>
      <c r="O12" s="217"/>
      <c r="P12" s="217"/>
      <c r="Q12" s="218"/>
    </row>
    <row r="13" spans="1:36" s="213" customFormat="1" hidden="1" x14ac:dyDescent="0.25">
      <c r="A13" s="208">
        <v>1</v>
      </c>
      <c r="B13" s="209" t="s">
        <v>1822</v>
      </c>
      <c r="C13" s="209" t="s">
        <v>1823</v>
      </c>
      <c r="D13" s="209" t="s">
        <v>1825</v>
      </c>
      <c r="E13" s="209"/>
      <c r="F13" s="209"/>
      <c r="G13" s="209"/>
      <c r="H13" s="210" t="s">
        <v>1826</v>
      </c>
      <c r="I13" s="211">
        <f>I14</f>
        <v>0</v>
      </c>
      <c r="J13" s="211">
        <f t="shared" ref="J13:O13" si="1">J14</f>
        <v>0</v>
      </c>
      <c r="K13" s="211">
        <f t="shared" si="1"/>
        <v>0</v>
      </c>
      <c r="L13" s="211">
        <f t="shared" si="1"/>
        <v>0</v>
      </c>
      <c r="M13" s="211">
        <f t="shared" si="1"/>
        <v>0</v>
      </c>
      <c r="N13" s="211">
        <f t="shared" si="1"/>
        <v>0</v>
      </c>
      <c r="O13" s="211">
        <f t="shared" si="1"/>
        <v>0</v>
      </c>
      <c r="P13" s="211"/>
      <c r="Q13" s="212"/>
    </row>
    <row r="14" spans="1:36" s="213" customFormat="1" hidden="1" x14ac:dyDescent="0.25">
      <c r="A14" s="208" t="s">
        <v>1827</v>
      </c>
      <c r="B14" s="209" t="s">
        <v>1822</v>
      </c>
      <c r="C14" s="209" t="s">
        <v>1823</v>
      </c>
      <c r="D14" s="209" t="s">
        <v>1825</v>
      </c>
      <c r="E14" s="209" t="s">
        <v>1825</v>
      </c>
      <c r="F14" s="209"/>
      <c r="G14" s="209"/>
      <c r="H14" s="210" t="s">
        <v>1826</v>
      </c>
      <c r="I14" s="211">
        <f>SUM(I15+I23+I33)</f>
        <v>0</v>
      </c>
      <c r="J14" s="211">
        <f t="shared" ref="J14:O14" si="2">SUM(J15+J23+J33)</f>
        <v>0</v>
      </c>
      <c r="K14" s="211">
        <f t="shared" si="2"/>
        <v>0</v>
      </c>
      <c r="L14" s="211">
        <f t="shared" si="2"/>
        <v>0</v>
      </c>
      <c r="M14" s="211">
        <f t="shared" si="2"/>
        <v>0</v>
      </c>
      <c r="N14" s="211">
        <f t="shared" si="2"/>
        <v>0</v>
      </c>
      <c r="O14" s="211">
        <f t="shared" si="2"/>
        <v>0</v>
      </c>
      <c r="P14" s="211"/>
      <c r="Q14" s="212"/>
    </row>
    <row r="15" spans="1:36" s="213" customFormat="1" hidden="1" x14ac:dyDescent="0.25">
      <c r="A15" s="208" t="s">
        <v>263</v>
      </c>
      <c r="B15" s="209" t="s">
        <v>1822</v>
      </c>
      <c r="C15" s="209" t="s">
        <v>1823</v>
      </c>
      <c r="D15" s="209" t="s">
        <v>1825</v>
      </c>
      <c r="E15" s="209" t="s">
        <v>1825</v>
      </c>
      <c r="F15" s="209" t="s">
        <v>1825</v>
      </c>
      <c r="G15" s="209"/>
      <c r="H15" s="210" t="s">
        <v>1828</v>
      </c>
      <c r="I15" s="211">
        <f>SUM(I16:I22)</f>
        <v>0</v>
      </c>
      <c r="J15" s="211">
        <f t="shared" ref="J15:O15" si="3">SUM(J16:J22)</f>
        <v>0</v>
      </c>
      <c r="K15" s="211">
        <f t="shared" si="3"/>
        <v>0</v>
      </c>
      <c r="L15" s="211">
        <f t="shared" si="3"/>
        <v>0</v>
      </c>
      <c r="M15" s="211">
        <f t="shared" si="3"/>
        <v>0</v>
      </c>
      <c r="N15" s="211">
        <f t="shared" si="3"/>
        <v>0</v>
      </c>
      <c r="O15" s="211">
        <f t="shared" si="3"/>
        <v>0</v>
      </c>
      <c r="P15" s="211"/>
      <c r="Q15" s="212"/>
    </row>
    <row r="16" spans="1:36" s="219" customFormat="1" ht="30" hidden="1" x14ac:dyDescent="0.25">
      <c r="A16" s="214"/>
      <c r="B16" s="215" t="s">
        <v>1822</v>
      </c>
      <c r="C16" s="215" t="s">
        <v>1823</v>
      </c>
      <c r="D16" s="215" t="s">
        <v>1825</v>
      </c>
      <c r="E16" s="215" t="s">
        <v>1825</v>
      </c>
      <c r="F16" s="215" t="s">
        <v>1825</v>
      </c>
      <c r="G16" s="215" t="s">
        <v>58</v>
      </c>
      <c r="H16" s="216" t="s">
        <v>1829</v>
      </c>
      <c r="I16" s="220"/>
      <c r="J16" s="220"/>
      <c r="K16" s="220"/>
      <c r="L16" s="220"/>
      <c r="M16" s="220"/>
      <c r="N16" s="220"/>
      <c r="O16" s="220"/>
      <c r="P16" s="220"/>
      <c r="Q16" s="218"/>
    </row>
    <row r="17" spans="1:17" s="219" customFormat="1" ht="30" hidden="1" x14ac:dyDescent="0.25">
      <c r="A17" s="214"/>
      <c r="B17" s="215" t="s">
        <v>1822</v>
      </c>
      <c r="C17" s="215" t="s">
        <v>1823</v>
      </c>
      <c r="D17" s="215" t="s">
        <v>1825</v>
      </c>
      <c r="E17" s="215" t="s">
        <v>1825</v>
      </c>
      <c r="F17" s="215" t="s">
        <v>1825</v>
      </c>
      <c r="G17" s="215" t="s">
        <v>75</v>
      </c>
      <c r="H17" s="216" t="s">
        <v>1830</v>
      </c>
      <c r="I17" s="217"/>
      <c r="J17" s="217"/>
      <c r="K17" s="217"/>
      <c r="L17" s="217"/>
      <c r="M17" s="217"/>
      <c r="N17" s="217"/>
      <c r="O17" s="217"/>
      <c r="P17" s="217"/>
      <c r="Q17" s="218"/>
    </row>
    <row r="18" spans="1:17" s="219" customFormat="1" hidden="1" x14ac:dyDescent="0.25">
      <c r="A18" s="214"/>
      <c r="B18" s="215" t="s">
        <v>1822</v>
      </c>
      <c r="C18" s="215" t="s">
        <v>1823</v>
      </c>
      <c r="D18" s="215" t="s">
        <v>1825</v>
      </c>
      <c r="E18" s="215" t="s">
        <v>1825</v>
      </c>
      <c r="F18" s="215" t="s">
        <v>1825</v>
      </c>
      <c r="G18" s="215" t="s">
        <v>79</v>
      </c>
      <c r="H18" s="216" t="s">
        <v>1831</v>
      </c>
      <c r="I18" s="217"/>
      <c r="J18" s="217"/>
      <c r="K18" s="217"/>
      <c r="L18" s="217"/>
      <c r="M18" s="217"/>
      <c r="N18" s="217"/>
      <c r="O18" s="217"/>
      <c r="P18" s="217"/>
      <c r="Q18" s="218"/>
    </row>
    <row r="19" spans="1:17" s="219" customFormat="1" hidden="1" x14ac:dyDescent="0.25">
      <c r="A19" s="214"/>
      <c r="B19" s="215" t="s">
        <v>1822</v>
      </c>
      <c r="C19" s="215" t="s">
        <v>1823</v>
      </c>
      <c r="D19" s="215" t="s">
        <v>1825</v>
      </c>
      <c r="E19" s="215" t="s">
        <v>1825</v>
      </c>
      <c r="F19" s="215" t="s">
        <v>1825</v>
      </c>
      <c r="G19" s="215" t="s">
        <v>84</v>
      </c>
      <c r="H19" s="216" t="s">
        <v>1832</v>
      </c>
      <c r="I19" s="217"/>
      <c r="J19" s="217"/>
      <c r="K19" s="217"/>
      <c r="L19" s="217"/>
      <c r="M19" s="217"/>
      <c r="N19" s="217"/>
      <c r="O19" s="217"/>
      <c r="P19" s="217"/>
      <c r="Q19" s="218"/>
    </row>
    <row r="20" spans="1:17" s="219" customFormat="1" ht="30" hidden="1" x14ac:dyDescent="0.25">
      <c r="A20" s="214"/>
      <c r="B20" s="215" t="s">
        <v>1822</v>
      </c>
      <c r="C20" s="215" t="s">
        <v>1823</v>
      </c>
      <c r="D20" s="215" t="s">
        <v>1825</v>
      </c>
      <c r="E20" s="215" t="s">
        <v>1825</v>
      </c>
      <c r="F20" s="215" t="s">
        <v>1825</v>
      </c>
      <c r="G20" s="215" t="s">
        <v>88</v>
      </c>
      <c r="H20" s="216" t="s">
        <v>1833</v>
      </c>
      <c r="I20" s="217"/>
      <c r="J20" s="217"/>
      <c r="K20" s="217"/>
      <c r="L20" s="217"/>
      <c r="M20" s="217"/>
      <c r="N20" s="217"/>
      <c r="O20" s="217"/>
      <c r="P20" s="217"/>
      <c r="Q20" s="218"/>
    </row>
    <row r="21" spans="1:17" s="219" customFormat="1" ht="30" hidden="1" x14ac:dyDescent="0.25">
      <c r="A21" s="214"/>
      <c r="B21" s="215" t="s">
        <v>1822</v>
      </c>
      <c r="C21" s="215" t="s">
        <v>1823</v>
      </c>
      <c r="D21" s="215" t="s">
        <v>1825</v>
      </c>
      <c r="E21" s="215" t="s">
        <v>1825</v>
      </c>
      <c r="F21" s="215" t="s">
        <v>1825</v>
      </c>
      <c r="G21" s="215" t="s">
        <v>92</v>
      </c>
      <c r="H21" s="216" t="s">
        <v>1834</v>
      </c>
      <c r="I21" s="217"/>
      <c r="J21" s="217"/>
      <c r="K21" s="217"/>
      <c r="L21" s="217"/>
      <c r="M21" s="217"/>
      <c r="N21" s="217"/>
      <c r="O21" s="217"/>
      <c r="P21" s="217"/>
      <c r="Q21" s="218"/>
    </row>
    <row r="22" spans="1:17" s="219" customFormat="1" hidden="1" x14ac:dyDescent="0.25">
      <c r="A22" s="214"/>
      <c r="B22" s="215" t="s">
        <v>1822</v>
      </c>
      <c r="C22" s="215" t="s">
        <v>1823</v>
      </c>
      <c r="D22" s="215" t="s">
        <v>1825</v>
      </c>
      <c r="E22" s="215" t="s">
        <v>1825</v>
      </c>
      <c r="F22" s="215" t="s">
        <v>1825</v>
      </c>
      <c r="G22" s="215" t="s">
        <v>96</v>
      </c>
      <c r="H22" s="216" t="s">
        <v>1835</v>
      </c>
      <c r="I22" s="217"/>
      <c r="J22" s="217"/>
      <c r="K22" s="217"/>
      <c r="L22" s="217"/>
      <c r="M22" s="217"/>
      <c r="N22" s="217"/>
      <c r="O22" s="217"/>
      <c r="P22" s="217"/>
      <c r="Q22" s="218"/>
    </row>
    <row r="23" spans="1:17" s="213" customFormat="1" hidden="1" x14ac:dyDescent="0.25">
      <c r="A23" s="208" t="s">
        <v>263</v>
      </c>
      <c r="B23" s="209" t="s">
        <v>1822</v>
      </c>
      <c r="C23" s="209" t="s">
        <v>1823</v>
      </c>
      <c r="D23" s="209" t="s">
        <v>1825</v>
      </c>
      <c r="E23" s="209" t="s">
        <v>1825</v>
      </c>
      <c r="F23" s="209" t="s">
        <v>1836</v>
      </c>
      <c r="G23" s="209"/>
      <c r="H23" s="210" t="s">
        <v>1837</v>
      </c>
      <c r="I23" s="211">
        <f>SUM(I24:I32)</f>
        <v>0</v>
      </c>
      <c r="J23" s="211">
        <f t="shared" ref="J23:O23" si="4">SUM(J24:J32)</f>
        <v>0</v>
      </c>
      <c r="K23" s="211">
        <f t="shared" si="4"/>
        <v>0</v>
      </c>
      <c r="L23" s="211">
        <f t="shared" si="4"/>
        <v>0</v>
      </c>
      <c r="M23" s="211">
        <f t="shared" si="4"/>
        <v>0</v>
      </c>
      <c r="N23" s="211">
        <f t="shared" si="4"/>
        <v>0</v>
      </c>
      <c r="O23" s="211">
        <f t="shared" si="4"/>
        <v>0</v>
      </c>
      <c r="P23" s="211"/>
      <c r="Q23" s="212"/>
    </row>
    <row r="24" spans="1:17" s="219" customFormat="1" hidden="1" x14ac:dyDescent="0.25">
      <c r="A24" s="214"/>
      <c r="B24" s="215" t="s">
        <v>1822</v>
      </c>
      <c r="C24" s="215" t="s">
        <v>1823</v>
      </c>
      <c r="D24" s="215" t="s">
        <v>1825</v>
      </c>
      <c r="E24" s="215" t="s">
        <v>1825</v>
      </c>
      <c r="F24" s="215" t="s">
        <v>1836</v>
      </c>
      <c r="G24" s="215" t="s">
        <v>58</v>
      </c>
      <c r="H24" s="216" t="s">
        <v>1838</v>
      </c>
      <c r="I24" s="217"/>
      <c r="J24" s="217"/>
      <c r="K24" s="217"/>
      <c r="L24" s="217"/>
      <c r="M24" s="217"/>
      <c r="N24" s="217"/>
      <c r="O24" s="217"/>
      <c r="P24" s="217"/>
      <c r="Q24" s="218"/>
    </row>
    <row r="25" spans="1:17" s="219" customFormat="1" hidden="1" x14ac:dyDescent="0.25">
      <c r="A25" s="214"/>
      <c r="B25" s="215" t="s">
        <v>1822</v>
      </c>
      <c r="C25" s="215" t="s">
        <v>1823</v>
      </c>
      <c r="D25" s="215" t="s">
        <v>1825</v>
      </c>
      <c r="E25" s="215" t="s">
        <v>1825</v>
      </c>
      <c r="F25" s="215" t="s">
        <v>1836</v>
      </c>
      <c r="G25" s="215" t="s">
        <v>75</v>
      </c>
      <c r="H25" s="216" t="s">
        <v>1839</v>
      </c>
      <c r="I25" s="217"/>
      <c r="J25" s="217"/>
      <c r="K25" s="217"/>
      <c r="L25" s="217"/>
      <c r="M25" s="217"/>
      <c r="N25" s="217"/>
      <c r="O25" s="217"/>
      <c r="P25" s="217"/>
      <c r="Q25" s="218"/>
    </row>
    <row r="26" spans="1:17" s="219" customFormat="1" hidden="1" x14ac:dyDescent="0.25">
      <c r="A26" s="214"/>
      <c r="B26" s="215" t="s">
        <v>1822</v>
      </c>
      <c r="C26" s="215" t="s">
        <v>1823</v>
      </c>
      <c r="D26" s="215" t="s">
        <v>1825</v>
      </c>
      <c r="E26" s="215" t="s">
        <v>1825</v>
      </c>
      <c r="F26" s="215" t="s">
        <v>1836</v>
      </c>
      <c r="G26" s="215" t="s">
        <v>79</v>
      </c>
      <c r="H26" s="216" t="s">
        <v>1840</v>
      </c>
      <c r="I26" s="217"/>
      <c r="J26" s="217"/>
      <c r="K26" s="217"/>
      <c r="L26" s="217"/>
      <c r="M26" s="217"/>
      <c r="N26" s="217"/>
      <c r="O26" s="217"/>
      <c r="P26" s="217"/>
      <c r="Q26" s="218"/>
    </row>
    <row r="27" spans="1:17" s="219" customFormat="1" hidden="1" x14ac:dyDescent="0.25">
      <c r="A27" s="214"/>
      <c r="B27" s="215" t="s">
        <v>1822</v>
      </c>
      <c r="C27" s="215" t="s">
        <v>1823</v>
      </c>
      <c r="D27" s="215" t="s">
        <v>1825</v>
      </c>
      <c r="E27" s="215" t="s">
        <v>1825</v>
      </c>
      <c r="F27" s="215" t="s">
        <v>1836</v>
      </c>
      <c r="G27" s="215" t="s">
        <v>84</v>
      </c>
      <c r="H27" s="216" t="s">
        <v>1841</v>
      </c>
      <c r="I27" s="217"/>
      <c r="J27" s="217"/>
      <c r="K27" s="217"/>
      <c r="L27" s="217"/>
      <c r="M27" s="217"/>
      <c r="N27" s="217"/>
      <c r="O27" s="217"/>
      <c r="P27" s="217"/>
      <c r="Q27" s="218"/>
    </row>
    <row r="28" spans="1:17" s="219" customFormat="1" hidden="1" x14ac:dyDescent="0.25">
      <c r="A28" s="214"/>
      <c r="B28" s="215" t="s">
        <v>1822</v>
      </c>
      <c r="C28" s="215" t="s">
        <v>1823</v>
      </c>
      <c r="D28" s="215" t="s">
        <v>1825</v>
      </c>
      <c r="E28" s="215" t="s">
        <v>1825</v>
      </c>
      <c r="F28" s="215" t="s">
        <v>1836</v>
      </c>
      <c r="G28" s="215" t="s">
        <v>88</v>
      </c>
      <c r="H28" s="216" t="s">
        <v>1842</v>
      </c>
      <c r="I28" s="217"/>
      <c r="J28" s="217"/>
      <c r="K28" s="217"/>
      <c r="L28" s="217"/>
      <c r="M28" s="217"/>
      <c r="N28" s="217"/>
      <c r="O28" s="217"/>
      <c r="P28" s="217"/>
      <c r="Q28" s="218"/>
    </row>
    <row r="29" spans="1:17" s="219" customFormat="1" hidden="1" x14ac:dyDescent="0.25">
      <c r="A29" s="214"/>
      <c r="B29" s="215" t="s">
        <v>1822</v>
      </c>
      <c r="C29" s="215" t="s">
        <v>1823</v>
      </c>
      <c r="D29" s="215" t="s">
        <v>1825</v>
      </c>
      <c r="E29" s="215" t="s">
        <v>1825</v>
      </c>
      <c r="F29" s="215" t="s">
        <v>1836</v>
      </c>
      <c r="G29" s="215" t="s">
        <v>92</v>
      </c>
      <c r="H29" s="216" t="s">
        <v>1843</v>
      </c>
      <c r="I29" s="217"/>
      <c r="J29" s="217"/>
      <c r="K29" s="217"/>
      <c r="L29" s="217"/>
      <c r="M29" s="217"/>
      <c r="N29" s="217"/>
      <c r="O29" s="217"/>
      <c r="P29" s="217"/>
      <c r="Q29" s="218"/>
    </row>
    <row r="30" spans="1:17" s="219" customFormat="1" hidden="1" x14ac:dyDescent="0.25">
      <c r="A30" s="214"/>
      <c r="B30" s="215" t="s">
        <v>1822</v>
      </c>
      <c r="C30" s="215" t="s">
        <v>1823</v>
      </c>
      <c r="D30" s="215" t="s">
        <v>1825</v>
      </c>
      <c r="E30" s="215" t="s">
        <v>1825</v>
      </c>
      <c r="F30" s="215" t="s">
        <v>1836</v>
      </c>
      <c r="G30" s="215" t="s">
        <v>96</v>
      </c>
      <c r="H30" s="216" t="s">
        <v>1844</v>
      </c>
      <c r="I30" s="217"/>
      <c r="J30" s="217"/>
      <c r="K30" s="217"/>
      <c r="L30" s="217"/>
      <c r="M30" s="217"/>
      <c r="N30" s="217"/>
      <c r="O30" s="217"/>
      <c r="P30" s="217"/>
      <c r="Q30" s="218"/>
    </row>
    <row r="31" spans="1:17" s="219" customFormat="1" hidden="1" x14ac:dyDescent="0.25">
      <c r="A31" s="214"/>
      <c r="B31" s="215" t="s">
        <v>1822</v>
      </c>
      <c r="C31" s="215" t="s">
        <v>1823</v>
      </c>
      <c r="D31" s="215" t="s">
        <v>1825</v>
      </c>
      <c r="E31" s="215" t="s">
        <v>1825</v>
      </c>
      <c r="F31" s="215" t="s">
        <v>1836</v>
      </c>
      <c r="G31" s="215" t="s">
        <v>100</v>
      </c>
      <c r="H31" s="216" t="s">
        <v>1845</v>
      </c>
      <c r="I31" s="217"/>
      <c r="J31" s="217"/>
      <c r="K31" s="217"/>
      <c r="L31" s="217"/>
      <c r="M31" s="217"/>
      <c r="N31" s="217"/>
      <c r="O31" s="217"/>
      <c r="P31" s="217"/>
      <c r="Q31" s="218"/>
    </row>
    <row r="32" spans="1:17" s="219" customFormat="1" hidden="1" x14ac:dyDescent="0.25">
      <c r="A32" s="214"/>
      <c r="B32" s="215" t="s">
        <v>1822</v>
      </c>
      <c r="C32" s="215" t="s">
        <v>1823</v>
      </c>
      <c r="D32" s="215" t="s">
        <v>1825</v>
      </c>
      <c r="E32" s="215" t="s">
        <v>1825</v>
      </c>
      <c r="F32" s="215" t="s">
        <v>1836</v>
      </c>
      <c r="G32" s="215" t="s">
        <v>105</v>
      </c>
      <c r="H32" s="216" t="s">
        <v>1846</v>
      </c>
      <c r="I32" s="217"/>
      <c r="J32" s="217"/>
      <c r="K32" s="217"/>
      <c r="L32" s="217"/>
      <c r="M32" s="217"/>
      <c r="N32" s="217"/>
      <c r="O32" s="217"/>
      <c r="P32" s="217"/>
      <c r="Q32" s="218"/>
    </row>
    <row r="33" spans="1:17" s="213" customFormat="1" hidden="1" x14ac:dyDescent="0.25">
      <c r="A33" s="208" t="s">
        <v>263</v>
      </c>
      <c r="B33" s="209" t="s">
        <v>1822</v>
      </c>
      <c r="C33" s="209" t="s">
        <v>1823</v>
      </c>
      <c r="D33" s="209" t="s">
        <v>1825</v>
      </c>
      <c r="E33" s="209" t="s">
        <v>1825</v>
      </c>
      <c r="F33" s="209" t="s">
        <v>1847</v>
      </c>
      <c r="G33" s="209"/>
      <c r="H33" s="210" t="s">
        <v>1848</v>
      </c>
      <c r="I33" s="211">
        <f>SUM(I34:I52)</f>
        <v>0</v>
      </c>
      <c r="J33" s="211">
        <f t="shared" ref="J33:O33" si="5">SUM(J34:J52)</f>
        <v>0</v>
      </c>
      <c r="K33" s="211">
        <f t="shared" si="5"/>
        <v>0</v>
      </c>
      <c r="L33" s="211">
        <f t="shared" si="5"/>
        <v>0</v>
      </c>
      <c r="M33" s="211">
        <f t="shared" si="5"/>
        <v>0</v>
      </c>
      <c r="N33" s="211">
        <f t="shared" si="5"/>
        <v>0</v>
      </c>
      <c r="O33" s="211">
        <f t="shared" si="5"/>
        <v>0</v>
      </c>
      <c r="P33" s="211"/>
      <c r="Q33" s="212"/>
    </row>
    <row r="34" spans="1:17" s="219" customFormat="1" hidden="1" x14ac:dyDescent="0.25">
      <c r="A34" s="214"/>
      <c r="B34" s="215" t="s">
        <v>1822</v>
      </c>
      <c r="C34" s="215" t="s">
        <v>1823</v>
      </c>
      <c r="D34" s="215" t="s">
        <v>1825</v>
      </c>
      <c r="E34" s="215" t="s">
        <v>1825</v>
      </c>
      <c r="F34" s="215" t="s">
        <v>1847</v>
      </c>
      <c r="G34" s="215" t="s">
        <v>58</v>
      </c>
      <c r="H34" s="216" t="s">
        <v>1849</v>
      </c>
      <c r="I34" s="217"/>
      <c r="J34" s="217"/>
      <c r="K34" s="217"/>
      <c r="L34" s="217"/>
      <c r="M34" s="217"/>
      <c r="N34" s="217"/>
      <c r="O34" s="217"/>
      <c r="P34" s="217"/>
      <c r="Q34" s="218"/>
    </row>
    <row r="35" spans="1:17" s="219" customFormat="1" hidden="1" x14ac:dyDescent="0.25">
      <c r="A35" s="214"/>
      <c r="B35" s="215" t="s">
        <v>1822</v>
      </c>
      <c r="C35" s="215" t="s">
        <v>1823</v>
      </c>
      <c r="D35" s="215" t="s">
        <v>1825</v>
      </c>
      <c r="E35" s="215" t="s">
        <v>1825</v>
      </c>
      <c r="F35" s="215" t="s">
        <v>1847</v>
      </c>
      <c r="G35" s="215" t="s">
        <v>75</v>
      </c>
      <c r="H35" s="216" t="s">
        <v>1850</v>
      </c>
      <c r="I35" s="217"/>
      <c r="J35" s="217"/>
      <c r="K35" s="217"/>
      <c r="L35" s="217"/>
      <c r="M35" s="217"/>
      <c r="N35" s="217"/>
      <c r="O35" s="217"/>
      <c r="P35" s="217"/>
      <c r="Q35" s="218"/>
    </row>
    <row r="36" spans="1:17" s="219" customFormat="1" hidden="1" x14ac:dyDescent="0.25">
      <c r="A36" s="214"/>
      <c r="B36" s="215" t="s">
        <v>1822</v>
      </c>
      <c r="C36" s="215" t="s">
        <v>1823</v>
      </c>
      <c r="D36" s="215" t="s">
        <v>1825</v>
      </c>
      <c r="E36" s="215" t="s">
        <v>1825</v>
      </c>
      <c r="F36" s="215" t="s">
        <v>1847</v>
      </c>
      <c r="G36" s="215" t="s">
        <v>79</v>
      </c>
      <c r="H36" s="216" t="s">
        <v>1851</v>
      </c>
      <c r="I36" s="217"/>
      <c r="J36" s="217"/>
      <c r="K36" s="217"/>
      <c r="L36" s="217"/>
      <c r="M36" s="217"/>
      <c r="N36" s="217"/>
      <c r="O36" s="217"/>
      <c r="P36" s="217"/>
      <c r="Q36" s="218"/>
    </row>
    <row r="37" spans="1:17" s="219" customFormat="1" ht="30" hidden="1" x14ac:dyDescent="0.25">
      <c r="A37" s="214"/>
      <c r="B37" s="215" t="s">
        <v>1822</v>
      </c>
      <c r="C37" s="215" t="s">
        <v>1823</v>
      </c>
      <c r="D37" s="215" t="s">
        <v>1825</v>
      </c>
      <c r="E37" s="215" t="s">
        <v>1825</v>
      </c>
      <c r="F37" s="215" t="s">
        <v>1847</v>
      </c>
      <c r="G37" s="215" t="s">
        <v>84</v>
      </c>
      <c r="H37" s="216" t="s">
        <v>1852</v>
      </c>
      <c r="I37" s="217"/>
      <c r="J37" s="217"/>
      <c r="K37" s="217"/>
      <c r="L37" s="217"/>
      <c r="M37" s="217"/>
      <c r="N37" s="217"/>
      <c r="O37" s="217"/>
      <c r="P37" s="217"/>
      <c r="Q37" s="218"/>
    </row>
    <row r="38" spans="1:17" s="219" customFormat="1" ht="30" hidden="1" x14ac:dyDescent="0.25">
      <c r="A38" s="214"/>
      <c r="B38" s="215" t="s">
        <v>1822</v>
      </c>
      <c r="C38" s="215" t="s">
        <v>1823</v>
      </c>
      <c r="D38" s="215" t="s">
        <v>1825</v>
      </c>
      <c r="E38" s="215" t="s">
        <v>1825</v>
      </c>
      <c r="F38" s="215" t="s">
        <v>1847</v>
      </c>
      <c r="G38" s="215" t="s">
        <v>88</v>
      </c>
      <c r="H38" s="216" t="s">
        <v>1853</v>
      </c>
      <c r="I38" s="217"/>
      <c r="J38" s="217"/>
      <c r="K38" s="217"/>
      <c r="L38" s="217"/>
      <c r="M38" s="217"/>
      <c r="N38" s="217"/>
      <c r="O38" s="217"/>
      <c r="P38" s="217"/>
      <c r="Q38" s="218"/>
    </row>
    <row r="39" spans="1:17" s="219" customFormat="1" hidden="1" x14ac:dyDescent="0.25">
      <c r="A39" s="214"/>
      <c r="B39" s="215" t="s">
        <v>1822</v>
      </c>
      <c r="C39" s="215" t="s">
        <v>1823</v>
      </c>
      <c r="D39" s="215" t="s">
        <v>1825</v>
      </c>
      <c r="E39" s="215" t="s">
        <v>1825</v>
      </c>
      <c r="F39" s="215" t="s">
        <v>1847</v>
      </c>
      <c r="G39" s="215" t="s">
        <v>92</v>
      </c>
      <c r="H39" s="216" t="s">
        <v>1854</v>
      </c>
      <c r="I39" s="217"/>
      <c r="J39" s="217"/>
      <c r="K39" s="217"/>
      <c r="L39" s="217"/>
      <c r="M39" s="217"/>
      <c r="N39" s="217"/>
      <c r="O39" s="217"/>
      <c r="P39" s="217"/>
      <c r="Q39" s="218"/>
    </row>
    <row r="40" spans="1:17" s="219" customFormat="1" hidden="1" x14ac:dyDescent="0.25">
      <c r="A40" s="214"/>
      <c r="B40" s="215" t="s">
        <v>1822</v>
      </c>
      <c r="C40" s="215" t="s">
        <v>1823</v>
      </c>
      <c r="D40" s="215" t="s">
        <v>1825</v>
      </c>
      <c r="E40" s="215" t="s">
        <v>1825</v>
      </c>
      <c r="F40" s="215" t="s">
        <v>1847</v>
      </c>
      <c r="G40" s="215" t="s">
        <v>96</v>
      </c>
      <c r="H40" s="216" t="s">
        <v>1855</v>
      </c>
      <c r="I40" s="217"/>
      <c r="J40" s="217"/>
      <c r="K40" s="217"/>
      <c r="L40" s="217"/>
      <c r="M40" s="217"/>
      <c r="N40" s="217"/>
      <c r="O40" s="217"/>
      <c r="P40" s="217"/>
      <c r="Q40" s="218"/>
    </row>
    <row r="41" spans="1:17" s="219" customFormat="1" hidden="1" x14ac:dyDescent="0.25">
      <c r="A41" s="214"/>
      <c r="B41" s="215" t="s">
        <v>1822</v>
      </c>
      <c r="C41" s="215" t="s">
        <v>1823</v>
      </c>
      <c r="D41" s="215" t="s">
        <v>1825</v>
      </c>
      <c r="E41" s="215" t="s">
        <v>1825</v>
      </c>
      <c r="F41" s="215" t="s">
        <v>1847</v>
      </c>
      <c r="G41" s="215" t="s">
        <v>100</v>
      </c>
      <c r="H41" s="216" t="s">
        <v>1856</v>
      </c>
      <c r="I41" s="217"/>
      <c r="J41" s="217"/>
      <c r="K41" s="217"/>
      <c r="L41" s="217"/>
      <c r="M41" s="217"/>
      <c r="N41" s="217"/>
      <c r="O41" s="217"/>
      <c r="P41" s="217"/>
      <c r="Q41" s="218"/>
    </row>
    <row r="42" spans="1:17" s="219" customFormat="1" hidden="1" x14ac:dyDescent="0.25">
      <c r="A42" s="214"/>
      <c r="B42" s="215" t="s">
        <v>1822</v>
      </c>
      <c r="C42" s="215" t="s">
        <v>1823</v>
      </c>
      <c r="D42" s="215" t="s">
        <v>1825</v>
      </c>
      <c r="E42" s="215" t="s">
        <v>1825</v>
      </c>
      <c r="F42" s="215" t="s">
        <v>1847</v>
      </c>
      <c r="G42" s="215" t="s">
        <v>105</v>
      </c>
      <c r="H42" s="216" t="s">
        <v>1857</v>
      </c>
      <c r="I42" s="217"/>
      <c r="J42" s="217"/>
      <c r="K42" s="217"/>
      <c r="L42" s="217"/>
      <c r="M42" s="217"/>
      <c r="N42" s="217"/>
      <c r="O42" s="217"/>
      <c r="P42" s="217"/>
      <c r="Q42" s="218"/>
    </row>
    <row r="43" spans="1:17" s="219" customFormat="1" hidden="1" x14ac:dyDescent="0.25">
      <c r="A43" s="214"/>
      <c r="B43" s="215" t="s">
        <v>1822</v>
      </c>
      <c r="C43" s="215" t="s">
        <v>1823</v>
      </c>
      <c r="D43" s="215" t="s">
        <v>1825</v>
      </c>
      <c r="E43" s="215" t="s">
        <v>1825</v>
      </c>
      <c r="F43" s="215" t="s">
        <v>1847</v>
      </c>
      <c r="G43" s="215" t="s">
        <v>108</v>
      </c>
      <c r="H43" s="216" t="s">
        <v>1858</v>
      </c>
      <c r="I43" s="217"/>
      <c r="J43" s="217"/>
      <c r="K43" s="217"/>
      <c r="L43" s="217"/>
      <c r="M43" s="217"/>
      <c r="N43" s="217"/>
      <c r="O43" s="217"/>
      <c r="P43" s="217"/>
      <c r="Q43" s="218"/>
    </row>
    <row r="44" spans="1:17" s="219" customFormat="1" hidden="1" x14ac:dyDescent="0.25">
      <c r="A44" s="214"/>
      <c r="B44" s="215" t="s">
        <v>1822</v>
      </c>
      <c r="C44" s="215" t="s">
        <v>1823</v>
      </c>
      <c r="D44" s="215" t="s">
        <v>1825</v>
      </c>
      <c r="E44" s="215" t="s">
        <v>1825</v>
      </c>
      <c r="F44" s="215" t="s">
        <v>1847</v>
      </c>
      <c r="G44" s="215" t="s">
        <v>135</v>
      </c>
      <c r="H44" s="216" t="s">
        <v>1859</v>
      </c>
      <c r="I44" s="217"/>
      <c r="J44" s="217"/>
      <c r="K44" s="217"/>
      <c r="L44" s="217"/>
      <c r="M44" s="217"/>
      <c r="N44" s="217"/>
      <c r="O44" s="217"/>
      <c r="P44" s="217"/>
      <c r="Q44" s="218"/>
    </row>
    <row r="45" spans="1:17" s="219" customFormat="1" hidden="1" x14ac:dyDescent="0.25">
      <c r="A45" s="214"/>
      <c r="B45" s="215" t="s">
        <v>1822</v>
      </c>
      <c r="C45" s="215" t="s">
        <v>1823</v>
      </c>
      <c r="D45" s="215" t="s">
        <v>1825</v>
      </c>
      <c r="E45" s="215" t="s">
        <v>1825</v>
      </c>
      <c r="F45" s="215" t="s">
        <v>1847</v>
      </c>
      <c r="G45" s="215" t="s">
        <v>138</v>
      </c>
      <c r="H45" s="216" t="s">
        <v>1860</v>
      </c>
      <c r="I45" s="217"/>
      <c r="J45" s="217"/>
      <c r="K45" s="217"/>
      <c r="L45" s="217"/>
      <c r="M45" s="217"/>
      <c r="N45" s="217"/>
      <c r="O45" s="217"/>
      <c r="P45" s="217"/>
      <c r="Q45" s="218"/>
    </row>
    <row r="46" spans="1:17" s="219" customFormat="1" hidden="1" x14ac:dyDescent="0.25">
      <c r="A46" s="214"/>
      <c r="B46" s="215" t="s">
        <v>1822</v>
      </c>
      <c r="C46" s="215" t="s">
        <v>1823</v>
      </c>
      <c r="D46" s="215" t="s">
        <v>1825</v>
      </c>
      <c r="E46" s="215" t="s">
        <v>1825</v>
      </c>
      <c r="F46" s="215" t="s">
        <v>1847</v>
      </c>
      <c r="G46" s="215" t="s">
        <v>140</v>
      </c>
      <c r="H46" s="216" t="s">
        <v>1861</v>
      </c>
      <c r="I46" s="217"/>
      <c r="J46" s="217"/>
      <c r="K46" s="217"/>
      <c r="L46" s="217"/>
      <c r="M46" s="217"/>
      <c r="N46" s="217"/>
      <c r="O46" s="217"/>
      <c r="P46" s="217"/>
      <c r="Q46" s="218"/>
    </row>
    <row r="47" spans="1:17" s="219" customFormat="1" hidden="1" x14ac:dyDescent="0.25">
      <c r="A47" s="214"/>
      <c r="B47" s="215" t="s">
        <v>1822</v>
      </c>
      <c r="C47" s="215" t="s">
        <v>1823</v>
      </c>
      <c r="D47" s="215" t="s">
        <v>1825</v>
      </c>
      <c r="E47" s="215" t="s">
        <v>1825</v>
      </c>
      <c r="F47" s="215" t="s">
        <v>1847</v>
      </c>
      <c r="G47" s="215" t="s">
        <v>143</v>
      </c>
      <c r="H47" s="216" t="s">
        <v>1862</v>
      </c>
      <c r="I47" s="217"/>
      <c r="J47" s="217"/>
      <c r="K47" s="217"/>
      <c r="L47" s="217"/>
      <c r="M47" s="217"/>
      <c r="N47" s="217"/>
      <c r="O47" s="217"/>
      <c r="P47" s="217"/>
      <c r="Q47" s="218"/>
    </row>
    <row r="48" spans="1:17" s="219" customFormat="1" hidden="1" x14ac:dyDescent="0.25">
      <c r="A48" s="214"/>
      <c r="B48" s="215" t="s">
        <v>1822</v>
      </c>
      <c r="C48" s="215" t="s">
        <v>1823</v>
      </c>
      <c r="D48" s="215" t="s">
        <v>1825</v>
      </c>
      <c r="E48" s="215" t="s">
        <v>1825</v>
      </c>
      <c r="F48" s="215" t="s">
        <v>1847</v>
      </c>
      <c r="G48" s="215" t="s">
        <v>146</v>
      </c>
      <c r="H48" s="216" t="s">
        <v>1863</v>
      </c>
      <c r="I48" s="217"/>
      <c r="J48" s="217"/>
      <c r="K48" s="217"/>
      <c r="L48" s="217"/>
      <c r="M48" s="217"/>
      <c r="N48" s="217"/>
      <c r="O48" s="217"/>
      <c r="P48" s="217"/>
      <c r="Q48" s="218"/>
    </row>
    <row r="49" spans="1:17" s="219" customFormat="1" hidden="1" x14ac:dyDescent="0.25">
      <c r="A49" s="214"/>
      <c r="B49" s="215" t="s">
        <v>1822</v>
      </c>
      <c r="C49" s="215" t="s">
        <v>1823</v>
      </c>
      <c r="D49" s="215" t="s">
        <v>1825</v>
      </c>
      <c r="E49" s="215" t="s">
        <v>1825</v>
      </c>
      <c r="F49" s="215" t="s">
        <v>1847</v>
      </c>
      <c r="G49" s="215" t="s">
        <v>150</v>
      </c>
      <c r="H49" s="216" t="s">
        <v>1864</v>
      </c>
      <c r="I49" s="217"/>
      <c r="J49" s="217"/>
      <c r="K49" s="217"/>
      <c r="L49" s="217"/>
      <c r="M49" s="217"/>
      <c r="N49" s="217"/>
      <c r="O49" s="217"/>
      <c r="P49" s="217"/>
      <c r="Q49" s="218"/>
    </row>
    <row r="50" spans="1:17" s="219" customFormat="1" hidden="1" x14ac:dyDescent="0.25">
      <c r="A50" s="214"/>
      <c r="B50" s="215" t="s">
        <v>1822</v>
      </c>
      <c r="C50" s="215" t="s">
        <v>1823</v>
      </c>
      <c r="D50" s="215" t="s">
        <v>1825</v>
      </c>
      <c r="E50" s="215" t="s">
        <v>1825</v>
      </c>
      <c r="F50" s="215" t="s">
        <v>1847</v>
      </c>
      <c r="G50" s="215" t="s">
        <v>153</v>
      </c>
      <c r="H50" s="216" t="s">
        <v>1865</v>
      </c>
      <c r="I50" s="217"/>
      <c r="J50" s="217"/>
      <c r="K50" s="217"/>
      <c r="L50" s="217"/>
      <c r="M50" s="217"/>
      <c r="N50" s="217"/>
      <c r="O50" s="217"/>
      <c r="P50" s="217"/>
      <c r="Q50" s="218"/>
    </row>
    <row r="51" spans="1:17" s="219" customFormat="1" hidden="1" x14ac:dyDescent="0.25">
      <c r="A51" s="214"/>
      <c r="B51" s="215" t="s">
        <v>1822</v>
      </c>
      <c r="C51" s="215" t="s">
        <v>1823</v>
      </c>
      <c r="D51" s="215" t="s">
        <v>1825</v>
      </c>
      <c r="E51" s="215" t="s">
        <v>1825</v>
      </c>
      <c r="F51" s="215" t="s">
        <v>1847</v>
      </c>
      <c r="G51" s="215" t="s">
        <v>156</v>
      </c>
      <c r="H51" s="216" t="s">
        <v>1866</v>
      </c>
      <c r="I51" s="217"/>
      <c r="J51" s="217"/>
      <c r="K51" s="217"/>
      <c r="L51" s="217"/>
      <c r="M51" s="217"/>
      <c r="N51" s="217"/>
      <c r="O51" s="217"/>
      <c r="P51" s="217"/>
      <c r="Q51" s="218"/>
    </row>
    <row r="52" spans="1:17" s="219" customFormat="1" hidden="1" x14ac:dyDescent="0.25">
      <c r="A52" s="214"/>
      <c r="B52" s="215" t="s">
        <v>1822</v>
      </c>
      <c r="C52" s="215" t="s">
        <v>1823</v>
      </c>
      <c r="D52" s="215" t="s">
        <v>1825</v>
      </c>
      <c r="E52" s="215" t="s">
        <v>1825</v>
      </c>
      <c r="F52" s="215" t="s">
        <v>1847</v>
      </c>
      <c r="G52" s="215" t="s">
        <v>159</v>
      </c>
      <c r="H52" s="216" t="s">
        <v>1867</v>
      </c>
      <c r="I52" s="217"/>
      <c r="J52" s="217"/>
      <c r="K52" s="217"/>
      <c r="L52" s="217"/>
      <c r="M52" s="217"/>
      <c r="N52" s="217"/>
      <c r="O52" s="217"/>
      <c r="P52" s="217"/>
      <c r="Q52" s="218"/>
    </row>
    <row r="53" spans="1:17" s="336" customFormat="1" x14ac:dyDescent="0.25">
      <c r="A53" s="331"/>
      <c r="B53" s="332"/>
      <c r="C53" s="333"/>
      <c r="D53" s="333"/>
      <c r="E53" s="333"/>
      <c r="F53" s="333"/>
      <c r="G53" s="334"/>
      <c r="H53" s="335"/>
      <c r="I53" s="226"/>
      <c r="J53" s="226"/>
      <c r="K53" s="226"/>
      <c r="L53" s="226"/>
      <c r="M53" s="226"/>
      <c r="N53" s="226"/>
      <c r="O53" s="226"/>
      <c r="P53" s="226"/>
    </row>
    <row r="54" spans="1:17" s="339" customFormat="1" x14ac:dyDescent="0.25">
      <c r="A54" s="337">
        <v>2</v>
      </c>
      <c r="B54" s="338">
        <v>2</v>
      </c>
      <c r="C54" s="333" t="s">
        <v>1836</v>
      </c>
      <c r="D54" s="333"/>
      <c r="E54" s="333"/>
      <c r="F54" s="333"/>
      <c r="G54" s="333"/>
      <c r="H54" s="335" t="s">
        <v>48</v>
      </c>
      <c r="I54" s="230">
        <f>SUM(I55+I93+I123+I171+I183+I206+I283+I320+I469+I490+I501+I511+I522+I536+I545+I570+I575+I603+I619)</f>
        <v>12973162158.004616</v>
      </c>
      <c r="J54" s="230">
        <f t="shared" ref="J54:O54" si="6">SUM(J55+J93+J123+J171+J183+J206+J283+J320+J469+J490+J501+J511+J522+J536+J545+J570+J575+J603+J619)</f>
        <v>957925979.52857172</v>
      </c>
      <c r="K54" s="230">
        <f t="shared" si="6"/>
        <v>221481647.52571425</v>
      </c>
      <c r="L54" s="230">
        <f t="shared" si="6"/>
        <v>194665413.23238093</v>
      </c>
      <c r="M54" s="230">
        <f>SUM(K54+L54)</f>
        <v>416147060.75809515</v>
      </c>
      <c r="N54" s="230">
        <f t="shared" si="6"/>
        <v>11993366561.708664</v>
      </c>
      <c r="O54" s="230">
        <f t="shared" si="6"/>
        <v>979795596.55595255</v>
      </c>
      <c r="P54" s="230"/>
    </row>
    <row r="55" spans="1:17" s="213" customFormat="1" x14ac:dyDescent="0.25">
      <c r="A55" s="208" t="s">
        <v>1827</v>
      </c>
      <c r="B55" s="209" t="s">
        <v>1822</v>
      </c>
      <c r="C55" s="209" t="s">
        <v>1823</v>
      </c>
      <c r="D55" s="209" t="s">
        <v>1836</v>
      </c>
      <c r="E55" s="209" t="s">
        <v>1825</v>
      </c>
      <c r="F55" s="209"/>
      <c r="G55" s="209"/>
      <c r="H55" s="210" t="s">
        <v>1868</v>
      </c>
      <c r="I55" s="211">
        <f>SUM(I56+I69+I76)</f>
        <v>509600000</v>
      </c>
      <c r="J55" s="211">
        <f t="shared" ref="J55:O55" si="7">SUM(J56+J69+J76)</f>
        <v>50960000</v>
      </c>
      <c r="K55" s="211">
        <f t="shared" si="7"/>
        <v>0</v>
      </c>
      <c r="L55" s="211">
        <f t="shared" si="7"/>
        <v>0</v>
      </c>
      <c r="M55" s="211">
        <f t="shared" si="7"/>
        <v>0</v>
      </c>
      <c r="N55" s="211">
        <f t="shared" si="7"/>
        <v>509600000</v>
      </c>
      <c r="O55" s="211">
        <f t="shared" si="7"/>
        <v>0</v>
      </c>
      <c r="P55" s="211"/>
      <c r="Q55" s="212"/>
    </row>
    <row r="56" spans="1:17" s="213" customFormat="1" x14ac:dyDescent="0.25">
      <c r="A56" s="208" t="s">
        <v>263</v>
      </c>
      <c r="B56" s="209" t="s">
        <v>1822</v>
      </c>
      <c r="C56" s="209" t="s">
        <v>1823</v>
      </c>
      <c r="D56" s="209" t="s">
        <v>1836</v>
      </c>
      <c r="E56" s="209" t="s">
        <v>1825</v>
      </c>
      <c r="F56" s="209" t="s">
        <v>1825</v>
      </c>
      <c r="G56" s="209"/>
      <c r="H56" s="210" t="s">
        <v>1869</v>
      </c>
      <c r="I56" s="211">
        <f>SUM(I57:I68)</f>
        <v>0</v>
      </c>
      <c r="J56" s="211">
        <f t="shared" ref="J56:O56" si="8">SUM(J57:J68)</f>
        <v>0</v>
      </c>
      <c r="K56" s="211">
        <f t="shared" si="8"/>
        <v>0</v>
      </c>
      <c r="L56" s="211">
        <f t="shared" si="8"/>
        <v>0</v>
      </c>
      <c r="M56" s="211">
        <f t="shared" si="8"/>
        <v>0</v>
      </c>
      <c r="N56" s="211">
        <f t="shared" si="8"/>
        <v>0</v>
      </c>
      <c r="O56" s="211">
        <f t="shared" si="8"/>
        <v>0</v>
      </c>
      <c r="P56" s="211"/>
      <c r="Q56" s="212"/>
    </row>
    <row r="57" spans="1:17" s="219" customFormat="1" hidden="1" x14ac:dyDescent="0.25">
      <c r="A57" s="214"/>
      <c r="B57" s="215" t="s">
        <v>1822</v>
      </c>
      <c r="C57" s="215" t="s">
        <v>1823</v>
      </c>
      <c r="D57" s="215" t="s">
        <v>1836</v>
      </c>
      <c r="E57" s="215" t="s">
        <v>1825</v>
      </c>
      <c r="F57" s="215" t="s">
        <v>1825</v>
      </c>
      <c r="G57" s="215" t="s">
        <v>58</v>
      </c>
      <c r="H57" s="216" t="s">
        <v>1870</v>
      </c>
      <c r="I57" s="217"/>
      <c r="J57" s="217"/>
      <c r="K57" s="217"/>
      <c r="L57" s="217"/>
      <c r="M57" s="217"/>
      <c r="N57" s="217"/>
      <c r="O57" s="217"/>
      <c r="P57" s="217"/>
      <c r="Q57" s="218"/>
    </row>
    <row r="58" spans="1:17" s="219" customFormat="1" hidden="1" x14ac:dyDescent="0.25">
      <c r="A58" s="214"/>
      <c r="B58" s="215" t="s">
        <v>1822</v>
      </c>
      <c r="C58" s="215" t="s">
        <v>1823</v>
      </c>
      <c r="D58" s="215" t="s">
        <v>1836</v>
      </c>
      <c r="E58" s="215" t="s">
        <v>1825</v>
      </c>
      <c r="F58" s="215" t="s">
        <v>1825</v>
      </c>
      <c r="G58" s="215" t="s">
        <v>75</v>
      </c>
      <c r="H58" s="216" t="s">
        <v>1871</v>
      </c>
      <c r="I58" s="217"/>
      <c r="J58" s="217"/>
      <c r="K58" s="217"/>
      <c r="L58" s="217"/>
      <c r="M58" s="217"/>
      <c r="N58" s="217"/>
      <c r="O58" s="217"/>
      <c r="P58" s="217"/>
      <c r="Q58" s="218"/>
    </row>
    <row r="59" spans="1:17" s="219" customFormat="1" hidden="1" x14ac:dyDescent="0.25">
      <c r="A59" s="214"/>
      <c r="B59" s="215" t="s">
        <v>1822</v>
      </c>
      <c r="C59" s="215" t="s">
        <v>1823</v>
      </c>
      <c r="D59" s="215" t="s">
        <v>1836</v>
      </c>
      <c r="E59" s="215" t="s">
        <v>1825</v>
      </c>
      <c r="F59" s="215" t="s">
        <v>1825</v>
      </c>
      <c r="G59" s="215" t="s">
        <v>79</v>
      </c>
      <c r="H59" s="216" t="s">
        <v>1872</v>
      </c>
      <c r="I59" s="217"/>
      <c r="J59" s="217"/>
      <c r="K59" s="217"/>
      <c r="L59" s="217"/>
      <c r="M59" s="217"/>
      <c r="N59" s="217"/>
      <c r="O59" s="217"/>
      <c r="P59" s="217"/>
      <c r="Q59" s="218"/>
    </row>
    <row r="60" spans="1:17" s="219" customFormat="1" hidden="1" x14ac:dyDescent="0.25">
      <c r="A60" s="214"/>
      <c r="B60" s="215" t="s">
        <v>1822</v>
      </c>
      <c r="C60" s="215" t="s">
        <v>1823</v>
      </c>
      <c r="D60" s="215" t="s">
        <v>1836</v>
      </c>
      <c r="E60" s="215" t="s">
        <v>1825</v>
      </c>
      <c r="F60" s="215" t="s">
        <v>1825</v>
      </c>
      <c r="G60" s="215" t="s">
        <v>84</v>
      </c>
      <c r="H60" s="216" t="s">
        <v>1873</v>
      </c>
      <c r="I60" s="217"/>
      <c r="J60" s="217"/>
      <c r="K60" s="217"/>
      <c r="L60" s="217"/>
      <c r="M60" s="217"/>
      <c r="N60" s="217"/>
      <c r="O60" s="217"/>
      <c r="P60" s="217"/>
      <c r="Q60" s="218"/>
    </row>
    <row r="61" spans="1:17" s="219" customFormat="1" hidden="1" x14ac:dyDescent="0.25">
      <c r="A61" s="214"/>
      <c r="B61" s="215" t="s">
        <v>1822</v>
      </c>
      <c r="C61" s="215" t="s">
        <v>1823</v>
      </c>
      <c r="D61" s="215" t="s">
        <v>1836</v>
      </c>
      <c r="E61" s="215" t="s">
        <v>1825</v>
      </c>
      <c r="F61" s="215" t="s">
        <v>1825</v>
      </c>
      <c r="G61" s="215" t="s">
        <v>88</v>
      </c>
      <c r="H61" s="216" t="s">
        <v>1874</v>
      </c>
      <c r="I61" s="217"/>
      <c r="J61" s="217"/>
      <c r="K61" s="217"/>
      <c r="L61" s="217"/>
      <c r="M61" s="217"/>
      <c r="N61" s="217"/>
      <c r="O61" s="217"/>
      <c r="P61" s="217"/>
      <c r="Q61" s="218"/>
    </row>
    <row r="62" spans="1:17" s="219" customFormat="1" hidden="1" x14ac:dyDescent="0.25">
      <c r="A62" s="214"/>
      <c r="B62" s="215" t="s">
        <v>1822</v>
      </c>
      <c r="C62" s="215" t="s">
        <v>1823</v>
      </c>
      <c r="D62" s="215" t="s">
        <v>1836</v>
      </c>
      <c r="E62" s="215" t="s">
        <v>1825</v>
      </c>
      <c r="F62" s="215" t="s">
        <v>1825</v>
      </c>
      <c r="G62" s="215" t="s">
        <v>92</v>
      </c>
      <c r="H62" s="216" t="s">
        <v>1875</v>
      </c>
      <c r="I62" s="217"/>
      <c r="J62" s="217"/>
      <c r="K62" s="217"/>
      <c r="L62" s="217"/>
      <c r="M62" s="217"/>
      <c r="N62" s="217"/>
      <c r="O62" s="217"/>
      <c r="P62" s="217"/>
      <c r="Q62" s="218"/>
    </row>
    <row r="63" spans="1:17" s="219" customFormat="1" hidden="1" x14ac:dyDescent="0.25">
      <c r="A63" s="214"/>
      <c r="B63" s="215" t="s">
        <v>1822</v>
      </c>
      <c r="C63" s="215" t="s">
        <v>1823</v>
      </c>
      <c r="D63" s="215" t="s">
        <v>1836</v>
      </c>
      <c r="E63" s="215" t="s">
        <v>1825</v>
      </c>
      <c r="F63" s="215" t="s">
        <v>1825</v>
      </c>
      <c r="G63" s="215" t="s">
        <v>96</v>
      </c>
      <c r="H63" s="216" t="s">
        <v>1876</v>
      </c>
      <c r="I63" s="217"/>
      <c r="J63" s="217"/>
      <c r="K63" s="217"/>
      <c r="L63" s="217"/>
      <c r="M63" s="217"/>
      <c r="N63" s="217"/>
      <c r="O63" s="217"/>
      <c r="P63" s="217"/>
      <c r="Q63" s="218"/>
    </row>
    <row r="64" spans="1:17" s="219" customFormat="1" hidden="1" x14ac:dyDescent="0.25">
      <c r="A64" s="214"/>
      <c r="B64" s="215" t="s">
        <v>1822</v>
      </c>
      <c r="C64" s="215" t="s">
        <v>1823</v>
      </c>
      <c r="D64" s="215" t="s">
        <v>1836</v>
      </c>
      <c r="E64" s="215" t="s">
        <v>1825</v>
      </c>
      <c r="F64" s="215" t="s">
        <v>1825</v>
      </c>
      <c r="G64" s="215" t="s">
        <v>100</v>
      </c>
      <c r="H64" s="216" t="s">
        <v>1877</v>
      </c>
      <c r="I64" s="217"/>
      <c r="J64" s="217"/>
      <c r="K64" s="217"/>
      <c r="L64" s="217"/>
      <c r="M64" s="217"/>
      <c r="N64" s="217"/>
      <c r="O64" s="217"/>
      <c r="P64" s="217"/>
      <c r="Q64" s="218"/>
    </row>
    <row r="65" spans="1:17" s="219" customFormat="1" hidden="1" x14ac:dyDescent="0.25">
      <c r="A65" s="214"/>
      <c r="B65" s="215" t="s">
        <v>1822</v>
      </c>
      <c r="C65" s="215" t="s">
        <v>1823</v>
      </c>
      <c r="D65" s="215" t="s">
        <v>1836</v>
      </c>
      <c r="E65" s="215" t="s">
        <v>1825</v>
      </c>
      <c r="F65" s="215" t="s">
        <v>1825</v>
      </c>
      <c r="G65" s="215" t="s">
        <v>105</v>
      </c>
      <c r="H65" s="216" t="s">
        <v>1878</v>
      </c>
      <c r="I65" s="217"/>
      <c r="J65" s="217"/>
      <c r="K65" s="217"/>
      <c r="L65" s="217"/>
      <c r="M65" s="217"/>
      <c r="N65" s="217"/>
      <c r="O65" s="217"/>
      <c r="P65" s="217"/>
      <c r="Q65" s="218"/>
    </row>
    <row r="66" spans="1:17" s="219" customFormat="1" hidden="1" x14ac:dyDescent="0.25">
      <c r="A66" s="214"/>
      <c r="B66" s="215" t="s">
        <v>1822</v>
      </c>
      <c r="C66" s="215" t="s">
        <v>1823</v>
      </c>
      <c r="D66" s="215" t="s">
        <v>1836</v>
      </c>
      <c r="E66" s="215" t="s">
        <v>1825</v>
      </c>
      <c r="F66" s="215" t="s">
        <v>1825</v>
      </c>
      <c r="G66" s="215" t="s">
        <v>108</v>
      </c>
      <c r="H66" s="216" t="s">
        <v>1879</v>
      </c>
      <c r="I66" s="217"/>
      <c r="J66" s="217"/>
      <c r="K66" s="217"/>
      <c r="L66" s="217"/>
      <c r="M66" s="217"/>
      <c r="N66" s="217"/>
      <c r="O66" s="217"/>
      <c r="P66" s="217"/>
      <c r="Q66" s="218"/>
    </row>
    <row r="67" spans="1:17" s="219" customFormat="1" hidden="1" x14ac:dyDescent="0.25">
      <c r="A67" s="214"/>
      <c r="B67" s="215" t="s">
        <v>1822</v>
      </c>
      <c r="C67" s="215" t="s">
        <v>1823</v>
      </c>
      <c r="D67" s="215" t="s">
        <v>1836</v>
      </c>
      <c r="E67" s="215" t="s">
        <v>1825</v>
      </c>
      <c r="F67" s="215" t="s">
        <v>1825</v>
      </c>
      <c r="G67" s="215" t="s">
        <v>135</v>
      </c>
      <c r="H67" s="216" t="s">
        <v>1880</v>
      </c>
      <c r="I67" s="217"/>
      <c r="J67" s="217"/>
      <c r="K67" s="217"/>
      <c r="L67" s="217"/>
      <c r="M67" s="217"/>
      <c r="N67" s="217"/>
      <c r="O67" s="217"/>
      <c r="P67" s="217"/>
      <c r="Q67" s="218"/>
    </row>
    <row r="68" spans="1:17" s="219" customFormat="1" hidden="1" x14ac:dyDescent="0.25">
      <c r="A68" s="214"/>
      <c r="B68" s="215" t="s">
        <v>1822</v>
      </c>
      <c r="C68" s="215" t="s">
        <v>1823</v>
      </c>
      <c r="D68" s="215" t="s">
        <v>1836</v>
      </c>
      <c r="E68" s="215" t="s">
        <v>1825</v>
      </c>
      <c r="F68" s="215" t="s">
        <v>1825</v>
      </c>
      <c r="G68" s="215" t="s">
        <v>138</v>
      </c>
      <c r="H68" s="216" t="s">
        <v>1881</v>
      </c>
      <c r="I68" s="217"/>
      <c r="J68" s="217"/>
      <c r="K68" s="217"/>
      <c r="L68" s="217"/>
      <c r="M68" s="217"/>
      <c r="N68" s="217"/>
      <c r="O68" s="217"/>
      <c r="P68" s="217"/>
      <c r="Q68" s="218"/>
    </row>
    <row r="69" spans="1:17" s="213" customFormat="1" hidden="1" x14ac:dyDescent="0.25">
      <c r="A69" s="208" t="s">
        <v>263</v>
      </c>
      <c r="B69" s="209" t="s">
        <v>1822</v>
      </c>
      <c r="C69" s="209" t="s">
        <v>1823</v>
      </c>
      <c r="D69" s="209" t="s">
        <v>1836</v>
      </c>
      <c r="E69" s="209" t="s">
        <v>1825</v>
      </c>
      <c r="F69" s="209" t="s">
        <v>1836</v>
      </c>
      <c r="G69" s="209"/>
      <c r="H69" s="210" t="s">
        <v>1882</v>
      </c>
      <c r="I69" s="211">
        <f>SUM(I70:I75)</f>
        <v>0</v>
      </c>
      <c r="J69" s="211">
        <f t="shared" ref="J69:O69" si="9">SUM(J70:J75)</f>
        <v>0</v>
      </c>
      <c r="K69" s="211">
        <f t="shared" si="9"/>
        <v>0</v>
      </c>
      <c r="L69" s="211">
        <f t="shared" si="9"/>
        <v>0</v>
      </c>
      <c r="M69" s="211">
        <f t="shared" si="9"/>
        <v>0</v>
      </c>
      <c r="N69" s="211">
        <f t="shared" si="9"/>
        <v>0</v>
      </c>
      <c r="O69" s="211">
        <f t="shared" si="9"/>
        <v>0</v>
      </c>
      <c r="P69" s="211"/>
      <c r="Q69" s="212"/>
    </row>
    <row r="70" spans="1:17" s="219" customFormat="1" hidden="1" x14ac:dyDescent="0.25">
      <c r="A70" s="214"/>
      <c r="B70" s="215" t="s">
        <v>1822</v>
      </c>
      <c r="C70" s="215" t="s">
        <v>1823</v>
      </c>
      <c r="D70" s="215" t="s">
        <v>1836</v>
      </c>
      <c r="E70" s="215" t="s">
        <v>1825</v>
      </c>
      <c r="F70" s="215" t="s">
        <v>1836</v>
      </c>
      <c r="G70" s="215" t="s">
        <v>58</v>
      </c>
      <c r="H70" s="216" t="s">
        <v>1883</v>
      </c>
      <c r="I70" s="217"/>
      <c r="J70" s="217"/>
      <c r="K70" s="217"/>
      <c r="L70" s="217"/>
      <c r="M70" s="217"/>
      <c r="N70" s="217"/>
      <c r="O70" s="217"/>
      <c r="P70" s="217"/>
      <c r="Q70" s="218"/>
    </row>
    <row r="71" spans="1:17" s="219" customFormat="1" hidden="1" x14ac:dyDescent="0.25">
      <c r="A71" s="214"/>
      <c r="B71" s="215" t="s">
        <v>1822</v>
      </c>
      <c r="C71" s="215" t="s">
        <v>1823</v>
      </c>
      <c r="D71" s="215" t="s">
        <v>1836</v>
      </c>
      <c r="E71" s="215" t="s">
        <v>1825</v>
      </c>
      <c r="F71" s="215" t="s">
        <v>1836</v>
      </c>
      <c r="G71" s="215" t="s">
        <v>75</v>
      </c>
      <c r="H71" s="216" t="s">
        <v>1884</v>
      </c>
      <c r="I71" s="217"/>
      <c r="J71" s="217"/>
      <c r="K71" s="217"/>
      <c r="L71" s="217"/>
      <c r="M71" s="217"/>
      <c r="N71" s="217"/>
      <c r="O71" s="217"/>
      <c r="P71" s="217"/>
      <c r="Q71" s="218"/>
    </row>
    <row r="72" spans="1:17" s="219" customFormat="1" hidden="1" x14ac:dyDescent="0.25">
      <c r="A72" s="214"/>
      <c r="B72" s="215" t="s">
        <v>1822</v>
      </c>
      <c r="C72" s="215" t="s">
        <v>1823</v>
      </c>
      <c r="D72" s="215" t="s">
        <v>1836</v>
      </c>
      <c r="E72" s="215" t="s">
        <v>1825</v>
      </c>
      <c r="F72" s="215" t="s">
        <v>1836</v>
      </c>
      <c r="G72" s="215" t="s">
        <v>79</v>
      </c>
      <c r="H72" s="216" t="s">
        <v>1885</v>
      </c>
      <c r="I72" s="217"/>
      <c r="J72" s="217"/>
      <c r="K72" s="217"/>
      <c r="L72" s="217"/>
      <c r="M72" s="217"/>
      <c r="N72" s="217"/>
      <c r="O72" s="217"/>
      <c r="P72" s="217"/>
      <c r="Q72" s="218"/>
    </row>
    <row r="73" spans="1:17" s="219" customFormat="1" hidden="1" x14ac:dyDescent="0.25">
      <c r="A73" s="214"/>
      <c r="B73" s="215" t="s">
        <v>1822</v>
      </c>
      <c r="C73" s="215" t="s">
        <v>1823</v>
      </c>
      <c r="D73" s="215" t="s">
        <v>1836</v>
      </c>
      <c r="E73" s="215" t="s">
        <v>1825</v>
      </c>
      <c r="F73" s="215" t="s">
        <v>1836</v>
      </c>
      <c r="G73" s="215" t="s">
        <v>84</v>
      </c>
      <c r="H73" s="216" t="s">
        <v>1886</v>
      </c>
      <c r="I73" s="217"/>
      <c r="J73" s="217"/>
      <c r="K73" s="217"/>
      <c r="L73" s="217"/>
      <c r="M73" s="217"/>
      <c r="N73" s="217"/>
      <c r="O73" s="217"/>
      <c r="P73" s="217"/>
      <c r="Q73" s="218"/>
    </row>
    <row r="74" spans="1:17" s="219" customFormat="1" x14ac:dyDescent="0.25">
      <c r="A74" s="214"/>
      <c r="B74" s="215" t="s">
        <v>1822</v>
      </c>
      <c r="C74" s="215" t="s">
        <v>1823</v>
      </c>
      <c r="D74" s="215" t="s">
        <v>1836</v>
      </c>
      <c r="E74" s="215" t="s">
        <v>1825</v>
      </c>
      <c r="F74" s="215" t="s">
        <v>1836</v>
      </c>
      <c r="G74" s="215" t="s">
        <v>88</v>
      </c>
      <c r="H74" s="216" t="s">
        <v>1887</v>
      </c>
      <c r="I74" s="217"/>
      <c r="J74" s="217"/>
      <c r="K74" s="217"/>
      <c r="L74" s="217"/>
      <c r="M74" s="217"/>
      <c r="N74" s="217"/>
      <c r="O74" s="217"/>
      <c r="P74" s="217"/>
      <c r="Q74" s="218"/>
    </row>
    <row r="75" spans="1:17" s="219" customFormat="1" x14ac:dyDescent="0.25">
      <c r="A75" s="214"/>
      <c r="B75" s="215" t="s">
        <v>1822</v>
      </c>
      <c r="C75" s="215" t="s">
        <v>1823</v>
      </c>
      <c r="D75" s="215" t="s">
        <v>1836</v>
      </c>
      <c r="E75" s="215" t="s">
        <v>1825</v>
      </c>
      <c r="F75" s="215" t="s">
        <v>1836</v>
      </c>
      <c r="G75" s="215" t="s">
        <v>92</v>
      </c>
      <c r="H75" s="216" t="s">
        <v>1888</v>
      </c>
      <c r="I75" s="217"/>
      <c r="J75" s="217"/>
      <c r="K75" s="217"/>
      <c r="L75" s="217"/>
      <c r="M75" s="217"/>
      <c r="N75" s="217"/>
      <c r="O75" s="217"/>
      <c r="P75" s="217"/>
      <c r="Q75" s="218"/>
    </row>
    <row r="76" spans="1:17" s="213" customFormat="1" x14ac:dyDescent="0.25">
      <c r="A76" s="208" t="s">
        <v>263</v>
      </c>
      <c r="B76" s="209" t="s">
        <v>1822</v>
      </c>
      <c r="C76" s="209" t="s">
        <v>1823</v>
      </c>
      <c r="D76" s="209" t="s">
        <v>1836</v>
      </c>
      <c r="E76" s="209" t="s">
        <v>1825</v>
      </c>
      <c r="F76" s="209" t="s">
        <v>1847</v>
      </c>
      <c r="G76" s="209"/>
      <c r="H76" s="210" t="s">
        <v>1889</v>
      </c>
      <c r="I76" s="211">
        <f>SUM(I77:I92)</f>
        <v>509600000</v>
      </c>
      <c r="J76" s="211">
        <f t="shared" ref="J76:O76" si="10">SUM(J77:J92)</f>
        <v>50960000</v>
      </c>
      <c r="K76" s="211">
        <f t="shared" si="10"/>
        <v>0</v>
      </c>
      <c r="L76" s="211">
        <f t="shared" si="10"/>
        <v>0</v>
      </c>
      <c r="M76" s="211">
        <f t="shared" si="10"/>
        <v>0</v>
      </c>
      <c r="N76" s="211">
        <f t="shared" si="10"/>
        <v>509600000</v>
      </c>
      <c r="O76" s="211">
        <f t="shared" si="10"/>
        <v>0</v>
      </c>
      <c r="P76" s="211"/>
      <c r="Q76" s="212"/>
    </row>
    <row r="77" spans="1:17" s="219" customFormat="1" x14ac:dyDescent="0.25">
      <c r="A77" s="214"/>
      <c r="B77" s="215" t="s">
        <v>1822</v>
      </c>
      <c r="C77" s="215" t="s">
        <v>1823</v>
      </c>
      <c r="D77" s="215" t="s">
        <v>1836</v>
      </c>
      <c r="E77" s="215" t="s">
        <v>1825</v>
      </c>
      <c r="F77" s="215" t="s">
        <v>1847</v>
      </c>
      <c r="G77" s="215" t="s">
        <v>58</v>
      </c>
      <c r="H77" s="216" t="s">
        <v>1890</v>
      </c>
      <c r="I77" s="217"/>
      <c r="J77" s="217"/>
      <c r="K77" s="217"/>
      <c r="L77" s="217"/>
      <c r="M77" s="217"/>
      <c r="N77" s="217"/>
      <c r="O77" s="217"/>
      <c r="P77" s="217"/>
      <c r="Q77" s="218"/>
    </row>
    <row r="78" spans="1:17" s="219" customFormat="1" x14ac:dyDescent="0.25">
      <c r="A78" s="214"/>
      <c r="B78" s="215" t="s">
        <v>1822</v>
      </c>
      <c r="C78" s="215" t="s">
        <v>1823</v>
      </c>
      <c r="D78" s="215" t="s">
        <v>1836</v>
      </c>
      <c r="E78" s="215" t="s">
        <v>1825</v>
      </c>
      <c r="F78" s="215" t="s">
        <v>1847</v>
      </c>
      <c r="G78" s="215" t="s">
        <v>75</v>
      </c>
      <c r="H78" s="216" t="s">
        <v>1891</v>
      </c>
      <c r="I78" s="217"/>
      <c r="J78" s="217"/>
      <c r="K78" s="217"/>
      <c r="L78" s="217"/>
      <c r="M78" s="217"/>
      <c r="N78" s="217"/>
      <c r="O78" s="217"/>
      <c r="P78" s="217"/>
      <c r="Q78" s="218"/>
    </row>
    <row r="79" spans="1:17" s="219" customFormat="1" x14ac:dyDescent="0.25">
      <c r="A79" s="214"/>
      <c r="B79" s="215" t="s">
        <v>1822</v>
      </c>
      <c r="C79" s="215" t="s">
        <v>1823</v>
      </c>
      <c r="D79" s="215" t="s">
        <v>1836</v>
      </c>
      <c r="E79" s="215" t="s">
        <v>1825</v>
      </c>
      <c r="F79" s="215" t="s">
        <v>1847</v>
      </c>
      <c r="G79" s="215" t="s">
        <v>79</v>
      </c>
      <c r="H79" s="216" t="s">
        <v>1892</v>
      </c>
      <c r="I79" s="217"/>
      <c r="J79" s="217"/>
      <c r="K79" s="217"/>
      <c r="L79" s="217"/>
      <c r="M79" s="217"/>
      <c r="N79" s="217"/>
      <c r="O79" s="217"/>
      <c r="P79" s="217"/>
      <c r="Q79" s="218"/>
    </row>
    <row r="80" spans="1:17" s="219" customFormat="1" ht="15.75" customHeight="1" x14ac:dyDescent="0.25">
      <c r="A80" s="214"/>
      <c r="B80" s="215" t="s">
        <v>1822</v>
      </c>
      <c r="C80" s="215" t="s">
        <v>1823</v>
      </c>
      <c r="D80" s="215" t="s">
        <v>1836</v>
      </c>
      <c r="E80" s="215" t="s">
        <v>1825</v>
      </c>
      <c r="F80" s="215" t="s">
        <v>1847</v>
      </c>
      <c r="G80" s="215" t="s">
        <v>84</v>
      </c>
      <c r="H80" s="216" t="s">
        <v>1624</v>
      </c>
      <c r="I80" s="217">
        <v>509600000</v>
      </c>
      <c r="J80" s="217">
        <v>50960000</v>
      </c>
      <c r="L80" s="217"/>
      <c r="M80" s="217"/>
      <c r="N80" s="217">
        <v>509600000</v>
      </c>
      <c r="O80" s="217">
        <v>0</v>
      </c>
      <c r="P80" s="217"/>
      <c r="Q80" s="218"/>
    </row>
    <row r="81" spans="1:17" s="219" customFormat="1" x14ac:dyDescent="0.25">
      <c r="A81" s="214"/>
      <c r="B81" s="215" t="s">
        <v>1822</v>
      </c>
      <c r="C81" s="215" t="s">
        <v>1823</v>
      </c>
      <c r="D81" s="215" t="s">
        <v>1836</v>
      </c>
      <c r="E81" s="215" t="s">
        <v>1825</v>
      </c>
      <c r="F81" s="215" t="s">
        <v>1847</v>
      </c>
      <c r="G81" s="215" t="s">
        <v>88</v>
      </c>
      <c r="H81" s="216" t="s">
        <v>1893</v>
      </c>
      <c r="I81" s="217"/>
      <c r="J81" s="217"/>
      <c r="K81" s="217"/>
      <c r="L81" s="217"/>
      <c r="M81" s="217"/>
      <c r="N81" s="217"/>
      <c r="O81" s="217"/>
      <c r="P81" s="217"/>
      <c r="Q81" s="218"/>
    </row>
    <row r="82" spans="1:17" s="219" customFormat="1" hidden="1" x14ac:dyDescent="0.25">
      <c r="A82" s="214"/>
      <c r="B82" s="215" t="s">
        <v>1822</v>
      </c>
      <c r="C82" s="215" t="s">
        <v>1823</v>
      </c>
      <c r="D82" s="215" t="s">
        <v>1836</v>
      </c>
      <c r="E82" s="215" t="s">
        <v>1825</v>
      </c>
      <c r="F82" s="215" t="s">
        <v>1847</v>
      </c>
      <c r="G82" s="215" t="s">
        <v>92</v>
      </c>
      <c r="H82" s="216" t="s">
        <v>1894</v>
      </c>
      <c r="I82" s="217"/>
      <c r="J82" s="217"/>
      <c r="K82" s="217"/>
      <c r="L82" s="217"/>
      <c r="M82" s="217"/>
      <c r="N82" s="217"/>
      <c r="O82" s="217"/>
      <c r="P82" s="217"/>
      <c r="Q82" s="218"/>
    </row>
    <row r="83" spans="1:17" s="219" customFormat="1" hidden="1" x14ac:dyDescent="0.25">
      <c r="A83" s="214"/>
      <c r="B83" s="215" t="s">
        <v>1822</v>
      </c>
      <c r="C83" s="215" t="s">
        <v>1823</v>
      </c>
      <c r="D83" s="215" t="s">
        <v>1836</v>
      </c>
      <c r="E83" s="215" t="s">
        <v>1825</v>
      </c>
      <c r="F83" s="215" t="s">
        <v>1847</v>
      </c>
      <c r="G83" s="215" t="s">
        <v>96</v>
      </c>
      <c r="H83" s="216" t="s">
        <v>1895</v>
      </c>
      <c r="I83" s="217"/>
      <c r="J83" s="217"/>
      <c r="K83" s="217"/>
      <c r="L83" s="217"/>
      <c r="M83" s="217"/>
      <c r="N83" s="217"/>
      <c r="O83" s="217"/>
      <c r="P83" s="217"/>
      <c r="Q83" s="218"/>
    </row>
    <row r="84" spans="1:17" s="219" customFormat="1" hidden="1" x14ac:dyDescent="0.25">
      <c r="A84" s="214"/>
      <c r="B84" s="215" t="s">
        <v>1822</v>
      </c>
      <c r="C84" s="215" t="s">
        <v>1823</v>
      </c>
      <c r="D84" s="215" t="s">
        <v>1836</v>
      </c>
      <c r="E84" s="215" t="s">
        <v>1825</v>
      </c>
      <c r="F84" s="215" t="s">
        <v>1847</v>
      </c>
      <c r="G84" s="215" t="s">
        <v>100</v>
      </c>
      <c r="H84" s="216" t="s">
        <v>1896</v>
      </c>
      <c r="I84" s="217"/>
      <c r="J84" s="217"/>
      <c r="K84" s="217"/>
      <c r="L84" s="217"/>
      <c r="M84" s="217"/>
      <c r="N84" s="217"/>
      <c r="O84" s="217"/>
      <c r="P84" s="217"/>
      <c r="Q84" s="218"/>
    </row>
    <row r="85" spans="1:17" s="219" customFormat="1" ht="30" hidden="1" x14ac:dyDescent="0.25">
      <c r="A85" s="214"/>
      <c r="B85" s="215" t="s">
        <v>1822</v>
      </c>
      <c r="C85" s="215" t="s">
        <v>1823</v>
      </c>
      <c r="D85" s="215" t="s">
        <v>1836</v>
      </c>
      <c r="E85" s="215" t="s">
        <v>1825</v>
      </c>
      <c r="F85" s="215" t="s">
        <v>1847</v>
      </c>
      <c r="G85" s="215" t="s">
        <v>105</v>
      </c>
      <c r="H85" s="216" t="s">
        <v>1897</v>
      </c>
      <c r="I85" s="217"/>
      <c r="J85" s="217"/>
      <c r="K85" s="217"/>
      <c r="L85" s="217"/>
      <c r="M85" s="217"/>
      <c r="N85" s="217"/>
      <c r="O85" s="217"/>
      <c r="P85" s="217"/>
      <c r="Q85" s="218"/>
    </row>
    <row r="86" spans="1:17" s="219" customFormat="1" ht="30" hidden="1" x14ac:dyDescent="0.25">
      <c r="A86" s="214"/>
      <c r="B86" s="215" t="s">
        <v>1822</v>
      </c>
      <c r="C86" s="215" t="s">
        <v>1823</v>
      </c>
      <c r="D86" s="215" t="s">
        <v>1836</v>
      </c>
      <c r="E86" s="215" t="s">
        <v>1825</v>
      </c>
      <c r="F86" s="215" t="s">
        <v>1847</v>
      </c>
      <c r="G86" s="215" t="s">
        <v>108</v>
      </c>
      <c r="H86" s="216" t="s">
        <v>1898</v>
      </c>
      <c r="I86" s="217"/>
      <c r="J86" s="217"/>
      <c r="K86" s="217"/>
      <c r="L86" s="217"/>
      <c r="M86" s="217"/>
      <c r="N86" s="217"/>
      <c r="O86" s="217"/>
      <c r="P86" s="217"/>
      <c r="Q86" s="218"/>
    </row>
    <row r="87" spans="1:17" s="219" customFormat="1" hidden="1" x14ac:dyDescent="0.25">
      <c r="A87" s="214"/>
      <c r="B87" s="215" t="s">
        <v>1822</v>
      </c>
      <c r="C87" s="215" t="s">
        <v>1823</v>
      </c>
      <c r="D87" s="215" t="s">
        <v>1836</v>
      </c>
      <c r="E87" s="215" t="s">
        <v>1825</v>
      </c>
      <c r="F87" s="215" t="s">
        <v>1847</v>
      </c>
      <c r="G87" s="215" t="s">
        <v>135</v>
      </c>
      <c r="H87" s="216" t="s">
        <v>1899</v>
      </c>
      <c r="I87" s="217"/>
      <c r="J87" s="217"/>
      <c r="K87" s="217"/>
      <c r="L87" s="217"/>
      <c r="M87" s="217"/>
      <c r="N87" s="217"/>
      <c r="O87" s="217"/>
      <c r="P87" s="217"/>
      <c r="Q87" s="218"/>
    </row>
    <row r="88" spans="1:17" s="219" customFormat="1" hidden="1" x14ac:dyDescent="0.25">
      <c r="A88" s="214"/>
      <c r="B88" s="215" t="s">
        <v>1822</v>
      </c>
      <c r="C88" s="215" t="s">
        <v>1823</v>
      </c>
      <c r="D88" s="215" t="s">
        <v>1836</v>
      </c>
      <c r="E88" s="215" t="s">
        <v>1825</v>
      </c>
      <c r="F88" s="215" t="s">
        <v>1847</v>
      </c>
      <c r="G88" s="215" t="s">
        <v>138</v>
      </c>
      <c r="H88" s="216" t="s">
        <v>1900</v>
      </c>
      <c r="I88" s="217"/>
      <c r="J88" s="217"/>
      <c r="K88" s="217"/>
      <c r="L88" s="217"/>
      <c r="M88" s="217"/>
      <c r="N88" s="217"/>
      <c r="O88" s="217"/>
      <c r="P88" s="217"/>
      <c r="Q88" s="218"/>
    </row>
    <row r="89" spans="1:17" s="219" customFormat="1" hidden="1" x14ac:dyDescent="0.25">
      <c r="A89" s="214"/>
      <c r="B89" s="215" t="s">
        <v>1822</v>
      </c>
      <c r="C89" s="215" t="s">
        <v>1823</v>
      </c>
      <c r="D89" s="215" t="s">
        <v>1836</v>
      </c>
      <c r="E89" s="215" t="s">
        <v>1825</v>
      </c>
      <c r="F89" s="215" t="s">
        <v>1847</v>
      </c>
      <c r="G89" s="215" t="s">
        <v>140</v>
      </c>
      <c r="H89" s="216" t="s">
        <v>1901</v>
      </c>
      <c r="I89" s="217"/>
      <c r="J89" s="217"/>
      <c r="K89" s="217"/>
      <c r="L89" s="217"/>
      <c r="M89" s="217"/>
      <c r="N89" s="217"/>
      <c r="O89" s="217"/>
      <c r="P89" s="217"/>
      <c r="Q89" s="218"/>
    </row>
    <row r="90" spans="1:17" s="219" customFormat="1" hidden="1" x14ac:dyDescent="0.25">
      <c r="A90" s="214"/>
      <c r="B90" s="215" t="s">
        <v>1822</v>
      </c>
      <c r="C90" s="215" t="s">
        <v>1823</v>
      </c>
      <c r="D90" s="215" t="s">
        <v>1836</v>
      </c>
      <c r="E90" s="215" t="s">
        <v>1825</v>
      </c>
      <c r="F90" s="215" t="s">
        <v>1847</v>
      </c>
      <c r="G90" s="215" t="s">
        <v>143</v>
      </c>
      <c r="H90" s="216" t="s">
        <v>1902</v>
      </c>
      <c r="I90" s="217"/>
      <c r="J90" s="217"/>
      <c r="K90" s="217"/>
      <c r="L90" s="217"/>
      <c r="M90" s="217"/>
      <c r="N90" s="217"/>
      <c r="O90" s="217"/>
      <c r="P90" s="217"/>
      <c r="Q90" s="218"/>
    </row>
    <row r="91" spans="1:17" s="219" customFormat="1" hidden="1" x14ac:dyDescent="0.25">
      <c r="A91" s="214"/>
      <c r="B91" s="215" t="s">
        <v>1822</v>
      </c>
      <c r="C91" s="215" t="s">
        <v>1823</v>
      </c>
      <c r="D91" s="215" t="s">
        <v>1836</v>
      </c>
      <c r="E91" s="215" t="s">
        <v>1825</v>
      </c>
      <c r="F91" s="215" t="s">
        <v>1847</v>
      </c>
      <c r="G91" s="215" t="s">
        <v>146</v>
      </c>
      <c r="H91" s="216" t="s">
        <v>1903</v>
      </c>
      <c r="I91" s="217"/>
      <c r="J91" s="217"/>
      <c r="K91" s="217"/>
      <c r="L91" s="217"/>
      <c r="M91" s="217"/>
      <c r="N91" s="217"/>
      <c r="O91" s="217"/>
      <c r="P91" s="217"/>
      <c r="Q91" s="218"/>
    </row>
    <row r="92" spans="1:17" s="219" customFormat="1" x14ac:dyDescent="0.25">
      <c r="A92" s="214"/>
      <c r="B92" s="215" t="s">
        <v>1822</v>
      </c>
      <c r="C92" s="215" t="s">
        <v>1823</v>
      </c>
      <c r="D92" s="215" t="s">
        <v>1836</v>
      </c>
      <c r="E92" s="215" t="s">
        <v>1825</v>
      </c>
      <c r="F92" s="215" t="s">
        <v>1847</v>
      </c>
      <c r="G92" s="215" t="s">
        <v>150</v>
      </c>
      <c r="H92" s="216" t="s">
        <v>1904</v>
      </c>
      <c r="I92" s="217"/>
      <c r="J92" s="217"/>
      <c r="K92" s="217"/>
      <c r="L92" s="217"/>
      <c r="M92" s="217"/>
      <c r="N92" s="217"/>
      <c r="O92" s="217"/>
      <c r="P92" s="217"/>
      <c r="Q92" s="218"/>
    </row>
    <row r="93" spans="1:17" s="213" customFormat="1" x14ac:dyDescent="0.25">
      <c r="A93" s="208" t="s">
        <v>1905</v>
      </c>
      <c r="B93" s="209" t="s">
        <v>1822</v>
      </c>
      <c r="C93" s="209" t="s">
        <v>1823</v>
      </c>
      <c r="D93" s="209" t="s">
        <v>1836</v>
      </c>
      <c r="E93" s="209" t="s">
        <v>1836</v>
      </c>
      <c r="F93" s="209"/>
      <c r="G93" s="209"/>
      <c r="H93" s="210" t="s">
        <v>1906</v>
      </c>
      <c r="I93" s="211">
        <f>SUM(I94+I104+I109+I115+I120)</f>
        <v>2493984900</v>
      </c>
      <c r="J93" s="211">
        <f t="shared" ref="J93:O93" si="11">SUM(J94+J104+J109+J115+J120)</f>
        <v>227918571.4285717</v>
      </c>
      <c r="K93" s="211">
        <f t="shared" si="11"/>
        <v>29385714.285714284</v>
      </c>
      <c r="L93" s="211">
        <f t="shared" si="11"/>
        <v>29385714.285714284</v>
      </c>
      <c r="M93" s="211">
        <f t="shared" si="11"/>
        <v>58771428.571428567</v>
      </c>
      <c r="N93" s="211">
        <f t="shared" si="11"/>
        <v>2345503947.6190476</v>
      </c>
      <c r="O93" s="211">
        <f t="shared" si="11"/>
        <v>148480952.38095242</v>
      </c>
      <c r="P93" s="211"/>
      <c r="Q93" s="212"/>
    </row>
    <row r="94" spans="1:17" s="213" customFormat="1" x14ac:dyDescent="0.25">
      <c r="A94" s="208" t="s">
        <v>263</v>
      </c>
      <c r="B94" s="209" t="s">
        <v>1822</v>
      </c>
      <c r="C94" s="209" t="s">
        <v>1823</v>
      </c>
      <c r="D94" s="209" t="s">
        <v>1836</v>
      </c>
      <c r="E94" s="209" t="s">
        <v>1836</v>
      </c>
      <c r="F94" s="209" t="s">
        <v>1825</v>
      </c>
      <c r="G94" s="209"/>
      <c r="H94" s="210" t="s">
        <v>1907</v>
      </c>
      <c r="I94" s="211">
        <f>SUM(I95:I103)</f>
        <v>2481994900</v>
      </c>
      <c r="J94" s="211">
        <f t="shared" ref="J94:O94" si="12">SUM(J95:J103)</f>
        <v>227918571.4285717</v>
      </c>
      <c r="K94" s="211">
        <f>SUM(K95:K103)</f>
        <v>29385714.285714284</v>
      </c>
      <c r="L94" s="211">
        <f t="shared" si="12"/>
        <v>29385714.285714284</v>
      </c>
      <c r="M94" s="211">
        <f t="shared" si="12"/>
        <v>58771428.571428567</v>
      </c>
      <c r="N94" s="211">
        <f t="shared" si="12"/>
        <v>2333513947.6190476</v>
      </c>
      <c r="O94" s="211">
        <f t="shared" si="12"/>
        <v>148480952.38095242</v>
      </c>
      <c r="P94" s="211"/>
      <c r="Q94" s="212"/>
    </row>
    <row r="95" spans="1:17" s="219" customFormat="1" ht="30" x14ac:dyDescent="0.25">
      <c r="A95" s="214"/>
      <c r="B95" s="215" t="s">
        <v>1822</v>
      </c>
      <c r="C95" s="215" t="s">
        <v>1823</v>
      </c>
      <c r="D95" s="215" t="s">
        <v>1836</v>
      </c>
      <c r="E95" s="215" t="s">
        <v>1836</v>
      </c>
      <c r="F95" s="215" t="s">
        <v>1825</v>
      </c>
      <c r="G95" s="215" t="s">
        <v>58</v>
      </c>
      <c r="H95" s="216" t="s">
        <v>1908</v>
      </c>
      <c r="I95" s="217">
        <v>1963604900</v>
      </c>
      <c r="J95" s="217">
        <v>162104285.714286</v>
      </c>
      <c r="K95" s="217">
        <v>22142857.142857142</v>
      </c>
      <c r="L95" s="217">
        <v>22142857.142857142</v>
      </c>
      <c r="M95" s="217">
        <v>44285714.285714284</v>
      </c>
      <c r="N95" s="217">
        <v>1834438233.3333333</v>
      </c>
      <c r="O95" s="217">
        <v>129166666.66666669</v>
      </c>
      <c r="P95" s="217"/>
      <c r="Q95" s="218"/>
    </row>
    <row r="96" spans="1:17" s="219" customFormat="1" x14ac:dyDescent="0.25">
      <c r="A96" s="214"/>
      <c r="B96" s="215" t="s">
        <v>1822</v>
      </c>
      <c r="C96" s="215" t="s">
        <v>1823</v>
      </c>
      <c r="D96" s="215" t="s">
        <v>1836</v>
      </c>
      <c r="E96" s="215" t="s">
        <v>1836</v>
      </c>
      <c r="F96" s="215" t="s">
        <v>1825</v>
      </c>
      <c r="G96" s="215" t="s">
        <v>75</v>
      </c>
      <c r="H96" s="216" t="s">
        <v>1909</v>
      </c>
      <c r="I96" s="217"/>
      <c r="J96" s="217"/>
      <c r="K96" s="217"/>
      <c r="L96" s="217"/>
      <c r="M96" s="217"/>
      <c r="N96" s="217"/>
      <c r="O96" s="217"/>
      <c r="P96" s="217"/>
      <c r="Q96" s="218"/>
    </row>
    <row r="97" spans="1:17" s="219" customFormat="1" ht="30" x14ac:dyDescent="0.25">
      <c r="A97" s="214"/>
      <c r="B97" s="215" t="s">
        <v>1822</v>
      </c>
      <c r="C97" s="215" t="s">
        <v>1823</v>
      </c>
      <c r="D97" s="215" t="s">
        <v>1836</v>
      </c>
      <c r="E97" s="215" t="s">
        <v>1836</v>
      </c>
      <c r="F97" s="215" t="s">
        <v>1825</v>
      </c>
      <c r="G97" s="215" t="s">
        <v>79</v>
      </c>
      <c r="H97" s="216" t="s">
        <v>1910</v>
      </c>
      <c r="I97" s="217">
        <v>195300000</v>
      </c>
      <c r="J97" s="217">
        <v>27900000</v>
      </c>
      <c r="K97" s="217">
        <v>0</v>
      </c>
      <c r="L97" s="217"/>
      <c r="M97" s="217">
        <v>0</v>
      </c>
      <c r="N97" s="217">
        <v>195300000</v>
      </c>
      <c r="O97" s="217"/>
      <c r="P97" s="217"/>
      <c r="Q97" s="218"/>
    </row>
    <row r="98" spans="1:17" s="219" customFormat="1" x14ac:dyDescent="0.25">
      <c r="A98" s="214"/>
      <c r="B98" s="215" t="s">
        <v>1822</v>
      </c>
      <c r="C98" s="215" t="s">
        <v>1823</v>
      </c>
      <c r="D98" s="215" t="s">
        <v>1836</v>
      </c>
      <c r="E98" s="215" t="s">
        <v>1836</v>
      </c>
      <c r="F98" s="215" t="s">
        <v>1825</v>
      </c>
      <c r="G98" s="215" t="s">
        <v>84</v>
      </c>
      <c r="H98" s="216" t="s">
        <v>1911</v>
      </c>
      <c r="I98" s="217">
        <v>323090000</v>
      </c>
      <c r="J98" s="217">
        <v>37914285.714285702</v>
      </c>
      <c r="K98" s="217">
        <v>7242857.1428571427</v>
      </c>
      <c r="L98" s="217">
        <v>7242857.1428571427</v>
      </c>
      <c r="M98" s="217">
        <v>14485714.285714285</v>
      </c>
      <c r="N98" s="217">
        <v>303775714.28571427</v>
      </c>
      <c r="O98" s="217">
        <v>19314285.714285716</v>
      </c>
      <c r="P98" s="217"/>
      <c r="Q98" s="218"/>
    </row>
    <row r="99" spans="1:17" s="219" customFormat="1" x14ac:dyDescent="0.25">
      <c r="A99" s="214"/>
      <c r="B99" s="215" t="s">
        <v>1822</v>
      </c>
      <c r="C99" s="215" t="s">
        <v>1823</v>
      </c>
      <c r="D99" s="215" t="s">
        <v>1836</v>
      </c>
      <c r="E99" s="215" t="s">
        <v>1836</v>
      </c>
      <c r="F99" s="215" t="s">
        <v>1825</v>
      </c>
      <c r="G99" s="215" t="s">
        <v>88</v>
      </c>
      <c r="H99" s="216" t="s">
        <v>1912</v>
      </c>
      <c r="I99" s="217"/>
      <c r="J99" s="217"/>
      <c r="K99" s="217"/>
      <c r="L99" s="217"/>
      <c r="M99" s="217"/>
      <c r="N99" s="217"/>
      <c r="O99" s="217"/>
      <c r="P99" s="217"/>
      <c r="Q99" s="218"/>
    </row>
    <row r="100" spans="1:17" s="219" customFormat="1" x14ac:dyDescent="0.25">
      <c r="A100" s="214"/>
      <c r="B100" s="215" t="s">
        <v>1822</v>
      </c>
      <c r="C100" s="215" t="s">
        <v>1823</v>
      </c>
      <c r="D100" s="215" t="s">
        <v>1836</v>
      </c>
      <c r="E100" s="215" t="s">
        <v>1836</v>
      </c>
      <c r="F100" s="215" t="s">
        <v>1825</v>
      </c>
      <c r="G100" s="215" t="s">
        <v>92</v>
      </c>
      <c r="H100" s="216" t="s">
        <v>1913</v>
      </c>
      <c r="I100" s="217"/>
      <c r="J100" s="217"/>
      <c r="K100" s="217"/>
      <c r="L100" s="217"/>
      <c r="M100" s="217"/>
      <c r="N100" s="217"/>
      <c r="O100" s="217"/>
      <c r="P100" s="217"/>
      <c r="Q100" s="218"/>
    </row>
    <row r="101" spans="1:17" s="219" customFormat="1" x14ac:dyDescent="0.25">
      <c r="A101" s="214"/>
      <c r="B101" s="215" t="s">
        <v>1822</v>
      </c>
      <c r="C101" s="215" t="s">
        <v>1823</v>
      </c>
      <c r="D101" s="215" t="s">
        <v>1836</v>
      </c>
      <c r="E101" s="215" t="s">
        <v>1836</v>
      </c>
      <c r="F101" s="215" t="s">
        <v>1825</v>
      </c>
      <c r="G101" s="215" t="s">
        <v>96</v>
      </c>
      <c r="H101" s="216" t="s">
        <v>1914</v>
      </c>
      <c r="I101" s="217"/>
      <c r="J101" s="217"/>
      <c r="K101" s="217"/>
      <c r="L101" s="217"/>
      <c r="M101" s="217"/>
      <c r="N101" s="217"/>
      <c r="O101" s="217"/>
      <c r="P101" s="217"/>
      <c r="Q101" s="218"/>
    </row>
    <row r="102" spans="1:17" s="219" customFormat="1" x14ac:dyDescent="0.25">
      <c r="A102" s="214"/>
      <c r="B102" s="215" t="s">
        <v>1822</v>
      </c>
      <c r="C102" s="215" t="s">
        <v>1823</v>
      </c>
      <c r="D102" s="215" t="s">
        <v>1836</v>
      </c>
      <c r="E102" s="215" t="s">
        <v>1836</v>
      </c>
      <c r="F102" s="215" t="s">
        <v>1825</v>
      </c>
      <c r="G102" s="215" t="s">
        <v>100</v>
      </c>
      <c r="H102" s="216" t="s">
        <v>1915</v>
      </c>
      <c r="I102" s="217"/>
      <c r="J102" s="217"/>
      <c r="K102" s="217"/>
      <c r="L102" s="217"/>
      <c r="M102" s="217"/>
      <c r="N102" s="217"/>
      <c r="O102" s="217"/>
      <c r="P102" s="217"/>
      <c r="Q102" s="218"/>
    </row>
    <row r="103" spans="1:17" s="219" customFormat="1" ht="30" x14ac:dyDescent="0.25">
      <c r="A103" s="214"/>
      <c r="B103" s="215" t="s">
        <v>1822</v>
      </c>
      <c r="C103" s="215" t="s">
        <v>1823</v>
      </c>
      <c r="D103" s="215" t="s">
        <v>1836</v>
      </c>
      <c r="E103" s="215" t="s">
        <v>1836</v>
      </c>
      <c r="F103" s="215" t="s">
        <v>1825</v>
      </c>
      <c r="G103" s="215" t="s">
        <v>105</v>
      </c>
      <c r="H103" s="216" t="s">
        <v>1916</v>
      </c>
      <c r="I103" s="217"/>
      <c r="J103" s="217"/>
      <c r="K103" s="217"/>
      <c r="L103" s="217"/>
      <c r="M103" s="217"/>
      <c r="N103" s="217"/>
      <c r="O103" s="217"/>
      <c r="P103" s="217"/>
      <c r="Q103" s="218"/>
    </row>
    <row r="104" spans="1:17" s="213" customFormat="1" x14ac:dyDescent="0.25">
      <c r="A104" s="208" t="s">
        <v>263</v>
      </c>
      <c r="B104" s="209" t="s">
        <v>1822</v>
      </c>
      <c r="C104" s="209" t="s">
        <v>1823</v>
      </c>
      <c r="D104" s="209" t="s">
        <v>1836</v>
      </c>
      <c r="E104" s="209" t="s">
        <v>1836</v>
      </c>
      <c r="F104" s="209" t="s">
        <v>1836</v>
      </c>
      <c r="G104" s="209"/>
      <c r="H104" s="210" t="s">
        <v>1917</v>
      </c>
      <c r="I104" s="211">
        <f>SUM(I105:I108)</f>
        <v>11990000</v>
      </c>
      <c r="J104" s="211">
        <f t="shared" ref="J104:O104" si="13">SUM(J105:J108)</f>
        <v>0</v>
      </c>
      <c r="K104" s="211">
        <f t="shared" si="13"/>
        <v>0</v>
      </c>
      <c r="L104" s="211">
        <f t="shared" si="13"/>
        <v>0</v>
      </c>
      <c r="M104" s="211">
        <f t="shared" si="13"/>
        <v>0</v>
      </c>
      <c r="N104" s="211">
        <f t="shared" si="13"/>
        <v>11990000</v>
      </c>
      <c r="O104" s="211">
        <f t="shared" si="13"/>
        <v>0</v>
      </c>
      <c r="P104" s="211"/>
      <c r="Q104" s="212"/>
    </row>
    <row r="105" spans="1:17" s="219" customFormat="1" ht="30" x14ac:dyDescent="0.25">
      <c r="A105" s="214"/>
      <c r="B105" s="215" t="s">
        <v>1822</v>
      </c>
      <c r="C105" s="215" t="s">
        <v>1823</v>
      </c>
      <c r="D105" s="215" t="s">
        <v>1836</v>
      </c>
      <c r="E105" s="215" t="s">
        <v>1836</v>
      </c>
      <c r="F105" s="215" t="s">
        <v>1836</v>
      </c>
      <c r="G105" s="215" t="s">
        <v>58</v>
      </c>
      <c r="H105" s="216" t="s">
        <v>1918</v>
      </c>
      <c r="I105" s="217">
        <v>11990000</v>
      </c>
      <c r="J105" s="217"/>
      <c r="K105" s="217"/>
      <c r="L105" s="217"/>
      <c r="M105" s="217"/>
      <c r="N105" s="217">
        <v>11990000</v>
      </c>
      <c r="O105" s="217"/>
      <c r="P105" s="217"/>
      <c r="Q105" s="218"/>
    </row>
    <row r="106" spans="1:17" s="219" customFormat="1" hidden="1" x14ac:dyDescent="0.25">
      <c r="A106" s="214"/>
      <c r="B106" s="215" t="s">
        <v>1822</v>
      </c>
      <c r="C106" s="215" t="s">
        <v>1823</v>
      </c>
      <c r="D106" s="215" t="s">
        <v>1836</v>
      </c>
      <c r="E106" s="215" t="s">
        <v>1836</v>
      </c>
      <c r="F106" s="215" t="s">
        <v>1836</v>
      </c>
      <c r="G106" s="215" t="s">
        <v>75</v>
      </c>
      <c r="H106" s="216" t="s">
        <v>1919</v>
      </c>
      <c r="I106" s="217"/>
      <c r="J106" s="217"/>
      <c r="K106" s="217"/>
      <c r="L106" s="217"/>
      <c r="M106" s="217"/>
      <c r="N106" s="217"/>
      <c r="O106" s="217"/>
      <c r="P106" s="217"/>
      <c r="Q106" s="218"/>
    </row>
    <row r="107" spans="1:17" s="219" customFormat="1" ht="30" hidden="1" x14ac:dyDescent="0.25">
      <c r="A107" s="214"/>
      <c r="B107" s="215" t="s">
        <v>1822</v>
      </c>
      <c r="C107" s="215" t="s">
        <v>1823</v>
      </c>
      <c r="D107" s="215" t="s">
        <v>1836</v>
      </c>
      <c r="E107" s="215" t="s">
        <v>1836</v>
      </c>
      <c r="F107" s="215" t="s">
        <v>1836</v>
      </c>
      <c r="G107" s="215" t="s">
        <v>79</v>
      </c>
      <c r="H107" s="216" t="s">
        <v>1920</v>
      </c>
      <c r="I107" s="217"/>
      <c r="J107" s="217"/>
      <c r="K107" s="217"/>
      <c r="L107" s="217"/>
      <c r="M107" s="217"/>
      <c r="N107" s="217"/>
      <c r="O107" s="217"/>
      <c r="P107" s="217"/>
      <c r="Q107" s="218"/>
    </row>
    <row r="108" spans="1:17" s="219" customFormat="1" ht="30" hidden="1" x14ac:dyDescent="0.25">
      <c r="A108" s="214"/>
      <c r="B108" s="215" t="s">
        <v>1822</v>
      </c>
      <c r="C108" s="215" t="s">
        <v>1823</v>
      </c>
      <c r="D108" s="215" t="s">
        <v>1836</v>
      </c>
      <c r="E108" s="215" t="s">
        <v>1836</v>
      </c>
      <c r="F108" s="215" t="s">
        <v>1836</v>
      </c>
      <c r="G108" s="215" t="s">
        <v>84</v>
      </c>
      <c r="H108" s="216" t="s">
        <v>1921</v>
      </c>
      <c r="I108" s="217"/>
      <c r="J108" s="217"/>
      <c r="K108" s="217"/>
      <c r="L108" s="217"/>
      <c r="M108" s="217"/>
      <c r="N108" s="217"/>
      <c r="O108" s="217"/>
      <c r="P108" s="217"/>
      <c r="Q108" s="218"/>
    </row>
    <row r="109" spans="1:17" s="213" customFormat="1" hidden="1" x14ac:dyDescent="0.25">
      <c r="A109" s="208" t="s">
        <v>263</v>
      </c>
      <c r="B109" s="209" t="s">
        <v>1822</v>
      </c>
      <c r="C109" s="209" t="s">
        <v>1823</v>
      </c>
      <c r="D109" s="209" t="s">
        <v>1836</v>
      </c>
      <c r="E109" s="209" t="s">
        <v>1836</v>
      </c>
      <c r="F109" s="209" t="s">
        <v>1847</v>
      </c>
      <c r="G109" s="209"/>
      <c r="H109" s="210" t="s">
        <v>1922</v>
      </c>
      <c r="I109" s="211">
        <f>SUM(I110:I114)</f>
        <v>0</v>
      </c>
      <c r="J109" s="211">
        <f t="shared" ref="J109:O109" si="14">SUM(J110:J114)</f>
        <v>0</v>
      </c>
      <c r="K109" s="211">
        <f t="shared" si="14"/>
        <v>0</v>
      </c>
      <c r="L109" s="211">
        <f t="shared" si="14"/>
        <v>0</v>
      </c>
      <c r="M109" s="211">
        <f t="shared" si="14"/>
        <v>0</v>
      </c>
      <c r="N109" s="211">
        <f t="shared" si="14"/>
        <v>0</v>
      </c>
      <c r="O109" s="211">
        <f t="shared" si="14"/>
        <v>0</v>
      </c>
      <c r="P109" s="211"/>
      <c r="Q109" s="212"/>
    </row>
    <row r="110" spans="1:17" s="219" customFormat="1" ht="30" hidden="1" x14ac:dyDescent="0.25">
      <c r="A110" s="214"/>
      <c r="B110" s="215" t="s">
        <v>1822</v>
      </c>
      <c r="C110" s="215" t="s">
        <v>1823</v>
      </c>
      <c r="D110" s="215" t="s">
        <v>1836</v>
      </c>
      <c r="E110" s="215" t="s">
        <v>1836</v>
      </c>
      <c r="F110" s="215" t="s">
        <v>1847</v>
      </c>
      <c r="G110" s="215" t="s">
        <v>58</v>
      </c>
      <c r="H110" s="216" t="s">
        <v>1923</v>
      </c>
      <c r="I110" s="217"/>
      <c r="J110" s="217"/>
      <c r="K110" s="217"/>
      <c r="L110" s="217"/>
      <c r="M110" s="217"/>
      <c r="N110" s="217"/>
      <c r="O110" s="217"/>
      <c r="P110" s="217"/>
      <c r="Q110" s="218"/>
    </row>
    <row r="111" spans="1:17" s="219" customFormat="1" ht="30" hidden="1" x14ac:dyDescent="0.25">
      <c r="A111" s="214"/>
      <c r="B111" s="215" t="s">
        <v>1822</v>
      </c>
      <c r="C111" s="215" t="s">
        <v>1823</v>
      </c>
      <c r="D111" s="215" t="s">
        <v>1836</v>
      </c>
      <c r="E111" s="215" t="s">
        <v>1836</v>
      </c>
      <c r="F111" s="215" t="s">
        <v>1847</v>
      </c>
      <c r="G111" s="215" t="s">
        <v>75</v>
      </c>
      <c r="H111" s="216" t="s">
        <v>1924</v>
      </c>
      <c r="I111" s="217"/>
      <c r="J111" s="217"/>
      <c r="K111" s="217"/>
      <c r="L111" s="217"/>
      <c r="M111" s="217"/>
      <c r="N111" s="217"/>
      <c r="O111" s="217"/>
      <c r="P111" s="217"/>
      <c r="Q111" s="218"/>
    </row>
    <row r="112" spans="1:17" s="219" customFormat="1" ht="30" hidden="1" x14ac:dyDescent="0.25">
      <c r="A112" s="214"/>
      <c r="B112" s="215" t="s">
        <v>1822</v>
      </c>
      <c r="C112" s="215" t="s">
        <v>1823</v>
      </c>
      <c r="D112" s="215" t="s">
        <v>1836</v>
      </c>
      <c r="E112" s="215" t="s">
        <v>1836</v>
      </c>
      <c r="F112" s="215" t="s">
        <v>1847</v>
      </c>
      <c r="G112" s="215" t="s">
        <v>79</v>
      </c>
      <c r="H112" s="216" t="s">
        <v>1925</v>
      </c>
      <c r="I112" s="217"/>
      <c r="J112" s="217"/>
      <c r="K112" s="217"/>
      <c r="L112" s="217"/>
      <c r="M112" s="217"/>
      <c r="N112" s="217"/>
      <c r="O112" s="217"/>
      <c r="P112" s="217"/>
      <c r="Q112" s="218"/>
    </row>
    <row r="113" spans="1:17" s="219" customFormat="1" hidden="1" x14ac:dyDescent="0.25">
      <c r="A113" s="214"/>
      <c r="B113" s="215" t="s">
        <v>1822</v>
      </c>
      <c r="C113" s="215" t="s">
        <v>1823</v>
      </c>
      <c r="D113" s="215" t="s">
        <v>1836</v>
      </c>
      <c r="E113" s="215" t="s">
        <v>1836</v>
      </c>
      <c r="F113" s="215" t="s">
        <v>1847</v>
      </c>
      <c r="G113" s="215" t="s">
        <v>84</v>
      </c>
      <c r="H113" s="216" t="s">
        <v>1926</v>
      </c>
      <c r="I113" s="217"/>
      <c r="J113" s="217"/>
      <c r="K113" s="217"/>
      <c r="L113" s="217"/>
      <c r="M113" s="217"/>
      <c r="N113" s="217"/>
      <c r="O113" s="217"/>
      <c r="P113" s="217"/>
      <c r="Q113" s="218"/>
    </row>
    <row r="114" spans="1:17" s="219" customFormat="1" ht="30" hidden="1" x14ac:dyDescent="0.25">
      <c r="A114" s="214"/>
      <c r="B114" s="215" t="s">
        <v>1822</v>
      </c>
      <c r="C114" s="215" t="s">
        <v>1823</v>
      </c>
      <c r="D114" s="215" t="s">
        <v>1836</v>
      </c>
      <c r="E114" s="215" t="s">
        <v>1836</v>
      </c>
      <c r="F114" s="215" t="s">
        <v>1847</v>
      </c>
      <c r="G114" s="215" t="s">
        <v>88</v>
      </c>
      <c r="H114" s="216" t="s">
        <v>1927</v>
      </c>
      <c r="I114" s="217"/>
      <c r="J114" s="217"/>
      <c r="K114" s="217"/>
      <c r="L114" s="217"/>
      <c r="M114" s="217"/>
      <c r="N114" s="217"/>
      <c r="O114" s="217"/>
      <c r="P114" s="217"/>
      <c r="Q114" s="218"/>
    </row>
    <row r="115" spans="1:17" s="213" customFormat="1" hidden="1" x14ac:dyDescent="0.25">
      <c r="A115" s="208" t="s">
        <v>263</v>
      </c>
      <c r="B115" s="209" t="s">
        <v>1822</v>
      </c>
      <c r="C115" s="209" t="s">
        <v>1823</v>
      </c>
      <c r="D115" s="209" t="s">
        <v>1836</v>
      </c>
      <c r="E115" s="209" t="s">
        <v>1836</v>
      </c>
      <c r="F115" s="209" t="s">
        <v>1928</v>
      </c>
      <c r="G115" s="209"/>
      <c r="H115" s="210" t="s">
        <v>1929</v>
      </c>
      <c r="I115" s="211">
        <f>SUM(I116:I119)</f>
        <v>0</v>
      </c>
      <c r="J115" s="211">
        <f t="shared" ref="J115:O115" si="15">SUM(J116:J119)</f>
        <v>0</v>
      </c>
      <c r="K115" s="211">
        <f t="shared" si="15"/>
        <v>0</v>
      </c>
      <c r="L115" s="211">
        <f t="shared" si="15"/>
        <v>0</v>
      </c>
      <c r="M115" s="211">
        <f t="shared" si="15"/>
        <v>0</v>
      </c>
      <c r="N115" s="211">
        <f t="shared" si="15"/>
        <v>0</v>
      </c>
      <c r="O115" s="211">
        <f t="shared" si="15"/>
        <v>0</v>
      </c>
      <c r="P115" s="211"/>
      <c r="Q115" s="212"/>
    </row>
    <row r="116" spans="1:17" s="219" customFormat="1" ht="30" hidden="1" x14ac:dyDescent="0.25">
      <c r="A116" s="214"/>
      <c r="B116" s="215" t="s">
        <v>1822</v>
      </c>
      <c r="C116" s="215" t="s">
        <v>1823</v>
      </c>
      <c r="D116" s="215" t="s">
        <v>1836</v>
      </c>
      <c r="E116" s="215" t="s">
        <v>1836</v>
      </c>
      <c r="F116" s="215" t="s">
        <v>1928</v>
      </c>
      <c r="G116" s="215" t="s">
        <v>58</v>
      </c>
      <c r="H116" s="216" t="s">
        <v>1930</v>
      </c>
      <c r="I116" s="217"/>
      <c r="J116" s="217"/>
      <c r="K116" s="217"/>
      <c r="L116" s="217"/>
      <c r="M116" s="217"/>
      <c r="N116" s="217"/>
      <c r="O116" s="217"/>
      <c r="P116" s="217"/>
      <c r="Q116" s="218"/>
    </row>
    <row r="117" spans="1:17" s="219" customFormat="1" ht="30" hidden="1" x14ac:dyDescent="0.25">
      <c r="A117" s="214"/>
      <c r="B117" s="215" t="s">
        <v>1822</v>
      </c>
      <c r="C117" s="215" t="s">
        <v>1823</v>
      </c>
      <c r="D117" s="215" t="s">
        <v>1836</v>
      </c>
      <c r="E117" s="215" t="s">
        <v>1836</v>
      </c>
      <c r="F117" s="215" t="s">
        <v>1928</v>
      </c>
      <c r="G117" s="215" t="s">
        <v>75</v>
      </c>
      <c r="H117" s="216" t="s">
        <v>1931</v>
      </c>
      <c r="I117" s="217"/>
      <c r="J117" s="217"/>
      <c r="K117" s="217"/>
      <c r="L117" s="217"/>
      <c r="M117" s="217"/>
      <c r="N117" s="217"/>
      <c r="O117" s="217"/>
      <c r="P117" s="217"/>
      <c r="Q117" s="218"/>
    </row>
    <row r="118" spans="1:17" s="219" customFormat="1" ht="30" hidden="1" x14ac:dyDescent="0.25">
      <c r="A118" s="214"/>
      <c r="B118" s="215" t="s">
        <v>1822</v>
      </c>
      <c r="C118" s="215" t="s">
        <v>1823</v>
      </c>
      <c r="D118" s="215" t="s">
        <v>1836</v>
      </c>
      <c r="E118" s="215" t="s">
        <v>1836</v>
      </c>
      <c r="F118" s="215" t="s">
        <v>1928</v>
      </c>
      <c r="G118" s="215" t="s">
        <v>79</v>
      </c>
      <c r="H118" s="216" t="s">
        <v>1932</v>
      </c>
      <c r="I118" s="217"/>
      <c r="J118" s="217"/>
      <c r="K118" s="217"/>
      <c r="L118" s="217"/>
      <c r="M118" s="217"/>
      <c r="N118" s="217"/>
      <c r="O118" s="217"/>
      <c r="P118" s="217"/>
      <c r="Q118" s="218"/>
    </row>
    <row r="119" spans="1:17" s="219" customFormat="1" ht="30" hidden="1" x14ac:dyDescent="0.25">
      <c r="A119" s="214"/>
      <c r="B119" s="215" t="s">
        <v>1822</v>
      </c>
      <c r="C119" s="215" t="s">
        <v>1823</v>
      </c>
      <c r="D119" s="215" t="s">
        <v>1836</v>
      </c>
      <c r="E119" s="215" t="s">
        <v>1836</v>
      </c>
      <c r="F119" s="215" t="s">
        <v>1928</v>
      </c>
      <c r="G119" s="215" t="s">
        <v>84</v>
      </c>
      <c r="H119" s="216" t="s">
        <v>1933</v>
      </c>
      <c r="I119" s="217"/>
      <c r="J119" s="217"/>
      <c r="K119" s="217"/>
      <c r="L119" s="217"/>
      <c r="M119" s="217"/>
      <c r="N119" s="217"/>
      <c r="O119" s="217"/>
      <c r="P119" s="217"/>
      <c r="Q119" s="218"/>
    </row>
    <row r="120" spans="1:17" s="213" customFormat="1" hidden="1" x14ac:dyDescent="0.25">
      <c r="A120" s="208" t="s">
        <v>263</v>
      </c>
      <c r="B120" s="209" t="s">
        <v>1822</v>
      </c>
      <c r="C120" s="209" t="s">
        <v>1823</v>
      </c>
      <c r="D120" s="209" t="s">
        <v>1836</v>
      </c>
      <c r="E120" s="209" t="s">
        <v>1836</v>
      </c>
      <c r="F120" s="209" t="s">
        <v>1934</v>
      </c>
      <c r="G120" s="209"/>
      <c r="H120" s="210" t="s">
        <v>1935</v>
      </c>
      <c r="I120" s="211">
        <f>SUM(I121:I122)</f>
        <v>0</v>
      </c>
      <c r="J120" s="211">
        <f t="shared" ref="J120:O120" si="16">SUM(J121:J122)</f>
        <v>0</v>
      </c>
      <c r="K120" s="211">
        <f t="shared" si="16"/>
        <v>0</v>
      </c>
      <c r="L120" s="211">
        <f t="shared" si="16"/>
        <v>0</v>
      </c>
      <c r="M120" s="211">
        <f t="shared" si="16"/>
        <v>0</v>
      </c>
      <c r="N120" s="211">
        <f t="shared" si="16"/>
        <v>0</v>
      </c>
      <c r="O120" s="211">
        <f t="shared" si="16"/>
        <v>0</v>
      </c>
      <c r="P120" s="211"/>
      <c r="Q120" s="212"/>
    </row>
    <row r="121" spans="1:17" s="219" customFormat="1" hidden="1" x14ac:dyDescent="0.25">
      <c r="A121" s="214"/>
      <c r="B121" s="215" t="s">
        <v>1822</v>
      </c>
      <c r="C121" s="215" t="s">
        <v>1823</v>
      </c>
      <c r="D121" s="215" t="s">
        <v>1836</v>
      </c>
      <c r="E121" s="215" t="s">
        <v>1836</v>
      </c>
      <c r="F121" s="215" t="s">
        <v>1934</v>
      </c>
      <c r="G121" s="215" t="s">
        <v>58</v>
      </c>
      <c r="H121" s="216" t="s">
        <v>1936</v>
      </c>
      <c r="I121" s="217"/>
      <c r="J121" s="217"/>
      <c r="K121" s="217"/>
      <c r="L121" s="217"/>
      <c r="M121" s="217"/>
      <c r="N121" s="217"/>
      <c r="O121" s="217"/>
      <c r="P121" s="217"/>
      <c r="Q121" s="218"/>
    </row>
    <row r="122" spans="1:17" s="219" customFormat="1" ht="30" hidden="1" x14ac:dyDescent="0.25">
      <c r="A122" s="214"/>
      <c r="B122" s="215" t="s">
        <v>1822</v>
      </c>
      <c r="C122" s="215" t="s">
        <v>1823</v>
      </c>
      <c r="D122" s="215" t="s">
        <v>1836</v>
      </c>
      <c r="E122" s="215" t="s">
        <v>1836</v>
      </c>
      <c r="F122" s="215" t="s">
        <v>1934</v>
      </c>
      <c r="G122" s="215" t="s">
        <v>75</v>
      </c>
      <c r="H122" s="216" t="s">
        <v>1937</v>
      </c>
      <c r="I122" s="217"/>
      <c r="J122" s="217"/>
      <c r="K122" s="217"/>
      <c r="L122" s="217"/>
      <c r="M122" s="217"/>
      <c r="N122" s="217"/>
      <c r="O122" s="217"/>
      <c r="P122" s="217"/>
      <c r="Q122" s="218"/>
    </row>
    <row r="123" spans="1:17" s="213" customFormat="1" hidden="1" x14ac:dyDescent="0.25">
      <c r="A123" s="208" t="s">
        <v>1938</v>
      </c>
      <c r="B123" s="209" t="s">
        <v>1822</v>
      </c>
      <c r="C123" s="209" t="s">
        <v>1823</v>
      </c>
      <c r="D123" s="209" t="s">
        <v>1836</v>
      </c>
      <c r="E123" s="209" t="s">
        <v>1847</v>
      </c>
      <c r="F123" s="209"/>
      <c r="G123" s="209"/>
      <c r="H123" s="210" t="s">
        <v>1939</v>
      </c>
      <c r="I123" s="211">
        <f>SUM(I124+I135+I149)</f>
        <v>0</v>
      </c>
      <c r="J123" s="211">
        <f t="shared" ref="J123:O123" si="17">SUM(J124+J135+J149)</f>
        <v>0</v>
      </c>
      <c r="K123" s="211">
        <f t="shared" si="17"/>
        <v>0</v>
      </c>
      <c r="L123" s="211">
        <f t="shared" si="17"/>
        <v>0</v>
      </c>
      <c r="M123" s="211">
        <f t="shared" si="17"/>
        <v>0</v>
      </c>
      <c r="N123" s="211">
        <f t="shared" si="17"/>
        <v>0</v>
      </c>
      <c r="O123" s="211">
        <f t="shared" si="17"/>
        <v>0</v>
      </c>
      <c r="P123" s="211"/>
      <c r="Q123" s="212"/>
    </row>
    <row r="124" spans="1:17" s="213" customFormat="1" hidden="1" x14ac:dyDescent="0.25">
      <c r="A124" s="208" t="s">
        <v>263</v>
      </c>
      <c r="B124" s="209" t="s">
        <v>1822</v>
      </c>
      <c r="C124" s="209" t="s">
        <v>1823</v>
      </c>
      <c r="D124" s="209" t="s">
        <v>1836</v>
      </c>
      <c r="E124" s="209" t="s">
        <v>1847</v>
      </c>
      <c r="F124" s="209" t="s">
        <v>1825</v>
      </c>
      <c r="G124" s="209"/>
      <c r="H124" s="210" t="s">
        <v>1940</v>
      </c>
      <c r="I124" s="211">
        <f>SUM(I125:I134)</f>
        <v>0</v>
      </c>
      <c r="J124" s="211">
        <f t="shared" ref="J124:O124" si="18">SUM(J125:J134)</f>
        <v>0</v>
      </c>
      <c r="K124" s="211">
        <f t="shared" si="18"/>
        <v>0</v>
      </c>
      <c r="L124" s="211">
        <f t="shared" si="18"/>
        <v>0</v>
      </c>
      <c r="M124" s="211">
        <f t="shared" si="18"/>
        <v>0</v>
      </c>
      <c r="N124" s="211">
        <f t="shared" si="18"/>
        <v>0</v>
      </c>
      <c r="O124" s="211">
        <f t="shared" si="18"/>
        <v>0</v>
      </c>
      <c r="P124" s="211"/>
      <c r="Q124" s="212"/>
    </row>
    <row r="125" spans="1:17" s="219" customFormat="1" ht="30" hidden="1" x14ac:dyDescent="0.25">
      <c r="A125" s="214"/>
      <c r="B125" s="215" t="s">
        <v>1822</v>
      </c>
      <c r="C125" s="215" t="s">
        <v>1823</v>
      </c>
      <c r="D125" s="215" t="s">
        <v>1836</v>
      </c>
      <c r="E125" s="215" t="s">
        <v>1847</v>
      </c>
      <c r="F125" s="215" t="s">
        <v>1825</v>
      </c>
      <c r="G125" s="215" t="s">
        <v>58</v>
      </c>
      <c r="H125" s="216" t="s">
        <v>1941</v>
      </c>
      <c r="I125" s="217"/>
      <c r="J125" s="217"/>
      <c r="K125" s="217"/>
      <c r="L125" s="217"/>
      <c r="M125" s="217"/>
      <c r="N125" s="217"/>
      <c r="O125" s="217"/>
      <c r="P125" s="217"/>
      <c r="Q125" s="218"/>
    </row>
    <row r="126" spans="1:17" s="219" customFormat="1" ht="30" hidden="1" x14ac:dyDescent="0.25">
      <c r="A126" s="214"/>
      <c r="B126" s="215" t="s">
        <v>1822</v>
      </c>
      <c r="C126" s="215" t="s">
        <v>1823</v>
      </c>
      <c r="D126" s="215" t="s">
        <v>1836</v>
      </c>
      <c r="E126" s="215" t="s">
        <v>1847</v>
      </c>
      <c r="F126" s="215" t="s">
        <v>1825</v>
      </c>
      <c r="G126" s="215" t="s">
        <v>75</v>
      </c>
      <c r="H126" s="216" t="s">
        <v>1942</v>
      </c>
      <c r="I126" s="217"/>
      <c r="J126" s="217"/>
      <c r="K126" s="217"/>
      <c r="L126" s="217"/>
      <c r="M126" s="217"/>
      <c r="N126" s="217"/>
      <c r="O126" s="217"/>
      <c r="P126" s="217"/>
      <c r="Q126" s="218"/>
    </row>
    <row r="127" spans="1:17" s="219" customFormat="1" hidden="1" x14ac:dyDescent="0.25">
      <c r="A127" s="214"/>
      <c r="B127" s="215" t="s">
        <v>1822</v>
      </c>
      <c r="C127" s="215" t="s">
        <v>1823</v>
      </c>
      <c r="D127" s="215" t="s">
        <v>1836</v>
      </c>
      <c r="E127" s="215" t="s">
        <v>1847</v>
      </c>
      <c r="F127" s="215" t="s">
        <v>1825</v>
      </c>
      <c r="G127" s="215" t="s">
        <v>79</v>
      </c>
      <c r="H127" s="216" t="s">
        <v>1943</v>
      </c>
      <c r="I127" s="217"/>
      <c r="J127" s="217"/>
      <c r="K127" s="217"/>
      <c r="L127" s="217"/>
      <c r="M127" s="217"/>
      <c r="N127" s="217"/>
      <c r="O127" s="217"/>
      <c r="P127" s="217"/>
      <c r="Q127" s="218"/>
    </row>
    <row r="128" spans="1:17" s="219" customFormat="1" hidden="1" x14ac:dyDescent="0.25">
      <c r="A128" s="214"/>
      <c r="B128" s="215" t="s">
        <v>1822</v>
      </c>
      <c r="C128" s="215" t="s">
        <v>1823</v>
      </c>
      <c r="D128" s="215" t="s">
        <v>1836</v>
      </c>
      <c r="E128" s="215" t="s">
        <v>1847</v>
      </c>
      <c r="F128" s="215" t="s">
        <v>1825</v>
      </c>
      <c r="G128" s="215" t="s">
        <v>84</v>
      </c>
      <c r="H128" s="216" t="s">
        <v>1944</v>
      </c>
      <c r="I128" s="217"/>
      <c r="J128" s="217"/>
      <c r="K128" s="217"/>
      <c r="L128" s="217"/>
      <c r="M128" s="217"/>
      <c r="N128" s="217"/>
      <c r="O128" s="217"/>
      <c r="P128" s="217"/>
      <c r="Q128" s="218"/>
    </row>
    <row r="129" spans="1:17" s="219" customFormat="1" hidden="1" x14ac:dyDescent="0.25">
      <c r="A129" s="214"/>
      <c r="B129" s="215" t="s">
        <v>1822</v>
      </c>
      <c r="C129" s="215" t="s">
        <v>1823</v>
      </c>
      <c r="D129" s="215" t="s">
        <v>1836</v>
      </c>
      <c r="E129" s="215" t="s">
        <v>1847</v>
      </c>
      <c r="F129" s="215" t="s">
        <v>1825</v>
      </c>
      <c r="G129" s="215" t="s">
        <v>88</v>
      </c>
      <c r="H129" s="216" t="s">
        <v>1945</v>
      </c>
      <c r="I129" s="217"/>
      <c r="J129" s="217"/>
      <c r="K129" s="217"/>
      <c r="L129" s="217"/>
      <c r="M129" s="217"/>
      <c r="N129" s="217"/>
      <c r="O129" s="217"/>
      <c r="P129" s="217"/>
      <c r="Q129" s="218"/>
    </row>
    <row r="130" spans="1:17" s="219" customFormat="1" hidden="1" x14ac:dyDescent="0.25">
      <c r="A130" s="214"/>
      <c r="B130" s="215" t="s">
        <v>1822</v>
      </c>
      <c r="C130" s="215" t="s">
        <v>1823</v>
      </c>
      <c r="D130" s="215" t="s">
        <v>1836</v>
      </c>
      <c r="E130" s="215" t="s">
        <v>1847</v>
      </c>
      <c r="F130" s="215" t="s">
        <v>1825</v>
      </c>
      <c r="G130" s="215" t="s">
        <v>92</v>
      </c>
      <c r="H130" s="216" t="s">
        <v>1946</v>
      </c>
      <c r="I130" s="217"/>
      <c r="J130" s="217"/>
      <c r="K130" s="217"/>
      <c r="L130" s="217"/>
      <c r="M130" s="217"/>
      <c r="N130" s="217"/>
      <c r="O130" s="217"/>
      <c r="P130" s="217"/>
      <c r="Q130" s="218"/>
    </row>
    <row r="131" spans="1:17" s="219" customFormat="1" hidden="1" x14ac:dyDescent="0.25">
      <c r="A131" s="214"/>
      <c r="B131" s="215" t="s">
        <v>1822</v>
      </c>
      <c r="C131" s="215" t="s">
        <v>1823</v>
      </c>
      <c r="D131" s="215" t="s">
        <v>1836</v>
      </c>
      <c r="E131" s="215" t="s">
        <v>1847</v>
      </c>
      <c r="F131" s="215" t="s">
        <v>1825</v>
      </c>
      <c r="G131" s="215" t="s">
        <v>96</v>
      </c>
      <c r="H131" s="216" t="s">
        <v>1947</v>
      </c>
      <c r="I131" s="217"/>
      <c r="J131" s="217"/>
      <c r="K131" s="217"/>
      <c r="L131" s="217"/>
      <c r="M131" s="217"/>
      <c r="N131" s="217"/>
      <c r="O131" s="217"/>
      <c r="P131" s="217"/>
      <c r="Q131" s="218"/>
    </row>
    <row r="132" spans="1:17" s="219" customFormat="1" hidden="1" x14ac:dyDescent="0.25">
      <c r="A132" s="214"/>
      <c r="B132" s="215" t="s">
        <v>1822</v>
      </c>
      <c r="C132" s="215" t="s">
        <v>1823</v>
      </c>
      <c r="D132" s="215" t="s">
        <v>1836</v>
      </c>
      <c r="E132" s="215" t="s">
        <v>1847</v>
      </c>
      <c r="F132" s="215" t="s">
        <v>1825</v>
      </c>
      <c r="G132" s="215" t="s">
        <v>100</v>
      </c>
      <c r="H132" s="216" t="s">
        <v>1948</v>
      </c>
      <c r="I132" s="217"/>
      <c r="J132" s="217"/>
      <c r="K132" s="217"/>
      <c r="L132" s="217"/>
      <c r="M132" s="217"/>
      <c r="N132" s="217"/>
      <c r="O132" s="217"/>
      <c r="P132" s="217"/>
      <c r="Q132" s="218"/>
    </row>
    <row r="133" spans="1:17" s="219" customFormat="1" hidden="1" x14ac:dyDescent="0.25">
      <c r="A133" s="214"/>
      <c r="B133" s="215" t="s">
        <v>1822</v>
      </c>
      <c r="C133" s="215" t="s">
        <v>1823</v>
      </c>
      <c r="D133" s="215" t="s">
        <v>1836</v>
      </c>
      <c r="E133" s="215" t="s">
        <v>1847</v>
      </c>
      <c r="F133" s="215" t="s">
        <v>1825</v>
      </c>
      <c r="G133" s="215" t="s">
        <v>105</v>
      </c>
      <c r="H133" s="216" t="s">
        <v>1949</v>
      </c>
      <c r="I133" s="217"/>
      <c r="J133" s="217"/>
      <c r="K133" s="217"/>
      <c r="L133" s="217"/>
      <c r="M133" s="217"/>
      <c r="N133" s="217"/>
      <c r="O133" s="217"/>
      <c r="P133" s="217"/>
      <c r="Q133" s="218"/>
    </row>
    <row r="134" spans="1:17" s="219" customFormat="1" hidden="1" x14ac:dyDescent="0.25">
      <c r="A134" s="214"/>
      <c r="B134" s="215" t="s">
        <v>1822</v>
      </c>
      <c r="C134" s="215" t="s">
        <v>1823</v>
      </c>
      <c r="D134" s="215" t="s">
        <v>1836</v>
      </c>
      <c r="E134" s="215" t="s">
        <v>1847</v>
      </c>
      <c r="F134" s="215" t="s">
        <v>1825</v>
      </c>
      <c r="G134" s="215" t="s">
        <v>108</v>
      </c>
      <c r="H134" s="216" t="s">
        <v>1950</v>
      </c>
      <c r="I134" s="217"/>
      <c r="J134" s="217"/>
      <c r="K134" s="217"/>
      <c r="L134" s="217"/>
      <c r="M134" s="217"/>
      <c r="N134" s="217"/>
      <c r="O134" s="217"/>
      <c r="P134" s="217"/>
      <c r="Q134" s="218"/>
    </row>
    <row r="135" spans="1:17" s="213" customFormat="1" hidden="1" x14ac:dyDescent="0.25">
      <c r="A135" s="208" t="s">
        <v>263</v>
      </c>
      <c r="B135" s="209" t="s">
        <v>1822</v>
      </c>
      <c r="C135" s="209" t="s">
        <v>1823</v>
      </c>
      <c r="D135" s="209" t="s">
        <v>1836</v>
      </c>
      <c r="E135" s="209" t="s">
        <v>1847</v>
      </c>
      <c r="F135" s="209" t="s">
        <v>1836</v>
      </c>
      <c r="G135" s="209"/>
      <c r="H135" s="210" t="s">
        <v>1951</v>
      </c>
      <c r="I135" s="211">
        <f>SUM(I136:I148)</f>
        <v>0</v>
      </c>
      <c r="J135" s="211">
        <f t="shared" ref="J135:O135" si="19">SUM(J136:J148)</f>
        <v>0</v>
      </c>
      <c r="K135" s="211">
        <f t="shared" si="19"/>
        <v>0</v>
      </c>
      <c r="L135" s="211">
        <f t="shared" si="19"/>
        <v>0</v>
      </c>
      <c r="M135" s="211">
        <f t="shared" si="19"/>
        <v>0</v>
      </c>
      <c r="N135" s="211">
        <f t="shared" si="19"/>
        <v>0</v>
      </c>
      <c r="O135" s="211">
        <f t="shared" si="19"/>
        <v>0</v>
      </c>
      <c r="P135" s="211"/>
      <c r="Q135" s="212"/>
    </row>
    <row r="136" spans="1:17" s="219" customFormat="1" hidden="1" x14ac:dyDescent="0.25">
      <c r="A136" s="214"/>
      <c r="B136" s="215" t="s">
        <v>1822</v>
      </c>
      <c r="C136" s="215" t="s">
        <v>1823</v>
      </c>
      <c r="D136" s="215" t="s">
        <v>1836</v>
      </c>
      <c r="E136" s="215" t="s">
        <v>1847</v>
      </c>
      <c r="F136" s="215" t="s">
        <v>1836</v>
      </c>
      <c r="G136" s="215" t="s">
        <v>58</v>
      </c>
      <c r="H136" s="216" t="s">
        <v>1952</v>
      </c>
      <c r="I136" s="217"/>
      <c r="J136" s="217"/>
      <c r="K136" s="217"/>
      <c r="L136" s="217"/>
      <c r="M136" s="217"/>
      <c r="N136" s="217"/>
      <c r="O136" s="217"/>
      <c r="P136" s="217"/>
      <c r="Q136" s="218"/>
    </row>
    <row r="137" spans="1:17" s="219" customFormat="1" hidden="1" x14ac:dyDescent="0.25">
      <c r="A137" s="214"/>
      <c r="B137" s="215" t="s">
        <v>1822</v>
      </c>
      <c r="C137" s="215" t="s">
        <v>1823</v>
      </c>
      <c r="D137" s="215" t="s">
        <v>1836</v>
      </c>
      <c r="E137" s="215" t="s">
        <v>1847</v>
      </c>
      <c r="F137" s="215" t="s">
        <v>1836</v>
      </c>
      <c r="G137" s="215" t="s">
        <v>75</v>
      </c>
      <c r="H137" s="216" t="s">
        <v>1943</v>
      </c>
      <c r="I137" s="217"/>
      <c r="J137" s="217"/>
      <c r="K137" s="217"/>
      <c r="L137" s="217"/>
      <c r="M137" s="217"/>
      <c r="N137" s="217"/>
      <c r="O137" s="217"/>
      <c r="P137" s="217"/>
      <c r="Q137" s="218"/>
    </row>
    <row r="138" spans="1:17" s="219" customFormat="1" hidden="1" x14ac:dyDescent="0.25">
      <c r="A138" s="214"/>
      <c r="B138" s="215" t="s">
        <v>1822</v>
      </c>
      <c r="C138" s="215" t="s">
        <v>1823</v>
      </c>
      <c r="D138" s="215" t="s">
        <v>1836</v>
      </c>
      <c r="E138" s="215" t="s">
        <v>1847</v>
      </c>
      <c r="F138" s="215" t="s">
        <v>1836</v>
      </c>
      <c r="G138" s="215" t="s">
        <v>79</v>
      </c>
      <c r="H138" s="216" t="s">
        <v>1944</v>
      </c>
      <c r="I138" s="217"/>
      <c r="J138" s="217"/>
      <c r="K138" s="217"/>
      <c r="L138" s="217"/>
      <c r="M138" s="217"/>
      <c r="N138" s="217"/>
      <c r="O138" s="217"/>
      <c r="P138" s="217"/>
      <c r="Q138" s="218"/>
    </row>
    <row r="139" spans="1:17" s="219" customFormat="1" hidden="1" x14ac:dyDescent="0.25">
      <c r="A139" s="214"/>
      <c r="B139" s="215" t="s">
        <v>1822</v>
      </c>
      <c r="C139" s="215" t="s">
        <v>1823</v>
      </c>
      <c r="D139" s="215" t="s">
        <v>1836</v>
      </c>
      <c r="E139" s="215" t="s">
        <v>1847</v>
      </c>
      <c r="F139" s="215" t="s">
        <v>1836</v>
      </c>
      <c r="G139" s="215" t="s">
        <v>84</v>
      </c>
      <c r="H139" s="216" t="s">
        <v>1953</v>
      </c>
      <c r="I139" s="217"/>
      <c r="J139" s="217"/>
      <c r="K139" s="217"/>
      <c r="L139" s="217"/>
      <c r="M139" s="217"/>
      <c r="N139" s="217"/>
      <c r="O139" s="217"/>
      <c r="P139" s="217"/>
      <c r="Q139" s="218"/>
    </row>
    <row r="140" spans="1:17" s="219" customFormat="1" hidden="1" x14ac:dyDescent="0.25">
      <c r="A140" s="214"/>
      <c r="B140" s="215" t="s">
        <v>1822</v>
      </c>
      <c r="C140" s="215" t="s">
        <v>1823</v>
      </c>
      <c r="D140" s="215" t="s">
        <v>1836</v>
      </c>
      <c r="E140" s="215" t="s">
        <v>1847</v>
      </c>
      <c r="F140" s="215" t="s">
        <v>1836</v>
      </c>
      <c r="G140" s="215" t="s">
        <v>88</v>
      </c>
      <c r="H140" s="216" t="s">
        <v>1954</v>
      </c>
      <c r="I140" s="217"/>
      <c r="J140" s="217"/>
      <c r="K140" s="217"/>
      <c r="L140" s="217"/>
      <c r="M140" s="217"/>
      <c r="N140" s="217"/>
      <c r="O140" s="217"/>
      <c r="P140" s="217"/>
      <c r="Q140" s="218"/>
    </row>
    <row r="141" spans="1:17" s="219" customFormat="1" hidden="1" x14ac:dyDescent="0.25">
      <c r="A141" s="214"/>
      <c r="B141" s="215" t="s">
        <v>1822</v>
      </c>
      <c r="C141" s="215" t="s">
        <v>1823</v>
      </c>
      <c r="D141" s="215" t="s">
        <v>1836</v>
      </c>
      <c r="E141" s="215" t="s">
        <v>1847</v>
      </c>
      <c r="F141" s="215" t="s">
        <v>1836</v>
      </c>
      <c r="G141" s="215" t="s">
        <v>92</v>
      </c>
      <c r="H141" s="216" t="s">
        <v>1955</v>
      </c>
      <c r="I141" s="217"/>
      <c r="J141" s="217"/>
      <c r="K141" s="217"/>
      <c r="L141" s="217"/>
      <c r="M141" s="217"/>
      <c r="N141" s="217"/>
      <c r="O141" s="217"/>
      <c r="P141" s="217"/>
      <c r="Q141" s="218"/>
    </row>
    <row r="142" spans="1:17" s="219" customFormat="1" hidden="1" x14ac:dyDescent="0.25">
      <c r="A142" s="214"/>
      <c r="B142" s="215" t="s">
        <v>1822</v>
      </c>
      <c r="C142" s="215" t="s">
        <v>1823</v>
      </c>
      <c r="D142" s="215" t="s">
        <v>1836</v>
      </c>
      <c r="E142" s="215" t="s">
        <v>1847</v>
      </c>
      <c r="F142" s="215" t="s">
        <v>1836</v>
      </c>
      <c r="G142" s="215" t="s">
        <v>96</v>
      </c>
      <c r="H142" s="216" t="s">
        <v>1956</v>
      </c>
      <c r="I142" s="217"/>
      <c r="J142" s="217"/>
      <c r="K142" s="217"/>
      <c r="L142" s="217"/>
      <c r="M142" s="217"/>
      <c r="N142" s="217"/>
      <c r="O142" s="217"/>
      <c r="P142" s="217"/>
      <c r="Q142" s="218"/>
    </row>
    <row r="143" spans="1:17" s="219" customFormat="1" hidden="1" x14ac:dyDescent="0.25">
      <c r="A143" s="214"/>
      <c r="B143" s="215" t="s">
        <v>1822</v>
      </c>
      <c r="C143" s="215" t="s">
        <v>1823</v>
      </c>
      <c r="D143" s="215" t="s">
        <v>1836</v>
      </c>
      <c r="E143" s="215" t="s">
        <v>1847</v>
      </c>
      <c r="F143" s="215" t="s">
        <v>1836</v>
      </c>
      <c r="G143" s="215" t="s">
        <v>100</v>
      </c>
      <c r="H143" s="216" t="s">
        <v>1957</v>
      </c>
      <c r="I143" s="217"/>
      <c r="J143" s="217"/>
      <c r="K143" s="217"/>
      <c r="L143" s="217"/>
      <c r="M143" s="217"/>
      <c r="N143" s="217"/>
      <c r="O143" s="217"/>
      <c r="P143" s="217"/>
      <c r="Q143" s="218"/>
    </row>
    <row r="144" spans="1:17" s="219" customFormat="1" hidden="1" x14ac:dyDescent="0.25">
      <c r="A144" s="214"/>
      <c r="B144" s="215" t="s">
        <v>1822</v>
      </c>
      <c r="C144" s="215" t="s">
        <v>1823</v>
      </c>
      <c r="D144" s="215" t="s">
        <v>1836</v>
      </c>
      <c r="E144" s="215" t="s">
        <v>1847</v>
      </c>
      <c r="F144" s="215" t="s">
        <v>1836</v>
      </c>
      <c r="G144" s="215" t="s">
        <v>105</v>
      </c>
      <c r="H144" s="216" t="s">
        <v>1958</v>
      </c>
      <c r="I144" s="217"/>
      <c r="J144" s="217"/>
      <c r="K144" s="217"/>
      <c r="L144" s="217"/>
      <c r="M144" s="217"/>
      <c r="N144" s="217"/>
      <c r="O144" s="217"/>
      <c r="P144" s="217"/>
      <c r="Q144" s="218"/>
    </row>
    <row r="145" spans="1:17" s="219" customFormat="1" hidden="1" x14ac:dyDescent="0.25">
      <c r="A145" s="214"/>
      <c r="B145" s="215" t="s">
        <v>1822</v>
      </c>
      <c r="C145" s="215" t="s">
        <v>1823</v>
      </c>
      <c r="D145" s="215" t="s">
        <v>1836</v>
      </c>
      <c r="E145" s="215" t="s">
        <v>1847</v>
      </c>
      <c r="F145" s="215" t="s">
        <v>1836</v>
      </c>
      <c r="G145" s="215" t="s">
        <v>108</v>
      </c>
      <c r="H145" s="216" t="s">
        <v>1958</v>
      </c>
      <c r="I145" s="217"/>
      <c r="J145" s="217"/>
      <c r="K145" s="217"/>
      <c r="L145" s="217"/>
      <c r="M145" s="217"/>
      <c r="N145" s="217"/>
      <c r="O145" s="217"/>
      <c r="P145" s="217"/>
      <c r="Q145" s="218"/>
    </row>
    <row r="146" spans="1:17" s="219" customFormat="1" hidden="1" x14ac:dyDescent="0.25">
      <c r="A146" s="214"/>
      <c r="B146" s="215" t="s">
        <v>1822</v>
      </c>
      <c r="C146" s="215" t="s">
        <v>1823</v>
      </c>
      <c r="D146" s="215" t="s">
        <v>1836</v>
      </c>
      <c r="E146" s="215" t="s">
        <v>1847</v>
      </c>
      <c r="F146" s="215" t="s">
        <v>1836</v>
      </c>
      <c r="G146" s="215" t="s">
        <v>135</v>
      </c>
      <c r="H146" s="216" t="s">
        <v>1959</v>
      </c>
      <c r="I146" s="217"/>
      <c r="J146" s="217"/>
      <c r="K146" s="217"/>
      <c r="L146" s="217"/>
      <c r="M146" s="217"/>
      <c r="N146" s="217"/>
      <c r="O146" s="217"/>
      <c r="P146" s="217"/>
      <c r="Q146" s="218"/>
    </row>
    <row r="147" spans="1:17" s="219" customFormat="1" hidden="1" x14ac:dyDescent="0.25">
      <c r="A147" s="214"/>
      <c r="B147" s="215" t="s">
        <v>1822</v>
      </c>
      <c r="C147" s="215" t="s">
        <v>1823</v>
      </c>
      <c r="D147" s="215" t="s">
        <v>1836</v>
      </c>
      <c r="E147" s="215" t="s">
        <v>1847</v>
      </c>
      <c r="F147" s="215" t="s">
        <v>1836</v>
      </c>
      <c r="G147" s="215" t="s">
        <v>138</v>
      </c>
      <c r="H147" s="216" t="s">
        <v>1960</v>
      </c>
      <c r="I147" s="217"/>
      <c r="J147" s="217"/>
      <c r="K147" s="217"/>
      <c r="L147" s="217"/>
      <c r="M147" s="217"/>
      <c r="N147" s="217"/>
      <c r="O147" s="217"/>
      <c r="P147" s="217"/>
      <c r="Q147" s="218"/>
    </row>
    <row r="148" spans="1:17" s="219" customFormat="1" hidden="1" x14ac:dyDescent="0.25">
      <c r="A148" s="214"/>
      <c r="B148" s="215" t="s">
        <v>1822</v>
      </c>
      <c r="C148" s="215" t="s">
        <v>1823</v>
      </c>
      <c r="D148" s="215" t="s">
        <v>1836</v>
      </c>
      <c r="E148" s="215" t="s">
        <v>1847</v>
      </c>
      <c r="F148" s="215" t="s">
        <v>1836</v>
      </c>
      <c r="G148" s="215" t="s">
        <v>140</v>
      </c>
      <c r="H148" s="216" t="s">
        <v>1961</v>
      </c>
      <c r="I148" s="217"/>
      <c r="J148" s="217"/>
      <c r="K148" s="217"/>
      <c r="L148" s="217"/>
      <c r="M148" s="217"/>
      <c r="N148" s="217"/>
      <c r="O148" s="217"/>
      <c r="P148" s="217"/>
      <c r="Q148" s="218"/>
    </row>
    <row r="149" spans="1:17" s="213" customFormat="1" hidden="1" x14ac:dyDescent="0.25">
      <c r="A149" s="208" t="s">
        <v>263</v>
      </c>
      <c r="B149" s="209" t="s">
        <v>1822</v>
      </c>
      <c r="C149" s="209" t="s">
        <v>1823</v>
      </c>
      <c r="D149" s="209" t="s">
        <v>1836</v>
      </c>
      <c r="E149" s="209" t="s">
        <v>1847</v>
      </c>
      <c r="F149" s="209" t="s">
        <v>1847</v>
      </c>
      <c r="G149" s="209"/>
      <c r="H149" s="210" t="s">
        <v>1962</v>
      </c>
      <c r="I149" s="211">
        <f>SUM(I150:I170)</f>
        <v>0</v>
      </c>
      <c r="J149" s="211">
        <f t="shared" ref="J149:O149" si="20">SUM(J150:J170)</f>
        <v>0</v>
      </c>
      <c r="K149" s="211">
        <f t="shared" si="20"/>
        <v>0</v>
      </c>
      <c r="L149" s="211">
        <f t="shared" si="20"/>
        <v>0</v>
      </c>
      <c r="M149" s="211">
        <f t="shared" si="20"/>
        <v>0</v>
      </c>
      <c r="N149" s="211">
        <f t="shared" si="20"/>
        <v>0</v>
      </c>
      <c r="O149" s="211">
        <f t="shared" si="20"/>
        <v>0</v>
      </c>
      <c r="P149" s="211"/>
      <c r="Q149" s="212"/>
    </row>
    <row r="150" spans="1:17" s="219" customFormat="1" hidden="1" x14ac:dyDescent="0.25">
      <c r="A150" s="214"/>
      <c r="B150" s="215" t="s">
        <v>1822</v>
      </c>
      <c r="C150" s="215" t="s">
        <v>1823</v>
      </c>
      <c r="D150" s="215" t="s">
        <v>1836</v>
      </c>
      <c r="E150" s="215" t="s">
        <v>1847</v>
      </c>
      <c r="F150" s="215" t="s">
        <v>1847</v>
      </c>
      <c r="G150" s="215" t="s">
        <v>58</v>
      </c>
      <c r="H150" s="216" t="s">
        <v>1963</v>
      </c>
      <c r="I150" s="217"/>
      <c r="J150" s="217"/>
      <c r="K150" s="217"/>
      <c r="L150" s="217"/>
      <c r="M150" s="217"/>
      <c r="N150" s="217"/>
      <c r="O150" s="217"/>
      <c r="P150" s="217"/>
      <c r="Q150" s="218"/>
    </row>
    <row r="151" spans="1:17" s="219" customFormat="1" hidden="1" x14ac:dyDescent="0.25">
      <c r="A151" s="214"/>
      <c r="B151" s="215" t="s">
        <v>1822</v>
      </c>
      <c r="C151" s="215" t="s">
        <v>1823</v>
      </c>
      <c r="D151" s="215" t="s">
        <v>1836</v>
      </c>
      <c r="E151" s="215" t="s">
        <v>1847</v>
      </c>
      <c r="F151" s="215" t="s">
        <v>1847</v>
      </c>
      <c r="G151" s="215" t="s">
        <v>75</v>
      </c>
      <c r="H151" s="216" t="s">
        <v>1964</v>
      </c>
      <c r="I151" s="217"/>
      <c r="J151" s="217"/>
      <c r="K151" s="217"/>
      <c r="L151" s="217"/>
      <c r="M151" s="217"/>
      <c r="N151" s="217"/>
      <c r="O151" s="217"/>
      <c r="P151" s="217"/>
      <c r="Q151" s="218"/>
    </row>
    <row r="152" spans="1:17" s="219" customFormat="1" hidden="1" x14ac:dyDescent="0.25">
      <c r="A152" s="214"/>
      <c r="B152" s="215" t="s">
        <v>1822</v>
      </c>
      <c r="C152" s="215" t="s">
        <v>1823</v>
      </c>
      <c r="D152" s="215" t="s">
        <v>1836</v>
      </c>
      <c r="E152" s="215" t="s">
        <v>1847</v>
      </c>
      <c r="F152" s="215" t="s">
        <v>1847</v>
      </c>
      <c r="G152" s="215" t="s">
        <v>79</v>
      </c>
      <c r="H152" s="216" t="s">
        <v>1965</v>
      </c>
      <c r="I152" s="217"/>
      <c r="J152" s="217"/>
      <c r="K152" s="217"/>
      <c r="L152" s="217"/>
      <c r="M152" s="217"/>
      <c r="N152" s="217"/>
      <c r="O152" s="217"/>
      <c r="P152" s="217"/>
      <c r="Q152" s="218"/>
    </row>
    <row r="153" spans="1:17" s="219" customFormat="1" hidden="1" x14ac:dyDescent="0.25">
      <c r="A153" s="214"/>
      <c r="B153" s="215" t="s">
        <v>1822</v>
      </c>
      <c r="C153" s="215" t="s">
        <v>1823</v>
      </c>
      <c r="D153" s="215" t="s">
        <v>1836</v>
      </c>
      <c r="E153" s="215" t="s">
        <v>1847</v>
      </c>
      <c r="F153" s="215" t="s">
        <v>1847</v>
      </c>
      <c r="G153" s="215" t="s">
        <v>84</v>
      </c>
      <c r="H153" s="216" t="s">
        <v>1966</v>
      </c>
      <c r="I153" s="217"/>
      <c r="J153" s="217"/>
      <c r="K153" s="217"/>
      <c r="L153" s="217"/>
      <c r="M153" s="217"/>
      <c r="N153" s="217"/>
      <c r="O153" s="217"/>
      <c r="P153" s="217"/>
      <c r="Q153" s="218"/>
    </row>
    <row r="154" spans="1:17" s="219" customFormat="1" hidden="1" x14ac:dyDescent="0.25">
      <c r="A154" s="214"/>
      <c r="B154" s="215" t="s">
        <v>1822</v>
      </c>
      <c r="C154" s="215" t="s">
        <v>1823</v>
      </c>
      <c r="D154" s="215" t="s">
        <v>1836</v>
      </c>
      <c r="E154" s="215" t="s">
        <v>1847</v>
      </c>
      <c r="F154" s="215" t="s">
        <v>1847</v>
      </c>
      <c r="G154" s="215" t="s">
        <v>88</v>
      </c>
      <c r="H154" s="216" t="s">
        <v>1967</v>
      </c>
      <c r="I154" s="217"/>
      <c r="J154" s="217"/>
      <c r="K154" s="217"/>
      <c r="L154" s="217"/>
      <c r="M154" s="217"/>
      <c r="N154" s="217"/>
      <c r="O154" s="217"/>
      <c r="P154" s="217"/>
      <c r="Q154" s="218"/>
    </row>
    <row r="155" spans="1:17" s="219" customFormat="1" hidden="1" x14ac:dyDescent="0.25">
      <c r="A155" s="214"/>
      <c r="B155" s="215" t="s">
        <v>1822</v>
      </c>
      <c r="C155" s="215" t="s">
        <v>1823</v>
      </c>
      <c r="D155" s="215" t="s">
        <v>1836</v>
      </c>
      <c r="E155" s="215" t="s">
        <v>1847</v>
      </c>
      <c r="F155" s="215" t="s">
        <v>1847</v>
      </c>
      <c r="G155" s="215" t="s">
        <v>92</v>
      </c>
      <c r="H155" s="216" t="s">
        <v>1968</v>
      </c>
      <c r="I155" s="217"/>
      <c r="J155" s="217"/>
      <c r="K155" s="217"/>
      <c r="L155" s="217"/>
      <c r="M155" s="217"/>
      <c r="N155" s="217"/>
      <c r="O155" s="217"/>
      <c r="P155" s="217"/>
      <c r="Q155" s="218"/>
    </row>
    <row r="156" spans="1:17" s="219" customFormat="1" hidden="1" x14ac:dyDescent="0.25">
      <c r="A156" s="214"/>
      <c r="B156" s="215" t="s">
        <v>1822</v>
      </c>
      <c r="C156" s="215" t="s">
        <v>1823</v>
      </c>
      <c r="D156" s="215" t="s">
        <v>1836</v>
      </c>
      <c r="E156" s="215" t="s">
        <v>1847</v>
      </c>
      <c r="F156" s="215" t="s">
        <v>1847</v>
      </c>
      <c r="G156" s="215" t="s">
        <v>96</v>
      </c>
      <c r="H156" s="216" t="s">
        <v>1969</v>
      </c>
      <c r="I156" s="217"/>
      <c r="J156" s="217"/>
      <c r="K156" s="217"/>
      <c r="L156" s="217"/>
      <c r="M156" s="217"/>
      <c r="N156" s="217"/>
      <c r="O156" s="217"/>
      <c r="P156" s="217"/>
      <c r="Q156" s="218"/>
    </row>
    <row r="157" spans="1:17" s="219" customFormat="1" hidden="1" x14ac:dyDescent="0.25">
      <c r="A157" s="214"/>
      <c r="B157" s="215" t="s">
        <v>1822</v>
      </c>
      <c r="C157" s="215" t="s">
        <v>1823</v>
      </c>
      <c r="D157" s="215" t="s">
        <v>1836</v>
      </c>
      <c r="E157" s="215" t="s">
        <v>1847</v>
      </c>
      <c r="F157" s="215" t="s">
        <v>1847</v>
      </c>
      <c r="G157" s="215" t="s">
        <v>100</v>
      </c>
      <c r="H157" s="216" t="s">
        <v>1970</v>
      </c>
      <c r="I157" s="217"/>
      <c r="J157" s="217"/>
      <c r="K157" s="217"/>
      <c r="L157" s="217"/>
      <c r="M157" s="217"/>
      <c r="N157" s="217"/>
      <c r="O157" s="217"/>
      <c r="P157" s="217"/>
      <c r="Q157" s="218"/>
    </row>
    <row r="158" spans="1:17" s="219" customFormat="1" hidden="1" x14ac:dyDescent="0.25">
      <c r="A158" s="214"/>
      <c r="B158" s="215" t="s">
        <v>1822</v>
      </c>
      <c r="C158" s="215" t="s">
        <v>1823</v>
      </c>
      <c r="D158" s="215" t="s">
        <v>1836</v>
      </c>
      <c r="E158" s="215" t="s">
        <v>1847</v>
      </c>
      <c r="F158" s="215" t="s">
        <v>1847</v>
      </c>
      <c r="G158" s="215" t="s">
        <v>105</v>
      </c>
      <c r="H158" s="216" t="s">
        <v>1971</v>
      </c>
      <c r="I158" s="217"/>
      <c r="J158" s="217"/>
      <c r="K158" s="217"/>
      <c r="L158" s="217"/>
      <c r="M158" s="217"/>
      <c r="N158" s="217"/>
      <c r="O158" s="217"/>
      <c r="P158" s="217"/>
      <c r="Q158" s="218"/>
    </row>
    <row r="159" spans="1:17" s="219" customFormat="1" hidden="1" x14ac:dyDescent="0.25">
      <c r="A159" s="214"/>
      <c r="B159" s="215" t="s">
        <v>1822</v>
      </c>
      <c r="C159" s="215" t="s">
        <v>1823</v>
      </c>
      <c r="D159" s="215" t="s">
        <v>1836</v>
      </c>
      <c r="E159" s="215" t="s">
        <v>1847</v>
      </c>
      <c r="F159" s="215" t="s">
        <v>1847</v>
      </c>
      <c r="G159" s="215" t="s">
        <v>108</v>
      </c>
      <c r="H159" s="216" t="s">
        <v>1972</v>
      </c>
      <c r="I159" s="217"/>
      <c r="J159" s="217"/>
      <c r="K159" s="217"/>
      <c r="L159" s="217"/>
      <c r="M159" s="217"/>
      <c r="N159" s="217"/>
      <c r="O159" s="217"/>
      <c r="P159" s="217"/>
      <c r="Q159" s="218"/>
    </row>
    <row r="160" spans="1:17" s="219" customFormat="1" hidden="1" x14ac:dyDescent="0.25">
      <c r="A160" s="214"/>
      <c r="B160" s="215" t="s">
        <v>1822</v>
      </c>
      <c r="C160" s="215" t="s">
        <v>1823</v>
      </c>
      <c r="D160" s="215" t="s">
        <v>1836</v>
      </c>
      <c r="E160" s="215" t="s">
        <v>1847</v>
      </c>
      <c r="F160" s="215" t="s">
        <v>1847</v>
      </c>
      <c r="G160" s="215" t="s">
        <v>135</v>
      </c>
      <c r="H160" s="216" t="s">
        <v>1973</v>
      </c>
      <c r="I160" s="217"/>
      <c r="J160" s="217"/>
      <c r="K160" s="217"/>
      <c r="L160" s="217"/>
      <c r="M160" s="217"/>
      <c r="N160" s="217"/>
      <c r="O160" s="217"/>
      <c r="P160" s="217"/>
      <c r="Q160" s="218"/>
    </row>
    <row r="161" spans="1:17" s="219" customFormat="1" hidden="1" x14ac:dyDescent="0.25">
      <c r="A161" s="214"/>
      <c r="B161" s="215" t="s">
        <v>1822</v>
      </c>
      <c r="C161" s="215" t="s">
        <v>1823</v>
      </c>
      <c r="D161" s="215" t="s">
        <v>1836</v>
      </c>
      <c r="E161" s="215" t="s">
        <v>1847</v>
      </c>
      <c r="F161" s="215" t="s">
        <v>1847</v>
      </c>
      <c r="G161" s="215" t="s">
        <v>138</v>
      </c>
      <c r="H161" s="216" t="s">
        <v>1974</v>
      </c>
      <c r="I161" s="217"/>
      <c r="J161" s="217"/>
      <c r="K161" s="217"/>
      <c r="L161" s="217"/>
      <c r="M161" s="217"/>
      <c r="N161" s="217"/>
      <c r="O161" s="217"/>
      <c r="P161" s="217"/>
      <c r="Q161" s="218"/>
    </row>
    <row r="162" spans="1:17" s="219" customFormat="1" hidden="1" x14ac:dyDescent="0.25">
      <c r="A162" s="214"/>
      <c r="B162" s="215" t="s">
        <v>1822</v>
      </c>
      <c r="C162" s="215" t="s">
        <v>1823</v>
      </c>
      <c r="D162" s="215" t="s">
        <v>1836</v>
      </c>
      <c r="E162" s="215" t="s">
        <v>1847</v>
      </c>
      <c r="F162" s="215" t="s">
        <v>1847</v>
      </c>
      <c r="G162" s="215" t="s">
        <v>140</v>
      </c>
      <c r="H162" s="216" t="s">
        <v>1975</v>
      </c>
      <c r="I162" s="217"/>
      <c r="J162" s="217"/>
      <c r="K162" s="217"/>
      <c r="L162" s="217"/>
      <c r="M162" s="217"/>
      <c r="N162" s="217"/>
      <c r="O162" s="217"/>
      <c r="P162" s="217"/>
      <c r="Q162" s="218"/>
    </row>
    <row r="163" spans="1:17" s="219" customFormat="1" hidden="1" x14ac:dyDescent="0.25">
      <c r="A163" s="214"/>
      <c r="B163" s="215" t="s">
        <v>1822</v>
      </c>
      <c r="C163" s="215" t="s">
        <v>1823</v>
      </c>
      <c r="D163" s="215" t="s">
        <v>1836</v>
      </c>
      <c r="E163" s="215" t="s">
        <v>1847</v>
      </c>
      <c r="F163" s="215" t="s">
        <v>1847</v>
      </c>
      <c r="G163" s="215" t="s">
        <v>143</v>
      </c>
      <c r="H163" s="216" t="s">
        <v>1976</v>
      </c>
      <c r="I163" s="217"/>
      <c r="J163" s="217"/>
      <c r="K163" s="217"/>
      <c r="L163" s="217"/>
      <c r="M163" s="217"/>
      <c r="N163" s="217"/>
      <c r="O163" s="217"/>
      <c r="P163" s="217"/>
      <c r="Q163" s="218"/>
    </row>
    <row r="164" spans="1:17" s="219" customFormat="1" hidden="1" x14ac:dyDescent="0.25">
      <c r="A164" s="214"/>
      <c r="B164" s="215" t="s">
        <v>1822</v>
      </c>
      <c r="C164" s="215" t="s">
        <v>1823</v>
      </c>
      <c r="D164" s="215" t="s">
        <v>1836</v>
      </c>
      <c r="E164" s="215" t="s">
        <v>1847</v>
      </c>
      <c r="F164" s="215" t="s">
        <v>1847</v>
      </c>
      <c r="G164" s="215" t="s">
        <v>146</v>
      </c>
      <c r="H164" s="216" t="s">
        <v>1977</v>
      </c>
      <c r="I164" s="217"/>
      <c r="J164" s="217"/>
      <c r="K164" s="217"/>
      <c r="L164" s="217"/>
      <c r="M164" s="217"/>
      <c r="N164" s="217"/>
      <c r="O164" s="217"/>
      <c r="P164" s="217"/>
      <c r="Q164" s="218"/>
    </row>
    <row r="165" spans="1:17" s="219" customFormat="1" hidden="1" x14ac:dyDescent="0.25">
      <c r="A165" s="214"/>
      <c r="B165" s="215" t="s">
        <v>1822</v>
      </c>
      <c r="C165" s="215" t="s">
        <v>1823</v>
      </c>
      <c r="D165" s="215" t="s">
        <v>1836</v>
      </c>
      <c r="E165" s="215" t="s">
        <v>1847</v>
      </c>
      <c r="F165" s="215" t="s">
        <v>1847</v>
      </c>
      <c r="G165" s="215" t="s">
        <v>150</v>
      </c>
      <c r="H165" s="216" t="s">
        <v>1978</v>
      </c>
      <c r="I165" s="217"/>
      <c r="J165" s="217"/>
      <c r="K165" s="217"/>
      <c r="L165" s="217"/>
      <c r="M165" s="217"/>
      <c r="N165" s="217"/>
      <c r="O165" s="217"/>
      <c r="P165" s="217"/>
      <c r="Q165" s="218"/>
    </row>
    <row r="166" spans="1:17" s="219" customFormat="1" hidden="1" x14ac:dyDescent="0.25">
      <c r="A166" s="214"/>
      <c r="B166" s="215" t="s">
        <v>1822</v>
      </c>
      <c r="C166" s="215" t="s">
        <v>1823</v>
      </c>
      <c r="D166" s="215" t="s">
        <v>1836</v>
      </c>
      <c r="E166" s="215" t="s">
        <v>1847</v>
      </c>
      <c r="F166" s="215" t="s">
        <v>1847</v>
      </c>
      <c r="G166" s="215" t="s">
        <v>153</v>
      </c>
      <c r="H166" s="216" t="s">
        <v>1979</v>
      </c>
      <c r="I166" s="217"/>
      <c r="J166" s="217"/>
      <c r="K166" s="217"/>
      <c r="L166" s="217"/>
      <c r="M166" s="217"/>
      <c r="N166" s="217"/>
      <c r="O166" s="217"/>
      <c r="P166" s="217"/>
      <c r="Q166" s="218"/>
    </row>
    <row r="167" spans="1:17" s="219" customFormat="1" hidden="1" x14ac:dyDescent="0.25">
      <c r="A167" s="214"/>
      <c r="B167" s="215" t="s">
        <v>1822</v>
      </c>
      <c r="C167" s="215" t="s">
        <v>1823</v>
      </c>
      <c r="D167" s="215" t="s">
        <v>1836</v>
      </c>
      <c r="E167" s="215" t="s">
        <v>1847</v>
      </c>
      <c r="F167" s="215" t="s">
        <v>1847</v>
      </c>
      <c r="G167" s="215" t="s">
        <v>156</v>
      </c>
      <c r="H167" s="216" t="s">
        <v>1980</v>
      </c>
      <c r="I167" s="217"/>
      <c r="J167" s="217"/>
      <c r="K167" s="217"/>
      <c r="L167" s="217"/>
      <c r="M167" s="217"/>
      <c r="N167" s="217"/>
      <c r="O167" s="217"/>
      <c r="P167" s="217"/>
      <c r="Q167" s="218"/>
    </row>
    <row r="168" spans="1:17" s="219" customFormat="1" ht="30" hidden="1" x14ac:dyDescent="0.25">
      <c r="A168" s="214"/>
      <c r="B168" s="215" t="s">
        <v>1822</v>
      </c>
      <c r="C168" s="215" t="s">
        <v>1823</v>
      </c>
      <c r="D168" s="215" t="s">
        <v>1836</v>
      </c>
      <c r="E168" s="215" t="s">
        <v>1847</v>
      </c>
      <c r="F168" s="215" t="s">
        <v>1847</v>
      </c>
      <c r="G168" s="215" t="s">
        <v>159</v>
      </c>
      <c r="H168" s="216" t="s">
        <v>1981</v>
      </c>
      <c r="I168" s="217"/>
      <c r="J168" s="217"/>
      <c r="K168" s="217"/>
      <c r="L168" s="217"/>
      <c r="M168" s="217"/>
      <c r="N168" s="217"/>
      <c r="O168" s="217"/>
      <c r="P168" s="217"/>
      <c r="Q168" s="218"/>
    </row>
    <row r="169" spans="1:17" s="219" customFormat="1" hidden="1" x14ac:dyDescent="0.25">
      <c r="A169" s="214"/>
      <c r="B169" s="215" t="s">
        <v>1822</v>
      </c>
      <c r="C169" s="215" t="s">
        <v>1823</v>
      </c>
      <c r="D169" s="215" t="s">
        <v>1836</v>
      </c>
      <c r="E169" s="215" t="s">
        <v>1847</v>
      </c>
      <c r="F169" s="215" t="s">
        <v>1847</v>
      </c>
      <c r="G169" s="215" t="s">
        <v>162</v>
      </c>
      <c r="H169" s="216" t="s">
        <v>1982</v>
      </c>
      <c r="I169" s="217"/>
      <c r="J169" s="217"/>
      <c r="K169" s="217"/>
      <c r="L169" s="217"/>
      <c r="M169" s="217"/>
      <c r="N169" s="217"/>
      <c r="O169" s="217"/>
      <c r="P169" s="217"/>
      <c r="Q169" s="218"/>
    </row>
    <row r="170" spans="1:17" s="219" customFormat="1" hidden="1" x14ac:dyDescent="0.25">
      <c r="A170" s="214"/>
      <c r="B170" s="215" t="s">
        <v>1822</v>
      </c>
      <c r="C170" s="215" t="s">
        <v>1823</v>
      </c>
      <c r="D170" s="215" t="s">
        <v>1836</v>
      </c>
      <c r="E170" s="215" t="s">
        <v>1847</v>
      </c>
      <c r="F170" s="215" t="s">
        <v>1847</v>
      </c>
      <c r="G170" s="215" t="s">
        <v>312</v>
      </c>
      <c r="H170" s="216" t="s">
        <v>1983</v>
      </c>
      <c r="I170" s="217"/>
      <c r="J170" s="217"/>
      <c r="K170" s="217"/>
      <c r="L170" s="217"/>
      <c r="M170" s="217"/>
      <c r="N170" s="217"/>
      <c r="O170" s="217"/>
      <c r="P170" s="217"/>
      <c r="Q170" s="218"/>
    </row>
    <row r="171" spans="1:17" s="213" customFormat="1" hidden="1" x14ac:dyDescent="0.25">
      <c r="A171" s="208" t="s">
        <v>1984</v>
      </c>
      <c r="B171" s="209" t="s">
        <v>1822</v>
      </c>
      <c r="C171" s="209" t="s">
        <v>1823</v>
      </c>
      <c r="D171" s="209" t="s">
        <v>1836</v>
      </c>
      <c r="E171" s="209" t="s">
        <v>1928</v>
      </c>
      <c r="F171" s="209"/>
      <c r="G171" s="209"/>
      <c r="H171" s="210" t="s">
        <v>1985</v>
      </c>
      <c r="I171" s="211">
        <f>I172</f>
        <v>0</v>
      </c>
      <c r="J171" s="211">
        <f t="shared" ref="J171:O171" si="21">J172</f>
        <v>0</v>
      </c>
      <c r="K171" s="211">
        <f t="shared" si="21"/>
        <v>0</v>
      </c>
      <c r="L171" s="211">
        <f t="shared" si="21"/>
        <v>0</v>
      </c>
      <c r="M171" s="211">
        <f t="shared" si="21"/>
        <v>0</v>
      </c>
      <c r="N171" s="211">
        <f t="shared" si="21"/>
        <v>0</v>
      </c>
      <c r="O171" s="211">
        <f t="shared" si="21"/>
        <v>0</v>
      </c>
      <c r="P171" s="211"/>
      <c r="Q171" s="212"/>
    </row>
    <row r="172" spans="1:17" s="213" customFormat="1" hidden="1" x14ac:dyDescent="0.25">
      <c r="A172" s="208" t="s">
        <v>263</v>
      </c>
      <c r="B172" s="209" t="s">
        <v>1822</v>
      </c>
      <c r="C172" s="209" t="s">
        <v>1823</v>
      </c>
      <c r="D172" s="209" t="s">
        <v>1836</v>
      </c>
      <c r="E172" s="209" t="s">
        <v>1928</v>
      </c>
      <c r="F172" s="209" t="s">
        <v>1825</v>
      </c>
      <c r="G172" s="209"/>
      <c r="H172" s="210" t="s">
        <v>1986</v>
      </c>
      <c r="I172" s="211">
        <f>SUM(I173:I182)</f>
        <v>0</v>
      </c>
      <c r="J172" s="211">
        <f t="shared" ref="J172:O172" si="22">SUM(J173:J182)</f>
        <v>0</v>
      </c>
      <c r="K172" s="211">
        <f t="shared" si="22"/>
        <v>0</v>
      </c>
      <c r="L172" s="211">
        <f t="shared" si="22"/>
        <v>0</v>
      </c>
      <c r="M172" s="211">
        <f t="shared" si="22"/>
        <v>0</v>
      </c>
      <c r="N172" s="211">
        <f t="shared" si="22"/>
        <v>0</v>
      </c>
      <c r="O172" s="211">
        <f t="shared" si="22"/>
        <v>0</v>
      </c>
      <c r="P172" s="211"/>
      <c r="Q172" s="212"/>
    </row>
    <row r="173" spans="1:17" s="219" customFormat="1" hidden="1" x14ac:dyDescent="0.25">
      <c r="A173" s="214"/>
      <c r="B173" s="215" t="s">
        <v>1822</v>
      </c>
      <c r="C173" s="215" t="s">
        <v>1823</v>
      </c>
      <c r="D173" s="215" t="s">
        <v>1836</v>
      </c>
      <c r="E173" s="215" t="s">
        <v>1928</v>
      </c>
      <c r="F173" s="215" t="s">
        <v>1825</v>
      </c>
      <c r="G173" s="215" t="s">
        <v>58</v>
      </c>
      <c r="H173" s="216" t="s">
        <v>1987</v>
      </c>
      <c r="I173" s="217"/>
      <c r="J173" s="217"/>
      <c r="K173" s="217"/>
      <c r="L173" s="217"/>
      <c r="M173" s="217"/>
      <c r="N173" s="217"/>
      <c r="O173" s="217"/>
      <c r="P173" s="217"/>
      <c r="Q173" s="218"/>
    </row>
    <row r="174" spans="1:17" s="219" customFormat="1" ht="30" hidden="1" x14ac:dyDescent="0.25">
      <c r="A174" s="214"/>
      <c r="B174" s="215" t="s">
        <v>1822</v>
      </c>
      <c r="C174" s="215" t="s">
        <v>1823</v>
      </c>
      <c r="D174" s="215" t="s">
        <v>1836</v>
      </c>
      <c r="E174" s="215" t="s">
        <v>1928</v>
      </c>
      <c r="F174" s="215" t="s">
        <v>1825</v>
      </c>
      <c r="G174" s="215" t="s">
        <v>75</v>
      </c>
      <c r="H174" s="216" t="s">
        <v>1988</v>
      </c>
      <c r="I174" s="217"/>
      <c r="J174" s="217"/>
      <c r="K174" s="217"/>
      <c r="L174" s="217"/>
      <c r="M174" s="217"/>
      <c r="N174" s="217"/>
      <c r="O174" s="217"/>
      <c r="P174" s="217"/>
      <c r="Q174" s="218"/>
    </row>
    <row r="175" spans="1:17" s="219" customFormat="1" hidden="1" x14ac:dyDescent="0.25">
      <c r="A175" s="214"/>
      <c r="B175" s="215" t="s">
        <v>1822</v>
      </c>
      <c r="C175" s="215" t="s">
        <v>1823</v>
      </c>
      <c r="D175" s="215" t="s">
        <v>1836</v>
      </c>
      <c r="E175" s="215" t="s">
        <v>1928</v>
      </c>
      <c r="F175" s="215" t="s">
        <v>1825</v>
      </c>
      <c r="G175" s="215" t="s">
        <v>79</v>
      </c>
      <c r="H175" s="216" t="s">
        <v>1989</v>
      </c>
      <c r="I175" s="217"/>
      <c r="J175" s="217"/>
      <c r="K175" s="217"/>
      <c r="L175" s="217"/>
      <c r="M175" s="217"/>
      <c r="N175" s="217"/>
      <c r="O175" s="217"/>
      <c r="P175" s="217"/>
      <c r="Q175" s="218"/>
    </row>
    <row r="176" spans="1:17" s="219" customFormat="1" ht="30" hidden="1" x14ac:dyDescent="0.25">
      <c r="A176" s="214"/>
      <c r="B176" s="215" t="s">
        <v>1822</v>
      </c>
      <c r="C176" s="215" t="s">
        <v>1823</v>
      </c>
      <c r="D176" s="215" t="s">
        <v>1836</v>
      </c>
      <c r="E176" s="215" t="s">
        <v>1928</v>
      </c>
      <c r="F176" s="215" t="s">
        <v>1825</v>
      </c>
      <c r="G176" s="215" t="s">
        <v>84</v>
      </c>
      <c r="H176" s="216" t="s">
        <v>1990</v>
      </c>
      <c r="I176" s="217"/>
      <c r="J176" s="217"/>
      <c r="K176" s="217"/>
      <c r="L176" s="217"/>
      <c r="M176" s="217"/>
      <c r="N176" s="217"/>
      <c r="O176" s="217"/>
      <c r="P176" s="217"/>
      <c r="Q176" s="218"/>
    </row>
    <row r="177" spans="1:17" s="219" customFormat="1" hidden="1" x14ac:dyDescent="0.25">
      <c r="A177" s="214"/>
      <c r="B177" s="215" t="s">
        <v>1822</v>
      </c>
      <c r="C177" s="215" t="s">
        <v>1823</v>
      </c>
      <c r="D177" s="215" t="s">
        <v>1836</v>
      </c>
      <c r="E177" s="215" t="s">
        <v>1928</v>
      </c>
      <c r="F177" s="215" t="s">
        <v>1825</v>
      </c>
      <c r="G177" s="215" t="s">
        <v>88</v>
      </c>
      <c r="H177" s="216" t="s">
        <v>1991</v>
      </c>
      <c r="I177" s="217"/>
      <c r="J177" s="217"/>
      <c r="K177" s="217"/>
      <c r="L177" s="217"/>
      <c r="M177" s="217"/>
      <c r="N177" s="217"/>
      <c r="O177" s="217"/>
      <c r="P177" s="217"/>
      <c r="Q177" s="218"/>
    </row>
    <row r="178" spans="1:17" s="219" customFormat="1" hidden="1" x14ac:dyDescent="0.25">
      <c r="A178" s="214"/>
      <c r="B178" s="215" t="s">
        <v>1822</v>
      </c>
      <c r="C178" s="215" t="s">
        <v>1823</v>
      </c>
      <c r="D178" s="215" t="s">
        <v>1836</v>
      </c>
      <c r="E178" s="215" t="s">
        <v>1928</v>
      </c>
      <c r="F178" s="215" t="s">
        <v>1825</v>
      </c>
      <c r="G178" s="215" t="s">
        <v>92</v>
      </c>
      <c r="H178" s="216" t="s">
        <v>1992</v>
      </c>
      <c r="I178" s="217"/>
      <c r="J178" s="217"/>
      <c r="K178" s="217"/>
      <c r="L178" s="217"/>
      <c r="M178" s="217"/>
      <c r="N178" s="217"/>
      <c r="O178" s="217"/>
      <c r="P178" s="217"/>
      <c r="Q178" s="218"/>
    </row>
    <row r="179" spans="1:17" s="219" customFormat="1" hidden="1" x14ac:dyDescent="0.25">
      <c r="A179" s="214"/>
      <c r="B179" s="215" t="s">
        <v>1822</v>
      </c>
      <c r="C179" s="215" t="s">
        <v>1823</v>
      </c>
      <c r="D179" s="215" t="s">
        <v>1836</v>
      </c>
      <c r="E179" s="215" t="s">
        <v>1928</v>
      </c>
      <c r="F179" s="215" t="s">
        <v>1825</v>
      </c>
      <c r="G179" s="215" t="s">
        <v>96</v>
      </c>
      <c r="H179" s="216" t="s">
        <v>1993</v>
      </c>
      <c r="I179" s="217"/>
      <c r="J179" s="217"/>
      <c r="K179" s="217"/>
      <c r="L179" s="217"/>
      <c r="M179" s="217"/>
      <c r="N179" s="217"/>
      <c r="O179" s="217"/>
      <c r="P179" s="217"/>
      <c r="Q179" s="218"/>
    </row>
    <row r="180" spans="1:17" s="219" customFormat="1" hidden="1" x14ac:dyDescent="0.25">
      <c r="A180" s="214"/>
      <c r="B180" s="215" t="s">
        <v>1822</v>
      </c>
      <c r="C180" s="215" t="s">
        <v>1823</v>
      </c>
      <c r="D180" s="215" t="s">
        <v>1836</v>
      </c>
      <c r="E180" s="215" t="s">
        <v>1928</v>
      </c>
      <c r="F180" s="215" t="s">
        <v>1825</v>
      </c>
      <c r="G180" s="215" t="s">
        <v>100</v>
      </c>
      <c r="H180" s="216" t="s">
        <v>1994</v>
      </c>
      <c r="I180" s="217"/>
      <c r="J180" s="217"/>
      <c r="K180" s="217"/>
      <c r="L180" s="217"/>
      <c r="M180" s="217"/>
      <c r="N180" s="217"/>
      <c r="O180" s="217"/>
      <c r="P180" s="217"/>
      <c r="Q180" s="218"/>
    </row>
    <row r="181" spans="1:17" s="219" customFormat="1" hidden="1" x14ac:dyDescent="0.25">
      <c r="A181" s="214"/>
      <c r="B181" s="215" t="s">
        <v>1822</v>
      </c>
      <c r="C181" s="215" t="s">
        <v>1823</v>
      </c>
      <c r="D181" s="215" t="s">
        <v>1836</v>
      </c>
      <c r="E181" s="215" t="s">
        <v>1928</v>
      </c>
      <c r="F181" s="215" t="s">
        <v>1825</v>
      </c>
      <c r="G181" s="215" t="s">
        <v>105</v>
      </c>
      <c r="H181" s="216" t="s">
        <v>1995</v>
      </c>
      <c r="I181" s="217"/>
      <c r="J181" s="217"/>
      <c r="K181" s="217"/>
      <c r="L181" s="217"/>
      <c r="M181" s="217"/>
      <c r="N181" s="217"/>
      <c r="O181" s="217"/>
      <c r="P181" s="217"/>
      <c r="Q181" s="218"/>
    </row>
    <row r="182" spans="1:17" s="219" customFormat="1" x14ac:dyDescent="0.25">
      <c r="A182" s="214"/>
      <c r="B182" s="215" t="s">
        <v>1822</v>
      </c>
      <c r="C182" s="215" t="s">
        <v>1823</v>
      </c>
      <c r="D182" s="215" t="s">
        <v>1836</v>
      </c>
      <c r="E182" s="215" t="s">
        <v>1928</v>
      </c>
      <c r="F182" s="215" t="s">
        <v>1825</v>
      </c>
      <c r="G182" s="215" t="s">
        <v>108</v>
      </c>
      <c r="H182" s="216" t="s">
        <v>1996</v>
      </c>
      <c r="I182" s="217"/>
      <c r="J182" s="217"/>
      <c r="K182" s="217"/>
      <c r="L182" s="217"/>
      <c r="M182" s="217"/>
      <c r="N182" s="217"/>
      <c r="O182" s="364"/>
      <c r="P182" s="217"/>
      <c r="Q182" s="218"/>
    </row>
    <row r="183" spans="1:17" s="213" customFormat="1" x14ac:dyDescent="0.25">
      <c r="A183" s="208" t="s">
        <v>1997</v>
      </c>
      <c r="B183" s="209" t="s">
        <v>1822</v>
      </c>
      <c r="C183" s="209" t="s">
        <v>1823</v>
      </c>
      <c r="D183" s="209" t="s">
        <v>1836</v>
      </c>
      <c r="E183" s="209" t="s">
        <v>1934</v>
      </c>
      <c r="F183" s="209"/>
      <c r="G183" s="209"/>
      <c r="H183" s="210" t="s">
        <v>1998</v>
      </c>
      <c r="I183" s="211">
        <f>SUM(I184+I190+I198)</f>
        <v>7534339671.0046158</v>
      </c>
      <c r="J183" s="211">
        <f t="shared" ref="J183:O183" si="23">SUM(J184+J190+J198)</f>
        <v>504048308.20000005</v>
      </c>
      <c r="K183" s="211">
        <f t="shared" si="23"/>
        <v>121002783.29666664</v>
      </c>
      <c r="L183" s="211">
        <f t="shared" si="23"/>
        <v>97071073.329999998</v>
      </c>
      <c r="M183" s="211">
        <f t="shared" si="23"/>
        <v>218073856.62666669</v>
      </c>
      <c r="N183" s="211">
        <f t="shared" si="23"/>
        <v>7158232068.8146162</v>
      </c>
      <c r="O183" s="211">
        <f t="shared" si="23"/>
        <v>376107602.45000005</v>
      </c>
      <c r="P183" s="211"/>
      <c r="Q183" s="212"/>
    </row>
    <row r="184" spans="1:17" s="213" customFormat="1" x14ac:dyDescent="0.25">
      <c r="A184" s="208" t="s">
        <v>263</v>
      </c>
      <c r="B184" s="209" t="s">
        <v>1822</v>
      </c>
      <c r="C184" s="209" t="s">
        <v>1823</v>
      </c>
      <c r="D184" s="209" t="s">
        <v>1836</v>
      </c>
      <c r="E184" s="209" t="s">
        <v>1934</v>
      </c>
      <c r="F184" s="209" t="s">
        <v>1825</v>
      </c>
      <c r="G184" s="209"/>
      <c r="H184" s="210" t="s">
        <v>1999</v>
      </c>
      <c r="I184" s="211">
        <f>SUM(I185:I189)</f>
        <v>1201247400</v>
      </c>
      <c r="J184" s="211">
        <f t="shared" ref="J184:O184" si="24">SUM(J185:J189)</f>
        <v>91436320</v>
      </c>
      <c r="K184" s="211">
        <f t="shared" si="24"/>
        <v>13622793.333333334</v>
      </c>
      <c r="L184" s="211">
        <f t="shared" si="24"/>
        <v>4281443.33</v>
      </c>
      <c r="M184" s="211">
        <f t="shared" si="24"/>
        <v>17904236.663333334</v>
      </c>
      <c r="N184" s="211">
        <f t="shared" si="24"/>
        <v>1189024033.3333333</v>
      </c>
      <c r="O184" s="211">
        <f t="shared" si="24"/>
        <v>12223366.666666666</v>
      </c>
      <c r="P184" s="211"/>
      <c r="Q184" s="212"/>
    </row>
    <row r="185" spans="1:17" s="219" customFormat="1" x14ac:dyDescent="0.25">
      <c r="A185" s="214"/>
      <c r="B185" s="215" t="s">
        <v>1822</v>
      </c>
      <c r="C185" s="215" t="s">
        <v>1823</v>
      </c>
      <c r="D185" s="215" t="s">
        <v>1836</v>
      </c>
      <c r="E185" s="215" t="s">
        <v>1934</v>
      </c>
      <c r="F185" s="215" t="s">
        <v>1825</v>
      </c>
      <c r="G185" s="215" t="s">
        <v>58</v>
      </c>
      <c r="H185" s="216" t="s">
        <v>2000</v>
      </c>
      <c r="I185" s="217">
        <v>9950000</v>
      </c>
      <c r="J185" s="217"/>
      <c r="K185" s="217"/>
      <c r="L185" s="217"/>
      <c r="M185" s="217"/>
      <c r="N185" s="217">
        <v>9950000</v>
      </c>
      <c r="O185" s="217"/>
      <c r="P185" s="217"/>
      <c r="Q185" s="218"/>
    </row>
    <row r="186" spans="1:17" s="219" customFormat="1" x14ac:dyDescent="0.25">
      <c r="A186" s="214"/>
      <c r="B186" s="215" t="s">
        <v>1822</v>
      </c>
      <c r="C186" s="215" t="s">
        <v>1823</v>
      </c>
      <c r="D186" s="215" t="s">
        <v>1836</v>
      </c>
      <c r="E186" s="215" t="s">
        <v>1934</v>
      </c>
      <c r="F186" s="215" t="s">
        <v>1825</v>
      </c>
      <c r="G186" s="215" t="s">
        <v>75</v>
      </c>
      <c r="H186" s="216" t="s">
        <v>2001</v>
      </c>
      <c r="I186" s="217">
        <v>4625600</v>
      </c>
      <c r="J186" s="217">
        <v>791120</v>
      </c>
      <c r="K186" s="217">
        <v>395560</v>
      </c>
      <c r="L186" s="217">
        <v>131853.33000000002</v>
      </c>
      <c r="M186" s="217">
        <v>527413.33000000007</v>
      </c>
      <c r="N186" s="217">
        <v>4625600</v>
      </c>
      <c r="O186" s="217"/>
      <c r="P186" s="217"/>
      <c r="Q186" s="218"/>
    </row>
    <row r="187" spans="1:17" s="219" customFormat="1" x14ac:dyDescent="0.25">
      <c r="A187" s="214"/>
      <c r="B187" s="215" t="s">
        <v>1822</v>
      </c>
      <c r="C187" s="215" t="s">
        <v>1823</v>
      </c>
      <c r="D187" s="215" t="s">
        <v>1836</v>
      </c>
      <c r="E187" s="215" t="s">
        <v>1934</v>
      </c>
      <c r="F187" s="215" t="s">
        <v>1825</v>
      </c>
      <c r="G187" s="215" t="s">
        <v>79</v>
      </c>
      <c r="H187" s="216" t="s">
        <v>2002</v>
      </c>
      <c r="I187" s="217">
        <v>39240300</v>
      </c>
      <c r="J187" s="217"/>
      <c r="K187" s="217"/>
      <c r="L187" s="217"/>
      <c r="M187" s="217"/>
      <c r="N187" s="217">
        <v>39240300</v>
      </c>
      <c r="O187" s="217"/>
      <c r="P187" s="217"/>
      <c r="Q187" s="218"/>
    </row>
    <row r="188" spans="1:17" s="219" customFormat="1" x14ac:dyDescent="0.25">
      <c r="A188" s="214"/>
      <c r="B188" s="215" t="s">
        <v>1822</v>
      </c>
      <c r="C188" s="215" t="s">
        <v>1823</v>
      </c>
      <c r="D188" s="215" t="s">
        <v>1836</v>
      </c>
      <c r="E188" s="215" t="s">
        <v>1934</v>
      </c>
      <c r="F188" s="215" t="s">
        <v>1825</v>
      </c>
      <c r="G188" s="215" t="s">
        <v>84</v>
      </c>
      <c r="H188" s="216" t="s">
        <v>2003</v>
      </c>
      <c r="I188" s="217">
        <v>464964000</v>
      </c>
      <c r="J188" s="217">
        <v>17057100</v>
      </c>
      <c r="K188" s="217">
        <v>3478333.3333333335</v>
      </c>
      <c r="L188" s="217">
        <v>1070000</v>
      </c>
      <c r="M188" s="217">
        <v>4548333.333333333</v>
      </c>
      <c r="N188" s="217">
        <v>455512333.33333331</v>
      </c>
      <c r="O188" s="217">
        <v>9451666.666666666</v>
      </c>
      <c r="P188" s="217"/>
      <c r="Q188" s="218"/>
    </row>
    <row r="189" spans="1:17" s="219" customFormat="1" x14ac:dyDescent="0.25">
      <c r="A189" s="214"/>
      <c r="B189" s="215" t="s">
        <v>1822</v>
      </c>
      <c r="C189" s="215" t="s">
        <v>1823</v>
      </c>
      <c r="D189" s="215" t="s">
        <v>1836</v>
      </c>
      <c r="E189" s="215" t="s">
        <v>1934</v>
      </c>
      <c r="F189" s="215" t="s">
        <v>1825</v>
      </c>
      <c r="G189" s="215" t="s">
        <v>88</v>
      </c>
      <c r="H189" s="216" t="s">
        <v>2004</v>
      </c>
      <c r="I189" s="217">
        <v>682467500</v>
      </c>
      <c r="J189" s="217">
        <v>73588100</v>
      </c>
      <c r="K189" s="217">
        <v>9748900</v>
      </c>
      <c r="L189" s="217">
        <v>3079590</v>
      </c>
      <c r="M189" s="217">
        <v>12828490</v>
      </c>
      <c r="N189" s="217">
        <v>679695800</v>
      </c>
      <c r="O189" s="217">
        <v>2771700</v>
      </c>
      <c r="P189" s="217"/>
      <c r="Q189" s="218"/>
    </row>
    <row r="190" spans="1:17" s="213" customFormat="1" x14ac:dyDescent="0.25">
      <c r="A190" s="208" t="s">
        <v>263</v>
      </c>
      <c r="B190" s="209" t="s">
        <v>1822</v>
      </c>
      <c r="C190" s="209" t="s">
        <v>1823</v>
      </c>
      <c r="D190" s="209" t="s">
        <v>1836</v>
      </c>
      <c r="E190" s="209" t="s">
        <v>1934</v>
      </c>
      <c r="F190" s="209" t="s">
        <v>1836</v>
      </c>
      <c r="G190" s="209"/>
      <c r="H190" s="210" t="s">
        <v>2005</v>
      </c>
      <c r="I190" s="211">
        <f>SUM(I191:I197)</f>
        <v>5646292433.014616</v>
      </c>
      <c r="J190" s="211">
        <f t="shared" ref="J190:O190" si="25">SUM(J191:J197)</f>
        <v>404465396.60000002</v>
      </c>
      <c r="K190" s="211">
        <f t="shared" si="25"/>
        <v>105392027.49666664</v>
      </c>
      <c r="L190" s="211">
        <f t="shared" si="25"/>
        <v>88716334.200000003</v>
      </c>
      <c r="M190" s="211">
        <f t="shared" si="25"/>
        <v>194108361.69666669</v>
      </c>
      <c r="N190" s="211">
        <f t="shared" si="25"/>
        <v>5314723553.264616</v>
      </c>
      <c r="O190" s="211">
        <f t="shared" si="25"/>
        <v>331568879.75</v>
      </c>
      <c r="P190" s="211"/>
      <c r="Q190" s="212"/>
    </row>
    <row r="191" spans="1:17" s="219" customFormat="1" x14ac:dyDescent="0.25">
      <c r="A191" s="214"/>
      <c r="B191" s="215" t="s">
        <v>1822</v>
      </c>
      <c r="C191" s="215" t="s">
        <v>1823</v>
      </c>
      <c r="D191" s="215" t="s">
        <v>1836</v>
      </c>
      <c r="E191" s="215" t="s">
        <v>1934</v>
      </c>
      <c r="F191" s="215" t="s">
        <v>1836</v>
      </c>
      <c r="G191" s="215" t="s">
        <v>58</v>
      </c>
      <c r="H191" s="216" t="s">
        <v>2006</v>
      </c>
      <c r="I191" s="217">
        <v>2096881400</v>
      </c>
      <c r="J191" s="217">
        <v>147569700</v>
      </c>
      <c r="K191" s="217">
        <v>30494783.333333328</v>
      </c>
      <c r="L191" s="217">
        <v>26747450</v>
      </c>
      <c r="M191" s="217">
        <v>57242233.333333343</v>
      </c>
      <c r="N191" s="217">
        <v>2005659891.6666667</v>
      </c>
      <c r="O191" s="217">
        <v>91221508.333333313</v>
      </c>
      <c r="P191" s="217"/>
      <c r="Q191" s="218"/>
    </row>
    <row r="192" spans="1:17" s="219" customFormat="1" x14ac:dyDescent="0.25">
      <c r="A192" s="214"/>
      <c r="B192" s="215" t="s">
        <v>1822</v>
      </c>
      <c r="C192" s="215" t="s">
        <v>1823</v>
      </c>
      <c r="D192" s="215" t="s">
        <v>1836</v>
      </c>
      <c r="E192" s="215" t="s">
        <v>1934</v>
      </c>
      <c r="F192" s="215" t="s">
        <v>1836</v>
      </c>
      <c r="G192" s="215" t="s">
        <v>75</v>
      </c>
      <c r="H192" s="216" t="s">
        <v>2007</v>
      </c>
      <c r="I192" s="217"/>
      <c r="J192" s="217"/>
      <c r="K192" s="217"/>
      <c r="L192" s="217"/>
      <c r="M192" s="217"/>
      <c r="N192" s="217"/>
      <c r="O192" s="217"/>
      <c r="P192" s="217"/>
      <c r="Q192" s="218"/>
    </row>
    <row r="193" spans="1:17" s="219" customFormat="1" x14ac:dyDescent="0.25">
      <c r="A193" s="214"/>
      <c r="B193" s="215" t="s">
        <v>1822</v>
      </c>
      <c r="C193" s="215" t="s">
        <v>1823</v>
      </c>
      <c r="D193" s="215" t="s">
        <v>1836</v>
      </c>
      <c r="E193" s="215" t="s">
        <v>1934</v>
      </c>
      <c r="F193" s="215" t="s">
        <v>1836</v>
      </c>
      <c r="G193" s="215" t="s">
        <v>79</v>
      </c>
      <c r="H193" s="216" t="s">
        <v>2008</v>
      </c>
      <c r="I193" s="217"/>
      <c r="J193" s="217"/>
      <c r="K193" s="217"/>
      <c r="L193" s="217"/>
      <c r="M193" s="217"/>
      <c r="N193" s="217"/>
      <c r="O193" s="217"/>
      <c r="P193" s="217"/>
      <c r="Q193" s="218"/>
    </row>
    <row r="194" spans="1:17" s="219" customFormat="1" x14ac:dyDescent="0.25">
      <c r="A194" s="214"/>
      <c r="B194" s="215" t="s">
        <v>1822</v>
      </c>
      <c r="C194" s="215" t="s">
        <v>1823</v>
      </c>
      <c r="D194" s="215" t="s">
        <v>1836</v>
      </c>
      <c r="E194" s="215" t="s">
        <v>1934</v>
      </c>
      <c r="F194" s="215" t="s">
        <v>1836</v>
      </c>
      <c r="G194" s="215" t="s">
        <v>84</v>
      </c>
      <c r="H194" s="216" t="s">
        <v>2009</v>
      </c>
      <c r="I194" s="217">
        <v>1446717870.0146158</v>
      </c>
      <c r="J194" s="217">
        <v>126513773.99999999</v>
      </c>
      <c r="K194" s="217">
        <v>47337613.663333312</v>
      </c>
      <c r="L194" s="217">
        <v>40962246.999999993</v>
      </c>
      <c r="M194" s="217">
        <v>88299860.663333341</v>
      </c>
      <c r="N194" s="217">
        <v>1275401255.6812823</v>
      </c>
      <c r="O194" s="217">
        <v>171316614.3333334</v>
      </c>
      <c r="P194" s="217"/>
      <c r="Q194" s="218"/>
    </row>
    <row r="195" spans="1:17" s="219" customFormat="1" x14ac:dyDescent="0.25">
      <c r="A195" s="214"/>
      <c r="B195" s="215" t="s">
        <v>1822</v>
      </c>
      <c r="C195" s="215" t="s">
        <v>1823</v>
      </c>
      <c r="D195" s="215" t="s">
        <v>1836</v>
      </c>
      <c r="E195" s="215" t="s">
        <v>1934</v>
      </c>
      <c r="F195" s="215" t="s">
        <v>1836</v>
      </c>
      <c r="G195" s="215" t="s">
        <v>88</v>
      </c>
      <c r="H195" s="216" t="s">
        <v>2010</v>
      </c>
      <c r="I195" s="217">
        <v>88055900</v>
      </c>
      <c r="J195" s="217">
        <v>15509680</v>
      </c>
      <c r="K195" s="217">
        <v>5361840</v>
      </c>
      <c r="L195" s="217">
        <v>4229280</v>
      </c>
      <c r="M195" s="217">
        <v>9591120</v>
      </c>
      <c r="N195" s="217">
        <v>78502400.000000015</v>
      </c>
      <c r="O195" s="217">
        <v>9553499.9999999963</v>
      </c>
      <c r="P195" s="217"/>
      <c r="Q195" s="218"/>
    </row>
    <row r="196" spans="1:17" s="219" customFormat="1" ht="30" x14ac:dyDescent="0.25">
      <c r="A196" s="214"/>
      <c r="B196" s="215" t="s">
        <v>1822</v>
      </c>
      <c r="C196" s="215" t="s">
        <v>1823</v>
      </c>
      <c r="D196" s="215" t="s">
        <v>1836</v>
      </c>
      <c r="E196" s="215" t="s">
        <v>1934</v>
      </c>
      <c r="F196" s="215" t="s">
        <v>1836</v>
      </c>
      <c r="G196" s="215" t="s">
        <v>92</v>
      </c>
      <c r="H196" s="216" t="s">
        <v>2011</v>
      </c>
      <c r="I196" s="217">
        <v>1999571263</v>
      </c>
      <c r="J196" s="217">
        <v>111859042.59999999</v>
      </c>
      <c r="K196" s="217">
        <v>22197790.5</v>
      </c>
      <c r="L196" s="217">
        <v>16777357.199999999</v>
      </c>
      <c r="M196" s="217">
        <v>38975147.700000018</v>
      </c>
      <c r="N196" s="217">
        <v>1940094005.9166667</v>
      </c>
      <c r="O196" s="217">
        <v>59477257.083333328</v>
      </c>
      <c r="P196" s="217"/>
      <c r="Q196" s="218"/>
    </row>
    <row r="197" spans="1:17" s="219" customFormat="1" x14ac:dyDescent="0.25">
      <c r="A197" s="214"/>
      <c r="B197" s="215" t="s">
        <v>1822</v>
      </c>
      <c r="C197" s="215" t="s">
        <v>1823</v>
      </c>
      <c r="D197" s="215" t="s">
        <v>1836</v>
      </c>
      <c r="E197" s="215" t="s">
        <v>1934</v>
      </c>
      <c r="F197" s="215" t="s">
        <v>1836</v>
      </c>
      <c r="G197" s="215" t="s">
        <v>96</v>
      </c>
      <c r="H197" s="216" t="s">
        <v>2012</v>
      </c>
      <c r="I197" s="217">
        <v>15066000</v>
      </c>
      <c r="J197" s="217">
        <v>3013200</v>
      </c>
      <c r="K197" s="217"/>
      <c r="L197" s="217"/>
      <c r="M197" s="217"/>
      <c r="N197" s="217">
        <v>15066000</v>
      </c>
      <c r="O197" s="217"/>
      <c r="P197" s="217"/>
      <c r="Q197" s="218"/>
    </row>
    <row r="198" spans="1:17" s="213" customFormat="1" x14ac:dyDescent="0.25">
      <c r="A198" s="208" t="s">
        <v>263</v>
      </c>
      <c r="B198" s="209" t="s">
        <v>1822</v>
      </c>
      <c r="C198" s="209" t="s">
        <v>1823</v>
      </c>
      <c r="D198" s="209" t="s">
        <v>1836</v>
      </c>
      <c r="E198" s="209" t="s">
        <v>1934</v>
      </c>
      <c r="F198" s="209" t="s">
        <v>1847</v>
      </c>
      <c r="G198" s="209"/>
      <c r="H198" s="210" t="s">
        <v>2013</v>
      </c>
      <c r="I198" s="211">
        <f>SUM(I199:I205)</f>
        <v>686799837.99000001</v>
      </c>
      <c r="J198" s="211">
        <f t="shared" ref="J198:O198" si="26">SUM(J199:J205)</f>
        <v>8146591.5999999996</v>
      </c>
      <c r="K198" s="211">
        <f t="shared" si="26"/>
        <v>1987962.4666666668</v>
      </c>
      <c r="L198" s="380">
        <f t="shared" si="26"/>
        <v>4073295.8</v>
      </c>
      <c r="M198" s="211">
        <f t="shared" si="26"/>
        <v>6061258.2666666666</v>
      </c>
      <c r="N198" s="211">
        <f t="shared" si="26"/>
        <v>654484482.21666694</v>
      </c>
      <c r="O198" s="211">
        <f t="shared" si="26"/>
        <v>32315356.033333331</v>
      </c>
      <c r="P198" s="211"/>
      <c r="Q198" s="212"/>
    </row>
    <row r="199" spans="1:17" s="219" customFormat="1" x14ac:dyDescent="0.25">
      <c r="A199" s="214"/>
      <c r="B199" s="215" t="s">
        <v>1822</v>
      </c>
      <c r="C199" s="215" t="s">
        <v>1823</v>
      </c>
      <c r="D199" s="215" t="s">
        <v>1836</v>
      </c>
      <c r="E199" s="215" t="s">
        <v>1934</v>
      </c>
      <c r="F199" s="215" t="s">
        <v>1847</v>
      </c>
      <c r="G199" s="215" t="s">
        <v>58</v>
      </c>
      <c r="H199" s="216" t="s">
        <v>2014</v>
      </c>
      <c r="I199" s="217">
        <v>686799837.99000001</v>
      </c>
      <c r="J199" s="217">
        <v>8146591.5999999996</v>
      </c>
      <c r="K199" s="217">
        <v>1987962.4666666668</v>
      </c>
      <c r="L199" s="217">
        <v>4073295.8</v>
      </c>
      <c r="M199" s="217">
        <v>6061258.2666666666</v>
      </c>
      <c r="N199" s="217">
        <v>654484482.21666694</v>
      </c>
      <c r="O199" s="217">
        <v>32315356.033333331</v>
      </c>
      <c r="P199" s="217"/>
      <c r="Q199" s="218"/>
    </row>
    <row r="200" spans="1:17" s="219" customFormat="1" x14ac:dyDescent="0.25">
      <c r="A200" s="214"/>
      <c r="B200" s="215" t="s">
        <v>1822</v>
      </c>
      <c r="C200" s="215" t="s">
        <v>1823</v>
      </c>
      <c r="D200" s="215" t="s">
        <v>1836</v>
      </c>
      <c r="E200" s="215" t="s">
        <v>1934</v>
      </c>
      <c r="F200" s="215" t="s">
        <v>1847</v>
      </c>
      <c r="G200" s="215" t="s">
        <v>75</v>
      </c>
      <c r="H200" s="216" t="s">
        <v>2015</v>
      </c>
      <c r="I200" s="217"/>
      <c r="J200" s="217"/>
      <c r="K200" s="217"/>
      <c r="L200" s="217"/>
      <c r="M200" s="217"/>
      <c r="N200" s="217"/>
      <c r="O200" s="217"/>
      <c r="P200" s="217"/>
      <c r="Q200" s="218"/>
    </row>
    <row r="201" spans="1:17" s="219" customFormat="1" hidden="1" x14ac:dyDescent="0.25">
      <c r="A201" s="214"/>
      <c r="B201" s="215" t="s">
        <v>1822</v>
      </c>
      <c r="C201" s="215" t="s">
        <v>1823</v>
      </c>
      <c r="D201" s="215" t="s">
        <v>1836</v>
      </c>
      <c r="E201" s="215" t="s">
        <v>1934</v>
      </c>
      <c r="F201" s="215" t="s">
        <v>1847</v>
      </c>
      <c r="G201" s="215" t="s">
        <v>79</v>
      </c>
      <c r="H201" s="216" t="s">
        <v>2016</v>
      </c>
      <c r="I201" s="217"/>
      <c r="J201" s="217"/>
      <c r="K201" s="217"/>
      <c r="L201" s="217"/>
      <c r="M201" s="217"/>
      <c r="N201" s="217"/>
      <c r="O201" s="217"/>
      <c r="P201" s="217"/>
      <c r="Q201" s="218"/>
    </row>
    <row r="202" spans="1:17" s="219" customFormat="1" hidden="1" x14ac:dyDescent="0.25">
      <c r="A202" s="214"/>
      <c r="B202" s="215" t="s">
        <v>1822</v>
      </c>
      <c r="C202" s="215" t="s">
        <v>1823</v>
      </c>
      <c r="D202" s="215" t="s">
        <v>1836</v>
      </c>
      <c r="E202" s="215" t="s">
        <v>1934</v>
      </c>
      <c r="F202" s="215" t="s">
        <v>1847</v>
      </c>
      <c r="G202" s="215" t="s">
        <v>84</v>
      </c>
      <c r="H202" s="216" t="s">
        <v>2017</v>
      </c>
      <c r="I202" s="217"/>
      <c r="J202" s="217"/>
      <c r="K202" s="217"/>
      <c r="L202" s="217"/>
      <c r="M202" s="217"/>
      <c r="N202" s="217"/>
      <c r="O202" s="217"/>
      <c r="P202" s="217"/>
      <c r="Q202" s="218"/>
    </row>
    <row r="203" spans="1:17" s="219" customFormat="1" ht="30" hidden="1" x14ac:dyDescent="0.25">
      <c r="A203" s="214"/>
      <c r="B203" s="215" t="s">
        <v>1822</v>
      </c>
      <c r="C203" s="215" t="s">
        <v>1823</v>
      </c>
      <c r="D203" s="215" t="s">
        <v>1836</v>
      </c>
      <c r="E203" s="215" t="s">
        <v>1934</v>
      </c>
      <c r="F203" s="215" t="s">
        <v>1847</v>
      </c>
      <c r="G203" s="215" t="s">
        <v>88</v>
      </c>
      <c r="H203" s="216" t="s">
        <v>2018</v>
      </c>
      <c r="I203" s="217"/>
      <c r="J203" s="217"/>
      <c r="K203" s="217"/>
      <c r="L203" s="217"/>
      <c r="M203" s="217"/>
      <c r="N203" s="217"/>
      <c r="O203" s="217"/>
      <c r="P203" s="217"/>
      <c r="Q203" s="218"/>
    </row>
    <row r="204" spans="1:17" s="219" customFormat="1" hidden="1" x14ac:dyDescent="0.25">
      <c r="A204" s="214"/>
      <c r="B204" s="215" t="s">
        <v>1822</v>
      </c>
      <c r="C204" s="215" t="s">
        <v>1823</v>
      </c>
      <c r="D204" s="215" t="s">
        <v>1836</v>
      </c>
      <c r="E204" s="215" t="s">
        <v>1934</v>
      </c>
      <c r="F204" s="215" t="s">
        <v>1847</v>
      </c>
      <c r="G204" s="215" t="s">
        <v>92</v>
      </c>
      <c r="H204" s="216" t="s">
        <v>2019</v>
      </c>
      <c r="I204" s="217"/>
      <c r="J204" s="217"/>
      <c r="K204" s="217"/>
      <c r="L204" s="217"/>
      <c r="M204" s="217"/>
      <c r="N204" s="217"/>
      <c r="O204" s="217"/>
      <c r="P204" s="217"/>
      <c r="Q204" s="218"/>
    </row>
    <row r="205" spans="1:17" s="219" customFormat="1" hidden="1" x14ac:dyDescent="0.25">
      <c r="A205" s="214"/>
      <c r="B205" s="215" t="s">
        <v>1822</v>
      </c>
      <c r="C205" s="215" t="s">
        <v>1823</v>
      </c>
      <c r="D205" s="215" t="s">
        <v>1836</v>
      </c>
      <c r="E205" s="215" t="s">
        <v>1934</v>
      </c>
      <c r="F205" s="215" t="s">
        <v>1847</v>
      </c>
      <c r="G205" s="215" t="s">
        <v>96</v>
      </c>
      <c r="H205" s="216" t="s">
        <v>2020</v>
      </c>
      <c r="I205" s="217"/>
      <c r="J205" s="217"/>
      <c r="K205" s="217"/>
      <c r="L205" s="217"/>
      <c r="M205" s="217"/>
      <c r="N205" s="217"/>
      <c r="O205" s="217"/>
      <c r="P205" s="217"/>
      <c r="Q205" s="218"/>
    </row>
    <row r="206" spans="1:17" s="213" customFormat="1" ht="30" x14ac:dyDescent="0.25">
      <c r="A206" s="208" t="s">
        <v>2021</v>
      </c>
      <c r="B206" s="209" t="s">
        <v>1822</v>
      </c>
      <c r="C206" s="209" t="s">
        <v>1823</v>
      </c>
      <c r="D206" s="209" t="s">
        <v>1836</v>
      </c>
      <c r="E206" s="209" t="s">
        <v>2022</v>
      </c>
      <c r="F206" s="209"/>
      <c r="G206" s="209"/>
      <c r="H206" s="210" t="s">
        <v>2023</v>
      </c>
      <c r="I206" s="211">
        <f>SUM(I207+I214+I226+I275)</f>
        <v>188450500</v>
      </c>
      <c r="J206" s="211">
        <f t="shared" ref="J206:O206" si="27">SUM(J207+J214+J226+J275)</f>
        <v>1300000</v>
      </c>
      <c r="K206" s="211">
        <f t="shared" si="27"/>
        <v>400000</v>
      </c>
      <c r="L206" s="380">
        <f t="shared" si="27"/>
        <v>400000</v>
      </c>
      <c r="M206" s="211">
        <f t="shared" si="27"/>
        <v>800000</v>
      </c>
      <c r="N206" s="211">
        <f t="shared" si="27"/>
        <v>187850500</v>
      </c>
      <c r="O206" s="211">
        <f t="shared" si="27"/>
        <v>600000</v>
      </c>
      <c r="P206" s="211"/>
      <c r="Q206" s="212"/>
    </row>
    <row r="207" spans="1:17" s="213" customFormat="1" x14ac:dyDescent="0.25">
      <c r="A207" s="208" t="s">
        <v>263</v>
      </c>
      <c r="B207" s="209" t="s">
        <v>1822</v>
      </c>
      <c r="C207" s="209" t="s">
        <v>1823</v>
      </c>
      <c r="D207" s="209" t="s">
        <v>1836</v>
      </c>
      <c r="E207" s="209" t="s">
        <v>2022</v>
      </c>
      <c r="F207" s="209" t="s">
        <v>1825</v>
      </c>
      <c r="G207" s="209"/>
      <c r="H207" s="210" t="s">
        <v>2024</v>
      </c>
      <c r="I207" s="211">
        <f>SUM(I208:I213)</f>
        <v>10503000</v>
      </c>
      <c r="J207" s="211">
        <f t="shared" ref="J207:O207" si="28">SUM(J208:J213)</f>
        <v>1300000</v>
      </c>
      <c r="K207" s="211">
        <f t="shared" si="28"/>
        <v>400000</v>
      </c>
      <c r="L207" s="211">
        <f t="shared" si="28"/>
        <v>400000</v>
      </c>
      <c r="M207" s="211">
        <f t="shared" si="28"/>
        <v>800000</v>
      </c>
      <c r="N207" s="211">
        <f t="shared" si="28"/>
        <v>9903000</v>
      </c>
      <c r="O207" s="211">
        <f t="shared" si="28"/>
        <v>600000</v>
      </c>
      <c r="P207" s="211"/>
      <c r="Q207" s="212"/>
    </row>
    <row r="208" spans="1:17" s="219" customFormat="1" x14ac:dyDescent="0.25">
      <c r="A208" s="214"/>
      <c r="B208" s="215" t="s">
        <v>1822</v>
      </c>
      <c r="C208" s="215" t="s">
        <v>1823</v>
      </c>
      <c r="D208" s="215" t="s">
        <v>1836</v>
      </c>
      <c r="E208" s="215" t="s">
        <v>2022</v>
      </c>
      <c r="F208" s="215" t="s">
        <v>1825</v>
      </c>
      <c r="G208" s="215" t="s">
        <v>58</v>
      </c>
      <c r="H208" s="216" t="s">
        <v>2025</v>
      </c>
      <c r="I208" s="217">
        <v>10503000</v>
      </c>
      <c r="J208" s="217">
        <v>1300000</v>
      </c>
      <c r="K208" s="217">
        <v>400000</v>
      </c>
      <c r="L208" s="217">
        <v>400000</v>
      </c>
      <c r="M208" s="217">
        <v>800000</v>
      </c>
      <c r="N208" s="217">
        <v>9903000</v>
      </c>
      <c r="O208" s="217">
        <v>600000</v>
      </c>
      <c r="P208" s="217"/>
      <c r="Q208" s="218"/>
    </row>
    <row r="209" spans="1:17" s="219" customFormat="1" x14ac:dyDescent="0.25">
      <c r="A209" s="214"/>
      <c r="B209" s="215" t="s">
        <v>1822</v>
      </c>
      <c r="C209" s="215" t="s">
        <v>1823</v>
      </c>
      <c r="D209" s="215" t="s">
        <v>1836</v>
      </c>
      <c r="E209" s="215" t="s">
        <v>2022</v>
      </c>
      <c r="F209" s="215" t="s">
        <v>1825</v>
      </c>
      <c r="G209" s="215" t="s">
        <v>75</v>
      </c>
      <c r="H209" s="216" t="s">
        <v>2026</v>
      </c>
      <c r="I209" s="217"/>
      <c r="J209" s="217"/>
      <c r="K209" s="217"/>
      <c r="L209" s="217"/>
      <c r="M209" s="217"/>
      <c r="N209" s="217"/>
      <c r="O209" s="217"/>
      <c r="P209" s="217"/>
      <c r="Q209" s="218"/>
    </row>
    <row r="210" spans="1:17" s="219" customFormat="1" hidden="1" x14ac:dyDescent="0.25">
      <c r="A210" s="214"/>
      <c r="B210" s="215" t="s">
        <v>1822</v>
      </c>
      <c r="C210" s="215" t="s">
        <v>1823</v>
      </c>
      <c r="D210" s="215" t="s">
        <v>1836</v>
      </c>
      <c r="E210" s="215" t="s">
        <v>2022</v>
      </c>
      <c r="F210" s="215" t="s">
        <v>1825</v>
      </c>
      <c r="G210" s="215" t="s">
        <v>79</v>
      </c>
      <c r="H210" s="216" t="s">
        <v>2027</v>
      </c>
      <c r="I210" s="217"/>
      <c r="J210" s="217"/>
      <c r="K210" s="217"/>
      <c r="L210" s="217"/>
      <c r="M210" s="217"/>
      <c r="N210" s="217"/>
      <c r="O210" s="217"/>
      <c r="P210" s="217"/>
      <c r="Q210" s="218"/>
    </row>
    <row r="211" spans="1:17" s="219" customFormat="1" hidden="1" x14ac:dyDescent="0.25">
      <c r="A211" s="214"/>
      <c r="B211" s="215" t="s">
        <v>1822</v>
      </c>
      <c r="C211" s="215" t="s">
        <v>1823</v>
      </c>
      <c r="D211" s="215" t="s">
        <v>1836</v>
      </c>
      <c r="E211" s="215" t="s">
        <v>2022</v>
      </c>
      <c r="F211" s="215" t="s">
        <v>1825</v>
      </c>
      <c r="G211" s="215" t="s">
        <v>84</v>
      </c>
      <c r="H211" s="216" t="s">
        <v>2028</v>
      </c>
      <c r="I211" s="217"/>
      <c r="J211" s="217"/>
      <c r="K211" s="217"/>
      <c r="L211" s="217"/>
      <c r="M211" s="217"/>
      <c r="N211" s="217"/>
      <c r="O211" s="217"/>
      <c r="P211" s="217"/>
      <c r="Q211" s="218"/>
    </row>
    <row r="212" spans="1:17" s="219" customFormat="1" ht="30" hidden="1" x14ac:dyDescent="0.25">
      <c r="A212" s="214"/>
      <c r="B212" s="215" t="s">
        <v>1822</v>
      </c>
      <c r="C212" s="215" t="s">
        <v>1823</v>
      </c>
      <c r="D212" s="215" t="s">
        <v>1836</v>
      </c>
      <c r="E212" s="215" t="s">
        <v>2022</v>
      </c>
      <c r="F212" s="215" t="s">
        <v>1825</v>
      </c>
      <c r="G212" s="215" t="s">
        <v>88</v>
      </c>
      <c r="H212" s="216" t="s">
        <v>2029</v>
      </c>
      <c r="I212" s="217"/>
      <c r="J212" s="217"/>
      <c r="K212" s="217"/>
      <c r="L212" s="217"/>
      <c r="M212" s="217"/>
      <c r="N212" s="217"/>
      <c r="O212" s="217"/>
      <c r="P212" s="217"/>
      <c r="Q212" s="218"/>
    </row>
    <row r="213" spans="1:17" s="219" customFormat="1" x14ac:dyDescent="0.25">
      <c r="A213" s="214"/>
      <c r="B213" s="215" t="s">
        <v>1822</v>
      </c>
      <c r="C213" s="215" t="s">
        <v>1823</v>
      </c>
      <c r="D213" s="215" t="s">
        <v>1836</v>
      </c>
      <c r="E213" s="215" t="s">
        <v>2022</v>
      </c>
      <c r="F213" s="215" t="s">
        <v>1825</v>
      </c>
      <c r="G213" s="215" t="s">
        <v>92</v>
      </c>
      <c r="H213" s="216" t="s">
        <v>2030</v>
      </c>
      <c r="I213" s="217"/>
      <c r="J213" s="217"/>
      <c r="K213" s="217"/>
      <c r="L213" s="217"/>
      <c r="M213" s="217"/>
      <c r="N213" s="217"/>
      <c r="O213" s="217"/>
      <c r="P213" s="217"/>
      <c r="Q213" s="218"/>
    </row>
    <row r="214" spans="1:17" s="213" customFormat="1" x14ac:dyDescent="0.25">
      <c r="A214" s="208" t="s">
        <v>263</v>
      </c>
      <c r="B214" s="209" t="s">
        <v>1822</v>
      </c>
      <c r="C214" s="209" t="s">
        <v>1823</v>
      </c>
      <c r="D214" s="209" t="s">
        <v>1836</v>
      </c>
      <c r="E214" s="209" t="s">
        <v>2022</v>
      </c>
      <c r="F214" s="209" t="s">
        <v>1836</v>
      </c>
      <c r="G214" s="209"/>
      <c r="H214" s="210" t="s">
        <v>2031</v>
      </c>
      <c r="I214" s="211">
        <f>SUM(I215:I225)</f>
        <v>111347500</v>
      </c>
      <c r="J214" s="211">
        <f t="shared" ref="J214:O214" si="29">SUM(J215:J225)</f>
        <v>0</v>
      </c>
      <c r="K214" s="211">
        <f t="shared" si="29"/>
        <v>0</v>
      </c>
      <c r="L214" s="211">
        <f t="shared" si="29"/>
        <v>0</v>
      </c>
      <c r="M214" s="211">
        <f t="shared" si="29"/>
        <v>0</v>
      </c>
      <c r="N214" s="211">
        <f t="shared" si="29"/>
        <v>111347500</v>
      </c>
      <c r="O214" s="211">
        <f t="shared" si="29"/>
        <v>0</v>
      </c>
      <c r="P214" s="211"/>
      <c r="Q214" s="212"/>
    </row>
    <row r="215" spans="1:17" s="219" customFormat="1" x14ac:dyDescent="0.25">
      <c r="A215" s="214"/>
      <c r="B215" s="215" t="s">
        <v>1822</v>
      </c>
      <c r="C215" s="215" t="s">
        <v>1823</v>
      </c>
      <c r="D215" s="215" t="s">
        <v>1836</v>
      </c>
      <c r="E215" s="215" t="s">
        <v>2022</v>
      </c>
      <c r="F215" s="215" t="s">
        <v>1836</v>
      </c>
      <c r="G215" s="215" t="s">
        <v>58</v>
      </c>
      <c r="H215" s="216" t="s">
        <v>2032</v>
      </c>
      <c r="I215" s="217">
        <v>111347500</v>
      </c>
      <c r="J215" s="217"/>
      <c r="K215" s="217"/>
      <c r="L215" s="217"/>
      <c r="M215" s="217"/>
      <c r="N215" s="217">
        <v>111347500</v>
      </c>
      <c r="O215" s="217"/>
      <c r="P215" s="217"/>
      <c r="Q215" s="218"/>
    </row>
    <row r="216" spans="1:17" s="219" customFormat="1" x14ac:dyDescent="0.25">
      <c r="A216" s="214"/>
      <c r="B216" s="215" t="s">
        <v>1822</v>
      </c>
      <c r="C216" s="215" t="s">
        <v>1823</v>
      </c>
      <c r="D216" s="215" t="s">
        <v>1836</v>
      </c>
      <c r="E216" s="215" t="s">
        <v>2022</v>
      </c>
      <c r="F216" s="215" t="s">
        <v>1836</v>
      </c>
      <c r="G216" s="215" t="s">
        <v>75</v>
      </c>
      <c r="H216" s="216" t="s">
        <v>2033</v>
      </c>
      <c r="I216" s="217"/>
      <c r="J216" s="217"/>
      <c r="K216" s="217"/>
      <c r="L216" s="217"/>
      <c r="M216" s="217"/>
      <c r="N216" s="217"/>
      <c r="O216" s="217"/>
      <c r="P216" s="217"/>
      <c r="Q216" s="218"/>
    </row>
    <row r="217" spans="1:17" s="219" customFormat="1" hidden="1" x14ac:dyDescent="0.25">
      <c r="A217" s="214"/>
      <c r="B217" s="215" t="s">
        <v>1822</v>
      </c>
      <c r="C217" s="215" t="s">
        <v>1823</v>
      </c>
      <c r="D217" s="215" t="s">
        <v>1836</v>
      </c>
      <c r="E217" s="215" t="s">
        <v>2022</v>
      </c>
      <c r="F217" s="215" t="s">
        <v>1836</v>
      </c>
      <c r="G217" s="215" t="s">
        <v>79</v>
      </c>
      <c r="H217" s="216" t="s">
        <v>2034</v>
      </c>
      <c r="I217" s="217"/>
      <c r="J217" s="217"/>
      <c r="K217" s="217"/>
      <c r="L217" s="217"/>
      <c r="M217" s="217"/>
      <c r="N217" s="217"/>
      <c r="O217" s="217"/>
      <c r="P217" s="217"/>
      <c r="Q217" s="218"/>
    </row>
    <row r="218" spans="1:17" s="219" customFormat="1" hidden="1" x14ac:dyDescent="0.25">
      <c r="A218" s="214"/>
      <c r="B218" s="215" t="s">
        <v>1822</v>
      </c>
      <c r="C218" s="215" t="s">
        <v>1823</v>
      </c>
      <c r="D218" s="215" t="s">
        <v>1836</v>
      </c>
      <c r="E218" s="215" t="s">
        <v>2022</v>
      </c>
      <c r="F218" s="215" t="s">
        <v>1836</v>
      </c>
      <c r="G218" s="215" t="s">
        <v>84</v>
      </c>
      <c r="H218" s="216" t="s">
        <v>2035</v>
      </c>
      <c r="I218" s="217"/>
      <c r="J218" s="217"/>
      <c r="K218" s="217"/>
      <c r="L218" s="217"/>
      <c r="M218" s="217"/>
      <c r="N218" s="217"/>
      <c r="O218" s="217"/>
      <c r="P218" s="217"/>
      <c r="Q218" s="218"/>
    </row>
    <row r="219" spans="1:17" s="219" customFormat="1" hidden="1" x14ac:dyDescent="0.25">
      <c r="A219" s="214"/>
      <c r="B219" s="215" t="s">
        <v>1822</v>
      </c>
      <c r="C219" s="215" t="s">
        <v>1823</v>
      </c>
      <c r="D219" s="215" t="s">
        <v>1836</v>
      </c>
      <c r="E219" s="215" t="s">
        <v>2022</v>
      </c>
      <c r="F219" s="215" t="s">
        <v>1836</v>
      </c>
      <c r="G219" s="215" t="s">
        <v>88</v>
      </c>
      <c r="H219" s="216" t="s">
        <v>2036</v>
      </c>
      <c r="I219" s="217"/>
      <c r="J219" s="217"/>
      <c r="K219" s="217"/>
      <c r="L219" s="217"/>
      <c r="M219" s="217"/>
      <c r="N219" s="217"/>
      <c r="O219" s="217"/>
      <c r="P219" s="217"/>
      <c r="Q219" s="218"/>
    </row>
    <row r="220" spans="1:17" s="219" customFormat="1" hidden="1" x14ac:dyDescent="0.25">
      <c r="A220" s="214"/>
      <c r="B220" s="215" t="s">
        <v>1822</v>
      </c>
      <c r="C220" s="215" t="s">
        <v>1823</v>
      </c>
      <c r="D220" s="215" t="s">
        <v>1836</v>
      </c>
      <c r="E220" s="215" t="s">
        <v>2022</v>
      </c>
      <c r="F220" s="215" t="s">
        <v>1836</v>
      </c>
      <c r="G220" s="215" t="s">
        <v>92</v>
      </c>
      <c r="H220" s="216" t="s">
        <v>2037</v>
      </c>
      <c r="I220" s="217"/>
      <c r="J220" s="217"/>
      <c r="K220" s="217"/>
      <c r="L220" s="217"/>
      <c r="M220" s="217"/>
      <c r="N220" s="217"/>
      <c r="O220" s="217"/>
      <c r="P220" s="217"/>
      <c r="Q220" s="218"/>
    </row>
    <row r="221" spans="1:17" s="219" customFormat="1" hidden="1" x14ac:dyDescent="0.25">
      <c r="A221" s="214"/>
      <c r="B221" s="215" t="s">
        <v>1822</v>
      </c>
      <c r="C221" s="215" t="s">
        <v>1823</v>
      </c>
      <c r="D221" s="215" t="s">
        <v>1836</v>
      </c>
      <c r="E221" s="215" t="s">
        <v>2022</v>
      </c>
      <c r="F221" s="215" t="s">
        <v>1836</v>
      </c>
      <c r="G221" s="215" t="s">
        <v>96</v>
      </c>
      <c r="H221" s="216" t="s">
        <v>2038</v>
      </c>
      <c r="I221" s="217"/>
      <c r="J221" s="217"/>
      <c r="K221" s="217"/>
      <c r="L221" s="217"/>
      <c r="M221" s="217"/>
      <c r="N221" s="217"/>
      <c r="O221" s="217"/>
      <c r="P221" s="217"/>
      <c r="Q221" s="218"/>
    </row>
    <row r="222" spans="1:17" s="219" customFormat="1" hidden="1" x14ac:dyDescent="0.25">
      <c r="A222" s="214"/>
      <c r="B222" s="215" t="s">
        <v>1822</v>
      </c>
      <c r="C222" s="215" t="s">
        <v>1823</v>
      </c>
      <c r="D222" s="215" t="s">
        <v>1836</v>
      </c>
      <c r="E222" s="215" t="s">
        <v>2022</v>
      </c>
      <c r="F222" s="215" t="s">
        <v>1836</v>
      </c>
      <c r="G222" s="215" t="s">
        <v>100</v>
      </c>
      <c r="H222" s="216" t="s">
        <v>2039</v>
      </c>
      <c r="I222" s="217"/>
      <c r="J222" s="217"/>
      <c r="K222" s="217"/>
      <c r="L222" s="217"/>
      <c r="M222" s="217"/>
      <c r="N222" s="217"/>
      <c r="O222" s="217"/>
      <c r="P222" s="217"/>
      <c r="Q222" s="218"/>
    </row>
    <row r="223" spans="1:17" s="219" customFormat="1" ht="30" hidden="1" x14ac:dyDescent="0.25">
      <c r="A223" s="214"/>
      <c r="B223" s="215" t="s">
        <v>1822</v>
      </c>
      <c r="C223" s="215" t="s">
        <v>1823</v>
      </c>
      <c r="D223" s="215" t="s">
        <v>1836</v>
      </c>
      <c r="E223" s="215" t="s">
        <v>2022</v>
      </c>
      <c r="F223" s="215" t="s">
        <v>1836</v>
      </c>
      <c r="G223" s="215" t="s">
        <v>105</v>
      </c>
      <c r="H223" s="216" t="s">
        <v>2040</v>
      </c>
      <c r="I223" s="217"/>
      <c r="J223" s="217"/>
      <c r="K223" s="217"/>
      <c r="L223" s="217"/>
      <c r="M223" s="217"/>
      <c r="N223" s="217"/>
      <c r="O223" s="217"/>
      <c r="P223" s="217"/>
      <c r="Q223" s="218"/>
    </row>
    <row r="224" spans="1:17" s="219" customFormat="1" hidden="1" x14ac:dyDescent="0.25">
      <c r="A224" s="214"/>
      <c r="B224" s="215" t="s">
        <v>1822</v>
      </c>
      <c r="C224" s="215" t="s">
        <v>1823</v>
      </c>
      <c r="D224" s="215" t="s">
        <v>1836</v>
      </c>
      <c r="E224" s="215" t="s">
        <v>2022</v>
      </c>
      <c r="F224" s="215" t="s">
        <v>1836</v>
      </c>
      <c r="G224" s="215" t="s">
        <v>108</v>
      </c>
      <c r="H224" s="216" t="s">
        <v>2041</v>
      </c>
      <c r="I224" s="217"/>
      <c r="J224" s="217"/>
      <c r="K224" s="217"/>
      <c r="L224" s="217"/>
      <c r="M224" s="217"/>
      <c r="N224" s="217"/>
      <c r="O224" s="217"/>
      <c r="P224" s="217"/>
      <c r="Q224" s="218"/>
    </row>
    <row r="225" spans="1:17" s="219" customFormat="1" x14ac:dyDescent="0.25">
      <c r="A225" s="214"/>
      <c r="B225" s="215" t="s">
        <v>1822</v>
      </c>
      <c r="C225" s="215" t="s">
        <v>1823</v>
      </c>
      <c r="D225" s="215" t="s">
        <v>1836</v>
      </c>
      <c r="E225" s="215" t="s">
        <v>2022</v>
      </c>
      <c r="F225" s="215" t="s">
        <v>1836</v>
      </c>
      <c r="G225" s="215" t="s">
        <v>135</v>
      </c>
      <c r="H225" s="216" t="s">
        <v>2042</v>
      </c>
      <c r="I225" s="217"/>
      <c r="J225" s="217"/>
      <c r="K225" s="217"/>
      <c r="L225" s="217"/>
      <c r="M225" s="217"/>
      <c r="N225" s="217"/>
      <c r="O225" s="217"/>
      <c r="P225" s="217"/>
      <c r="Q225" s="218"/>
    </row>
    <row r="226" spans="1:17" s="213" customFormat="1" x14ac:dyDescent="0.25">
      <c r="A226" s="208" t="s">
        <v>263</v>
      </c>
      <c r="B226" s="209" t="s">
        <v>1822</v>
      </c>
      <c r="C226" s="209" t="s">
        <v>1823</v>
      </c>
      <c r="D226" s="209" t="s">
        <v>1836</v>
      </c>
      <c r="E226" s="209" t="s">
        <v>2022</v>
      </c>
      <c r="F226" s="209" t="s">
        <v>1847</v>
      </c>
      <c r="G226" s="209"/>
      <c r="H226" s="210" t="s">
        <v>2043</v>
      </c>
      <c r="I226" s="211">
        <f>SUM(I227:I274)</f>
        <v>66600000</v>
      </c>
      <c r="J226" s="211">
        <f t="shared" ref="J226:O226" si="30">SUM(J227:J274)</f>
        <v>0</v>
      </c>
      <c r="K226" s="211">
        <f t="shared" si="30"/>
        <v>0</v>
      </c>
      <c r="L226" s="211">
        <f t="shared" si="30"/>
        <v>0</v>
      </c>
      <c r="M226" s="211">
        <f t="shared" si="30"/>
        <v>0</v>
      </c>
      <c r="N226" s="211">
        <f t="shared" si="30"/>
        <v>66600000</v>
      </c>
      <c r="O226" s="211">
        <f t="shared" si="30"/>
        <v>0</v>
      </c>
      <c r="P226" s="211"/>
      <c r="Q226" s="212"/>
    </row>
    <row r="227" spans="1:17" s="219" customFormat="1" x14ac:dyDescent="0.25">
      <c r="A227" s="214"/>
      <c r="B227" s="215" t="s">
        <v>1822</v>
      </c>
      <c r="C227" s="215" t="s">
        <v>1823</v>
      </c>
      <c r="D227" s="215" t="s">
        <v>1836</v>
      </c>
      <c r="E227" s="215" t="s">
        <v>2022</v>
      </c>
      <c r="F227" s="215" t="s">
        <v>1847</v>
      </c>
      <c r="G227" s="215" t="s">
        <v>58</v>
      </c>
      <c r="H227" s="216" t="s">
        <v>2044</v>
      </c>
      <c r="I227" s="217"/>
      <c r="J227" s="217"/>
      <c r="K227" s="217"/>
      <c r="L227" s="217"/>
      <c r="M227" s="217"/>
      <c r="N227" s="217"/>
      <c r="O227" s="217"/>
      <c r="P227" s="217"/>
      <c r="Q227" s="218"/>
    </row>
    <row r="228" spans="1:17" s="219" customFormat="1" hidden="1" x14ac:dyDescent="0.25">
      <c r="A228" s="214"/>
      <c r="B228" s="215" t="s">
        <v>1822</v>
      </c>
      <c r="C228" s="215" t="s">
        <v>1823</v>
      </c>
      <c r="D228" s="215" t="s">
        <v>1836</v>
      </c>
      <c r="E228" s="215" t="s">
        <v>2022</v>
      </c>
      <c r="F228" s="215" t="s">
        <v>1847</v>
      </c>
      <c r="G228" s="215" t="s">
        <v>75</v>
      </c>
      <c r="H228" s="216" t="s">
        <v>2045</v>
      </c>
      <c r="I228" s="217"/>
      <c r="J228" s="217"/>
      <c r="K228" s="217"/>
      <c r="L228" s="217"/>
      <c r="M228" s="217"/>
      <c r="N228" s="217"/>
      <c r="O228" s="217"/>
      <c r="P228" s="217"/>
      <c r="Q228" s="218"/>
    </row>
    <row r="229" spans="1:17" s="219" customFormat="1" hidden="1" x14ac:dyDescent="0.25">
      <c r="A229" s="214"/>
      <c r="B229" s="215" t="s">
        <v>1822</v>
      </c>
      <c r="C229" s="215" t="s">
        <v>1823</v>
      </c>
      <c r="D229" s="215" t="s">
        <v>1836</v>
      </c>
      <c r="E229" s="215" t="s">
        <v>2022</v>
      </c>
      <c r="F229" s="215" t="s">
        <v>1847</v>
      </c>
      <c r="G229" s="215" t="s">
        <v>79</v>
      </c>
      <c r="H229" s="216" t="s">
        <v>2046</v>
      </c>
      <c r="I229" s="217"/>
      <c r="J229" s="217"/>
      <c r="K229" s="217"/>
      <c r="L229" s="217"/>
      <c r="M229" s="217"/>
      <c r="N229" s="217"/>
      <c r="O229" s="217"/>
      <c r="P229" s="217"/>
      <c r="Q229" s="218"/>
    </row>
    <row r="230" spans="1:17" s="219" customFormat="1" hidden="1" x14ac:dyDescent="0.25">
      <c r="A230" s="214"/>
      <c r="B230" s="215" t="s">
        <v>1822</v>
      </c>
      <c r="C230" s="215" t="s">
        <v>1823</v>
      </c>
      <c r="D230" s="215" t="s">
        <v>1836</v>
      </c>
      <c r="E230" s="215" t="s">
        <v>2022</v>
      </c>
      <c r="F230" s="215" t="s">
        <v>1847</v>
      </c>
      <c r="G230" s="215" t="s">
        <v>84</v>
      </c>
      <c r="H230" s="216" t="s">
        <v>2047</v>
      </c>
      <c r="I230" s="217"/>
      <c r="J230" s="217"/>
      <c r="K230" s="217"/>
      <c r="L230" s="217"/>
      <c r="M230" s="217"/>
      <c r="N230" s="217"/>
      <c r="O230" s="217"/>
      <c r="P230" s="217"/>
      <c r="Q230" s="218"/>
    </row>
    <row r="231" spans="1:17" s="219" customFormat="1" hidden="1" x14ac:dyDescent="0.25">
      <c r="A231" s="214"/>
      <c r="B231" s="215" t="s">
        <v>1822</v>
      </c>
      <c r="C231" s="215" t="s">
        <v>1823</v>
      </c>
      <c r="D231" s="215" t="s">
        <v>1836</v>
      </c>
      <c r="E231" s="215" t="s">
        <v>2022</v>
      </c>
      <c r="F231" s="215" t="s">
        <v>1847</v>
      </c>
      <c r="G231" s="215" t="s">
        <v>88</v>
      </c>
      <c r="H231" s="216" t="s">
        <v>2048</v>
      </c>
      <c r="I231" s="217"/>
      <c r="J231" s="217"/>
      <c r="K231" s="217"/>
      <c r="L231" s="217"/>
      <c r="M231" s="217"/>
      <c r="N231" s="217"/>
      <c r="O231" s="217"/>
      <c r="P231" s="217"/>
      <c r="Q231" s="218"/>
    </row>
    <row r="232" spans="1:17" s="219" customFormat="1" hidden="1" x14ac:dyDescent="0.25">
      <c r="A232" s="214"/>
      <c r="B232" s="215" t="s">
        <v>1822</v>
      </c>
      <c r="C232" s="215" t="s">
        <v>1823</v>
      </c>
      <c r="D232" s="215" t="s">
        <v>1836</v>
      </c>
      <c r="E232" s="215" t="s">
        <v>2022</v>
      </c>
      <c r="F232" s="215" t="s">
        <v>1847</v>
      </c>
      <c r="G232" s="215" t="s">
        <v>92</v>
      </c>
      <c r="H232" s="216" t="s">
        <v>2049</v>
      </c>
      <c r="I232" s="217"/>
      <c r="J232" s="217"/>
      <c r="K232" s="217"/>
      <c r="L232" s="217"/>
      <c r="M232" s="217"/>
      <c r="N232" s="217"/>
      <c r="O232" s="217"/>
      <c r="P232" s="217"/>
      <c r="Q232" s="218"/>
    </row>
    <row r="233" spans="1:17" s="219" customFormat="1" hidden="1" x14ac:dyDescent="0.25">
      <c r="A233" s="214"/>
      <c r="B233" s="215" t="s">
        <v>1822</v>
      </c>
      <c r="C233" s="215" t="s">
        <v>1823</v>
      </c>
      <c r="D233" s="215" t="s">
        <v>1836</v>
      </c>
      <c r="E233" s="215" t="s">
        <v>2022</v>
      </c>
      <c r="F233" s="215" t="s">
        <v>1847</v>
      </c>
      <c r="G233" s="215" t="s">
        <v>96</v>
      </c>
      <c r="H233" s="216" t="s">
        <v>2050</v>
      </c>
      <c r="I233" s="217"/>
      <c r="J233" s="217"/>
      <c r="K233" s="217"/>
      <c r="L233" s="217"/>
      <c r="M233" s="217"/>
      <c r="N233" s="217"/>
      <c r="O233" s="217"/>
      <c r="P233" s="217"/>
      <c r="Q233" s="218"/>
    </row>
    <row r="234" spans="1:17" s="219" customFormat="1" hidden="1" x14ac:dyDescent="0.25">
      <c r="A234" s="214"/>
      <c r="B234" s="215" t="s">
        <v>1822</v>
      </c>
      <c r="C234" s="215" t="s">
        <v>1823</v>
      </c>
      <c r="D234" s="215" t="s">
        <v>1836</v>
      </c>
      <c r="E234" s="215" t="s">
        <v>2022</v>
      </c>
      <c r="F234" s="215" t="s">
        <v>1847</v>
      </c>
      <c r="G234" s="215" t="s">
        <v>100</v>
      </c>
      <c r="H234" s="216" t="s">
        <v>2051</v>
      </c>
      <c r="I234" s="217"/>
      <c r="J234" s="217"/>
      <c r="K234" s="217"/>
      <c r="L234" s="217"/>
      <c r="M234" s="217"/>
      <c r="N234" s="217"/>
      <c r="O234" s="217"/>
      <c r="P234" s="217"/>
      <c r="Q234" s="218"/>
    </row>
    <row r="235" spans="1:17" s="219" customFormat="1" hidden="1" x14ac:dyDescent="0.25">
      <c r="A235" s="214"/>
      <c r="B235" s="215" t="s">
        <v>1822</v>
      </c>
      <c r="C235" s="215" t="s">
        <v>1823</v>
      </c>
      <c r="D235" s="215" t="s">
        <v>1836</v>
      </c>
      <c r="E235" s="215" t="s">
        <v>2022</v>
      </c>
      <c r="F235" s="215" t="s">
        <v>1847</v>
      </c>
      <c r="G235" s="215" t="s">
        <v>105</v>
      </c>
      <c r="H235" s="216" t="s">
        <v>2052</v>
      </c>
      <c r="I235" s="217"/>
      <c r="J235" s="217"/>
      <c r="K235" s="217"/>
      <c r="L235" s="217"/>
      <c r="M235" s="217"/>
      <c r="N235" s="217"/>
      <c r="O235" s="217"/>
      <c r="P235" s="217"/>
      <c r="Q235" s="218"/>
    </row>
    <row r="236" spans="1:17" s="219" customFormat="1" hidden="1" x14ac:dyDescent="0.25">
      <c r="A236" s="214"/>
      <c r="B236" s="215" t="s">
        <v>1822</v>
      </c>
      <c r="C236" s="215" t="s">
        <v>1823</v>
      </c>
      <c r="D236" s="215" t="s">
        <v>1836</v>
      </c>
      <c r="E236" s="215" t="s">
        <v>2022</v>
      </c>
      <c r="F236" s="215" t="s">
        <v>1847</v>
      </c>
      <c r="G236" s="215" t="s">
        <v>108</v>
      </c>
      <c r="H236" s="216" t="s">
        <v>2053</v>
      </c>
      <c r="I236" s="217"/>
      <c r="J236" s="217"/>
      <c r="K236" s="217"/>
      <c r="L236" s="217"/>
      <c r="M236" s="217"/>
      <c r="N236" s="217"/>
      <c r="O236" s="217"/>
      <c r="P236" s="217"/>
      <c r="Q236" s="218"/>
    </row>
    <row r="237" spans="1:17" s="219" customFormat="1" hidden="1" x14ac:dyDescent="0.25">
      <c r="A237" s="214"/>
      <c r="B237" s="215" t="s">
        <v>1822</v>
      </c>
      <c r="C237" s="215" t="s">
        <v>1823</v>
      </c>
      <c r="D237" s="215" t="s">
        <v>1836</v>
      </c>
      <c r="E237" s="215" t="s">
        <v>2022</v>
      </c>
      <c r="F237" s="215" t="s">
        <v>1847</v>
      </c>
      <c r="G237" s="215" t="s">
        <v>135</v>
      </c>
      <c r="H237" s="216" t="s">
        <v>2054</v>
      </c>
      <c r="I237" s="217"/>
      <c r="J237" s="217"/>
      <c r="K237" s="217"/>
      <c r="L237" s="217"/>
      <c r="M237" s="217"/>
      <c r="N237" s="217"/>
      <c r="O237" s="217"/>
      <c r="P237" s="217"/>
      <c r="Q237" s="218"/>
    </row>
    <row r="238" spans="1:17" s="219" customFormat="1" hidden="1" x14ac:dyDescent="0.25">
      <c r="A238" s="214"/>
      <c r="B238" s="215" t="s">
        <v>1822</v>
      </c>
      <c r="C238" s="215" t="s">
        <v>1823</v>
      </c>
      <c r="D238" s="215" t="s">
        <v>1836</v>
      </c>
      <c r="E238" s="215" t="s">
        <v>2022</v>
      </c>
      <c r="F238" s="215" t="s">
        <v>1847</v>
      </c>
      <c r="G238" s="215" t="s">
        <v>138</v>
      </c>
      <c r="H238" s="216" t="s">
        <v>2055</v>
      </c>
      <c r="I238" s="217"/>
      <c r="J238" s="217"/>
      <c r="K238" s="217"/>
      <c r="L238" s="217"/>
      <c r="M238" s="217"/>
      <c r="N238" s="217"/>
      <c r="O238" s="217"/>
      <c r="P238" s="217"/>
      <c r="Q238" s="218"/>
    </row>
    <row r="239" spans="1:17" s="219" customFormat="1" hidden="1" x14ac:dyDescent="0.25">
      <c r="A239" s="214"/>
      <c r="B239" s="215" t="s">
        <v>1822</v>
      </c>
      <c r="C239" s="215" t="s">
        <v>1823</v>
      </c>
      <c r="D239" s="215" t="s">
        <v>1836</v>
      </c>
      <c r="E239" s="215" t="s">
        <v>2022</v>
      </c>
      <c r="F239" s="215" t="s">
        <v>1847</v>
      </c>
      <c r="G239" s="215" t="s">
        <v>140</v>
      </c>
      <c r="H239" s="216" t="s">
        <v>2056</v>
      </c>
      <c r="I239" s="217"/>
      <c r="J239" s="217"/>
      <c r="K239" s="217"/>
      <c r="L239" s="217"/>
      <c r="M239" s="217"/>
      <c r="N239" s="217"/>
      <c r="O239" s="217"/>
      <c r="P239" s="217"/>
      <c r="Q239" s="218"/>
    </row>
    <row r="240" spans="1:17" s="219" customFormat="1" hidden="1" x14ac:dyDescent="0.25">
      <c r="A240" s="214"/>
      <c r="B240" s="215" t="s">
        <v>1822</v>
      </c>
      <c r="C240" s="215" t="s">
        <v>1823</v>
      </c>
      <c r="D240" s="215" t="s">
        <v>1836</v>
      </c>
      <c r="E240" s="215" t="s">
        <v>2022</v>
      </c>
      <c r="F240" s="215" t="s">
        <v>1847</v>
      </c>
      <c r="G240" s="215" t="s">
        <v>143</v>
      </c>
      <c r="H240" s="216" t="s">
        <v>2057</v>
      </c>
      <c r="I240" s="217"/>
      <c r="J240" s="217"/>
      <c r="K240" s="217"/>
      <c r="L240" s="217"/>
      <c r="M240" s="217"/>
      <c r="N240" s="217"/>
      <c r="O240" s="217"/>
      <c r="P240" s="217"/>
      <c r="Q240" s="218"/>
    </row>
    <row r="241" spans="1:17" s="219" customFormat="1" hidden="1" x14ac:dyDescent="0.25">
      <c r="A241" s="214"/>
      <c r="B241" s="215" t="s">
        <v>1822</v>
      </c>
      <c r="C241" s="215" t="s">
        <v>1823</v>
      </c>
      <c r="D241" s="215" t="s">
        <v>1836</v>
      </c>
      <c r="E241" s="215" t="s">
        <v>2022</v>
      </c>
      <c r="F241" s="215" t="s">
        <v>1847</v>
      </c>
      <c r="G241" s="215" t="s">
        <v>146</v>
      </c>
      <c r="H241" s="216" t="s">
        <v>2058</v>
      </c>
      <c r="I241" s="217"/>
      <c r="J241" s="217"/>
      <c r="K241" s="217"/>
      <c r="L241" s="217"/>
      <c r="M241" s="217"/>
      <c r="N241" s="217"/>
      <c r="O241" s="217"/>
      <c r="P241" s="217"/>
      <c r="Q241" s="218"/>
    </row>
    <row r="242" spans="1:17" s="219" customFormat="1" hidden="1" x14ac:dyDescent="0.25">
      <c r="A242" s="214"/>
      <c r="B242" s="215" t="s">
        <v>1822</v>
      </c>
      <c r="C242" s="215" t="s">
        <v>1823</v>
      </c>
      <c r="D242" s="215" t="s">
        <v>1836</v>
      </c>
      <c r="E242" s="215" t="s">
        <v>2022</v>
      </c>
      <c r="F242" s="215" t="s">
        <v>1847</v>
      </c>
      <c r="G242" s="215" t="s">
        <v>150</v>
      </c>
      <c r="H242" s="216" t="s">
        <v>2059</v>
      </c>
      <c r="I242" s="217"/>
      <c r="J242" s="217"/>
      <c r="K242" s="217"/>
      <c r="L242" s="217"/>
      <c r="M242" s="217"/>
      <c r="N242" s="217"/>
      <c r="O242" s="217"/>
      <c r="P242" s="217"/>
      <c r="Q242" s="218"/>
    </row>
    <row r="243" spans="1:17" s="219" customFormat="1" hidden="1" x14ac:dyDescent="0.25">
      <c r="A243" s="214"/>
      <c r="B243" s="215" t="s">
        <v>1822</v>
      </c>
      <c r="C243" s="215" t="s">
        <v>1823</v>
      </c>
      <c r="D243" s="215" t="s">
        <v>1836</v>
      </c>
      <c r="E243" s="215" t="s">
        <v>2022</v>
      </c>
      <c r="F243" s="215" t="s">
        <v>1847</v>
      </c>
      <c r="G243" s="215" t="s">
        <v>153</v>
      </c>
      <c r="H243" s="216" t="s">
        <v>2060</v>
      </c>
      <c r="I243" s="217"/>
      <c r="J243" s="217"/>
      <c r="K243" s="217"/>
      <c r="L243" s="217"/>
      <c r="M243" s="217"/>
      <c r="N243" s="217"/>
      <c r="O243" s="217"/>
      <c r="P243" s="217"/>
      <c r="Q243" s="218"/>
    </row>
    <row r="244" spans="1:17" s="219" customFormat="1" hidden="1" x14ac:dyDescent="0.25">
      <c r="A244" s="214"/>
      <c r="B244" s="215" t="s">
        <v>1822</v>
      </c>
      <c r="C244" s="215" t="s">
        <v>1823</v>
      </c>
      <c r="D244" s="215" t="s">
        <v>1836</v>
      </c>
      <c r="E244" s="215" t="s">
        <v>2022</v>
      </c>
      <c r="F244" s="215" t="s">
        <v>1847</v>
      </c>
      <c r="G244" s="215" t="s">
        <v>156</v>
      </c>
      <c r="H244" s="216" t="s">
        <v>2061</v>
      </c>
      <c r="I244" s="217"/>
      <c r="J244" s="217"/>
      <c r="K244" s="217"/>
      <c r="L244" s="217"/>
      <c r="M244" s="217"/>
      <c r="N244" s="217"/>
      <c r="O244" s="217"/>
      <c r="P244" s="217"/>
      <c r="Q244" s="218"/>
    </row>
    <row r="245" spans="1:17" s="219" customFormat="1" x14ac:dyDescent="0.25">
      <c r="A245" s="214"/>
      <c r="B245" s="215" t="s">
        <v>1822</v>
      </c>
      <c r="C245" s="215" t="s">
        <v>1823</v>
      </c>
      <c r="D245" s="215" t="s">
        <v>1836</v>
      </c>
      <c r="E245" s="215" t="s">
        <v>2022</v>
      </c>
      <c r="F245" s="215" t="s">
        <v>1847</v>
      </c>
      <c r="G245" s="215" t="s">
        <v>159</v>
      </c>
      <c r="H245" s="216" t="s">
        <v>2062</v>
      </c>
      <c r="I245" s="217"/>
      <c r="J245" s="217"/>
      <c r="K245" s="217"/>
      <c r="L245" s="217"/>
      <c r="M245" s="217"/>
      <c r="N245" s="217"/>
      <c r="O245" s="217"/>
      <c r="P245" s="217"/>
      <c r="Q245" s="218"/>
    </row>
    <row r="246" spans="1:17" s="219" customFormat="1" x14ac:dyDescent="0.25">
      <c r="A246" s="214"/>
      <c r="B246" s="215" t="s">
        <v>1822</v>
      </c>
      <c r="C246" s="215" t="s">
        <v>1823</v>
      </c>
      <c r="D246" s="215" t="s">
        <v>1836</v>
      </c>
      <c r="E246" s="215" t="s">
        <v>2022</v>
      </c>
      <c r="F246" s="215" t="s">
        <v>1847</v>
      </c>
      <c r="G246" s="215" t="s">
        <v>162</v>
      </c>
      <c r="H246" s="216" t="s">
        <v>2063</v>
      </c>
      <c r="I246" s="217">
        <v>66600000</v>
      </c>
      <c r="J246" s="217"/>
      <c r="K246" s="217"/>
      <c r="L246" s="217"/>
      <c r="M246" s="217"/>
      <c r="N246" s="217">
        <v>66600000</v>
      </c>
      <c r="O246" s="217"/>
      <c r="P246" s="217"/>
      <c r="Q246" s="218"/>
    </row>
    <row r="247" spans="1:17" s="219" customFormat="1" hidden="1" x14ac:dyDescent="0.25">
      <c r="A247" s="214"/>
      <c r="B247" s="215" t="s">
        <v>1822</v>
      </c>
      <c r="C247" s="215" t="s">
        <v>1823</v>
      </c>
      <c r="D247" s="215" t="s">
        <v>1836</v>
      </c>
      <c r="E247" s="215" t="s">
        <v>2022</v>
      </c>
      <c r="F247" s="215" t="s">
        <v>1847</v>
      </c>
      <c r="G247" s="215" t="s">
        <v>312</v>
      </c>
      <c r="H247" s="216" t="s">
        <v>1891</v>
      </c>
      <c r="I247" s="217"/>
      <c r="J247" s="217"/>
      <c r="K247" s="217"/>
      <c r="L247" s="217"/>
      <c r="M247" s="217"/>
      <c r="N247" s="217"/>
      <c r="O247" s="217"/>
      <c r="P247" s="217"/>
      <c r="Q247" s="218"/>
    </row>
    <row r="248" spans="1:17" s="219" customFormat="1" hidden="1" x14ac:dyDescent="0.25">
      <c r="A248" s="214"/>
      <c r="B248" s="215" t="s">
        <v>1822</v>
      </c>
      <c r="C248" s="215" t="s">
        <v>1823</v>
      </c>
      <c r="D248" s="215" t="s">
        <v>1836</v>
      </c>
      <c r="E248" s="215" t="s">
        <v>2022</v>
      </c>
      <c r="F248" s="215" t="s">
        <v>1847</v>
      </c>
      <c r="G248" s="215" t="s">
        <v>313</v>
      </c>
      <c r="H248" s="216" t="s">
        <v>2064</v>
      </c>
      <c r="I248" s="217"/>
      <c r="J248" s="217"/>
      <c r="K248" s="217"/>
      <c r="L248" s="217"/>
      <c r="M248" s="217"/>
      <c r="N248" s="217"/>
      <c r="O248" s="217"/>
      <c r="P248" s="217"/>
      <c r="Q248" s="218"/>
    </row>
    <row r="249" spans="1:17" s="219" customFormat="1" hidden="1" x14ac:dyDescent="0.25">
      <c r="A249" s="214"/>
      <c r="B249" s="215" t="s">
        <v>1822</v>
      </c>
      <c r="C249" s="215" t="s">
        <v>1823</v>
      </c>
      <c r="D249" s="215" t="s">
        <v>1836</v>
      </c>
      <c r="E249" s="215" t="s">
        <v>2022</v>
      </c>
      <c r="F249" s="215" t="s">
        <v>1847</v>
      </c>
      <c r="G249" s="215" t="s">
        <v>559</v>
      </c>
      <c r="H249" s="216" t="s">
        <v>2065</v>
      </c>
      <c r="I249" s="217"/>
      <c r="J249" s="217"/>
      <c r="K249" s="217"/>
      <c r="L249" s="217"/>
      <c r="M249" s="217"/>
      <c r="N249" s="217"/>
      <c r="O249" s="217"/>
      <c r="P249" s="217"/>
      <c r="Q249" s="218"/>
    </row>
    <row r="250" spans="1:17" s="219" customFormat="1" hidden="1" x14ac:dyDescent="0.25">
      <c r="A250" s="214"/>
      <c r="B250" s="215" t="s">
        <v>1822</v>
      </c>
      <c r="C250" s="215" t="s">
        <v>1823</v>
      </c>
      <c r="D250" s="215" t="s">
        <v>1836</v>
      </c>
      <c r="E250" s="215" t="s">
        <v>2022</v>
      </c>
      <c r="F250" s="215" t="s">
        <v>1847</v>
      </c>
      <c r="G250" s="215" t="s">
        <v>561</v>
      </c>
      <c r="H250" s="216" t="s">
        <v>2066</v>
      </c>
      <c r="I250" s="217"/>
      <c r="J250" s="217"/>
      <c r="K250" s="217"/>
      <c r="L250" s="217"/>
      <c r="M250" s="217"/>
      <c r="N250" s="217"/>
      <c r="O250" s="217"/>
      <c r="P250" s="217"/>
      <c r="Q250" s="218"/>
    </row>
    <row r="251" spans="1:17" s="219" customFormat="1" hidden="1" x14ac:dyDescent="0.25">
      <c r="A251" s="214"/>
      <c r="B251" s="215" t="s">
        <v>1822</v>
      </c>
      <c r="C251" s="215" t="s">
        <v>1823</v>
      </c>
      <c r="D251" s="215" t="s">
        <v>1836</v>
      </c>
      <c r="E251" s="215" t="s">
        <v>2022</v>
      </c>
      <c r="F251" s="215" t="s">
        <v>1847</v>
      </c>
      <c r="G251" s="215" t="s">
        <v>563</v>
      </c>
      <c r="H251" s="216" t="s">
        <v>2067</v>
      </c>
      <c r="I251" s="217"/>
      <c r="J251" s="217"/>
      <c r="K251" s="217"/>
      <c r="L251" s="217"/>
      <c r="M251" s="217"/>
      <c r="N251" s="217"/>
      <c r="O251" s="217"/>
      <c r="P251" s="217"/>
      <c r="Q251" s="218"/>
    </row>
    <row r="252" spans="1:17" s="219" customFormat="1" hidden="1" x14ac:dyDescent="0.25">
      <c r="A252" s="214"/>
      <c r="B252" s="215" t="s">
        <v>1822</v>
      </c>
      <c r="C252" s="215" t="s">
        <v>1823</v>
      </c>
      <c r="D252" s="215" t="s">
        <v>1836</v>
      </c>
      <c r="E252" s="215" t="s">
        <v>2022</v>
      </c>
      <c r="F252" s="215" t="s">
        <v>1847</v>
      </c>
      <c r="G252" s="215" t="s">
        <v>227</v>
      </c>
      <c r="H252" s="216" t="s">
        <v>2068</v>
      </c>
      <c r="I252" s="217"/>
      <c r="J252" s="217"/>
      <c r="K252" s="217"/>
      <c r="L252" s="217"/>
      <c r="M252" s="217"/>
      <c r="N252" s="217"/>
      <c r="O252" s="217"/>
      <c r="P252" s="217"/>
      <c r="Q252" s="218"/>
    </row>
    <row r="253" spans="1:17" s="219" customFormat="1" hidden="1" x14ac:dyDescent="0.25">
      <c r="A253" s="214"/>
      <c r="B253" s="215" t="s">
        <v>1822</v>
      </c>
      <c r="C253" s="215" t="s">
        <v>1823</v>
      </c>
      <c r="D253" s="215" t="s">
        <v>1836</v>
      </c>
      <c r="E253" s="215" t="s">
        <v>2022</v>
      </c>
      <c r="F253" s="215" t="s">
        <v>1847</v>
      </c>
      <c r="G253" s="215" t="s">
        <v>230</v>
      </c>
      <c r="H253" s="216" t="s">
        <v>2069</v>
      </c>
      <c r="I253" s="217"/>
      <c r="J253" s="217"/>
      <c r="K253" s="217"/>
      <c r="L253" s="217"/>
      <c r="M253" s="217"/>
      <c r="N253" s="217"/>
      <c r="O253" s="217"/>
      <c r="P253" s="217"/>
      <c r="Q253" s="218"/>
    </row>
    <row r="254" spans="1:17" s="219" customFormat="1" hidden="1" x14ac:dyDescent="0.25">
      <c r="A254" s="214"/>
      <c r="B254" s="215" t="s">
        <v>1822</v>
      </c>
      <c r="C254" s="215" t="s">
        <v>1823</v>
      </c>
      <c r="D254" s="215" t="s">
        <v>1836</v>
      </c>
      <c r="E254" s="215" t="s">
        <v>2022</v>
      </c>
      <c r="F254" s="215" t="s">
        <v>1847</v>
      </c>
      <c r="G254" s="215" t="s">
        <v>232</v>
      </c>
      <c r="H254" s="216" t="s">
        <v>2070</v>
      </c>
      <c r="I254" s="217"/>
      <c r="J254" s="217"/>
      <c r="K254" s="217"/>
      <c r="L254" s="217"/>
      <c r="M254" s="217"/>
      <c r="N254" s="217"/>
      <c r="O254" s="217"/>
      <c r="P254" s="217"/>
      <c r="Q254" s="218"/>
    </row>
    <row r="255" spans="1:17" s="219" customFormat="1" hidden="1" x14ac:dyDescent="0.25">
      <c r="A255" s="214"/>
      <c r="B255" s="215" t="s">
        <v>1822</v>
      </c>
      <c r="C255" s="215" t="s">
        <v>1823</v>
      </c>
      <c r="D255" s="215" t="s">
        <v>1836</v>
      </c>
      <c r="E255" s="215" t="s">
        <v>2022</v>
      </c>
      <c r="F255" s="215" t="s">
        <v>1847</v>
      </c>
      <c r="G255" s="215" t="s">
        <v>234</v>
      </c>
      <c r="H255" s="216" t="s">
        <v>2071</v>
      </c>
      <c r="I255" s="217"/>
      <c r="J255" s="217"/>
      <c r="K255" s="217"/>
      <c r="L255" s="217"/>
      <c r="M255" s="217"/>
      <c r="N255" s="217"/>
      <c r="O255" s="217"/>
      <c r="P255" s="217"/>
      <c r="Q255" s="218"/>
    </row>
    <row r="256" spans="1:17" s="219" customFormat="1" ht="30" hidden="1" x14ac:dyDescent="0.25">
      <c r="A256" s="214"/>
      <c r="B256" s="215" t="s">
        <v>1822</v>
      </c>
      <c r="C256" s="215" t="s">
        <v>1823</v>
      </c>
      <c r="D256" s="215" t="s">
        <v>1836</v>
      </c>
      <c r="E256" s="215" t="s">
        <v>2022</v>
      </c>
      <c r="F256" s="215" t="s">
        <v>1847</v>
      </c>
      <c r="G256" s="215" t="s">
        <v>236</v>
      </c>
      <c r="H256" s="216" t="s">
        <v>2072</v>
      </c>
      <c r="I256" s="217"/>
      <c r="J256" s="217"/>
      <c r="K256" s="217"/>
      <c r="L256" s="217"/>
      <c r="M256" s="217"/>
      <c r="N256" s="217"/>
      <c r="O256" s="217"/>
      <c r="P256" s="217"/>
      <c r="Q256" s="218"/>
    </row>
    <row r="257" spans="1:17" s="219" customFormat="1" ht="30" hidden="1" x14ac:dyDescent="0.25">
      <c r="A257" s="214"/>
      <c r="B257" s="215" t="s">
        <v>1822</v>
      </c>
      <c r="C257" s="215" t="s">
        <v>1823</v>
      </c>
      <c r="D257" s="215" t="s">
        <v>1836</v>
      </c>
      <c r="E257" s="215" t="s">
        <v>2022</v>
      </c>
      <c r="F257" s="215" t="s">
        <v>1847</v>
      </c>
      <c r="G257" s="215" t="s">
        <v>238</v>
      </c>
      <c r="H257" s="216" t="s">
        <v>2073</v>
      </c>
      <c r="I257" s="217"/>
      <c r="J257" s="217"/>
      <c r="K257" s="217"/>
      <c r="L257" s="217"/>
      <c r="M257" s="217"/>
      <c r="N257" s="217"/>
      <c r="O257" s="217"/>
      <c r="P257" s="217"/>
      <c r="Q257" s="218"/>
    </row>
    <row r="258" spans="1:17" s="219" customFormat="1" ht="30" hidden="1" x14ac:dyDescent="0.25">
      <c r="A258" s="214"/>
      <c r="B258" s="215" t="s">
        <v>1822</v>
      </c>
      <c r="C258" s="215" t="s">
        <v>1823</v>
      </c>
      <c r="D258" s="215" t="s">
        <v>1836</v>
      </c>
      <c r="E258" s="215" t="s">
        <v>2022</v>
      </c>
      <c r="F258" s="215" t="s">
        <v>1847</v>
      </c>
      <c r="G258" s="215" t="s">
        <v>240</v>
      </c>
      <c r="H258" s="216" t="s">
        <v>2074</v>
      </c>
      <c r="I258" s="217"/>
      <c r="J258" s="217"/>
      <c r="K258" s="217"/>
      <c r="L258" s="217"/>
      <c r="M258" s="217"/>
      <c r="N258" s="217"/>
      <c r="O258" s="217"/>
      <c r="P258" s="217"/>
      <c r="Q258" s="218"/>
    </row>
    <row r="259" spans="1:17" s="219" customFormat="1" ht="30" hidden="1" x14ac:dyDescent="0.25">
      <c r="A259" s="214"/>
      <c r="B259" s="215" t="s">
        <v>1822</v>
      </c>
      <c r="C259" s="215" t="s">
        <v>1823</v>
      </c>
      <c r="D259" s="215" t="s">
        <v>1836</v>
      </c>
      <c r="E259" s="215" t="s">
        <v>2022</v>
      </c>
      <c r="F259" s="215" t="s">
        <v>1847</v>
      </c>
      <c r="G259" s="215" t="s">
        <v>242</v>
      </c>
      <c r="H259" s="216" t="s">
        <v>2075</v>
      </c>
      <c r="I259" s="217"/>
      <c r="J259" s="217"/>
      <c r="K259" s="217"/>
      <c r="L259" s="217"/>
      <c r="M259" s="217"/>
      <c r="N259" s="217"/>
      <c r="O259" s="217"/>
      <c r="P259" s="217"/>
      <c r="Q259" s="218"/>
    </row>
    <row r="260" spans="1:17" s="219" customFormat="1" ht="30" hidden="1" x14ac:dyDescent="0.25">
      <c r="A260" s="214"/>
      <c r="B260" s="215" t="s">
        <v>1822</v>
      </c>
      <c r="C260" s="215" t="s">
        <v>1823</v>
      </c>
      <c r="D260" s="215" t="s">
        <v>1836</v>
      </c>
      <c r="E260" s="215" t="s">
        <v>2022</v>
      </c>
      <c r="F260" s="215" t="s">
        <v>1847</v>
      </c>
      <c r="G260" s="215" t="s">
        <v>244</v>
      </c>
      <c r="H260" s="216" t="s">
        <v>2076</v>
      </c>
      <c r="I260" s="217"/>
      <c r="J260" s="217"/>
      <c r="K260" s="217"/>
      <c r="L260" s="217"/>
      <c r="M260" s="217"/>
      <c r="N260" s="217"/>
      <c r="O260" s="217"/>
      <c r="P260" s="217"/>
      <c r="Q260" s="218"/>
    </row>
    <row r="261" spans="1:17" s="219" customFormat="1" ht="30" hidden="1" x14ac:dyDescent="0.25">
      <c r="A261" s="214"/>
      <c r="B261" s="215" t="s">
        <v>1822</v>
      </c>
      <c r="C261" s="215" t="s">
        <v>1823</v>
      </c>
      <c r="D261" s="215" t="s">
        <v>1836</v>
      </c>
      <c r="E261" s="215" t="s">
        <v>2022</v>
      </c>
      <c r="F261" s="215" t="s">
        <v>1847</v>
      </c>
      <c r="G261" s="215" t="s">
        <v>246</v>
      </c>
      <c r="H261" s="216" t="s">
        <v>2077</v>
      </c>
      <c r="I261" s="217"/>
      <c r="J261" s="217"/>
      <c r="K261" s="217"/>
      <c r="L261" s="217"/>
      <c r="M261" s="217"/>
      <c r="N261" s="217"/>
      <c r="O261" s="217"/>
      <c r="P261" s="217"/>
      <c r="Q261" s="218"/>
    </row>
    <row r="262" spans="1:17" s="219" customFormat="1" ht="30" hidden="1" x14ac:dyDescent="0.25">
      <c r="A262" s="214"/>
      <c r="B262" s="215" t="s">
        <v>1822</v>
      </c>
      <c r="C262" s="215" t="s">
        <v>1823</v>
      </c>
      <c r="D262" s="215" t="s">
        <v>1836</v>
      </c>
      <c r="E262" s="215" t="s">
        <v>2022</v>
      </c>
      <c r="F262" s="215" t="s">
        <v>1847</v>
      </c>
      <c r="G262" s="215" t="s">
        <v>407</v>
      </c>
      <c r="H262" s="216" t="s">
        <v>2078</v>
      </c>
      <c r="I262" s="217"/>
      <c r="J262" s="217"/>
      <c r="K262" s="217"/>
      <c r="L262" s="217"/>
      <c r="M262" s="217"/>
      <c r="N262" s="217"/>
      <c r="O262" s="217"/>
      <c r="P262" s="217"/>
      <c r="Q262" s="218"/>
    </row>
    <row r="263" spans="1:17" s="219" customFormat="1" ht="30" hidden="1" x14ac:dyDescent="0.25">
      <c r="A263" s="214"/>
      <c r="B263" s="215" t="s">
        <v>1822</v>
      </c>
      <c r="C263" s="215" t="s">
        <v>1823</v>
      </c>
      <c r="D263" s="215" t="s">
        <v>1836</v>
      </c>
      <c r="E263" s="215" t="s">
        <v>2022</v>
      </c>
      <c r="F263" s="215" t="s">
        <v>1847</v>
      </c>
      <c r="G263" s="215" t="s">
        <v>408</v>
      </c>
      <c r="H263" s="216" t="s">
        <v>2079</v>
      </c>
      <c r="I263" s="217"/>
      <c r="J263" s="217"/>
      <c r="K263" s="217"/>
      <c r="L263" s="217"/>
      <c r="M263" s="217"/>
      <c r="N263" s="217"/>
      <c r="O263" s="217"/>
      <c r="P263" s="217"/>
      <c r="Q263" s="218"/>
    </row>
    <row r="264" spans="1:17" s="219" customFormat="1" ht="30" hidden="1" x14ac:dyDescent="0.25">
      <c r="A264" s="214"/>
      <c r="B264" s="215" t="s">
        <v>1822</v>
      </c>
      <c r="C264" s="215" t="s">
        <v>1823</v>
      </c>
      <c r="D264" s="215" t="s">
        <v>1836</v>
      </c>
      <c r="E264" s="215" t="s">
        <v>2022</v>
      </c>
      <c r="F264" s="215" t="s">
        <v>1847</v>
      </c>
      <c r="G264" s="215" t="s">
        <v>409</v>
      </c>
      <c r="H264" s="216" t="s">
        <v>2080</v>
      </c>
      <c r="I264" s="217"/>
      <c r="J264" s="217"/>
      <c r="K264" s="217"/>
      <c r="L264" s="217"/>
      <c r="M264" s="217"/>
      <c r="N264" s="217"/>
      <c r="O264" s="217"/>
      <c r="P264" s="217"/>
      <c r="Q264" s="218"/>
    </row>
    <row r="265" spans="1:17" s="219" customFormat="1" ht="30" hidden="1" x14ac:dyDescent="0.25">
      <c r="A265" s="214"/>
      <c r="B265" s="215" t="s">
        <v>1822</v>
      </c>
      <c r="C265" s="215" t="s">
        <v>1823</v>
      </c>
      <c r="D265" s="215" t="s">
        <v>1836</v>
      </c>
      <c r="E265" s="215" t="s">
        <v>2022</v>
      </c>
      <c r="F265" s="215" t="s">
        <v>1847</v>
      </c>
      <c r="G265" s="215" t="s">
        <v>788</v>
      </c>
      <c r="H265" s="216" t="s">
        <v>2081</v>
      </c>
      <c r="I265" s="217"/>
      <c r="J265" s="217"/>
      <c r="K265" s="217"/>
      <c r="L265" s="217"/>
      <c r="M265" s="217"/>
      <c r="N265" s="217"/>
      <c r="O265" s="217"/>
      <c r="P265" s="217"/>
      <c r="Q265" s="218"/>
    </row>
    <row r="266" spans="1:17" s="219" customFormat="1" ht="30" hidden="1" x14ac:dyDescent="0.25">
      <c r="A266" s="214"/>
      <c r="B266" s="215" t="s">
        <v>1822</v>
      </c>
      <c r="C266" s="215" t="s">
        <v>1823</v>
      </c>
      <c r="D266" s="215" t="s">
        <v>1836</v>
      </c>
      <c r="E266" s="215" t="s">
        <v>2022</v>
      </c>
      <c r="F266" s="215" t="s">
        <v>1847</v>
      </c>
      <c r="G266" s="215" t="s">
        <v>1017</v>
      </c>
      <c r="H266" s="216" t="s">
        <v>2082</v>
      </c>
      <c r="I266" s="217"/>
      <c r="J266" s="217"/>
      <c r="K266" s="217"/>
      <c r="L266" s="217"/>
      <c r="M266" s="217"/>
      <c r="N266" s="217"/>
      <c r="O266" s="217"/>
      <c r="P266" s="217"/>
      <c r="Q266" s="218"/>
    </row>
    <row r="267" spans="1:17" s="219" customFormat="1" ht="30" hidden="1" x14ac:dyDescent="0.25">
      <c r="A267" s="214"/>
      <c r="B267" s="215" t="s">
        <v>1822</v>
      </c>
      <c r="C267" s="215" t="s">
        <v>1823</v>
      </c>
      <c r="D267" s="215" t="s">
        <v>1836</v>
      </c>
      <c r="E267" s="215" t="s">
        <v>2022</v>
      </c>
      <c r="F267" s="215" t="s">
        <v>1847</v>
      </c>
      <c r="G267" s="215" t="s">
        <v>411</v>
      </c>
      <c r="H267" s="216" t="s">
        <v>2083</v>
      </c>
      <c r="I267" s="217"/>
      <c r="J267" s="217"/>
      <c r="K267" s="217"/>
      <c r="L267" s="217"/>
      <c r="M267" s="217"/>
      <c r="N267" s="217"/>
      <c r="O267" s="217"/>
      <c r="P267" s="217"/>
      <c r="Q267" s="218"/>
    </row>
    <row r="268" spans="1:17" s="219" customFormat="1" ht="30" hidden="1" x14ac:dyDescent="0.25">
      <c r="A268" s="214"/>
      <c r="B268" s="215" t="s">
        <v>1822</v>
      </c>
      <c r="C268" s="215" t="s">
        <v>1823</v>
      </c>
      <c r="D268" s="215" t="s">
        <v>1836</v>
      </c>
      <c r="E268" s="215" t="s">
        <v>2022</v>
      </c>
      <c r="F268" s="215" t="s">
        <v>1847</v>
      </c>
      <c r="G268" s="215" t="s">
        <v>247</v>
      </c>
      <c r="H268" s="216" t="s">
        <v>2084</v>
      </c>
      <c r="I268" s="217"/>
      <c r="J268" s="217"/>
      <c r="K268" s="217"/>
      <c r="L268" s="217"/>
      <c r="M268" s="217"/>
      <c r="N268" s="217"/>
      <c r="O268" s="217"/>
      <c r="P268" s="217"/>
      <c r="Q268" s="218"/>
    </row>
    <row r="269" spans="1:17" s="219" customFormat="1" ht="30" hidden="1" x14ac:dyDescent="0.25">
      <c r="A269" s="214"/>
      <c r="B269" s="215" t="s">
        <v>1822</v>
      </c>
      <c r="C269" s="215" t="s">
        <v>1823</v>
      </c>
      <c r="D269" s="215" t="s">
        <v>1836</v>
      </c>
      <c r="E269" s="215" t="s">
        <v>2022</v>
      </c>
      <c r="F269" s="215" t="s">
        <v>1847</v>
      </c>
      <c r="G269" s="215" t="s">
        <v>1019</v>
      </c>
      <c r="H269" s="216" t="s">
        <v>2085</v>
      </c>
      <c r="I269" s="217"/>
      <c r="J269" s="217"/>
      <c r="K269" s="217"/>
      <c r="L269" s="217"/>
      <c r="M269" s="217"/>
      <c r="N269" s="217"/>
      <c r="O269" s="217"/>
      <c r="P269" s="217"/>
      <c r="Q269" s="218"/>
    </row>
    <row r="270" spans="1:17" s="219" customFormat="1" ht="30" hidden="1" x14ac:dyDescent="0.25">
      <c r="A270" s="214"/>
      <c r="B270" s="215" t="s">
        <v>1822</v>
      </c>
      <c r="C270" s="215" t="s">
        <v>1823</v>
      </c>
      <c r="D270" s="215" t="s">
        <v>1836</v>
      </c>
      <c r="E270" s="215" t="s">
        <v>2022</v>
      </c>
      <c r="F270" s="215" t="s">
        <v>1847</v>
      </c>
      <c r="G270" s="215" t="s">
        <v>1022</v>
      </c>
      <c r="H270" s="216" t="s">
        <v>2086</v>
      </c>
      <c r="I270" s="217"/>
      <c r="J270" s="217"/>
      <c r="K270" s="217"/>
      <c r="L270" s="217"/>
      <c r="M270" s="217"/>
      <c r="N270" s="217"/>
      <c r="O270" s="217"/>
      <c r="P270" s="217"/>
      <c r="Q270" s="218"/>
    </row>
    <row r="271" spans="1:17" s="219" customFormat="1" ht="30" hidden="1" x14ac:dyDescent="0.25">
      <c r="A271" s="214"/>
      <c r="B271" s="215" t="s">
        <v>1822</v>
      </c>
      <c r="C271" s="215" t="s">
        <v>1823</v>
      </c>
      <c r="D271" s="215" t="s">
        <v>1836</v>
      </c>
      <c r="E271" s="215" t="s">
        <v>2022</v>
      </c>
      <c r="F271" s="215" t="s">
        <v>1847</v>
      </c>
      <c r="G271" s="215" t="s">
        <v>1024</v>
      </c>
      <c r="H271" s="216" t="s">
        <v>2087</v>
      </c>
      <c r="I271" s="217"/>
      <c r="J271" s="217"/>
      <c r="K271" s="217"/>
      <c r="L271" s="217"/>
      <c r="M271" s="217"/>
      <c r="N271" s="217"/>
      <c r="O271" s="217"/>
      <c r="P271" s="217"/>
      <c r="Q271" s="218"/>
    </row>
    <row r="272" spans="1:17" s="219" customFormat="1" hidden="1" x14ac:dyDescent="0.25">
      <c r="A272" s="214"/>
      <c r="B272" s="215" t="s">
        <v>1822</v>
      </c>
      <c r="C272" s="215" t="s">
        <v>1823</v>
      </c>
      <c r="D272" s="215" t="s">
        <v>1836</v>
      </c>
      <c r="E272" s="215" t="s">
        <v>2022</v>
      </c>
      <c r="F272" s="215" t="s">
        <v>1847</v>
      </c>
      <c r="G272" s="215" t="s">
        <v>1026</v>
      </c>
      <c r="H272" s="216" t="s">
        <v>2088</v>
      </c>
      <c r="I272" s="217"/>
      <c r="J272" s="217"/>
      <c r="K272" s="217"/>
      <c r="L272" s="217"/>
      <c r="M272" s="217"/>
      <c r="N272" s="217"/>
      <c r="O272" s="217"/>
      <c r="P272" s="217"/>
      <c r="Q272" s="218"/>
    </row>
    <row r="273" spans="1:17" s="219" customFormat="1" hidden="1" x14ac:dyDescent="0.25">
      <c r="A273" s="214"/>
      <c r="B273" s="215" t="s">
        <v>1822</v>
      </c>
      <c r="C273" s="215" t="s">
        <v>1823</v>
      </c>
      <c r="D273" s="215" t="s">
        <v>1836</v>
      </c>
      <c r="E273" s="215" t="s">
        <v>2022</v>
      </c>
      <c r="F273" s="215" t="s">
        <v>1847</v>
      </c>
      <c r="G273" s="215" t="s">
        <v>416</v>
      </c>
      <c r="H273" s="216" t="s">
        <v>2089</v>
      </c>
      <c r="I273" s="217"/>
      <c r="J273" s="217"/>
      <c r="K273" s="217"/>
      <c r="L273" s="217"/>
      <c r="M273" s="217"/>
      <c r="N273" s="217"/>
      <c r="O273" s="217"/>
      <c r="P273" s="217"/>
      <c r="Q273" s="218"/>
    </row>
    <row r="274" spans="1:17" s="219" customFormat="1" hidden="1" x14ac:dyDescent="0.25">
      <c r="A274" s="214"/>
      <c r="B274" s="215" t="s">
        <v>1822</v>
      </c>
      <c r="C274" s="215" t="s">
        <v>1823</v>
      </c>
      <c r="D274" s="215" t="s">
        <v>1836</v>
      </c>
      <c r="E274" s="215" t="s">
        <v>2022</v>
      </c>
      <c r="F274" s="215" t="s">
        <v>1847</v>
      </c>
      <c r="G274" s="215" t="s">
        <v>417</v>
      </c>
      <c r="H274" s="216" t="s">
        <v>2090</v>
      </c>
      <c r="I274" s="217"/>
      <c r="J274" s="217"/>
      <c r="K274" s="217"/>
      <c r="L274" s="217"/>
      <c r="M274" s="217"/>
      <c r="N274" s="217"/>
      <c r="O274" s="217"/>
      <c r="P274" s="217"/>
      <c r="Q274" s="218"/>
    </row>
    <row r="275" spans="1:17" s="213" customFormat="1" hidden="1" x14ac:dyDescent="0.25">
      <c r="A275" s="208" t="s">
        <v>263</v>
      </c>
      <c r="B275" s="209" t="s">
        <v>1822</v>
      </c>
      <c r="C275" s="209" t="s">
        <v>1823</v>
      </c>
      <c r="D275" s="209" t="s">
        <v>1836</v>
      </c>
      <c r="E275" s="209" t="s">
        <v>2022</v>
      </c>
      <c r="F275" s="209" t="s">
        <v>1928</v>
      </c>
      <c r="G275" s="209"/>
      <c r="H275" s="210" t="s">
        <v>2091</v>
      </c>
      <c r="I275" s="211">
        <f>SUM(I276:I282)</f>
        <v>0</v>
      </c>
      <c r="J275" s="211">
        <f t="shared" ref="J275:O275" si="31">SUM(J276:J282)</f>
        <v>0</v>
      </c>
      <c r="K275" s="211">
        <f t="shared" si="31"/>
        <v>0</v>
      </c>
      <c r="L275" s="211">
        <f t="shared" si="31"/>
        <v>0</v>
      </c>
      <c r="M275" s="211">
        <f t="shared" si="31"/>
        <v>0</v>
      </c>
      <c r="N275" s="211">
        <f t="shared" si="31"/>
        <v>0</v>
      </c>
      <c r="O275" s="211">
        <f t="shared" si="31"/>
        <v>0</v>
      </c>
      <c r="P275" s="211"/>
      <c r="Q275" s="212"/>
    </row>
    <row r="276" spans="1:17" s="219" customFormat="1" ht="30" hidden="1" x14ac:dyDescent="0.25">
      <c r="A276" s="214"/>
      <c r="B276" s="215" t="s">
        <v>1822</v>
      </c>
      <c r="C276" s="215" t="s">
        <v>1823</v>
      </c>
      <c r="D276" s="215" t="s">
        <v>1836</v>
      </c>
      <c r="E276" s="215" t="s">
        <v>2022</v>
      </c>
      <c r="F276" s="215" t="s">
        <v>1928</v>
      </c>
      <c r="G276" s="215" t="s">
        <v>58</v>
      </c>
      <c r="H276" s="216" t="s">
        <v>2092</v>
      </c>
      <c r="I276" s="217"/>
      <c r="J276" s="217"/>
      <c r="K276" s="217"/>
      <c r="L276" s="217"/>
      <c r="M276" s="217"/>
      <c r="N276" s="217"/>
      <c r="O276" s="217"/>
      <c r="P276" s="217"/>
      <c r="Q276" s="218"/>
    </row>
    <row r="277" spans="1:17" s="219" customFormat="1" ht="30" hidden="1" x14ac:dyDescent="0.25">
      <c r="A277" s="214"/>
      <c r="B277" s="215" t="s">
        <v>1822</v>
      </c>
      <c r="C277" s="215" t="s">
        <v>1823</v>
      </c>
      <c r="D277" s="215" t="s">
        <v>1836</v>
      </c>
      <c r="E277" s="215" t="s">
        <v>2022</v>
      </c>
      <c r="F277" s="215" t="s">
        <v>1928</v>
      </c>
      <c r="G277" s="215" t="s">
        <v>75</v>
      </c>
      <c r="H277" s="216" t="s">
        <v>2093</v>
      </c>
      <c r="I277" s="217"/>
      <c r="J277" s="217"/>
      <c r="K277" s="217"/>
      <c r="L277" s="217"/>
      <c r="M277" s="217"/>
      <c r="N277" s="217"/>
      <c r="O277" s="217"/>
      <c r="P277" s="217"/>
      <c r="Q277" s="218"/>
    </row>
    <row r="278" spans="1:17" s="219" customFormat="1" hidden="1" x14ac:dyDescent="0.25">
      <c r="A278" s="214"/>
      <c r="B278" s="215" t="s">
        <v>1822</v>
      </c>
      <c r="C278" s="215" t="s">
        <v>1823</v>
      </c>
      <c r="D278" s="215" t="s">
        <v>1836</v>
      </c>
      <c r="E278" s="215" t="s">
        <v>2022</v>
      </c>
      <c r="F278" s="215" t="s">
        <v>1928</v>
      </c>
      <c r="G278" s="215" t="s">
        <v>79</v>
      </c>
      <c r="H278" s="216" t="s">
        <v>2094</v>
      </c>
      <c r="I278" s="217"/>
      <c r="J278" s="217"/>
      <c r="K278" s="217"/>
      <c r="L278" s="217"/>
      <c r="M278" s="217"/>
      <c r="N278" s="217"/>
      <c r="O278" s="217"/>
      <c r="P278" s="217"/>
      <c r="Q278" s="218"/>
    </row>
    <row r="279" spans="1:17" s="219" customFormat="1" hidden="1" x14ac:dyDescent="0.25">
      <c r="A279" s="214"/>
      <c r="B279" s="215" t="s">
        <v>1822</v>
      </c>
      <c r="C279" s="215" t="s">
        <v>1823</v>
      </c>
      <c r="D279" s="215" t="s">
        <v>1836</v>
      </c>
      <c r="E279" s="215" t="s">
        <v>2022</v>
      </c>
      <c r="F279" s="215" t="s">
        <v>1928</v>
      </c>
      <c r="G279" s="215" t="s">
        <v>84</v>
      </c>
      <c r="H279" s="216" t="s">
        <v>2095</v>
      </c>
      <c r="I279" s="217"/>
      <c r="J279" s="217"/>
      <c r="K279" s="217"/>
      <c r="L279" s="217"/>
      <c r="M279" s="217"/>
      <c r="N279" s="217"/>
      <c r="O279" s="217"/>
      <c r="P279" s="217"/>
      <c r="Q279" s="218"/>
    </row>
    <row r="280" spans="1:17" s="219" customFormat="1" hidden="1" x14ac:dyDescent="0.25">
      <c r="A280" s="214"/>
      <c r="B280" s="215" t="s">
        <v>1822</v>
      </c>
      <c r="C280" s="215" t="s">
        <v>1823</v>
      </c>
      <c r="D280" s="215" t="s">
        <v>1836</v>
      </c>
      <c r="E280" s="215" t="s">
        <v>2022</v>
      </c>
      <c r="F280" s="215" t="s">
        <v>1928</v>
      </c>
      <c r="G280" s="215" t="s">
        <v>88</v>
      </c>
      <c r="H280" s="216" t="s">
        <v>2096</v>
      </c>
      <c r="I280" s="217"/>
      <c r="J280" s="217"/>
      <c r="K280" s="217"/>
      <c r="L280" s="217"/>
      <c r="M280" s="217"/>
      <c r="N280" s="217"/>
      <c r="O280" s="217"/>
      <c r="P280" s="217"/>
      <c r="Q280" s="218"/>
    </row>
    <row r="281" spans="1:17" s="219" customFormat="1" ht="30" hidden="1" x14ac:dyDescent="0.25">
      <c r="A281" s="214"/>
      <c r="B281" s="215" t="s">
        <v>1822</v>
      </c>
      <c r="C281" s="215" t="s">
        <v>1823</v>
      </c>
      <c r="D281" s="215" t="s">
        <v>1836</v>
      </c>
      <c r="E281" s="215" t="s">
        <v>2022</v>
      </c>
      <c r="F281" s="215" t="s">
        <v>1928</v>
      </c>
      <c r="G281" s="215" t="s">
        <v>92</v>
      </c>
      <c r="H281" s="216" t="s">
        <v>2097</v>
      </c>
      <c r="I281" s="217"/>
      <c r="J281" s="217"/>
      <c r="K281" s="217"/>
      <c r="L281" s="217"/>
      <c r="M281" s="217"/>
      <c r="N281" s="217"/>
      <c r="O281" s="217"/>
      <c r="P281" s="217"/>
      <c r="Q281" s="218"/>
    </row>
    <row r="282" spans="1:17" s="219" customFormat="1" ht="30" x14ac:dyDescent="0.25">
      <c r="A282" s="214"/>
      <c r="B282" s="215" t="s">
        <v>1822</v>
      </c>
      <c r="C282" s="215" t="s">
        <v>1823</v>
      </c>
      <c r="D282" s="215" t="s">
        <v>1836</v>
      </c>
      <c r="E282" s="215" t="s">
        <v>2022</v>
      </c>
      <c r="F282" s="215" t="s">
        <v>1928</v>
      </c>
      <c r="G282" s="215" t="s">
        <v>96</v>
      </c>
      <c r="H282" s="216" t="s">
        <v>2098</v>
      </c>
      <c r="I282" s="217"/>
      <c r="J282" s="217"/>
      <c r="K282" s="217"/>
      <c r="L282" s="217"/>
      <c r="M282" s="217"/>
      <c r="N282" s="217"/>
      <c r="O282" s="217"/>
      <c r="P282" s="217"/>
      <c r="Q282" s="218"/>
    </row>
    <row r="283" spans="1:17" s="213" customFormat="1" x14ac:dyDescent="0.25">
      <c r="A283" s="208" t="s">
        <v>2099</v>
      </c>
      <c r="B283" s="209" t="s">
        <v>1822</v>
      </c>
      <c r="C283" s="209" t="s">
        <v>1823</v>
      </c>
      <c r="D283" s="209" t="s">
        <v>1836</v>
      </c>
      <c r="E283" s="209" t="s">
        <v>2100</v>
      </c>
      <c r="F283" s="209"/>
      <c r="G283" s="209"/>
      <c r="H283" s="210" t="s">
        <v>2101</v>
      </c>
      <c r="I283" s="211">
        <f>SUM(I284+I314)</f>
        <v>2600000</v>
      </c>
      <c r="J283" s="211">
        <f t="shared" ref="J283:O283" si="32">SUM(J284+J314)</f>
        <v>520000</v>
      </c>
      <c r="K283" s="211">
        <f t="shared" si="32"/>
        <v>260000</v>
      </c>
      <c r="L283" s="381">
        <f t="shared" si="32"/>
        <v>260000</v>
      </c>
      <c r="M283" s="211">
        <f t="shared" si="32"/>
        <v>260000</v>
      </c>
      <c r="N283" s="211">
        <f t="shared" si="32"/>
        <v>1993333.3333333335</v>
      </c>
      <c r="O283" s="211">
        <f t="shared" si="32"/>
        <v>606666.66666666651</v>
      </c>
      <c r="P283" s="211"/>
      <c r="Q283" s="212"/>
    </row>
    <row r="284" spans="1:17" s="213" customFormat="1" x14ac:dyDescent="0.25">
      <c r="A284" s="208" t="s">
        <v>263</v>
      </c>
      <c r="B284" s="209" t="s">
        <v>1822</v>
      </c>
      <c r="C284" s="209" t="s">
        <v>1823</v>
      </c>
      <c r="D284" s="209" t="s">
        <v>1836</v>
      </c>
      <c r="E284" s="209" t="s">
        <v>2100</v>
      </c>
      <c r="F284" s="209" t="s">
        <v>1825</v>
      </c>
      <c r="G284" s="209"/>
      <c r="H284" s="210" t="s">
        <v>2102</v>
      </c>
      <c r="I284" s="211">
        <f>SUM(I285:I313)</f>
        <v>2600000</v>
      </c>
      <c r="J284" s="211">
        <f t="shared" ref="J284:O284" si="33">SUM(J285:J313)</f>
        <v>520000</v>
      </c>
      <c r="K284" s="211">
        <f t="shared" si="33"/>
        <v>260000</v>
      </c>
      <c r="L284" s="211">
        <f t="shared" si="33"/>
        <v>260000</v>
      </c>
      <c r="M284" s="211">
        <f t="shared" si="33"/>
        <v>260000</v>
      </c>
      <c r="N284" s="211">
        <f t="shared" si="33"/>
        <v>1993333.3333333335</v>
      </c>
      <c r="O284" s="211">
        <f t="shared" si="33"/>
        <v>606666.66666666651</v>
      </c>
      <c r="P284" s="211"/>
      <c r="Q284" s="212"/>
    </row>
    <row r="285" spans="1:17" s="219" customFormat="1" x14ac:dyDescent="0.25">
      <c r="A285" s="214"/>
      <c r="B285" s="215" t="s">
        <v>1822</v>
      </c>
      <c r="C285" s="215" t="s">
        <v>1823</v>
      </c>
      <c r="D285" s="215" t="s">
        <v>1836</v>
      </c>
      <c r="E285" s="215" t="s">
        <v>2100</v>
      </c>
      <c r="F285" s="215" t="s">
        <v>1825</v>
      </c>
      <c r="G285" s="215" t="s">
        <v>58</v>
      </c>
      <c r="H285" s="216" t="s">
        <v>2103</v>
      </c>
      <c r="I285" s="217">
        <v>2600000</v>
      </c>
      <c r="J285" s="217">
        <v>520000</v>
      </c>
      <c r="K285" s="217">
        <v>260000</v>
      </c>
      <c r="L285" s="217">
        <v>260000</v>
      </c>
      <c r="M285" s="217">
        <v>260000</v>
      </c>
      <c r="N285" s="217">
        <v>1993333.3333333335</v>
      </c>
      <c r="O285" s="217">
        <v>606666.66666666651</v>
      </c>
      <c r="P285" s="217"/>
      <c r="Q285" s="218"/>
    </row>
    <row r="286" spans="1:17" s="219" customFormat="1" x14ac:dyDescent="0.25">
      <c r="A286" s="214"/>
      <c r="B286" s="215" t="s">
        <v>1822</v>
      </c>
      <c r="C286" s="215" t="s">
        <v>1823</v>
      </c>
      <c r="D286" s="215" t="s">
        <v>1836</v>
      </c>
      <c r="E286" s="215" t="s">
        <v>2100</v>
      </c>
      <c r="F286" s="215" t="s">
        <v>1825</v>
      </c>
      <c r="G286" s="215" t="s">
        <v>75</v>
      </c>
      <c r="H286" s="216" t="s">
        <v>2104</v>
      </c>
      <c r="I286" s="217"/>
      <c r="J286" s="217"/>
      <c r="K286" s="217"/>
      <c r="L286" s="217"/>
      <c r="M286" s="217"/>
      <c r="N286" s="217"/>
      <c r="O286" s="217"/>
      <c r="P286" s="217"/>
      <c r="Q286" s="218"/>
    </row>
    <row r="287" spans="1:17" s="219" customFormat="1" hidden="1" x14ac:dyDescent="0.25">
      <c r="A287" s="214"/>
      <c r="B287" s="215" t="s">
        <v>1822</v>
      </c>
      <c r="C287" s="215" t="s">
        <v>1823</v>
      </c>
      <c r="D287" s="215" t="s">
        <v>1836</v>
      </c>
      <c r="E287" s="215" t="s">
        <v>2100</v>
      </c>
      <c r="F287" s="215" t="s">
        <v>1825</v>
      </c>
      <c r="G287" s="215" t="s">
        <v>79</v>
      </c>
      <c r="H287" s="216" t="s">
        <v>2105</v>
      </c>
      <c r="I287" s="217"/>
      <c r="J287" s="217"/>
      <c r="K287" s="217"/>
      <c r="L287" s="217"/>
      <c r="M287" s="217"/>
      <c r="N287" s="217"/>
      <c r="O287" s="217"/>
      <c r="P287" s="217"/>
      <c r="Q287" s="218"/>
    </row>
    <row r="288" spans="1:17" s="219" customFormat="1" hidden="1" x14ac:dyDescent="0.25">
      <c r="A288" s="214"/>
      <c r="B288" s="215" t="s">
        <v>1822</v>
      </c>
      <c r="C288" s="215" t="s">
        <v>1823</v>
      </c>
      <c r="D288" s="215" t="s">
        <v>1836</v>
      </c>
      <c r="E288" s="215" t="s">
        <v>2100</v>
      </c>
      <c r="F288" s="215" t="s">
        <v>1825</v>
      </c>
      <c r="G288" s="215" t="s">
        <v>84</v>
      </c>
      <c r="H288" s="216" t="s">
        <v>2106</v>
      </c>
      <c r="I288" s="217"/>
      <c r="J288" s="217"/>
      <c r="K288" s="217"/>
      <c r="L288" s="217"/>
      <c r="M288" s="217"/>
      <c r="N288" s="217"/>
      <c r="O288" s="217"/>
      <c r="P288" s="217"/>
      <c r="Q288" s="218"/>
    </row>
    <row r="289" spans="1:17" s="219" customFormat="1" ht="30" hidden="1" x14ac:dyDescent="0.25">
      <c r="A289" s="214"/>
      <c r="B289" s="215" t="s">
        <v>1822</v>
      </c>
      <c r="C289" s="215" t="s">
        <v>1823</v>
      </c>
      <c r="D289" s="215" t="s">
        <v>1836</v>
      </c>
      <c r="E289" s="215" t="s">
        <v>2100</v>
      </c>
      <c r="F289" s="215" t="s">
        <v>1825</v>
      </c>
      <c r="G289" s="215" t="s">
        <v>88</v>
      </c>
      <c r="H289" s="216" t="s">
        <v>2107</v>
      </c>
      <c r="I289" s="217"/>
      <c r="J289" s="217"/>
      <c r="K289" s="217"/>
      <c r="L289" s="217"/>
      <c r="M289" s="217"/>
      <c r="N289" s="217"/>
      <c r="O289" s="217"/>
      <c r="P289" s="217"/>
      <c r="Q289" s="218"/>
    </row>
    <row r="290" spans="1:17" s="219" customFormat="1" hidden="1" x14ac:dyDescent="0.25">
      <c r="A290" s="214"/>
      <c r="B290" s="215" t="s">
        <v>1822</v>
      </c>
      <c r="C290" s="215" t="s">
        <v>1823</v>
      </c>
      <c r="D290" s="215" t="s">
        <v>1836</v>
      </c>
      <c r="E290" s="215" t="s">
        <v>2100</v>
      </c>
      <c r="F290" s="215" t="s">
        <v>1825</v>
      </c>
      <c r="G290" s="215" t="s">
        <v>92</v>
      </c>
      <c r="H290" s="216" t="s">
        <v>2108</v>
      </c>
      <c r="I290" s="217"/>
      <c r="J290" s="217"/>
      <c r="K290" s="217"/>
      <c r="L290" s="217"/>
      <c r="M290" s="217"/>
      <c r="N290" s="217"/>
      <c r="O290" s="217"/>
      <c r="P290" s="217"/>
      <c r="Q290" s="218"/>
    </row>
    <row r="291" spans="1:17" s="219" customFormat="1" hidden="1" x14ac:dyDescent="0.25">
      <c r="A291" s="214"/>
      <c r="B291" s="215" t="s">
        <v>1822</v>
      </c>
      <c r="C291" s="215" t="s">
        <v>1823</v>
      </c>
      <c r="D291" s="215" t="s">
        <v>1836</v>
      </c>
      <c r="E291" s="215" t="s">
        <v>2100</v>
      </c>
      <c r="F291" s="215" t="s">
        <v>1825</v>
      </c>
      <c r="G291" s="215" t="s">
        <v>96</v>
      </c>
      <c r="H291" s="216" t="s">
        <v>2109</v>
      </c>
      <c r="I291" s="217"/>
      <c r="J291" s="217"/>
      <c r="K291" s="217"/>
      <c r="L291" s="217"/>
      <c r="M291" s="217"/>
      <c r="N291" s="217"/>
      <c r="O291" s="217"/>
      <c r="P291" s="217"/>
      <c r="Q291" s="218"/>
    </row>
    <row r="292" spans="1:17" s="219" customFormat="1" ht="30" hidden="1" x14ac:dyDescent="0.25">
      <c r="A292" s="214"/>
      <c r="B292" s="215" t="s">
        <v>1822</v>
      </c>
      <c r="C292" s="215" t="s">
        <v>1823</v>
      </c>
      <c r="D292" s="215" t="s">
        <v>1836</v>
      </c>
      <c r="E292" s="215" t="s">
        <v>2100</v>
      </c>
      <c r="F292" s="215" t="s">
        <v>1825</v>
      </c>
      <c r="G292" s="215" t="s">
        <v>100</v>
      </c>
      <c r="H292" s="216" t="s">
        <v>2110</v>
      </c>
      <c r="I292" s="217"/>
      <c r="J292" s="217"/>
      <c r="K292" s="217"/>
      <c r="L292" s="217"/>
      <c r="M292" s="217"/>
      <c r="N292" s="217"/>
      <c r="O292" s="217"/>
      <c r="P292" s="217"/>
      <c r="Q292" s="218"/>
    </row>
    <row r="293" spans="1:17" s="219" customFormat="1" ht="30" hidden="1" x14ac:dyDescent="0.25">
      <c r="A293" s="214"/>
      <c r="B293" s="215" t="s">
        <v>1822</v>
      </c>
      <c r="C293" s="215" t="s">
        <v>1823</v>
      </c>
      <c r="D293" s="215" t="s">
        <v>1836</v>
      </c>
      <c r="E293" s="215" t="s">
        <v>2100</v>
      </c>
      <c r="F293" s="215" t="s">
        <v>1825</v>
      </c>
      <c r="G293" s="215" t="s">
        <v>105</v>
      </c>
      <c r="H293" s="216" t="s">
        <v>2111</v>
      </c>
      <c r="I293" s="217"/>
      <c r="J293" s="217"/>
      <c r="K293" s="217"/>
      <c r="L293" s="217"/>
      <c r="M293" s="217"/>
      <c r="N293" s="217"/>
      <c r="O293" s="217"/>
      <c r="P293" s="217"/>
      <c r="Q293" s="218"/>
    </row>
    <row r="294" spans="1:17" s="219" customFormat="1" hidden="1" x14ac:dyDescent="0.25">
      <c r="A294" s="214"/>
      <c r="B294" s="215" t="s">
        <v>1822</v>
      </c>
      <c r="C294" s="215" t="s">
        <v>1823</v>
      </c>
      <c r="D294" s="215" t="s">
        <v>1836</v>
      </c>
      <c r="E294" s="215" t="s">
        <v>2100</v>
      </c>
      <c r="F294" s="215" t="s">
        <v>1825</v>
      </c>
      <c r="G294" s="215" t="s">
        <v>108</v>
      </c>
      <c r="H294" s="216" t="s">
        <v>2112</v>
      </c>
      <c r="I294" s="217"/>
      <c r="J294" s="217"/>
      <c r="K294" s="217"/>
      <c r="L294" s="217"/>
      <c r="M294" s="217"/>
      <c r="N294" s="217"/>
      <c r="O294" s="217"/>
      <c r="P294" s="217"/>
      <c r="Q294" s="218"/>
    </row>
    <row r="295" spans="1:17" s="219" customFormat="1" hidden="1" x14ac:dyDescent="0.25">
      <c r="A295" s="214"/>
      <c r="B295" s="215" t="s">
        <v>1822</v>
      </c>
      <c r="C295" s="215" t="s">
        <v>1823</v>
      </c>
      <c r="D295" s="215" t="s">
        <v>1836</v>
      </c>
      <c r="E295" s="215" t="s">
        <v>2100</v>
      </c>
      <c r="F295" s="215" t="s">
        <v>1825</v>
      </c>
      <c r="G295" s="215" t="s">
        <v>135</v>
      </c>
      <c r="H295" s="216" t="s">
        <v>2113</v>
      </c>
      <c r="I295" s="217"/>
      <c r="J295" s="217"/>
      <c r="K295" s="217"/>
      <c r="L295" s="217"/>
      <c r="M295" s="217"/>
      <c r="N295" s="217"/>
      <c r="O295" s="217"/>
      <c r="P295" s="217"/>
      <c r="Q295" s="218"/>
    </row>
    <row r="296" spans="1:17" s="219" customFormat="1" hidden="1" x14ac:dyDescent="0.25">
      <c r="A296" s="214"/>
      <c r="B296" s="215" t="s">
        <v>1822</v>
      </c>
      <c r="C296" s="215" t="s">
        <v>1823</v>
      </c>
      <c r="D296" s="215" t="s">
        <v>1836</v>
      </c>
      <c r="E296" s="215" t="s">
        <v>2100</v>
      </c>
      <c r="F296" s="215" t="s">
        <v>1825</v>
      </c>
      <c r="G296" s="215" t="s">
        <v>138</v>
      </c>
      <c r="H296" s="216" t="s">
        <v>2114</v>
      </c>
      <c r="I296" s="217"/>
      <c r="J296" s="217"/>
      <c r="K296" s="217"/>
      <c r="L296" s="217"/>
      <c r="M296" s="217"/>
      <c r="N296" s="217"/>
      <c r="O296" s="217"/>
      <c r="P296" s="217"/>
      <c r="Q296" s="218"/>
    </row>
    <row r="297" spans="1:17" s="219" customFormat="1" hidden="1" x14ac:dyDescent="0.25">
      <c r="A297" s="214"/>
      <c r="B297" s="215" t="s">
        <v>1822</v>
      </c>
      <c r="C297" s="215" t="s">
        <v>1823</v>
      </c>
      <c r="D297" s="215" t="s">
        <v>1836</v>
      </c>
      <c r="E297" s="215" t="s">
        <v>2100</v>
      </c>
      <c r="F297" s="215" t="s">
        <v>1825</v>
      </c>
      <c r="G297" s="215" t="s">
        <v>140</v>
      </c>
      <c r="H297" s="216" t="s">
        <v>2115</v>
      </c>
      <c r="I297" s="217"/>
      <c r="J297" s="217"/>
      <c r="K297" s="217"/>
      <c r="L297" s="217"/>
      <c r="M297" s="217"/>
      <c r="N297" s="217"/>
      <c r="O297" s="217"/>
      <c r="P297" s="217"/>
      <c r="Q297" s="218"/>
    </row>
    <row r="298" spans="1:17" s="219" customFormat="1" hidden="1" x14ac:dyDescent="0.25">
      <c r="A298" s="214"/>
      <c r="B298" s="215" t="s">
        <v>1822</v>
      </c>
      <c r="C298" s="215" t="s">
        <v>1823</v>
      </c>
      <c r="D298" s="215" t="s">
        <v>1836</v>
      </c>
      <c r="E298" s="215" t="s">
        <v>2100</v>
      </c>
      <c r="F298" s="215" t="s">
        <v>1825</v>
      </c>
      <c r="G298" s="215" t="s">
        <v>143</v>
      </c>
      <c r="H298" s="216" t="s">
        <v>2116</v>
      </c>
      <c r="I298" s="217"/>
      <c r="J298" s="217"/>
      <c r="K298" s="217"/>
      <c r="L298" s="217"/>
      <c r="M298" s="217"/>
      <c r="N298" s="217"/>
      <c r="O298" s="217"/>
      <c r="P298" s="217"/>
      <c r="Q298" s="218"/>
    </row>
    <row r="299" spans="1:17" s="219" customFormat="1" hidden="1" x14ac:dyDescent="0.25">
      <c r="A299" s="214"/>
      <c r="B299" s="215" t="s">
        <v>1822</v>
      </c>
      <c r="C299" s="215" t="s">
        <v>1823</v>
      </c>
      <c r="D299" s="215" t="s">
        <v>1836</v>
      </c>
      <c r="E299" s="215" t="s">
        <v>2100</v>
      </c>
      <c r="F299" s="215" t="s">
        <v>1825</v>
      </c>
      <c r="G299" s="215" t="s">
        <v>146</v>
      </c>
      <c r="H299" s="216" t="s">
        <v>2117</v>
      </c>
      <c r="I299" s="217"/>
      <c r="J299" s="217"/>
      <c r="K299" s="217"/>
      <c r="L299" s="217"/>
      <c r="M299" s="217"/>
      <c r="N299" s="217"/>
      <c r="O299" s="217"/>
      <c r="P299" s="217"/>
      <c r="Q299" s="218"/>
    </row>
    <row r="300" spans="1:17" s="219" customFormat="1" hidden="1" x14ac:dyDescent="0.25">
      <c r="A300" s="214"/>
      <c r="B300" s="215" t="s">
        <v>1822</v>
      </c>
      <c r="C300" s="215" t="s">
        <v>1823</v>
      </c>
      <c r="D300" s="215" t="s">
        <v>1836</v>
      </c>
      <c r="E300" s="215" t="s">
        <v>2100</v>
      </c>
      <c r="F300" s="215" t="s">
        <v>1825</v>
      </c>
      <c r="G300" s="215" t="s">
        <v>150</v>
      </c>
      <c r="H300" s="216" t="s">
        <v>2118</v>
      </c>
      <c r="I300" s="217"/>
      <c r="J300" s="217"/>
      <c r="K300" s="217"/>
      <c r="L300" s="217"/>
      <c r="M300" s="217"/>
      <c r="N300" s="217"/>
      <c r="O300" s="217"/>
      <c r="P300" s="217"/>
      <c r="Q300" s="218"/>
    </row>
    <row r="301" spans="1:17" s="219" customFormat="1" hidden="1" x14ac:dyDescent="0.25">
      <c r="A301" s="214"/>
      <c r="B301" s="215" t="s">
        <v>1822</v>
      </c>
      <c r="C301" s="215" t="s">
        <v>1823</v>
      </c>
      <c r="D301" s="215" t="s">
        <v>1836</v>
      </c>
      <c r="E301" s="215" t="s">
        <v>2100</v>
      </c>
      <c r="F301" s="215" t="s">
        <v>1825</v>
      </c>
      <c r="G301" s="215" t="s">
        <v>153</v>
      </c>
      <c r="H301" s="216" t="s">
        <v>2119</v>
      </c>
      <c r="I301" s="217"/>
      <c r="J301" s="217"/>
      <c r="K301" s="217"/>
      <c r="L301" s="217"/>
      <c r="M301" s="217"/>
      <c r="N301" s="217"/>
      <c r="O301" s="217"/>
      <c r="P301" s="217"/>
      <c r="Q301" s="218"/>
    </row>
    <row r="302" spans="1:17" s="219" customFormat="1" hidden="1" x14ac:dyDescent="0.25">
      <c r="A302" s="214"/>
      <c r="B302" s="215" t="s">
        <v>1822</v>
      </c>
      <c r="C302" s="215" t="s">
        <v>1823</v>
      </c>
      <c r="D302" s="215" t="s">
        <v>1836</v>
      </c>
      <c r="E302" s="215" t="s">
        <v>2100</v>
      </c>
      <c r="F302" s="215" t="s">
        <v>1825</v>
      </c>
      <c r="G302" s="215" t="s">
        <v>156</v>
      </c>
      <c r="H302" s="216" t="s">
        <v>2120</v>
      </c>
      <c r="I302" s="217"/>
      <c r="J302" s="217"/>
      <c r="K302" s="217"/>
      <c r="L302" s="217"/>
      <c r="M302" s="217"/>
      <c r="N302" s="217"/>
      <c r="O302" s="217"/>
      <c r="P302" s="217"/>
      <c r="Q302" s="218"/>
    </row>
    <row r="303" spans="1:17" s="219" customFormat="1" hidden="1" x14ac:dyDescent="0.25">
      <c r="A303" s="214"/>
      <c r="B303" s="215" t="s">
        <v>1822</v>
      </c>
      <c r="C303" s="215" t="s">
        <v>1823</v>
      </c>
      <c r="D303" s="215" t="s">
        <v>1836</v>
      </c>
      <c r="E303" s="215" t="s">
        <v>2100</v>
      </c>
      <c r="F303" s="215" t="s">
        <v>1825</v>
      </c>
      <c r="G303" s="215" t="s">
        <v>159</v>
      </c>
      <c r="H303" s="216" t="s">
        <v>2121</v>
      </c>
      <c r="I303" s="217"/>
      <c r="J303" s="217"/>
      <c r="K303" s="217"/>
      <c r="L303" s="217"/>
      <c r="M303" s="217"/>
      <c r="N303" s="217"/>
      <c r="O303" s="217"/>
      <c r="P303" s="217"/>
      <c r="Q303" s="218"/>
    </row>
    <row r="304" spans="1:17" s="219" customFormat="1" hidden="1" x14ac:dyDescent="0.25">
      <c r="A304" s="214"/>
      <c r="B304" s="215" t="s">
        <v>1822</v>
      </c>
      <c r="C304" s="215" t="s">
        <v>1823</v>
      </c>
      <c r="D304" s="215" t="s">
        <v>1836</v>
      </c>
      <c r="E304" s="215" t="s">
        <v>2100</v>
      </c>
      <c r="F304" s="215" t="s">
        <v>1825</v>
      </c>
      <c r="G304" s="215" t="s">
        <v>162</v>
      </c>
      <c r="H304" s="216" t="s">
        <v>2122</v>
      </c>
      <c r="I304" s="217"/>
      <c r="J304" s="217"/>
      <c r="K304" s="217"/>
      <c r="L304" s="217"/>
      <c r="M304" s="217"/>
      <c r="N304" s="217"/>
      <c r="O304" s="217"/>
      <c r="P304" s="217"/>
      <c r="Q304" s="218"/>
    </row>
    <row r="305" spans="1:17" s="219" customFormat="1" hidden="1" x14ac:dyDescent="0.25">
      <c r="A305" s="214"/>
      <c r="B305" s="215" t="s">
        <v>1822</v>
      </c>
      <c r="C305" s="215" t="s">
        <v>1823</v>
      </c>
      <c r="D305" s="215" t="s">
        <v>1836</v>
      </c>
      <c r="E305" s="215" t="s">
        <v>2100</v>
      </c>
      <c r="F305" s="215" t="s">
        <v>1825</v>
      </c>
      <c r="G305" s="215" t="s">
        <v>312</v>
      </c>
      <c r="H305" s="216" t="s">
        <v>2123</v>
      </c>
      <c r="I305" s="217"/>
      <c r="J305" s="217"/>
      <c r="K305" s="217"/>
      <c r="L305" s="217"/>
      <c r="M305" s="217"/>
      <c r="N305" s="217"/>
      <c r="O305" s="217"/>
      <c r="P305" s="217"/>
      <c r="Q305" s="218"/>
    </row>
    <row r="306" spans="1:17" s="219" customFormat="1" hidden="1" x14ac:dyDescent="0.25">
      <c r="A306" s="214"/>
      <c r="B306" s="215" t="s">
        <v>1822</v>
      </c>
      <c r="C306" s="215" t="s">
        <v>1823</v>
      </c>
      <c r="D306" s="215" t="s">
        <v>1836</v>
      </c>
      <c r="E306" s="215" t="s">
        <v>2100</v>
      </c>
      <c r="F306" s="215" t="s">
        <v>1825</v>
      </c>
      <c r="G306" s="215" t="s">
        <v>313</v>
      </c>
      <c r="H306" s="216" t="s">
        <v>2124</v>
      </c>
      <c r="I306" s="217"/>
      <c r="J306" s="217"/>
      <c r="K306" s="217"/>
      <c r="L306" s="217"/>
      <c r="M306" s="217"/>
      <c r="N306" s="217"/>
      <c r="O306" s="217"/>
      <c r="P306" s="217"/>
      <c r="Q306" s="218"/>
    </row>
    <row r="307" spans="1:17" s="219" customFormat="1" hidden="1" x14ac:dyDescent="0.25">
      <c r="A307" s="214"/>
      <c r="B307" s="215" t="s">
        <v>1822</v>
      </c>
      <c r="C307" s="215" t="s">
        <v>1823</v>
      </c>
      <c r="D307" s="215" t="s">
        <v>1836</v>
      </c>
      <c r="E307" s="215" t="s">
        <v>2100</v>
      </c>
      <c r="F307" s="215" t="s">
        <v>1825</v>
      </c>
      <c r="G307" s="215" t="s">
        <v>559</v>
      </c>
      <c r="H307" s="216" t="s">
        <v>2125</v>
      </c>
      <c r="I307" s="217"/>
      <c r="J307" s="217"/>
      <c r="K307" s="217"/>
      <c r="L307" s="217"/>
      <c r="M307" s="217"/>
      <c r="N307" s="217"/>
      <c r="O307" s="217"/>
      <c r="P307" s="217"/>
      <c r="Q307" s="218"/>
    </row>
    <row r="308" spans="1:17" s="219" customFormat="1" hidden="1" x14ac:dyDescent="0.25">
      <c r="A308" s="214"/>
      <c r="B308" s="215" t="s">
        <v>1822</v>
      </c>
      <c r="C308" s="215" t="s">
        <v>1823</v>
      </c>
      <c r="D308" s="215" t="s">
        <v>1836</v>
      </c>
      <c r="E308" s="215" t="s">
        <v>2100</v>
      </c>
      <c r="F308" s="215" t="s">
        <v>1825</v>
      </c>
      <c r="G308" s="215" t="s">
        <v>561</v>
      </c>
      <c r="H308" s="216" t="s">
        <v>2126</v>
      </c>
      <c r="I308" s="217"/>
      <c r="J308" s="217"/>
      <c r="K308" s="217"/>
      <c r="L308" s="217"/>
      <c r="M308" s="217"/>
      <c r="N308" s="217"/>
      <c r="O308" s="217"/>
      <c r="P308" s="217"/>
      <c r="Q308" s="218"/>
    </row>
    <row r="309" spans="1:17" s="219" customFormat="1" hidden="1" x14ac:dyDescent="0.25">
      <c r="A309" s="214"/>
      <c r="B309" s="215" t="s">
        <v>1822</v>
      </c>
      <c r="C309" s="215" t="s">
        <v>1823</v>
      </c>
      <c r="D309" s="215" t="s">
        <v>1836</v>
      </c>
      <c r="E309" s="215" t="s">
        <v>2100</v>
      </c>
      <c r="F309" s="215" t="s">
        <v>1825</v>
      </c>
      <c r="G309" s="215" t="s">
        <v>563</v>
      </c>
      <c r="H309" s="216" t="s">
        <v>2127</v>
      </c>
      <c r="I309" s="217"/>
      <c r="J309" s="217"/>
      <c r="K309" s="217"/>
      <c r="L309" s="217"/>
      <c r="M309" s="217"/>
      <c r="N309" s="217"/>
      <c r="O309" s="217"/>
      <c r="P309" s="217"/>
      <c r="Q309" s="218"/>
    </row>
    <row r="310" spans="1:17" s="219" customFormat="1" hidden="1" x14ac:dyDescent="0.25">
      <c r="A310" s="214"/>
      <c r="B310" s="215" t="s">
        <v>1822</v>
      </c>
      <c r="C310" s="215" t="s">
        <v>1823</v>
      </c>
      <c r="D310" s="215" t="s">
        <v>1836</v>
      </c>
      <c r="E310" s="215" t="s">
        <v>2100</v>
      </c>
      <c r="F310" s="215" t="s">
        <v>1825</v>
      </c>
      <c r="G310" s="215" t="s">
        <v>227</v>
      </c>
      <c r="H310" s="216" t="s">
        <v>2128</v>
      </c>
      <c r="I310" s="217"/>
      <c r="J310" s="217"/>
      <c r="K310" s="217"/>
      <c r="L310" s="217"/>
      <c r="M310" s="217"/>
      <c r="N310" s="217"/>
      <c r="O310" s="217"/>
      <c r="P310" s="217"/>
      <c r="Q310" s="218"/>
    </row>
    <row r="311" spans="1:17" s="219" customFormat="1" hidden="1" x14ac:dyDescent="0.25">
      <c r="A311" s="214"/>
      <c r="B311" s="215" t="s">
        <v>1822</v>
      </c>
      <c r="C311" s="215" t="s">
        <v>1823</v>
      </c>
      <c r="D311" s="215" t="s">
        <v>1836</v>
      </c>
      <c r="E311" s="215" t="s">
        <v>2100</v>
      </c>
      <c r="F311" s="215" t="s">
        <v>1825</v>
      </c>
      <c r="G311" s="215" t="s">
        <v>230</v>
      </c>
      <c r="H311" s="216" t="s">
        <v>2129</v>
      </c>
      <c r="I311" s="217"/>
      <c r="J311" s="217"/>
      <c r="K311" s="217"/>
      <c r="L311" s="217"/>
      <c r="M311" s="217"/>
      <c r="N311" s="217"/>
      <c r="O311" s="217"/>
      <c r="P311" s="217"/>
      <c r="Q311" s="218"/>
    </row>
    <row r="312" spans="1:17" s="219" customFormat="1" hidden="1" x14ac:dyDescent="0.25">
      <c r="A312" s="214"/>
      <c r="B312" s="215" t="s">
        <v>1822</v>
      </c>
      <c r="C312" s="215" t="s">
        <v>1823</v>
      </c>
      <c r="D312" s="215" t="s">
        <v>1836</v>
      </c>
      <c r="E312" s="215" t="s">
        <v>2100</v>
      </c>
      <c r="F312" s="215" t="s">
        <v>1825</v>
      </c>
      <c r="G312" s="215" t="s">
        <v>232</v>
      </c>
      <c r="H312" s="216" t="s">
        <v>2130</v>
      </c>
      <c r="I312" s="217"/>
      <c r="J312" s="217"/>
      <c r="K312" s="217"/>
      <c r="L312" s="217"/>
      <c r="M312" s="217"/>
      <c r="N312" s="217"/>
      <c r="O312" s="217"/>
      <c r="P312" s="217"/>
      <c r="Q312" s="218"/>
    </row>
    <row r="313" spans="1:17" s="219" customFormat="1" hidden="1" x14ac:dyDescent="0.25">
      <c r="A313" s="214"/>
      <c r="B313" s="215" t="s">
        <v>1822</v>
      </c>
      <c r="C313" s="215" t="s">
        <v>1823</v>
      </c>
      <c r="D313" s="215" t="s">
        <v>1836</v>
      </c>
      <c r="E313" s="215" t="s">
        <v>2100</v>
      </c>
      <c r="F313" s="215" t="s">
        <v>1825</v>
      </c>
      <c r="G313" s="215" t="s">
        <v>234</v>
      </c>
      <c r="H313" s="216" t="s">
        <v>2131</v>
      </c>
      <c r="I313" s="217"/>
      <c r="J313" s="217"/>
      <c r="K313" s="217"/>
      <c r="L313" s="217"/>
      <c r="M313" s="217"/>
      <c r="N313" s="217"/>
      <c r="O313" s="217"/>
      <c r="P313" s="217"/>
      <c r="Q313" s="218"/>
    </row>
    <row r="314" spans="1:17" s="213" customFormat="1" hidden="1" x14ac:dyDescent="0.25">
      <c r="A314" s="208" t="s">
        <v>263</v>
      </c>
      <c r="B314" s="209" t="s">
        <v>1822</v>
      </c>
      <c r="C314" s="209" t="s">
        <v>1823</v>
      </c>
      <c r="D314" s="209" t="s">
        <v>1836</v>
      </c>
      <c r="E314" s="209" t="s">
        <v>2100</v>
      </c>
      <c r="F314" s="209" t="s">
        <v>1836</v>
      </c>
      <c r="G314" s="209"/>
      <c r="H314" s="210" t="s">
        <v>2132</v>
      </c>
      <c r="I314" s="211">
        <f>SUM(I315:I319)</f>
        <v>0</v>
      </c>
      <c r="J314" s="211">
        <f t="shared" ref="J314:O314" si="34">SUM(J315:J319)</f>
        <v>0</v>
      </c>
      <c r="K314" s="211">
        <f t="shared" si="34"/>
        <v>0</v>
      </c>
      <c r="L314" s="211">
        <f t="shared" si="34"/>
        <v>0</v>
      </c>
      <c r="M314" s="211">
        <f t="shared" si="34"/>
        <v>0</v>
      </c>
      <c r="N314" s="211">
        <f t="shared" si="34"/>
        <v>0</v>
      </c>
      <c r="O314" s="211">
        <f t="shared" si="34"/>
        <v>0</v>
      </c>
      <c r="P314" s="211"/>
      <c r="Q314" s="212"/>
    </row>
    <row r="315" spans="1:17" s="219" customFormat="1" hidden="1" x14ac:dyDescent="0.25">
      <c r="A315" s="214"/>
      <c r="B315" s="215" t="s">
        <v>1822</v>
      </c>
      <c r="C315" s="215" t="s">
        <v>1823</v>
      </c>
      <c r="D315" s="215" t="s">
        <v>1836</v>
      </c>
      <c r="E315" s="215" t="s">
        <v>2100</v>
      </c>
      <c r="F315" s="215" t="s">
        <v>1836</v>
      </c>
      <c r="G315" s="215" t="s">
        <v>58</v>
      </c>
      <c r="H315" s="216" t="s">
        <v>2133</v>
      </c>
      <c r="I315" s="217"/>
      <c r="J315" s="217"/>
      <c r="K315" s="217"/>
      <c r="L315" s="217"/>
      <c r="M315" s="217"/>
      <c r="N315" s="217"/>
      <c r="O315" s="217"/>
      <c r="P315" s="217"/>
      <c r="Q315" s="218"/>
    </row>
    <row r="316" spans="1:17" s="219" customFormat="1" hidden="1" x14ac:dyDescent="0.25">
      <c r="A316" s="214"/>
      <c r="B316" s="215" t="s">
        <v>1822</v>
      </c>
      <c r="C316" s="215" t="s">
        <v>1823</v>
      </c>
      <c r="D316" s="215" t="s">
        <v>1836</v>
      </c>
      <c r="E316" s="215" t="s">
        <v>2100</v>
      </c>
      <c r="F316" s="215" t="s">
        <v>1836</v>
      </c>
      <c r="G316" s="215" t="s">
        <v>75</v>
      </c>
      <c r="H316" s="216" t="s">
        <v>2134</v>
      </c>
      <c r="I316" s="217"/>
      <c r="J316" s="217"/>
      <c r="K316" s="217"/>
      <c r="L316" s="217"/>
      <c r="M316" s="217"/>
      <c r="N316" s="217"/>
      <c r="O316" s="217"/>
      <c r="P316" s="217"/>
      <c r="Q316" s="218"/>
    </row>
    <row r="317" spans="1:17" s="219" customFormat="1" hidden="1" x14ac:dyDescent="0.25">
      <c r="A317" s="214"/>
      <c r="B317" s="215" t="s">
        <v>1822</v>
      </c>
      <c r="C317" s="215" t="s">
        <v>1823</v>
      </c>
      <c r="D317" s="215" t="s">
        <v>1836</v>
      </c>
      <c r="E317" s="215" t="s">
        <v>2100</v>
      </c>
      <c r="F317" s="215" t="s">
        <v>1836</v>
      </c>
      <c r="G317" s="215" t="s">
        <v>79</v>
      </c>
      <c r="H317" s="216" t="s">
        <v>2135</v>
      </c>
      <c r="I317" s="217"/>
      <c r="J317" s="217"/>
      <c r="K317" s="217"/>
      <c r="L317" s="217"/>
      <c r="M317" s="217"/>
      <c r="N317" s="217"/>
      <c r="O317" s="217"/>
      <c r="P317" s="217"/>
      <c r="Q317" s="218"/>
    </row>
    <row r="318" spans="1:17" s="219" customFormat="1" hidden="1" x14ac:dyDescent="0.25">
      <c r="A318" s="214"/>
      <c r="B318" s="215" t="s">
        <v>1822</v>
      </c>
      <c r="C318" s="215" t="s">
        <v>1823</v>
      </c>
      <c r="D318" s="215" t="s">
        <v>1836</v>
      </c>
      <c r="E318" s="215" t="s">
        <v>2100</v>
      </c>
      <c r="F318" s="215" t="s">
        <v>1836</v>
      </c>
      <c r="G318" s="215" t="s">
        <v>84</v>
      </c>
      <c r="H318" s="216" t="s">
        <v>2136</v>
      </c>
      <c r="I318" s="217"/>
      <c r="J318" s="217"/>
      <c r="K318" s="217"/>
      <c r="L318" s="217"/>
      <c r="M318" s="217"/>
      <c r="N318" s="217"/>
      <c r="O318" s="217"/>
      <c r="P318" s="217"/>
      <c r="Q318" s="218"/>
    </row>
    <row r="319" spans="1:17" s="219" customFormat="1" hidden="1" x14ac:dyDescent="0.25">
      <c r="A319" s="214"/>
      <c r="B319" s="215" t="s">
        <v>1822</v>
      </c>
      <c r="C319" s="215" t="s">
        <v>1823</v>
      </c>
      <c r="D319" s="215" t="s">
        <v>1836</v>
      </c>
      <c r="E319" s="215" t="s">
        <v>2100</v>
      </c>
      <c r="F319" s="215" t="s">
        <v>1836</v>
      </c>
      <c r="G319" s="215" t="s">
        <v>88</v>
      </c>
      <c r="H319" s="216" t="s">
        <v>2137</v>
      </c>
      <c r="I319" s="217"/>
      <c r="J319" s="217"/>
      <c r="K319" s="217"/>
      <c r="L319" s="217"/>
      <c r="M319" s="217"/>
      <c r="N319" s="217"/>
      <c r="O319" s="217"/>
      <c r="P319" s="217"/>
      <c r="Q319" s="218"/>
    </row>
    <row r="320" spans="1:17" s="213" customFormat="1" hidden="1" x14ac:dyDescent="0.25">
      <c r="A320" s="208" t="s">
        <v>2138</v>
      </c>
      <c r="B320" s="209" t="s">
        <v>1822</v>
      </c>
      <c r="C320" s="209" t="s">
        <v>1823</v>
      </c>
      <c r="D320" s="209" t="s">
        <v>1836</v>
      </c>
      <c r="E320" s="209" t="s">
        <v>2139</v>
      </c>
      <c r="F320" s="209"/>
      <c r="G320" s="209"/>
      <c r="H320" s="210" t="s">
        <v>2140</v>
      </c>
      <c r="I320" s="211">
        <f>SUM(I321+I386+I393+I410+I421+I428+I433+I440+I457)</f>
        <v>0</v>
      </c>
      <c r="J320" s="211">
        <f t="shared" ref="J320:O320" si="35">SUM(J321+J386+J393+J410+J421+J428+J433+J440+J457)</f>
        <v>0</v>
      </c>
      <c r="K320" s="211">
        <f t="shared" si="35"/>
        <v>0</v>
      </c>
      <c r="L320" s="211">
        <f t="shared" si="35"/>
        <v>0</v>
      </c>
      <c r="M320" s="211">
        <f t="shared" si="35"/>
        <v>0</v>
      </c>
      <c r="N320" s="211">
        <f t="shared" si="35"/>
        <v>0</v>
      </c>
      <c r="O320" s="211">
        <f t="shared" si="35"/>
        <v>0</v>
      </c>
      <c r="P320" s="211"/>
      <c r="Q320" s="212"/>
    </row>
    <row r="321" spans="1:17" s="213" customFormat="1" hidden="1" x14ac:dyDescent="0.25">
      <c r="A321" s="208" t="s">
        <v>263</v>
      </c>
      <c r="B321" s="209" t="s">
        <v>1822</v>
      </c>
      <c r="C321" s="209" t="s">
        <v>1823</v>
      </c>
      <c r="D321" s="209" t="s">
        <v>1836</v>
      </c>
      <c r="E321" s="209" t="s">
        <v>2139</v>
      </c>
      <c r="F321" s="209" t="s">
        <v>1825</v>
      </c>
      <c r="G321" s="209"/>
      <c r="H321" s="210" t="s">
        <v>2141</v>
      </c>
      <c r="I321" s="211">
        <f>SUM(I322:I385)</f>
        <v>0</v>
      </c>
      <c r="J321" s="211">
        <f t="shared" ref="J321:O321" si="36">SUM(J322:J385)</f>
        <v>0</v>
      </c>
      <c r="K321" s="211">
        <f t="shared" si="36"/>
        <v>0</v>
      </c>
      <c r="L321" s="211">
        <f t="shared" si="36"/>
        <v>0</v>
      </c>
      <c r="M321" s="211">
        <f t="shared" si="36"/>
        <v>0</v>
      </c>
      <c r="N321" s="211">
        <f t="shared" si="36"/>
        <v>0</v>
      </c>
      <c r="O321" s="211">
        <f t="shared" si="36"/>
        <v>0</v>
      </c>
      <c r="P321" s="211"/>
      <c r="Q321" s="212"/>
    </row>
    <row r="322" spans="1:17" s="219" customFormat="1" ht="30" hidden="1" x14ac:dyDescent="0.25">
      <c r="A322" s="214"/>
      <c r="B322" s="215" t="s">
        <v>1822</v>
      </c>
      <c r="C322" s="215" t="s">
        <v>1823</v>
      </c>
      <c r="D322" s="215" t="s">
        <v>1836</v>
      </c>
      <c r="E322" s="215" t="s">
        <v>2139</v>
      </c>
      <c r="F322" s="215" t="s">
        <v>1825</v>
      </c>
      <c r="G322" s="215" t="s">
        <v>58</v>
      </c>
      <c r="H322" s="216" t="s">
        <v>2142</v>
      </c>
      <c r="I322" s="217"/>
      <c r="J322" s="217"/>
      <c r="K322" s="217"/>
      <c r="L322" s="217"/>
      <c r="M322" s="217"/>
      <c r="N322" s="217"/>
      <c r="O322" s="217"/>
      <c r="P322" s="217"/>
      <c r="Q322" s="218"/>
    </row>
    <row r="323" spans="1:17" s="219" customFormat="1" ht="30" hidden="1" x14ac:dyDescent="0.25">
      <c r="A323" s="214"/>
      <c r="B323" s="215" t="s">
        <v>1822</v>
      </c>
      <c r="C323" s="215" t="s">
        <v>1823</v>
      </c>
      <c r="D323" s="215" t="s">
        <v>1836</v>
      </c>
      <c r="E323" s="215" t="s">
        <v>2139</v>
      </c>
      <c r="F323" s="215" t="s">
        <v>1825</v>
      </c>
      <c r="G323" s="215" t="s">
        <v>75</v>
      </c>
      <c r="H323" s="216" t="s">
        <v>2143</v>
      </c>
      <c r="I323" s="217"/>
      <c r="J323" s="217"/>
      <c r="K323" s="217"/>
      <c r="L323" s="217"/>
      <c r="M323" s="217"/>
      <c r="N323" s="217"/>
      <c r="O323" s="217"/>
      <c r="P323" s="217"/>
      <c r="Q323" s="218"/>
    </row>
    <row r="324" spans="1:17" s="219" customFormat="1" hidden="1" x14ac:dyDescent="0.25">
      <c r="A324" s="214"/>
      <c r="B324" s="215" t="s">
        <v>1822</v>
      </c>
      <c r="C324" s="215" t="s">
        <v>1823</v>
      </c>
      <c r="D324" s="215" t="s">
        <v>1836</v>
      </c>
      <c r="E324" s="215" t="s">
        <v>2139</v>
      </c>
      <c r="F324" s="215" t="s">
        <v>1825</v>
      </c>
      <c r="G324" s="215" t="s">
        <v>79</v>
      </c>
      <c r="H324" s="216" t="s">
        <v>2144</v>
      </c>
      <c r="I324" s="217"/>
      <c r="J324" s="217"/>
      <c r="K324" s="217"/>
      <c r="L324" s="217"/>
      <c r="M324" s="217"/>
      <c r="N324" s="217"/>
      <c r="O324" s="217"/>
      <c r="P324" s="217"/>
      <c r="Q324" s="218"/>
    </row>
    <row r="325" spans="1:17" s="219" customFormat="1" hidden="1" x14ac:dyDescent="0.25">
      <c r="A325" s="214"/>
      <c r="B325" s="215" t="s">
        <v>1822</v>
      </c>
      <c r="C325" s="215" t="s">
        <v>1823</v>
      </c>
      <c r="D325" s="215" t="s">
        <v>1836</v>
      </c>
      <c r="E325" s="215" t="s">
        <v>2139</v>
      </c>
      <c r="F325" s="215" t="s">
        <v>1825</v>
      </c>
      <c r="G325" s="215" t="s">
        <v>84</v>
      </c>
      <c r="H325" s="216" t="s">
        <v>2145</v>
      </c>
      <c r="I325" s="217"/>
      <c r="J325" s="217"/>
      <c r="K325" s="217"/>
      <c r="L325" s="217"/>
      <c r="M325" s="217"/>
      <c r="N325" s="217"/>
      <c r="O325" s="217"/>
      <c r="P325" s="217"/>
      <c r="Q325" s="218"/>
    </row>
    <row r="326" spans="1:17" s="219" customFormat="1" hidden="1" x14ac:dyDescent="0.25">
      <c r="A326" s="214"/>
      <c r="B326" s="215" t="s">
        <v>1822</v>
      </c>
      <c r="C326" s="215" t="s">
        <v>1823</v>
      </c>
      <c r="D326" s="215" t="s">
        <v>1836</v>
      </c>
      <c r="E326" s="215" t="s">
        <v>2139</v>
      </c>
      <c r="F326" s="215" t="s">
        <v>1825</v>
      </c>
      <c r="G326" s="215" t="s">
        <v>88</v>
      </c>
      <c r="H326" s="216" t="s">
        <v>2146</v>
      </c>
      <c r="I326" s="217"/>
      <c r="J326" s="217"/>
      <c r="K326" s="217"/>
      <c r="L326" s="217"/>
      <c r="M326" s="217"/>
      <c r="N326" s="217"/>
      <c r="O326" s="217"/>
      <c r="P326" s="217"/>
      <c r="Q326" s="218"/>
    </row>
    <row r="327" spans="1:17" s="219" customFormat="1" ht="30" hidden="1" x14ac:dyDescent="0.25">
      <c r="A327" s="214"/>
      <c r="B327" s="215" t="s">
        <v>1822</v>
      </c>
      <c r="C327" s="215" t="s">
        <v>1823</v>
      </c>
      <c r="D327" s="215" t="s">
        <v>1836</v>
      </c>
      <c r="E327" s="215" t="s">
        <v>2139</v>
      </c>
      <c r="F327" s="215" t="s">
        <v>1825</v>
      </c>
      <c r="G327" s="215" t="s">
        <v>92</v>
      </c>
      <c r="H327" s="216" t="s">
        <v>2147</v>
      </c>
      <c r="I327" s="217"/>
      <c r="J327" s="217"/>
      <c r="K327" s="217"/>
      <c r="L327" s="217"/>
      <c r="M327" s="217"/>
      <c r="N327" s="217"/>
      <c r="O327" s="217"/>
      <c r="P327" s="217"/>
      <c r="Q327" s="218"/>
    </row>
    <row r="328" spans="1:17" s="219" customFormat="1" ht="30" hidden="1" x14ac:dyDescent="0.25">
      <c r="A328" s="214"/>
      <c r="B328" s="215" t="s">
        <v>1822</v>
      </c>
      <c r="C328" s="215" t="s">
        <v>1823</v>
      </c>
      <c r="D328" s="215" t="s">
        <v>1836</v>
      </c>
      <c r="E328" s="215" t="s">
        <v>2139</v>
      </c>
      <c r="F328" s="215" t="s">
        <v>1825</v>
      </c>
      <c r="G328" s="215" t="s">
        <v>96</v>
      </c>
      <c r="H328" s="216" t="s">
        <v>2148</v>
      </c>
      <c r="I328" s="217"/>
      <c r="J328" s="217"/>
      <c r="K328" s="217"/>
      <c r="L328" s="217"/>
      <c r="M328" s="217"/>
      <c r="N328" s="217"/>
      <c r="O328" s="217"/>
      <c r="P328" s="217"/>
      <c r="Q328" s="218"/>
    </row>
    <row r="329" spans="1:17" s="219" customFormat="1" ht="30" hidden="1" x14ac:dyDescent="0.25">
      <c r="A329" s="214"/>
      <c r="B329" s="215" t="s">
        <v>1822</v>
      </c>
      <c r="C329" s="215" t="s">
        <v>1823</v>
      </c>
      <c r="D329" s="215" t="s">
        <v>1836</v>
      </c>
      <c r="E329" s="215" t="s">
        <v>2139</v>
      </c>
      <c r="F329" s="215" t="s">
        <v>1825</v>
      </c>
      <c r="G329" s="215" t="s">
        <v>100</v>
      </c>
      <c r="H329" s="216" t="s">
        <v>2149</v>
      </c>
      <c r="I329" s="217"/>
      <c r="J329" s="217"/>
      <c r="K329" s="217"/>
      <c r="L329" s="217"/>
      <c r="M329" s="217"/>
      <c r="N329" s="217"/>
      <c r="O329" s="217"/>
      <c r="P329" s="217"/>
      <c r="Q329" s="218"/>
    </row>
    <row r="330" spans="1:17" s="219" customFormat="1" hidden="1" x14ac:dyDescent="0.25">
      <c r="A330" s="214"/>
      <c r="B330" s="215" t="s">
        <v>1822</v>
      </c>
      <c r="C330" s="215" t="s">
        <v>1823</v>
      </c>
      <c r="D330" s="215" t="s">
        <v>1836</v>
      </c>
      <c r="E330" s="215" t="s">
        <v>2139</v>
      </c>
      <c r="F330" s="215" t="s">
        <v>1825</v>
      </c>
      <c r="G330" s="215" t="s">
        <v>105</v>
      </c>
      <c r="H330" s="216" t="s">
        <v>2150</v>
      </c>
      <c r="I330" s="217"/>
      <c r="J330" s="217"/>
      <c r="K330" s="217"/>
      <c r="L330" s="217"/>
      <c r="M330" s="217"/>
      <c r="N330" s="217"/>
      <c r="O330" s="217"/>
      <c r="P330" s="217"/>
      <c r="Q330" s="218"/>
    </row>
    <row r="331" spans="1:17" s="219" customFormat="1" ht="30" hidden="1" x14ac:dyDescent="0.25">
      <c r="A331" s="214"/>
      <c r="B331" s="215" t="s">
        <v>1822</v>
      </c>
      <c r="C331" s="215" t="s">
        <v>1823</v>
      </c>
      <c r="D331" s="215" t="s">
        <v>1836</v>
      </c>
      <c r="E331" s="215" t="s">
        <v>2139</v>
      </c>
      <c r="F331" s="215" t="s">
        <v>1825</v>
      </c>
      <c r="G331" s="215" t="s">
        <v>108</v>
      </c>
      <c r="H331" s="216" t="s">
        <v>2151</v>
      </c>
      <c r="I331" s="217"/>
      <c r="J331" s="217"/>
      <c r="K331" s="217"/>
      <c r="L331" s="217"/>
      <c r="M331" s="217"/>
      <c r="N331" s="217"/>
      <c r="O331" s="217"/>
      <c r="P331" s="217"/>
      <c r="Q331" s="218"/>
    </row>
    <row r="332" spans="1:17" s="219" customFormat="1" hidden="1" x14ac:dyDescent="0.25">
      <c r="A332" s="214"/>
      <c r="B332" s="215" t="s">
        <v>1822</v>
      </c>
      <c r="C332" s="215" t="s">
        <v>1823</v>
      </c>
      <c r="D332" s="215" t="s">
        <v>1836</v>
      </c>
      <c r="E332" s="215" t="s">
        <v>2139</v>
      </c>
      <c r="F332" s="215" t="s">
        <v>1825</v>
      </c>
      <c r="G332" s="215" t="s">
        <v>135</v>
      </c>
      <c r="H332" s="216" t="s">
        <v>2152</v>
      </c>
      <c r="I332" s="217"/>
      <c r="J332" s="217"/>
      <c r="K332" s="217"/>
      <c r="L332" s="217"/>
      <c r="M332" s="217"/>
      <c r="N332" s="217"/>
      <c r="O332" s="217"/>
      <c r="P332" s="217"/>
      <c r="Q332" s="218"/>
    </row>
    <row r="333" spans="1:17" s="219" customFormat="1" hidden="1" x14ac:dyDescent="0.25">
      <c r="A333" s="214"/>
      <c r="B333" s="215" t="s">
        <v>1822</v>
      </c>
      <c r="C333" s="215" t="s">
        <v>1823</v>
      </c>
      <c r="D333" s="215" t="s">
        <v>1836</v>
      </c>
      <c r="E333" s="215" t="s">
        <v>2139</v>
      </c>
      <c r="F333" s="215" t="s">
        <v>1825</v>
      </c>
      <c r="G333" s="215" t="s">
        <v>138</v>
      </c>
      <c r="H333" s="216" t="s">
        <v>2153</v>
      </c>
      <c r="I333" s="217"/>
      <c r="J333" s="217"/>
      <c r="K333" s="217"/>
      <c r="L333" s="217"/>
      <c r="M333" s="217"/>
      <c r="N333" s="217"/>
      <c r="O333" s="217"/>
      <c r="P333" s="217"/>
      <c r="Q333" s="218"/>
    </row>
    <row r="334" spans="1:17" s="219" customFormat="1" hidden="1" x14ac:dyDescent="0.25">
      <c r="A334" s="214"/>
      <c r="B334" s="215" t="s">
        <v>1822</v>
      </c>
      <c r="C334" s="215" t="s">
        <v>1823</v>
      </c>
      <c r="D334" s="215" t="s">
        <v>1836</v>
      </c>
      <c r="E334" s="215" t="s">
        <v>2139</v>
      </c>
      <c r="F334" s="215" t="s">
        <v>1825</v>
      </c>
      <c r="G334" s="215" t="s">
        <v>140</v>
      </c>
      <c r="H334" s="216" t="s">
        <v>2154</v>
      </c>
      <c r="I334" s="217"/>
      <c r="J334" s="217"/>
      <c r="K334" s="217"/>
      <c r="L334" s="217"/>
      <c r="M334" s="217"/>
      <c r="N334" s="217"/>
      <c r="O334" s="217"/>
      <c r="P334" s="217"/>
      <c r="Q334" s="218"/>
    </row>
    <row r="335" spans="1:17" s="219" customFormat="1" hidden="1" x14ac:dyDescent="0.25">
      <c r="A335" s="214"/>
      <c r="B335" s="215" t="s">
        <v>1822</v>
      </c>
      <c r="C335" s="215" t="s">
        <v>1823</v>
      </c>
      <c r="D335" s="215" t="s">
        <v>1836</v>
      </c>
      <c r="E335" s="215" t="s">
        <v>2139</v>
      </c>
      <c r="F335" s="215" t="s">
        <v>1825</v>
      </c>
      <c r="G335" s="215" t="s">
        <v>143</v>
      </c>
      <c r="H335" s="216" t="s">
        <v>2155</v>
      </c>
      <c r="I335" s="217"/>
      <c r="J335" s="217"/>
      <c r="K335" s="217"/>
      <c r="L335" s="217"/>
      <c r="M335" s="217"/>
      <c r="N335" s="217"/>
      <c r="O335" s="217"/>
      <c r="P335" s="217"/>
      <c r="Q335" s="218"/>
    </row>
    <row r="336" spans="1:17" s="219" customFormat="1" hidden="1" x14ac:dyDescent="0.25">
      <c r="A336" s="214"/>
      <c r="B336" s="215" t="s">
        <v>1822</v>
      </c>
      <c r="C336" s="215" t="s">
        <v>1823</v>
      </c>
      <c r="D336" s="215" t="s">
        <v>1836</v>
      </c>
      <c r="E336" s="215" t="s">
        <v>2139</v>
      </c>
      <c r="F336" s="215" t="s">
        <v>1825</v>
      </c>
      <c r="G336" s="215" t="s">
        <v>146</v>
      </c>
      <c r="H336" s="216" t="s">
        <v>2156</v>
      </c>
      <c r="I336" s="217"/>
      <c r="J336" s="217"/>
      <c r="K336" s="217"/>
      <c r="L336" s="217"/>
      <c r="M336" s="217"/>
      <c r="N336" s="217"/>
      <c r="O336" s="217"/>
      <c r="P336" s="217"/>
      <c r="Q336" s="218"/>
    </row>
    <row r="337" spans="1:17" s="219" customFormat="1" hidden="1" x14ac:dyDescent="0.25">
      <c r="A337" s="214"/>
      <c r="B337" s="215" t="s">
        <v>1822</v>
      </c>
      <c r="C337" s="215" t="s">
        <v>1823</v>
      </c>
      <c r="D337" s="215" t="s">
        <v>1836</v>
      </c>
      <c r="E337" s="215" t="s">
        <v>2139</v>
      </c>
      <c r="F337" s="215" t="s">
        <v>1825</v>
      </c>
      <c r="G337" s="215" t="s">
        <v>150</v>
      </c>
      <c r="H337" s="216" t="s">
        <v>2157</v>
      </c>
      <c r="I337" s="217"/>
      <c r="J337" s="217"/>
      <c r="K337" s="217"/>
      <c r="L337" s="217"/>
      <c r="M337" s="217"/>
      <c r="N337" s="217"/>
      <c r="O337" s="217"/>
      <c r="P337" s="217"/>
      <c r="Q337" s="218"/>
    </row>
    <row r="338" spans="1:17" s="219" customFormat="1" hidden="1" x14ac:dyDescent="0.25">
      <c r="A338" s="214"/>
      <c r="B338" s="215" t="s">
        <v>1822</v>
      </c>
      <c r="C338" s="215" t="s">
        <v>1823</v>
      </c>
      <c r="D338" s="215" t="s">
        <v>1836</v>
      </c>
      <c r="E338" s="215" t="s">
        <v>2139</v>
      </c>
      <c r="F338" s="215" t="s">
        <v>1825</v>
      </c>
      <c r="G338" s="215" t="s">
        <v>153</v>
      </c>
      <c r="H338" s="216" t="s">
        <v>2158</v>
      </c>
      <c r="I338" s="217"/>
      <c r="J338" s="217"/>
      <c r="K338" s="217"/>
      <c r="L338" s="217"/>
      <c r="M338" s="217"/>
      <c r="N338" s="217"/>
      <c r="O338" s="217"/>
      <c r="P338" s="217"/>
      <c r="Q338" s="218"/>
    </row>
    <row r="339" spans="1:17" s="219" customFormat="1" hidden="1" x14ac:dyDescent="0.25">
      <c r="A339" s="214"/>
      <c r="B339" s="215" t="s">
        <v>1822</v>
      </c>
      <c r="C339" s="215" t="s">
        <v>1823</v>
      </c>
      <c r="D339" s="215" t="s">
        <v>1836</v>
      </c>
      <c r="E339" s="215" t="s">
        <v>2139</v>
      </c>
      <c r="F339" s="215" t="s">
        <v>1825</v>
      </c>
      <c r="G339" s="215" t="s">
        <v>156</v>
      </c>
      <c r="H339" s="216" t="s">
        <v>2159</v>
      </c>
      <c r="I339" s="217"/>
      <c r="J339" s="217"/>
      <c r="K339" s="217"/>
      <c r="L339" s="217"/>
      <c r="M339" s="217"/>
      <c r="N339" s="217"/>
      <c r="O339" s="217"/>
      <c r="P339" s="217"/>
      <c r="Q339" s="218"/>
    </row>
    <row r="340" spans="1:17" s="219" customFormat="1" hidden="1" x14ac:dyDescent="0.25">
      <c r="A340" s="214"/>
      <c r="B340" s="215" t="s">
        <v>1822</v>
      </c>
      <c r="C340" s="215" t="s">
        <v>1823</v>
      </c>
      <c r="D340" s="215" t="s">
        <v>1836</v>
      </c>
      <c r="E340" s="215" t="s">
        <v>2139</v>
      </c>
      <c r="F340" s="215" t="s">
        <v>1825</v>
      </c>
      <c r="G340" s="215" t="s">
        <v>159</v>
      </c>
      <c r="H340" s="216" t="s">
        <v>2160</v>
      </c>
      <c r="I340" s="217"/>
      <c r="J340" s="217"/>
      <c r="K340" s="217"/>
      <c r="L340" s="217"/>
      <c r="M340" s="217"/>
      <c r="N340" s="217"/>
      <c r="O340" s="217"/>
      <c r="P340" s="217"/>
      <c r="Q340" s="218"/>
    </row>
    <row r="341" spans="1:17" s="219" customFormat="1" hidden="1" x14ac:dyDescent="0.25">
      <c r="A341" s="214"/>
      <c r="B341" s="215" t="s">
        <v>1822</v>
      </c>
      <c r="C341" s="215" t="s">
        <v>1823</v>
      </c>
      <c r="D341" s="215" t="s">
        <v>1836</v>
      </c>
      <c r="E341" s="215" t="s">
        <v>2139</v>
      </c>
      <c r="F341" s="215" t="s">
        <v>1825</v>
      </c>
      <c r="G341" s="215" t="s">
        <v>162</v>
      </c>
      <c r="H341" s="216" t="s">
        <v>2161</v>
      </c>
      <c r="I341" s="217"/>
      <c r="J341" s="217"/>
      <c r="K341" s="217"/>
      <c r="L341" s="217"/>
      <c r="M341" s="217"/>
      <c r="N341" s="217"/>
      <c r="O341" s="217"/>
      <c r="P341" s="217"/>
      <c r="Q341" s="218"/>
    </row>
    <row r="342" spans="1:17" s="219" customFormat="1" hidden="1" x14ac:dyDescent="0.25">
      <c r="A342" s="214"/>
      <c r="B342" s="215" t="s">
        <v>1822</v>
      </c>
      <c r="C342" s="215" t="s">
        <v>1823</v>
      </c>
      <c r="D342" s="215" t="s">
        <v>1836</v>
      </c>
      <c r="E342" s="215" t="s">
        <v>2139</v>
      </c>
      <c r="F342" s="215" t="s">
        <v>1825</v>
      </c>
      <c r="G342" s="215" t="s">
        <v>312</v>
      </c>
      <c r="H342" s="216" t="s">
        <v>2162</v>
      </c>
      <c r="I342" s="217"/>
      <c r="J342" s="217"/>
      <c r="K342" s="217"/>
      <c r="L342" s="217"/>
      <c r="M342" s="217"/>
      <c r="N342" s="217"/>
      <c r="O342" s="217"/>
      <c r="P342" s="217"/>
      <c r="Q342" s="218"/>
    </row>
    <row r="343" spans="1:17" s="219" customFormat="1" hidden="1" x14ac:dyDescent="0.25">
      <c r="A343" s="214"/>
      <c r="B343" s="215" t="s">
        <v>1822</v>
      </c>
      <c r="C343" s="215" t="s">
        <v>1823</v>
      </c>
      <c r="D343" s="215" t="s">
        <v>1836</v>
      </c>
      <c r="E343" s="215" t="s">
        <v>2139</v>
      </c>
      <c r="F343" s="215" t="s">
        <v>1825</v>
      </c>
      <c r="G343" s="215" t="s">
        <v>313</v>
      </c>
      <c r="H343" s="216" t="s">
        <v>2163</v>
      </c>
      <c r="I343" s="217"/>
      <c r="J343" s="217"/>
      <c r="K343" s="217"/>
      <c r="L343" s="217"/>
      <c r="M343" s="217"/>
      <c r="N343" s="217"/>
      <c r="O343" s="217"/>
      <c r="P343" s="217"/>
      <c r="Q343" s="218"/>
    </row>
    <row r="344" spans="1:17" s="219" customFormat="1" hidden="1" x14ac:dyDescent="0.25">
      <c r="A344" s="214"/>
      <c r="B344" s="215" t="s">
        <v>1822</v>
      </c>
      <c r="C344" s="215" t="s">
        <v>1823</v>
      </c>
      <c r="D344" s="215" t="s">
        <v>1836</v>
      </c>
      <c r="E344" s="215" t="s">
        <v>2139</v>
      </c>
      <c r="F344" s="215" t="s">
        <v>1825</v>
      </c>
      <c r="G344" s="215" t="s">
        <v>559</v>
      </c>
      <c r="H344" s="216" t="s">
        <v>2164</v>
      </c>
      <c r="I344" s="217"/>
      <c r="J344" s="217"/>
      <c r="K344" s="217"/>
      <c r="L344" s="217"/>
      <c r="M344" s="217"/>
      <c r="N344" s="217"/>
      <c r="O344" s="217"/>
      <c r="P344" s="217"/>
      <c r="Q344" s="218"/>
    </row>
    <row r="345" spans="1:17" s="219" customFormat="1" hidden="1" x14ac:dyDescent="0.25">
      <c r="A345" s="214"/>
      <c r="B345" s="215" t="s">
        <v>1822</v>
      </c>
      <c r="C345" s="215" t="s">
        <v>1823</v>
      </c>
      <c r="D345" s="215" t="s">
        <v>1836</v>
      </c>
      <c r="E345" s="215" t="s">
        <v>2139</v>
      </c>
      <c r="F345" s="215" t="s">
        <v>1825</v>
      </c>
      <c r="G345" s="215" t="s">
        <v>561</v>
      </c>
      <c r="H345" s="216" t="s">
        <v>2165</v>
      </c>
      <c r="I345" s="217"/>
      <c r="J345" s="217"/>
      <c r="K345" s="217"/>
      <c r="L345" s="217"/>
      <c r="M345" s="217"/>
      <c r="N345" s="217"/>
      <c r="O345" s="217"/>
      <c r="P345" s="217"/>
      <c r="Q345" s="218"/>
    </row>
    <row r="346" spans="1:17" s="219" customFormat="1" ht="30" hidden="1" x14ac:dyDescent="0.25">
      <c r="A346" s="214"/>
      <c r="B346" s="215" t="s">
        <v>1822</v>
      </c>
      <c r="C346" s="215" t="s">
        <v>1823</v>
      </c>
      <c r="D346" s="215" t="s">
        <v>1836</v>
      </c>
      <c r="E346" s="215" t="s">
        <v>2139</v>
      </c>
      <c r="F346" s="215" t="s">
        <v>1825</v>
      </c>
      <c r="G346" s="215" t="s">
        <v>563</v>
      </c>
      <c r="H346" s="216" t="s">
        <v>2166</v>
      </c>
      <c r="I346" s="217"/>
      <c r="J346" s="217"/>
      <c r="K346" s="217"/>
      <c r="L346" s="217"/>
      <c r="M346" s="217"/>
      <c r="N346" s="217"/>
      <c r="O346" s="217"/>
      <c r="P346" s="217"/>
      <c r="Q346" s="218"/>
    </row>
    <row r="347" spans="1:17" s="219" customFormat="1" hidden="1" x14ac:dyDescent="0.25">
      <c r="A347" s="214"/>
      <c r="B347" s="215" t="s">
        <v>1822</v>
      </c>
      <c r="C347" s="215" t="s">
        <v>1823</v>
      </c>
      <c r="D347" s="215" t="s">
        <v>1836</v>
      </c>
      <c r="E347" s="215" t="s">
        <v>2139</v>
      </c>
      <c r="F347" s="215" t="s">
        <v>1825</v>
      </c>
      <c r="G347" s="215" t="s">
        <v>227</v>
      </c>
      <c r="H347" s="216" t="s">
        <v>2167</v>
      </c>
      <c r="I347" s="217"/>
      <c r="J347" s="217"/>
      <c r="K347" s="217"/>
      <c r="L347" s="217"/>
      <c r="M347" s="217"/>
      <c r="N347" s="217"/>
      <c r="O347" s="217"/>
      <c r="P347" s="217"/>
      <c r="Q347" s="218"/>
    </row>
    <row r="348" spans="1:17" s="219" customFormat="1" hidden="1" x14ac:dyDescent="0.25">
      <c r="A348" s="214"/>
      <c r="B348" s="215" t="s">
        <v>1822</v>
      </c>
      <c r="C348" s="215" t="s">
        <v>1823</v>
      </c>
      <c r="D348" s="215" t="s">
        <v>1836</v>
      </c>
      <c r="E348" s="215" t="s">
        <v>2139</v>
      </c>
      <c r="F348" s="215" t="s">
        <v>1825</v>
      </c>
      <c r="G348" s="215" t="s">
        <v>230</v>
      </c>
      <c r="H348" s="216" t="s">
        <v>2168</v>
      </c>
      <c r="I348" s="217"/>
      <c r="J348" s="217"/>
      <c r="K348" s="217"/>
      <c r="L348" s="217"/>
      <c r="M348" s="217"/>
      <c r="N348" s="217"/>
      <c r="O348" s="217"/>
      <c r="P348" s="217"/>
      <c r="Q348" s="218"/>
    </row>
    <row r="349" spans="1:17" s="219" customFormat="1" hidden="1" x14ac:dyDescent="0.25">
      <c r="A349" s="214"/>
      <c r="B349" s="215" t="s">
        <v>1822</v>
      </c>
      <c r="C349" s="215" t="s">
        <v>1823</v>
      </c>
      <c r="D349" s="215" t="s">
        <v>1836</v>
      </c>
      <c r="E349" s="215" t="s">
        <v>2139</v>
      </c>
      <c r="F349" s="215" t="s">
        <v>1825</v>
      </c>
      <c r="G349" s="215" t="s">
        <v>232</v>
      </c>
      <c r="H349" s="216" t="s">
        <v>2169</v>
      </c>
      <c r="I349" s="217"/>
      <c r="J349" s="217"/>
      <c r="K349" s="217"/>
      <c r="L349" s="217"/>
      <c r="M349" s="217"/>
      <c r="N349" s="217"/>
      <c r="O349" s="217"/>
      <c r="P349" s="217"/>
      <c r="Q349" s="218"/>
    </row>
    <row r="350" spans="1:17" s="219" customFormat="1" ht="30" hidden="1" x14ac:dyDescent="0.25">
      <c r="A350" s="214"/>
      <c r="B350" s="215" t="s">
        <v>1822</v>
      </c>
      <c r="C350" s="215" t="s">
        <v>1823</v>
      </c>
      <c r="D350" s="215" t="s">
        <v>1836</v>
      </c>
      <c r="E350" s="215" t="s">
        <v>2139</v>
      </c>
      <c r="F350" s="215" t="s">
        <v>1825</v>
      </c>
      <c r="G350" s="215" t="s">
        <v>234</v>
      </c>
      <c r="H350" s="216" t="s">
        <v>2170</v>
      </c>
      <c r="I350" s="217"/>
      <c r="J350" s="217"/>
      <c r="K350" s="217"/>
      <c r="L350" s="217"/>
      <c r="M350" s="217"/>
      <c r="N350" s="217"/>
      <c r="O350" s="217"/>
      <c r="P350" s="217"/>
      <c r="Q350" s="218"/>
    </row>
    <row r="351" spans="1:17" s="219" customFormat="1" ht="30" hidden="1" x14ac:dyDescent="0.25">
      <c r="A351" s="214"/>
      <c r="B351" s="215" t="s">
        <v>1822</v>
      </c>
      <c r="C351" s="215" t="s">
        <v>1823</v>
      </c>
      <c r="D351" s="215" t="s">
        <v>1836</v>
      </c>
      <c r="E351" s="215" t="s">
        <v>2139</v>
      </c>
      <c r="F351" s="215" t="s">
        <v>1825</v>
      </c>
      <c r="G351" s="215" t="s">
        <v>236</v>
      </c>
      <c r="H351" s="216" t="s">
        <v>2171</v>
      </c>
      <c r="I351" s="217"/>
      <c r="J351" s="217"/>
      <c r="K351" s="217"/>
      <c r="L351" s="217"/>
      <c r="M351" s="217"/>
      <c r="N351" s="217"/>
      <c r="O351" s="217"/>
      <c r="P351" s="217"/>
      <c r="Q351" s="218"/>
    </row>
    <row r="352" spans="1:17" s="219" customFormat="1" hidden="1" x14ac:dyDescent="0.25">
      <c r="A352" s="214"/>
      <c r="B352" s="215" t="s">
        <v>1822</v>
      </c>
      <c r="C352" s="215" t="s">
        <v>1823</v>
      </c>
      <c r="D352" s="215" t="s">
        <v>1836</v>
      </c>
      <c r="E352" s="215" t="s">
        <v>2139</v>
      </c>
      <c r="F352" s="215" t="s">
        <v>1825</v>
      </c>
      <c r="G352" s="215" t="s">
        <v>238</v>
      </c>
      <c r="H352" s="216" t="s">
        <v>2172</v>
      </c>
      <c r="I352" s="217"/>
      <c r="J352" s="217"/>
      <c r="K352" s="217"/>
      <c r="L352" s="217"/>
      <c r="M352" s="217"/>
      <c r="N352" s="217"/>
      <c r="O352" s="217"/>
      <c r="P352" s="217"/>
      <c r="Q352" s="218"/>
    </row>
    <row r="353" spans="1:17" s="219" customFormat="1" hidden="1" x14ac:dyDescent="0.25">
      <c r="A353" s="214"/>
      <c r="B353" s="215" t="s">
        <v>1822</v>
      </c>
      <c r="C353" s="215" t="s">
        <v>1823</v>
      </c>
      <c r="D353" s="215" t="s">
        <v>1836</v>
      </c>
      <c r="E353" s="215" t="s">
        <v>2139</v>
      </c>
      <c r="F353" s="215" t="s">
        <v>1825</v>
      </c>
      <c r="G353" s="215" t="s">
        <v>240</v>
      </c>
      <c r="H353" s="216" t="s">
        <v>2173</v>
      </c>
      <c r="I353" s="217"/>
      <c r="J353" s="217"/>
      <c r="K353" s="217"/>
      <c r="L353" s="217"/>
      <c r="M353" s="217"/>
      <c r="N353" s="217"/>
      <c r="O353" s="217"/>
      <c r="P353" s="217"/>
      <c r="Q353" s="218"/>
    </row>
    <row r="354" spans="1:17" s="219" customFormat="1" ht="30" hidden="1" x14ac:dyDescent="0.25">
      <c r="A354" s="214"/>
      <c r="B354" s="215" t="s">
        <v>1822</v>
      </c>
      <c r="C354" s="215" t="s">
        <v>1823</v>
      </c>
      <c r="D354" s="215" t="s">
        <v>1836</v>
      </c>
      <c r="E354" s="215" t="s">
        <v>2139</v>
      </c>
      <c r="F354" s="215" t="s">
        <v>1825</v>
      </c>
      <c r="G354" s="215" t="s">
        <v>242</v>
      </c>
      <c r="H354" s="216" t="s">
        <v>2174</v>
      </c>
      <c r="I354" s="217"/>
      <c r="J354" s="217"/>
      <c r="K354" s="217"/>
      <c r="L354" s="217"/>
      <c r="M354" s="217"/>
      <c r="N354" s="217"/>
      <c r="O354" s="217"/>
      <c r="P354" s="217"/>
      <c r="Q354" s="218"/>
    </row>
    <row r="355" spans="1:17" s="219" customFormat="1" ht="30" hidden="1" x14ac:dyDescent="0.25">
      <c r="A355" s="214"/>
      <c r="B355" s="215" t="s">
        <v>1822</v>
      </c>
      <c r="C355" s="215" t="s">
        <v>1823</v>
      </c>
      <c r="D355" s="215" t="s">
        <v>1836</v>
      </c>
      <c r="E355" s="215" t="s">
        <v>2139</v>
      </c>
      <c r="F355" s="215" t="s">
        <v>1825</v>
      </c>
      <c r="G355" s="215" t="s">
        <v>244</v>
      </c>
      <c r="H355" s="216" t="s">
        <v>2175</v>
      </c>
      <c r="I355" s="217"/>
      <c r="J355" s="217"/>
      <c r="K355" s="217"/>
      <c r="L355" s="217"/>
      <c r="M355" s="217"/>
      <c r="N355" s="217"/>
      <c r="O355" s="217"/>
      <c r="P355" s="217"/>
      <c r="Q355" s="218"/>
    </row>
    <row r="356" spans="1:17" s="219" customFormat="1" hidden="1" x14ac:dyDescent="0.25">
      <c r="A356" s="214"/>
      <c r="B356" s="215" t="s">
        <v>1822</v>
      </c>
      <c r="C356" s="215" t="s">
        <v>1823</v>
      </c>
      <c r="D356" s="215" t="s">
        <v>1836</v>
      </c>
      <c r="E356" s="215" t="s">
        <v>2139</v>
      </c>
      <c r="F356" s="215" t="s">
        <v>1825</v>
      </c>
      <c r="G356" s="215" t="s">
        <v>246</v>
      </c>
      <c r="H356" s="216" t="s">
        <v>2176</v>
      </c>
      <c r="I356" s="217"/>
      <c r="J356" s="217"/>
      <c r="K356" s="217"/>
      <c r="L356" s="217"/>
      <c r="M356" s="217"/>
      <c r="N356" s="217"/>
      <c r="O356" s="217"/>
      <c r="P356" s="217"/>
      <c r="Q356" s="218"/>
    </row>
    <row r="357" spans="1:17" s="219" customFormat="1" ht="30" hidden="1" x14ac:dyDescent="0.25">
      <c r="A357" s="214"/>
      <c r="B357" s="215" t="s">
        <v>1822</v>
      </c>
      <c r="C357" s="215" t="s">
        <v>1823</v>
      </c>
      <c r="D357" s="215" t="s">
        <v>1836</v>
      </c>
      <c r="E357" s="215" t="s">
        <v>2139</v>
      </c>
      <c r="F357" s="215" t="s">
        <v>1825</v>
      </c>
      <c r="G357" s="215" t="s">
        <v>407</v>
      </c>
      <c r="H357" s="216" t="s">
        <v>2177</v>
      </c>
      <c r="I357" s="217"/>
      <c r="J357" s="217"/>
      <c r="K357" s="217"/>
      <c r="L357" s="217"/>
      <c r="M357" s="217"/>
      <c r="N357" s="217"/>
      <c r="O357" s="217"/>
      <c r="P357" s="217"/>
      <c r="Q357" s="218"/>
    </row>
    <row r="358" spans="1:17" s="219" customFormat="1" ht="30" hidden="1" x14ac:dyDescent="0.25">
      <c r="A358" s="214"/>
      <c r="B358" s="215" t="s">
        <v>1822</v>
      </c>
      <c r="C358" s="215" t="s">
        <v>1823</v>
      </c>
      <c r="D358" s="215" t="s">
        <v>1836</v>
      </c>
      <c r="E358" s="215" t="s">
        <v>2139</v>
      </c>
      <c r="F358" s="215" t="s">
        <v>1825</v>
      </c>
      <c r="G358" s="215" t="s">
        <v>408</v>
      </c>
      <c r="H358" s="216" t="s">
        <v>2178</v>
      </c>
      <c r="I358" s="217"/>
      <c r="J358" s="217"/>
      <c r="K358" s="217"/>
      <c r="L358" s="217"/>
      <c r="M358" s="217"/>
      <c r="N358" s="217"/>
      <c r="O358" s="217"/>
      <c r="P358" s="217"/>
      <c r="Q358" s="218"/>
    </row>
    <row r="359" spans="1:17" s="219" customFormat="1" ht="30" hidden="1" x14ac:dyDescent="0.25">
      <c r="A359" s="214"/>
      <c r="B359" s="215" t="s">
        <v>1822</v>
      </c>
      <c r="C359" s="215" t="s">
        <v>1823</v>
      </c>
      <c r="D359" s="215" t="s">
        <v>1836</v>
      </c>
      <c r="E359" s="215" t="s">
        <v>2139</v>
      </c>
      <c r="F359" s="215" t="s">
        <v>1825</v>
      </c>
      <c r="G359" s="215" t="s">
        <v>409</v>
      </c>
      <c r="H359" s="216" t="s">
        <v>2179</v>
      </c>
      <c r="I359" s="217"/>
      <c r="J359" s="217"/>
      <c r="K359" s="217"/>
      <c r="L359" s="217"/>
      <c r="M359" s="217"/>
      <c r="N359" s="217"/>
      <c r="O359" s="217"/>
      <c r="P359" s="217"/>
      <c r="Q359" s="218"/>
    </row>
    <row r="360" spans="1:17" s="219" customFormat="1" hidden="1" x14ac:dyDescent="0.25">
      <c r="A360" s="214"/>
      <c r="B360" s="215" t="s">
        <v>1822</v>
      </c>
      <c r="C360" s="215" t="s">
        <v>1823</v>
      </c>
      <c r="D360" s="215" t="s">
        <v>1836</v>
      </c>
      <c r="E360" s="215" t="s">
        <v>2139</v>
      </c>
      <c r="F360" s="215" t="s">
        <v>1825</v>
      </c>
      <c r="G360" s="215" t="s">
        <v>788</v>
      </c>
      <c r="H360" s="216" t="s">
        <v>2180</v>
      </c>
      <c r="I360" s="217"/>
      <c r="J360" s="217"/>
      <c r="K360" s="217"/>
      <c r="L360" s="217"/>
      <c r="M360" s="217"/>
      <c r="N360" s="217"/>
      <c r="O360" s="217"/>
      <c r="P360" s="217"/>
      <c r="Q360" s="218"/>
    </row>
    <row r="361" spans="1:17" s="219" customFormat="1" ht="30" hidden="1" x14ac:dyDescent="0.25">
      <c r="A361" s="214"/>
      <c r="B361" s="215" t="s">
        <v>1822</v>
      </c>
      <c r="C361" s="215" t="s">
        <v>1823</v>
      </c>
      <c r="D361" s="215" t="s">
        <v>1836</v>
      </c>
      <c r="E361" s="215" t="s">
        <v>2139</v>
      </c>
      <c r="F361" s="215" t="s">
        <v>1825</v>
      </c>
      <c r="G361" s="215" t="s">
        <v>1017</v>
      </c>
      <c r="H361" s="216" t="s">
        <v>2181</v>
      </c>
      <c r="I361" s="217"/>
      <c r="J361" s="217"/>
      <c r="K361" s="217"/>
      <c r="L361" s="217"/>
      <c r="M361" s="217"/>
      <c r="N361" s="217"/>
      <c r="O361" s="217"/>
      <c r="P361" s="217"/>
      <c r="Q361" s="218"/>
    </row>
    <row r="362" spans="1:17" s="219" customFormat="1" hidden="1" x14ac:dyDescent="0.25">
      <c r="A362" s="214"/>
      <c r="B362" s="215" t="s">
        <v>1822</v>
      </c>
      <c r="C362" s="215" t="s">
        <v>1823</v>
      </c>
      <c r="D362" s="215" t="s">
        <v>1836</v>
      </c>
      <c r="E362" s="215" t="s">
        <v>2139</v>
      </c>
      <c r="F362" s="215" t="s">
        <v>1825</v>
      </c>
      <c r="G362" s="215" t="s">
        <v>411</v>
      </c>
      <c r="H362" s="216" t="s">
        <v>1991</v>
      </c>
      <c r="I362" s="217"/>
      <c r="J362" s="217"/>
      <c r="K362" s="217"/>
      <c r="L362" s="217"/>
      <c r="M362" s="217"/>
      <c r="N362" s="217"/>
      <c r="O362" s="217"/>
      <c r="P362" s="217"/>
      <c r="Q362" s="218"/>
    </row>
    <row r="363" spans="1:17" s="219" customFormat="1" ht="30" hidden="1" x14ac:dyDescent="0.25">
      <c r="A363" s="214"/>
      <c r="B363" s="215" t="s">
        <v>1822</v>
      </c>
      <c r="C363" s="215" t="s">
        <v>1823</v>
      </c>
      <c r="D363" s="215" t="s">
        <v>1836</v>
      </c>
      <c r="E363" s="215" t="s">
        <v>2139</v>
      </c>
      <c r="F363" s="215" t="s">
        <v>1825</v>
      </c>
      <c r="G363" s="215" t="s">
        <v>247</v>
      </c>
      <c r="H363" s="216" t="s">
        <v>2182</v>
      </c>
      <c r="I363" s="217"/>
      <c r="J363" s="217"/>
      <c r="K363" s="217"/>
      <c r="L363" s="217"/>
      <c r="M363" s="217"/>
      <c r="N363" s="217"/>
      <c r="O363" s="217"/>
      <c r="P363" s="217"/>
      <c r="Q363" s="218"/>
    </row>
    <row r="364" spans="1:17" s="219" customFormat="1" hidden="1" x14ac:dyDescent="0.25">
      <c r="A364" s="214"/>
      <c r="B364" s="215" t="s">
        <v>1822</v>
      </c>
      <c r="C364" s="215" t="s">
        <v>1823</v>
      </c>
      <c r="D364" s="215" t="s">
        <v>1836</v>
      </c>
      <c r="E364" s="215" t="s">
        <v>2139</v>
      </c>
      <c r="F364" s="215" t="s">
        <v>1825</v>
      </c>
      <c r="G364" s="215" t="s">
        <v>1019</v>
      </c>
      <c r="H364" s="216" t="s">
        <v>2183</v>
      </c>
      <c r="I364" s="217"/>
      <c r="J364" s="217"/>
      <c r="K364" s="217"/>
      <c r="L364" s="217"/>
      <c r="M364" s="217"/>
      <c r="N364" s="217"/>
      <c r="O364" s="217"/>
      <c r="P364" s="217"/>
      <c r="Q364" s="218"/>
    </row>
    <row r="365" spans="1:17" s="219" customFormat="1" ht="30" hidden="1" x14ac:dyDescent="0.25">
      <c r="A365" s="214"/>
      <c r="B365" s="215" t="s">
        <v>1822</v>
      </c>
      <c r="C365" s="215" t="s">
        <v>1823</v>
      </c>
      <c r="D365" s="215" t="s">
        <v>1836</v>
      </c>
      <c r="E365" s="215" t="s">
        <v>2139</v>
      </c>
      <c r="F365" s="215" t="s">
        <v>1825</v>
      </c>
      <c r="G365" s="215" t="s">
        <v>1022</v>
      </c>
      <c r="H365" s="216" t="s">
        <v>2184</v>
      </c>
      <c r="I365" s="217"/>
      <c r="J365" s="217"/>
      <c r="K365" s="217"/>
      <c r="L365" s="217"/>
      <c r="M365" s="217"/>
      <c r="N365" s="217"/>
      <c r="O365" s="217"/>
      <c r="P365" s="217"/>
      <c r="Q365" s="218"/>
    </row>
    <row r="366" spans="1:17" s="219" customFormat="1" hidden="1" x14ac:dyDescent="0.25">
      <c r="A366" s="214"/>
      <c r="B366" s="215" t="s">
        <v>1822</v>
      </c>
      <c r="C366" s="215" t="s">
        <v>1823</v>
      </c>
      <c r="D366" s="215" t="s">
        <v>1836</v>
      </c>
      <c r="E366" s="215" t="s">
        <v>2139</v>
      </c>
      <c r="F366" s="215" t="s">
        <v>1825</v>
      </c>
      <c r="G366" s="215" t="s">
        <v>1024</v>
      </c>
      <c r="H366" s="216" t="s">
        <v>2185</v>
      </c>
      <c r="I366" s="217"/>
      <c r="J366" s="217"/>
      <c r="K366" s="217"/>
      <c r="L366" s="217"/>
      <c r="M366" s="217"/>
      <c r="N366" s="217"/>
      <c r="O366" s="217"/>
      <c r="P366" s="217"/>
      <c r="Q366" s="218"/>
    </row>
    <row r="367" spans="1:17" s="219" customFormat="1" ht="30" hidden="1" x14ac:dyDescent="0.25">
      <c r="A367" s="214"/>
      <c r="B367" s="215" t="s">
        <v>1822</v>
      </c>
      <c r="C367" s="215" t="s">
        <v>1823</v>
      </c>
      <c r="D367" s="215" t="s">
        <v>1836</v>
      </c>
      <c r="E367" s="215" t="s">
        <v>2139</v>
      </c>
      <c r="F367" s="215" t="s">
        <v>1825</v>
      </c>
      <c r="G367" s="215" t="s">
        <v>1026</v>
      </c>
      <c r="H367" s="216" t="s">
        <v>2186</v>
      </c>
      <c r="I367" s="217"/>
      <c r="J367" s="217"/>
      <c r="K367" s="217"/>
      <c r="L367" s="217"/>
      <c r="M367" s="217"/>
      <c r="N367" s="217"/>
      <c r="O367" s="217"/>
      <c r="P367" s="217"/>
      <c r="Q367" s="218"/>
    </row>
    <row r="368" spans="1:17" s="219" customFormat="1" hidden="1" x14ac:dyDescent="0.25">
      <c r="A368" s="214"/>
      <c r="B368" s="215" t="s">
        <v>1822</v>
      </c>
      <c r="C368" s="215" t="s">
        <v>1823</v>
      </c>
      <c r="D368" s="215" t="s">
        <v>1836</v>
      </c>
      <c r="E368" s="215" t="s">
        <v>2139</v>
      </c>
      <c r="F368" s="215" t="s">
        <v>1825</v>
      </c>
      <c r="G368" s="215" t="s">
        <v>416</v>
      </c>
      <c r="H368" s="216" t="s">
        <v>2187</v>
      </c>
      <c r="I368" s="217"/>
      <c r="J368" s="217"/>
      <c r="K368" s="217"/>
      <c r="L368" s="217"/>
      <c r="M368" s="217"/>
      <c r="N368" s="217"/>
      <c r="O368" s="217"/>
      <c r="P368" s="217"/>
      <c r="Q368" s="218"/>
    </row>
    <row r="369" spans="1:17" s="219" customFormat="1" hidden="1" x14ac:dyDescent="0.25">
      <c r="A369" s="214"/>
      <c r="B369" s="215" t="s">
        <v>1822</v>
      </c>
      <c r="C369" s="215" t="s">
        <v>1823</v>
      </c>
      <c r="D369" s="215" t="s">
        <v>1836</v>
      </c>
      <c r="E369" s="215" t="s">
        <v>2139</v>
      </c>
      <c r="F369" s="215" t="s">
        <v>1825</v>
      </c>
      <c r="G369" s="215" t="s">
        <v>417</v>
      </c>
      <c r="H369" s="216" t="s">
        <v>2188</v>
      </c>
      <c r="I369" s="217"/>
      <c r="J369" s="217"/>
      <c r="K369" s="217"/>
      <c r="L369" s="217"/>
      <c r="M369" s="217"/>
      <c r="N369" s="217"/>
      <c r="O369" s="217"/>
      <c r="P369" s="217"/>
      <c r="Q369" s="218"/>
    </row>
    <row r="370" spans="1:17" s="219" customFormat="1" hidden="1" x14ac:dyDescent="0.25">
      <c r="A370" s="214"/>
      <c r="B370" s="215" t="s">
        <v>1822</v>
      </c>
      <c r="C370" s="215" t="s">
        <v>1823</v>
      </c>
      <c r="D370" s="215" t="s">
        <v>1836</v>
      </c>
      <c r="E370" s="215" t="s">
        <v>2139</v>
      </c>
      <c r="F370" s="215" t="s">
        <v>1825</v>
      </c>
      <c r="G370" s="215" t="s">
        <v>1028</v>
      </c>
      <c r="H370" s="216" t="s">
        <v>2189</v>
      </c>
      <c r="I370" s="217"/>
      <c r="J370" s="217"/>
      <c r="K370" s="217"/>
      <c r="L370" s="217"/>
      <c r="M370" s="217"/>
      <c r="N370" s="217"/>
      <c r="O370" s="217"/>
      <c r="P370" s="217"/>
      <c r="Q370" s="218"/>
    </row>
    <row r="371" spans="1:17" s="219" customFormat="1" hidden="1" x14ac:dyDescent="0.25">
      <c r="A371" s="214"/>
      <c r="B371" s="215" t="s">
        <v>1822</v>
      </c>
      <c r="C371" s="215" t="s">
        <v>1823</v>
      </c>
      <c r="D371" s="215" t="s">
        <v>1836</v>
      </c>
      <c r="E371" s="215" t="s">
        <v>2139</v>
      </c>
      <c r="F371" s="215" t="s">
        <v>1825</v>
      </c>
      <c r="G371" s="215" t="s">
        <v>1029</v>
      </c>
      <c r="H371" s="216" t="s">
        <v>2190</v>
      </c>
      <c r="I371" s="217"/>
      <c r="J371" s="217"/>
      <c r="K371" s="217"/>
      <c r="L371" s="217"/>
      <c r="M371" s="217"/>
      <c r="N371" s="217"/>
      <c r="O371" s="217"/>
      <c r="P371" s="217"/>
      <c r="Q371" s="218"/>
    </row>
    <row r="372" spans="1:17" s="219" customFormat="1" ht="30" hidden="1" x14ac:dyDescent="0.25">
      <c r="A372" s="214"/>
      <c r="B372" s="215" t="s">
        <v>1822</v>
      </c>
      <c r="C372" s="215" t="s">
        <v>1823</v>
      </c>
      <c r="D372" s="215" t="s">
        <v>1836</v>
      </c>
      <c r="E372" s="215" t="s">
        <v>2139</v>
      </c>
      <c r="F372" s="215" t="s">
        <v>1825</v>
      </c>
      <c r="G372" s="215" t="s">
        <v>1030</v>
      </c>
      <c r="H372" s="216" t="s">
        <v>2191</v>
      </c>
      <c r="I372" s="217"/>
      <c r="J372" s="217"/>
      <c r="K372" s="217"/>
      <c r="L372" s="217"/>
      <c r="M372" s="217"/>
      <c r="N372" s="217"/>
      <c r="O372" s="217"/>
      <c r="P372" s="217"/>
      <c r="Q372" s="218"/>
    </row>
    <row r="373" spans="1:17" s="219" customFormat="1" hidden="1" x14ac:dyDescent="0.25">
      <c r="A373" s="214"/>
      <c r="B373" s="215" t="s">
        <v>1822</v>
      </c>
      <c r="C373" s="215" t="s">
        <v>1823</v>
      </c>
      <c r="D373" s="215" t="s">
        <v>1836</v>
      </c>
      <c r="E373" s="215" t="s">
        <v>2139</v>
      </c>
      <c r="F373" s="215" t="s">
        <v>1825</v>
      </c>
      <c r="G373" s="215" t="s">
        <v>1032</v>
      </c>
      <c r="H373" s="216" t="s">
        <v>2192</v>
      </c>
      <c r="I373" s="217"/>
      <c r="J373" s="217"/>
      <c r="K373" s="217"/>
      <c r="L373" s="217"/>
      <c r="M373" s="217"/>
      <c r="N373" s="217"/>
      <c r="O373" s="217"/>
      <c r="P373" s="217"/>
      <c r="Q373" s="218"/>
    </row>
    <row r="374" spans="1:17" s="219" customFormat="1" hidden="1" x14ac:dyDescent="0.25">
      <c r="A374" s="214"/>
      <c r="B374" s="215" t="s">
        <v>1822</v>
      </c>
      <c r="C374" s="215" t="s">
        <v>1823</v>
      </c>
      <c r="D374" s="215" t="s">
        <v>1836</v>
      </c>
      <c r="E374" s="215" t="s">
        <v>2139</v>
      </c>
      <c r="F374" s="215" t="s">
        <v>1825</v>
      </c>
      <c r="G374" s="215" t="s">
        <v>1212</v>
      </c>
      <c r="H374" s="216" t="s">
        <v>2193</v>
      </c>
      <c r="I374" s="217"/>
      <c r="J374" s="217"/>
      <c r="K374" s="217"/>
      <c r="L374" s="217"/>
      <c r="M374" s="217"/>
      <c r="N374" s="217"/>
      <c r="O374" s="217"/>
      <c r="P374" s="217"/>
      <c r="Q374" s="218"/>
    </row>
    <row r="375" spans="1:17" s="219" customFormat="1" hidden="1" x14ac:dyDescent="0.25">
      <c r="A375" s="214"/>
      <c r="B375" s="215" t="s">
        <v>1822</v>
      </c>
      <c r="C375" s="215" t="s">
        <v>1823</v>
      </c>
      <c r="D375" s="215" t="s">
        <v>1836</v>
      </c>
      <c r="E375" s="215" t="s">
        <v>2139</v>
      </c>
      <c r="F375" s="215" t="s">
        <v>1825</v>
      </c>
      <c r="G375" s="215" t="s">
        <v>791</v>
      </c>
      <c r="H375" s="216" t="s">
        <v>2194</v>
      </c>
      <c r="I375" s="217"/>
      <c r="J375" s="217"/>
      <c r="K375" s="217"/>
      <c r="L375" s="217"/>
      <c r="M375" s="217"/>
      <c r="N375" s="217"/>
      <c r="O375" s="217"/>
      <c r="P375" s="217"/>
      <c r="Q375" s="218"/>
    </row>
    <row r="376" spans="1:17" s="219" customFormat="1" ht="30" hidden="1" x14ac:dyDescent="0.25">
      <c r="A376" s="214"/>
      <c r="B376" s="215" t="s">
        <v>1822</v>
      </c>
      <c r="C376" s="215" t="s">
        <v>1823</v>
      </c>
      <c r="D376" s="215" t="s">
        <v>1836</v>
      </c>
      <c r="E376" s="215" t="s">
        <v>2139</v>
      </c>
      <c r="F376" s="215" t="s">
        <v>1825</v>
      </c>
      <c r="G376" s="215" t="s">
        <v>420</v>
      </c>
      <c r="H376" s="216" t="s">
        <v>2195</v>
      </c>
      <c r="I376" s="217"/>
      <c r="J376" s="217"/>
      <c r="K376" s="217"/>
      <c r="L376" s="217"/>
      <c r="M376" s="217"/>
      <c r="N376" s="217"/>
      <c r="O376" s="217"/>
      <c r="P376" s="217"/>
      <c r="Q376" s="218"/>
    </row>
    <row r="377" spans="1:17" s="219" customFormat="1" hidden="1" x14ac:dyDescent="0.25">
      <c r="A377" s="214"/>
      <c r="B377" s="215" t="s">
        <v>1822</v>
      </c>
      <c r="C377" s="215" t="s">
        <v>1823</v>
      </c>
      <c r="D377" s="215" t="s">
        <v>1836</v>
      </c>
      <c r="E377" s="215" t="s">
        <v>2139</v>
      </c>
      <c r="F377" s="215" t="s">
        <v>1825</v>
      </c>
      <c r="G377" s="215" t="s">
        <v>1224</v>
      </c>
      <c r="H377" s="216" t="s">
        <v>2196</v>
      </c>
      <c r="I377" s="217"/>
      <c r="J377" s="217"/>
      <c r="K377" s="217"/>
      <c r="L377" s="217"/>
      <c r="M377" s="217"/>
      <c r="N377" s="217"/>
      <c r="O377" s="217"/>
      <c r="P377" s="217"/>
      <c r="Q377" s="218"/>
    </row>
    <row r="378" spans="1:17" s="219" customFormat="1" ht="30" hidden="1" x14ac:dyDescent="0.25">
      <c r="A378" s="214"/>
      <c r="B378" s="215" t="s">
        <v>1822</v>
      </c>
      <c r="C378" s="215" t="s">
        <v>1823</v>
      </c>
      <c r="D378" s="215" t="s">
        <v>1836</v>
      </c>
      <c r="E378" s="215" t="s">
        <v>2139</v>
      </c>
      <c r="F378" s="215" t="s">
        <v>1825</v>
      </c>
      <c r="G378" s="215" t="s">
        <v>1226</v>
      </c>
      <c r="H378" s="216" t="s">
        <v>2197</v>
      </c>
      <c r="I378" s="217"/>
      <c r="J378" s="217"/>
      <c r="K378" s="217"/>
      <c r="L378" s="217"/>
      <c r="M378" s="217"/>
      <c r="N378" s="217"/>
      <c r="O378" s="217"/>
      <c r="P378" s="217"/>
      <c r="Q378" s="218"/>
    </row>
    <row r="379" spans="1:17" s="219" customFormat="1" hidden="1" x14ac:dyDescent="0.25">
      <c r="A379" s="214"/>
      <c r="B379" s="215" t="s">
        <v>1822</v>
      </c>
      <c r="C379" s="215" t="s">
        <v>1823</v>
      </c>
      <c r="D379" s="215" t="s">
        <v>1836</v>
      </c>
      <c r="E379" s="215" t="s">
        <v>2139</v>
      </c>
      <c r="F379" s="215" t="s">
        <v>1825</v>
      </c>
      <c r="G379" s="215" t="s">
        <v>2198</v>
      </c>
      <c r="H379" s="216" t="s">
        <v>2199</v>
      </c>
      <c r="I379" s="217"/>
      <c r="J379" s="217"/>
      <c r="K379" s="217"/>
      <c r="L379" s="217"/>
      <c r="M379" s="217"/>
      <c r="N379" s="217"/>
      <c r="O379" s="217"/>
      <c r="P379" s="217"/>
      <c r="Q379" s="218"/>
    </row>
    <row r="380" spans="1:17" s="219" customFormat="1" ht="30" hidden="1" x14ac:dyDescent="0.25">
      <c r="A380" s="214"/>
      <c r="B380" s="215" t="s">
        <v>1822</v>
      </c>
      <c r="C380" s="215" t="s">
        <v>1823</v>
      </c>
      <c r="D380" s="215" t="s">
        <v>1836</v>
      </c>
      <c r="E380" s="215" t="s">
        <v>2139</v>
      </c>
      <c r="F380" s="215" t="s">
        <v>1825</v>
      </c>
      <c r="G380" s="215" t="s">
        <v>422</v>
      </c>
      <c r="H380" s="216" t="s">
        <v>2200</v>
      </c>
      <c r="I380" s="217"/>
      <c r="J380" s="217"/>
      <c r="K380" s="217"/>
      <c r="L380" s="217"/>
      <c r="M380" s="217"/>
      <c r="N380" s="217"/>
      <c r="O380" s="217"/>
      <c r="P380" s="217"/>
      <c r="Q380" s="218"/>
    </row>
    <row r="381" spans="1:17" s="219" customFormat="1" hidden="1" x14ac:dyDescent="0.25">
      <c r="A381" s="214"/>
      <c r="B381" s="215" t="s">
        <v>1822</v>
      </c>
      <c r="C381" s="215" t="s">
        <v>1823</v>
      </c>
      <c r="D381" s="215" t="s">
        <v>1836</v>
      </c>
      <c r="E381" s="215" t="s">
        <v>2139</v>
      </c>
      <c r="F381" s="215" t="s">
        <v>1825</v>
      </c>
      <c r="G381" s="215" t="s">
        <v>423</v>
      </c>
      <c r="H381" s="216" t="s">
        <v>2201</v>
      </c>
      <c r="I381" s="217"/>
      <c r="J381" s="217"/>
      <c r="K381" s="217"/>
      <c r="L381" s="217"/>
      <c r="M381" s="217"/>
      <c r="N381" s="217"/>
      <c r="O381" s="217"/>
      <c r="P381" s="217"/>
      <c r="Q381" s="218"/>
    </row>
    <row r="382" spans="1:17" s="219" customFormat="1" ht="30" hidden="1" x14ac:dyDescent="0.25">
      <c r="A382" s="214"/>
      <c r="B382" s="215" t="s">
        <v>1822</v>
      </c>
      <c r="C382" s="215" t="s">
        <v>1823</v>
      </c>
      <c r="D382" s="215" t="s">
        <v>1836</v>
      </c>
      <c r="E382" s="215" t="s">
        <v>2139</v>
      </c>
      <c r="F382" s="215" t="s">
        <v>1825</v>
      </c>
      <c r="G382" s="215" t="s">
        <v>575</v>
      </c>
      <c r="H382" s="216" t="s">
        <v>2202</v>
      </c>
      <c r="I382" s="217"/>
      <c r="J382" s="217"/>
      <c r="K382" s="217"/>
      <c r="L382" s="217"/>
      <c r="M382" s="217"/>
      <c r="N382" s="217"/>
      <c r="O382" s="217"/>
      <c r="P382" s="217"/>
      <c r="Q382" s="218"/>
    </row>
    <row r="383" spans="1:17" s="219" customFormat="1" hidden="1" x14ac:dyDescent="0.25">
      <c r="A383" s="214"/>
      <c r="B383" s="215" t="s">
        <v>1822</v>
      </c>
      <c r="C383" s="215" t="s">
        <v>1823</v>
      </c>
      <c r="D383" s="215" t="s">
        <v>1836</v>
      </c>
      <c r="E383" s="215" t="s">
        <v>2139</v>
      </c>
      <c r="F383" s="215" t="s">
        <v>1825</v>
      </c>
      <c r="G383" s="215" t="s">
        <v>576</v>
      </c>
      <c r="H383" s="216" t="s">
        <v>2203</v>
      </c>
      <c r="I383" s="217"/>
      <c r="J383" s="217"/>
      <c r="K383" s="217"/>
      <c r="L383" s="217"/>
      <c r="M383" s="217"/>
      <c r="N383" s="217"/>
      <c r="O383" s="217"/>
      <c r="P383" s="217"/>
      <c r="Q383" s="218"/>
    </row>
    <row r="384" spans="1:17" s="219" customFormat="1" hidden="1" x14ac:dyDescent="0.25">
      <c r="A384" s="214"/>
      <c r="B384" s="215" t="s">
        <v>1822</v>
      </c>
      <c r="C384" s="215" t="s">
        <v>1823</v>
      </c>
      <c r="D384" s="215" t="s">
        <v>1836</v>
      </c>
      <c r="E384" s="215" t="s">
        <v>2139</v>
      </c>
      <c r="F384" s="215" t="s">
        <v>1825</v>
      </c>
      <c r="G384" s="215" t="s">
        <v>577</v>
      </c>
      <c r="H384" s="216" t="s">
        <v>2204</v>
      </c>
      <c r="I384" s="217"/>
      <c r="J384" s="217"/>
      <c r="K384" s="217"/>
      <c r="L384" s="217"/>
      <c r="M384" s="217"/>
      <c r="N384" s="217"/>
      <c r="O384" s="217"/>
      <c r="P384" s="217"/>
      <c r="Q384" s="218"/>
    </row>
    <row r="385" spans="1:17" s="219" customFormat="1" hidden="1" x14ac:dyDescent="0.25">
      <c r="A385" s="214"/>
      <c r="B385" s="215" t="s">
        <v>1822</v>
      </c>
      <c r="C385" s="215" t="s">
        <v>1823</v>
      </c>
      <c r="D385" s="215" t="s">
        <v>1836</v>
      </c>
      <c r="E385" s="215" t="s">
        <v>2139</v>
      </c>
      <c r="F385" s="215" t="s">
        <v>1825</v>
      </c>
      <c r="G385" s="215" t="s">
        <v>2205</v>
      </c>
      <c r="H385" s="216" t="s">
        <v>2206</v>
      </c>
      <c r="I385" s="217"/>
      <c r="J385" s="217"/>
      <c r="K385" s="217"/>
      <c r="L385" s="217"/>
      <c r="M385" s="217"/>
      <c r="N385" s="217"/>
      <c r="O385" s="217"/>
      <c r="P385" s="217"/>
      <c r="Q385" s="218"/>
    </row>
    <row r="386" spans="1:17" s="213" customFormat="1" hidden="1" x14ac:dyDescent="0.25">
      <c r="A386" s="208" t="s">
        <v>263</v>
      </c>
      <c r="B386" s="209" t="s">
        <v>1822</v>
      </c>
      <c r="C386" s="209" t="s">
        <v>1823</v>
      </c>
      <c r="D386" s="209" t="s">
        <v>1836</v>
      </c>
      <c r="E386" s="209" t="s">
        <v>2139</v>
      </c>
      <c r="F386" s="209" t="s">
        <v>1836</v>
      </c>
      <c r="G386" s="209"/>
      <c r="H386" s="210" t="s">
        <v>2207</v>
      </c>
      <c r="I386" s="211">
        <f>SUM(I387:I392)</f>
        <v>0</v>
      </c>
      <c r="J386" s="211">
        <f t="shared" ref="J386:O386" si="37">SUM(J387:J392)</f>
        <v>0</v>
      </c>
      <c r="K386" s="211">
        <f t="shared" si="37"/>
        <v>0</v>
      </c>
      <c r="L386" s="211">
        <f t="shared" si="37"/>
        <v>0</v>
      </c>
      <c r="M386" s="211">
        <f t="shared" si="37"/>
        <v>0</v>
      </c>
      <c r="N386" s="211">
        <f t="shared" si="37"/>
        <v>0</v>
      </c>
      <c r="O386" s="211">
        <f t="shared" si="37"/>
        <v>0</v>
      </c>
      <c r="P386" s="211"/>
      <c r="Q386" s="212"/>
    </row>
    <row r="387" spans="1:17" s="219" customFormat="1" hidden="1" x14ac:dyDescent="0.25">
      <c r="A387" s="214"/>
      <c r="B387" s="215" t="s">
        <v>1822</v>
      </c>
      <c r="C387" s="215" t="s">
        <v>1823</v>
      </c>
      <c r="D387" s="215" t="s">
        <v>1836</v>
      </c>
      <c r="E387" s="215" t="s">
        <v>2139</v>
      </c>
      <c r="F387" s="215" t="s">
        <v>1836</v>
      </c>
      <c r="G387" s="215" t="s">
        <v>58</v>
      </c>
      <c r="H387" s="216" t="s">
        <v>2208</v>
      </c>
      <c r="I387" s="217"/>
      <c r="J387" s="217"/>
      <c r="K387" s="217"/>
      <c r="L387" s="217"/>
      <c r="M387" s="217"/>
      <c r="N387" s="217"/>
      <c r="O387" s="217"/>
      <c r="P387" s="217"/>
      <c r="Q387" s="218"/>
    </row>
    <row r="388" spans="1:17" s="219" customFormat="1" hidden="1" x14ac:dyDescent="0.25">
      <c r="A388" s="214"/>
      <c r="B388" s="215" t="s">
        <v>1822</v>
      </c>
      <c r="C388" s="215" t="s">
        <v>1823</v>
      </c>
      <c r="D388" s="215" t="s">
        <v>1836</v>
      </c>
      <c r="E388" s="215" t="s">
        <v>2139</v>
      </c>
      <c r="F388" s="215" t="s">
        <v>1836</v>
      </c>
      <c r="G388" s="215" t="s">
        <v>75</v>
      </c>
      <c r="H388" s="216" t="s">
        <v>2209</v>
      </c>
      <c r="I388" s="217"/>
      <c r="J388" s="217"/>
      <c r="K388" s="217"/>
      <c r="L388" s="217"/>
      <c r="M388" s="217"/>
      <c r="N388" s="217"/>
      <c r="O388" s="217"/>
      <c r="P388" s="217"/>
      <c r="Q388" s="218"/>
    </row>
    <row r="389" spans="1:17" s="219" customFormat="1" hidden="1" x14ac:dyDescent="0.25">
      <c r="A389" s="214"/>
      <c r="B389" s="215" t="s">
        <v>1822</v>
      </c>
      <c r="C389" s="215" t="s">
        <v>1823</v>
      </c>
      <c r="D389" s="215" t="s">
        <v>1836</v>
      </c>
      <c r="E389" s="215" t="s">
        <v>2139</v>
      </c>
      <c r="F389" s="215" t="s">
        <v>1836</v>
      </c>
      <c r="G389" s="215" t="s">
        <v>79</v>
      </c>
      <c r="H389" s="216" t="s">
        <v>2210</v>
      </c>
      <c r="I389" s="217"/>
      <c r="J389" s="217"/>
      <c r="K389" s="217"/>
      <c r="L389" s="217"/>
      <c r="M389" s="217"/>
      <c r="N389" s="217"/>
      <c r="O389" s="217"/>
      <c r="P389" s="217"/>
      <c r="Q389" s="218"/>
    </row>
    <row r="390" spans="1:17" s="219" customFormat="1" hidden="1" x14ac:dyDescent="0.25">
      <c r="A390" s="214"/>
      <c r="B390" s="215" t="s">
        <v>1822</v>
      </c>
      <c r="C390" s="215" t="s">
        <v>1823</v>
      </c>
      <c r="D390" s="215" t="s">
        <v>1836</v>
      </c>
      <c r="E390" s="215" t="s">
        <v>2139</v>
      </c>
      <c r="F390" s="215" t="s">
        <v>1836</v>
      </c>
      <c r="G390" s="215" t="s">
        <v>84</v>
      </c>
      <c r="H390" s="216" t="s">
        <v>2211</v>
      </c>
      <c r="I390" s="217"/>
      <c r="J390" s="217"/>
      <c r="K390" s="217"/>
      <c r="L390" s="217"/>
      <c r="M390" s="217"/>
      <c r="N390" s="217"/>
      <c r="O390" s="217"/>
      <c r="P390" s="217"/>
      <c r="Q390" s="218"/>
    </row>
    <row r="391" spans="1:17" s="219" customFormat="1" hidden="1" x14ac:dyDescent="0.25">
      <c r="A391" s="214"/>
      <c r="B391" s="215" t="s">
        <v>1822</v>
      </c>
      <c r="C391" s="215" t="s">
        <v>1823</v>
      </c>
      <c r="D391" s="215" t="s">
        <v>1836</v>
      </c>
      <c r="E391" s="215" t="s">
        <v>2139</v>
      </c>
      <c r="F391" s="215" t="s">
        <v>1836</v>
      </c>
      <c r="G391" s="215" t="s">
        <v>88</v>
      </c>
      <c r="H391" s="216" t="s">
        <v>2212</v>
      </c>
      <c r="I391" s="217"/>
      <c r="J391" s="217"/>
      <c r="K391" s="217"/>
      <c r="L391" s="217"/>
      <c r="M391" s="217"/>
      <c r="N391" s="217"/>
      <c r="O391" s="217"/>
      <c r="P391" s="217"/>
      <c r="Q391" s="218"/>
    </row>
    <row r="392" spans="1:17" s="219" customFormat="1" ht="30" hidden="1" x14ac:dyDescent="0.25">
      <c r="A392" s="214"/>
      <c r="B392" s="215" t="s">
        <v>1822</v>
      </c>
      <c r="C392" s="215" t="s">
        <v>1823</v>
      </c>
      <c r="D392" s="215" t="s">
        <v>1836</v>
      </c>
      <c r="E392" s="215" t="s">
        <v>2139</v>
      </c>
      <c r="F392" s="215" t="s">
        <v>1836</v>
      </c>
      <c r="G392" s="215" t="s">
        <v>92</v>
      </c>
      <c r="H392" s="216" t="s">
        <v>2213</v>
      </c>
      <c r="I392" s="217"/>
      <c r="J392" s="217"/>
      <c r="K392" s="217"/>
      <c r="L392" s="217"/>
      <c r="M392" s="217"/>
      <c r="N392" s="217"/>
      <c r="O392" s="217"/>
      <c r="P392" s="217"/>
      <c r="Q392" s="218"/>
    </row>
    <row r="393" spans="1:17" s="213" customFormat="1" hidden="1" x14ac:dyDescent="0.25">
      <c r="A393" s="208" t="s">
        <v>263</v>
      </c>
      <c r="B393" s="209" t="s">
        <v>1822</v>
      </c>
      <c r="C393" s="209" t="s">
        <v>1823</v>
      </c>
      <c r="D393" s="209" t="s">
        <v>1836</v>
      </c>
      <c r="E393" s="209" t="s">
        <v>2139</v>
      </c>
      <c r="F393" s="209" t="s">
        <v>1847</v>
      </c>
      <c r="G393" s="209"/>
      <c r="H393" s="210" t="s">
        <v>2214</v>
      </c>
      <c r="I393" s="211">
        <f>SUM(I394:I409)</f>
        <v>0</v>
      </c>
      <c r="J393" s="211">
        <f t="shared" ref="J393:O393" si="38">SUM(J394:J409)</f>
        <v>0</v>
      </c>
      <c r="K393" s="211">
        <f t="shared" si="38"/>
        <v>0</v>
      </c>
      <c r="L393" s="211">
        <f t="shared" si="38"/>
        <v>0</v>
      </c>
      <c r="M393" s="211">
        <f t="shared" si="38"/>
        <v>0</v>
      </c>
      <c r="N393" s="211">
        <f t="shared" si="38"/>
        <v>0</v>
      </c>
      <c r="O393" s="211">
        <f t="shared" si="38"/>
        <v>0</v>
      </c>
      <c r="P393" s="211"/>
      <c r="Q393" s="212"/>
    </row>
    <row r="394" spans="1:17" s="219" customFormat="1" ht="30" hidden="1" x14ac:dyDescent="0.25">
      <c r="A394" s="214"/>
      <c r="B394" s="215" t="s">
        <v>1822</v>
      </c>
      <c r="C394" s="215" t="s">
        <v>1823</v>
      </c>
      <c r="D394" s="215" t="s">
        <v>1836</v>
      </c>
      <c r="E394" s="215" t="s">
        <v>2139</v>
      </c>
      <c r="F394" s="215" t="s">
        <v>1847</v>
      </c>
      <c r="G394" s="215" t="s">
        <v>58</v>
      </c>
      <c r="H394" s="216" t="s">
        <v>2215</v>
      </c>
      <c r="I394" s="217"/>
      <c r="J394" s="217"/>
      <c r="K394" s="217"/>
      <c r="L394" s="217"/>
      <c r="M394" s="217"/>
      <c r="N394" s="217"/>
      <c r="O394" s="217"/>
      <c r="P394" s="217"/>
      <c r="Q394" s="218"/>
    </row>
    <row r="395" spans="1:17" s="219" customFormat="1" ht="30" hidden="1" x14ac:dyDescent="0.25">
      <c r="A395" s="214"/>
      <c r="B395" s="215" t="s">
        <v>1822</v>
      </c>
      <c r="C395" s="215" t="s">
        <v>1823</v>
      </c>
      <c r="D395" s="215" t="s">
        <v>1836</v>
      </c>
      <c r="E395" s="215" t="s">
        <v>2139</v>
      </c>
      <c r="F395" s="215" t="s">
        <v>1847</v>
      </c>
      <c r="G395" s="215" t="s">
        <v>75</v>
      </c>
      <c r="H395" s="216" t="s">
        <v>2216</v>
      </c>
      <c r="I395" s="217"/>
      <c r="J395" s="217"/>
      <c r="K395" s="217"/>
      <c r="L395" s="217"/>
      <c r="M395" s="217"/>
      <c r="N395" s="217"/>
      <c r="O395" s="217"/>
      <c r="P395" s="217"/>
      <c r="Q395" s="218"/>
    </row>
    <row r="396" spans="1:17" s="219" customFormat="1" ht="30" hidden="1" x14ac:dyDescent="0.25">
      <c r="A396" s="214"/>
      <c r="B396" s="215" t="s">
        <v>1822</v>
      </c>
      <c r="C396" s="215" t="s">
        <v>1823</v>
      </c>
      <c r="D396" s="215" t="s">
        <v>1836</v>
      </c>
      <c r="E396" s="215" t="s">
        <v>2139</v>
      </c>
      <c r="F396" s="215" t="s">
        <v>1847</v>
      </c>
      <c r="G396" s="215" t="s">
        <v>79</v>
      </c>
      <c r="H396" s="216" t="s">
        <v>2217</v>
      </c>
      <c r="I396" s="217"/>
      <c r="J396" s="217"/>
      <c r="K396" s="217"/>
      <c r="L396" s="217"/>
      <c r="M396" s="217"/>
      <c r="N396" s="217"/>
      <c r="O396" s="217"/>
      <c r="P396" s="217"/>
      <c r="Q396" s="218"/>
    </row>
    <row r="397" spans="1:17" s="219" customFormat="1" ht="30" hidden="1" x14ac:dyDescent="0.25">
      <c r="A397" s="214"/>
      <c r="B397" s="215" t="s">
        <v>1822</v>
      </c>
      <c r="C397" s="215" t="s">
        <v>1823</v>
      </c>
      <c r="D397" s="215" t="s">
        <v>1836</v>
      </c>
      <c r="E397" s="215" t="s">
        <v>2139</v>
      </c>
      <c r="F397" s="215" t="s">
        <v>1847</v>
      </c>
      <c r="G397" s="215" t="s">
        <v>84</v>
      </c>
      <c r="H397" s="216" t="s">
        <v>2218</v>
      </c>
      <c r="I397" s="217"/>
      <c r="J397" s="217"/>
      <c r="K397" s="217"/>
      <c r="L397" s="217"/>
      <c r="M397" s="217"/>
      <c r="N397" s="217"/>
      <c r="O397" s="217"/>
      <c r="P397" s="217"/>
      <c r="Q397" s="218"/>
    </row>
    <row r="398" spans="1:17" s="219" customFormat="1" ht="30" hidden="1" x14ac:dyDescent="0.25">
      <c r="A398" s="214"/>
      <c r="B398" s="215" t="s">
        <v>1822</v>
      </c>
      <c r="C398" s="215" t="s">
        <v>1823</v>
      </c>
      <c r="D398" s="215" t="s">
        <v>1836</v>
      </c>
      <c r="E398" s="215" t="s">
        <v>2139</v>
      </c>
      <c r="F398" s="215" t="s">
        <v>1847</v>
      </c>
      <c r="G398" s="215" t="s">
        <v>88</v>
      </c>
      <c r="H398" s="216" t="s">
        <v>2219</v>
      </c>
      <c r="I398" s="217"/>
      <c r="J398" s="217"/>
      <c r="K398" s="217"/>
      <c r="L398" s="217"/>
      <c r="M398" s="217"/>
      <c r="N398" s="217"/>
      <c r="O398" s="217"/>
      <c r="P398" s="217"/>
      <c r="Q398" s="218"/>
    </row>
    <row r="399" spans="1:17" s="219" customFormat="1" ht="30" hidden="1" x14ac:dyDescent="0.25">
      <c r="A399" s="214"/>
      <c r="B399" s="215" t="s">
        <v>1822</v>
      </c>
      <c r="C399" s="215" t="s">
        <v>1823</v>
      </c>
      <c r="D399" s="215" t="s">
        <v>1836</v>
      </c>
      <c r="E399" s="215" t="s">
        <v>2139</v>
      </c>
      <c r="F399" s="215" t="s">
        <v>1847</v>
      </c>
      <c r="G399" s="215" t="s">
        <v>92</v>
      </c>
      <c r="H399" s="216" t="s">
        <v>2220</v>
      </c>
      <c r="I399" s="217"/>
      <c r="J399" s="217"/>
      <c r="K399" s="217"/>
      <c r="L399" s="217"/>
      <c r="M399" s="217"/>
      <c r="N399" s="217"/>
      <c r="O399" s="217"/>
      <c r="P399" s="217"/>
      <c r="Q399" s="218"/>
    </row>
    <row r="400" spans="1:17" s="219" customFormat="1" ht="30" hidden="1" x14ac:dyDescent="0.25">
      <c r="A400" s="214"/>
      <c r="B400" s="215" t="s">
        <v>1822</v>
      </c>
      <c r="C400" s="215" t="s">
        <v>1823</v>
      </c>
      <c r="D400" s="215" t="s">
        <v>1836</v>
      </c>
      <c r="E400" s="215" t="s">
        <v>2139</v>
      </c>
      <c r="F400" s="215" t="s">
        <v>1847</v>
      </c>
      <c r="G400" s="215" t="s">
        <v>96</v>
      </c>
      <c r="H400" s="216" t="s">
        <v>2221</v>
      </c>
      <c r="I400" s="217"/>
      <c r="J400" s="217"/>
      <c r="K400" s="217"/>
      <c r="L400" s="217"/>
      <c r="M400" s="217"/>
      <c r="N400" s="217"/>
      <c r="O400" s="217"/>
      <c r="P400" s="217"/>
      <c r="Q400" s="218"/>
    </row>
    <row r="401" spans="1:17" s="219" customFormat="1" ht="30" hidden="1" x14ac:dyDescent="0.25">
      <c r="A401" s="214"/>
      <c r="B401" s="215" t="s">
        <v>1822</v>
      </c>
      <c r="C401" s="215" t="s">
        <v>1823</v>
      </c>
      <c r="D401" s="215" t="s">
        <v>1836</v>
      </c>
      <c r="E401" s="215" t="s">
        <v>2139</v>
      </c>
      <c r="F401" s="215" t="s">
        <v>1847</v>
      </c>
      <c r="G401" s="215" t="s">
        <v>100</v>
      </c>
      <c r="H401" s="216" t="s">
        <v>2222</v>
      </c>
      <c r="I401" s="217"/>
      <c r="J401" s="217"/>
      <c r="K401" s="217"/>
      <c r="L401" s="217"/>
      <c r="M401" s="217"/>
      <c r="N401" s="217"/>
      <c r="O401" s="217"/>
      <c r="P401" s="217"/>
      <c r="Q401" s="218"/>
    </row>
    <row r="402" spans="1:17" s="219" customFormat="1" ht="30" hidden="1" x14ac:dyDescent="0.25">
      <c r="A402" s="214"/>
      <c r="B402" s="215" t="s">
        <v>1822</v>
      </c>
      <c r="C402" s="215" t="s">
        <v>1823</v>
      </c>
      <c r="D402" s="215" t="s">
        <v>1836</v>
      </c>
      <c r="E402" s="215" t="s">
        <v>2139</v>
      </c>
      <c r="F402" s="215" t="s">
        <v>1847</v>
      </c>
      <c r="G402" s="215" t="s">
        <v>105</v>
      </c>
      <c r="H402" s="216" t="s">
        <v>2223</v>
      </c>
      <c r="I402" s="217"/>
      <c r="J402" s="217"/>
      <c r="K402" s="217"/>
      <c r="L402" s="217"/>
      <c r="M402" s="217"/>
      <c r="N402" s="217"/>
      <c r="O402" s="217"/>
      <c r="P402" s="217"/>
      <c r="Q402" s="218"/>
    </row>
    <row r="403" spans="1:17" s="219" customFormat="1" ht="30" hidden="1" x14ac:dyDescent="0.25">
      <c r="A403" s="214"/>
      <c r="B403" s="215" t="s">
        <v>1822</v>
      </c>
      <c r="C403" s="215" t="s">
        <v>1823</v>
      </c>
      <c r="D403" s="215" t="s">
        <v>1836</v>
      </c>
      <c r="E403" s="215" t="s">
        <v>2139</v>
      </c>
      <c r="F403" s="215" t="s">
        <v>1847</v>
      </c>
      <c r="G403" s="215" t="s">
        <v>108</v>
      </c>
      <c r="H403" s="216" t="s">
        <v>2224</v>
      </c>
      <c r="I403" s="217"/>
      <c r="J403" s="217"/>
      <c r="K403" s="217"/>
      <c r="L403" s="217"/>
      <c r="M403" s="217"/>
      <c r="N403" s="217"/>
      <c r="O403" s="217"/>
      <c r="P403" s="217"/>
      <c r="Q403" s="218"/>
    </row>
    <row r="404" spans="1:17" s="219" customFormat="1" ht="30" hidden="1" x14ac:dyDescent="0.25">
      <c r="A404" s="214"/>
      <c r="B404" s="215" t="s">
        <v>1822</v>
      </c>
      <c r="C404" s="215" t="s">
        <v>1823</v>
      </c>
      <c r="D404" s="215" t="s">
        <v>1836</v>
      </c>
      <c r="E404" s="215" t="s">
        <v>2139</v>
      </c>
      <c r="F404" s="215" t="s">
        <v>1847</v>
      </c>
      <c r="G404" s="215" t="s">
        <v>135</v>
      </c>
      <c r="H404" s="216" t="s">
        <v>2225</v>
      </c>
      <c r="I404" s="217"/>
      <c r="J404" s="217"/>
      <c r="K404" s="217"/>
      <c r="L404" s="217"/>
      <c r="M404" s="217"/>
      <c r="N404" s="217"/>
      <c r="O404" s="217"/>
      <c r="P404" s="217"/>
      <c r="Q404" s="218"/>
    </row>
    <row r="405" spans="1:17" s="219" customFormat="1" ht="30" hidden="1" x14ac:dyDescent="0.25">
      <c r="A405" s="214"/>
      <c r="B405" s="215" t="s">
        <v>1822</v>
      </c>
      <c r="C405" s="215" t="s">
        <v>1823</v>
      </c>
      <c r="D405" s="215" t="s">
        <v>1836</v>
      </c>
      <c r="E405" s="215" t="s">
        <v>2139</v>
      </c>
      <c r="F405" s="215" t="s">
        <v>1847</v>
      </c>
      <c r="G405" s="215" t="s">
        <v>138</v>
      </c>
      <c r="H405" s="216" t="s">
        <v>2226</v>
      </c>
      <c r="I405" s="217"/>
      <c r="J405" s="217"/>
      <c r="K405" s="217"/>
      <c r="L405" s="217"/>
      <c r="M405" s="217"/>
      <c r="N405" s="217"/>
      <c r="O405" s="217"/>
      <c r="P405" s="217"/>
      <c r="Q405" s="218"/>
    </row>
    <row r="406" spans="1:17" s="219" customFormat="1" ht="45" hidden="1" x14ac:dyDescent="0.25">
      <c r="A406" s="214"/>
      <c r="B406" s="215" t="s">
        <v>1822</v>
      </c>
      <c r="C406" s="215" t="s">
        <v>1823</v>
      </c>
      <c r="D406" s="215" t="s">
        <v>1836</v>
      </c>
      <c r="E406" s="215" t="s">
        <v>2139</v>
      </c>
      <c r="F406" s="215" t="s">
        <v>1847</v>
      </c>
      <c r="G406" s="215" t="s">
        <v>140</v>
      </c>
      <c r="H406" s="216" t="s">
        <v>2227</v>
      </c>
      <c r="I406" s="217"/>
      <c r="J406" s="217"/>
      <c r="K406" s="217"/>
      <c r="L406" s="217"/>
      <c r="M406" s="217"/>
      <c r="N406" s="217"/>
      <c r="O406" s="217"/>
      <c r="P406" s="217"/>
      <c r="Q406" s="218"/>
    </row>
    <row r="407" spans="1:17" s="219" customFormat="1" hidden="1" x14ac:dyDescent="0.25">
      <c r="A407" s="214"/>
      <c r="B407" s="215" t="s">
        <v>1822</v>
      </c>
      <c r="C407" s="215" t="s">
        <v>1823</v>
      </c>
      <c r="D407" s="215" t="s">
        <v>1836</v>
      </c>
      <c r="E407" s="215" t="s">
        <v>2139</v>
      </c>
      <c r="F407" s="215" t="s">
        <v>1847</v>
      </c>
      <c r="G407" s="215" t="s">
        <v>143</v>
      </c>
      <c r="H407" s="216" t="s">
        <v>2228</v>
      </c>
      <c r="I407" s="217"/>
      <c r="J407" s="217"/>
      <c r="K407" s="217"/>
      <c r="L407" s="217"/>
      <c r="M407" s="217"/>
      <c r="N407" s="217"/>
      <c r="O407" s="217"/>
      <c r="P407" s="217"/>
      <c r="Q407" s="218"/>
    </row>
    <row r="408" spans="1:17" s="219" customFormat="1" hidden="1" x14ac:dyDescent="0.25">
      <c r="A408" s="214"/>
      <c r="B408" s="215" t="s">
        <v>1822</v>
      </c>
      <c r="C408" s="215" t="s">
        <v>1823</v>
      </c>
      <c r="D408" s="215" t="s">
        <v>1836</v>
      </c>
      <c r="E408" s="215" t="s">
        <v>2139</v>
      </c>
      <c r="F408" s="215" t="s">
        <v>1847</v>
      </c>
      <c r="G408" s="215" t="s">
        <v>146</v>
      </c>
      <c r="H408" s="216" t="s">
        <v>2229</v>
      </c>
      <c r="I408" s="217"/>
      <c r="J408" s="217"/>
      <c r="K408" s="217"/>
      <c r="L408" s="217"/>
      <c r="M408" s="217"/>
      <c r="N408" s="217"/>
      <c r="O408" s="217"/>
      <c r="P408" s="217"/>
      <c r="Q408" s="218"/>
    </row>
    <row r="409" spans="1:17" s="219" customFormat="1" hidden="1" x14ac:dyDescent="0.25">
      <c r="A409" s="214"/>
      <c r="B409" s="215" t="s">
        <v>1822</v>
      </c>
      <c r="C409" s="215" t="s">
        <v>1823</v>
      </c>
      <c r="D409" s="215" t="s">
        <v>1836</v>
      </c>
      <c r="E409" s="215" t="s">
        <v>2139</v>
      </c>
      <c r="F409" s="215" t="s">
        <v>1847</v>
      </c>
      <c r="G409" s="215" t="s">
        <v>150</v>
      </c>
      <c r="H409" s="216" t="s">
        <v>2230</v>
      </c>
      <c r="I409" s="217"/>
      <c r="J409" s="217"/>
      <c r="K409" s="217"/>
      <c r="L409" s="217"/>
      <c r="M409" s="217"/>
      <c r="N409" s="217"/>
      <c r="O409" s="217"/>
      <c r="P409" s="217"/>
      <c r="Q409" s="218"/>
    </row>
    <row r="410" spans="1:17" s="213" customFormat="1" ht="30" hidden="1" x14ac:dyDescent="0.25">
      <c r="A410" s="208" t="s">
        <v>263</v>
      </c>
      <c r="B410" s="209" t="s">
        <v>1822</v>
      </c>
      <c r="C410" s="209" t="s">
        <v>1823</v>
      </c>
      <c r="D410" s="209" t="s">
        <v>1836</v>
      </c>
      <c r="E410" s="209" t="s">
        <v>2139</v>
      </c>
      <c r="F410" s="209" t="s">
        <v>1928</v>
      </c>
      <c r="G410" s="209"/>
      <c r="H410" s="210" t="s">
        <v>2231</v>
      </c>
      <c r="I410" s="211">
        <f>SUM(I411:I420)</f>
        <v>0</v>
      </c>
      <c r="J410" s="211">
        <f t="shared" ref="J410:O410" si="39">SUM(J411:J420)</f>
        <v>0</v>
      </c>
      <c r="K410" s="211">
        <f t="shared" si="39"/>
        <v>0</v>
      </c>
      <c r="L410" s="211">
        <f t="shared" si="39"/>
        <v>0</v>
      </c>
      <c r="M410" s="211">
        <f t="shared" si="39"/>
        <v>0</v>
      </c>
      <c r="N410" s="211">
        <f t="shared" si="39"/>
        <v>0</v>
      </c>
      <c r="O410" s="211">
        <f t="shared" si="39"/>
        <v>0</v>
      </c>
      <c r="P410" s="211"/>
      <c r="Q410" s="212"/>
    </row>
    <row r="411" spans="1:17" s="219" customFormat="1" hidden="1" x14ac:dyDescent="0.25">
      <c r="A411" s="214"/>
      <c r="B411" s="215" t="s">
        <v>1822</v>
      </c>
      <c r="C411" s="215" t="s">
        <v>1823</v>
      </c>
      <c r="D411" s="215" t="s">
        <v>1836</v>
      </c>
      <c r="E411" s="215" t="s">
        <v>2139</v>
      </c>
      <c r="F411" s="215" t="s">
        <v>1928</v>
      </c>
      <c r="G411" s="215" t="s">
        <v>58</v>
      </c>
      <c r="H411" s="216" t="s">
        <v>2232</v>
      </c>
      <c r="I411" s="217"/>
      <c r="J411" s="217"/>
      <c r="K411" s="217"/>
      <c r="L411" s="217"/>
      <c r="M411" s="217"/>
      <c r="N411" s="217"/>
      <c r="O411" s="217"/>
      <c r="P411" s="217"/>
      <c r="Q411" s="218"/>
    </row>
    <row r="412" spans="1:17" s="219" customFormat="1" ht="30" hidden="1" x14ac:dyDescent="0.25">
      <c r="A412" s="214"/>
      <c r="B412" s="215" t="s">
        <v>1822</v>
      </c>
      <c r="C412" s="215" t="s">
        <v>1823</v>
      </c>
      <c r="D412" s="215" t="s">
        <v>1836</v>
      </c>
      <c r="E412" s="215" t="s">
        <v>2139</v>
      </c>
      <c r="F412" s="215" t="s">
        <v>1928</v>
      </c>
      <c r="G412" s="215" t="s">
        <v>75</v>
      </c>
      <c r="H412" s="216" t="s">
        <v>2233</v>
      </c>
      <c r="I412" s="217"/>
      <c r="J412" s="217"/>
      <c r="K412" s="217"/>
      <c r="L412" s="217"/>
      <c r="M412" s="217"/>
      <c r="N412" s="217"/>
      <c r="O412" s="217"/>
      <c r="P412" s="217"/>
      <c r="Q412" s="218"/>
    </row>
    <row r="413" spans="1:17" s="219" customFormat="1" hidden="1" x14ac:dyDescent="0.25">
      <c r="A413" s="214"/>
      <c r="B413" s="215" t="s">
        <v>1822</v>
      </c>
      <c r="C413" s="215" t="s">
        <v>1823</v>
      </c>
      <c r="D413" s="215" t="s">
        <v>1836</v>
      </c>
      <c r="E413" s="215" t="s">
        <v>2139</v>
      </c>
      <c r="F413" s="215" t="s">
        <v>1928</v>
      </c>
      <c r="G413" s="215" t="s">
        <v>79</v>
      </c>
      <c r="H413" s="216" t="s">
        <v>2234</v>
      </c>
      <c r="I413" s="217"/>
      <c r="J413" s="217"/>
      <c r="K413" s="217"/>
      <c r="L413" s="217"/>
      <c r="M413" s="217"/>
      <c r="N413" s="217"/>
      <c r="O413" s="217"/>
      <c r="P413" s="217"/>
      <c r="Q413" s="218"/>
    </row>
    <row r="414" spans="1:17" s="219" customFormat="1" hidden="1" x14ac:dyDescent="0.25">
      <c r="A414" s="214"/>
      <c r="B414" s="215" t="s">
        <v>1822</v>
      </c>
      <c r="C414" s="215" t="s">
        <v>1823</v>
      </c>
      <c r="D414" s="215" t="s">
        <v>1836</v>
      </c>
      <c r="E414" s="215" t="s">
        <v>2139</v>
      </c>
      <c r="F414" s="215" t="s">
        <v>1928</v>
      </c>
      <c r="G414" s="215" t="s">
        <v>84</v>
      </c>
      <c r="H414" s="216" t="s">
        <v>2235</v>
      </c>
      <c r="I414" s="217"/>
      <c r="J414" s="217"/>
      <c r="K414" s="217"/>
      <c r="L414" s="217"/>
      <c r="M414" s="217"/>
      <c r="N414" s="217"/>
      <c r="O414" s="217"/>
      <c r="P414" s="217"/>
      <c r="Q414" s="218"/>
    </row>
    <row r="415" spans="1:17" s="219" customFormat="1" hidden="1" x14ac:dyDescent="0.25">
      <c r="A415" s="214"/>
      <c r="B415" s="215" t="s">
        <v>1822</v>
      </c>
      <c r="C415" s="215" t="s">
        <v>1823</v>
      </c>
      <c r="D415" s="215" t="s">
        <v>1836</v>
      </c>
      <c r="E415" s="215" t="s">
        <v>2139</v>
      </c>
      <c r="F415" s="215" t="s">
        <v>1928</v>
      </c>
      <c r="G415" s="215" t="s">
        <v>88</v>
      </c>
      <c r="H415" s="216" t="s">
        <v>2236</v>
      </c>
      <c r="I415" s="217"/>
      <c r="J415" s="217"/>
      <c r="K415" s="217"/>
      <c r="L415" s="217"/>
      <c r="M415" s="217"/>
      <c r="N415" s="217"/>
      <c r="O415" s="217"/>
      <c r="P415" s="217"/>
      <c r="Q415" s="218"/>
    </row>
    <row r="416" spans="1:17" s="219" customFormat="1" hidden="1" x14ac:dyDescent="0.25">
      <c r="A416" s="214"/>
      <c r="B416" s="215" t="s">
        <v>1822</v>
      </c>
      <c r="C416" s="215" t="s">
        <v>1823</v>
      </c>
      <c r="D416" s="215" t="s">
        <v>1836</v>
      </c>
      <c r="E416" s="215" t="s">
        <v>2139</v>
      </c>
      <c r="F416" s="215" t="s">
        <v>1928</v>
      </c>
      <c r="G416" s="215" t="s">
        <v>92</v>
      </c>
      <c r="H416" s="216" t="s">
        <v>2237</v>
      </c>
      <c r="I416" s="217"/>
      <c r="J416" s="217"/>
      <c r="K416" s="217"/>
      <c r="L416" s="217"/>
      <c r="M416" s="217"/>
      <c r="N416" s="217"/>
      <c r="O416" s="217"/>
      <c r="P416" s="217"/>
      <c r="Q416" s="218"/>
    </row>
    <row r="417" spans="1:17" s="219" customFormat="1" hidden="1" x14ac:dyDescent="0.25">
      <c r="A417" s="214"/>
      <c r="B417" s="215" t="s">
        <v>1822</v>
      </c>
      <c r="C417" s="215" t="s">
        <v>1823</v>
      </c>
      <c r="D417" s="215" t="s">
        <v>1836</v>
      </c>
      <c r="E417" s="215" t="s">
        <v>2139</v>
      </c>
      <c r="F417" s="215" t="s">
        <v>1928</v>
      </c>
      <c r="G417" s="215" t="s">
        <v>96</v>
      </c>
      <c r="H417" s="216" t="s">
        <v>2238</v>
      </c>
      <c r="I417" s="217"/>
      <c r="J417" s="217"/>
      <c r="K417" s="217"/>
      <c r="L417" s="217"/>
      <c r="M417" s="217"/>
      <c r="N417" s="217"/>
      <c r="O417" s="217"/>
      <c r="P417" s="217"/>
      <c r="Q417" s="218"/>
    </row>
    <row r="418" spans="1:17" s="219" customFormat="1" hidden="1" x14ac:dyDescent="0.25">
      <c r="A418" s="214"/>
      <c r="B418" s="215" t="s">
        <v>1822</v>
      </c>
      <c r="C418" s="215" t="s">
        <v>1823</v>
      </c>
      <c r="D418" s="215" t="s">
        <v>1836</v>
      </c>
      <c r="E418" s="215" t="s">
        <v>2139</v>
      </c>
      <c r="F418" s="215" t="s">
        <v>1928</v>
      </c>
      <c r="G418" s="215" t="s">
        <v>100</v>
      </c>
      <c r="H418" s="216" t="s">
        <v>2239</v>
      </c>
      <c r="I418" s="217"/>
      <c r="J418" s="217"/>
      <c r="K418" s="217"/>
      <c r="L418" s="217"/>
      <c r="M418" s="217"/>
      <c r="N418" s="217"/>
      <c r="O418" s="217"/>
      <c r="P418" s="217"/>
      <c r="Q418" s="218"/>
    </row>
    <row r="419" spans="1:17" s="219" customFormat="1" hidden="1" x14ac:dyDescent="0.25">
      <c r="A419" s="214"/>
      <c r="B419" s="215" t="s">
        <v>1822</v>
      </c>
      <c r="C419" s="215" t="s">
        <v>1823</v>
      </c>
      <c r="D419" s="215" t="s">
        <v>1836</v>
      </c>
      <c r="E419" s="215" t="s">
        <v>2139</v>
      </c>
      <c r="F419" s="215" t="s">
        <v>1928</v>
      </c>
      <c r="G419" s="215" t="s">
        <v>105</v>
      </c>
      <c r="H419" s="216" t="s">
        <v>2240</v>
      </c>
      <c r="I419" s="217"/>
      <c r="J419" s="217"/>
      <c r="K419" s="217"/>
      <c r="L419" s="217"/>
      <c r="M419" s="217"/>
      <c r="N419" s="217"/>
      <c r="O419" s="217"/>
      <c r="P419" s="217"/>
      <c r="Q419" s="218"/>
    </row>
    <row r="420" spans="1:17" s="219" customFormat="1" ht="30" hidden="1" x14ac:dyDescent="0.25">
      <c r="A420" s="214"/>
      <c r="B420" s="215" t="s">
        <v>1822</v>
      </c>
      <c r="C420" s="215" t="s">
        <v>1823</v>
      </c>
      <c r="D420" s="215" t="s">
        <v>1836</v>
      </c>
      <c r="E420" s="215" t="s">
        <v>2139</v>
      </c>
      <c r="F420" s="215" t="s">
        <v>1928</v>
      </c>
      <c r="G420" s="215" t="s">
        <v>108</v>
      </c>
      <c r="H420" s="216" t="s">
        <v>2241</v>
      </c>
      <c r="I420" s="217"/>
      <c r="J420" s="217"/>
      <c r="K420" s="217"/>
      <c r="L420" s="217"/>
      <c r="M420" s="217"/>
      <c r="N420" s="217"/>
      <c r="O420" s="217"/>
      <c r="P420" s="217"/>
      <c r="Q420" s="218"/>
    </row>
    <row r="421" spans="1:17" s="213" customFormat="1" ht="30" hidden="1" x14ac:dyDescent="0.25">
      <c r="A421" s="208" t="s">
        <v>263</v>
      </c>
      <c r="B421" s="209" t="s">
        <v>1822</v>
      </c>
      <c r="C421" s="209" t="s">
        <v>1823</v>
      </c>
      <c r="D421" s="209" t="s">
        <v>1836</v>
      </c>
      <c r="E421" s="209" t="s">
        <v>2139</v>
      </c>
      <c r="F421" s="209" t="s">
        <v>1934</v>
      </c>
      <c r="G421" s="209"/>
      <c r="H421" s="210" t="s">
        <v>2242</v>
      </c>
      <c r="I421" s="211">
        <f>SUM(I422:I427)</f>
        <v>0</v>
      </c>
      <c r="J421" s="211">
        <f t="shared" ref="J421:O421" si="40">SUM(J422:J427)</f>
        <v>0</v>
      </c>
      <c r="K421" s="211">
        <f t="shared" si="40"/>
        <v>0</v>
      </c>
      <c r="L421" s="211">
        <f t="shared" si="40"/>
        <v>0</v>
      </c>
      <c r="M421" s="211">
        <f t="shared" si="40"/>
        <v>0</v>
      </c>
      <c r="N421" s="211">
        <f t="shared" si="40"/>
        <v>0</v>
      </c>
      <c r="O421" s="211">
        <f t="shared" si="40"/>
        <v>0</v>
      </c>
      <c r="P421" s="211"/>
      <c r="Q421" s="212"/>
    </row>
    <row r="422" spans="1:17" s="219" customFormat="1" hidden="1" x14ac:dyDescent="0.25">
      <c r="A422" s="214"/>
      <c r="B422" s="215" t="s">
        <v>1822</v>
      </c>
      <c r="C422" s="215" t="s">
        <v>1823</v>
      </c>
      <c r="D422" s="215" t="s">
        <v>1836</v>
      </c>
      <c r="E422" s="215" t="s">
        <v>2139</v>
      </c>
      <c r="F422" s="215" t="s">
        <v>1934</v>
      </c>
      <c r="G422" s="215" t="s">
        <v>58</v>
      </c>
      <c r="H422" s="216" t="s">
        <v>2243</v>
      </c>
      <c r="I422" s="217"/>
      <c r="J422" s="217"/>
      <c r="K422" s="217"/>
      <c r="L422" s="217"/>
      <c r="M422" s="217"/>
      <c r="N422" s="217"/>
      <c r="O422" s="217"/>
      <c r="P422" s="217"/>
      <c r="Q422" s="218"/>
    </row>
    <row r="423" spans="1:17" s="219" customFormat="1" hidden="1" x14ac:dyDescent="0.25">
      <c r="A423" s="214"/>
      <c r="B423" s="215" t="s">
        <v>1822</v>
      </c>
      <c r="C423" s="215" t="s">
        <v>1823</v>
      </c>
      <c r="D423" s="215" t="s">
        <v>1836</v>
      </c>
      <c r="E423" s="215" t="s">
        <v>2139</v>
      </c>
      <c r="F423" s="215" t="s">
        <v>1934</v>
      </c>
      <c r="G423" s="215" t="s">
        <v>75</v>
      </c>
      <c r="H423" s="216" t="s">
        <v>2244</v>
      </c>
      <c r="I423" s="217"/>
      <c r="J423" s="217"/>
      <c r="K423" s="217"/>
      <c r="L423" s="217"/>
      <c r="M423" s="217"/>
      <c r="N423" s="217"/>
      <c r="O423" s="217"/>
      <c r="P423" s="217"/>
      <c r="Q423" s="218"/>
    </row>
    <row r="424" spans="1:17" s="219" customFormat="1" hidden="1" x14ac:dyDescent="0.25">
      <c r="A424" s="214"/>
      <c r="B424" s="215" t="s">
        <v>1822</v>
      </c>
      <c r="C424" s="215" t="s">
        <v>1823</v>
      </c>
      <c r="D424" s="215" t="s">
        <v>1836</v>
      </c>
      <c r="E424" s="215" t="s">
        <v>2139</v>
      </c>
      <c r="F424" s="215" t="s">
        <v>1934</v>
      </c>
      <c r="G424" s="215" t="s">
        <v>79</v>
      </c>
      <c r="H424" s="216" t="s">
        <v>2245</v>
      </c>
      <c r="I424" s="217"/>
      <c r="J424" s="217"/>
      <c r="K424" s="217"/>
      <c r="L424" s="217"/>
      <c r="M424" s="217"/>
      <c r="N424" s="217"/>
      <c r="O424" s="217"/>
      <c r="P424" s="217"/>
      <c r="Q424" s="218"/>
    </row>
    <row r="425" spans="1:17" s="219" customFormat="1" hidden="1" x14ac:dyDescent="0.25">
      <c r="A425" s="214"/>
      <c r="B425" s="215" t="s">
        <v>1822</v>
      </c>
      <c r="C425" s="215" t="s">
        <v>1823</v>
      </c>
      <c r="D425" s="215" t="s">
        <v>1836</v>
      </c>
      <c r="E425" s="215" t="s">
        <v>2139</v>
      </c>
      <c r="F425" s="215" t="s">
        <v>1934</v>
      </c>
      <c r="G425" s="215" t="s">
        <v>84</v>
      </c>
      <c r="H425" s="216" t="s">
        <v>2246</v>
      </c>
      <c r="I425" s="217"/>
      <c r="J425" s="217"/>
      <c r="K425" s="217"/>
      <c r="L425" s="217"/>
      <c r="M425" s="217"/>
      <c r="N425" s="217"/>
      <c r="O425" s="217"/>
      <c r="P425" s="217"/>
      <c r="Q425" s="218"/>
    </row>
    <row r="426" spans="1:17" s="219" customFormat="1" hidden="1" x14ac:dyDescent="0.25">
      <c r="A426" s="214"/>
      <c r="B426" s="215" t="s">
        <v>1822</v>
      </c>
      <c r="C426" s="215" t="s">
        <v>1823</v>
      </c>
      <c r="D426" s="215" t="s">
        <v>1836</v>
      </c>
      <c r="E426" s="215" t="s">
        <v>2139</v>
      </c>
      <c r="F426" s="215" t="s">
        <v>1934</v>
      </c>
      <c r="G426" s="215" t="s">
        <v>88</v>
      </c>
      <c r="H426" s="216" t="s">
        <v>2247</v>
      </c>
      <c r="I426" s="217"/>
      <c r="J426" s="217"/>
      <c r="K426" s="217"/>
      <c r="L426" s="217"/>
      <c r="M426" s="217"/>
      <c r="N426" s="217"/>
      <c r="O426" s="217"/>
      <c r="P426" s="217"/>
      <c r="Q426" s="218"/>
    </row>
    <row r="427" spans="1:17" s="219" customFormat="1" ht="30" hidden="1" x14ac:dyDescent="0.25">
      <c r="A427" s="214"/>
      <c r="B427" s="215" t="s">
        <v>1822</v>
      </c>
      <c r="C427" s="215" t="s">
        <v>1823</v>
      </c>
      <c r="D427" s="215" t="s">
        <v>1836</v>
      </c>
      <c r="E427" s="215" t="s">
        <v>2139</v>
      </c>
      <c r="F427" s="215" t="s">
        <v>1934</v>
      </c>
      <c r="G427" s="215" t="s">
        <v>92</v>
      </c>
      <c r="H427" s="216" t="s">
        <v>2248</v>
      </c>
      <c r="I427" s="217"/>
      <c r="J427" s="217"/>
      <c r="K427" s="217"/>
      <c r="L427" s="217"/>
      <c r="M427" s="217"/>
      <c r="N427" s="217"/>
      <c r="O427" s="217"/>
      <c r="P427" s="217"/>
      <c r="Q427" s="218"/>
    </row>
    <row r="428" spans="1:17" s="213" customFormat="1" ht="45" hidden="1" x14ac:dyDescent="0.25">
      <c r="A428" s="208" t="s">
        <v>263</v>
      </c>
      <c r="B428" s="209" t="s">
        <v>1822</v>
      </c>
      <c r="C428" s="209" t="s">
        <v>1823</v>
      </c>
      <c r="D428" s="209" t="s">
        <v>1836</v>
      </c>
      <c r="E428" s="209" t="s">
        <v>2139</v>
      </c>
      <c r="F428" s="209" t="s">
        <v>2022</v>
      </c>
      <c r="G428" s="209"/>
      <c r="H428" s="210" t="s">
        <v>2249</v>
      </c>
      <c r="I428" s="211">
        <f>SUM(I429:I432)</f>
        <v>0</v>
      </c>
      <c r="J428" s="211">
        <f t="shared" ref="J428:O428" si="41">SUM(J429:J432)</f>
        <v>0</v>
      </c>
      <c r="K428" s="211">
        <f t="shared" si="41"/>
        <v>0</v>
      </c>
      <c r="L428" s="211">
        <f t="shared" si="41"/>
        <v>0</v>
      </c>
      <c r="M428" s="211">
        <f t="shared" si="41"/>
        <v>0</v>
      </c>
      <c r="N428" s="211">
        <f t="shared" si="41"/>
        <v>0</v>
      </c>
      <c r="O428" s="211">
        <f t="shared" si="41"/>
        <v>0</v>
      </c>
      <c r="P428" s="211"/>
      <c r="Q428" s="212"/>
    </row>
    <row r="429" spans="1:17" s="219" customFormat="1" hidden="1" x14ac:dyDescent="0.25">
      <c r="A429" s="214"/>
      <c r="B429" s="215" t="s">
        <v>1822</v>
      </c>
      <c r="C429" s="215" t="s">
        <v>1823</v>
      </c>
      <c r="D429" s="215" t="s">
        <v>1836</v>
      </c>
      <c r="E429" s="215" t="s">
        <v>2139</v>
      </c>
      <c r="F429" s="215" t="s">
        <v>2022</v>
      </c>
      <c r="G429" s="215" t="s">
        <v>58</v>
      </c>
      <c r="H429" s="216" t="s">
        <v>2250</v>
      </c>
      <c r="I429" s="217"/>
      <c r="J429" s="217"/>
      <c r="K429" s="217"/>
      <c r="L429" s="217"/>
      <c r="M429" s="217"/>
      <c r="N429" s="217"/>
      <c r="O429" s="217"/>
      <c r="P429" s="217"/>
      <c r="Q429" s="218"/>
    </row>
    <row r="430" spans="1:17" s="219" customFormat="1" hidden="1" x14ac:dyDescent="0.25">
      <c r="A430" s="214"/>
      <c r="B430" s="215" t="s">
        <v>1822</v>
      </c>
      <c r="C430" s="215" t="s">
        <v>1823</v>
      </c>
      <c r="D430" s="215" t="s">
        <v>1836</v>
      </c>
      <c r="E430" s="215" t="s">
        <v>2139</v>
      </c>
      <c r="F430" s="215" t="s">
        <v>2022</v>
      </c>
      <c r="G430" s="215" t="s">
        <v>75</v>
      </c>
      <c r="H430" s="216" t="s">
        <v>2251</v>
      </c>
      <c r="I430" s="217"/>
      <c r="J430" s="217"/>
      <c r="K430" s="217"/>
      <c r="L430" s="217"/>
      <c r="M430" s="217"/>
      <c r="N430" s="217"/>
      <c r="O430" s="217"/>
      <c r="P430" s="217"/>
      <c r="Q430" s="218"/>
    </row>
    <row r="431" spans="1:17" s="219" customFormat="1" hidden="1" x14ac:dyDescent="0.25">
      <c r="A431" s="214"/>
      <c r="B431" s="215" t="s">
        <v>1822</v>
      </c>
      <c r="C431" s="215" t="s">
        <v>1823</v>
      </c>
      <c r="D431" s="215" t="s">
        <v>1836</v>
      </c>
      <c r="E431" s="215" t="s">
        <v>2139</v>
      </c>
      <c r="F431" s="215" t="s">
        <v>2022</v>
      </c>
      <c r="G431" s="215" t="s">
        <v>79</v>
      </c>
      <c r="H431" s="216" t="s">
        <v>2252</v>
      </c>
      <c r="I431" s="217"/>
      <c r="J431" s="217"/>
      <c r="K431" s="217"/>
      <c r="L431" s="217"/>
      <c r="M431" s="217"/>
      <c r="N431" s="217"/>
      <c r="O431" s="217"/>
      <c r="P431" s="217"/>
      <c r="Q431" s="218"/>
    </row>
    <row r="432" spans="1:17" s="219" customFormat="1" ht="45" hidden="1" x14ac:dyDescent="0.25">
      <c r="A432" s="214"/>
      <c r="B432" s="215" t="s">
        <v>1822</v>
      </c>
      <c r="C432" s="215" t="s">
        <v>1823</v>
      </c>
      <c r="D432" s="215" t="s">
        <v>1836</v>
      </c>
      <c r="E432" s="215" t="s">
        <v>2139</v>
      </c>
      <c r="F432" s="215" t="s">
        <v>2022</v>
      </c>
      <c r="G432" s="215" t="s">
        <v>84</v>
      </c>
      <c r="H432" s="216" t="s">
        <v>2249</v>
      </c>
      <c r="I432" s="217"/>
      <c r="J432" s="217"/>
      <c r="K432" s="217"/>
      <c r="L432" s="217"/>
      <c r="M432" s="217"/>
      <c r="N432" s="217"/>
      <c r="O432" s="217"/>
      <c r="P432" s="217"/>
      <c r="Q432" s="218"/>
    </row>
    <row r="433" spans="1:17" s="213" customFormat="1" ht="30" hidden="1" x14ac:dyDescent="0.25">
      <c r="A433" s="208" t="s">
        <v>263</v>
      </c>
      <c r="B433" s="209" t="s">
        <v>1822</v>
      </c>
      <c r="C433" s="209" t="s">
        <v>1823</v>
      </c>
      <c r="D433" s="209" t="s">
        <v>1836</v>
      </c>
      <c r="E433" s="209" t="s">
        <v>2139</v>
      </c>
      <c r="F433" s="209" t="s">
        <v>2100</v>
      </c>
      <c r="G433" s="209"/>
      <c r="H433" s="210" t="s">
        <v>2253</v>
      </c>
      <c r="I433" s="211">
        <f>SUM(I434:I439)</f>
        <v>0</v>
      </c>
      <c r="J433" s="211">
        <f t="shared" ref="J433:O433" si="42">SUM(J434:J439)</f>
        <v>0</v>
      </c>
      <c r="K433" s="211">
        <f t="shared" si="42"/>
        <v>0</v>
      </c>
      <c r="L433" s="211">
        <f t="shared" si="42"/>
        <v>0</v>
      </c>
      <c r="M433" s="211">
        <f t="shared" si="42"/>
        <v>0</v>
      </c>
      <c r="N433" s="211">
        <f t="shared" si="42"/>
        <v>0</v>
      </c>
      <c r="O433" s="211">
        <f t="shared" si="42"/>
        <v>0</v>
      </c>
      <c r="P433" s="211"/>
      <c r="Q433" s="212"/>
    </row>
    <row r="434" spans="1:17" s="219" customFormat="1" ht="30" hidden="1" x14ac:dyDescent="0.25">
      <c r="A434" s="214"/>
      <c r="B434" s="215" t="s">
        <v>1822</v>
      </c>
      <c r="C434" s="215" t="s">
        <v>1823</v>
      </c>
      <c r="D434" s="215" t="s">
        <v>1836</v>
      </c>
      <c r="E434" s="215" t="s">
        <v>2139</v>
      </c>
      <c r="F434" s="215" t="s">
        <v>2100</v>
      </c>
      <c r="G434" s="215" t="s">
        <v>58</v>
      </c>
      <c r="H434" s="216" t="s">
        <v>2254</v>
      </c>
      <c r="I434" s="217"/>
      <c r="J434" s="217"/>
      <c r="K434" s="217"/>
      <c r="L434" s="217"/>
      <c r="M434" s="217"/>
      <c r="N434" s="217"/>
      <c r="O434" s="217"/>
      <c r="P434" s="217"/>
      <c r="Q434" s="218"/>
    </row>
    <row r="435" spans="1:17" s="219" customFormat="1" hidden="1" x14ac:dyDescent="0.25">
      <c r="A435" s="214"/>
      <c r="B435" s="215" t="s">
        <v>1822</v>
      </c>
      <c r="C435" s="215" t="s">
        <v>1823</v>
      </c>
      <c r="D435" s="215" t="s">
        <v>1836</v>
      </c>
      <c r="E435" s="215" t="s">
        <v>2139</v>
      </c>
      <c r="F435" s="215" t="s">
        <v>2100</v>
      </c>
      <c r="G435" s="215" t="s">
        <v>75</v>
      </c>
      <c r="H435" s="216" t="s">
        <v>2255</v>
      </c>
      <c r="I435" s="217"/>
      <c r="J435" s="217"/>
      <c r="K435" s="217"/>
      <c r="L435" s="217"/>
      <c r="M435" s="217"/>
      <c r="N435" s="217"/>
      <c r="O435" s="217"/>
      <c r="P435" s="217"/>
      <c r="Q435" s="218"/>
    </row>
    <row r="436" spans="1:17" s="219" customFormat="1" ht="30" hidden="1" x14ac:dyDescent="0.25">
      <c r="A436" s="214"/>
      <c r="B436" s="215" t="s">
        <v>1822</v>
      </c>
      <c r="C436" s="215" t="s">
        <v>1823</v>
      </c>
      <c r="D436" s="215" t="s">
        <v>1836</v>
      </c>
      <c r="E436" s="215" t="s">
        <v>2139</v>
      </c>
      <c r="F436" s="215" t="s">
        <v>2100</v>
      </c>
      <c r="G436" s="215" t="s">
        <v>79</v>
      </c>
      <c r="H436" s="216" t="s">
        <v>2256</v>
      </c>
      <c r="I436" s="217"/>
      <c r="J436" s="217"/>
      <c r="K436" s="217"/>
      <c r="L436" s="217"/>
      <c r="M436" s="217"/>
      <c r="N436" s="217"/>
      <c r="O436" s="217"/>
      <c r="P436" s="217"/>
      <c r="Q436" s="218"/>
    </row>
    <row r="437" spans="1:17" s="219" customFormat="1" hidden="1" x14ac:dyDescent="0.25">
      <c r="A437" s="214"/>
      <c r="B437" s="215" t="s">
        <v>1822</v>
      </c>
      <c r="C437" s="215" t="s">
        <v>1823</v>
      </c>
      <c r="D437" s="215" t="s">
        <v>1836</v>
      </c>
      <c r="E437" s="215" t="s">
        <v>2139</v>
      </c>
      <c r="F437" s="215" t="s">
        <v>2100</v>
      </c>
      <c r="G437" s="215" t="s">
        <v>84</v>
      </c>
      <c r="H437" s="216" t="s">
        <v>2257</v>
      </c>
      <c r="I437" s="217"/>
      <c r="J437" s="217"/>
      <c r="K437" s="217"/>
      <c r="L437" s="217"/>
      <c r="M437" s="217"/>
      <c r="N437" s="217"/>
      <c r="O437" s="217"/>
      <c r="P437" s="217"/>
      <c r="Q437" s="218"/>
    </row>
    <row r="438" spans="1:17" s="219" customFormat="1" hidden="1" x14ac:dyDescent="0.25">
      <c r="A438" s="214"/>
      <c r="B438" s="215" t="s">
        <v>1822</v>
      </c>
      <c r="C438" s="215" t="s">
        <v>1823</v>
      </c>
      <c r="D438" s="215" t="s">
        <v>1836</v>
      </c>
      <c r="E438" s="215" t="s">
        <v>2139</v>
      </c>
      <c r="F438" s="215" t="s">
        <v>2100</v>
      </c>
      <c r="G438" s="215" t="s">
        <v>88</v>
      </c>
      <c r="H438" s="216" t="s">
        <v>2258</v>
      </c>
      <c r="I438" s="217"/>
      <c r="J438" s="217"/>
      <c r="K438" s="217"/>
      <c r="L438" s="217"/>
      <c r="M438" s="217"/>
      <c r="N438" s="217"/>
      <c r="O438" s="217"/>
      <c r="P438" s="217"/>
      <c r="Q438" s="218"/>
    </row>
    <row r="439" spans="1:17" s="219" customFormat="1" ht="30" hidden="1" x14ac:dyDescent="0.25">
      <c r="A439" s="214"/>
      <c r="B439" s="215" t="s">
        <v>1822</v>
      </c>
      <c r="C439" s="215" t="s">
        <v>1823</v>
      </c>
      <c r="D439" s="215" t="s">
        <v>1836</v>
      </c>
      <c r="E439" s="215" t="s">
        <v>2139</v>
      </c>
      <c r="F439" s="215" t="s">
        <v>2100</v>
      </c>
      <c r="G439" s="215" t="s">
        <v>92</v>
      </c>
      <c r="H439" s="216" t="s">
        <v>2259</v>
      </c>
      <c r="I439" s="217"/>
      <c r="J439" s="217"/>
      <c r="K439" s="217"/>
      <c r="L439" s="217"/>
      <c r="M439" s="217"/>
      <c r="N439" s="217"/>
      <c r="O439" s="217"/>
      <c r="P439" s="217"/>
      <c r="Q439" s="218"/>
    </row>
    <row r="440" spans="1:17" s="213" customFormat="1" ht="30" hidden="1" x14ac:dyDescent="0.25">
      <c r="A440" s="208" t="s">
        <v>263</v>
      </c>
      <c r="B440" s="209" t="s">
        <v>1822</v>
      </c>
      <c r="C440" s="209" t="s">
        <v>1823</v>
      </c>
      <c r="D440" s="209" t="s">
        <v>1836</v>
      </c>
      <c r="E440" s="209" t="s">
        <v>2139</v>
      </c>
      <c r="F440" s="209" t="s">
        <v>2139</v>
      </c>
      <c r="G440" s="209"/>
      <c r="H440" s="210" t="s">
        <v>2260</v>
      </c>
      <c r="I440" s="211">
        <f>SUM(I441:I456)</f>
        <v>0</v>
      </c>
      <c r="J440" s="211">
        <f t="shared" ref="J440:O440" si="43">SUM(J441:J456)</f>
        <v>0</v>
      </c>
      <c r="K440" s="211">
        <f t="shared" si="43"/>
        <v>0</v>
      </c>
      <c r="L440" s="211">
        <f t="shared" si="43"/>
        <v>0</v>
      </c>
      <c r="M440" s="211">
        <f t="shared" si="43"/>
        <v>0</v>
      </c>
      <c r="N440" s="211">
        <f t="shared" si="43"/>
        <v>0</v>
      </c>
      <c r="O440" s="211">
        <f t="shared" si="43"/>
        <v>0</v>
      </c>
      <c r="P440" s="211"/>
      <c r="Q440" s="212"/>
    </row>
    <row r="441" spans="1:17" s="219" customFormat="1" hidden="1" x14ac:dyDescent="0.25">
      <c r="A441" s="214"/>
      <c r="B441" s="215" t="s">
        <v>1822</v>
      </c>
      <c r="C441" s="215" t="s">
        <v>1823</v>
      </c>
      <c r="D441" s="215" t="s">
        <v>1836</v>
      </c>
      <c r="E441" s="215" t="s">
        <v>2139</v>
      </c>
      <c r="F441" s="215" t="s">
        <v>2139</v>
      </c>
      <c r="G441" s="215" t="s">
        <v>58</v>
      </c>
      <c r="H441" s="216" t="s">
        <v>2261</v>
      </c>
      <c r="I441" s="217"/>
      <c r="J441" s="217"/>
      <c r="K441" s="217"/>
      <c r="L441" s="217"/>
      <c r="M441" s="217"/>
      <c r="N441" s="217"/>
      <c r="O441" s="217"/>
      <c r="P441" s="217"/>
      <c r="Q441" s="218"/>
    </row>
    <row r="442" spans="1:17" s="219" customFormat="1" hidden="1" x14ac:dyDescent="0.25">
      <c r="A442" s="214"/>
      <c r="B442" s="215" t="s">
        <v>1822</v>
      </c>
      <c r="C442" s="215" t="s">
        <v>1823</v>
      </c>
      <c r="D442" s="215" t="s">
        <v>1836</v>
      </c>
      <c r="E442" s="215" t="s">
        <v>2139</v>
      </c>
      <c r="F442" s="215" t="s">
        <v>2139</v>
      </c>
      <c r="G442" s="215" t="s">
        <v>75</v>
      </c>
      <c r="H442" s="216" t="s">
        <v>2262</v>
      </c>
      <c r="I442" s="217"/>
      <c r="J442" s="217"/>
      <c r="K442" s="217"/>
      <c r="L442" s="217"/>
      <c r="M442" s="217"/>
      <c r="N442" s="217"/>
      <c r="O442" s="217"/>
      <c r="P442" s="217"/>
      <c r="Q442" s="218"/>
    </row>
    <row r="443" spans="1:17" s="219" customFormat="1" ht="30" hidden="1" x14ac:dyDescent="0.25">
      <c r="A443" s="214"/>
      <c r="B443" s="215" t="s">
        <v>1822</v>
      </c>
      <c r="C443" s="215" t="s">
        <v>1823</v>
      </c>
      <c r="D443" s="215" t="s">
        <v>1836</v>
      </c>
      <c r="E443" s="215" t="s">
        <v>2139</v>
      </c>
      <c r="F443" s="215" t="s">
        <v>2139</v>
      </c>
      <c r="G443" s="215" t="s">
        <v>79</v>
      </c>
      <c r="H443" s="216" t="s">
        <v>2263</v>
      </c>
      <c r="I443" s="217"/>
      <c r="J443" s="217"/>
      <c r="K443" s="217"/>
      <c r="L443" s="217"/>
      <c r="M443" s="217"/>
      <c r="N443" s="217"/>
      <c r="O443" s="217"/>
      <c r="P443" s="217"/>
      <c r="Q443" s="218"/>
    </row>
    <row r="444" spans="1:17" s="219" customFormat="1" hidden="1" x14ac:dyDescent="0.25">
      <c r="A444" s="214"/>
      <c r="B444" s="215" t="s">
        <v>1822</v>
      </c>
      <c r="C444" s="215" t="s">
        <v>1823</v>
      </c>
      <c r="D444" s="215" t="s">
        <v>1836</v>
      </c>
      <c r="E444" s="215" t="s">
        <v>2139</v>
      </c>
      <c r="F444" s="215" t="s">
        <v>2139</v>
      </c>
      <c r="G444" s="215" t="s">
        <v>84</v>
      </c>
      <c r="H444" s="216" t="s">
        <v>2264</v>
      </c>
      <c r="I444" s="217"/>
      <c r="J444" s="217"/>
      <c r="K444" s="217"/>
      <c r="L444" s="217"/>
      <c r="M444" s="217"/>
      <c r="N444" s="217"/>
      <c r="O444" s="217"/>
      <c r="P444" s="217"/>
      <c r="Q444" s="218"/>
    </row>
    <row r="445" spans="1:17" s="219" customFormat="1" hidden="1" x14ac:dyDescent="0.25">
      <c r="A445" s="214"/>
      <c r="B445" s="215" t="s">
        <v>1822</v>
      </c>
      <c r="C445" s="215" t="s">
        <v>1823</v>
      </c>
      <c r="D445" s="215" t="s">
        <v>1836</v>
      </c>
      <c r="E445" s="215" t="s">
        <v>2139</v>
      </c>
      <c r="F445" s="215" t="s">
        <v>2139</v>
      </c>
      <c r="G445" s="215" t="s">
        <v>88</v>
      </c>
      <c r="H445" s="216" t="s">
        <v>2265</v>
      </c>
      <c r="I445" s="217"/>
      <c r="J445" s="217"/>
      <c r="K445" s="217"/>
      <c r="L445" s="217"/>
      <c r="M445" s="217"/>
      <c r="N445" s="217"/>
      <c r="O445" s="217"/>
      <c r="P445" s="217"/>
      <c r="Q445" s="218"/>
    </row>
    <row r="446" spans="1:17" s="219" customFormat="1" hidden="1" x14ac:dyDescent="0.25">
      <c r="A446" s="214"/>
      <c r="B446" s="215" t="s">
        <v>1822</v>
      </c>
      <c r="C446" s="215" t="s">
        <v>1823</v>
      </c>
      <c r="D446" s="215" t="s">
        <v>1836</v>
      </c>
      <c r="E446" s="215" t="s">
        <v>2139</v>
      </c>
      <c r="F446" s="215" t="s">
        <v>2139</v>
      </c>
      <c r="G446" s="215" t="s">
        <v>92</v>
      </c>
      <c r="H446" s="216" t="s">
        <v>2266</v>
      </c>
      <c r="I446" s="217"/>
      <c r="J446" s="217"/>
      <c r="K446" s="217"/>
      <c r="L446" s="217"/>
      <c r="M446" s="217"/>
      <c r="N446" s="217"/>
      <c r="O446" s="217"/>
      <c r="P446" s="217"/>
      <c r="Q446" s="218"/>
    </row>
    <row r="447" spans="1:17" s="219" customFormat="1" hidden="1" x14ac:dyDescent="0.25">
      <c r="A447" s="214"/>
      <c r="B447" s="215" t="s">
        <v>1822</v>
      </c>
      <c r="C447" s="215" t="s">
        <v>1823</v>
      </c>
      <c r="D447" s="215" t="s">
        <v>1836</v>
      </c>
      <c r="E447" s="215" t="s">
        <v>2139</v>
      </c>
      <c r="F447" s="215" t="s">
        <v>2139</v>
      </c>
      <c r="G447" s="215" t="s">
        <v>96</v>
      </c>
      <c r="H447" s="216" t="s">
        <v>2267</v>
      </c>
      <c r="I447" s="217"/>
      <c r="J447" s="217"/>
      <c r="K447" s="217"/>
      <c r="L447" s="217"/>
      <c r="M447" s="217"/>
      <c r="N447" s="217"/>
      <c r="O447" s="217"/>
      <c r="P447" s="217"/>
      <c r="Q447" s="218"/>
    </row>
    <row r="448" spans="1:17" s="219" customFormat="1" hidden="1" x14ac:dyDescent="0.25">
      <c r="A448" s="214"/>
      <c r="B448" s="215" t="s">
        <v>1822</v>
      </c>
      <c r="C448" s="215" t="s">
        <v>1823</v>
      </c>
      <c r="D448" s="215" t="s">
        <v>1836</v>
      </c>
      <c r="E448" s="215" t="s">
        <v>2139</v>
      </c>
      <c r="F448" s="215" t="s">
        <v>2139</v>
      </c>
      <c r="G448" s="215" t="s">
        <v>100</v>
      </c>
      <c r="H448" s="216" t="s">
        <v>2268</v>
      </c>
      <c r="I448" s="217"/>
      <c r="J448" s="217"/>
      <c r="K448" s="217"/>
      <c r="L448" s="217"/>
      <c r="M448" s="217"/>
      <c r="N448" s="217"/>
      <c r="O448" s="217"/>
      <c r="P448" s="217"/>
      <c r="Q448" s="218"/>
    </row>
    <row r="449" spans="1:17" s="219" customFormat="1" hidden="1" x14ac:dyDescent="0.25">
      <c r="A449" s="214"/>
      <c r="B449" s="215" t="s">
        <v>1822</v>
      </c>
      <c r="C449" s="215" t="s">
        <v>1823</v>
      </c>
      <c r="D449" s="215" t="s">
        <v>1836</v>
      </c>
      <c r="E449" s="215" t="s">
        <v>2139</v>
      </c>
      <c r="F449" s="215" t="s">
        <v>2139</v>
      </c>
      <c r="G449" s="215" t="s">
        <v>105</v>
      </c>
      <c r="H449" s="216" t="s">
        <v>2269</v>
      </c>
      <c r="I449" s="217"/>
      <c r="J449" s="217"/>
      <c r="K449" s="217"/>
      <c r="L449" s="217"/>
      <c r="M449" s="217"/>
      <c r="N449" s="217"/>
      <c r="O449" s="217"/>
      <c r="P449" s="217"/>
      <c r="Q449" s="218"/>
    </row>
    <row r="450" spans="1:17" s="219" customFormat="1" ht="30" hidden="1" x14ac:dyDescent="0.25">
      <c r="A450" s="214"/>
      <c r="B450" s="215" t="s">
        <v>1822</v>
      </c>
      <c r="C450" s="215" t="s">
        <v>1823</v>
      </c>
      <c r="D450" s="215" t="s">
        <v>1836</v>
      </c>
      <c r="E450" s="215" t="s">
        <v>2139</v>
      </c>
      <c r="F450" s="215" t="s">
        <v>2139</v>
      </c>
      <c r="G450" s="215" t="s">
        <v>108</v>
      </c>
      <c r="H450" s="216" t="s">
        <v>2270</v>
      </c>
      <c r="I450" s="217"/>
      <c r="J450" s="217"/>
      <c r="K450" s="217"/>
      <c r="L450" s="217"/>
      <c r="M450" s="217"/>
      <c r="N450" s="217"/>
      <c r="O450" s="217"/>
      <c r="P450" s="217"/>
      <c r="Q450" s="218"/>
    </row>
    <row r="451" spans="1:17" s="219" customFormat="1" hidden="1" x14ac:dyDescent="0.25">
      <c r="A451" s="214"/>
      <c r="B451" s="215" t="s">
        <v>1822</v>
      </c>
      <c r="C451" s="215" t="s">
        <v>1823</v>
      </c>
      <c r="D451" s="215" t="s">
        <v>1836</v>
      </c>
      <c r="E451" s="215" t="s">
        <v>2139</v>
      </c>
      <c r="F451" s="215" t="s">
        <v>2139</v>
      </c>
      <c r="G451" s="215" t="s">
        <v>135</v>
      </c>
      <c r="H451" s="216" t="s">
        <v>2271</v>
      </c>
      <c r="I451" s="217"/>
      <c r="J451" s="217"/>
      <c r="K451" s="217"/>
      <c r="L451" s="217"/>
      <c r="M451" s="217"/>
      <c r="N451" s="217"/>
      <c r="O451" s="217"/>
      <c r="P451" s="217"/>
      <c r="Q451" s="218"/>
    </row>
    <row r="452" spans="1:17" s="219" customFormat="1" ht="30" hidden="1" x14ac:dyDescent="0.25">
      <c r="A452" s="214"/>
      <c r="B452" s="215" t="s">
        <v>1822</v>
      </c>
      <c r="C452" s="215" t="s">
        <v>1823</v>
      </c>
      <c r="D452" s="215" t="s">
        <v>1836</v>
      </c>
      <c r="E452" s="215" t="s">
        <v>2139</v>
      </c>
      <c r="F452" s="215" t="s">
        <v>2139</v>
      </c>
      <c r="G452" s="215" t="s">
        <v>138</v>
      </c>
      <c r="H452" s="216" t="s">
        <v>2272</v>
      </c>
      <c r="I452" s="217"/>
      <c r="J452" s="217"/>
      <c r="K452" s="217"/>
      <c r="L452" s="217"/>
      <c r="M452" s="217"/>
      <c r="N452" s="217"/>
      <c r="O452" s="217"/>
      <c r="P452" s="217"/>
      <c r="Q452" s="218"/>
    </row>
    <row r="453" spans="1:17" s="219" customFormat="1" hidden="1" x14ac:dyDescent="0.25">
      <c r="A453" s="214"/>
      <c r="B453" s="215" t="s">
        <v>1822</v>
      </c>
      <c r="C453" s="215" t="s">
        <v>1823</v>
      </c>
      <c r="D453" s="215" t="s">
        <v>1836</v>
      </c>
      <c r="E453" s="215" t="s">
        <v>2139</v>
      </c>
      <c r="F453" s="215" t="s">
        <v>2139</v>
      </c>
      <c r="G453" s="215" t="s">
        <v>140</v>
      </c>
      <c r="H453" s="216" t="s">
        <v>2273</v>
      </c>
      <c r="I453" s="217"/>
      <c r="J453" s="217"/>
      <c r="K453" s="217"/>
      <c r="L453" s="217"/>
      <c r="M453" s="217"/>
      <c r="N453" s="217"/>
      <c r="O453" s="217"/>
      <c r="P453" s="217"/>
      <c r="Q453" s="218"/>
    </row>
    <row r="454" spans="1:17" s="219" customFormat="1" hidden="1" x14ac:dyDescent="0.25">
      <c r="A454" s="214"/>
      <c r="B454" s="215" t="s">
        <v>1822</v>
      </c>
      <c r="C454" s="215" t="s">
        <v>1823</v>
      </c>
      <c r="D454" s="215" t="s">
        <v>1836</v>
      </c>
      <c r="E454" s="215" t="s">
        <v>2139</v>
      </c>
      <c r="F454" s="215" t="s">
        <v>2139</v>
      </c>
      <c r="G454" s="215" t="s">
        <v>143</v>
      </c>
      <c r="H454" s="216" t="s">
        <v>2274</v>
      </c>
      <c r="I454" s="217"/>
      <c r="J454" s="217"/>
      <c r="K454" s="217"/>
      <c r="L454" s="217"/>
      <c r="M454" s="217"/>
      <c r="N454" s="217"/>
      <c r="O454" s="217"/>
      <c r="P454" s="217"/>
      <c r="Q454" s="218"/>
    </row>
    <row r="455" spans="1:17" s="219" customFormat="1" hidden="1" x14ac:dyDescent="0.25">
      <c r="A455" s="214"/>
      <c r="B455" s="215" t="s">
        <v>1822</v>
      </c>
      <c r="C455" s="215" t="s">
        <v>1823</v>
      </c>
      <c r="D455" s="215" t="s">
        <v>1836</v>
      </c>
      <c r="E455" s="215" t="s">
        <v>2139</v>
      </c>
      <c r="F455" s="215" t="s">
        <v>2139</v>
      </c>
      <c r="G455" s="215" t="s">
        <v>146</v>
      </c>
      <c r="H455" s="216" t="s">
        <v>2275</v>
      </c>
      <c r="I455" s="217"/>
      <c r="J455" s="217"/>
      <c r="K455" s="217"/>
      <c r="L455" s="217"/>
      <c r="M455" s="217"/>
      <c r="N455" s="217"/>
      <c r="O455" s="217"/>
      <c r="P455" s="217"/>
      <c r="Q455" s="218"/>
    </row>
    <row r="456" spans="1:17" s="219" customFormat="1" ht="30" hidden="1" x14ac:dyDescent="0.25">
      <c r="A456" s="214"/>
      <c r="B456" s="215" t="s">
        <v>1822</v>
      </c>
      <c r="C456" s="215" t="s">
        <v>1823</v>
      </c>
      <c r="D456" s="215" t="s">
        <v>1836</v>
      </c>
      <c r="E456" s="215" t="s">
        <v>2139</v>
      </c>
      <c r="F456" s="215" t="s">
        <v>2139</v>
      </c>
      <c r="G456" s="215" t="s">
        <v>150</v>
      </c>
      <c r="H456" s="216" t="s">
        <v>2276</v>
      </c>
      <c r="I456" s="217"/>
      <c r="J456" s="217"/>
      <c r="K456" s="217"/>
      <c r="L456" s="217"/>
      <c r="M456" s="217"/>
      <c r="N456" s="217"/>
      <c r="O456" s="217"/>
      <c r="P456" s="217"/>
      <c r="Q456" s="218"/>
    </row>
    <row r="457" spans="1:17" s="213" customFormat="1" ht="30" hidden="1" x14ac:dyDescent="0.25">
      <c r="A457" s="208" t="s">
        <v>263</v>
      </c>
      <c r="B457" s="209" t="s">
        <v>1822</v>
      </c>
      <c r="C457" s="209" t="s">
        <v>1823</v>
      </c>
      <c r="D457" s="209" t="s">
        <v>1836</v>
      </c>
      <c r="E457" s="209" t="s">
        <v>2139</v>
      </c>
      <c r="F457" s="209" t="s">
        <v>2277</v>
      </c>
      <c r="G457" s="209"/>
      <c r="H457" s="210" t="s">
        <v>2278</v>
      </c>
      <c r="I457" s="211">
        <f>SUM(I458:I468)</f>
        <v>0</v>
      </c>
      <c r="J457" s="211">
        <f t="shared" ref="J457:O457" si="44">SUM(J458:J468)</f>
        <v>0</v>
      </c>
      <c r="K457" s="211">
        <f t="shared" si="44"/>
        <v>0</v>
      </c>
      <c r="L457" s="211">
        <f t="shared" si="44"/>
        <v>0</v>
      </c>
      <c r="M457" s="211">
        <f t="shared" si="44"/>
        <v>0</v>
      </c>
      <c r="N457" s="211">
        <f t="shared" si="44"/>
        <v>0</v>
      </c>
      <c r="O457" s="211">
        <f t="shared" si="44"/>
        <v>0</v>
      </c>
      <c r="P457" s="211"/>
      <c r="Q457" s="212"/>
    </row>
    <row r="458" spans="1:17" s="219" customFormat="1" ht="30" hidden="1" x14ac:dyDescent="0.25">
      <c r="A458" s="214"/>
      <c r="B458" s="215" t="s">
        <v>1822</v>
      </c>
      <c r="C458" s="215" t="s">
        <v>1823</v>
      </c>
      <c r="D458" s="215" t="s">
        <v>1836</v>
      </c>
      <c r="E458" s="215" t="s">
        <v>2139</v>
      </c>
      <c r="F458" s="215" t="s">
        <v>2277</v>
      </c>
      <c r="G458" s="215" t="s">
        <v>58</v>
      </c>
      <c r="H458" s="216" t="s">
        <v>2279</v>
      </c>
      <c r="I458" s="217"/>
      <c r="J458" s="217"/>
      <c r="K458" s="217"/>
      <c r="L458" s="217"/>
      <c r="M458" s="217"/>
      <c r="N458" s="217"/>
      <c r="O458" s="217"/>
      <c r="P458" s="217"/>
      <c r="Q458" s="218"/>
    </row>
    <row r="459" spans="1:17" s="219" customFormat="1" ht="30" hidden="1" x14ac:dyDescent="0.25">
      <c r="A459" s="214"/>
      <c r="B459" s="215" t="s">
        <v>1822</v>
      </c>
      <c r="C459" s="215" t="s">
        <v>1823</v>
      </c>
      <c r="D459" s="215" t="s">
        <v>1836</v>
      </c>
      <c r="E459" s="215" t="s">
        <v>2139</v>
      </c>
      <c r="F459" s="215" t="s">
        <v>2277</v>
      </c>
      <c r="G459" s="215" t="s">
        <v>75</v>
      </c>
      <c r="H459" s="216" t="s">
        <v>2280</v>
      </c>
      <c r="I459" s="217"/>
      <c r="J459" s="217"/>
      <c r="K459" s="217"/>
      <c r="L459" s="217"/>
      <c r="M459" s="217"/>
      <c r="N459" s="217"/>
      <c r="O459" s="217"/>
      <c r="P459" s="217"/>
      <c r="Q459" s="218"/>
    </row>
    <row r="460" spans="1:17" s="219" customFormat="1" ht="30" hidden="1" x14ac:dyDescent="0.25">
      <c r="A460" s="214"/>
      <c r="B460" s="215" t="s">
        <v>1822</v>
      </c>
      <c r="C460" s="215" t="s">
        <v>1823</v>
      </c>
      <c r="D460" s="215" t="s">
        <v>1836</v>
      </c>
      <c r="E460" s="215" t="s">
        <v>2139</v>
      </c>
      <c r="F460" s="215" t="s">
        <v>2277</v>
      </c>
      <c r="G460" s="215" t="s">
        <v>79</v>
      </c>
      <c r="H460" s="216" t="s">
        <v>2281</v>
      </c>
      <c r="I460" s="217"/>
      <c r="J460" s="217"/>
      <c r="K460" s="217"/>
      <c r="L460" s="217"/>
      <c r="M460" s="217"/>
      <c r="N460" s="217"/>
      <c r="O460" s="217"/>
      <c r="P460" s="217"/>
      <c r="Q460" s="218"/>
    </row>
    <row r="461" spans="1:17" s="219" customFormat="1" ht="30" hidden="1" x14ac:dyDescent="0.25">
      <c r="A461" s="214"/>
      <c r="B461" s="215" t="s">
        <v>1822</v>
      </c>
      <c r="C461" s="215" t="s">
        <v>1823</v>
      </c>
      <c r="D461" s="215" t="s">
        <v>1836</v>
      </c>
      <c r="E461" s="215" t="s">
        <v>2139</v>
      </c>
      <c r="F461" s="215" t="s">
        <v>2277</v>
      </c>
      <c r="G461" s="215" t="s">
        <v>84</v>
      </c>
      <c r="H461" s="216" t="s">
        <v>2282</v>
      </c>
      <c r="I461" s="217"/>
      <c r="J461" s="217"/>
      <c r="K461" s="217"/>
      <c r="L461" s="217"/>
      <c r="M461" s="217"/>
      <c r="N461" s="217"/>
      <c r="O461" s="217"/>
      <c r="P461" s="217"/>
      <c r="Q461" s="218"/>
    </row>
    <row r="462" spans="1:17" s="219" customFormat="1" hidden="1" x14ac:dyDescent="0.25">
      <c r="A462" s="214"/>
      <c r="B462" s="215" t="s">
        <v>1822</v>
      </c>
      <c r="C462" s="215" t="s">
        <v>1823</v>
      </c>
      <c r="D462" s="215" t="s">
        <v>1836</v>
      </c>
      <c r="E462" s="215" t="s">
        <v>2139</v>
      </c>
      <c r="F462" s="215" t="s">
        <v>2277</v>
      </c>
      <c r="G462" s="215" t="s">
        <v>88</v>
      </c>
      <c r="H462" s="216" t="s">
        <v>2283</v>
      </c>
      <c r="I462" s="217"/>
      <c r="J462" s="217"/>
      <c r="K462" s="217"/>
      <c r="L462" s="217"/>
      <c r="M462" s="217"/>
      <c r="N462" s="217"/>
      <c r="O462" s="217"/>
      <c r="P462" s="217"/>
      <c r="Q462" s="218"/>
    </row>
    <row r="463" spans="1:17" s="219" customFormat="1" ht="30" hidden="1" x14ac:dyDescent="0.25">
      <c r="A463" s="214"/>
      <c r="B463" s="215" t="s">
        <v>1822</v>
      </c>
      <c r="C463" s="215" t="s">
        <v>1823</v>
      </c>
      <c r="D463" s="215" t="s">
        <v>1836</v>
      </c>
      <c r="E463" s="215" t="s">
        <v>2139</v>
      </c>
      <c r="F463" s="215" t="s">
        <v>2277</v>
      </c>
      <c r="G463" s="215" t="s">
        <v>92</v>
      </c>
      <c r="H463" s="216" t="s">
        <v>2284</v>
      </c>
      <c r="I463" s="217"/>
      <c r="J463" s="217"/>
      <c r="K463" s="217"/>
      <c r="L463" s="217"/>
      <c r="M463" s="217"/>
      <c r="N463" s="217"/>
      <c r="O463" s="217"/>
      <c r="P463" s="217"/>
      <c r="Q463" s="218"/>
    </row>
    <row r="464" spans="1:17" s="219" customFormat="1" hidden="1" x14ac:dyDescent="0.25">
      <c r="A464" s="214"/>
      <c r="B464" s="215" t="s">
        <v>1822</v>
      </c>
      <c r="C464" s="215" t="s">
        <v>1823</v>
      </c>
      <c r="D464" s="215" t="s">
        <v>1836</v>
      </c>
      <c r="E464" s="215" t="s">
        <v>2139</v>
      </c>
      <c r="F464" s="215" t="s">
        <v>2277</v>
      </c>
      <c r="G464" s="215" t="s">
        <v>96</v>
      </c>
      <c r="H464" s="216" t="s">
        <v>2285</v>
      </c>
      <c r="I464" s="217"/>
      <c r="J464" s="217"/>
      <c r="K464" s="217"/>
      <c r="L464" s="217"/>
      <c r="M464" s="217"/>
      <c r="N464" s="217"/>
      <c r="O464" s="217"/>
      <c r="P464" s="217"/>
      <c r="Q464" s="218"/>
    </row>
    <row r="465" spans="1:17" s="219" customFormat="1" ht="30" hidden="1" x14ac:dyDescent="0.25">
      <c r="A465" s="214"/>
      <c r="B465" s="215" t="s">
        <v>1822</v>
      </c>
      <c r="C465" s="215" t="s">
        <v>1823</v>
      </c>
      <c r="D465" s="215" t="s">
        <v>1836</v>
      </c>
      <c r="E465" s="215" t="s">
        <v>2139</v>
      </c>
      <c r="F465" s="215" t="s">
        <v>2277</v>
      </c>
      <c r="G465" s="215" t="s">
        <v>100</v>
      </c>
      <c r="H465" s="216" t="s">
        <v>2286</v>
      </c>
      <c r="I465" s="217"/>
      <c r="J465" s="217"/>
      <c r="K465" s="217"/>
      <c r="L465" s="217"/>
      <c r="M465" s="217"/>
      <c r="N465" s="217"/>
      <c r="O465" s="217"/>
      <c r="P465" s="217"/>
      <c r="Q465" s="218"/>
    </row>
    <row r="466" spans="1:17" s="219" customFormat="1" ht="30" hidden="1" x14ac:dyDescent="0.25">
      <c r="A466" s="214"/>
      <c r="B466" s="215" t="s">
        <v>1822</v>
      </c>
      <c r="C466" s="215" t="s">
        <v>1823</v>
      </c>
      <c r="D466" s="215" t="s">
        <v>1836</v>
      </c>
      <c r="E466" s="215" t="s">
        <v>2139</v>
      </c>
      <c r="F466" s="215" t="s">
        <v>2277</v>
      </c>
      <c r="G466" s="215" t="s">
        <v>105</v>
      </c>
      <c r="H466" s="216" t="s">
        <v>2287</v>
      </c>
      <c r="I466" s="217"/>
      <c r="J466" s="217"/>
      <c r="K466" s="217"/>
      <c r="L466" s="217"/>
      <c r="M466" s="217"/>
      <c r="N466" s="217"/>
      <c r="O466" s="217"/>
      <c r="P466" s="217"/>
      <c r="Q466" s="218"/>
    </row>
    <row r="467" spans="1:17" s="219" customFormat="1" hidden="1" x14ac:dyDescent="0.25">
      <c r="A467" s="214"/>
      <c r="B467" s="215" t="s">
        <v>1822</v>
      </c>
      <c r="C467" s="215" t="s">
        <v>1823</v>
      </c>
      <c r="D467" s="215" t="s">
        <v>1836</v>
      </c>
      <c r="E467" s="215" t="s">
        <v>2139</v>
      </c>
      <c r="F467" s="215" t="s">
        <v>2277</v>
      </c>
      <c r="G467" s="215" t="s">
        <v>108</v>
      </c>
      <c r="H467" s="216" t="s">
        <v>2288</v>
      </c>
      <c r="I467" s="217"/>
      <c r="J467" s="217"/>
      <c r="K467" s="217"/>
      <c r="L467" s="217"/>
      <c r="M467" s="217"/>
      <c r="N467" s="217"/>
      <c r="O467" s="217"/>
      <c r="P467" s="217"/>
      <c r="Q467" s="218"/>
    </row>
    <row r="468" spans="1:17" s="219" customFormat="1" ht="30" hidden="1" x14ac:dyDescent="0.25">
      <c r="A468" s="214"/>
      <c r="B468" s="215" t="s">
        <v>1822</v>
      </c>
      <c r="C468" s="215" t="s">
        <v>1823</v>
      </c>
      <c r="D468" s="215" t="s">
        <v>1836</v>
      </c>
      <c r="E468" s="215" t="s">
        <v>2139</v>
      </c>
      <c r="F468" s="215" t="s">
        <v>2277</v>
      </c>
      <c r="G468" s="215" t="s">
        <v>135</v>
      </c>
      <c r="H468" s="216" t="s">
        <v>2289</v>
      </c>
      <c r="I468" s="217"/>
      <c r="J468" s="217"/>
      <c r="K468" s="217"/>
      <c r="L468" s="217"/>
      <c r="M468" s="217"/>
      <c r="N468" s="217"/>
      <c r="O468" s="217"/>
      <c r="P468" s="217"/>
      <c r="Q468" s="218"/>
    </row>
    <row r="469" spans="1:17" s="213" customFormat="1" hidden="1" x14ac:dyDescent="0.25">
      <c r="A469" s="208" t="s">
        <v>2290</v>
      </c>
      <c r="B469" s="209" t="s">
        <v>1822</v>
      </c>
      <c r="C469" s="209" t="s">
        <v>1823</v>
      </c>
      <c r="D469" s="209" t="s">
        <v>1836</v>
      </c>
      <c r="E469" s="209" t="s">
        <v>2277</v>
      </c>
      <c r="F469" s="209"/>
      <c r="G469" s="209"/>
      <c r="H469" s="210" t="s">
        <v>2291</v>
      </c>
      <c r="I469" s="211">
        <f>SUM(I470+I481+I487)</f>
        <v>0</v>
      </c>
      <c r="J469" s="211">
        <f t="shared" ref="J469:O469" si="45">SUM(J470+J481+J487)</f>
        <v>0</v>
      </c>
      <c r="K469" s="211">
        <f t="shared" si="45"/>
        <v>0</v>
      </c>
      <c r="L469" s="211">
        <f t="shared" si="45"/>
        <v>0</v>
      </c>
      <c r="M469" s="211">
        <f t="shared" si="45"/>
        <v>0</v>
      </c>
      <c r="N469" s="211">
        <f t="shared" si="45"/>
        <v>0</v>
      </c>
      <c r="O469" s="211">
        <f t="shared" si="45"/>
        <v>0</v>
      </c>
      <c r="P469" s="211"/>
      <c r="Q469" s="212"/>
    </row>
    <row r="470" spans="1:17" s="213" customFormat="1" hidden="1" x14ac:dyDescent="0.25">
      <c r="A470" s="208" t="s">
        <v>263</v>
      </c>
      <c r="B470" s="209" t="s">
        <v>1822</v>
      </c>
      <c r="C470" s="209" t="s">
        <v>1823</v>
      </c>
      <c r="D470" s="209" t="s">
        <v>1836</v>
      </c>
      <c r="E470" s="209" t="s">
        <v>2277</v>
      </c>
      <c r="F470" s="209" t="s">
        <v>1825</v>
      </c>
      <c r="G470" s="209"/>
      <c r="H470" s="210" t="s">
        <v>2292</v>
      </c>
      <c r="I470" s="211">
        <f>SUM(I471:I480)</f>
        <v>0</v>
      </c>
      <c r="J470" s="211">
        <f t="shared" ref="J470:O470" si="46">SUM(J471:J480)</f>
        <v>0</v>
      </c>
      <c r="K470" s="211">
        <f t="shared" si="46"/>
        <v>0</v>
      </c>
      <c r="L470" s="211">
        <f t="shared" si="46"/>
        <v>0</v>
      </c>
      <c r="M470" s="211">
        <f t="shared" si="46"/>
        <v>0</v>
      </c>
      <c r="N470" s="211">
        <f t="shared" si="46"/>
        <v>0</v>
      </c>
      <c r="O470" s="211">
        <f t="shared" si="46"/>
        <v>0</v>
      </c>
      <c r="P470" s="211"/>
      <c r="Q470" s="212"/>
    </row>
    <row r="471" spans="1:17" s="219" customFormat="1" hidden="1" x14ac:dyDescent="0.25">
      <c r="A471" s="214"/>
      <c r="B471" s="215" t="s">
        <v>1822</v>
      </c>
      <c r="C471" s="215" t="s">
        <v>1823</v>
      </c>
      <c r="D471" s="215" t="s">
        <v>1836</v>
      </c>
      <c r="E471" s="215" t="s">
        <v>2277</v>
      </c>
      <c r="F471" s="215" t="s">
        <v>1825</v>
      </c>
      <c r="G471" s="215" t="s">
        <v>58</v>
      </c>
      <c r="H471" s="216" t="s">
        <v>2293</v>
      </c>
      <c r="I471" s="217"/>
      <c r="J471" s="217"/>
      <c r="K471" s="217"/>
      <c r="L471" s="217"/>
      <c r="M471" s="217"/>
      <c r="N471" s="217"/>
      <c r="O471" s="217"/>
      <c r="P471" s="217"/>
      <c r="Q471" s="218"/>
    </row>
    <row r="472" spans="1:17" s="219" customFormat="1" hidden="1" x14ac:dyDescent="0.25">
      <c r="A472" s="214"/>
      <c r="B472" s="215" t="s">
        <v>1822</v>
      </c>
      <c r="C472" s="215" t="s">
        <v>1823</v>
      </c>
      <c r="D472" s="215" t="s">
        <v>1836</v>
      </c>
      <c r="E472" s="215" t="s">
        <v>2277</v>
      </c>
      <c r="F472" s="215" t="s">
        <v>1825</v>
      </c>
      <c r="G472" s="215" t="s">
        <v>75</v>
      </c>
      <c r="H472" s="216" t="s">
        <v>2294</v>
      </c>
      <c r="I472" s="217"/>
      <c r="J472" s="217"/>
      <c r="K472" s="217"/>
      <c r="L472" s="217"/>
      <c r="M472" s="217"/>
      <c r="N472" s="217"/>
      <c r="O472" s="217"/>
      <c r="P472" s="217"/>
      <c r="Q472" s="218"/>
    </row>
    <row r="473" spans="1:17" s="219" customFormat="1" hidden="1" x14ac:dyDescent="0.25">
      <c r="A473" s="214"/>
      <c r="B473" s="215" t="s">
        <v>1822</v>
      </c>
      <c r="C473" s="215" t="s">
        <v>1823</v>
      </c>
      <c r="D473" s="215" t="s">
        <v>1836</v>
      </c>
      <c r="E473" s="215" t="s">
        <v>2277</v>
      </c>
      <c r="F473" s="215" t="s">
        <v>1825</v>
      </c>
      <c r="G473" s="215" t="s">
        <v>79</v>
      </c>
      <c r="H473" s="216" t="s">
        <v>2295</v>
      </c>
      <c r="I473" s="217"/>
      <c r="J473" s="217"/>
      <c r="K473" s="217"/>
      <c r="L473" s="217"/>
      <c r="M473" s="217"/>
      <c r="N473" s="217"/>
      <c r="O473" s="217"/>
      <c r="P473" s="217"/>
      <c r="Q473" s="218"/>
    </row>
    <row r="474" spans="1:17" s="219" customFormat="1" hidden="1" x14ac:dyDescent="0.25">
      <c r="A474" s="214"/>
      <c r="B474" s="215" t="s">
        <v>1822</v>
      </c>
      <c r="C474" s="215" t="s">
        <v>1823</v>
      </c>
      <c r="D474" s="215" t="s">
        <v>1836</v>
      </c>
      <c r="E474" s="215" t="s">
        <v>2277</v>
      </c>
      <c r="F474" s="215" t="s">
        <v>1825</v>
      </c>
      <c r="G474" s="215" t="s">
        <v>84</v>
      </c>
      <c r="H474" s="216" t="s">
        <v>2296</v>
      </c>
      <c r="I474" s="217"/>
      <c r="J474" s="217"/>
      <c r="K474" s="217"/>
      <c r="L474" s="217"/>
      <c r="M474" s="217"/>
      <c r="N474" s="217"/>
      <c r="O474" s="217"/>
      <c r="P474" s="217"/>
      <c r="Q474" s="218"/>
    </row>
    <row r="475" spans="1:17" s="219" customFormat="1" hidden="1" x14ac:dyDescent="0.25">
      <c r="A475" s="214"/>
      <c r="B475" s="215" t="s">
        <v>1822</v>
      </c>
      <c r="C475" s="215" t="s">
        <v>1823</v>
      </c>
      <c r="D475" s="215" t="s">
        <v>1836</v>
      </c>
      <c r="E475" s="215" t="s">
        <v>2277</v>
      </c>
      <c r="F475" s="215" t="s">
        <v>1825</v>
      </c>
      <c r="G475" s="215" t="s">
        <v>88</v>
      </c>
      <c r="H475" s="216" t="s">
        <v>2297</v>
      </c>
      <c r="I475" s="217"/>
      <c r="J475" s="217"/>
      <c r="K475" s="217"/>
      <c r="L475" s="217"/>
      <c r="M475" s="217"/>
      <c r="N475" s="217"/>
      <c r="O475" s="217"/>
      <c r="P475" s="217"/>
      <c r="Q475" s="218"/>
    </row>
    <row r="476" spans="1:17" s="219" customFormat="1" hidden="1" x14ac:dyDescent="0.25">
      <c r="A476" s="214"/>
      <c r="B476" s="215" t="s">
        <v>1822</v>
      </c>
      <c r="C476" s="215" t="s">
        <v>1823</v>
      </c>
      <c r="D476" s="215" t="s">
        <v>1836</v>
      </c>
      <c r="E476" s="215" t="s">
        <v>2277</v>
      </c>
      <c r="F476" s="215" t="s">
        <v>1825</v>
      </c>
      <c r="G476" s="215" t="s">
        <v>92</v>
      </c>
      <c r="H476" s="216" t="s">
        <v>2298</v>
      </c>
      <c r="I476" s="217"/>
      <c r="J476" s="217"/>
      <c r="K476" s="217"/>
      <c r="L476" s="217"/>
      <c r="M476" s="217"/>
      <c r="N476" s="217"/>
      <c r="O476" s="217"/>
      <c r="P476" s="217"/>
      <c r="Q476" s="218"/>
    </row>
    <row r="477" spans="1:17" s="219" customFormat="1" hidden="1" x14ac:dyDescent="0.25">
      <c r="A477" s="214"/>
      <c r="B477" s="215" t="s">
        <v>1822</v>
      </c>
      <c r="C477" s="215" t="s">
        <v>1823</v>
      </c>
      <c r="D477" s="215" t="s">
        <v>1836</v>
      </c>
      <c r="E477" s="215" t="s">
        <v>2277</v>
      </c>
      <c r="F477" s="215" t="s">
        <v>1825</v>
      </c>
      <c r="G477" s="215" t="s">
        <v>96</v>
      </c>
      <c r="H477" s="216" t="s">
        <v>2299</v>
      </c>
      <c r="I477" s="217"/>
      <c r="J477" s="217"/>
      <c r="K477" s="217"/>
      <c r="L477" s="217"/>
      <c r="M477" s="217"/>
      <c r="N477" s="217"/>
      <c r="O477" s="217"/>
      <c r="P477" s="217"/>
      <c r="Q477" s="218"/>
    </row>
    <row r="478" spans="1:17" s="219" customFormat="1" hidden="1" x14ac:dyDescent="0.25">
      <c r="A478" s="214"/>
      <c r="B478" s="215" t="s">
        <v>1822</v>
      </c>
      <c r="C478" s="215" t="s">
        <v>1823</v>
      </c>
      <c r="D478" s="215" t="s">
        <v>1836</v>
      </c>
      <c r="E478" s="215" t="s">
        <v>2277</v>
      </c>
      <c r="F478" s="215" t="s">
        <v>1825</v>
      </c>
      <c r="G478" s="215" t="s">
        <v>100</v>
      </c>
      <c r="H478" s="216" t="s">
        <v>2300</v>
      </c>
      <c r="I478" s="217"/>
      <c r="J478" s="217"/>
      <c r="K478" s="217"/>
      <c r="L478" s="217"/>
      <c r="M478" s="217"/>
      <c r="N478" s="217"/>
      <c r="O478" s="217"/>
      <c r="P478" s="217"/>
      <c r="Q478" s="218"/>
    </row>
    <row r="479" spans="1:17" s="219" customFormat="1" hidden="1" x14ac:dyDescent="0.25">
      <c r="A479" s="214"/>
      <c r="B479" s="215" t="s">
        <v>1822</v>
      </c>
      <c r="C479" s="215" t="s">
        <v>1823</v>
      </c>
      <c r="D479" s="215" t="s">
        <v>1836</v>
      </c>
      <c r="E479" s="215" t="s">
        <v>2277</v>
      </c>
      <c r="F479" s="215" t="s">
        <v>1825</v>
      </c>
      <c r="G479" s="215" t="s">
        <v>105</v>
      </c>
      <c r="H479" s="216" t="s">
        <v>2301</v>
      </c>
      <c r="I479" s="217"/>
      <c r="J479" s="217"/>
      <c r="K479" s="217"/>
      <c r="L479" s="217"/>
      <c r="M479" s="217"/>
      <c r="N479" s="217"/>
      <c r="O479" s="217"/>
      <c r="P479" s="217"/>
      <c r="Q479" s="218"/>
    </row>
    <row r="480" spans="1:17" s="219" customFormat="1" hidden="1" x14ac:dyDescent="0.25">
      <c r="A480" s="214"/>
      <c r="B480" s="215" t="s">
        <v>1822</v>
      </c>
      <c r="C480" s="215" t="s">
        <v>1823</v>
      </c>
      <c r="D480" s="215" t="s">
        <v>1836</v>
      </c>
      <c r="E480" s="215" t="s">
        <v>2277</v>
      </c>
      <c r="F480" s="215" t="s">
        <v>1825</v>
      </c>
      <c r="G480" s="215" t="s">
        <v>108</v>
      </c>
      <c r="H480" s="216" t="s">
        <v>2302</v>
      </c>
      <c r="I480" s="217"/>
      <c r="J480" s="217"/>
      <c r="K480" s="217"/>
      <c r="L480" s="217"/>
      <c r="M480" s="217"/>
      <c r="N480" s="217"/>
      <c r="O480" s="217"/>
      <c r="P480" s="217"/>
      <c r="Q480" s="218"/>
    </row>
    <row r="481" spans="1:17" s="213" customFormat="1" hidden="1" x14ac:dyDescent="0.25">
      <c r="A481" s="208" t="s">
        <v>263</v>
      </c>
      <c r="B481" s="209" t="s">
        <v>1822</v>
      </c>
      <c r="C481" s="209" t="s">
        <v>1823</v>
      </c>
      <c r="D481" s="209" t="s">
        <v>1836</v>
      </c>
      <c r="E481" s="209" t="s">
        <v>2277</v>
      </c>
      <c r="F481" s="209" t="s">
        <v>1836</v>
      </c>
      <c r="G481" s="209"/>
      <c r="H481" s="210" t="s">
        <v>2303</v>
      </c>
      <c r="I481" s="211">
        <f>SUM(I482:I486)</f>
        <v>0</v>
      </c>
      <c r="J481" s="211">
        <f t="shared" ref="J481:O481" si="47">SUM(J482:J486)</f>
        <v>0</v>
      </c>
      <c r="K481" s="211">
        <f t="shared" si="47"/>
        <v>0</v>
      </c>
      <c r="L481" s="211">
        <f t="shared" si="47"/>
        <v>0</v>
      </c>
      <c r="M481" s="211">
        <f t="shared" si="47"/>
        <v>0</v>
      </c>
      <c r="N481" s="211">
        <f t="shared" si="47"/>
        <v>0</v>
      </c>
      <c r="O481" s="211">
        <f t="shared" si="47"/>
        <v>0</v>
      </c>
      <c r="P481" s="211"/>
      <c r="Q481" s="212"/>
    </row>
    <row r="482" spans="1:17" s="219" customFormat="1" hidden="1" x14ac:dyDescent="0.25">
      <c r="A482" s="214"/>
      <c r="B482" s="215" t="s">
        <v>1822</v>
      </c>
      <c r="C482" s="215" t="s">
        <v>1823</v>
      </c>
      <c r="D482" s="215" t="s">
        <v>1836</v>
      </c>
      <c r="E482" s="215" t="s">
        <v>2277</v>
      </c>
      <c r="F482" s="215" t="s">
        <v>1836</v>
      </c>
      <c r="G482" s="215" t="s">
        <v>58</v>
      </c>
      <c r="H482" s="216" t="s">
        <v>2304</v>
      </c>
      <c r="I482" s="217"/>
      <c r="J482" s="217"/>
      <c r="K482" s="217"/>
      <c r="L482" s="217"/>
      <c r="M482" s="217"/>
      <c r="N482" s="217"/>
      <c r="O482" s="217"/>
      <c r="P482" s="217"/>
      <c r="Q482" s="218"/>
    </row>
    <row r="483" spans="1:17" s="219" customFormat="1" hidden="1" x14ac:dyDescent="0.25">
      <c r="A483" s="214"/>
      <c r="B483" s="215" t="s">
        <v>1822</v>
      </c>
      <c r="C483" s="215" t="s">
        <v>1823</v>
      </c>
      <c r="D483" s="215" t="s">
        <v>1836</v>
      </c>
      <c r="E483" s="215" t="s">
        <v>2277</v>
      </c>
      <c r="F483" s="215" t="s">
        <v>1836</v>
      </c>
      <c r="G483" s="215" t="s">
        <v>75</v>
      </c>
      <c r="H483" s="216" t="s">
        <v>2305</v>
      </c>
      <c r="I483" s="217"/>
      <c r="J483" s="217"/>
      <c r="K483" s="217"/>
      <c r="L483" s="217"/>
      <c r="M483" s="217"/>
      <c r="N483" s="217"/>
      <c r="O483" s="217"/>
      <c r="P483" s="217"/>
      <c r="Q483" s="218"/>
    </row>
    <row r="484" spans="1:17" s="219" customFormat="1" ht="30" hidden="1" x14ac:dyDescent="0.25">
      <c r="A484" s="214"/>
      <c r="B484" s="215" t="s">
        <v>1822</v>
      </c>
      <c r="C484" s="215" t="s">
        <v>1823</v>
      </c>
      <c r="D484" s="215" t="s">
        <v>1836</v>
      </c>
      <c r="E484" s="215" t="s">
        <v>2277</v>
      </c>
      <c r="F484" s="215" t="s">
        <v>1836</v>
      </c>
      <c r="G484" s="215" t="s">
        <v>79</v>
      </c>
      <c r="H484" s="216" t="s">
        <v>2306</v>
      </c>
      <c r="I484" s="217"/>
      <c r="J484" s="217"/>
      <c r="K484" s="217"/>
      <c r="L484" s="217"/>
      <c r="M484" s="217"/>
      <c r="N484" s="217"/>
      <c r="O484" s="217"/>
      <c r="P484" s="217"/>
      <c r="Q484" s="218"/>
    </row>
    <row r="485" spans="1:17" s="219" customFormat="1" hidden="1" x14ac:dyDescent="0.25">
      <c r="A485" s="214"/>
      <c r="B485" s="215" t="s">
        <v>1822</v>
      </c>
      <c r="C485" s="215" t="s">
        <v>1823</v>
      </c>
      <c r="D485" s="215" t="s">
        <v>1836</v>
      </c>
      <c r="E485" s="215" t="s">
        <v>2277</v>
      </c>
      <c r="F485" s="215" t="s">
        <v>1836</v>
      </c>
      <c r="G485" s="215" t="s">
        <v>84</v>
      </c>
      <c r="H485" s="216" t="s">
        <v>2307</v>
      </c>
      <c r="I485" s="217"/>
      <c r="J485" s="217"/>
      <c r="K485" s="217"/>
      <c r="L485" s="217"/>
      <c r="M485" s="217"/>
      <c r="N485" s="217"/>
      <c r="O485" s="217"/>
      <c r="P485" s="217"/>
      <c r="Q485" s="218"/>
    </row>
    <row r="486" spans="1:17" s="219" customFormat="1" ht="30" hidden="1" x14ac:dyDescent="0.25">
      <c r="A486" s="214"/>
      <c r="B486" s="215" t="s">
        <v>1822</v>
      </c>
      <c r="C486" s="215" t="s">
        <v>1823</v>
      </c>
      <c r="D486" s="215" t="s">
        <v>1836</v>
      </c>
      <c r="E486" s="215" t="s">
        <v>2277</v>
      </c>
      <c r="F486" s="215" t="s">
        <v>1836</v>
      </c>
      <c r="G486" s="215" t="s">
        <v>88</v>
      </c>
      <c r="H486" s="216" t="s">
        <v>2308</v>
      </c>
      <c r="I486" s="217"/>
      <c r="J486" s="217"/>
      <c r="K486" s="217"/>
      <c r="L486" s="217"/>
      <c r="M486" s="217"/>
      <c r="N486" s="217"/>
      <c r="O486" s="217"/>
      <c r="P486" s="217"/>
      <c r="Q486" s="218"/>
    </row>
    <row r="487" spans="1:17" s="213" customFormat="1" hidden="1" x14ac:dyDescent="0.25">
      <c r="A487" s="208" t="s">
        <v>263</v>
      </c>
      <c r="B487" s="209" t="s">
        <v>1822</v>
      </c>
      <c r="C487" s="209" t="s">
        <v>1823</v>
      </c>
      <c r="D487" s="209" t="s">
        <v>1836</v>
      </c>
      <c r="E487" s="209" t="s">
        <v>2277</v>
      </c>
      <c r="F487" s="209" t="s">
        <v>1847</v>
      </c>
      <c r="G487" s="209"/>
      <c r="H487" s="210" t="s">
        <v>2309</v>
      </c>
      <c r="I487" s="211">
        <f>SUM(I488:I489)</f>
        <v>0</v>
      </c>
      <c r="J487" s="211">
        <f t="shared" ref="J487:O487" si="48">SUM(J488:J489)</f>
        <v>0</v>
      </c>
      <c r="K487" s="211">
        <f t="shared" si="48"/>
        <v>0</v>
      </c>
      <c r="L487" s="211">
        <f t="shared" si="48"/>
        <v>0</v>
      </c>
      <c r="M487" s="211">
        <f t="shared" si="48"/>
        <v>0</v>
      </c>
      <c r="N487" s="211">
        <f t="shared" si="48"/>
        <v>0</v>
      </c>
      <c r="O487" s="211">
        <f t="shared" si="48"/>
        <v>0</v>
      </c>
      <c r="P487" s="211"/>
      <c r="Q487" s="212"/>
    </row>
    <row r="488" spans="1:17" s="219" customFormat="1" hidden="1" x14ac:dyDescent="0.25">
      <c r="A488" s="214"/>
      <c r="B488" s="215" t="s">
        <v>1822</v>
      </c>
      <c r="C488" s="215" t="s">
        <v>1823</v>
      </c>
      <c r="D488" s="215" t="s">
        <v>1836</v>
      </c>
      <c r="E488" s="215" t="s">
        <v>2277</v>
      </c>
      <c r="F488" s="215" t="s">
        <v>1847</v>
      </c>
      <c r="G488" s="215" t="s">
        <v>58</v>
      </c>
      <c r="H488" s="216" t="s">
        <v>2310</v>
      </c>
      <c r="I488" s="217"/>
      <c r="J488" s="217"/>
      <c r="K488" s="217"/>
      <c r="L488" s="217"/>
      <c r="M488" s="217"/>
      <c r="N488" s="217"/>
      <c r="O488" s="217"/>
      <c r="P488" s="217"/>
      <c r="Q488" s="218"/>
    </row>
    <row r="489" spans="1:17" s="219" customFormat="1" x14ac:dyDescent="0.25">
      <c r="A489" s="214"/>
      <c r="B489" s="215" t="s">
        <v>1822</v>
      </c>
      <c r="C489" s="215" t="s">
        <v>1823</v>
      </c>
      <c r="D489" s="215" t="s">
        <v>1836</v>
      </c>
      <c r="E489" s="215" t="s">
        <v>2277</v>
      </c>
      <c r="F489" s="215" t="s">
        <v>1847</v>
      </c>
      <c r="G489" s="215" t="s">
        <v>75</v>
      </c>
      <c r="H489" s="216" t="s">
        <v>2311</v>
      </c>
      <c r="I489" s="217"/>
      <c r="J489" s="217"/>
      <c r="K489" s="217"/>
      <c r="L489" s="217"/>
      <c r="M489" s="217"/>
      <c r="N489" s="217"/>
      <c r="O489" s="217"/>
      <c r="P489" s="217"/>
      <c r="Q489" s="218"/>
    </row>
    <row r="490" spans="1:17" s="213" customFormat="1" x14ac:dyDescent="0.25">
      <c r="A490" s="208" t="s">
        <v>2312</v>
      </c>
      <c r="B490" s="209" t="s">
        <v>1822</v>
      </c>
      <c r="C490" s="209" t="s">
        <v>1823</v>
      </c>
      <c r="D490" s="209" t="s">
        <v>1836</v>
      </c>
      <c r="E490" s="209" t="s">
        <v>2313</v>
      </c>
      <c r="F490" s="209"/>
      <c r="G490" s="209"/>
      <c r="H490" s="210" t="s">
        <v>2314</v>
      </c>
      <c r="I490" s="211">
        <f>SUM(I491+I495)</f>
        <v>2193389587</v>
      </c>
      <c r="J490" s="211">
        <f t="shared" ref="J490:O490" si="49">SUM(J491+J495)</f>
        <v>163019599.90000001</v>
      </c>
      <c r="K490" s="211">
        <f t="shared" si="49"/>
        <v>65953399.943333335</v>
      </c>
      <c r="L490" s="380">
        <f t="shared" si="49"/>
        <v>63068875.61666666</v>
      </c>
      <c r="M490" s="211">
        <f t="shared" si="49"/>
        <v>129022275.56</v>
      </c>
      <c r="N490" s="211">
        <f t="shared" si="49"/>
        <v>1746108836.9416664</v>
      </c>
      <c r="O490" s="211">
        <f t="shared" si="49"/>
        <v>447280750.05833334</v>
      </c>
      <c r="P490" s="211"/>
      <c r="Q490" s="212"/>
    </row>
    <row r="491" spans="1:17" s="213" customFormat="1" x14ac:dyDescent="0.25">
      <c r="A491" s="208" t="s">
        <v>263</v>
      </c>
      <c r="B491" s="209" t="s">
        <v>1822</v>
      </c>
      <c r="C491" s="209" t="s">
        <v>1823</v>
      </c>
      <c r="D491" s="209" t="s">
        <v>1836</v>
      </c>
      <c r="E491" s="209" t="s">
        <v>2313</v>
      </c>
      <c r="F491" s="209" t="s">
        <v>1825</v>
      </c>
      <c r="G491" s="209"/>
      <c r="H491" s="210" t="s">
        <v>2315</v>
      </c>
      <c r="I491" s="211">
        <f>SUM(I492:I494)</f>
        <v>1671255607</v>
      </c>
      <c r="J491" s="211">
        <f t="shared" ref="J491:O491" si="50">SUM(J492:J494)</f>
        <v>134283503.90000001</v>
      </c>
      <c r="K491" s="211">
        <f t="shared" si="50"/>
        <v>56528251.943333335</v>
      </c>
      <c r="L491" s="211">
        <f t="shared" si="50"/>
        <v>52453923.286666662</v>
      </c>
      <c r="M491" s="211">
        <f t="shared" si="50"/>
        <v>108982175.23</v>
      </c>
      <c r="N491" s="211">
        <f t="shared" si="50"/>
        <v>1293961842.9416664</v>
      </c>
      <c r="O491" s="211">
        <f t="shared" si="50"/>
        <v>377293764.05833334</v>
      </c>
      <c r="P491" s="211"/>
      <c r="Q491" s="212"/>
    </row>
    <row r="492" spans="1:17" s="219" customFormat="1" x14ac:dyDescent="0.25">
      <c r="A492" s="214"/>
      <c r="B492" s="215" t="s">
        <v>1822</v>
      </c>
      <c r="C492" s="215" t="s">
        <v>1823</v>
      </c>
      <c r="D492" s="215" t="s">
        <v>1836</v>
      </c>
      <c r="E492" s="215" t="s">
        <v>2313</v>
      </c>
      <c r="F492" s="215" t="s">
        <v>1825</v>
      </c>
      <c r="G492" s="215" t="s">
        <v>58</v>
      </c>
      <c r="H492" s="216" t="s">
        <v>2316</v>
      </c>
      <c r="I492" s="217">
        <f>SUM('BI Sem. II tahun 2023 108  '!O848)</f>
        <v>1560972607</v>
      </c>
      <c r="J492" s="217">
        <f>SUM('BI Sem. II tahun 2023 108  '!U848)</f>
        <v>112226903.90000001</v>
      </c>
      <c r="K492" s="217">
        <f>SUM('BI Sem. II tahun 2023 108  '!W848)</f>
        <v>55152318.609999999</v>
      </c>
      <c r="L492" s="217">
        <f>SUM('BI Sem. II tahun 2023 108  '!Y848)</f>
        <v>43736206.619999997</v>
      </c>
      <c r="M492" s="217">
        <f>SUM('BI Sem. II tahun 2023 108  '!Z848)</f>
        <v>98888525.230000004</v>
      </c>
      <c r="N492" s="217">
        <f>SUM('BI Sem. II tahun 2023 108  '!AB848)</f>
        <v>1283868192.9416664</v>
      </c>
      <c r="O492" s="217">
        <f>SUM('BI Sem. II tahun 2023 108  '!AC848)</f>
        <v>277104414.05833334</v>
      </c>
      <c r="P492" s="217"/>
      <c r="Q492" s="218"/>
    </row>
    <row r="493" spans="1:17" s="219" customFormat="1" x14ac:dyDescent="0.25">
      <c r="A493" s="214"/>
      <c r="B493" s="215" t="s">
        <v>1822</v>
      </c>
      <c r="C493" s="215" t="s">
        <v>1823</v>
      </c>
      <c r="D493" s="215" t="s">
        <v>1836</v>
      </c>
      <c r="E493" s="215" t="s">
        <v>2313</v>
      </c>
      <c r="F493" s="215" t="s">
        <v>1825</v>
      </c>
      <c r="G493" s="215" t="s">
        <v>75</v>
      </c>
      <c r="H493" s="216" t="s">
        <v>2317</v>
      </c>
      <c r="I493" s="398">
        <f>SUM('BI Sem. II tahun 2023 108  '!O925)</f>
        <v>110283000</v>
      </c>
      <c r="J493" s="217">
        <f>SUM('BI Sem. II tahun 2023 108  '!U925)</f>
        <v>22056600</v>
      </c>
      <c r="K493" s="217">
        <f>SUM('BI Sem. II tahun 2023 108  '!W925)</f>
        <v>1375933.333333333</v>
      </c>
      <c r="L493" s="217">
        <f>SUM('BI Sem. II tahun 2023 108  '!Y925)</f>
        <v>8717716.666666666</v>
      </c>
      <c r="M493" s="217">
        <f>SUM('BI Sem. II tahun 2023 108  '!Z925)</f>
        <v>10093649.999999998</v>
      </c>
      <c r="N493" s="217">
        <f>SUM('BI Sem. II tahun 2023 108  '!AB925)</f>
        <v>10093650</v>
      </c>
      <c r="O493" s="217">
        <f>SUM('BI Sem. II tahun 2023 108  '!AC925)</f>
        <v>100189350</v>
      </c>
      <c r="P493" s="217"/>
      <c r="Q493" s="218"/>
    </row>
    <row r="494" spans="1:17" s="219" customFormat="1" x14ac:dyDescent="0.25">
      <c r="A494" s="214"/>
      <c r="B494" s="215" t="s">
        <v>1822</v>
      </c>
      <c r="C494" s="215" t="s">
        <v>1823</v>
      </c>
      <c r="D494" s="215" t="s">
        <v>1836</v>
      </c>
      <c r="E494" s="215" t="s">
        <v>2313</v>
      </c>
      <c r="F494" s="215" t="s">
        <v>1825</v>
      </c>
      <c r="G494" s="215" t="s">
        <v>79</v>
      </c>
      <c r="H494" s="216" t="s">
        <v>2318</v>
      </c>
      <c r="I494" s="217"/>
      <c r="J494" s="217"/>
      <c r="K494" s="217"/>
      <c r="L494" s="217"/>
      <c r="M494" s="217"/>
      <c r="N494" s="217"/>
      <c r="O494" s="217"/>
      <c r="P494" s="217"/>
      <c r="Q494" s="218"/>
    </row>
    <row r="495" spans="1:17" s="213" customFormat="1" x14ac:dyDescent="0.25">
      <c r="A495" s="208" t="s">
        <v>263</v>
      </c>
      <c r="B495" s="209" t="s">
        <v>1822</v>
      </c>
      <c r="C495" s="209" t="s">
        <v>1823</v>
      </c>
      <c r="D495" s="209" t="s">
        <v>1836</v>
      </c>
      <c r="E495" s="209" t="s">
        <v>2313</v>
      </c>
      <c r="F495" s="209" t="s">
        <v>1836</v>
      </c>
      <c r="G495" s="209"/>
      <c r="H495" s="210" t="s">
        <v>2319</v>
      </c>
      <c r="I495" s="211">
        <f>SUM(I496:I500)</f>
        <v>522133980</v>
      </c>
      <c r="J495" s="211">
        <f t="shared" ref="J495:P495" si="51">SUM(J496:J500)</f>
        <v>28736096</v>
      </c>
      <c r="K495" s="211">
        <f t="shared" si="51"/>
        <v>9425148</v>
      </c>
      <c r="L495" s="380">
        <f t="shared" si="51"/>
        <v>10614952.33</v>
      </c>
      <c r="M495" s="211">
        <f t="shared" si="51"/>
        <v>20040100.329999998</v>
      </c>
      <c r="N495" s="211">
        <f t="shared" si="51"/>
        <v>452146994</v>
      </c>
      <c r="O495" s="211">
        <f t="shared" si="51"/>
        <v>69986986</v>
      </c>
      <c r="P495" s="211">
        <f t="shared" si="51"/>
        <v>0</v>
      </c>
      <c r="Q495" s="212"/>
    </row>
    <row r="496" spans="1:17" s="219" customFormat="1" x14ac:dyDescent="0.25">
      <c r="A496" s="214"/>
      <c r="B496" s="215" t="s">
        <v>1822</v>
      </c>
      <c r="C496" s="215" t="s">
        <v>1823</v>
      </c>
      <c r="D496" s="215" t="s">
        <v>1836</v>
      </c>
      <c r="E496" s="215" t="s">
        <v>2313</v>
      </c>
      <c r="F496" s="215" t="s">
        <v>1836</v>
      </c>
      <c r="G496" s="215" t="s">
        <v>58</v>
      </c>
      <c r="H496" s="216" t="s">
        <v>2320</v>
      </c>
      <c r="I496" s="217">
        <f>SUM('BI Sem. II tahun 2023 108  '!O935)</f>
        <v>475933980</v>
      </c>
      <c r="J496" s="217">
        <f>SUM('BI Sem. II tahun 2023 108  '!U935)</f>
        <v>19496096</v>
      </c>
      <c r="K496" s="217">
        <f>SUM('BI Sem. II tahun 2023 108  '!W935)</f>
        <v>9020048</v>
      </c>
      <c r="L496" s="217">
        <f>SUM('BI Sem. II tahun 2023 108  '!Y935)</f>
        <v>7819452.3300000001</v>
      </c>
      <c r="M496" s="217">
        <f>SUM('BI Sem. II tahun 2023 108  '!Z935)</f>
        <v>16839500.329999998</v>
      </c>
      <c r="N496" s="217">
        <f>SUM('BI Sem. II tahun 2023 108  '!AB935)</f>
        <v>448946394</v>
      </c>
      <c r="O496" s="217">
        <f>SUM('BI Sem. II tahun 2023 108  '!AC935)</f>
        <v>26987586</v>
      </c>
      <c r="P496" s="217"/>
      <c r="Q496" s="218"/>
    </row>
    <row r="497" spans="1:17" s="219" customFormat="1" x14ac:dyDescent="0.25">
      <c r="A497" s="214"/>
      <c r="B497" s="215" t="s">
        <v>1822</v>
      </c>
      <c r="C497" s="215" t="s">
        <v>1823</v>
      </c>
      <c r="D497" s="215" t="s">
        <v>1836</v>
      </c>
      <c r="E497" s="215" t="s">
        <v>2313</v>
      </c>
      <c r="F497" s="215" t="s">
        <v>1836</v>
      </c>
      <c r="G497" s="215" t="s">
        <v>75</v>
      </c>
      <c r="H497" s="216" t="s">
        <v>2321</v>
      </c>
      <c r="I497" s="217"/>
      <c r="J497" s="217"/>
      <c r="K497" s="217"/>
      <c r="L497" s="217"/>
      <c r="M497" s="217"/>
      <c r="N497" s="217"/>
      <c r="O497" s="217"/>
      <c r="P497" s="217"/>
      <c r="Q497" s="218"/>
    </row>
    <row r="498" spans="1:17" s="219" customFormat="1" x14ac:dyDescent="0.25">
      <c r="A498" s="214"/>
      <c r="B498" s="215" t="s">
        <v>1822</v>
      </c>
      <c r="C498" s="215" t="s">
        <v>1823</v>
      </c>
      <c r="D498" s="215" t="s">
        <v>1836</v>
      </c>
      <c r="E498" s="215" t="s">
        <v>2313</v>
      </c>
      <c r="F498" s="215" t="s">
        <v>1836</v>
      </c>
      <c r="G498" s="215" t="s">
        <v>79</v>
      </c>
      <c r="H498" s="216" t="s">
        <v>2322</v>
      </c>
      <c r="I498" s="217">
        <f>SUM('BI Sem. II tahun 2023 108  '!O1003)</f>
        <v>46200000</v>
      </c>
      <c r="J498" s="217">
        <f>SUM('BI Sem. II tahun 2023 108  '!U1003)</f>
        <v>9240000</v>
      </c>
      <c r="K498" s="217">
        <f>SUM('BI Sem. II tahun 2023 108  '!W1003)</f>
        <v>405099.99999999988</v>
      </c>
      <c r="L498" s="217">
        <f>SUM('BI Sem. II tahun 2023 108  '!Y1003)</f>
        <v>2795500.0000000005</v>
      </c>
      <c r="M498" s="217">
        <f>SUM('BI Sem. II tahun 2023 108  '!Z1003)</f>
        <v>3200600</v>
      </c>
      <c r="N498" s="217">
        <f>SUM('BI Sem. II tahun 2023 108  '!AB1003)</f>
        <v>3200600.0000000005</v>
      </c>
      <c r="O498" s="217">
        <f>SUM('BI Sem. II tahun 2023 108  '!AC1003)</f>
        <v>42999400</v>
      </c>
      <c r="P498" s="217"/>
      <c r="Q498" s="218"/>
    </row>
    <row r="499" spans="1:17" s="219" customFormat="1" hidden="1" x14ac:dyDescent="0.25">
      <c r="A499" s="214"/>
      <c r="B499" s="215" t="s">
        <v>1822</v>
      </c>
      <c r="C499" s="215" t="s">
        <v>1823</v>
      </c>
      <c r="D499" s="215" t="s">
        <v>1836</v>
      </c>
      <c r="E499" s="215" t="s">
        <v>2313</v>
      </c>
      <c r="F499" s="215" t="s">
        <v>1836</v>
      </c>
      <c r="G499" s="215" t="s">
        <v>84</v>
      </c>
      <c r="H499" s="216" t="s">
        <v>2323</v>
      </c>
      <c r="I499" s="217"/>
      <c r="J499" s="217"/>
      <c r="K499" s="217"/>
      <c r="L499" s="217"/>
      <c r="M499" s="217"/>
      <c r="N499" s="217"/>
      <c r="O499" s="217"/>
      <c r="P499" s="217"/>
      <c r="Q499" s="218"/>
    </row>
    <row r="500" spans="1:17" s="219" customFormat="1" hidden="1" x14ac:dyDescent="0.25">
      <c r="A500" s="214"/>
      <c r="B500" s="215" t="s">
        <v>1822</v>
      </c>
      <c r="C500" s="215" t="s">
        <v>1823</v>
      </c>
      <c r="D500" s="215" t="s">
        <v>1836</v>
      </c>
      <c r="E500" s="215" t="s">
        <v>2313</v>
      </c>
      <c r="F500" s="215" t="s">
        <v>1836</v>
      </c>
      <c r="G500" s="215" t="s">
        <v>88</v>
      </c>
      <c r="H500" s="216" t="s">
        <v>2324</v>
      </c>
      <c r="I500" s="217"/>
      <c r="J500" s="217"/>
      <c r="K500" s="217"/>
      <c r="L500" s="217"/>
      <c r="M500" s="217"/>
      <c r="N500" s="217"/>
      <c r="O500" s="217"/>
      <c r="P500" s="217"/>
      <c r="Q500" s="218"/>
    </row>
    <row r="501" spans="1:17" s="213" customFormat="1" hidden="1" x14ac:dyDescent="0.25">
      <c r="A501" s="208" t="s">
        <v>2325</v>
      </c>
      <c r="B501" s="209" t="s">
        <v>1822</v>
      </c>
      <c r="C501" s="209" t="s">
        <v>1823</v>
      </c>
      <c r="D501" s="209" t="s">
        <v>1836</v>
      </c>
      <c r="E501" s="209" t="s">
        <v>2326</v>
      </c>
      <c r="F501" s="209"/>
      <c r="G501" s="209"/>
      <c r="H501" s="210" t="s">
        <v>2327</v>
      </c>
      <c r="I501" s="211">
        <f>SUM(I502+I506)</f>
        <v>0</v>
      </c>
      <c r="J501" s="211">
        <f t="shared" ref="J501:P501" si="52">SUM(J502+J506)</f>
        <v>0</v>
      </c>
      <c r="K501" s="211">
        <f t="shared" si="52"/>
        <v>0</v>
      </c>
      <c r="L501" s="211">
        <f t="shared" si="52"/>
        <v>0</v>
      </c>
      <c r="M501" s="211">
        <f t="shared" si="52"/>
        <v>0</v>
      </c>
      <c r="N501" s="211">
        <f t="shared" si="52"/>
        <v>0</v>
      </c>
      <c r="O501" s="211">
        <f t="shared" si="52"/>
        <v>0</v>
      </c>
      <c r="P501" s="211">
        <f t="shared" si="52"/>
        <v>0</v>
      </c>
      <c r="Q501" s="212"/>
    </row>
    <row r="502" spans="1:17" s="213" customFormat="1" hidden="1" x14ac:dyDescent="0.25">
      <c r="A502" s="208" t="s">
        <v>263</v>
      </c>
      <c r="B502" s="209" t="s">
        <v>1822</v>
      </c>
      <c r="C502" s="209" t="s">
        <v>1823</v>
      </c>
      <c r="D502" s="209" t="s">
        <v>1836</v>
      </c>
      <c r="E502" s="209" t="s">
        <v>2326</v>
      </c>
      <c r="F502" s="209" t="s">
        <v>1825</v>
      </c>
      <c r="G502" s="209"/>
      <c r="H502" s="210" t="s">
        <v>2328</v>
      </c>
      <c r="I502" s="211">
        <f>SUM(I503:I505)</f>
        <v>0</v>
      </c>
      <c r="J502" s="211">
        <f t="shared" ref="J502:P502" si="53">SUM(J503:J505)</f>
        <v>0</v>
      </c>
      <c r="K502" s="211">
        <f t="shared" si="53"/>
        <v>0</v>
      </c>
      <c r="L502" s="211">
        <f t="shared" si="53"/>
        <v>0</v>
      </c>
      <c r="M502" s="211">
        <f t="shared" si="53"/>
        <v>0</v>
      </c>
      <c r="N502" s="211">
        <f t="shared" si="53"/>
        <v>0</v>
      </c>
      <c r="O502" s="211">
        <f t="shared" si="53"/>
        <v>0</v>
      </c>
      <c r="P502" s="211">
        <f t="shared" si="53"/>
        <v>0</v>
      </c>
      <c r="Q502" s="212"/>
    </row>
    <row r="503" spans="1:17" s="219" customFormat="1" hidden="1" x14ac:dyDescent="0.25">
      <c r="A503" s="214"/>
      <c r="B503" s="215" t="s">
        <v>1822</v>
      </c>
      <c r="C503" s="215" t="s">
        <v>1823</v>
      </c>
      <c r="D503" s="215" t="s">
        <v>1836</v>
      </c>
      <c r="E503" s="215" t="s">
        <v>2326</v>
      </c>
      <c r="F503" s="215" t="s">
        <v>1825</v>
      </c>
      <c r="G503" s="215" t="s">
        <v>58</v>
      </c>
      <c r="H503" s="216" t="s">
        <v>2329</v>
      </c>
      <c r="I503" s="217"/>
      <c r="J503" s="217"/>
      <c r="K503" s="217"/>
      <c r="L503" s="217"/>
      <c r="M503" s="217"/>
      <c r="N503" s="217"/>
      <c r="O503" s="217"/>
      <c r="P503" s="217"/>
      <c r="Q503" s="218"/>
    </row>
    <row r="504" spans="1:17" s="219" customFormat="1" hidden="1" x14ac:dyDescent="0.25">
      <c r="A504" s="214"/>
      <c r="B504" s="215" t="s">
        <v>1822</v>
      </c>
      <c r="C504" s="215" t="s">
        <v>1823</v>
      </c>
      <c r="D504" s="215" t="s">
        <v>1836</v>
      </c>
      <c r="E504" s="215" t="s">
        <v>2326</v>
      </c>
      <c r="F504" s="215" t="s">
        <v>1825</v>
      </c>
      <c r="G504" s="215" t="s">
        <v>75</v>
      </c>
      <c r="H504" s="216" t="s">
        <v>2330</v>
      </c>
      <c r="I504" s="217"/>
      <c r="J504" s="217"/>
      <c r="K504" s="217"/>
      <c r="L504" s="217"/>
      <c r="M504" s="217"/>
      <c r="N504" s="217"/>
      <c r="O504" s="217"/>
      <c r="P504" s="217"/>
      <c r="Q504" s="218"/>
    </row>
    <row r="505" spans="1:17" s="219" customFormat="1" hidden="1" x14ac:dyDescent="0.25">
      <c r="A505" s="214"/>
      <c r="B505" s="215" t="s">
        <v>1822</v>
      </c>
      <c r="C505" s="215" t="s">
        <v>1823</v>
      </c>
      <c r="D505" s="215" t="s">
        <v>1836</v>
      </c>
      <c r="E505" s="215" t="s">
        <v>2326</v>
      </c>
      <c r="F505" s="215" t="s">
        <v>1825</v>
      </c>
      <c r="G505" s="215" t="s">
        <v>79</v>
      </c>
      <c r="H505" s="216" t="s">
        <v>2331</v>
      </c>
      <c r="I505" s="217"/>
      <c r="J505" s="217"/>
      <c r="K505" s="217"/>
      <c r="L505" s="217"/>
      <c r="M505" s="217"/>
      <c r="N505" s="217"/>
      <c r="O505" s="217"/>
      <c r="P505" s="217"/>
      <c r="Q505" s="218"/>
    </row>
    <row r="506" spans="1:17" s="213" customFormat="1" hidden="1" x14ac:dyDescent="0.25">
      <c r="A506" s="208" t="s">
        <v>263</v>
      </c>
      <c r="B506" s="209" t="s">
        <v>1822</v>
      </c>
      <c r="C506" s="209" t="s">
        <v>1823</v>
      </c>
      <c r="D506" s="209" t="s">
        <v>1836</v>
      </c>
      <c r="E506" s="209" t="s">
        <v>2326</v>
      </c>
      <c r="F506" s="209" t="s">
        <v>1836</v>
      </c>
      <c r="G506" s="209"/>
      <c r="H506" s="210" t="s">
        <v>2332</v>
      </c>
      <c r="I506" s="211">
        <f>SUM(I507:I510)</f>
        <v>0</v>
      </c>
      <c r="J506" s="211">
        <f t="shared" ref="J506:P506" si="54">SUM(J507:J510)</f>
        <v>0</v>
      </c>
      <c r="K506" s="211">
        <f t="shared" si="54"/>
        <v>0</v>
      </c>
      <c r="L506" s="211">
        <f t="shared" si="54"/>
        <v>0</v>
      </c>
      <c r="M506" s="211">
        <f t="shared" si="54"/>
        <v>0</v>
      </c>
      <c r="N506" s="211">
        <f t="shared" si="54"/>
        <v>0</v>
      </c>
      <c r="O506" s="211">
        <f t="shared" si="54"/>
        <v>0</v>
      </c>
      <c r="P506" s="211">
        <f t="shared" si="54"/>
        <v>0</v>
      </c>
      <c r="Q506" s="212"/>
    </row>
    <row r="507" spans="1:17" s="219" customFormat="1" hidden="1" x14ac:dyDescent="0.25">
      <c r="A507" s="214"/>
      <c r="B507" s="215" t="s">
        <v>1822</v>
      </c>
      <c r="C507" s="215" t="s">
        <v>1823</v>
      </c>
      <c r="D507" s="215" t="s">
        <v>1836</v>
      </c>
      <c r="E507" s="215" t="s">
        <v>2326</v>
      </c>
      <c r="F507" s="215" t="s">
        <v>1836</v>
      </c>
      <c r="G507" s="215" t="s">
        <v>58</v>
      </c>
      <c r="H507" s="216" t="s">
        <v>2333</v>
      </c>
      <c r="I507" s="217"/>
      <c r="J507" s="217"/>
      <c r="K507" s="217"/>
      <c r="L507" s="217"/>
      <c r="M507" s="217"/>
      <c r="N507" s="217"/>
      <c r="O507" s="217"/>
      <c r="P507" s="217"/>
      <c r="Q507" s="218"/>
    </row>
    <row r="508" spans="1:17" s="219" customFormat="1" hidden="1" x14ac:dyDescent="0.25">
      <c r="A508" s="214"/>
      <c r="B508" s="215" t="s">
        <v>1822</v>
      </c>
      <c r="C508" s="215" t="s">
        <v>1823</v>
      </c>
      <c r="D508" s="215" t="s">
        <v>1836</v>
      </c>
      <c r="E508" s="215" t="s">
        <v>2326</v>
      </c>
      <c r="F508" s="215" t="s">
        <v>1836</v>
      </c>
      <c r="G508" s="215" t="s">
        <v>75</v>
      </c>
      <c r="H508" s="216" t="s">
        <v>2334</v>
      </c>
      <c r="I508" s="217"/>
      <c r="J508" s="217"/>
      <c r="K508" s="217"/>
      <c r="L508" s="217"/>
      <c r="M508" s="217"/>
      <c r="N508" s="217"/>
      <c r="O508" s="217"/>
      <c r="P508" s="217"/>
      <c r="Q508" s="218"/>
    </row>
    <row r="509" spans="1:17" s="219" customFormat="1" hidden="1" x14ac:dyDescent="0.25">
      <c r="A509" s="214"/>
      <c r="B509" s="215" t="s">
        <v>1822</v>
      </c>
      <c r="C509" s="215" t="s">
        <v>1823</v>
      </c>
      <c r="D509" s="215" t="s">
        <v>1836</v>
      </c>
      <c r="E509" s="215" t="s">
        <v>2326</v>
      </c>
      <c r="F509" s="215" t="s">
        <v>1836</v>
      </c>
      <c r="G509" s="215" t="s">
        <v>79</v>
      </c>
      <c r="H509" s="216" t="s">
        <v>2335</v>
      </c>
      <c r="I509" s="217"/>
      <c r="J509" s="217"/>
      <c r="K509" s="217"/>
      <c r="L509" s="217"/>
      <c r="M509" s="217"/>
      <c r="N509" s="217"/>
      <c r="O509" s="217"/>
      <c r="P509" s="217"/>
      <c r="Q509" s="218"/>
    </row>
    <row r="510" spans="1:17" s="219" customFormat="1" hidden="1" x14ac:dyDescent="0.25">
      <c r="A510" s="214"/>
      <c r="B510" s="215" t="s">
        <v>1822</v>
      </c>
      <c r="C510" s="215" t="s">
        <v>1823</v>
      </c>
      <c r="D510" s="215" t="s">
        <v>1836</v>
      </c>
      <c r="E510" s="215" t="s">
        <v>2326</v>
      </c>
      <c r="F510" s="215" t="s">
        <v>1836</v>
      </c>
      <c r="G510" s="215" t="s">
        <v>84</v>
      </c>
      <c r="H510" s="216" t="s">
        <v>2336</v>
      </c>
      <c r="I510" s="217"/>
      <c r="J510" s="217"/>
      <c r="K510" s="217"/>
      <c r="L510" s="217"/>
      <c r="M510" s="217"/>
      <c r="N510" s="217"/>
      <c r="O510" s="217"/>
      <c r="P510" s="217"/>
      <c r="Q510" s="218"/>
    </row>
    <row r="511" spans="1:17" s="213" customFormat="1" hidden="1" x14ac:dyDescent="0.25">
      <c r="A511" s="208" t="s">
        <v>2337</v>
      </c>
      <c r="B511" s="209" t="s">
        <v>1822</v>
      </c>
      <c r="C511" s="209" t="s">
        <v>1823</v>
      </c>
      <c r="D511" s="209" t="s">
        <v>1836</v>
      </c>
      <c r="E511" s="209" t="s">
        <v>2338</v>
      </c>
      <c r="F511" s="209"/>
      <c r="G511" s="209"/>
      <c r="H511" s="210" t="s">
        <v>2339</v>
      </c>
      <c r="I511" s="211">
        <f>SUM(I512+I516)</f>
        <v>0</v>
      </c>
      <c r="J511" s="211">
        <f t="shared" ref="J511:P511" si="55">SUM(J512+J516)</f>
        <v>0</v>
      </c>
      <c r="K511" s="211">
        <f t="shared" si="55"/>
        <v>0</v>
      </c>
      <c r="L511" s="211">
        <f t="shared" si="55"/>
        <v>0</v>
      </c>
      <c r="M511" s="211">
        <f t="shared" si="55"/>
        <v>0</v>
      </c>
      <c r="N511" s="211">
        <f t="shared" si="55"/>
        <v>0</v>
      </c>
      <c r="O511" s="211">
        <f t="shared" si="55"/>
        <v>0</v>
      </c>
      <c r="P511" s="211">
        <f t="shared" si="55"/>
        <v>0</v>
      </c>
      <c r="Q511" s="212"/>
    </row>
    <row r="512" spans="1:17" s="213" customFormat="1" hidden="1" x14ac:dyDescent="0.25">
      <c r="A512" s="208" t="s">
        <v>263</v>
      </c>
      <c r="B512" s="209" t="s">
        <v>1822</v>
      </c>
      <c r="C512" s="209" t="s">
        <v>1823</v>
      </c>
      <c r="D512" s="209" t="s">
        <v>1836</v>
      </c>
      <c r="E512" s="209" t="s">
        <v>2338</v>
      </c>
      <c r="F512" s="209" t="s">
        <v>1825</v>
      </c>
      <c r="G512" s="209"/>
      <c r="H512" s="210" t="s">
        <v>2340</v>
      </c>
      <c r="I512" s="211">
        <f>SUM(I513:I515)</f>
        <v>0</v>
      </c>
      <c r="J512" s="211">
        <f t="shared" ref="J512:P512" si="56">SUM(J513:J515)</f>
        <v>0</v>
      </c>
      <c r="K512" s="211">
        <f t="shared" si="56"/>
        <v>0</v>
      </c>
      <c r="L512" s="211">
        <f t="shared" si="56"/>
        <v>0</v>
      </c>
      <c r="M512" s="211">
        <f t="shared" si="56"/>
        <v>0</v>
      </c>
      <c r="N512" s="211">
        <f t="shared" si="56"/>
        <v>0</v>
      </c>
      <c r="O512" s="211">
        <f t="shared" si="56"/>
        <v>0</v>
      </c>
      <c r="P512" s="211">
        <f t="shared" si="56"/>
        <v>0</v>
      </c>
      <c r="Q512" s="212"/>
    </row>
    <row r="513" spans="1:17" s="219" customFormat="1" hidden="1" x14ac:dyDescent="0.25">
      <c r="A513" s="214"/>
      <c r="B513" s="215" t="s">
        <v>1822</v>
      </c>
      <c r="C513" s="215" t="s">
        <v>1823</v>
      </c>
      <c r="D513" s="215" t="s">
        <v>1836</v>
      </c>
      <c r="E513" s="215" t="s">
        <v>2338</v>
      </c>
      <c r="F513" s="215" t="s">
        <v>1825</v>
      </c>
      <c r="G513" s="215" t="s">
        <v>58</v>
      </c>
      <c r="H513" s="216" t="s">
        <v>2341</v>
      </c>
      <c r="I513" s="217"/>
      <c r="J513" s="217"/>
      <c r="K513" s="217"/>
      <c r="L513" s="217"/>
      <c r="M513" s="217"/>
      <c r="N513" s="217"/>
      <c r="O513" s="217"/>
      <c r="P513" s="217"/>
      <c r="Q513" s="218"/>
    </row>
    <row r="514" spans="1:17" s="219" customFormat="1" hidden="1" x14ac:dyDescent="0.25">
      <c r="A514" s="214"/>
      <c r="B514" s="215" t="s">
        <v>1822</v>
      </c>
      <c r="C514" s="215" t="s">
        <v>1823</v>
      </c>
      <c r="D514" s="215" t="s">
        <v>1836</v>
      </c>
      <c r="E514" s="215" t="s">
        <v>2338</v>
      </c>
      <c r="F514" s="215" t="s">
        <v>1825</v>
      </c>
      <c r="G514" s="215" t="s">
        <v>75</v>
      </c>
      <c r="H514" s="216" t="s">
        <v>2342</v>
      </c>
      <c r="I514" s="217"/>
      <c r="J514" s="217"/>
      <c r="K514" s="217"/>
      <c r="L514" s="217"/>
      <c r="M514" s="217"/>
      <c r="N514" s="217"/>
      <c r="O514" s="217"/>
      <c r="P514" s="217"/>
      <c r="Q514" s="218"/>
    </row>
    <row r="515" spans="1:17" s="219" customFormat="1" hidden="1" x14ac:dyDescent="0.25">
      <c r="A515" s="214"/>
      <c r="B515" s="215" t="s">
        <v>1822</v>
      </c>
      <c r="C515" s="215" t="s">
        <v>1823</v>
      </c>
      <c r="D515" s="215" t="s">
        <v>1836</v>
      </c>
      <c r="E515" s="215" t="s">
        <v>2338</v>
      </c>
      <c r="F515" s="215" t="s">
        <v>1825</v>
      </c>
      <c r="G515" s="215" t="s">
        <v>79</v>
      </c>
      <c r="H515" s="216" t="s">
        <v>2343</v>
      </c>
      <c r="I515" s="217"/>
      <c r="J515" s="217"/>
      <c r="K515" s="217"/>
      <c r="L515" s="217"/>
      <c r="M515" s="217"/>
      <c r="N515" s="217"/>
      <c r="O515" s="217"/>
      <c r="P515" s="217"/>
      <c r="Q515" s="218"/>
    </row>
    <row r="516" spans="1:17" s="213" customFormat="1" hidden="1" x14ac:dyDescent="0.25">
      <c r="A516" s="208" t="s">
        <v>263</v>
      </c>
      <c r="B516" s="209" t="s">
        <v>1822</v>
      </c>
      <c r="C516" s="209" t="s">
        <v>1823</v>
      </c>
      <c r="D516" s="209" t="s">
        <v>1836</v>
      </c>
      <c r="E516" s="209" t="s">
        <v>2338</v>
      </c>
      <c r="F516" s="209" t="s">
        <v>1836</v>
      </c>
      <c r="G516" s="209"/>
      <c r="H516" s="210" t="s">
        <v>2344</v>
      </c>
      <c r="I516" s="211">
        <f>SUM(I517:I521)</f>
        <v>0</v>
      </c>
      <c r="J516" s="211">
        <f t="shared" ref="J516:P516" si="57">SUM(J517:J521)</f>
        <v>0</v>
      </c>
      <c r="K516" s="211">
        <f t="shared" si="57"/>
        <v>0</v>
      </c>
      <c r="L516" s="211">
        <f t="shared" si="57"/>
        <v>0</v>
      </c>
      <c r="M516" s="211">
        <f t="shared" si="57"/>
        <v>0</v>
      </c>
      <c r="N516" s="211">
        <f t="shared" si="57"/>
        <v>0</v>
      </c>
      <c r="O516" s="211">
        <f t="shared" si="57"/>
        <v>0</v>
      </c>
      <c r="P516" s="211">
        <f t="shared" si="57"/>
        <v>0</v>
      </c>
      <c r="Q516" s="212"/>
    </row>
    <row r="517" spans="1:17" s="219" customFormat="1" hidden="1" x14ac:dyDescent="0.25">
      <c r="A517" s="214"/>
      <c r="B517" s="215" t="s">
        <v>1822</v>
      </c>
      <c r="C517" s="215" t="s">
        <v>1823</v>
      </c>
      <c r="D517" s="215" t="s">
        <v>1836</v>
      </c>
      <c r="E517" s="215" t="s">
        <v>2338</v>
      </c>
      <c r="F517" s="215" t="s">
        <v>1836</v>
      </c>
      <c r="G517" s="215" t="s">
        <v>58</v>
      </c>
      <c r="H517" s="216" t="s">
        <v>2345</v>
      </c>
      <c r="I517" s="217"/>
      <c r="J517" s="217"/>
      <c r="K517" s="217"/>
      <c r="L517" s="217"/>
      <c r="M517" s="217"/>
      <c r="N517" s="217"/>
      <c r="O517" s="217"/>
      <c r="P517" s="217"/>
      <c r="Q517" s="218"/>
    </row>
    <row r="518" spans="1:17" s="219" customFormat="1" hidden="1" x14ac:dyDescent="0.25">
      <c r="A518" s="214"/>
      <c r="B518" s="215" t="s">
        <v>1822</v>
      </c>
      <c r="C518" s="215" t="s">
        <v>1823</v>
      </c>
      <c r="D518" s="215" t="s">
        <v>1836</v>
      </c>
      <c r="E518" s="215" t="s">
        <v>2338</v>
      </c>
      <c r="F518" s="215" t="s">
        <v>1836</v>
      </c>
      <c r="G518" s="215" t="s">
        <v>75</v>
      </c>
      <c r="H518" s="216" t="s">
        <v>2346</v>
      </c>
      <c r="I518" s="217"/>
      <c r="J518" s="217"/>
      <c r="K518" s="217"/>
      <c r="L518" s="217"/>
      <c r="M518" s="217"/>
      <c r="N518" s="217"/>
      <c r="O518" s="217"/>
      <c r="P518" s="217"/>
      <c r="Q518" s="218"/>
    </row>
    <row r="519" spans="1:17" s="219" customFormat="1" hidden="1" x14ac:dyDescent="0.25">
      <c r="A519" s="214"/>
      <c r="B519" s="215" t="s">
        <v>1822</v>
      </c>
      <c r="C519" s="215" t="s">
        <v>1823</v>
      </c>
      <c r="D519" s="215" t="s">
        <v>1836</v>
      </c>
      <c r="E519" s="215" t="s">
        <v>2338</v>
      </c>
      <c r="F519" s="215" t="s">
        <v>1836</v>
      </c>
      <c r="G519" s="215" t="s">
        <v>79</v>
      </c>
      <c r="H519" s="216" t="s">
        <v>2347</v>
      </c>
      <c r="I519" s="217"/>
      <c r="J519" s="217"/>
      <c r="K519" s="217"/>
      <c r="L519" s="217"/>
      <c r="M519" s="217"/>
      <c r="N519" s="217"/>
      <c r="O519" s="217"/>
      <c r="P519" s="217"/>
      <c r="Q519" s="218"/>
    </row>
    <row r="520" spans="1:17" s="219" customFormat="1" hidden="1" x14ac:dyDescent="0.25">
      <c r="A520" s="214"/>
      <c r="B520" s="215" t="s">
        <v>1822</v>
      </c>
      <c r="C520" s="215" t="s">
        <v>1823</v>
      </c>
      <c r="D520" s="215" t="s">
        <v>1836</v>
      </c>
      <c r="E520" s="215" t="s">
        <v>2338</v>
      </c>
      <c r="F520" s="215" t="s">
        <v>1836</v>
      </c>
      <c r="G520" s="215" t="s">
        <v>84</v>
      </c>
      <c r="H520" s="216" t="s">
        <v>2348</v>
      </c>
      <c r="I520" s="217"/>
      <c r="J520" s="217"/>
      <c r="K520" s="217"/>
      <c r="L520" s="217"/>
      <c r="M520" s="217"/>
      <c r="N520" s="217"/>
      <c r="O520" s="217"/>
      <c r="P520" s="217"/>
      <c r="Q520" s="218"/>
    </row>
    <row r="521" spans="1:17" s="219" customFormat="1" hidden="1" x14ac:dyDescent="0.25">
      <c r="A521" s="214"/>
      <c r="B521" s="215" t="s">
        <v>1822</v>
      </c>
      <c r="C521" s="215" t="s">
        <v>1823</v>
      </c>
      <c r="D521" s="215" t="s">
        <v>1836</v>
      </c>
      <c r="E521" s="215" t="s">
        <v>2338</v>
      </c>
      <c r="F521" s="215" t="s">
        <v>1836</v>
      </c>
      <c r="G521" s="215" t="s">
        <v>88</v>
      </c>
      <c r="H521" s="216" t="s">
        <v>2349</v>
      </c>
      <c r="I521" s="217"/>
      <c r="J521" s="217"/>
      <c r="K521" s="217"/>
      <c r="L521" s="217"/>
      <c r="M521" s="217"/>
      <c r="N521" s="217"/>
      <c r="O521" s="217"/>
      <c r="P521" s="217"/>
      <c r="Q521" s="218"/>
    </row>
    <row r="522" spans="1:17" s="213" customFormat="1" ht="30" hidden="1" x14ac:dyDescent="0.25">
      <c r="A522" s="208" t="s">
        <v>2350</v>
      </c>
      <c r="B522" s="209" t="s">
        <v>1822</v>
      </c>
      <c r="C522" s="209" t="s">
        <v>1823</v>
      </c>
      <c r="D522" s="209" t="s">
        <v>1836</v>
      </c>
      <c r="E522" s="209" t="s">
        <v>2351</v>
      </c>
      <c r="F522" s="209"/>
      <c r="G522" s="209"/>
      <c r="H522" s="210" t="s">
        <v>2352</v>
      </c>
      <c r="I522" s="211">
        <f>SUM(I523+I527+I530)</f>
        <v>0</v>
      </c>
      <c r="J522" s="211">
        <f t="shared" ref="J522:P522" si="58">SUM(J523+J527+J530)</f>
        <v>0</v>
      </c>
      <c r="K522" s="211">
        <f t="shared" si="58"/>
        <v>0</v>
      </c>
      <c r="L522" s="211">
        <f t="shared" si="58"/>
        <v>0</v>
      </c>
      <c r="M522" s="211">
        <f t="shared" si="58"/>
        <v>0</v>
      </c>
      <c r="N522" s="211">
        <f t="shared" si="58"/>
        <v>0</v>
      </c>
      <c r="O522" s="211">
        <f t="shared" si="58"/>
        <v>0</v>
      </c>
      <c r="P522" s="211">
        <f t="shared" si="58"/>
        <v>0</v>
      </c>
      <c r="Q522" s="212"/>
    </row>
    <row r="523" spans="1:17" s="213" customFormat="1" hidden="1" x14ac:dyDescent="0.25">
      <c r="A523" s="208" t="s">
        <v>263</v>
      </c>
      <c r="B523" s="209" t="s">
        <v>1822</v>
      </c>
      <c r="C523" s="209" t="s">
        <v>1823</v>
      </c>
      <c r="D523" s="209" t="s">
        <v>1836</v>
      </c>
      <c r="E523" s="209" t="s">
        <v>2351</v>
      </c>
      <c r="F523" s="209" t="s">
        <v>1825</v>
      </c>
      <c r="G523" s="209"/>
      <c r="H523" s="210" t="s">
        <v>2353</v>
      </c>
      <c r="I523" s="211">
        <f>SUM(I524:I526)</f>
        <v>0</v>
      </c>
      <c r="J523" s="211">
        <f t="shared" ref="J523:P523" si="59">SUM(J524:J526)</f>
        <v>0</v>
      </c>
      <c r="K523" s="211">
        <f t="shared" si="59"/>
        <v>0</v>
      </c>
      <c r="L523" s="211">
        <f t="shared" si="59"/>
        <v>0</v>
      </c>
      <c r="M523" s="211">
        <f t="shared" si="59"/>
        <v>0</v>
      </c>
      <c r="N523" s="211">
        <f t="shared" si="59"/>
        <v>0</v>
      </c>
      <c r="O523" s="211">
        <f t="shared" si="59"/>
        <v>0</v>
      </c>
      <c r="P523" s="211">
        <f t="shared" si="59"/>
        <v>0</v>
      </c>
      <c r="Q523" s="212"/>
    </row>
    <row r="524" spans="1:17" s="219" customFormat="1" hidden="1" x14ac:dyDescent="0.25">
      <c r="A524" s="214"/>
      <c r="B524" s="215" t="s">
        <v>1822</v>
      </c>
      <c r="C524" s="215" t="s">
        <v>1823</v>
      </c>
      <c r="D524" s="215" t="s">
        <v>1836</v>
      </c>
      <c r="E524" s="215" t="s">
        <v>2351</v>
      </c>
      <c r="F524" s="215" t="s">
        <v>1825</v>
      </c>
      <c r="G524" s="215" t="s">
        <v>58</v>
      </c>
      <c r="H524" s="216" t="s">
        <v>2354</v>
      </c>
      <c r="I524" s="217"/>
      <c r="J524" s="217"/>
      <c r="K524" s="217"/>
      <c r="L524" s="217"/>
      <c r="M524" s="217"/>
      <c r="N524" s="217"/>
      <c r="O524" s="217"/>
      <c r="P524" s="217"/>
      <c r="Q524" s="218"/>
    </row>
    <row r="525" spans="1:17" s="219" customFormat="1" hidden="1" x14ac:dyDescent="0.25">
      <c r="A525" s="214"/>
      <c r="B525" s="215" t="s">
        <v>1822</v>
      </c>
      <c r="C525" s="215" t="s">
        <v>1823</v>
      </c>
      <c r="D525" s="215" t="s">
        <v>1836</v>
      </c>
      <c r="E525" s="215" t="s">
        <v>2351</v>
      </c>
      <c r="F525" s="215" t="s">
        <v>1825</v>
      </c>
      <c r="G525" s="215" t="s">
        <v>75</v>
      </c>
      <c r="H525" s="216" t="s">
        <v>2355</v>
      </c>
      <c r="I525" s="217"/>
      <c r="J525" s="217"/>
      <c r="K525" s="217"/>
      <c r="L525" s="217"/>
      <c r="M525" s="217"/>
      <c r="N525" s="217"/>
      <c r="O525" s="217"/>
      <c r="P525" s="217"/>
      <c r="Q525" s="218"/>
    </row>
    <row r="526" spans="1:17" s="219" customFormat="1" hidden="1" x14ac:dyDescent="0.25">
      <c r="A526" s="214"/>
      <c r="B526" s="215" t="s">
        <v>1822</v>
      </c>
      <c r="C526" s="215" t="s">
        <v>1823</v>
      </c>
      <c r="D526" s="215" t="s">
        <v>1836</v>
      </c>
      <c r="E526" s="215" t="s">
        <v>2351</v>
      </c>
      <c r="F526" s="215" t="s">
        <v>1825</v>
      </c>
      <c r="G526" s="215" t="s">
        <v>79</v>
      </c>
      <c r="H526" s="216" t="s">
        <v>2356</v>
      </c>
      <c r="I526" s="217"/>
      <c r="J526" s="217"/>
      <c r="K526" s="217"/>
      <c r="L526" s="217"/>
      <c r="M526" s="217"/>
      <c r="N526" s="217"/>
      <c r="O526" s="217"/>
      <c r="P526" s="217"/>
      <c r="Q526" s="218"/>
    </row>
    <row r="527" spans="1:17" s="213" customFormat="1" hidden="1" x14ac:dyDescent="0.25">
      <c r="A527" s="208" t="s">
        <v>263</v>
      </c>
      <c r="B527" s="209" t="s">
        <v>1822</v>
      </c>
      <c r="C527" s="209" t="s">
        <v>1823</v>
      </c>
      <c r="D527" s="209" t="s">
        <v>1836</v>
      </c>
      <c r="E527" s="209" t="s">
        <v>2351</v>
      </c>
      <c r="F527" s="209" t="s">
        <v>1836</v>
      </c>
      <c r="G527" s="209"/>
      <c r="H527" s="210" t="s">
        <v>2357</v>
      </c>
      <c r="I527" s="211">
        <f>SUM(I528:I529)</f>
        <v>0</v>
      </c>
      <c r="J527" s="211">
        <f t="shared" ref="J527:P527" si="60">SUM(J528:J529)</f>
        <v>0</v>
      </c>
      <c r="K527" s="211">
        <f t="shared" si="60"/>
        <v>0</v>
      </c>
      <c r="L527" s="211">
        <f t="shared" si="60"/>
        <v>0</v>
      </c>
      <c r="M527" s="211">
        <f t="shared" si="60"/>
        <v>0</v>
      </c>
      <c r="N527" s="211">
        <f t="shared" si="60"/>
        <v>0</v>
      </c>
      <c r="O527" s="211">
        <f t="shared" si="60"/>
        <v>0</v>
      </c>
      <c r="P527" s="211">
        <f t="shared" si="60"/>
        <v>0</v>
      </c>
      <c r="Q527" s="212"/>
    </row>
    <row r="528" spans="1:17" s="219" customFormat="1" hidden="1" x14ac:dyDescent="0.25">
      <c r="A528" s="214"/>
      <c r="B528" s="215" t="s">
        <v>1822</v>
      </c>
      <c r="C528" s="215" t="s">
        <v>1823</v>
      </c>
      <c r="D528" s="215" t="s">
        <v>1836</v>
      </c>
      <c r="E528" s="215" t="s">
        <v>2351</v>
      </c>
      <c r="F528" s="215" t="s">
        <v>1836</v>
      </c>
      <c r="G528" s="215" t="s">
        <v>58</v>
      </c>
      <c r="H528" s="216" t="s">
        <v>2358</v>
      </c>
      <c r="I528" s="217"/>
      <c r="J528" s="217"/>
      <c r="K528" s="217"/>
      <c r="L528" s="217"/>
      <c r="M528" s="217"/>
      <c r="N528" s="217"/>
      <c r="O528" s="217"/>
      <c r="P528" s="217"/>
      <c r="Q528" s="218"/>
    </row>
    <row r="529" spans="1:17" s="219" customFormat="1" hidden="1" x14ac:dyDescent="0.25">
      <c r="A529" s="214"/>
      <c r="B529" s="215" t="s">
        <v>1822</v>
      </c>
      <c r="C529" s="215" t="s">
        <v>1823</v>
      </c>
      <c r="D529" s="215" t="s">
        <v>1836</v>
      </c>
      <c r="E529" s="215" t="s">
        <v>2351</v>
      </c>
      <c r="F529" s="215" t="s">
        <v>1836</v>
      </c>
      <c r="G529" s="215" t="s">
        <v>75</v>
      </c>
      <c r="H529" s="216" t="s">
        <v>2359</v>
      </c>
      <c r="I529" s="217"/>
      <c r="J529" s="217"/>
      <c r="K529" s="217"/>
      <c r="L529" s="217"/>
      <c r="M529" s="217"/>
      <c r="N529" s="217"/>
      <c r="O529" s="217"/>
      <c r="P529" s="217"/>
      <c r="Q529" s="218"/>
    </row>
    <row r="530" spans="1:17" s="213" customFormat="1" hidden="1" x14ac:dyDescent="0.25">
      <c r="A530" s="208" t="s">
        <v>263</v>
      </c>
      <c r="B530" s="209" t="s">
        <v>1822</v>
      </c>
      <c r="C530" s="209" t="s">
        <v>1823</v>
      </c>
      <c r="D530" s="209" t="s">
        <v>1836</v>
      </c>
      <c r="E530" s="209" t="s">
        <v>2351</v>
      </c>
      <c r="F530" s="209" t="s">
        <v>1847</v>
      </c>
      <c r="G530" s="209"/>
      <c r="H530" s="210" t="s">
        <v>2360</v>
      </c>
      <c r="I530" s="211">
        <f>SUM(I531:I535)</f>
        <v>0</v>
      </c>
      <c r="J530" s="211">
        <f t="shared" ref="J530:P530" si="61">SUM(J531:J535)</f>
        <v>0</v>
      </c>
      <c r="K530" s="211">
        <f t="shared" si="61"/>
        <v>0</v>
      </c>
      <c r="L530" s="211">
        <f t="shared" si="61"/>
        <v>0</v>
      </c>
      <c r="M530" s="211">
        <f t="shared" si="61"/>
        <v>0</v>
      </c>
      <c r="N530" s="211">
        <f t="shared" si="61"/>
        <v>0</v>
      </c>
      <c r="O530" s="211">
        <f t="shared" si="61"/>
        <v>0</v>
      </c>
      <c r="P530" s="211">
        <f t="shared" si="61"/>
        <v>0</v>
      </c>
      <c r="Q530" s="212"/>
    </row>
    <row r="531" spans="1:17" s="219" customFormat="1" hidden="1" x14ac:dyDescent="0.25">
      <c r="A531" s="214"/>
      <c r="B531" s="215" t="s">
        <v>1822</v>
      </c>
      <c r="C531" s="215" t="s">
        <v>1823</v>
      </c>
      <c r="D531" s="215" t="s">
        <v>1836</v>
      </c>
      <c r="E531" s="215" t="s">
        <v>2351</v>
      </c>
      <c r="F531" s="215" t="s">
        <v>1847</v>
      </c>
      <c r="G531" s="215" t="s">
        <v>58</v>
      </c>
      <c r="H531" s="216" t="s">
        <v>2361</v>
      </c>
      <c r="I531" s="217"/>
      <c r="J531" s="217"/>
      <c r="K531" s="217"/>
      <c r="L531" s="217"/>
      <c r="M531" s="217"/>
      <c r="N531" s="217"/>
      <c r="O531" s="217"/>
      <c r="P531" s="217"/>
      <c r="Q531" s="218"/>
    </row>
    <row r="532" spans="1:17" s="219" customFormat="1" hidden="1" x14ac:dyDescent="0.25">
      <c r="A532" s="214"/>
      <c r="B532" s="215" t="s">
        <v>1822</v>
      </c>
      <c r="C532" s="215" t="s">
        <v>1823</v>
      </c>
      <c r="D532" s="215" t="s">
        <v>1836</v>
      </c>
      <c r="E532" s="215" t="s">
        <v>2351</v>
      </c>
      <c r="F532" s="215" t="s">
        <v>1847</v>
      </c>
      <c r="G532" s="215" t="s">
        <v>75</v>
      </c>
      <c r="H532" s="216" t="s">
        <v>2362</v>
      </c>
      <c r="I532" s="217"/>
      <c r="J532" s="217"/>
      <c r="K532" s="217"/>
      <c r="L532" s="217"/>
      <c r="M532" s="217"/>
      <c r="N532" s="217"/>
      <c r="O532" s="217"/>
      <c r="P532" s="217"/>
      <c r="Q532" s="218"/>
    </row>
    <row r="533" spans="1:17" s="219" customFormat="1" hidden="1" x14ac:dyDescent="0.25">
      <c r="A533" s="214"/>
      <c r="B533" s="215" t="s">
        <v>1822</v>
      </c>
      <c r="C533" s="215" t="s">
        <v>1823</v>
      </c>
      <c r="D533" s="215" t="s">
        <v>1836</v>
      </c>
      <c r="E533" s="215" t="s">
        <v>2351</v>
      </c>
      <c r="F533" s="215" t="s">
        <v>1847</v>
      </c>
      <c r="G533" s="215" t="s">
        <v>79</v>
      </c>
      <c r="H533" s="216" t="s">
        <v>2363</v>
      </c>
      <c r="I533" s="217"/>
      <c r="J533" s="217"/>
      <c r="K533" s="217"/>
      <c r="L533" s="217"/>
      <c r="M533" s="217"/>
      <c r="N533" s="217"/>
      <c r="O533" s="217"/>
      <c r="P533" s="217"/>
      <c r="Q533" s="218"/>
    </row>
    <row r="534" spans="1:17" s="219" customFormat="1" hidden="1" x14ac:dyDescent="0.25">
      <c r="A534" s="214"/>
      <c r="B534" s="215" t="s">
        <v>1822</v>
      </c>
      <c r="C534" s="215" t="s">
        <v>1823</v>
      </c>
      <c r="D534" s="215" t="s">
        <v>1836</v>
      </c>
      <c r="E534" s="215" t="s">
        <v>2351</v>
      </c>
      <c r="F534" s="215" t="s">
        <v>1847</v>
      </c>
      <c r="G534" s="215" t="s">
        <v>84</v>
      </c>
      <c r="H534" s="216" t="s">
        <v>2364</v>
      </c>
      <c r="I534" s="217"/>
      <c r="J534" s="217"/>
      <c r="K534" s="217"/>
      <c r="L534" s="217"/>
      <c r="M534" s="217"/>
      <c r="N534" s="217"/>
      <c r="O534" s="217"/>
      <c r="P534" s="217"/>
      <c r="Q534" s="218"/>
    </row>
    <row r="535" spans="1:17" s="219" customFormat="1" hidden="1" x14ac:dyDescent="0.25">
      <c r="A535" s="214"/>
      <c r="B535" s="215" t="s">
        <v>1822</v>
      </c>
      <c r="C535" s="215" t="s">
        <v>1823</v>
      </c>
      <c r="D535" s="215" t="s">
        <v>1836</v>
      </c>
      <c r="E535" s="215" t="s">
        <v>2351</v>
      </c>
      <c r="F535" s="215" t="s">
        <v>1847</v>
      </c>
      <c r="G535" s="215" t="s">
        <v>88</v>
      </c>
      <c r="H535" s="216" t="s">
        <v>2365</v>
      </c>
      <c r="I535" s="217"/>
      <c r="J535" s="217"/>
      <c r="K535" s="217"/>
      <c r="L535" s="217"/>
      <c r="M535" s="217"/>
      <c r="N535" s="217"/>
      <c r="O535" s="217"/>
      <c r="P535" s="217"/>
      <c r="Q535" s="218"/>
    </row>
    <row r="536" spans="1:17" s="213" customFormat="1" hidden="1" x14ac:dyDescent="0.25">
      <c r="A536" s="208" t="s">
        <v>2366</v>
      </c>
      <c r="B536" s="209" t="s">
        <v>1822</v>
      </c>
      <c r="C536" s="209" t="s">
        <v>1823</v>
      </c>
      <c r="D536" s="209" t="s">
        <v>1836</v>
      </c>
      <c r="E536" s="209" t="s">
        <v>2367</v>
      </c>
      <c r="F536" s="209"/>
      <c r="G536" s="209"/>
      <c r="H536" s="210" t="s">
        <v>2368</v>
      </c>
      <c r="I536" s="211">
        <f>SUM(I537+I541)</f>
        <v>0</v>
      </c>
      <c r="J536" s="211">
        <f t="shared" ref="J536:P536" si="62">SUM(J537+J541)</f>
        <v>0</v>
      </c>
      <c r="K536" s="211">
        <f t="shared" si="62"/>
        <v>0</v>
      </c>
      <c r="L536" s="211">
        <f t="shared" si="62"/>
        <v>0</v>
      </c>
      <c r="M536" s="211">
        <f t="shared" si="62"/>
        <v>0</v>
      </c>
      <c r="N536" s="211">
        <f t="shared" si="62"/>
        <v>0</v>
      </c>
      <c r="O536" s="211">
        <f t="shared" si="62"/>
        <v>0</v>
      </c>
      <c r="P536" s="211">
        <f t="shared" si="62"/>
        <v>0</v>
      </c>
      <c r="Q536" s="212"/>
    </row>
    <row r="537" spans="1:17" s="213" customFormat="1" hidden="1" x14ac:dyDescent="0.25">
      <c r="A537" s="208" t="s">
        <v>263</v>
      </c>
      <c r="B537" s="209" t="s">
        <v>1822</v>
      </c>
      <c r="C537" s="209" t="s">
        <v>1823</v>
      </c>
      <c r="D537" s="209" t="s">
        <v>1836</v>
      </c>
      <c r="E537" s="209" t="s">
        <v>2367</v>
      </c>
      <c r="F537" s="209" t="s">
        <v>1825</v>
      </c>
      <c r="G537" s="209"/>
      <c r="H537" s="210" t="s">
        <v>2368</v>
      </c>
      <c r="I537" s="211">
        <f>SUM(I538:I540)</f>
        <v>0</v>
      </c>
      <c r="J537" s="211">
        <f t="shared" ref="J537:P537" si="63">SUM(J538:J540)</f>
        <v>0</v>
      </c>
      <c r="K537" s="211">
        <f t="shared" si="63"/>
        <v>0</v>
      </c>
      <c r="L537" s="211">
        <f t="shared" si="63"/>
        <v>0</v>
      </c>
      <c r="M537" s="211">
        <f t="shared" si="63"/>
        <v>0</v>
      </c>
      <c r="N537" s="211">
        <f t="shared" si="63"/>
        <v>0</v>
      </c>
      <c r="O537" s="211">
        <f t="shared" si="63"/>
        <v>0</v>
      </c>
      <c r="P537" s="211">
        <f t="shared" si="63"/>
        <v>0</v>
      </c>
      <c r="Q537" s="212"/>
    </row>
    <row r="538" spans="1:17" s="219" customFormat="1" hidden="1" x14ac:dyDescent="0.25">
      <c r="A538" s="214"/>
      <c r="B538" s="215" t="s">
        <v>1822</v>
      </c>
      <c r="C538" s="215" t="s">
        <v>1823</v>
      </c>
      <c r="D538" s="215" t="s">
        <v>1836</v>
      </c>
      <c r="E538" s="215" t="s">
        <v>2367</v>
      </c>
      <c r="F538" s="215" t="s">
        <v>1825</v>
      </c>
      <c r="G538" s="215" t="s">
        <v>58</v>
      </c>
      <c r="H538" s="216" t="s">
        <v>2333</v>
      </c>
      <c r="I538" s="217"/>
      <c r="J538" s="217"/>
      <c r="K538" s="217"/>
      <c r="L538" s="217"/>
      <c r="M538" s="217"/>
      <c r="N538" s="217"/>
      <c r="O538" s="217"/>
      <c r="P538" s="217"/>
      <c r="Q538" s="218"/>
    </row>
    <row r="539" spans="1:17" s="219" customFormat="1" hidden="1" x14ac:dyDescent="0.25">
      <c r="A539" s="214"/>
      <c r="B539" s="215" t="s">
        <v>1822</v>
      </c>
      <c r="C539" s="215" t="s">
        <v>1823</v>
      </c>
      <c r="D539" s="215" t="s">
        <v>1836</v>
      </c>
      <c r="E539" s="215" t="s">
        <v>2367</v>
      </c>
      <c r="F539" s="215" t="s">
        <v>1825</v>
      </c>
      <c r="G539" s="215" t="s">
        <v>75</v>
      </c>
      <c r="H539" s="216" t="s">
        <v>2369</v>
      </c>
      <c r="I539" s="217"/>
      <c r="J539" s="217"/>
      <c r="K539" s="217"/>
      <c r="L539" s="217"/>
      <c r="M539" s="217"/>
      <c r="N539" s="217"/>
      <c r="O539" s="217"/>
      <c r="P539" s="217"/>
      <c r="Q539" s="218"/>
    </row>
    <row r="540" spans="1:17" s="219" customFormat="1" hidden="1" x14ac:dyDescent="0.25">
      <c r="A540" s="214"/>
      <c r="B540" s="215" t="s">
        <v>1822</v>
      </c>
      <c r="C540" s="215" t="s">
        <v>1823</v>
      </c>
      <c r="D540" s="215" t="s">
        <v>1836</v>
      </c>
      <c r="E540" s="215" t="s">
        <v>2367</v>
      </c>
      <c r="F540" s="215" t="s">
        <v>1825</v>
      </c>
      <c r="G540" s="215" t="s">
        <v>79</v>
      </c>
      <c r="H540" s="216" t="s">
        <v>2370</v>
      </c>
      <c r="I540" s="217"/>
      <c r="J540" s="217"/>
      <c r="K540" s="217"/>
      <c r="L540" s="217"/>
      <c r="M540" s="217"/>
      <c r="N540" s="217"/>
      <c r="O540" s="217"/>
      <c r="P540" s="217"/>
      <c r="Q540" s="218"/>
    </row>
    <row r="541" spans="1:17" s="213" customFormat="1" hidden="1" x14ac:dyDescent="0.25">
      <c r="A541" s="208" t="s">
        <v>263</v>
      </c>
      <c r="B541" s="209" t="s">
        <v>1822</v>
      </c>
      <c r="C541" s="209" t="s">
        <v>1823</v>
      </c>
      <c r="D541" s="209" t="s">
        <v>1836</v>
      </c>
      <c r="E541" s="209" t="s">
        <v>2367</v>
      </c>
      <c r="F541" s="209" t="s">
        <v>1836</v>
      </c>
      <c r="G541" s="209"/>
      <c r="H541" s="210" t="s">
        <v>2371</v>
      </c>
      <c r="I541" s="211">
        <f>SUM(I542:I544)</f>
        <v>0</v>
      </c>
      <c r="J541" s="211">
        <f t="shared" ref="J541:P541" si="64">SUM(J542:J544)</f>
        <v>0</v>
      </c>
      <c r="K541" s="211">
        <f t="shared" si="64"/>
        <v>0</v>
      </c>
      <c r="L541" s="211">
        <f t="shared" si="64"/>
        <v>0</v>
      </c>
      <c r="M541" s="211">
        <f t="shared" si="64"/>
        <v>0</v>
      </c>
      <c r="N541" s="211">
        <f t="shared" si="64"/>
        <v>0</v>
      </c>
      <c r="O541" s="211">
        <f t="shared" si="64"/>
        <v>0</v>
      </c>
      <c r="P541" s="211">
        <f t="shared" si="64"/>
        <v>0</v>
      </c>
      <c r="Q541" s="212"/>
    </row>
    <row r="542" spans="1:17" s="219" customFormat="1" hidden="1" x14ac:dyDescent="0.25">
      <c r="A542" s="214"/>
      <c r="B542" s="215" t="s">
        <v>1822</v>
      </c>
      <c r="C542" s="215" t="s">
        <v>1823</v>
      </c>
      <c r="D542" s="215" t="s">
        <v>1836</v>
      </c>
      <c r="E542" s="215" t="s">
        <v>2367</v>
      </c>
      <c r="F542" s="215" t="s">
        <v>1836</v>
      </c>
      <c r="G542" s="215" t="s">
        <v>58</v>
      </c>
      <c r="H542" s="216" t="s">
        <v>2372</v>
      </c>
      <c r="I542" s="217"/>
      <c r="J542" s="217"/>
      <c r="K542" s="217"/>
      <c r="L542" s="217"/>
      <c r="M542" s="217"/>
      <c r="N542" s="217"/>
      <c r="O542" s="217"/>
      <c r="P542" s="217"/>
      <c r="Q542" s="218"/>
    </row>
    <row r="543" spans="1:17" s="219" customFormat="1" hidden="1" x14ac:dyDescent="0.25">
      <c r="A543" s="214"/>
      <c r="B543" s="215" t="s">
        <v>1822</v>
      </c>
      <c r="C543" s="215" t="s">
        <v>1823</v>
      </c>
      <c r="D543" s="215" t="s">
        <v>1836</v>
      </c>
      <c r="E543" s="215" t="s">
        <v>2367</v>
      </c>
      <c r="F543" s="215" t="s">
        <v>1836</v>
      </c>
      <c r="G543" s="215" t="s">
        <v>75</v>
      </c>
      <c r="H543" s="216" t="s">
        <v>2373</v>
      </c>
      <c r="I543" s="217"/>
      <c r="J543" s="217"/>
      <c r="K543" s="217"/>
      <c r="L543" s="217"/>
      <c r="M543" s="217"/>
      <c r="N543" s="217"/>
      <c r="O543" s="217"/>
      <c r="P543" s="217"/>
      <c r="Q543" s="218"/>
    </row>
    <row r="544" spans="1:17" s="219" customFormat="1" hidden="1" x14ac:dyDescent="0.25">
      <c r="A544" s="214"/>
      <c r="B544" s="215" t="s">
        <v>1822</v>
      </c>
      <c r="C544" s="215" t="s">
        <v>1823</v>
      </c>
      <c r="D544" s="215" t="s">
        <v>1836</v>
      </c>
      <c r="E544" s="215" t="s">
        <v>2367</v>
      </c>
      <c r="F544" s="215" t="s">
        <v>1836</v>
      </c>
      <c r="G544" s="215" t="s">
        <v>79</v>
      </c>
      <c r="H544" s="216" t="s">
        <v>2374</v>
      </c>
      <c r="I544" s="217"/>
      <c r="J544" s="217"/>
      <c r="K544" s="217"/>
      <c r="L544" s="217"/>
      <c r="M544" s="217"/>
      <c r="N544" s="217"/>
      <c r="O544" s="217"/>
      <c r="P544" s="217"/>
      <c r="Q544" s="218"/>
    </row>
    <row r="545" spans="1:17" s="213" customFormat="1" hidden="1" x14ac:dyDescent="0.25">
      <c r="A545" s="208" t="s">
        <v>2375</v>
      </c>
      <c r="B545" s="209" t="s">
        <v>1822</v>
      </c>
      <c r="C545" s="209" t="s">
        <v>1823</v>
      </c>
      <c r="D545" s="209" t="s">
        <v>1836</v>
      </c>
      <c r="E545" s="209" t="s">
        <v>2376</v>
      </c>
      <c r="F545" s="209"/>
      <c r="G545" s="209"/>
      <c r="H545" s="210" t="s">
        <v>2377</v>
      </c>
      <c r="I545" s="211">
        <f>SUM(I546+I550+I557+I562)</f>
        <v>0</v>
      </c>
      <c r="J545" s="211">
        <f t="shared" ref="J545:P545" si="65">SUM(J546+J550+J557+J562)</f>
        <v>0</v>
      </c>
      <c r="K545" s="211">
        <f t="shared" si="65"/>
        <v>0</v>
      </c>
      <c r="L545" s="211">
        <f t="shared" si="65"/>
        <v>0</v>
      </c>
      <c r="M545" s="211">
        <f t="shared" si="65"/>
        <v>0</v>
      </c>
      <c r="N545" s="211">
        <f t="shared" si="65"/>
        <v>0</v>
      </c>
      <c r="O545" s="211">
        <f t="shared" si="65"/>
        <v>0</v>
      </c>
      <c r="P545" s="211">
        <f t="shared" si="65"/>
        <v>0</v>
      </c>
      <c r="Q545" s="212"/>
    </row>
    <row r="546" spans="1:17" s="213" customFormat="1" hidden="1" x14ac:dyDescent="0.25">
      <c r="A546" s="208" t="s">
        <v>263</v>
      </c>
      <c r="B546" s="209" t="s">
        <v>1822</v>
      </c>
      <c r="C546" s="209" t="s">
        <v>1823</v>
      </c>
      <c r="D546" s="209" t="s">
        <v>1836</v>
      </c>
      <c r="E546" s="209" t="s">
        <v>2376</v>
      </c>
      <c r="F546" s="209" t="s">
        <v>1825</v>
      </c>
      <c r="G546" s="209"/>
      <c r="H546" s="210" t="s">
        <v>2378</v>
      </c>
      <c r="I546" s="211">
        <f>SUM(I547:I549)</f>
        <v>0</v>
      </c>
      <c r="J546" s="211">
        <f t="shared" ref="J546:P546" si="66">SUM(J547:J549)</f>
        <v>0</v>
      </c>
      <c r="K546" s="211">
        <f t="shared" si="66"/>
        <v>0</v>
      </c>
      <c r="L546" s="211">
        <f t="shared" si="66"/>
        <v>0</v>
      </c>
      <c r="M546" s="211">
        <f t="shared" si="66"/>
        <v>0</v>
      </c>
      <c r="N546" s="211">
        <f t="shared" si="66"/>
        <v>0</v>
      </c>
      <c r="O546" s="211">
        <f t="shared" si="66"/>
        <v>0</v>
      </c>
      <c r="P546" s="211">
        <f t="shared" si="66"/>
        <v>0</v>
      </c>
      <c r="Q546" s="212"/>
    </row>
    <row r="547" spans="1:17" s="219" customFormat="1" hidden="1" x14ac:dyDescent="0.25">
      <c r="A547" s="214"/>
      <c r="B547" s="215" t="s">
        <v>1822</v>
      </c>
      <c r="C547" s="215" t="s">
        <v>1823</v>
      </c>
      <c r="D547" s="215" t="s">
        <v>1836</v>
      </c>
      <c r="E547" s="215" t="s">
        <v>2376</v>
      </c>
      <c r="F547" s="215" t="s">
        <v>1825</v>
      </c>
      <c r="G547" s="215" t="s">
        <v>58</v>
      </c>
      <c r="H547" s="216" t="s">
        <v>2379</v>
      </c>
      <c r="I547" s="217"/>
      <c r="J547" s="217"/>
      <c r="K547" s="217"/>
      <c r="L547" s="217"/>
      <c r="M547" s="217"/>
      <c r="N547" s="217"/>
      <c r="O547" s="217"/>
      <c r="P547" s="217"/>
      <c r="Q547" s="218"/>
    </row>
    <row r="548" spans="1:17" s="219" customFormat="1" hidden="1" x14ac:dyDescent="0.25">
      <c r="A548" s="214"/>
      <c r="B548" s="215" t="s">
        <v>1822</v>
      </c>
      <c r="C548" s="215" t="s">
        <v>1823</v>
      </c>
      <c r="D548" s="215" t="s">
        <v>1836</v>
      </c>
      <c r="E548" s="215" t="s">
        <v>2376</v>
      </c>
      <c r="F548" s="215" t="s">
        <v>1825</v>
      </c>
      <c r="G548" s="215" t="s">
        <v>75</v>
      </c>
      <c r="H548" s="216" t="s">
        <v>2380</v>
      </c>
      <c r="I548" s="217"/>
      <c r="J548" s="217"/>
      <c r="K548" s="217"/>
      <c r="L548" s="217"/>
      <c r="M548" s="217"/>
      <c r="N548" s="217"/>
      <c r="O548" s="217"/>
      <c r="P548" s="217"/>
      <c r="Q548" s="218"/>
    </row>
    <row r="549" spans="1:17" s="219" customFormat="1" hidden="1" x14ac:dyDescent="0.25">
      <c r="A549" s="214"/>
      <c r="B549" s="215" t="s">
        <v>1822</v>
      </c>
      <c r="C549" s="215" t="s">
        <v>1823</v>
      </c>
      <c r="D549" s="215" t="s">
        <v>1836</v>
      </c>
      <c r="E549" s="215" t="s">
        <v>2376</v>
      </c>
      <c r="F549" s="215" t="s">
        <v>1825</v>
      </c>
      <c r="G549" s="215" t="s">
        <v>79</v>
      </c>
      <c r="H549" s="216" t="s">
        <v>2381</v>
      </c>
      <c r="I549" s="217"/>
      <c r="J549" s="217"/>
      <c r="K549" s="217"/>
      <c r="L549" s="217"/>
      <c r="M549" s="217"/>
      <c r="N549" s="217"/>
      <c r="O549" s="217"/>
      <c r="P549" s="217"/>
      <c r="Q549" s="218"/>
    </row>
    <row r="550" spans="1:17" s="213" customFormat="1" hidden="1" x14ac:dyDescent="0.25">
      <c r="A550" s="208" t="s">
        <v>263</v>
      </c>
      <c r="B550" s="209" t="s">
        <v>1822</v>
      </c>
      <c r="C550" s="209" t="s">
        <v>1823</v>
      </c>
      <c r="D550" s="209" t="s">
        <v>1836</v>
      </c>
      <c r="E550" s="209" t="s">
        <v>2376</v>
      </c>
      <c r="F550" s="209" t="s">
        <v>1836</v>
      </c>
      <c r="G550" s="209"/>
      <c r="H550" s="210" t="s">
        <v>2382</v>
      </c>
      <c r="I550" s="211">
        <f>SUM(I551:I556)</f>
        <v>0</v>
      </c>
      <c r="J550" s="211">
        <f t="shared" ref="J550:P550" si="67">SUM(J551:J556)</f>
        <v>0</v>
      </c>
      <c r="K550" s="211">
        <f t="shared" si="67"/>
        <v>0</v>
      </c>
      <c r="L550" s="211">
        <f t="shared" si="67"/>
        <v>0</v>
      </c>
      <c r="M550" s="211">
        <f t="shared" si="67"/>
        <v>0</v>
      </c>
      <c r="N550" s="211">
        <f t="shared" si="67"/>
        <v>0</v>
      </c>
      <c r="O550" s="211">
        <f t="shared" si="67"/>
        <v>0</v>
      </c>
      <c r="P550" s="211">
        <f t="shared" si="67"/>
        <v>0</v>
      </c>
      <c r="Q550" s="212"/>
    </row>
    <row r="551" spans="1:17" s="219" customFormat="1" hidden="1" x14ac:dyDescent="0.25">
      <c r="A551" s="214"/>
      <c r="B551" s="215" t="s">
        <v>1822</v>
      </c>
      <c r="C551" s="215" t="s">
        <v>1823</v>
      </c>
      <c r="D551" s="215" t="s">
        <v>1836</v>
      </c>
      <c r="E551" s="215" t="s">
        <v>2376</v>
      </c>
      <c r="F551" s="215" t="s">
        <v>1836</v>
      </c>
      <c r="G551" s="215" t="s">
        <v>58</v>
      </c>
      <c r="H551" s="216" t="s">
        <v>2383</v>
      </c>
      <c r="I551" s="217"/>
      <c r="J551" s="217"/>
      <c r="K551" s="217"/>
      <c r="L551" s="217"/>
      <c r="M551" s="217"/>
      <c r="N551" s="217"/>
      <c r="O551" s="217"/>
      <c r="P551" s="217"/>
      <c r="Q551" s="218"/>
    </row>
    <row r="552" spans="1:17" s="219" customFormat="1" hidden="1" x14ac:dyDescent="0.25">
      <c r="A552" s="214"/>
      <c r="B552" s="215" t="s">
        <v>1822</v>
      </c>
      <c r="C552" s="215" t="s">
        <v>1823</v>
      </c>
      <c r="D552" s="215" t="s">
        <v>1836</v>
      </c>
      <c r="E552" s="215" t="s">
        <v>2376</v>
      </c>
      <c r="F552" s="215" t="s">
        <v>1836</v>
      </c>
      <c r="G552" s="215" t="s">
        <v>75</v>
      </c>
      <c r="H552" s="216" t="s">
        <v>2384</v>
      </c>
      <c r="I552" s="217"/>
      <c r="J552" s="217"/>
      <c r="K552" s="217"/>
      <c r="L552" s="217"/>
      <c r="M552" s="217"/>
      <c r="N552" s="217"/>
      <c r="O552" s="217"/>
      <c r="P552" s="217"/>
      <c r="Q552" s="218"/>
    </row>
    <row r="553" spans="1:17" s="219" customFormat="1" hidden="1" x14ac:dyDescent="0.25">
      <c r="A553" s="214"/>
      <c r="B553" s="215" t="s">
        <v>1822</v>
      </c>
      <c r="C553" s="215" t="s">
        <v>1823</v>
      </c>
      <c r="D553" s="215" t="s">
        <v>1836</v>
      </c>
      <c r="E553" s="215" t="s">
        <v>2376</v>
      </c>
      <c r="F553" s="215" t="s">
        <v>1836</v>
      </c>
      <c r="G553" s="215" t="s">
        <v>79</v>
      </c>
      <c r="H553" s="216" t="s">
        <v>2385</v>
      </c>
      <c r="I553" s="217"/>
      <c r="J553" s="217"/>
      <c r="K553" s="217"/>
      <c r="L553" s="217"/>
      <c r="M553" s="217"/>
      <c r="N553" s="217"/>
      <c r="O553" s="217"/>
      <c r="P553" s="217"/>
      <c r="Q553" s="218"/>
    </row>
    <row r="554" spans="1:17" s="219" customFormat="1" hidden="1" x14ac:dyDescent="0.25">
      <c r="A554" s="214"/>
      <c r="B554" s="215" t="s">
        <v>1822</v>
      </c>
      <c r="C554" s="215" t="s">
        <v>1823</v>
      </c>
      <c r="D554" s="215" t="s">
        <v>1836</v>
      </c>
      <c r="E554" s="215" t="s">
        <v>2376</v>
      </c>
      <c r="F554" s="215" t="s">
        <v>1836</v>
      </c>
      <c r="G554" s="215" t="s">
        <v>84</v>
      </c>
      <c r="H554" s="216" t="s">
        <v>2386</v>
      </c>
      <c r="I554" s="217"/>
      <c r="J554" s="217"/>
      <c r="K554" s="217"/>
      <c r="L554" s="217"/>
      <c r="M554" s="217"/>
      <c r="N554" s="217"/>
      <c r="O554" s="217"/>
      <c r="P554" s="217"/>
      <c r="Q554" s="218"/>
    </row>
    <row r="555" spans="1:17" s="219" customFormat="1" hidden="1" x14ac:dyDescent="0.25">
      <c r="A555" s="214"/>
      <c r="B555" s="215" t="s">
        <v>1822</v>
      </c>
      <c r="C555" s="215" t="s">
        <v>1823</v>
      </c>
      <c r="D555" s="215" t="s">
        <v>1836</v>
      </c>
      <c r="E555" s="215" t="s">
        <v>2376</v>
      </c>
      <c r="F555" s="215" t="s">
        <v>1836</v>
      </c>
      <c r="G555" s="215" t="s">
        <v>88</v>
      </c>
      <c r="H555" s="216" t="s">
        <v>2387</v>
      </c>
      <c r="I555" s="217"/>
      <c r="J555" s="217"/>
      <c r="K555" s="217"/>
      <c r="L555" s="217"/>
      <c r="M555" s="217"/>
      <c r="N555" s="217"/>
      <c r="O555" s="217"/>
      <c r="P555" s="217"/>
      <c r="Q555" s="218"/>
    </row>
    <row r="556" spans="1:17" s="219" customFormat="1" hidden="1" x14ac:dyDescent="0.25">
      <c r="A556" s="214"/>
      <c r="B556" s="215" t="s">
        <v>1822</v>
      </c>
      <c r="C556" s="215" t="s">
        <v>1823</v>
      </c>
      <c r="D556" s="215" t="s">
        <v>1836</v>
      </c>
      <c r="E556" s="215" t="s">
        <v>2376</v>
      </c>
      <c r="F556" s="215" t="s">
        <v>1836</v>
      </c>
      <c r="G556" s="215" t="s">
        <v>92</v>
      </c>
      <c r="H556" s="216" t="s">
        <v>2388</v>
      </c>
      <c r="I556" s="217"/>
      <c r="J556" s="217"/>
      <c r="K556" s="217"/>
      <c r="L556" s="217"/>
      <c r="M556" s="217"/>
      <c r="N556" s="217"/>
      <c r="O556" s="217"/>
      <c r="P556" s="217"/>
      <c r="Q556" s="218"/>
    </row>
    <row r="557" spans="1:17" s="213" customFormat="1" hidden="1" x14ac:dyDescent="0.25">
      <c r="A557" s="208" t="s">
        <v>263</v>
      </c>
      <c r="B557" s="209" t="s">
        <v>1822</v>
      </c>
      <c r="C557" s="209" t="s">
        <v>1823</v>
      </c>
      <c r="D557" s="209" t="s">
        <v>1836</v>
      </c>
      <c r="E557" s="209" t="s">
        <v>2376</v>
      </c>
      <c r="F557" s="209" t="s">
        <v>1847</v>
      </c>
      <c r="G557" s="209"/>
      <c r="H557" s="210" t="s">
        <v>2389</v>
      </c>
      <c r="I557" s="211">
        <f>SUM(I558:I561)</f>
        <v>0</v>
      </c>
      <c r="J557" s="211">
        <f t="shared" ref="J557:P557" si="68">SUM(J558:J561)</f>
        <v>0</v>
      </c>
      <c r="K557" s="211">
        <f t="shared" si="68"/>
        <v>0</v>
      </c>
      <c r="L557" s="211">
        <f t="shared" si="68"/>
        <v>0</v>
      </c>
      <c r="M557" s="211">
        <f t="shared" si="68"/>
        <v>0</v>
      </c>
      <c r="N557" s="211">
        <f t="shared" si="68"/>
        <v>0</v>
      </c>
      <c r="O557" s="211">
        <f t="shared" si="68"/>
        <v>0</v>
      </c>
      <c r="P557" s="211">
        <f t="shared" si="68"/>
        <v>0</v>
      </c>
      <c r="Q557" s="212"/>
    </row>
    <row r="558" spans="1:17" s="219" customFormat="1" hidden="1" x14ac:dyDescent="0.25">
      <c r="A558" s="214"/>
      <c r="B558" s="215" t="s">
        <v>1822</v>
      </c>
      <c r="C558" s="215" t="s">
        <v>1823</v>
      </c>
      <c r="D558" s="215" t="s">
        <v>1836</v>
      </c>
      <c r="E558" s="215" t="s">
        <v>2376</v>
      </c>
      <c r="F558" s="215" t="s">
        <v>1847</v>
      </c>
      <c r="G558" s="215" t="s">
        <v>58</v>
      </c>
      <c r="H558" s="216" t="s">
        <v>2390</v>
      </c>
      <c r="I558" s="217"/>
      <c r="J558" s="217"/>
      <c r="K558" s="217"/>
      <c r="L558" s="217"/>
      <c r="M558" s="217"/>
      <c r="N558" s="217"/>
      <c r="O558" s="217"/>
      <c r="P558" s="217"/>
      <c r="Q558" s="218"/>
    </row>
    <row r="559" spans="1:17" s="219" customFormat="1" hidden="1" x14ac:dyDescent="0.25">
      <c r="A559" s="214"/>
      <c r="B559" s="215" t="s">
        <v>1822</v>
      </c>
      <c r="C559" s="215" t="s">
        <v>1823</v>
      </c>
      <c r="D559" s="215" t="s">
        <v>1836</v>
      </c>
      <c r="E559" s="215" t="s">
        <v>2376</v>
      </c>
      <c r="F559" s="215" t="s">
        <v>1847</v>
      </c>
      <c r="G559" s="215" t="s">
        <v>75</v>
      </c>
      <c r="H559" s="216" t="s">
        <v>2391</v>
      </c>
      <c r="I559" s="217"/>
      <c r="J559" s="217"/>
      <c r="K559" s="217"/>
      <c r="L559" s="217"/>
      <c r="M559" s="217"/>
      <c r="N559" s="217"/>
      <c r="O559" s="217"/>
      <c r="P559" s="217"/>
      <c r="Q559" s="218"/>
    </row>
    <row r="560" spans="1:17" s="219" customFormat="1" hidden="1" x14ac:dyDescent="0.25">
      <c r="A560" s="214"/>
      <c r="B560" s="215" t="s">
        <v>1822</v>
      </c>
      <c r="C560" s="215" t="s">
        <v>1823</v>
      </c>
      <c r="D560" s="215" t="s">
        <v>1836</v>
      </c>
      <c r="E560" s="215" t="s">
        <v>2376</v>
      </c>
      <c r="F560" s="215" t="s">
        <v>1847</v>
      </c>
      <c r="G560" s="215" t="s">
        <v>79</v>
      </c>
      <c r="H560" s="216" t="s">
        <v>2392</v>
      </c>
      <c r="I560" s="217"/>
      <c r="J560" s="217"/>
      <c r="K560" s="217"/>
      <c r="L560" s="217"/>
      <c r="M560" s="217"/>
      <c r="N560" s="217"/>
      <c r="O560" s="217"/>
      <c r="P560" s="217"/>
      <c r="Q560" s="218"/>
    </row>
    <row r="561" spans="1:17" s="219" customFormat="1" hidden="1" x14ac:dyDescent="0.25">
      <c r="A561" s="214"/>
      <c r="B561" s="215" t="s">
        <v>1822</v>
      </c>
      <c r="C561" s="215" t="s">
        <v>1823</v>
      </c>
      <c r="D561" s="215" t="s">
        <v>1836</v>
      </c>
      <c r="E561" s="215" t="s">
        <v>2376</v>
      </c>
      <c r="F561" s="215" t="s">
        <v>1847</v>
      </c>
      <c r="G561" s="215" t="s">
        <v>84</v>
      </c>
      <c r="H561" s="216" t="s">
        <v>2393</v>
      </c>
      <c r="I561" s="217"/>
      <c r="J561" s="217"/>
      <c r="K561" s="217"/>
      <c r="L561" s="217"/>
      <c r="M561" s="217"/>
      <c r="N561" s="217"/>
      <c r="O561" s="217"/>
      <c r="P561" s="217"/>
      <c r="Q561" s="218"/>
    </row>
    <row r="562" spans="1:17" s="213" customFormat="1" hidden="1" x14ac:dyDescent="0.25">
      <c r="A562" s="208" t="s">
        <v>263</v>
      </c>
      <c r="B562" s="209" t="s">
        <v>1822</v>
      </c>
      <c r="C562" s="209" t="s">
        <v>1823</v>
      </c>
      <c r="D562" s="209" t="s">
        <v>1836</v>
      </c>
      <c r="E562" s="209" t="s">
        <v>2376</v>
      </c>
      <c r="F562" s="209" t="s">
        <v>1928</v>
      </c>
      <c r="G562" s="209"/>
      <c r="H562" s="210" t="s">
        <v>2394</v>
      </c>
      <c r="I562" s="211">
        <f>SUM(I563:I569)</f>
        <v>0</v>
      </c>
      <c r="J562" s="211">
        <f t="shared" ref="J562:P562" si="69">SUM(J563:J569)</f>
        <v>0</v>
      </c>
      <c r="K562" s="211">
        <f t="shared" si="69"/>
        <v>0</v>
      </c>
      <c r="L562" s="211">
        <f t="shared" si="69"/>
        <v>0</v>
      </c>
      <c r="M562" s="211">
        <f t="shared" si="69"/>
        <v>0</v>
      </c>
      <c r="N562" s="211">
        <f t="shared" si="69"/>
        <v>0</v>
      </c>
      <c r="O562" s="211">
        <f t="shared" si="69"/>
        <v>0</v>
      </c>
      <c r="P562" s="211">
        <f t="shared" si="69"/>
        <v>0</v>
      </c>
      <c r="Q562" s="212"/>
    </row>
    <row r="563" spans="1:17" s="219" customFormat="1" ht="30" hidden="1" x14ac:dyDescent="0.25">
      <c r="A563" s="214"/>
      <c r="B563" s="215" t="s">
        <v>1822</v>
      </c>
      <c r="C563" s="215" t="s">
        <v>1823</v>
      </c>
      <c r="D563" s="215" t="s">
        <v>1836</v>
      </c>
      <c r="E563" s="215" t="s">
        <v>2376</v>
      </c>
      <c r="F563" s="215" t="s">
        <v>1928</v>
      </c>
      <c r="G563" s="215" t="s">
        <v>58</v>
      </c>
      <c r="H563" s="216" t="s">
        <v>2395</v>
      </c>
      <c r="I563" s="217"/>
      <c r="J563" s="217"/>
      <c r="K563" s="217"/>
      <c r="L563" s="217"/>
      <c r="M563" s="217"/>
      <c r="N563" s="217"/>
      <c r="O563" s="217"/>
      <c r="P563" s="217"/>
      <c r="Q563" s="218"/>
    </row>
    <row r="564" spans="1:17" s="219" customFormat="1" ht="30" hidden="1" x14ac:dyDescent="0.25">
      <c r="A564" s="214"/>
      <c r="B564" s="215" t="s">
        <v>1822</v>
      </c>
      <c r="C564" s="215" t="s">
        <v>1823</v>
      </c>
      <c r="D564" s="215" t="s">
        <v>1836</v>
      </c>
      <c r="E564" s="215" t="s">
        <v>2376</v>
      </c>
      <c r="F564" s="215" t="s">
        <v>1928</v>
      </c>
      <c r="G564" s="215" t="s">
        <v>75</v>
      </c>
      <c r="H564" s="216" t="s">
        <v>2396</v>
      </c>
      <c r="I564" s="217"/>
      <c r="J564" s="217"/>
      <c r="K564" s="217"/>
      <c r="L564" s="217"/>
      <c r="M564" s="217"/>
      <c r="N564" s="217"/>
      <c r="O564" s="217"/>
      <c r="P564" s="217"/>
      <c r="Q564" s="218"/>
    </row>
    <row r="565" spans="1:17" s="219" customFormat="1" hidden="1" x14ac:dyDescent="0.25">
      <c r="A565" s="214"/>
      <c r="B565" s="215" t="s">
        <v>1822</v>
      </c>
      <c r="C565" s="215" t="s">
        <v>1823</v>
      </c>
      <c r="D565" s="215" t="s">
        <v>1836</v>
      </c>
      <c r="E565" s="215" t="s">
        <v>2376</v>
      </c>
      <c r="F565" s="215" t="s">
        <v>1928</v>
      </c>
      <c r="G565" s="215" t="s">
        <v>79</v>
      </c>
      <c r="H565" s="216" t="s">
        <v>2397</v>
      </c>
      <c r="I565" s="217"/>
      <c r="J565" s="217"/>
      <c r="K565" s="217"/>
      <c r="L565" s="217"/>
      <c r="M565" s="217"/>
      <c r="N565" s="217"/>
      <c r="O565" s="217"/>
      <c r="P565" s="217"/>
      <c r="Q565" s="218"/>
    </row>
    <row r="566" spans="1:17" s="219" customFormat="1" ht="30" hidden="1" x14ac:dyDescent="0.25">
      <c r="A566" s="214"/>
      <c r="B566" s="215" t="s">
        <v>1822</v>
      </c>
      <c r="C566" s="215" t="s">
        <v>1823</v>
      </c>
      <c r="D566" s="215" t="s">
        <v>1836</v>
      </c>
      <c r="E566" s="215" t="s">
        <v>2376</v>
      </c>
      <c r="F566" s="215" t="s">
        <v>1928</v>
      </c>
      <c r="G566" s="215" t="s">
        <v>84</v>
      </c>
      <c r="H566" s="216" t="s">
        <v>2398</v>
      </c>
      <c r="I566" s="217"/>
      <c r="J566" s="217"/>
      <c r="K566" s="217"/>
      <c r="L566" s="217"/>
      <c r="M566" s="217"/>
      <c r="N566" s="217"/>
      <c r="O566" s="217"/>
      <c r="P566" s="217"/>
      <c r="Q566" s="218"/>
    </row>
    <row r="567" spans="1:17" s="219" customFormat="1" ht="30" hidden="1" x14ac:dyDescent="0.25">
      <c r="A567" s="214"/>
      <c r="B567" s="215" t="s">
        <v>1822</v>
      </c>
      <c r="C567" s="215" t="s">
        <v>1823</v>
      </c>
      <c r="D567" s="215" t="s">
        <v>1836</v>
      </c>
      <c r="E567" s="215" t="s">
        <v>2376</v>
      </c>
      <c r="F567" s="215" t="s">
        <v>1928</v>
      </c>
      <c r="G567" s="215" t="s">
        <v>88</v>
      </c>
      <c r="H567" s="216" t="s">
        <v>2399</v>
      </c>
      <c r="I567" s="217"/>
      <c r="J567" s="217"/>
      <c r="K567" s="217"/>
      <c r="L567" s="217"/>
      <c r="M567" s="217"/>
      <c r="N567" s="217"/>
      <c r="O567" s="217"/>
      <c r="P567" s="217"/>
      <c r="Q567" s="218"/>
    </row>
    <row r="568" spans="1:17" s="219" customFormat="1" hidden="1" x14ac:dyDescent="0.25">
      <c r="A568" s="214"/>
      <c r="B568" s="215" t="s">
        <v>1822</v>
      </c>
      <c r="C568" s="215" t="s">
        <v>1823</v>
      </c>
      <c r="D568" s="215" t="s">
        <v>1836</v>
      </c>
      <c r="E568" s="215" t="s">
        <v>2376</v>
      </c>
      <c r="F568" s="215" t="s">
        <v>1928</v>
      </c>
      <c r="G568" s="215" t="s">
        <v>92</v>
      </c>
      <c r="H568" s="216" t="s">
        <v>2400</v>
      </c>
      <c r="I568" s="217"/>
      <c r="J568" s="217"/>
      <c r="K568" s="217"/>
      <c r="L568" s="217"/>
      <c r="M568" s="217"/>
      <c r="N568" s="217"/>
      <c r="O568" s="217"/>
      <c r="P568" s="217"/>
      <c r="Q568" s="218"/>
    </row>
    <row r="569" spans="1:17" s="219" customFormat="1" hidden="1" x14ac:dyDescent="0.25">
      <c r="A569" s="214"/>
      <c r="B569" s="215" t="s">
        <v>1822</v>
      </c>
      <c r="C569" s="215" t="s">
        <v>1823</v>
      </c>
      <c r="D569" s="215" t="s">
        <v>1836</v>
      </c>
      <c r="E569" s="215" t="s">
        <v>2376</v>
      </c>
      <c r="F569" s="215" t="s">
        <v>1928</v>
      </c>
      <c r="G569" s="215" t="s">
        <v>96</v>
      </c>
      <c r="H569" s="216" t="s">
        <v>2401</v>
      </c>
      <c r="I569" s="217"/>
      <c r="J569" s="217"/>
      <c r="K569" s="217"/>
      <c r="L569" s="217"/>
      <c r="M569" s="217"/>
      <c r="N569" s="217"/>
      <c r="O569" s="217"/>
      <c r="P569" s="217"/>
      <c r="Q569" s="218"/>
    </row>
    <row r="570" spans="1:17" s="213" customFormat="1" hidden="1" x14ac:dyDescent="0.25">
      <c r="A570" s="208" t="s">
        <v>2402</v>
      </c>
      <c r="B570" s="209" t="s">
        <v>1822</v>
      </c>
      <c r="C570" s="209" t="s">
        <v>1823</v>
      </c>
      <c r="D570" s="209" t="s">
        <v>1836</v>
      </c>
      <c r="E570" s="209" t="s">
        <v>2403</v>
      </c>
      <c r="F570" s="209"/>
      <c r="G570" s="209"/>
      <c r="H570" s="210" t="s">
        <v>2404</v>
      </c>
      <c r="I570" s="211">
        <f>SUM(I571)</f>
        <v>0</v>
      </c>
      <c r="J570" s="211">
        <f t="shared" ref="J570:P570" si="70">SUM(J571)</f>
        <v>0</v>
      </c>
      <c r="K570" s="211">
        <f t="shared" si="70"/>
        <v>0</v>
      </c>
      <c r="L570" s="211">
        <f t="shared" si="70"/>
        <v>0</v>
      </c>
      <c r="M570" s="211">
        <f t="shared" si="70"/>
        <v>0</v>
      </c>
      <c r="N570" s="211">
        <f t="shared" si="70"/>
        <v>0</v>
      </c>
      <c r="O570" s="211">
        <f t="shared" si="70"/>
        <v>0</v>
      </c>
      <c r="P570" s="211">
        <f t="shared" si="70"/>
        <v>0</v>
      </c>
      <c r="Q570" s="212"/>
    </row>
    <row r="571" spans="1:17" s="213" customFormat="1" ht="30" hidden="1" x14ac:dyDescent="0.25">
      <c r="A571" s="208" t="s">
        <v>263</v>
      </c>
      <c r="B571" s="209" t="s">
        <v>1822</v>
      </c>
      <c r="C571" s="209" t="s">
        <v>1823</v>
      </c>
      <c r="D571" s="209" t="s">
        <v>1836</v>
      </c>
      <c r="E571" s="209" t="s">
        <v>2403</v>
      </c>
      <c r="F571" s="209" t="s">
        <v>1825</v>
      </c>
      <c r="G571" s="209"/>
      <c r="H571" s="210" t="s">
        <v>2405</v>
      </c>
      <c r="I571" s="211">
        <f>SUM(I572:I574)</f>
        <v>0</v>
      </c>
      <c r="J571" s="211">
        <f t="shared" ref="J571:P571" si="71">SUM(J572:J574)</f>
        <v>0</v>
      </c>
      <c r="K571" s="211">
        <f t="shared" si="71"/>
        <v>0</v>
      </c>
      <c r="L571" s="211">
        <f t="shared" si="71"/>
        <v>0</v>
      </c>
      <c r="M571" s="211">
        <f t="shared" si="71"/>
        <v>0</v>
      </c>
      <c r="N571" s="211">
        <f t="shared" si="71"/>
        <v>0</v>
      </c>
      <c r="O571" s="211">
        <f t="shared" si="71"/>
        <v>0</v>
      </c>
      <c r="P571" s="211">
        <f t="shared" si="71"/>
        <v>0</v>
      </c>
      <c r="Q571" s="212"/>
    </row>
    <row r="572" spans="1:17" s="219" customFormat="1" hidden="1" x14ac:dyDescent="0.25">
      <c r="A572" s="214"/>
      <c r="B572" s="215" t="s">
        <v>1822</v>
      </c>
      <c r="C572" s="215" t="s">
        <v>1823</v>
      </c>
      <c r="D572" s="215" t="s">
        <v>1836</v>
      </c>
      <c r="E572" s="215" t="s">
        <v>2403</v>
      </c>
      <c r="F572" s="215" t="s">
        <v>1825</v>
      </c>
      <c r="G572" s="215" t="s">
        <v>58</v>
      </c>
      <c r="H572" s="216" t="s">
        <v>2406</v>
      </c>
      <c r="I572" s="217"/>
      <c r="J572" s="217"/>
      <c r="K572" s="217"/>
      <c r="L572" s="217"/>
      <c r="M572" s="217"/>
      <c r="N572" s="217"/>
      <c r="O572" s="217"/>
      <c r="P572" s="217"/>
      <c r="Q572" s="218"/>
    </row>
    <row r="573" spans="1:17" s="219" customFormat="1" hidden="1" x14ac:dyDescent="0.25">
      <c r="A573" s="214"/>
      <c r="B573" s="215" t="s">
        <v>1822</v>
      </c>
      <c r="C573" s="215" t="s">
        <v>1823</v>
      </c>
      <c r="D573" s="215" t="s">
        <v>1836</v>
      </c>
      <c r="E573" s="215" t="s">
        <v>2403</v>
      </c>
      <c r="F573" s="215" t="s">
        <v>1825</v>
      </c>
      <c r="G573" s="215" t="s">
        <v>75</v>
      </c>
      <c r="H573" s="216" t="s">
        <v>2407</v>
      </c>
      <c r="I573" s="217"/>
      <c r="J573" s="217"/>
      <c r="K573" s="217"/>
      <c r="L573" s="217"/>
      <c r="M573" s="217"/>
      <c r="N573" s="217"/>
      <c r="O573" s="217"/>
      <c r="P573" s="217"/>
      <c r="Q573" s="218"/>
    </row>
    <row r="574" spans="1:17" s="219" customFormat="1" ht="30" hidden="1" x14ac:dyDescent="0.25">
      <c r="A574" s="214"/>
      <c r="B574" s="215" t="s">
        <v>1822</v>
      </c>
      <c r="C574" s="215" t="s">
        <v>1823</v>
      </c>
      <c r="D574" s="215" t="s">
        <v>1836</v>
      </c>
      <c r="E574" s="215" t="s">
        <v>2403</v>
      </c>
      <c r="F574" s="215" t="s">
        <v>1825</v>
      </c>
      <c r="G574" s="215" t="s">
        <v>79</v>
      </c>
      <c r="H574" s="216" t="s">
        <v>2408</v>
      </c>
      <c r="I574" s="217"/>
      <c r="J574" s="217"/>
      <c r="K574" s="217"/>
      <c r="L574" s="217"/>
      <c r="M574" s="217"/>
      <c r="N574" s="217"/>
      <c r="O574" s="217"/>
      <c r="P574" s="217"/>
      <c r="Q574" s="218"/>
    </row>
    <row r="575" spans="1:17" s="213" customFormat="1" hidden="1" x14ac:dyDescent="0.25">
      <c r="A575" s="208" t="s">
        <v>2409</v>
      </c>
      <c r="B575" s="209" t="s">
        <v>1822</v>
      </c>
      <c r="C575" s="209" t="s">
        <v>1823</v>
      </c>
      <c r="D575" s="209" t="s">
        <v>1836</v>
      </c>
      <c r="E575" s="209" t="s">
        <v>2410</v>
      </c>
      <c r="F575" s="209"/>
      <c r="G575" s="209"/>
      <c r="H575" s="210" t="s">
        <v>2411</v>
      </c>
      <c r="I575" s="211">
        <f>SUM(I576)</f>
        <v>0</v>
      </c>
      <c r="J575" s="211">
        <f t="shared" ref="J575:P575" si="72">SUM(J576)</f>
        <v>0</v>
      </c>
      <c r="K575" s="211">
        <f t="shared" si="72"/>
        <v>0</v>
      </c>
      <c r="L575" s="211">
        <f t="shared" si="72"/>
        <v>0</v>
      </c>
      <c r="M575" s="211">
        <f t="shared" si="72"/>
        <v>0</v>
      </c>
      <c r="N575" s="211">
        <f t="shared" si="72"/>
        <v>0</v>
      </c>
      <c r="O575" s="211">
        <f t="shared" si="72"/>
        <v>0</v>
      </c>
      <c r="P575" s="211">
        <f t="shared" si="72"/>
        <v>0</v>
      </c>
      <c r="Q575" s="212"/>
    </row>
    <row r="576" spans="1:17" s="213" customFormat="1" hidden="1" x14ac:dyDescent="0.25">
      <c r="A576" s="208" t="s">
        <v>263</v>
      </c>
      <c r="B576" s="209" t="s">
        <v>1822</v>
      </c>
      <c r="C576" s="209" t="s">
        <v>1823</v>
      </c>
      <c r="D576" s="209" t="s">
        <v>1836</v>
      </c>
      <c r="E576" s="209" t="s">
        <v>2410</v>
      </c>
      <c r="F576" s="209" t="s">
        <v>1825</v>
      </c>
      <c r="G576" s="209"/>
      <c r="H576" s="210" t="s">
        <v>2412</v>
      </c>
      <c r="I576" s="211">
        <f>SUM(I577:I602)</f>
        <v>0</v>
      </c>
      <c r="J576" s="211">
        <f t="shared" ref="J576:P576" si="73">SUM(J577:J602)</f>
        <v>0</v>
      </c>
      <c r="K576" s="211">
        <f t="shared" si="73"/>
        <v>0</v>
      </c>
      <c r="L576" s="211">
        <f t="shared" si="73"/>
        <v>0</v>
      </c>
      <c r="M576" s="211">
        <f t="shared" si="73"/>
        <v>0</v>
      </c>
      <c r="N576" s="211">
        <f t="shared" si="73"/>
        <v>0</v>
      </c>
      <c r="O576" s="211">
        <f t="shared" si="73"/>
        <v>0</v>
      </c>
      <c r="P576" s="211">
        <f t="shared" si="73"/>
        <v>0</v>
      </c>
      <c r="Q576" s="212"/>
    </row>
    <row r="577" spans="1:17" s="219" customFormat="1" hidden="1" x14ac:dyDescent="0.25">
      <c r="A577" s="214"/>
      <c r="B577" s="215" t="s">
        <v>1822</v>
      </c>
      <c r="C577" s="215" t="s">
        <v>1823</v>
      </c>
      <c r="D577" s="215" t="s">
        <v>1836</v>
      </c>
      <c r="E577" s="215" t="s">
        <v>2410</v>
      </c>
      <c r="F577" s="215" t="s">
        <v>1825</v>
      </c>
      <c r="G577" s="215" t="s">
        <v>58</v>
      </c>
      <c r="H577" s="216" t="s">
        <v>2413</v>
      </c>
      <c r="I577" s="217"/>
      <c r="J577" s="217"/>
      <c r="K577" s="217"/>
      <c r="L577" s="217"/>
      <c r="M577" s="217"/>
      <c r="N577" s="217"/>
      <c r="O577" s="217"/>
      <c r="P577" s="217"/>
      <c r="Q577" s="218"/>
    </row>
    <row r="578" spans="1:17" s="219" customFormat="1" hidden="1" x14ac:dyDescent="0.25">
      <c r="A578" s="214"/>
      <c r="B578" s="215" t="s">
        <v>1822</v>
      </c>
      <c r="C578" s="215" t="s">
        <v>1823</v>
      </c>
      <c r="D578" s="215" t="s">
        <v>1836</v>
      </c>
      <c r="E578" s="215" t="s">
        <v>2410</v>
      </c>
      <c r="F578" s="215" t="s">
        <v>1825</v>
      </c>
      <c r="G578" s="215" t="s">
        <v>75</v>
      </c>
      <c r="H578" s="216" t="s">
        <v>2414</v>
      </c>
      <c r="I578" s="217"/>
      <c r="J578" s="217"/>
      <c r="K578" s="217"/>
      <c r="L578" s="217"/>
      <c r="M578" s="217"/>
      <c r="N578" s="217"/>
      <c r="O578" s="217"/>
      <c r="P578" s="217"/>
      <c r="Q578" s="218"/>
    </row>
    <row r="579" spans="1:17" s="219" customFormat="1" hidden="1" x14ac:dyDescent="0.25">
      <c r="A579" s="214"/>
      <c r="B579" s="215" t="s">
        <v>1822</v>
      </c>
      <c r="C579" s="215" t="s">
        <v>1823</v>
      </c>
      <c r="D579" s="215" t="s">
        <v>1836</v>
      </c>
      <c r="E579" s="215" t="s">
        <v>2410</v>
      </c>
      <c r="F579" s="215" t="s">
        <v>1825</v>
      </c>
      <c r="G579" s="215" t="s">
        <v>79</v>
      </c>
      <c r="H579" s="216" t="s">
        <v>2415</v>
      </c>
      <c r="I579" s="217"/>
      <c r="J579" s="217"/>
      <c r="K579" s="217"/>
      <c r="L579" s="217"/>
      <c r="M579" s="217"/>
      <c r="N579" s="217"/>
      <c r="O579" s="217"/>
      <c r="P579" s="217"/>
      <c r="Q579" s="218"/>
    </row>
    <row r="580" spans="1:17" s="219" customFormat="1" hidden="1" x14ac:dyDescent="0.25">
      <c r="A580" s="214"/>
      <c r="B580" s="215" t="s">
        <v>1822</v>
      </c>
      <c r="C580" s="215" t="s">
        <v>1823</v>
      </c>
      <c r="D580" s="215" t="s">
        <v>1836</v>
      </c>
      <c r="E580" s="215" t="s">
        <v>2410</v>
      </c>
      <c r="F580" s="215" t="s">
        <v>1825</v>
      </c>
      <c r="G580" s="215" t="s">
        <v>84</v>
      </c>
      <c r="H580" s="216" t="s">
        <v>2416</v>
      </c>
      <c r="I580" s="217"/>
      <c r="J580" s="217"/>
      <c r="K580" s="217"/>
      <c r="L580" s="217"/>
      <c r="M580" s="217"/>
      <c r="N580" s="217"/>
      <c r="O580" s="217"/>
      <c r="P580" s="217"/>
      <c r="Q580" s="218"/>
    </row>
    <row r="581" spans="1:17" s="219" customFormat="1" hidden="1" x14ac:dyDescent="0.25">
      <c r="A581" s="214"/>
      <c r="B581" s="215" t="s">
        <v>1822</v>
      </c>
      <c r="C581" s="215" t="s">
        <v>1823</v>
      </c>
      <c r="D581" s="215" t="s">
        <v>1836</v>
      </c>
      <c r="E581" s="215" t="s">
        <v>2410</v>
      </c>
      <c r="F581" s="215" t="s">
        <v>1825</v>
      </c>
      <c r="G581" s="215" t="s">
        <v>88</v>
      </c>
      <c r="H581" s="216" t="s">
        <v>2417</v>
      </c>
      <c r="I581" s="217"/>
      <c r="J581" s="217"/>
      <c r="K581" s="217"/>
      <c r="L581" s="217"/>
      <c r="M581" s="217"/>
      <c r="N581" s="217"/>
      <c r="O581" s="217"/>
      <c r="P581" s="217"/>
      <c r="Q581" s="218"/>
    </row>
    <row r="582" spans="1:17" s="219" customFormat="1" hidden="1" x14ac:dyDescent="0.25">
      <c r="A582" s="214"/>
      <c r="B582" s="215" t="s">
        <v>1822</v>
      </c>
      <c r="C582" s="215" t="s">
        <v>1823</v>
      </c>
      <c r="D582" s="215" t="s">
        <v>1836</v>
      </c>
      <c r="E582" s="215" t="s">
        <v>2410</v>
      </c>
      <c r="F582" s="215" t="s">
        <v>1825</v>
      </c>
      <c r="G582" s="215" t="s">
        <v>92</v>
      </c>
      <c r="H582" s="216" t="s">
        <v>2418</v>
      </c>
      <c r="I582" s="217"/>
      <c r="J582" s="217"/>
      <c r="K582" s="217"/>
      <c r="L582" s="217"/>
      <c r="M582" s="217"/>
      <c r="N582" s="217"/>
      <c r="O582" s="217"/>
      <c r="P582" s="217"/>
      <c r="Q582" s="218"/>
    </row>
    <row r="583" spans="1:17" s="219" customFormat="1" hidden="1" x14ac:dyDescent="0.25">
      <c r="A583" s="214"/>
      <c r="B583" s="215" t="s">
        <v>1822</v>
      </c>
      <c r="C583" s="215" t="s">
        <v>1823</v>
      </c>
      <c r="D583" s="215" t="s">
        <v>1836</v>
      </c>
      <c r="E583" s="215" t="s">
        <v>2410</v>
      </c>
      <c r="F583" s="215" t="s">
        <v>1825</v>
      </c>
      <c r="G583" s="215" t="s">
        <v>96</v>
      </c>
      <c r="H583" s="216" t="s">
        <v>2419</v>
      </c>
      <c r="I583" s="217"/>
      <c r="J583" s="217"/>
      <c r="K583" s="217"/>
      <c r="L583" s="217"/>
      <c r="M583" s="217"/>
      <c r="N583" s="217"/>
      <c r="O583" s="217"/>
      <c r="P583" s="217"/>
      <c r="Q583" s="218"/>
    </row>
    <row r="584" spans="1:17" s="219" customFormat="1" hidden="1" x14ac:dyDescent="0.25">
      <c r="A584" s="214"/>
      <c r="B584" s="215" t="s">
        <v>1822</v>
      </c>
      <c r="C584" s="215" t="s">
        <v>1823</v>
      </c>
      <c r="D584" s="215" t="s">
        <v>1836</v>
      </c>
      <c r="E584" s="215" t="s">
        <v>2410</v>
      </c>
      <c r="F584" s="215" t="s">
        <v>1825</v>
      </c>
      <c r="G584" s="215" t="s">
        <v>100</v>
      </c>
      <c r="H584" s="216" t="s">
        <v>2420</v>
      </c>
      <c r="I584" s="217"/>
      <c r="J584" s="217"/>
      <c r="K584" s="217"/>
      <c r="L584" s="217"/>
      <c r="M584" s="217"/>
      <c r="N584" s="217"/>
      <c r="O584" s="217"/>
      <c r="P584" s="217"/>
      <c r="Q584" s="218"/>
    </row>
    <row r="585" spans="1:17" s="219" customFormat="1" hidden="1" x14ac:dyDescent="0.25">
      <c r="A585" s="214"/>
      <c r="B585" s="215" t="s">
        <v>1822</v>
      </c>
      <c r="C585" s="215" t="s">
        <v>1823</v>
      </c>
      <c r="D585" s="215" t="s">
        <v>1836</v>
      </c>
      <c r="E585" s="215" t="s">
        <v>2410</v>
      </c>
      <c r="F585" s="215" t="s">
        <v>1825</v>
      </c>
      <c r="G585" s="215" t="s">
        <v>105</v>
      </c>
      <c r="H585" s="216" t="s">
        <v>2421</v>
      </c>
      <c r="I585" s="217"/>
      <c r="J585" s="217"/>
      <c r="K585" s="217"/>
      <c r="L585" s="217"/>
      <c r="M585" s="217"/>
      <c r="N585" s="217"/>
      <c r="O585" s="217"/>
      <c r="P585" s="217"/>
      <c r="Q585" s="218"/>
    </row>
    <row r="586" spans="1:17" s="219" customFormat="1" hidden="1" x14ac:dyDescent="0.25">
      <c r="A586" s="214"/>
      <c r="B586" s="215" t="s">
        <v>1822</v>
      </c>
      <c r="C586" s="215" t="s">
        <v>1823</v>
      </c>
      <c r="D586" s="215" t="s">
        <v>1836</v>
      </c>
      <c r="E586" s="215" t="s">
        <v>2410</v>
      </c>
      <c r="F586" s="215" t="s">
        <v>1825</v>
      </c>
      <c r="G586" s="215" t="s">
        <v>108</v>
      </c>
      <c r="H586" s="216" t="s">
        <v>2422</v>
      </c>
      <c r="I586" s="217"/>
      <c r="J586" s="217"/>
      <c r="K586" s="217"/>
      <c r="L586" s="217"/>
      <c r="M586" s="217"/>
      <c r="N586" s="217"/>
      <c r="O586" s="217"/>
      <c r="P586" s="217"/>
      <c r="Q586" s="218"/>
    </row>
    <row r="587" spans="1:17" s="219" customFormat="1" hidden="1" x14ac:dyDescent="0.25">
      <c r="A587" s="214"/>
      <c r="B587" s="215" t="s">
        <v>1822</v>
      </c>
      <c r="C587" s="215" t="s">
        <v>1823</v>
      </c>
      <c r="D587" s="215" t="s">
        <v>1836</v>
      </c>
      <c r="E587" s="215" t="s">
        <v>2410</v>
      </c>
      <c r="F587" s="215" t="s">
        <v>1825</v>
      </c>
      <c r="G587" s="215" t="s">
        <v>135</v>
      </c>
      <c r="H587" s="216" t="s">
        <v>2423</v>
      </c>
      <c r="I587" s="217"/>
      <c r="J587" s="217"/>
      <c r="K587" s="217"/>
      <c r="L587" s="217"/>
      <c r="M587" s="217"/>
      <c r="N587" s="217"/>
      <c r="O587" s="217"/>
      <c r="P587" s="217"/>
      <c r="Q587" s="218"/>
    </row>
    <row r="588" spans="1:17" s="219" customFormat="1" ht="30" hidden="1" x14ac:dyDescent="0.25">
      <c r="A588" s="214"/>
      <c r="B588" s="215" t="s">
        <v>1822</v>
      </c>
      <c r="C588" s="215" t="s">
        <v>1823</v>
      </c>
      <c r="D588" s="215" t="s">
        <v>1836</v>
      </c>
      <c r="E588" s="215" t="s">
        <v>2410</v>
      </c>
      <c r="F588" s="215" t="s">
        <v>1825</v>
      </c>
      <c r="G588" s="215" t="s">
        <v>138</v>
      </c>
      <c r="H588" s="216" t="s">
        <v>2424</v>
      </c>
      <c r="I588" s="217"/>
      <c r="J588" s="217"/>
      <c r="K588" s="217"/>
      <c r="L588" s="217"/>
      <c r="M588" s="217"/>
      <c r="N588" s="217"/>
      <c r="O588" s="217"/>
      <c r="P588" s="217"/>
      <c r="Q588" s="218"/>
    </row>
    <row r="589" spans="1:17" s="219" customFormat="1" hidden="1" x14ac:dyDescent="0.25">
      <c r="A589" s="214"/>
      <c r="B589" s="215" t="s">
        <v>1822</v>
      </c>
      <c r="C589" s="215" t="s">
        <v>1823</v>
      </c>
      <c r="D589" s="215" t="s">
        <v>1836</v>
      </c>
      <c r="E589" s="215" t="s">
        <v>2410</v>
      </c>
      <c r="F589" s="215" t="s">
        <v>1825</v>
      </c>
      <c r="G589" s="215" t="s">
        <v>140</v>
      </c>
      <c r="H589" s="216" t="s">
        <v>2425</v>
      </c>
      <c r="I589" s="217"/>
      <c r="J589" s="217"/>
      <c r="K589" s="217"/>
      <c r="L589" s="217"/>
      <c r="M589" s="217"/>
      <c r="N589" s="217"/>
      <c r="O589" s="217"/>
      <c r="P589" s="217"/>
      <c r="Q589" s="218"/>
    </row>
    <row r="590" spans="1:17" s="219" customFormat="1" hidden="1" x14ac:dyDescent="0.25">
      <c r="A590" s="214"/>
      <c r="B590" s="215" t="s">
        <v>1822</v>
      </c>
      <c r="C590" s="215" t="s">
        <v>1823</v>
      </c>
      <c r="D590" s="215" t="s">
        <v>1836</v>
      </c>
      <c r="E590" s="215" t="s">
        <v>2410</v>
      </c>
      <c r="F590" s="215" t="s">
        <v>1825</v>
      </c>
      <c r="G590" s="215" t="s">
        <v>143</v>
      </c>
      <c r="H590" s="216" t="s">
        <v>2426</v>
      </c>
      <c r="I590" s="217"/>
      <c r="J590" s="217"/>
      <c r="K590" s="217"/>
      <c r="L590" s="217"/>
      <c r="M590" s="217"/>
      <c r="N590" s="217"/>
      <c r="O590" s="217"/>
      <c r="P590" s="217"/>
      <c r="Q590" s="218"/>
    </row>
    <row r="591" spans="1:17" s="219" customFormat="1" hidden="1" x14ac:dyDescent="0.25">
      <c r="A591" s="214"/>
      <c r="B591" s="215" t="s">
        <v>1822</v>
      </c>
      <c r="C591" s="215" t="s">
        <v>1823</v>
      </c>
      <c r="D591" s="215" t="s">
        <v>1836</v>
      </c>
      <c r="E591" s="215" t="s">
        <v>2410</v>
      </c>
      <c r="F591" s="215" t="s">
        <v>1825</v>
      </c>
      <c r="G591" s="215" t="s">
        <v>146</v>
      </c>
      <c r="H591" s="216" t="s">
        <v>2427</v>
      </c>
      <c r="I591" s="217"/>
      <c r="J591" s="217"/>
      <c r="K591" s="217"/>
      <c r="L591" s="217"/>
      <c r="M591" s="217"/>
      <c r="N591" s="217"/>
      <c r="O591" s="217"/>
      <c r="P591" s="217"/>
      <c r="Q591" s="218"/>
    </row>
    <row r="592" spans="1:17" s="219" customFormat="1" hidden="1" x14ac:dyDescent="0.25">
      <c r="A592" s="214"/>
      <c r="B592" s="215" t="s">
        <v>1822</v>
      </c>
      <c r="C592" s="215" t="s">
        <v>1823</v>
      </c>
      <c r="D592" s="215" t="s">
        <v>1836</v>
      </c>
      <c r="E592" s="215" t="s">
        <v>2410</v>
      </c>
      <c r="F592" s="215" t="s">
        <v>1825</v>
      </c>
      <c r="G592" s="215" t="s">
        <v>150</v>
      </c>
      <c r="H592" s="216" t="s">
        <v>2428</v>
      </c>
      <c r="I592" s="217"/>
      <c r="J592" s="217"/>
      <c r="K592" s="217"/>
      <c r="L592" s="217"/>
      <c r="M592" s="217"/>
      <c r="N592" s="217"/>
      <c r="O592" s="217"/>
      <c r="P592" s="217"/>
      <c r="Q592" s="218"/>
    </row>
    <row r="593" spans="1:17" s="219" customFormat="1" hidden="1" x14ac:dyDescent="0.25">
      <c r="A593" s="214"/>
      <c r="B593" s="215" t="s">
        <v>1822</v>
      </c>
      <c r="C593" s="215" t="s">
        <v>1823</v>
      </c>
      <c r="D593" s="215" t="s">
        <v>1836</v>
      </c>
      <c r="E593" s="215" t="s">
        <v>2410</v>
      </c>
      <c r="F593" s="215" t="s">
        <v>1825</v>
      </c>
      <c r="G593" s="215" t="s">
        <v>153</v>
      </c>
      <c r="H593" s="216" t="s">
        <v>2429</v>
      </c>
      <c r="I593" s="217"/>
      <c r="J593" s="217"/>
      <c r="K593" s="217"/>
      <c r="L593" s="217"/>
      <c r="M593" s="217"/>
      <c r="N593" s="217"/>
      <c r="O593" s="217"/>
      <c r="P593" s="217"/>
      <c r="Q593" s="218"/>
    </row>
    <row r="594" spans="1:17" s="219" customFormat="1" hidden="1" x14ac:dyDescent="0.25">
      <c r="A594" s="214"/>
      <c r="B594" s="215" t="s">
        <v>1822</v>
      </c>
      <c r="C594" s="215" t="s">
        <v>1823</v>
      </c>
      <c r="D594" s="215" t="s">
        <v>1836</v>
      </c>
      <c r="E594" s="215" t="s">
        <v>2410</v>
      </c>
      <c r="F594" s="215" t="s">
        <v>1825</v>
      </c>
      <c r="G594" s="215" t="s">
        <v>156</v>
      </c>
      <c r="H594" s="216" t="s">
        <v>2430</v>
      </c>
      <c r="I594" s="217"/>
      <c r="J594" s="217"/>
      <c r="K594" s="217"/>
      <c r="L594" s="217"/>
      <c r="M594" s="217"/>
      <c r="N594" s="217"/>
      <c r="O594" s="217"/>
      <c r="P594" s="217"/>
      <c r="Q594" s="218"/>
    </row>
    <row r="595" spans="1:17" s="219" customFormat="1" ht="30" hidden="1" x14ac:dyDescent="0.25">
      <c r="A595" s="214"/>
      <c r="B595" s="215" t="s">
        <v>1822</v>
      </c>
      <c r="C595" s="215" t="s">
        <v>1823</v>
      </c>
      <c r="D595" s="215" t="s">
        <v>1836</v>
      </c>
      <c r="E595" s="215" t="s">
        <v>2410</v>
      </c>
      <c r="F595" s="215" t="s">
        <v>1825</v>
      </c>
      <c r="G595" s="215" t="s">
        <v>159</v>
      </c>
      <c r="H595" s="216" t="s">
        <v>2431</v>
      </c>
      <c r="I595" s="217"/>
      <c r="J595" s="217"/>
      <c r="K595" s="217"/>
      <c r="L595" s="217"/>
      <c r="M595" s="217"/>
      <c r="N595" s="217"/>
      <c r="O595" s="217"/>
      <c r="P595" s="217"/>
      <c r="Q595" s="218"/>
    </row>
    <row r="596" spans="1:17" s="219" customFormat="1" hidden="1" x14ac:dyDescent="0.25">
      <c r="A596" s="214"/>
      <c r="B596" s="215" t="s">
        <v>1822</v>
      </c>
      <c r="C596" s="215" t="s">
        <v>1823</v>
      </c>
      <c r="D596" s="215" t="s">
        <v>1836</v>
      </c>
      <c r="E596" s="215" t="s">
        <v>2410</v>
      </c>
      <c r="F596" s="215" t="s">
        <v>1825</v>
      </c>
      <c r="G596" s="215" t="s">
        <v>162</v>
      </c>
      <c r="H596" s="216" t="s">
        <v>2432</v>
      </c>
      <c r="I596" s="217"/>
      <c r="J596" s="217"/>
      <c r="K596" s="217"/>
      <c r="L596" s="217"/>
      <c r="M596" s="217"/>
      <c r="N596" s="217"/>
      <c r="O596" s="217"/>
      <c r="P596" s="217"/>
      <c r="Q596" s="218"/>
    </row>
    <row r="597" spans="1:17" s="219" customFormat="1" ht="30" hidden="1" x14ac:dyDescent="0.25">
      <c r="A597" s="214"/>
      <c r="B597" s="215" t="s">
        <v>1822</v>
      </c>
      <c r="C597" s="215" t="s">
        <v>1823</v>
      </c>
      <c r="D597" s="215" t="s">
        <v>1836</v>
      </c>
      <c r="E597" s="215" t="s">
        <v>2410</v>
      </c>
      <c r="F597" s="215" t="s">
        <v>1825</v>
      </c>
      <c r="G597" s="215" t="s">
        <v>312</v>
      </c>
      <c r="H597" s="216" t="s">
        <v>2433</v>
      </c>
      <c r="I597" s="217"/>
      <c r="J597" s="217"/>
      <c r="K597" s="217"/>
      <c r="L597" s="217"/>
      <c r="M597" s="217"/>
      <c r="N597" s="217"/>
      <c r="O597" s="217"/>
      <c r="P597" s="217"/>
      <c r="Q597" s="218"/>
    </row>
    <row r="598" spans="1:17" s="219" customFormat="1" hidden="1" x14ac:dyDescent="0.25">
      <c r="A598" s="214"/>
      <c r="B598" s="215" t="s">
        <v>1822</v>
      </c>
      <c r="C598" s="215" t="s">
        <v>1823</v>
      </c>
      <c r="D598" s="215" t="s">
        <v>1836</v>
      </c>
      <c r="E598" s="215" t="s">
        <v>2410</v>
      </c>
      <c r="F598" s="215" t="s">
        <v>1825</v>
      </c>
      <c r="G598" s="215" t="s">
        <v>313</v>
      </c>
      <c r="H598" s="216" t="s">
        <v>2434</v>
      </c>
      <c r="I598" s="217"/>
      <c r="J598" s="217"/>
      <c r="K598" s="217"/>
      <c r="L598" s="217"/>
      <c r="M598" s="217"/>
      <c r="N598" s="217"/>
      <c r="O598" s="217"/>
      <c r="P598" s="217"/>
      <c r="Q598" s="218"/>
    </row>
    <row r="599" spans="1:17" s="219" customFormat="1" hidden="1" x14ac:dyDescent="0.25">
      <c r="A599" s="214"/>
      <c r="B599" s="215" t="s">
        <v>1822</v>
      </c>
      <c r="C599" s="215" t="s">
        <v>1823</v>
      </c>
      <c r="D599" s="215" t="s">
        <v>1836</v>
      </c>
      <c r="E599" s="215" t="s">
        <v>2410</v>
      </c>
      <c r="F599" s="215" t="s">
        <v>1825</v>
      </c>
      <c r="G599" s="215" t="s">
        <v>559</v>
      </c>
      <c r="H599" s="216" t="s">
        <v>2435</v>
      </c>
      <c r="I599" s="217"/>
      <c r="J599" s="217"/>
      <c r="K599" s="217"/>
      <c r="L599" s="217"/>
      <c r="M599" s="217"/>
      <c r="N599" s="217"/>
      <c r="O599" s="217"/>
      <c r="P599" s="217"/>
      <c r="Q599" s="218"/>
    </row>
    <row r="600" spans="1:17" s="219" customFormat="1" hidden="1" x14ac:dyDescent="0.25">
      <c r="A600" s="214"/>
      <c r="B600" s="215" t="s">
        <v>1822</v>
      </c>
      <c r="C600" s="215" t="s">
        <v>1823</v>
      </c>
      <c r="D600" s="215" t="s">
        <v>1836</v>
      </c>
      <c r="E600" s="215" t="s">
        <v>2410</v>
      </c>
      <c r="F600" s="215" t="s">
        <v>1825</v>
      </c>
      <c r="G600" s="215" t="s">
        <v>561</v>
      </c>
      <c r="H600" s="216" t="s">
        <v>2436</v>
      </c>
      <c r="I600" s="217"/>
      <c r="J600" s="217"/>
      <c r="K600" s="217"/>
      <c r="L600" s="217"/>
      <c r="M600" s="217"/>
      <c r="N600" s="217"/>
      <c r="O600" s="217"/>
      <c r="P600" s="217"/>
      <c r="Q600" s="218"/>
    </row>
    <row r="601" spans="1:17" s="219" customFormat="1" hidden="1" x14ac:dyDescent="0.25">
      <c r="A601" s="214"/>
      <c r="B601" s="215" t="s">
        <v>1822</v>
      </c>
      <c r="C601" s="215" t="s">
        <v>1823</v>
      </c>
      <c r="D601" s="215" t="s">
        <v>1836</v>
      </c>
      <c r="E601" s="215" t="s">
        <v>2410</v>
      </c>
      <c r="F601" s="215" t="s">
        <v>1825</v>
      </c>
      <c r="G601" s="215" t="s">
        <v>563</v>
      </c>
      <c r="H601" s="216" t="s">
        <v>2437</v>
      </c>
      <c r="I601" s="217"/>
      <c r="J601" s="217"/>
      <c r="K601" s="217"/>
      <c r="L601" s="217"/>
      <c r="M601" s="217"/>
      <c r="N601" s="217"/>
      <c r="O601" s="217"/>
      <c r="P601" s="217"/>
      <c r="Q601" s="218"/>
    </row>
    <row r="602" spans="1:17" s="219" customFormat="1" ht="30" hidden="1" x14ac:dyDescent="0.25">
      <c r="A602" s="214"/>
      <c r="B602" s="215" t="s">
        <v>1822</v>
      </c>
      <c r="C602" s="215" t="s">
        <v>1823</v>
      </c>
      <c r="D602" s="215" t="s">
        <v>1836</v>
      </c>
      <c r="E602" s="215" t="s">
        <v>2410</v>
      </c>
      <c r="F602" s="215" t="s">
        <v>1825</v>
      </c>
      <c r="G602" s="215" t="s">
        <v>227</v>
      </c>
      <c r="H602" s="216" t="s">
        <v>2438</v>
      </c>
      <c r="I602" s="217"/>
      <c r="J602" s="217"/>
      <c r="K602" s="217"/>
      <c r="L602" s="217"/>
      <c r="M602" s="217"/>
      <c r="N602" s="217"/>
      <c r="O602" s="217"/>
      <c r="P602" s="217"/>
      <c r="Q602" s="218"/>
    </row>
    <row r="603" spans="1:17" s="213" customFormat="1" hidden="1" x14ac:dyDescent="0.25">
      <c r="A603" s="208" t="s">
        <v>2439</v>
      </c>
      <c r="B603" s="209" t="s">
        <v>1822</v>
      </c>
      <c r="C603" s="209" t="s">
        <v>1823</v>
      </c>
      <c r="D603" s="209" t="s">
        <v>1836</v>
      </c>
      <c r="E603" s="209" t="s">
        <v>2440</v>
      </c>
      <c r="F603" s="209"/>
      <c r="G603" s="209"/>
      <c r="H603" s="210" t="s">
        <v>2441</v>
      </c>
      <c r="I603" s="211">
        <f>SUM(+I604+I608+I616)</f>
        <v>0</v>
      </c>
      <c r="J603" s="211">
        <f t="shared" ref="J603:P603" si="74">SUM(+J604+J608+J616)</f>
        <v>0</v>
      </c>
      <c r="K603" s="211">
        <f t="shared" si="74"/>
        <v>0</v>
      </c>
      <c r="L603" s="211">
        <f t="shared" si="74"/>
        <v>0</v>
      </c>
      <c r="M603" s="211">
        <f t="shared" si="74"/>
        <v>0</v>
      </c>
      <c r="N603" s="211">
        <f t="shared" si="74"/>
        <v>0</v>
      </c>
      <c r="O603" s="211">
        <f t="shared" si="74"/>
        <v>0</v>
      </c>
      <c r="P603" s="211">
        <f t="shared" si="74"/>
        <v>0</v>
      </c>
      <c r="Q603" s="212"/>
    </row>
    <row r="604" spans="1:17" s="213" customFormat="1" hidden="1" x14ac:dyDescent="0.25">
      <c r="A604" s="208" t="s">
        <v>263</v>
      </c>
      <c r="B604" s="209" t="s">
        <v>1822</v>
      </c>
      <c r="C604" s="209" t="s">
        <v>1823</v>
      </c>
      <c r="D604" s="209" t="s">
        <v>1836</v>
      </c>
      <c r="E604" s="209" t="s">
        <v>2440</v>
      </c>
      <c r="F604" s="209" t="s">
        <v>1825</v>
      </c>
      <c r="G604" s="209"/>
      <c r="H604" s="210" t="s">
        <v>2442</v>
      </c>
      <c r="I604" s="211">
        <f>SUM(I605:I607)</f>
        <v>0</v>
      </c>
      <c r="J604" s="211">
        <f t="shared" ref="J604:P604" si="75">SUM(J605:J607)</f>
        <v>0</v>
      </c>
      <c r="K604" s="211">
        <f t="shared" si="75"/>
        <v>0</v>
      </c>
      <c r="L604" s="211">
        <f t="shared" si="75"/>
        <v>0</v>
      </c>
      <c r="M604" s="211">
        <f t="shared" si="75"/>
        <v>0</v>
      </c>
      <c r="N604" s="211">
        <f t="shared" si="75"/>
        <v>0</v>
      </c>
      <c r="O604" s="211">
        <f t="shared" si="75"/>
        <v>0</v>
      </c>
      <c r="P604" s="211">
        <f t="shared" si="75"/>
        <v>0</v>
      </c>
      <c r="Q604" s="212"/>
    </row>
    <row r="605" spans="1:17" s="219" customFormat="1" hidden="1" x14ac:dyDescent="0.25">
      <c r="A605" s="214"/>
      <c r="B605" s="215" t="s">
        <v>1822</v>
      </c>
      <c r="C605" s="215" t="s">
        <v>1823</v>
      </c>
      <c r="D605" s="215" t="s">
        <v>1836</v>
      </c>
      <c r="E605" s="215" t="s">
        <v>2440</v>
      </c>
      <c r="F605" s="215" t="s">
        <v>1825</v>
      </c>
      <c r="G605" s="215" t="s">
        <v>58</v>
      </c>
      <c r="H605" s="216" t="s">
        <v>2443</v>
      </c>
      <c r="I605" s="217"/>
      <c r="J605" s="217"/>
      <c r="K605" s="217"/>
      <c r="L605" s="217"/>
      <c r="M605" s="217"/>
      <c r="N605" s="217"/>
      <c r="O605" s="217"/>
      <c r="P605" s="217"/>
      <c r="Q605" s="218"/>
    </row>
    <row r="606" spans="1:17" s="219" customFormat="1" hidden="1" x14ac:dyDescent="0.25">
      <c r="A606" s="214"/>
      <c r="B606" s="215" t="s">
        <v>1822</v>
      </c>
      <c r="C606" s="215" t="s">
        <v>1823</v>
      </c>
      <c r="D606" s="215" t="s">
        <v>1836</v>
      </c>
      <c r="E606" s="215" t="s">
        <v>2440</v>
      </c>
      <c r="F606" s="215" t="s">
        <v>1825</v>
      </c>
      <c r="G606" s="215" t="s">
        <v>75</v>
      </c>
      <c r="H606" s="216" t="s">
        <v>2444</v>
      </c>
      <c r="I606" s="217"/>
      <c r="J606" s="217"/>
      <c r="K606" s="217"/>
      <c r="L606" s="217"/>
      <c r="M606" s="217"/>
      <c r="N606" s="217"/>
      <c r="O606" s="217"/>
      <c r="P606" s="217"/>
      <c r="Q606" s="218"/>
    </row>
    <row r="607" spans="1:17" s="219" customFormat="1" ht="30" hidden="1" x14ac:dyDescent="0.25">
      <c r="A607" s="214"/>
      <c r="B607" s="215" t="s">
        <v>1822</v>
      </c>
      <c r="C607" s="215" t="s">
        <v>1823</v>
      </c>
      <c r="D607" s="215" t="s">
        <v>1836</v>
      </c>
      <c r="E607" s="215" t="s">
        <v>2440</v>
      </c>
      <c r="F607" s="215" t="s">
        <v>1825</v>
      </c>
      <c r="G607" s="215" t="s">
        <v>79</v>
      </c>
      <c r="H607" s="216" t="s">
        <v>2445</v>
      </c>
      <c r="I607" s="217"/>
      <c r="J607" s="217"/>
      <c r="K607" s="217"/>
      <c r="L607" s="217"/>
      <c r="M607" s="217"/>
      <c r="N607" s="217"/>
      <c r="O607" s="217"/>
      <c r="P607" s="217"/>
      <c r="Q607" s="218"/>
    </row>
    <row r="608" spans="1:17" s="213" customFormat="1" hidden="1" x14ac:dyDescent="0.25">
      <c r="A608" s="208" t="s">
        <v>263</v>
      </c>
      <c r="B608" s="209" t="s">
        <v>1822</v>
      </c>
      <c r="C608" s="209" t="s">
        <v>1823</v>
      </c>
      <c r="D608" s="209" t="s">
        <v>1836</v>
      </c>
      <c r="E608" s="209" t="s">
        <v>2440</v>
      </c>
      <c r="F608" s="209" t="s">
        <v>1836</v>
      </c>
      <c r="G608" s="209"/>
      <c r="H608" s="210" t="s">
        <v>2446</v>
      </c>
      <c r="I608" s="211">
        <f>SUM(I609:I615)</f>
        <v>0</v>
      </c>
      <c r="J608" s="211">
        <f t="shared" ref="J608:P608" si="76">SUM(J609:J615)</f>
        <v>0</v>
      </c>
      <c r="K608" s="211">
        <f t="shared" si="76"/>
        <v>0</v>
      </c>
      <c r="L608" s="211">
        <f t="shared" si="76"/>
        <v>0</v>
      </c>
      <c r="M608" s="211">
        <f t="shared" si="76"/>
        <v>0</v>
      </c>
      <c r="N608" s="211">
        <f t="shared" si="76"/>
        <v>0</v>
      </c>
      <c r="O608" s="211">
        <f t="shared" si="76"/>
        <v>0</v>
      </c>
      <c r="P608" s="211">
        <f t="shared" si="76"/>
        <v>0</v>
      </c>
      <c r="Q608" s="212"/>
    </row>
    <row r="609" spans="1:17" s="219" customFormat="1" hidden="1" x14ac:dyDescent="0.25">
      <c r="A609" s="214"/>
      <c r="B609" s="215" t="s">
        <v>1822</v>
      </c>
      <c r="C609" s="215" t="s">
        <v>1823</v>
      </c>
      <c r="D609" s="215" t="s">
        <v>1836</v>
      </c>
      <c r="E609" s="215" t="s">
        <v>2440</v>
      </c>
      <c r="F609" s="215" t="s">
        <v>1836</v>
      </c>
      <c r="G609" s="215" t="s">
        <v>58</v>
      </c>
      <c r="H609" s="216" t="s">
        <v>2447</v>
      </c>
      <c r="I609" s="217"/>
      <c r="J609" s="217"/>
      <c r="K609" s="217"/>
      <c r="L609" s="217"/>
      <c r="M609" s="217"/>
      <c r="N609" s="217"/>
      <c r="O609" s="217"/>
      <c r="P609" s="217"/>
      <c r="Q609" s="218"/>
    </row>
    <row r="610" spans="1:17" s="219" customFormat="1" ht="30" hidden="1" x14ac:dyDescent="0.25">
      <c r="A610" s="214"/>
      <c r="B610" s="215" t="s">
        <v>1822</v>
      </c>
      <c r="C610" s="215" t="s">
        <v>1823</v>
      </c>
      <c r="D610" s="215" t="s">
        <v>1836</v>
      </c>
      <c r="E610" s="215" t="s">
        <v>2440</v>
      </c>
      <c r="F610" s="215" t="s">
        <v>1836</v>
      </c>
      <c r="G610" s="215" t="s">
        <v>75</v>
      </c>
      <c r="H610" s="216" t="s">
        <v>2448</v>
      </c>
      <c r="I610" s="217"/>
      <c r="J610" s="217"/>
      <c r="K610" s="217"/>
      <c r="L610" s="217"/>
      <c r="M610" s="217"/>
      <c r="N610" s="217"/>
      <c r="O610" s="217"/>
      <c r="P610" s="217"/>
      <c r="Q610" s="218"/>
    </row>
    <row r="611" spans="1:17" s="219" customFormat="1" hidden="1" x14ac:dyDescent="0.25">
      <c r="A611" s="214"/>
      <c r="B611" s="215" t="s">
        <v>1822</v>
      </c>
      <c r="C611" s="215" t="s">
        <v>1823</v>
      </c>
      <c r="D611" s="215" t="s">
        <v>1836</v>
      </c>
      <c r="E611" s="215" t="s">
        <v>2440</v>
      </c>
      <c r="F611" s="215" t="s">
        <v>1836</v>
      </c>
      <c r="G611" s="215" t="s">
        <v>79</v>
      </c>
      <c r="H611" s="216" t="s">
        <v>2449</v>
      </c>
      <c r="I611" s="217"/>
      <c r="J611" s="217"/>
      <c r="K611" s="217"/>
      <c r="L611" s="217"/>
      <c r="M611" s="217"/>
      <c r="N611" s="217"/>
      <c r="O611" s="217"/>
      <c r="P611" s="217"/>
      <c r="Q611" s="218"/>
    </row>
    <row r="612" spans="1:17" s="219" customFormat="1" hidden="1" x14ac:dyDescent="0.25">
      <c r="A612" s="214"/>
      <c r="B612" s="215" t="s">
        <v>1822</v>
      </c>
      <c r="C612" s="215" t="s">
        <v>1823</v>
      </c>
      <c r="D612" s="215" t="s">
        <v>1836</v>
      </c>
      <c r="E612" s="215" t="s">
        <v>2440</v>
      </c>
      <c r="F612" s="215" t="s">
        <v>1836</v>
      </c>
      <c r="G612" s="215" t="s">
        <v>84</v>
      </c>
      <c r="H612" s="216" t="s">
        <v>2450</v>
      </c>
      <c r="I612" s="217"/>
      <c r="J612" s="217"/>
      <c r="K612" s="217"/>
      <c r="L612" s="217"/>
      <c r="M612" s="217"/>
      <c r="N612" s="217"/>
      <c r="O612" s="217"/>
      <c r="P612" s="217"/>
      <c r="Q612" s="218"/>
    </row>
    <row r="613" spans="1:17" s="219" customFormat="1" hidden="1" x14ac:dyDescent="0.25">
      <c r="A613" s="214"/>
      <c r="B613" s="215" t="s">
        <v>1822</v>
      </c>
      <c r="C613" s="215" t="s">
        <v>1823</v>
      </c>
      <c r="D613" s="215" t="s">
        <v>1836</v>
      </c>
      <c r="E613" s="215" t="s">
        <v>2440</v>
      </c>
      <c r="F613" s="215" t="s">
        <v>1836</v>
      </c>
      <c r="G613" s="215" t="s">
        <v>88</v>
      </c>
      <c r="H613" s="216" t="s">
        <v>2451</v>
      </c>
      <c r="I613" s="217"/>
      <c r="J613" s="217"/>
      <c r="K613" s="217"/>
      <c r="L613" s="217"/>
      <c r="M613" s="217"/>
      <c r="N613" s="217"/>
      <c r="O613" s="217"/>
      <c r="P613" s="217"/>
      <c r="Q613" s="218"/>
    </row>
    <row r="614" spans="1:17" s="219" customFormat="1" hidden="1" x14ac:dyDescent="0.25">
      <c r="A614" s="214"/>
      <c r="B614" s="215" t="s">
        <v>1822</v>
      </c>
      <c r="C614" s="215" t="s">
        <v>1823</v>
      </c>
      <c r="D614" s="215" t="s">
        <v>1836</v>
      </c>
      <c r="E614" s="215" t="s">
        <v>2440</v>
      </c>
      <c r="F614" s="215" t="s">
        <v>1836</v>
      </c>
      <c r="G614" s="215" t="s">
        <v>92</v>
      </c>
      <c r="H614" s="216" t="s">
        <v>2452</v>
      </c>
      <c r="I614" s="217"/>
      <c r="J614" s="217"/>
      <c r="K614" s="217"/>
      <c r="L614" s="217"/>
      <c r="M614" s="217"/>
      <c r="N614" s="217"/>
      <c r="O614" s="217"/>
      <c r="P614" s="217"/>
      <c r="Q614" s="218"/>
    </row>
    <row r="615" spans="1:17" s="219" customFormat="1" ht="30" hidden="1" x14ac:dyDescent="0.25">
      <c r="A615" s="214"/>
      <c r="B615" s="215" t="s">
        <v>1822</v>
      </c>
      <c r="C615" s="215" t="s">
        <v>1823</v>
      </c>
      <c r="D615" s="215" t="s">
        <v>1836</v>
      </c>
      <c r="E615" s="215" t="s">
        <v>2440</v>
      </c>
      <c r="F615" s="215" t="s">
        <v>1836</v>
      </c>
      <c r="G615" s="215" t="s">
        <v>96</v>
      </c>
      <c r="H615" s="216" t="s">
        <v>2453</v>
      </c>
      <c r="I615" s="217"/>
      <c r="J615" s="217"/>
      <c r="K615" s="217"/>
      <c r="L615" s="217"/>
      <c r="M615" s="217"/>
      <c r="N615" s="217"/>
      <c r="O615" s="217"/>
      <c r="P615" s="217"/>
      <c r="Q615" s="218"/>
    </row>
    <row r="616" spans="1:17" s="213" customFormat="1" hidden="1" x14ac:dyDescent="0.25">
      <c r="A616" s="208" t="s">
        <v>263</v>
      </c>
      <c r="B616" s="209" t="s">
        <v>1822</v>
      </c>
      <c r="C616" s="209" t="s">
        <v>1823</v>
      </c>
      <c r="D616" s="209" t="s">
        <v>1836</v>
      </c>
      <c r="E616" s="209" t="s">
        <v>2440</v>
      </c>
      <c r="F616" s="209" t="s">
        <v>1847</v>
      </c>
      <c r="G616" s="209"/>
      <c r="H616" s="210" t="s">
        <v>2454</v>
      </c>
      <c r="I616" s="211">
        <f>SUM(I617:I618)</f>
        <v>0</v>
      </c>
      <c r="J616" s="211">
        <f t="shared" ref="J616:P616" si="77">SUM(J617:J618)</f>
        <v>0</v>
      </c>
      <c r="K616" s="211">
        <f t="shared" si="77"/>
        <v>0</v>
      </c>
      <c r="L616" s="211">
        <f t="shared" si="77"/>
        <v>0</v>
      </c>
      <c r="M616" s="211">
        <f t="shared" si="77"/>
        <v>0</v>
      </c>
      <c r="N616" s="211">
        <f t="shared" si="77"/>
        <v>0</v>
      </c>
      <c r="O616" s="211">
        <f t="shared" si="77"/>
        <v>0</v>
      </c>
      <c r="P616" s="211">
        <f t="shared" si="77"/>
        <v>0</v>
      </c>
      <c r="Q616" s="212"/>
    </row>
    <row r="617" spans="1:17" s="219" customFormat="1" hidden="1" x14ac:dyDescent="0.25">
      <c r="A617" s="214"/>
      <c r="B617" s="215" t="s">
        <v>1822</v>
      </c>
      <c r="C617" s="215" t="s">
        <v>1823</v>
      </c>
      <c r="D617" s="215" t="s">
        <v>1836</v>
      </c>
      <c r="E617" s="215" t="s">
        <v>2440</v>
      </c>
      <c r="F617" s="215" t="s">
        <v>1847</v>
      </c>
      <c r="G617" s="215" t="s">
        <v>58</v>
      </c>
      <c r="H617" s="216" t="s">
        <v>2455</v>
      </c>
      <c r="I617" s="217"/>
      <c r="J617" s="217"/>
      <c r="K617" s="217"/>
      <c r="L617" s="217"/>
      <c r="M617" s="217"/>
      <c r="N617" s="217"/>
      <c r="O617" s="217"/>
      <c r="P617" s="217"/>
      <c r="Q617" s="218"/>
    </row>
    <row r="618" spans="1:17" s="219" customFormat="1" ht="30" hidden="1" x14ac:dyDescent="0.25">
      <c r="A618" s="214"/>
      <c r="B618" s="215" t="s">
        <v>1822</v>
      </c>
      <c r="C618" s="215" t="s">
        <v>1823</v>
      </c>
      <c r="D618" s="215" t="s">
        <v>1836</v>
      </c>
      <c r="E618" s="215" t="s">
        <v>2440</v>
      </c>
      <c r="F618" s="215" t="s">
        <v>1847</v>
      </c>
      <c r="G618" s="215" t="s">
        <v>75</v>
      </c>
      <c r="H618" s="216" t="s">
        <v>2456</v>
      </c>
      <c r="I618" s="217"/>
      <c r="J618" s="217"/>
      <c r="K618" s="217"/>
      <c r="L618" s="217"/>
      <c r="M618" s="217"/>
      <c r="N618" s="217"/>
      <c r="O618" s="217"/>
      <c r="P618" s="217"/>
      <c r="Q618" s="218"/>
    </row>
    <row r="619" spans="1:17" s="213" customFormat="1" x14ac:dyDescent="0.25">
      <c r="A619" s="208" t="s">
        <v>2457</v>
      </c>
      <c r="B619" s="209" t="s">
        <v>1822</v>
      </c>
      <c r="C619" s="209" t="s">
        <v>1823</v>
      </c>
      <c r="D619" s="209" t="s">
        <v>1836</v>
      </c>
      <c r="E619" s="209" t="s">
        <v>2458</v>
      </c>
      <c r="F619" s="209"/>
      <c r="G619" s="209"/>
      <c r="H619" s="210" t="s">
        <v>1298</v>
      </c>
      <c r="I619" s="211">
        <f>SUM(I620)</f>
        <v>50797500</v>
      </c>
      <c r="J619" s="211">
        <f t="shared" ref="J619:P619" si="78">SUM(J620)</f>
        <v>10159500</v>
      </c>
      <c r="K619" s="211">
        <f t="shared" si="78"/>
        <v>4479750</v>
      </c>
      <c r="L619" s="380">
        <f t="shared" si="78"/>
        <v>4479750</v>
      </c>
      <c r="M619" s="211">
        <f t="shared" si="78"/>
        <v>8959500</v>
      </c>
      <c r="N619" s="211">
        <f t="shared" si="78"/>
        <v>44077875</v>
      </c>
      <c r="O619" s="211">
        <f t="shared" si="78"/>
        <v>6719625</v>
      </c>
      <c r="P619" s="211">
        <f t="shared" si="78"/>
        <v>0</v>
      </c>
      <c r="Q619" s="212"/>
    </row>
    <row r="620" spans="1:17" s="213" customFormat="1" x14ac:dyDescent="0.25">
      <c r="A620" s="208" t="s">
        <v>263</v>
      </c>
      <c r="B620" s="209" t="s">
        <v>1822</v>
      </c>
      <c r="C620" s="209" t="s">
        <v>1823</v>
      </c>
      <c r="D620" s="209" t="s">
        <v>1836</v>
      </c>
      <c r="E620" s="209" t="s">
        <v>2458</v>
      </c>
      <c r="F620" s="209" t="s">
        <v>1825</v>
      </c>
      <c r="G620" s="209"/>
      <c r="H620" s="210" t="s">
        <v>1298</v>
      </c>
      <c r="I620" s="211">
        <f>SUM(I621:I626)</f>
        <v>50797500</v>
      </c>
      <c r="J620" s="211">
        <f t="shared" ref="J620:P620" si="79">SUM(J621:J626)</f>
        <v>10159500</v>
      </c>
      <c r="K620" s="211">
        <f t="shared" si="79"/>
        <v>4479750</v>
      </c>
      <c r="L620" s="211">
        <f t="shared" si="79"/>
        <v>4479750</v>
      </c>
      <c r="M620" s="211">
        <f t="shared" si="79"/>
        <v>8959500</v>
      </c>
      <c r="N620" s="211">
        <f t="shared" si="79"/>
        <v>44077875</v>
      </c>
      <c r="O620" s="211">
        <f t="shared" si="79"/>
        <v>6719625</v>
      </c>
      <c r="P620" s="211">
        <f t="shared" si="79"/>
        <v>0</v>
      </c>
      <c r="Q620" s="212"/>
    </row>
    <row r="621" spans="1:17" s="219" customFormat="1" x14ac:dyDescent="0.25">
      <c r="A621" s="214"/>
      <c r="B621" s="215" t="s">
        <v>1822</v>
      </c>
      <c r="C621" s="215" t="s">
        <v>1823</v>
      </c>
      <c r="D621" s="215" t="s">
        <v>1836</v>
      </c>
      <c r="E621" s="215" t="s">
        <v>2458</v>
      </c>
      <c r="F621" s="215" t="s">
        <v>1825</v>
      </c>
      <c r="G621" s="215" t="s">
        <v>58</v>
      </c>
      <c r="H621" s="216" t="s">
        <v>2459</v>
      </c>
      <c r="I621" s="217">
        <v>50797500</v>
      </c>
      <c r="J621" s="217">
        <v>10159500</v>
      </c>
      <c r="K621" s="217">
        <v>4479750</v>
      </c>
      <c r="L621" s="217">
        <v>4479750</v>
      </c>
      <c r="M621" s="217">
        <v>8959500</v>
      </c>
      <c r="N621" s="217">
        <v>44077875</v>
      </c>
      <c r="O621" s="217">
        <v>6719625</v>
      </c>
      <c r="P621" s="217"/>
      <c r="Q621" s="218"/>
    </row>
    <row r="622" spans="1:17" s="219" customFormat="1" x14ac:dyDescent="0.25">
      <c r="A622" s="214"/>
      <c r="B622" s="215" t="s">
        <v>1822</v>
      </c>
      <c r="C622" s="215" t="s">
        <v>1823</v>
      </c>
      <c r="D622" s="215" t="s">
        <v>1836</v>
      </c>
      <c r="E622" s="215" t="s">
        <v>2458</v>
      </c>
      <c r="F622" s="215" t="s">
        <v>1825</v>
      </c>
      <c r="G622" s="215" t="s">
        <v>75</v>
      </c>
      <c r="H622" s="216" t="s">
        <v>2460</v>
      </c>
      <c r="I622" s="217"/>
      <c r="J622" s="217"/>
      <c r="K622" s="217"/>
      <c r="L622" s="217"/>
      <c r="M622" s="217"/>
      <c r="N622" s="217"/>
      <c r="O622" s="217"/>
      <c r="P622" s="217"/>
      <c r="Q622" s="218"/>
    </row>
    <row r="623" spans="1:17" s="219" customFormat="1" hidden="1" x14ac:dyDescent="0.25">
      <c r="A623" s="214"/>
      <c r="B623" s="215" t="s">
        <v>1822</v>
      </c>
      <c r="C623" s="215" t="s">
        <v>1823</v>
      </c>
      <c r="D623" s="215" t="s">
        <v>1836</v>
      </c>
      <c r="E623" s="215" t="s">
        <v>2458</v>
      </c>
      <c r="F623" s="215" t="s">
        <v>1825</v>
      </c>
      <c r="G623" s="215" t="s">
        <v>79</v>
      </c>
      <c r="H623" s="216" t="s">
        <v>2461</v>
      </c>
      <c r="I623" s="217"/>
      <c r="J623" s="217"/>
      <c r="K623" s="217"/>
      <c r="L623" s="217"/>
      <c r="M623" s="217"/>
      <c r="N623" s="217"/>
      <c r="O623" s="217"/>
      <c r="P623" s="217"/>
      <c r="Q623" s="218"/>
    </row>
    <row r="624" spans="1:17" s="219" customFormat="1" hidden="1" x14ac:dyDescent="0.25">
      <c r="A624" s="214"/>
      <c r="B624" s="215" t="s">
        <v>1822</v>
      </c>
      <c r="C624" s="215" t="s">
        <v>1823</v>
      </c>
      <c r="D624" s="215" t="s">
        <v>1836</v>
      </c>
      <c r="E624" s="215" t="s">
        <v>2458</v>
      </c>
      <c r="F624" s="215" t="s">
        <v>1825</v>
      </c>
      <c r="G624" s="215" t="s">
        <v>84</v>
      </c>
      <c r="H624" s="216" t="s">
        <v>2462</v>
      </c>
      <c r="I624" s="217"/>
      <c r="J624" s="217"/>
      <c r="K624" s="217"/>
      <c r="L624" s="217"/>
      <c r="M624" s="217"/>
      <c r="N624" s="217"/>
      <c r="O624" s="217"/>
      <c r="P624" s="217"/>
      <c r="Q624" s="218"/>
    </row>
    <row r="625" spans="1:17" s="219" customFormat="1" hidden="1" x14ac:dyDescent="0.25">
      <c r="A625" s="214"/>
      <c r="B625" s="215" t="s">
        <v>1822</v>
      </c>
      <c r="C625" s="215" t="s">
        <v>1823</v>
      </c>
      <c r="D625" s="215" t="s">
        <v>1836</v>
      </c>
      <c r="E625" s="215" t="s">
        <v>2458</v>
      </c>
      <c r="F625" s="215" t="s">
        <v>1825</v>
      </c>
      <c r="G625" s="215" t="s">
        <v>88</v>
      </c>
      <c r="H625" s="216" t="s">
        <v>2463</v>
      </c>
      <c r="I625" s="217"/>
      <c r="J625" s="217"/>
      <c r="K625" s="217"/>
      <c r="L625" s="217"/>
      <c r="M625" s="217"/>
      <c r="N625" s="217"/>
      <c r="O625" s="217"/>
      <c r="P625" s="217"/>
      <c r="Q625" s="218"/>
    </row>
    <row r="626" spans="1:17" s="219" customFormat="1" hidden="1" x14ac:dyDescent="0.25">
      <c r="A626" s="214"/>
      <c r="B626" s="215" t="s">
        <v>1822</v>
      </c>
      <c r="C626" s="215" t="s">
        <v>1823</v>
      </c>
      <c r="D626" s="215" t="s">
        <v>1836</v>
      </c>
      <c r="E626" s="215" t="s">
        <v>2458</v>
      </c>
      <c r="F626" s="215" t="s">
        <v>1825</v>
      </c>
      <c r="G626" s="215" t="s">
        <v>92</v>
      </c>
      <c r="H626" s="216" t="s">
        <v>2464</v>
      </c>
      <c r="I626" s="217"/>
      <c r="J626" s="217"/>
      <c r="K626" s="217"/>
      <c r="L626" s="217"/>
      <c r="M626" s="217"/>
      <c r="N626" s="217"/>
      <c r="O626" s="217"/>
      <c r="P626" s="217"/>
      <c r="Q626" s="218"/>
    </row>
    <row r="627" spans="1:17" s="339" customFormat="1" x14ac:dyDescent="0.25">
      <c r="A627" s="337"/>
      <c r="B627" s="338"/>
      <c r="C627" s="340"/>
      <c r="D627" s="340"/>
      <c r="E627" s="340"/>
      <c r="F627" s="340"/>
      <c r="G627" s="333"/>
      <c r="H627" s="335"/>
      <c r="I627" s="226"/>
      <c r="J627" s="226"/>
      <c r="K627" s="226"/>
      <c r="L627" s="226"/>
      <c r="M627" s="226"/>
      <c r="N627" s="226"/>
      <c r="O627" s="226"/>
      <c r="P627" s="226"/>
    </row>
    <row r="628" spans="1:17" s="339" customFormat="1" x14ac:dyDescent="0.25">
      <c r="A628" s="337">
        <v>3</v>
      </c>
      <c r="B628" s="338">
        <v>3</v>
      </c>
      <c r="C628" s="333" t="s">
        <v>1847</v>
      </c>
      <c r="D628" s="333"/>
      <c r="E628" s="333"/>
      <c r="F628" s="333"/>
      <c r="G628" s="333"/>
      <c r="H628" s="335" t="s">
        <v>1300</v>
      </c>
      <c r="I628" s="226">
        <f>SUM(I629+I682+I688+I695)</f>
        <v>23512075231</v>
      </c>
      <c r="J628" s="226">
        <f t="shared" ref="J628:P628" si="80">SUM(J629+J682+J688+J695)</f>
        <v>1280263593.5983415</v>
      </c>
      <c r="K628" s="226">
        <f t="shared" si="80"/>
        <v>331923026.63619041</v>
      </c>
      <c r="L628" s="226">
        <f t="shared" si="80"/>
        <v>278961636.24947834</v>
      </c>
      <c r="M628" s="226">
        <f t="shared" si="80"/>
        <v>610884662.88566875</v>
      </c>
      <c r="N628" s="226">
        <f t="shared" si="80"/>
        <v>9238029323.7714939</v>
      </c>
      <c r="O628" s="226">
        <f t="shared" si="80"/>
        <v>14420478480.516596</v>
      </c>
      <c r="P628" s="226">
        <f t="shared" si="80"/>
        <v>0</v>
      </c>
    </row>
    <row r="629" spans="1:17" s="213" customFormat="1" x14ac:dyDescent="0.25">
      <c r="A629" s="208" t="s">
        <v>1827</v>
      </c>
      <c r="B629" s="209" t="s">
        <v>1822</v>
      </c>
      <c r="C629" s="209" t="s">
        <v>1823</v>
      </c>
      <c r="D629" s="209" t="s">
        <v>1847</v>
      </c>
      <c r="E629" s="209" t="s">
        <v>1825</v>
      </c>
      <c r="F629" s="209"/>
      <c r="G629" s="209"/>
      <c r="H629" s="210" t="s">
        <v>2465</v>
      </c>
      <c r="I629" s="211">
        <f>SUM(I630+I668)</f>
        <v>23432275231</v>
      </c>
      <c r="J629" s="211">
        <f t="shared" ref="J629:P629" si="81">SUM(J630+J668)</f>
        <v>1278667593.5983415</v>
      </c>
      <c r="K629" s="211">
        <f t="shared" si="81"/>
        <v>331125026.63619041</v>
      </c>
      <c r="L629" s="211">
        <f t="shared" si="81"/>
        <v>278163636.24947834</v>
      </c>
      <c r="M629" s="211">
        <f t="shared" si="81"/>
        <v>609288662.88566875</v>
      </c>
      <c r="N629" s="211">
        <f t="shared" si="81"/>
        <v>9218877323.7714939</v>
      </c>
      <c r="O629" s="211">
        <f t="shared" si="81"/>
        <v>14359830480.516596</v>
      </c>
      <c r="P629" s="211">
        <f t="shared" si="81"/>
        <v>0</v>
      </c>
      <c r="Q629" s="212"/>
    </row>
    <row r="630" spans="1:17" s="213" customFormat="1" x14ac:dyDescent="0.25">
      <c r="A630" s="208" t="s">
        <v>263</v>
      </c>
      <c r="B630" s="209" t="s">
        <v>1822</v>
      </c>
      <c r="C630" s="209" t="s">
        <v>1823</v>
      </c>
      <c r="D630" s="209" t="s">
        <v>1847</v>
      </c>
      <c r="E630" s="209" t="s">
        <v>1825</v>
      </c>
      <c r="F630" s="209" t="s">
        <v>1825</v>
      </c>
      <c r="G630" s="209"/>
      <c r="H630" s="210" t="s">
        <v>2466</v>
      </c>
      <c r="I630" s="211">
        <f>SUM(I631:I667)</f>
        <v>14053794944</v>
      </c>
      <c r="J630" s="211">
        <f t="shared" ref="J630:P630" si="82">SUM(J631:J667)</f>
        <v>718748319.11949372</v>
      </c>
      <c r="K630" s="211">
        <f t="shared" si="82"/>
        <v>220781500.45303318</v>
      </c>
      <c r="L630" s="211">
        <f t="shared" si="82"/>
        <v>166198820.64887968</v>
      </c>
      <c r="M630" s="211">
        <f t="shared" si="82"/>
        <v>386980321.10191286</v>
      </c>
      <c r="N630" s="211">
        <f t="shared" si="82"/>
        <v>5231586021.5772209</v>
      </c>
      <c r="O630" s="211">
        <f t="shared" si="82"/>
        <v>8889627299.2823009</v>
      </c>
      <c r="P630" s="211">
        <f t="shared" si="82"/>
        <v>0</v>
      </c>
      <c r="Q630" s="212"/>
    </row>
    <row r="631" spans="1:17" s="219" customFormat="1" x14ac:dyDescent="0.25">
      <c r="A631" s="214"/>
      <c r="B631" s="215" t="s">
        <v>1822</v>
      </c>
      <c r="C631" s="215" t="s">
        <v>1823</v>
      </c>
      <c r="D631" s="215" t="s">
        <v>1847</v>
      </c>
      <c r="E631" s="215" t="s">
        <v>1825</v>
      </c>
      <c r="F631" s="215" t="s">
        <v>1825</v>
      </c>
      <c r="G631" s="215" t="s">
        <v>58</v>
      </c>
      <c r="H631" s="216" t="s">
        <v>2467</v>
      </c>
      <c r="I631" s="217">
        <f>SUM('BI Sem. II tahun 2023 108  '!O1073)</f>
        <v>14053794944</v>
      </c>
      <c r="J631" s="217">
        <v>718748319.11949372</v>
      </c>
      <c r="K631" s="217">
        <v>220781500.45303318</v>
      </c>
      <c r="L631" s="217">
        <v>166198820.64887968</v>
      </c>
      <c r="M631" s="217">
        <f>SUM(K631+L631)</f>
        <v>386980321.10191286</v>
      </c>
      <c r="N631" s="217">
        <f>SUM('BI Sem. II tahun 2023 108  '!AB1073)</f>
        <v>5231586021.5772209</v>
      </c>
      <c r="O631" s="217">
        <f>SUM('BI Sem. II tahun 2023 108  '!AC1073)</f>
        <v>8889627299.2823009</v>
      </c>
      <c r="P631" s="217"/>
      <c r="Q631" s="218"/>
    </row>
    <row r="632" spans="1:17" s="219" customFormat="1" x14ac:dyDescent="0.25">
      <c r="A632" s="214"/>
      <c r="B632" s="215" t="s">
        <v>1822</v>
      </c>
      <c r="C632" s="215" t="s">
        <v>1823</v>
      </c>
      <c r="D632" s="215" t="s">
        <v>1847</v>
      </c>
      <c r="E632" s="215" t="s">
        <v>1825</v>
      </c>
      <c r="F632" s="215" t="s">
        <v>1825</v>
      </c>
      <c r="G632" s="215" t="s">
        <v>75</v>
      </c>
      <c r="H632" s="216" t="s">
        <v>2468</v>
      </c>
      <c r="I632" s="217"/>
      <c r="J632" s="217"/>
      <c r="K632" s="217"/>
      <c r="L632" s="217"/>
      <c r="M632" s="217"/>
      <c r="N632" s="217"/>
      <c r="O632" s="217"/>
      <c r="P632" s="217"/>
      <c r="Q632" s="218"/>
    </row>
    <row r="633" spans="1:17" s="219" customFormat="1" ht="30" hidden="1" x14ac:dyDescent="0.25">
      <c r="A633" s="214"/>
      <c r="B633" s="215" t="s">
        <v>1822</v>
      </c>
      <c r="C633" s="215" t="s">
        <v>1823</v>
      </c>
      <c r="D633" s="215" t="s">
        <v>1847</v>
      </c>
      <c r="E633" s="215" t="s">
        <v>1825</v>
      </c>
      <c r="F633" s="215" t="s">
        <v>1825</v>
      </c>
      <c r="G633" s="215" t="s">
        <v>79</v>
      </c>
      <c r="H633" s="216" t="s">
        <v>2469</v>
      </c>
      <c r="I633" s="217"/>
      <c r="J633" s="217"/>
      <c r="K633" s="217"/>
      <c r="L633" s="217"/>
      <c r="M633" s="217"/>
      <c r="N633" s="217"/>
      <c r="O633" s="217"/>
      <c r="P633" s="217"/>
      <c r="Q633" s="218"/>
    </row>
    <row r="634" spans="1:17" s="219" customFormat="1" hidden="1" x14ac:dyDescent="0.25">
      <c r="A634" s="214"/>
      <c r="B634" s="215" t="s">
        <v>1822</v>
      </c>
      <c r="C634" s="215" t="s">
        <v>1823</v>
      </c>
      <c r="D634" s="215" t="s">
        <v>1847</v>
      </c>
      <c r="E634" s="215" t="s">
        <v>1825</v>
      </c>
      <c r="F634" s="215" t="s">
        <v>1825</v>
      </c>
      <c r="G634" s="215" t="s">
        <v>84</v>
      </c>
      <c r="H634" s="216" t="s">
        <v>2470</v>
      </c>
      <c r="I634" s="217"/>
      <c r="J634" s="217"/>
      <c r="K634" s="217"/>
      <c r="L634" s="217"/>
      <c r="M634" s="217"/>
      <c r="N634" s="217"/>
      <c r="O634" s="217"/>
      <c r="P634" s="217"/>
      <c r="Q634" s="218"/>
    </row>
    <row r="635" spans="1:17" s="219" customFormat="1" hidden="1" x14ac:dyDescent="0.25">
      <c r="A635" s="214"/>
      <c r="B635" s="215" t="s">
        <v>1822</v>
      </c>
      <c r="C635" s="215" t="s">
        <v>1823</v>
      </c>
      <c r="D635" s="215" t="s">
        <v>1847</v>
      </c>
      <c r="E635" s="215" t="s">
        <v>1825</v>
      </c>
      <c r="F635" s="215" t="s">
        <v>1825</v>
      </c>
      <c r="G635" s="215" t="s">
        <v>88</v>
      </c>
      <c r="H635" s="216" t="s">
        <v>2471</v>
      </c>
      <c r="I635" s="217"/>
      <c r="J635" s="217"/>
      <c r="K635" s="217"/>
      <c r="L635" s="217"/>
      <c r="M635" s="217"/>
      <c r="N635" s="217"/>
      <c r="O635" s="217"/>
      <c r="P635" s="217"/>
      <c r="Q635" s="218"/>
    </row>
    <row r="636" spans="1:17" s="219" customFormat="1" hidden="1" x14ac:dyDescent="0.25">
      <c r="A636" s="214"/>
      <c r="B636" s="215" t="s">
        <v>1822</v>
      </c>
      <c r="C636" s="215" t="s">
        <v>1823</v>
      </c>
      <c r="D636" s="215" t="s">
        <v>1847</v>
      </c>
      <c r="E636" s="215" t="s">
        <v>1825</v>
      </c>
      <c r="F636" s="215" t="s">
        <v>1825</v>
      </c>
      <c r="G636" s="215" t="s">
        <v>92</v>
      </c>
      <c r="H636" s="216" t="s">
        <v>2472</v>
      </c>
      <c r="I636" s="217"/>
      <c r="J636" s="217"/>
      <c r="K636" s="217"/>
      <c r="L636" s="217"/>
      <c r="M636" s="217"/>
      <c r="N636" s="217"/>
      <c r="O636" s="217"/>
      <c r="P636" s="217"/>
      <c r="Q636" s="218"/>
    </row>
    <row r="637" spans="1:17" s="219" customFormat="1" ht="30" hidden="1" x14ac:dyDescent="0.25">
      <c r="A637" s="214"/>
      <c r="B637" s="215" t="s">
        <v>1822</v>
      </c>
      <c r="C637" s="215" t="s">
        <v>1823</v>
      </c>
      <c r="D637" s="215" t="s">
        <v>1847</v>
      </c>
      <c r="E637" s="215" t="s">
        <v>1825</v>
      </c>
      <c r="F637" s="215" t="s">
        <v>1825</v>
      </c>
      <c r="G637" s="215" t="s">
        <v>96</v>
      </c>
      <c r="H637" s="216" t="s">
        <v>2473</v>
      </c>
      <c r="I637" s="217"/>
      <c r="J637" s="217"/>
      <c r="K637" s="217"/>
      <c r="L637" s="217"/>
      <c r="M637" s="217"/>
      <c r="N637" s="217"/>
      <c r="O637" s="217"/>
      <c r="P637" s="217"/>
      <c r="Q637" s="218"/>
    </row>
    <row r="638" spans="1:17" s="219" customFormat="1" hidden="1" x14ac:dyDescent="0.25">
      <c r="A638" s="214"/>
      <c r="B638" s="215" t="s">
        <v>1822</v>
      </c>
      <c r="C638" s="215" t="s">
        <v>1823</v>
      </c>
      <c r="D638" s="215" t="s">
        <v>1847</v>
      </c>
      <c r="E638" s="215" t="s">
        <v>1825</v>
      </c>
      <c r="F638" s="215" t="s">
        <v>1825</v>
      </c>
      <c r="G638" s="215" t="s">
        <v>100</v>
      </c>
      <c r="H638" s="216" t="s">
        <v>2474</v>
      </c>
      <c r="I638" s="217"/>
      <c r="J638" s="217"/>
      <c r="K638" s="217"/>
      <c r="L638" s="217"/>
      <c r="M638" s="217"/>
      <c r="N638" s="217"/>
      <c r="O638" s="217"/>
      <c r="P638" s="217"/>
      <c r="Q638" s="218"/>
    </row>
    <row r="639" spans="1:17" s="219" customFormat="1" hidden="1" x14ac:dyDescent="0.25">
      <c r="A639" s="214"/>
      <c r="B639" s="215" t="s">
        <v>1822</v>
      </c>
      <c r="C639" s="215" t="s">
        <v>1823</v>
      </c>
      <c r="D639" s="215" t="s">
        <v>1847</v>
      </c>
      <c r="E639" s="215" t="s">
        <v>1825</v>
      </c>
      <c r="F639" s="215" t="s">
        <v>1825</v>
      </c>
      <c r="G639" s="215" t="s">
        <v>105</v>
      </c>
      <c r="H639" s="216" t="s">
        <v>2475</v>
      </c>
      <c r="I639" s="217"/>
      <c r="J639" s="217"/>
      <c r="K639" s="217"/>
      <c r="L639" s="217"/>
      <c r="M639" s="217"/>
      <c r="N639" s="217"/>
      <c r="O639" s="217"/>
      <c r="P639" s="217"/>
      <c r="Q639" s="218"/>
    </row>
    <row r="640" spans="1:17" s="219" customFormat="1" ht="30" hidden="1" x14ac:dyDescent="0.25">
      <c r="A640" s="214"/>
      <c r="B640" s="215" t="s">
        <v>1822</v>
      </c>
      <c r="C640" s="215" t="s">
        <v>1823</v>
      </c>
      <c r="D640" s="215" t="s">
        <v>1847</v>
      </c>
      <c r="E640" s="215" t="s">
        <v>1825</v>
      </c>
      <c r="F640" s="215" t="s">
        <v>1825</v>
      </c>
      <c r="G640" s="215" t="s">
        <v>108</v>
      </c>
      <c r="H640" s="216" t="s">
        <v>2476</v>
      </c>
      <c r="I640" s="217"/>
      <c r="J640" s="217"/>
      <c r="K640" s="217"/>
      <c r="L640" s="217"/>
      <c r="M640" s="217"/>
      <c r="N640" s="217"/>
      <c r="O640" s="217"/>
      <c r="P640" s="217"/>
      <c r="Q640" s="218"/>
    </row>
    <row r="641" spans="1:17" s="219" customFormat="1" hidden="1" x14ac:dyDescent="0.25">
      <c r="A641" s="214"/>
      <c r="B641" s="215" t="s">
        <v>1822</v>
      </c>
      <c r="C641" s="215" t="s">
        <v>1823</v>
      </c>
      <c r="D641" s="215" t="s">
        <v>1847</v>
      </c>
      <c r="E641" s="215" t="s">
        <v>1825</v>
      </c>
      <c r="F641" s="215" t="s">
        <v>1825</v>
      </c>
      <c r="G641" s="215" t="s">
        <v>135</v>
      </c>
      <c r="H641" s="216" t="s">
        <v>2477</v>
      </c>
      <c r="I641" s="217"/>
      <c r="J641" s="217"/>
      <c r="K641" s="217"/>
      <c r="L641" s="217"/>
      <c r="M641" s="217"/>
      <c r="N641" s="217"/>
      <c r="O641" s="217"/>
      <c r="P641" s="217"/>
      <c r="Q641" s="218"/>
    </row>
    <row r="642" spans="1:17" s="219" customFormat="1" ht="30" hidden="1" x14ac:dyDescent="0.25">
      <c r="A642" s="214"/>
      <c r="B642" s="215" t="s">
        <v>1822</v>
      </c>
      <c r="C642" s="215" t="s">
        <v>1823</v>
      </c>
      <c r="D642" s="215" t="s">
        <v>1847</v>
      </c>
      <c r="E642" s="215" t="s">
        <v>1825</v>
      </c>
      <c r="F642" s="215" t="s">
        <v>1825</v>
      </c>
      <c r="G642" s="215" t="s">
        <v>138</v>
      </c>
      <c r="H642" s="216" t="s">
        <v>2478</v>
      </c>
      <c r="I642" s="217"/>
      <c r="J642" s="217"/>
      <c r="K642" s="217"/>
      <c r="L642" s="217"/>
      <c r="M642" s="217"/>
      <c r="N642" s="217"/>
      <c r="O642" s="217"/>
      <c r="P642" s="217"/>
      <c r="Q642" s="218"/>
    </row>
    <row r="643" spans="1:17" s="219" customFormat="1" hidden="1" x14ac:dyDescent="0.25">
      <c r="A643" s="214"/>
      <c r="B643" s="215" t="s">
        <v>1822</v>
      </c>
      <c r="C643" s="215" t="s">
        <v>1823</v>
      </c>
      <c r="D643" s="215" t="s">
        <v>1847</v>
      </c>
      <c r="E643" s="215" t="s">
        <v>1825</v>
      </c>
      <c r="F643" s="215" t="s">
        <v>1825</v>
      </c>
      <c r="G643" s="215" t="s">
        <v>140</v>
      </c>
      <c r="H643" s="216" t="s">
        <v>2479</v>
      </c>
      <c r="I643" s="217"/>
      <c r="J643" s="217"/>
      <c r="K643" s="217"/>
      <c r="L643" s="217"/>
      <c r="M643" s="217"/>
      <c r="N643" s="217"/>
      <c r="O643" s="217"/>
      <c r="P643" s="217"/>
      <c r="Q643" s="218"/>
    </row>
    <row r="644" spans="1:17" s="219" customFormat="1" hidden="1" x14ac:dyDescent="0.25">
      <c r="A644" s="214"/>
      <c r="B644" s="215" t="s">
        <v>1822</v>
      </c>
      <c r="C644" s="215" t="s">
        <v>1823</v>
      </c>
      <c r="D644" s="215" t="s">
        <v>1847</v>
      </c>
      <c r="E644" s="215" t="s">
        <v>1825</v>
      </c>
      <c r="F644" s="215" t="s">
        <v>1825</v>
      </c>
      <c r="G644" s="215" t="s">
        <v>143</v>
      </c>
      <c r="H644" s="216" t="s">
        <v>2480</v>
      </c>
      <c r="I644" s="217"/>
      <c r="J644" s="217"/>
      <c r="K644" s="217"/>
      <c r="L644" s="217"/>
      <c r="M644" s="217"/>
      <c r="N644" s="217"/>
      <c r="O644" s="217"/>
      <c r="P644" s="217"/>
      <c r="Q644" s="218"/>
    </row>
    <row r="645" spans="1:17" s="219" customFormat="1" hidden="1" x14ac:dyDescent="0.25">
      <c r="A645" s="214"/>
      <c r="B645" s="215" t="s">
        <v>1822</v>
      </c>
      <c r="C645" s="215" t="s">
        <v>1823</v>
      </c>
      <c r="D645" s="215" t="s">
        <v>1847</v>
      </c>
      <c r="E645" s="215" t="s">
        <v>1825</v>
      </c>
      <c r="F645" s="215" t="s">
        <v>1825</v>
      </c>
      <c r="G645" s="215" t="s">
        <v>146</v>
      </c>
      <c r="H645" s="216" t="s">
        <v>2481</v>
      </c>
      <c r="I645" s="217"/>
      <c r="J645" s="217"/>
      <c r="K645" s="217"/>
      <c r="L645" s="217"/>
      <c r="M645" s="217"/>
      <c r="N645" s="217"/>
      <c r="O645" s="217"/>
      <c r="P645" s="217"/>
      <c r="Q645" s="218"/>
    </row>
    <row r="646" spans="1:17" s="219" customFormat="1" hidden="1" x14ac:dyDescent="0.25">
      <c r="A646" s="214"/>
      <c r="B646" s="215" t="s">
        <v>1822</v>
      </c>
      <c r="C646" s="215" t="s">
        <v>1823</v>
      </c>
      <c r="D646" s="215" t="s">
        <v>1847</v>
      </c>
      <c r="E646" s="215" t="s">
        <v>1825</v>
      </c>
      <c r="F646" s="215" t="s">
        <v>1825</v>
      </c>
      <c r="G646" s="215" t="s">
        <v>150</v>
      </c>
      <c r="H646" s="216" t="s">
        <v>2482</v>
      </c>
      <c r="I646" s="217"/>
      <c r="J646" s="217"/>
      <c r="K646" s="217"/>
      <c r="L646" s="217"/>
      <c r="M646" s="217"/>
      <c r="N646" s="217"/>
      <c r="O646" s="217"/>
      <c r="P646" s="217"/>
      <c r="Q646" s="218"/>
    </row>
    <row r="647" spans="1:17" s="219" customFormat="1" hidden="1" x14ac:dyDescent="0.25">
      <c r="A647" s="214"/>
      <c r="B647" s="215" t="s">
        <v>1822</v>
      </c>
      <c r="C647" s="215" t="s">
        <v>1823</v>
      </c>
      <c r="D647" s="215" t="s">
        <v>1847</v>
      </c>
      <c r="E647" s="215" t="s">
        <v>1825</v>
      </c>
      <c r="F647" s="215" t="s">
        <v>1825</v>
      </c>
      <c r="G647" s="215" t="s">
        <v>153</v>
      </c>
      <c r="H647" s="216" t="s">
        <v>2483</v>
      </c>
      <c r="I647" s="217"/>
      <c r="J647" s="217"/>
      <c r="K647" s="217"/>
      <c r="L647" s="217"/>
      <c r="M647" s="217"/>
      <c r="N647" s="217"/>
      <c r="O647" s="217"/>
      <c r="P647" s="217"/>
      <c r="Q647" s="218"/>
    </row>
    <row r="648" spans="1:17" s="219" customFormat="1" ht="30" hidden="1" x14ac:dyDescent="0.25">
      <c r="A648" s="214"/>
      <c r="B648" s="215" t="s">
        <v>1822</v>
      </c>
      <c r="C648" s="215" t="s">
        <v>1823</v>
      </c>
      <c r="D648" s="215" t="s">
        <v>1847</v>
      </c>
      <c r="E648" s="215" t="s">
        <v>1825</v>
      </c>
      <c r="F648" s="215" t="s">
        <v>1825</v>
      </c>
      <c r="G648" s="215" t="s">
        <v>156</v>
      </c>
      <c r="H648" s="216" t="s">
        <v>2484</v>
      </c>
      <c r="I648" s="217"/>
      <c r="J648" s="217"/>
      <c r="K648" s="217"/>
      <c r="L648" s="217"/>
      <c r="M648" s="217"/>
      <c r="N648" s="217"/>
      <c r="O648" s="217"/>
      <c r="P648" s="217"/>
      <c r="Q648" s="218"/>
    </row>
    <row r="649" spans="1:17" s="219" customFormat="1" hidden="1" x14ac:dyDescent="0.25">
      <c r="A649" s="214"/>
      <c r="B649" s="215" t="s">
        <v>1822</v>
      </c>
      <c r="C649" s="215" t="s">
        <v>1823</v>
      </c>
      <c r="D649" s="215" t="s">
        <v>1847</v>
      </c>
      <c r="E649" s="215" t="s">
        <v>1825</v>
      </c>
      <c r="F649" s="215" t="s">
        <v>1825</v>
      </c>
      <c r="G649" s="215" t="s">
        <v>159</v>
      </c>
      <c r="H649" s="216" t="s">
        <v>2485</v>
      </c>
      <c r="I649" s="217"/>
      <c r="J649" s="217"/>
      <c r="K649" s="217"/>
      <c r="L649" s="217"/>
      <c r="M649" s="217"/>
      <c r="N649" s="217"/>
      <c r="O649" s="217"/>
      <c r="P649" s="217"/>
      <c r="Q649" s="218"/>
    </row>
    <row r="650" spans="1:17" s="219" customFormat="1" ht="30" hidden="1" x14ac:dyDescent="0.25">
      <c r="A650" s="214"/>
      <c r="B650" s="215" t="s">
        <v>1822</v>
      </c>
      <c r="C650" s="215" t="s">
        <v>1823</v>
      </c>
      <c r="D650" s="215" t="s">
        <v>1847</v>
      </c>
      <c r="E650" s="215" t="s">
        <v>1825</v>
      </c>
      <c r="F650" s="215" t="s">
        <v>1825</v>
      </c>
      <c r="G650" s="215" t="s">
        <v>162</v>
      </c>
      <c r="H650" s="216" t="s">
        <v>2486</v>
      </c>
      <c r="I650" s="217"/>
      <c r="J650" s="217"/>
      <c r="K650" s="217"/>
      <c r="L650" s="217"/>
      <c r="M650" s="217"/>
      <c r="N650" s="217"/>
      <c r="O650" s="217"/>
      <c r="P650" s="217"/>
      <c r="Q650" s="218"/>
    </row>
    <row r="651" spans="1:17" s="219" customFormat="1" hidden="1" x14ac:dyDescent="0.25">
      <c r="A651" s="214"/>
      <c r="B651" s="215" t="s">
        <v>1822</v>
      </c>
      <c r="C651" s="215" t="s">
        <v>1823</v>
      </c>
      <c r="D651" s="215" t="s">
        <v>1847</v>
      </c>
      <c r="E651" s="215" t="s">
        <v>1825</v>
      </c>
      <c r="F651" s="215" t="s">
        <v>1825</v>
      </c>
      <c r="G651" s="215" t="s">
        <v>312</v>
      </c>
      <c r="H651" s="216" t="s">
        <v>2487</v>
      </c>
      <c r="I651" s="217"/>
      <c r="J651" s="217"/>
      <c r="K651" s="217"/>
      <c r="L651" s="217"/>
      <c r="M651" s="217"/>
      <c r="N651" s="217"/>
      <c r="O651" s="217"/>
      <c r="P651" s="217"/>
      <c r="Q651" s="218"/>
    </row>
    <row r="652" spans="1:17" s="219" customFormat="1" hidden="1" x14ac:dyDescent="0.25">
      <c r="A652" s="214"/>
      <c r="B652" s="215" t="s">
        <v>1822</v>
      </c>
      <c r="C652" s="215" t="s">
        <v>1823</v>
      </c>
      <c r="D652" s="215" t="s">
        <v>1847</v>
      </c>
      <c r="E652" s="215" t="s">
        <v>1825</v>
      </c>
      <c r="F652" s="215" t="s">
        <v>1825</v>
      </c>
      <c r="G652" s="215" t="s">
        <v>313</v>
      </c>
      <c r="H652" s="216" t="s">
        <v>2488</v>
      </c>
      <c r="I652" s="217"/>
      <c r="J652" s="217"/>
      <c r="K652" s="217"/>
      <c r="L652" s="217"/>
      <c r="M652" s="217"/>
      <c r="N652" s="217"/>
      <c r="O652" s="217"/>
      <c r="P652" s="217"/>
      <c r="Q652" s="218"/>
    </row>
    <row r="653" spans="1:17" s="219" customFormat="1" ht="30" hidden="1" x14ac:dyDescent="0.25">
      <c r="A653" s="214"/>
      <c r="B653" s="215" t="s">
        <v>1822</v>
      </c>
      <c r="C653" s="215" t="s">
        <v>1823</v>
      </c>
      <c r="D653" s="215" t="s">
        <v>1847</v>
      </c>
      <c r="E653" s="215" t="s">
        <v>1825</v>
      </c>
      <c r="F653" s="215" t="s">
        <v>1825</v>
      </c>
      <c r="G653" s="215" t="s">
        <v>559</v>
      </c>
      <c r="H653" s="216" t="s">
        <v>2489</v>
      </c>
      <c r="I653" s="217"/>
      <c r="J653" s="217"/>
      <c r="K653" s="217"/>
      <c r="L653" s="217"/>
      <c r="M653" s="217"/>
      <c r="N653" s="217"/>
      <c r="O653" s="217"/>
      <c r="P653" s="217"/>
      <c r="Q653" s="218"/>
    </row>
    <row r="654" spans="1:17" s="219" customFormat="1" hidden="1" x14ac:dyDescent="0.25">
      <c r="A654" s="214"/>
      <c r="B654" s="215" t="s">
        <v>1822</v>
      </c>
      <c r="C654" s="215" t="s">
        <v>1823</v>
      </c>
      <c r="D654" s="215" t="s">
        <v>1847</v>
      </c>
      <c r="E654" s="215" t="s">
        <v>1825</v>
      </c>
      <c r="F654" s="215" t="s">
        <v>1825</v>
      </c>
      <c r="G654" s="215" t="s">
        <v>561</v>
      </c>
      <c r="H654" s="216" t="s">
        <v>2490</v>
      </c>
      <c r="I654" s="217"/>
      <c r="J654" s="217"/>
      <c r="K654" s="217"/>
      <c r="L654" s="217"/>
      <c r="M654" s="217"/>
      <c r="N654" s="217"/>
      <c r="O654" s="217"/>
      <c r="P654" s="217"/>
      <c r="Q654" s="218"/>
    </row>
    <row r="655" spans="1:17" s="219" customFormat="1" hidden="1" x14ac:dyDescent="0.25">
      <c r="A655" s="214"/>
      <c r="B655" s="215" t="s">
        <v>1822</v>
      </c>
      <c r="C655" s="215" t="s">
        <v>1823</v>
      </c>
      <c r="D655" s="215" t="s">
        <v>1847</v>
      </c>
      <c r="E655" s="215" t="s">
        <v>1825</v>
      </c>
      <c r="F655" s="215" t="s">
        <v>1825</v>
      </c>
      <c r="G655" s="215" t="s">
        <v>563</v>
      </c>
      <c r="H655" s="216" t="s">
        <v>2491</v>
      </c>
      <c r="I655" s="217"/>
      <c r="J655" s="217"/>
      <c r="K655" s="217"/>
      <c r="L655" s="217"/>
      <c r="M655" s="217"/>
      <c r="N655" s="217"/>
      <c r="O655" s="217"/>
      <c r="P655" s="217"/>
      <c r="Q655" s="218"/>
    </row>
    <row r="656" spans="1:17" s="219" customFormat="1" hidden="1" x14ac:dyDescent="0.25">
      <c r="A656" s="214"/>
      <c r="B656" s="215" t="s">
        <v>1822</v>
      </c>
      <c r="C656" s="215" t="s">
        <v>1823</v>
      </c>
      <c r="D656" s="215" t="s">
        <v>1847</v>
      </c>
      <c r="E656" s="215" t="s">
        <v>1825</v>
      </c>
      <c r="F656" s="215" t="s">
        <v>1825</v>
      </c>
      <c r="G656" s="215" t="s">
        <v>227</v>
      </c>
      <c r="H656" s="216" t="s">
        <v>2492</v>
      </c>
      <c r="I656" s="217"/>
      <c r="J656" s="217"/>
      <c r="K656" s="217"/>
      <c r="L656" s="217"/>
      <c r="M656" s="217"/>
      <c r="N656" s="217"/>
      <c r="O656" s="217"/>
      <c r="P656" s="217"/>
      <c r="Q656" s="218"/>
    </row>
    <row r="657" spans="1:17" s="219" customFormat="1" ht="30" hidden="1" x14ac:dyDescent="0.25">
      <c r="A657" s="214"/>
      <c r="B657" s="215" t="s">
        <v>1822</v>
      </c>
      <c r="C657" s="215" t="s">
        <v>1823</v>
      </c>
      <c r="D657" s="215" t="s">
        <v>1847</v>
      </c>
      <c r="E657" s="215" t="s">
        <v>1825</v>
      </c>
      <c r="F657" s="215" t="s">
        <v>1825</v>
      </c>
      <c r="G657" s="215" t="s">
        <v>230</v>
      </c>
      <c r="H657" s="216" t="s">
        <v>2493</v>
      </c>
      <c r="I657" s="217"/>
      <c r="J657" s="217"/>
      <c r="K657" s="217"/>
      <c r="L657" s="217"/>
      <c r="M657" s="217"/>
      <c r="N657" s="217"/>
      <c r="O657" s="217"/>
      <c r="P657" s="217"/>
      <c r="Q657" s="218"/>
    </row>
    <row r="658" spans="1:17" s="219" customFormat="1" hidden="1" x14ac:dyDescent="0.25">
      <c r="A658" s="214"/>
      <c r="B658" s="215" t="s">
        <v>1822</v>
      </c>
      <c r="C658" s="215" t="s">
        <v>1823</v>
      </c>
      <c r="D658" s="215" t="s">
        <v>1847</v>
      </c>
      <c r="E658" s="215" t="s">
        <v>1825</v>
      </c>
      <c r="F658" s="215" t="s">
        <v>1825</v>
      </c>
      <c r="G658" s="215" t="s">
        <v>232</v>
      </c>
      <c r="H658" s="216" t="s">
        <v>2494</v>
      </c>
      <c r="I658" s="217"/>
      <c r="J658" s="217"/>
      <c r="K658" s="217"/>
      <c r="L658" s="217"/>
      <c r="M658" s="217"/>
      <c r="N658" s="217"/>
      <c r="O658" s="217"/>
      <c r="P658" s="217"/>
      <c r="Q658" s="218"/>
    </row>
    <row r="659" spans="1:17" s="219" customFormat="1" hidden="1" x14ac:dyDescent="0.25">
      <c r="A659" s="214"/>
      <c r="B659" s="215" t="s">
        <v>1822</v>
      </c>
      <c r="C659" s="215" t="s">
        <v>1823</v>
      </c>
      <c r="D659" s="215" t="s">
        <v>1847</v>
      </c>
      <c r="E659" s="215" t="s">
        <v>1825</v>
      </c>
      <c r="F659" s="215" t="s">
        <v>1825</v>
      </c>
      <c r="G659" s="215" t="s">
        <v>234</v>
      </c>
      <c r="H659" s="216" t="s">
        <v>2495</v>
      </c>
      <c r="I659" s="217"/>
      <c r="J659" s="217"/>
      <c r="K659" s="217"/>
      <c r="L659" s="217"/>
      <c r="M659" s="217"/>
      <c r="N659" s="217"/>
      <c r="O659" s="217"/>
      <c r="P659" s="217"/>
      <c r="Q659" s="218"/>
    </row>
    <row r="660" spans="1:17" s="219" customFormat="1" ht="30" hidden="1" x14ac:dyDescent="0.25">
      <c r="A660" s="214"/>
      <c r="B660" s="215" t="s">
        <v>1822</v>
      </c>
      <c r="C660" s="215" t="s">
        <v>1823</v>
      </c>
      <c r="D660" s="215" t="s">
        <v>1847</v>
      </c>
      <c r="E660" s="215" t="s">
        <v>1825</v>
      </c>
      <c r="F660" s="215" t="s">
        <v>1825</v>
      </c>
      <c r="G660" s="215" t="s">
        <v>236</v>
      </c>
      <c r="H660" s="216" t="s">
        <v>2496</v>
      </c>
      <c r="I660" s="217"/>
      <c r="J660" s="217"/>
      <c r="K660" s="217"/>
      <c r="L660" s="217"/>
      <c r="M660" s="217"/>
      <c r="N660" s="217"/>
      <c r="O660" s="217"/>
      <c r="P660" s="217"/>
      <c r="Q660" s="218"/>
    </row>
    <row r="661" spans="1:17" s="219" customFormat="1" hidden="1" x14ac:dyDescent="0.25">
      <c r="A661" s="214"/>
      <c r="B661" s="215" t="s">
        <v>1822</v>
      </c>
      <c r="C661" s="215" t="s">
        <v>1823</v>
      </c>
      <c r="D661" s="215" t="s">
        <v>1847</v>
      </c>
      <c r="E661" s="215" t="s">
        <v>1825</v>
      </c>
      <c r="F661" s="215" t="s">
        <v>1825</v>
      </c>
      <c r="G661" s="215" t="s">
        <v>238</v>
      </c>
      <c r="H661" s="216" t="s">
        <v>2497</v>
      </c>
      <c r="I661" s="217"/>
      <c r="J661" s="217"/>
      <c r="K661" s="217"/>
      <c r="L661" s="217"/>
      <c r="M661" s="217"/>
      <c r="N661" s="217"/>
      <c r="O661" s="217"/>
      <c r="P661" s="217"/>
      <c r="Q661" s="218"/>
    </row>
    <row r="662" spans="1:17" s="219" customFormat="1" hidden="1" x14ac:dyDescent="0.25">
      <c r="A662" s="214"/>
      <c r="B662" s="215" t="s">
        <v>1822</v>
      </c>
      <c r="C662" s="215" t="s">
        <v>1823</v>
      </c>
      <c r="D662" s="215" t="s">
        <v>1847</v>
      </c>
      <c r="E662" s="215" t="s">
        <v>1825</v>
      </c>
      <c r="F662" s="215" t="s">
        <v>1825</v>
      </c>
      <c r="G662" s="215" t="s">
        <v>240</v>
      </c>
      <c r="H662" s="216" t="s">
        <v>2498</v>
      </c>
      <c r="I662" s="217"/>
      <c r="J662" s="217"/>
      <c r="K662" s="217"/>
      <c r="L662" s="217"/>
      <c r="M662" s="217"/>
      <c r="N662" s="217"/>
      <c r="O662" s="217"/>
      <c r="P662" s="217"/>
      <c r="Q662" s="218"/>
    </row>
    <row r="663" spans="1:17" s="219" customFormat="1" hidden="1" x14ac:dyDescent="0.25">
      <c r="A663" s="214"/>
      <c r="B663" s="215" t="s">
        <v>1822</v>
      </c>
      <c r="C663" s="215" t="s">
        <v>1823</v>
      </c>
      <c r="D663" s="215" t="s">
        <v>1847</v>
      </c>
      <c r="E663" s="215" t="s">
        <v>1825</v>
      </c>
      <c r="F663" s="215" t="s">
        <v>1825</v>
      </c>
      <c r="G663" s="215" t="s">
        <v>242</v>
      </c>
      <c r="H663" s="216" t="s">
        <v>2499</v>
      </c>
      <c r="I663" s="217"/>
      <c r="J663" s="217"/>
      <c r="K663" s="217"/>
      <c r="L663" s="217"/>
      <c r="M663" s="217"/>
      <c r="N663" s="217"/>
      <c r="O663" s="217"/>
      <c r="P663" s="217"/>
      <c r="Q663" s="218"/>
    </row>
    <row r="664" spans="1:17" s="219" customFormat="1" hidden="1" x14ac:dyDescent="0.25">
      <c r="A664" s="214"/>
      <c r="B664" s="215" t="s">
        <v>1822</v>
      </c>
      <c r="C664" s="215" t="s">
        <v>1823</v>
      </c>
      <c r="D664" s="215" t="s">
        <v>1847</v>
      </c>
      <c r="E664" s="215" t="s">
        <v>1825</v>
      </c>
      <c r="F664" s="215" t="s">
        <v>1825</v>
      </c>
      <c r="G664" s="215" t="s">
        <v>244</v>
      </c>
      <c r="H664" s="216" t="s">
        <v>2500</v>
      </c>
      <c r="I664" s="217"/>
      <c r="J664" s="217"/>
      <c r="K664" s="217"/>
      <c r="L664" s="217"/>
      <c r="M664" s="217"/>
      <c r="N664" s="217"/>
      <c r="O664" s="217"/>
      <c r="P664" s="217"/>
      <c r="Q664" s="218"/>
    </row>
    <row r="665" spans="1:17" s="219" customFormat="1" hidden="1" x14ac:dyDescent="0.25">
      <c r="A665" s="214"/>
      <c r="B665" s="215" t="s">
        <v>1822</v>
      </c>
      <c r="C665" s="215" t="s">
        <v>1823</v>
      </c>
      <c r="D665" s="215" t="s">
        <v>1847</v>
      </c>
      <c r="E665" s="215" t="s">
        <v>1825</v>
      </c>
      <c r="F665" s="215" t="s">
        <v>1825</v>
      </c>
      <c r="G665" s="215" t="s">
        <v>246</v>
      </c>
      <c r="H665" s="216" t="s">
        <v>2501</v>
      </c>
      <c r="I665" s="217"/>
      <c r="J665" s="217"/>
      <c r="K665" s="217"/>
      <c r="L665" s="217"/>
      <c r="M665" s="217"/>
      <c r="N665" s="217"/>
      <c r="O665" s="217"/>
      <c r="P665" s="217"/>
      <c r="Q665" s="218"/>
    </row>
    <row r="666" spans="1:17" s="219" customFormat="1" hidden="1" x14ac:dyDescent="0.25">
      <c r="A666" s="214"/>
      <c r="B666" s="215" t="s">
        <v>1822</v>
      </c>
      <c r="C666" s="215" t="s">
        <v>1823</v>
      </c>
      <c r="D666" s="215" t="s">
        <v>1847</v>
      </c>
      <c r="E666" s="215" t="s">
        <v>1825</v>
      </c>
      <c r="F666" s="215" t="s">
        <v>1825</v>
      </c>
      <c r="G666" s="215" t="s">
        <v>407</v>
      </c>
      <c r="H666" s="216" t="s">
        <v>2502</v>
      </c>
      <c r="I666" s="217"/>
      <c r="J666" s="217"/>
      <c r="K666" s="217"/>
      <c r="L666" s="217"/>
      <c r="M666" s="217"/>
      <c r="N666" s="217"/>
      <c r="O666" s="217"/>
      <c r="P666" s="217"/>
      <c r="Q666" s="218"/>
    </row>
    <row r="667" spans="1:17" s="219" customFormat="1" ht="30" x14ac:dyDescent="0.25">
      <c r="A667" s="214"/>
      <c r="B667" s="215" t="s">
        <v>1822</v>
      </c>
      <c r="C667" s="215" t="s">
        <v>1823</v>
      </c>
      <c r="D667" s="215" t="s">
        <v>1847</v>
      </c>
      <c r="E667" s="215" t="s">
        <v>1825</v>
      </c>
      <c r="F667" s="215" t="s">
        <v>1825</v>
      </c>
      <c r="G667" s="215" t="s">
        <v>408</v>
      </c>
      <c r="H667" s="216" t="s">
        <v>2496</v>
      </c>
      <c r="I667" s="217"/>
      <c r="J667" s="217"/>
      <c r="K667" s="217"/>
      <c r="L667" s="217"/>
      <c r="M667" s="217"/>
      <c r="N667" s="217"/>
      <c r="O667" s="217"/>
      <c r="P667" s="217"/>
      <c r="Q667" s="218"/>
    </row>
    <row r="668" spans="1:17" s="213" customFormat="1" x14ac:dyDescent="0.25">
      <c r="A668" s="208" t="s">
        <v>263</v>
      </c>
      <c r="B668" s="209" t="s">
        <v>1822</v>
      </c>
      <c r="C668" s="209" t="s">
        <v>1823</v>
      </c>
      <c r="D668" s="209" t="s">
        <v>1847</v>
      </c>
      <c r="E668" s="209" t="s">
        <v>1825</v>
      </c>
      <c r="F668" s="209" t="s">
        <v>1836</v>
      </c>
      <c r="G668" s="209"/>
      <c r="H668" s="210" t="s">
        <v>2503</v>
      </c>
      <c r="I668" s="211">
        <f>SUM(I669:I681)</f>
        <v>9378480287</v>
      </c>
      <c r="J668" s="211">
        <f t="shared" ref="J668:P668" si="83">SUM(J669:J681)</f>
        <v>559919274.47884762</v>
      </c>
      <c r="K668" s="211">
        <f t="shared" si="83"/>
        <v>110343526.18315722</v>
      </c>
      <c r="L668" s="211">
        <f t="shared" si="83"/>
        <v>111964815.60059866</v>
      </c>
      <c r="M668" s="211">
        <f>SUM(K668+L668)</f>
        <v>222308341.7837559</v>
      </c>
      <c r="N668" s="211">
        <f t="shared" si="83"/>
        <v>3987291302.1942725</v>
      </c>
      <c r="O668" s="211">
        <f t="shared" si="83"/>
        <v>5470203181.2342949</v>
      </c>
      <c r="P668" s="211">
        <f t="shared" si="83"/>
        <v>0</v>
      </c>
      <c r="Q668" s="212"/>
    </row>
    <row r="669" spans="1:17" s="219" customFormat="1" x14ac:dyDescent="0.25">
      <c r="A669" s="214"/>
      <c r="B669" s="215" t="s">
        <v>1822</v>
      </c>
      <c r="C669" s="215" t="s">
        <v>1823</v>
      </c>
      <c r="D669" s="215" t="s">
        <v>1847</v>
      </c>
      <c r="E669" s="215" t="s">
        <v>1825</v>
      </c>
      <c r="F669" s="215" t="s">
        <v>1836</v>
      </c>
      <c r="G669" s="215" t="s">
        <v>58</v>
      </c>
      <c r="H669" s="216" t="s">
        <v>2504</v>
      </c>
      <c r="I669" s="217"/>
      <c r="J669" s="217"/>
      <c r="K669" s="217"/>
      <c r="L669" s="217"/>
      <c r="M669" s="217"/>
      <c r="N669" s="217"/>
      <c r="O669" s="217"/>
      <c r="P669" s="217"/>
      <c r="Q669" s="218"/>
    </row>
    <row r="670" spans="1:17" s="219" customFormat="1" hidden="1" x14ac:dyDescent="0.25">
      <c r="A670" s="214"/>
      <c r="B670" s="215" t="s">
        <v>1822</v>
      </c>
      <c r="C670" s="215" t="s">
        <v>1823</v>
      </c>
      <c r="D670" s="215" t="s">
        <v>1847</v>
      </c>
      <c r="E670" s="215" t="s">
        <v>1825</v>
      </c>
      <c r="F670" s="215" t="s">
        <v>1836</v>
      </c>
      <c r="G670" s="215" t="s">
        <v>75</v>
      </c>
      <c r="H670" s="216" t="s">
        <v>2505</v>
      </c>
      <c r="I670" s="217"/>
      <c r="J670" s="217"/>
      <c r="K670" s="217"/>
      <c r="L670" s="217"/>
      <c r="M670" s="217"/>
      <c r="N670" s="217"/>
      <c r="O670" s="217"/>
      <c r="P670" s="217"/>
      <c r="Q670" s="218"/>
    </row>
    <row r="671" spans="1:17" s="219" customFormat="1" hidden="1" x14ac:dyDescent="0.25">
      <c r="A671" s="214"/>
      <c r="B671" s="215" t="s">
        <v>1822</v>
      </c>
      <c r="C671" s="215" t="s">
        <v>1823</v>
      </c>
      <c r="D671" s="215" t="s">
        <v>1847</v>
      </c>
      <c r="E671" s="215" t="s">
        <v>1825</v>
      </c>
      <c r="F671" s="215" t="s">
        <v>1836</v>
      </c>
      <c r="G671" s="215" t="s">
        <v>79</v>
      </c>
      <c r="H671" s="216" t="s">
        <v>2506</v>
      </c>
      <c r="I671" s="217"/>
      <c r="J671" s="217"/>
      <c r="K671" s="217"/>
      <c r="L671" s="217"/>
      <c r="M671" s="217"/>
      <c r="N671" s="217"/>
      <c r="O671" s="217"/>
      <c r="P671" s="217"/>
      <c r="Q671" s="218"/>
    </row>
    <row r="672" spans="1:17" s="219" customFormat="1" ht="30" x14ac:dyDescent="0.25">
      <c r="A672" s="214"/>
      <c r="B672" s="215" t="s">
        <v>1822</v>
      </c>
      <c r="C672" s="215" t="s">
        <v>1823</v>
      </c>
      <c r="D672" s="215" t="s">
        <v>1847</v>
      </c>
      <c r="E672" s="215" t="s">
        <v>1825</v>
      </c>
      <c r="F672" s="215" t="s">
        <v>1836</v>
      </c>
      <c r="G672" s="215" t="s">
        <v>84</v>
      </c>
      <c r="H672" s="216" t="s">
        <v>2507</v>
      </c>
      <c r="I672" s="217"/>
      <c r="J672" s="217"/>
      <c r="K672" s="217"/>
      <c r="L672" s="217"/>
      <c r="M672" s="217"/>
      <c r="N672" s="217"/>
      <c r="O672" s="217"/>
      <c r="P672" s="217"/>
      <c r="Q672" s="218"/>
    </row>
    <row r="673" spans="1:17" s="219" customFormat="1" x14ac:dyDescent="0.25">
      <c r="A673" s="214"/>
      <c r="B673" s="215" t="s">
        <v>1822</v>
      </c>
      <c r="C673" s="215" t="s">
        <v>1823</v>
      </c>
      <c r="D673" s="215" t="s">
        <v>1847</v>
      </c>
      <c r="E673" s="215" t="s">
        <v>1825</v>
      </c>
      <c r="F673" s="215" t="s">
        <v>1836</v>
      </c>
      <c r="G673" s="215" t="s">
        <v>88</v>
      </c>
      <c r="H673" s="216" t="s">
        <v>850</v>
      </c>
      <c r="I673" s="217">
        <f>SUM('BI Sem. II tahun 2023 108  '!O1141)</f>
        <v>9378480287</v>
      </c>
      <c r="J673" s="217">
        <f>SUM('BI Sem. II tahun 2023 108  '!U1141)</f>
        <v>559919274.47884762</v>
      </c>
      <c r="K673" s="217">
        <v>110343526.18315722</v>
      </c>
      <c r="L673" s="217">
        <v>111964815.60059866</v>
      </c>
      <c r="M673" s="217">
        <f>SUM('BI Sem. II tahun 2023 108  '!Z1141)</f>
        <v>222308341.78375587</v>
      </c>
      <c r="N673" s="217">
        <v>3987291302.1942725</v>
      </c>
      <c r="O673" s="217">
        <v>5470203181.2342949</v>
      </c>
      <c r="P673" s="217"/>
      <c r="Q673" s="218"/>
    </row>
    <row r="674" spans="1:17" s="219" customFormat="1" x14ac:dyDescent="0.25">
      <c r="A674" s="214"/>
      <c r="B674" s="215" t="s">
        <v>1822</v>
      </c>
      <c r="C674" s="215" t="s">
        <v>1823</v>
      </c>
      <c r="D674" s="215" t="s">
        <v>1847</v>
      </c>
      <c r="E674" s="215" t="s">
        <v>1825</v>
      </c>
      <c r="F674" s="215" t="s">
        <v>1836</v>
      </c>
      <c r="G674" s="215" t="s">
        <v>92</v>
      </c>
      <c r="H674" s="216" t="s">
        <v>2508</v>
      </c>
      <c r="I674" s="217"/>
      <c r="J674" s="217"/>
      <c r="K674" s="217"/>
      <c r="L674" s="217"/>
      <c r="M674" s="217"/>
      <c r="N674" s="217"/>
      <c r="O674" s="217"/>
      <c r="P674" s="217"/>
      <c r="Q674" s="218"/>
    </row>
    <row r="675" spans="1:17" s="219" customFormat="1" hidden="1" x14ac:dyDescent="0.25">
      <c r="A675" s="214"/>
      <c r="B675" s="215" t="s">
        <v>1822</v>
      </c>
      <c r="C675" s="215" t="s">
        <v>1823</v>
      </c>
      <c r="D675" s="215" t="s">
        <v>1847</v>
      </c>
      <c r="E675" s="215" t="s">
        <v>1825</v>
      </c>
      <c r="F675" s="215" t="s">
        <v>1836</v>
      </c>
      <c r="G675" s="215" t="s">
        <v>96</v>
      </c>
      <c r="H675" s="216" t="s">
        <v>2509</v>
      </c>
      <c r="I675" s="217"/>
      <c r="J675" s="217"/>
      <c r="K675" s="217"/>
      <c r="L675" s="217"/>
      <c r="M675" s="217"/>
      <c r="N675" s="217"/>
      <c r="O675" s="217"/>
      <c r="P675" s="217"/>
      <c r="Q675" s="218"/>
    </row>
    <row r="676" spans="1:17" s="219" customFormat="1" hidden="1" x14ac:dyDescent="0.25">
      <c r="A676" s="214"/>
      <c r="B676" s="215" t="s">
        <v>1822</v>
      </c>
      <c r="C676" s="215" t="s">
        <v>1823</v>
      </c>
      <c r="D676" s="215" t="s">
        <v>1847</v>
      </c>
      <c r="E676" s="215" t="s">
        <v>1825</v>
      </c>
      <c r="F676" s="215" t="s">
        <v>1836</v>
      </c>
      <c r="G676" s="215" t="s">
        <v>100</v>
      </c>
      <c r="H676" s="216" t="s">
        <v>2510</v>
      </c>
      <c r="I676" s="217"/>
      <c r="J676" s="217"/>
      <c r="K676" s="217"/>
      <c r="L676" s="217"/>
      <c r="M676" s="217"/>
      <c r="N676" s="217"/>
      <c r="O676" s="217"/>
      <c r="P676" s="217"/>
      <c r="Q676" s="218"/>
    </row>
    <row r="677" spans="1:17" s="219" customFormat="1" ht="30" hidden="1" x14ac:dyDescent="0.25">
      <c r="A677" s="214"/>
      <c r="B677" s="215" t="s">
        <v>1822</v>
      </c>
      <c r="C677" s="215" t="s">
        <v>1823</v>
      </c>
      <c r="D677" s="215" t="s">
        <v>1847</v>
      </c>
      <c r="E677" s="215" t="s">
        <v>1825</v>
      </c>
      <c r="F677" s="215" t="s">
        <v>1836</v>
      </c>
      <c r="G677" s="215" t="s">
        <v>105</v>
      </c>
      <c r="H677" s="216" t="s">
        <v>2511</v>
      </c>
      <c r="I677" s="217"/>
      <c r="J677" s="217"/>
      <c r="K677" s="217"/>
      <c r="L677" s="217"/>
      <c r="M677" s="217"/>
      <c r="N677" s="217"/>
      <c r="O677" s="217"/>
      <c r="P677" s="217"/>
      <c r="Q677" s="218"/>
    </row>
    <row r="678" spans="1:17" s="219" customFormat="1" hidden="1" x14ac:dyDescent="0.25">
      <c r="A678" s="214"/>
      <c r="B678" s="215" t="s">
        <v>1822</v>
      </c>
      <c r="C678" s="215" t="s">
        <v>1823</v>
      </c>
      <c r="D678" s="215" t="s">
        <v>1847</v>
      </c>
      <c r="E678" s="215" t="s">
        <v>1825</v>
      </c>
      <c r="F678" s="215" t="s">
        <v>1836</v>
      </c>
      <c r="G678" s="215" t="s">
        <v>108</v>
      </c>
      <c r="H678" s="216" t="s">
        <v>2512</v>
      </c>
      <c r="I678" s="217"/>
      <c r="J678" s="217"/>
      <c r="K678" s="217"/>
      <c r="L678" s="217"/>
      <c r="M678" s="217"/>
      <c r="N678" s="217"/>
      <c r="O678" s="217"/>
      <c r="P678" s="217"/>
      <c r="Q678" s="218"/>
    </row>
    <row r="679" spans="1:17" s="219" customFormat="1" hidden="1" x14ac:dyDescent="0.25">
      <c r="A679" s="214"/>
      <c r="B679" s="215" t="s">
        <v>1822</v>
      </c>
      <c r="C679" s="215" t="s">
        <v>1823</v>
      </c>
      <c r="D679" s="215" t="s">
        <v>1847</v>
      </c>
      <c r="E679" s="215" t="s">
        <v>1825</v>
      </c>
      <c r="F679" s="215" t="s">
        <v>1836</v>
      </c>
      <c r="G679" s="215" t="s">
        <v>135</v>
      </c>
      <c r="H679" s="216" t="s">
        <v>2513</v>
      </c>
      <c r="I679" s="217"/>
      <c r="J679" s="217"/>
      <c r="K679" s="217"/>
      <c r="L679" s="217"/>
      <c r="M679" s="217"/>
      <c r="N679" s="217"/>
      <c r="O679" s="217"/>
      <c r="P679" s="217"/>
      <c r="Q679" s="218"/>
    </row>
    <row r="680" spans="1:17" s="219" customFormat="1" hidden="1" x14ac:dyDescent="0.25">
      <c r="A680" s="214"/>
      <c r="B680" s="215" t="s">
        <v>1822</v>
      </c>
      <c r="C680" s="215" t="s">
        <v>1823</v>
      </c>
      <c r="D680" s="215" t="s">
        <v>1847</v>
      </c>
      <c r="E680" s="215" t="s">
        <v>1825</v>
      </c>
      <c r="F680" s="215" t="s">
        <v>1836</v>
      </c>
      <c r="G680" s="215" t="s">
        <v>138</v>
      </c>
      <c r="H680" s="216" t="s">
        <v>2514</v>
      </c>
      <c r="I680" s="217"/>
      <c r="J680" s="217"/>
      <c r="K680" s="217"/>
      <c r="L680" s="217"/>
      <c r="M680" s="217"/>
      <c r="N680" s="217"/>
      <c r="O680" s="217"/>
      <c r="P680" s="217"/>
      <c r="Q680" s="218"/>
    </row>
    <row r="681" spans="1:17" s="219" customFormat="1" ht="30" hidden="1" x14ac:dyDescent="0.25">
      <c r="A681" s="214"/>
      <c r="B681" s="215" t="s">
        <v>1822</v>
      </c>
      <c r="C681" s="215" t="s">
        <v>1823</v>
      </c>
      <c r="D681" s="215" t="s">
        <v>1847</v>
      </c>
      <c r="E681" s="215" t="s">
        <v>1825</v>
      </c>
      <c r="F681" s="215" t="s">
        <v>1836</v>
      </c>
      <c r="G681" s="215" t="s">
        <v>140</v>
      </c>
      <c r="H681" s="216" t="s">
        <v>2515</v>
      </c>
      <c r="I681" s="217"/>
      <c r="J681" s="217"/>
      <c r="K681" s="217"/>
      <c r="L681" s="217"/>
      <c r="M681" s="217"/>
      <c r="N681" s="217"/>
      <c r="O681" s="217"/>
      <c r="P681" s="217"/>
      <c r="Q681" s="218"/>
    </row>
    <row r="682" spans="1:17" s="213" customFormat="1" hidden="1" x14ac:dyDescent="0.25">
      <c r="A682" s="208" t="s">
        <v>1905</v>
      </c>
      <c r="B682" s="209" t="s">
        <v>1822</v>
      </c>
      <c r="C682" s="209" t="s">
        <v>1823</v>
      </c>
      <c r="D682" s="209" t="s">
        <v>1847</v>
      </c>
      <c r="E682" s="209" t="s">
        <v>1836</v>
      </c>
      <c r="F682" s="209"/>
      <c r="G682" s="209"/>
      <c r="H682" s="210" t="s">
        <v>2516</v>
      </c>
      <c r="I682" s="211">
        <f>I683</f>
        <v>0</v>
      </c>
      <c r="J682" s="211">
        <f t="shared" ref="J682:P682" si="84">J683</f>
        <v>0</v>
      </c>
      <c r="K682" s="211">
        <f t="shared" si="84"/>
        <v>0</v>
      </c>
      <c r="L682" s="211">
        <f t="shared" si="84"/>
        <v>0</v>
      </c>
      <c r="M682" s="211">
        <f t="shared" si="84"/>
        <v>0</v>
      </c>
      <c r="N682" s="211">
        <f t="shared" si="84"/>
        <v>0</v>
      </c>
      <c r="O682" s="211">
        <f t="shared" si="84"/>
        <v>0</v>
      </c>
      <c r="P682" s="211">
        <f t="shared" si="84"/>
        <v>0</v>
      </c>
      <c r="Q682" s="212"/>
    </row>
    <row r="683" spans="1:17" s="213" customFormat="1" hidden="1" x14ac:dyDescent="0.25">
      <c r="A683" s="208" t="s">
        <v>263</v>
      </c>
      <c r="B683" s="209" t="s">
        <v>1822</v>
      </c>
      <c r="C683" s="209" t="s">
        <v>1823</v>
      </c>
      <c r="D683" s="209" t="s">
        <v>1847</v>
      </c>
      <c r="E683" s="209" t="s">
        <v>1836</v>
      </c>
      <c r="F683" s="209" t="s">
        <v>1825</v>
      </c>
      <c r="G683" s="209"/>
      <c r="H683" s="210" t="s">
        <v>2517</v>
      </c>
      <c r="I683" s="211">
        <f>SUM(I684:I687)</f>
        <v>0</v>
      </c>
      <c r="J683" s="211">
        <f t="shared" ref="J683:P683" si="85">SUM(J684:J687)</f>
        <v>0</v>
      </c>
      <c r="K683" s="211">
        <f t="shared" si="85"/>
        <v>0</v>
      </c>
      <c r="L683" s="211">
        <f t="shared" si="85"/>
        <v>0</v>
      </c>
      <c r="M683" s="211">
        <f t="shared" si="85"/>
        <v>0</v>
      </c>
      <c r="N683" s="211">
        <f t="shared" si="85"/>
        <v>0</v>
      </c>
      <c r="O683" s="211">
        <f t="shared" si="85"/>
        <v>0</v>
      </c>
      <c r="P683" s="211">
        <f t="shared" si="85"/>
        <v>0</v>
      </c>
      <c r="Q683" s="212"/>
    </row>
    <row r="684" spans="1:17" s="219" customFormat="1" hidden="1" x14ac:dyDescent="0.25">
      <c r="A684" s="214"/>
      <c r="B684" s="215" t="s">
        <v>1822</v>
      </c>
      <c r="C684" s="215" t="s">
        <v>1823</v>
      </c>
      <c r="D684" s="215" t="s">
        <v>1847</v>
      </c>
      <c r="E684" s="215" t="s">
        <v>1836</v>
      </c>
      <c r="F684" s="215" t="s">
        <v>1825</v>
      </c>
      <c r="G684" s="215" t="s">
        <v>58</v>
      </c>
      <c r="H684" s="216" t="s">
        <v>2518</v>
      </c>
      <c r="I684" s="217"/>
      <c r="J684" s="217"/>
      <c r="K684" s="217"/>
      <c r="L684" s="217"/>
      <c r="M684" s="217"/>
      <c r="N684" s="217"/>
      <c r="O684" s="217"/>
      <c r="P684" s="217"/>
      <c r="Q684" s="218"/>
    </row>
    <row r="685" spans="1:17" s="219" customFormat="1" hidden="1" x14ac:dyDescent="0.25">
      <c r="A685" s="214"/>
      <c r="B685" s="215" t="s">
        <v>1822</v>
      </c>
      <c r="C685" s="215" t="s">
        <v>1823</v>
      </c>
      <c r="D685" s="215" t="s">
        <v>1847</v>
      </c>
      <c r="E685" s="215" t="s">
        <v>1836</v>
      </c>
      <c r="F685" s="215" t="s">
        <v>1825</v>
      </c>
      <c r="G685" s="215" t="s">
        <v>75</v>
      </c>
      <c r="H685" s="216" t="s">
        <v>2519</v>
      </c>
      <c r="I685" s="217"/>
      <c r="J685" s="217"/>
      <c r="K685" s="217"/>
      <c r="L685" s="217"/>
      <c r="M685" s="217"/>
      <c r="N685" s="217"/>
      <c r="O685" s="217"/>
      <c r="P685" s="217"/>
      <c r="Q685" s="218"/>
    </row>
    <row r="686" spans="1:17" s="219" customFormat="1" hidden="1" x14ac:dyDescent="0.25">
      <c r="A686" s="214"/>
      <c r="B686" s="215" t="s">
        <v>1822</v>
      </c>
      <c r="C686" s="215" t="s">
        <v>1823</v>
      </c>
      <c r="D686" s="215" t="s">
        <v>1847</v>
      </c>
      <c r="E686" s="215" t="s">
        <v>1836</v>
      </c>
      <c r="F686" s="215" t="s">
        <v>1825</v>
      </c>
      <c r="G686" s="215" t="s">
        <v>79</v>
      </c>
      <c r="H686" s="216" t="s">
        <v>2520</v>
      </c>
      <c r="I686" s="217"/>
      <c r="J686" s="217"/>
      <c r="K686" s="217"/>
      <c r="L686" s="217"/>
      <c r="M686" s="217"/>
      <c r="N686" s="217"/>
      <c r="O686" s="217"/>
      <c r="P686" s="217"/>
      <c r="Q686" s="218"/>
    </row>
    <row r="687" spans="1:17" s="219" customFormat="1" ht="30" x14ac:dyDescent="0.25">
      <c r="A687" s="214"/>
      <c r="B687" s="215" t="s">
        <v>1822</v>
      </c>
      <c r="C687" s="215" t="s">
        <v>1823</v>
      </c>
      <c r="D687" s="215" t="s">
        <v>1847</v>
      </c>
      <c r="E687" s="215" t="s">
        <v>1836</v>
      </c>
      <c r="F687" s="215" t="s">
        <v>1825</v>
      </c>
      <c r="G687" s="215" t="s">
        <v>84</v>
      </c>
      <c r="H687" s="216" t="s">
        <v>2521</v>
      </c>
      <c r="I687" s="217"/>
      <c r="J687" s="217"/>
      <c r="K687" s="217"/>
      <c r="L687" s="217"/>
      <c r="M687" s="217"/>
      <c r="N687" s="217"/>
      <c r="O687" s="217"/>
      <c r="P687" s="217"/>
      <c r="Q687" s="218"/>
    </row>
    <row r="688" spans="1:17" s="213" customFormat="1" x14ac:dyDescent="0.25">
      <c r="A688" s="208" t="s">
        <v>1938</v>
      </c>
      <c r="B688" s="209" t="s">
        <v>1822</v>
      </c>
      <c r="C688" s="209" t="s">
        <v>1823</v>
      </c>
      <c r="D688" s="209" t="s">
        <v>1847</v>
      </c>
      <c r="E688" s="209" t="s">
        <v>1847</v>
      </c>
      <c r="F688" s="209"/>
      <c r="G688" s="209"/>
      <c r="H688" s="210" t="s">
        <v>2522</v>
      </c>
      <c r="I688" s="211">
        <f>I689</f>
        <v>79800000</v>
      </c>
      <c r="J688" s="211">
        <f t="shared" ref="J688:P688" si="86">J689</f>
        <v>1596000</v>
      </c>
      <c r="K688" s="211">
        <f t="shared" si="86"/>
        <v>798000</v>
      </c>
      <c r="L688" s="211">
        <f t="shared" si="86"/>
        <v>798000</v>
      </c>
      <c r="M688" s="211">
        <f t="shared" si="86"/>
        <v>1596000</v>
      </c>
      <c r="N688" s="211">
        <f t="shared" si="86"/>
        <v>19152000</v>
      </c>
      <c r="O688" s="211">
        <f t="shared" si="86"/>
        <v>60648000</v>
      </c>
      <c r="P688" s="211">
        <f t="shared" si="86"/>
        <v>0</v>
      </c>
      <c r="Q688" s="212"/>
    </row>
    <row r="689" spans="1:17" s="213" customFormat="1" x14ac:dyDescent="0.25">
      <c r="A689" s="208" t="s">
        <v>263</v>
      </c>
      <c r="B689" s="209" t="s">
        <v>1822</v>
      </c>
      <c r="C689" s="209" t="s">
        <v>1823</v>
      </c>
      <c r="D689" s="209" t="s">
        <v>1847</v>
      </c>
      <c r="E689" s="209" t="s">
        <v>1847</v>
      </c>
      <c r="F689" s="209" t="s">
        <v>1825</v>
      </c>
      <c r="G689" s="209"/>
      <c r="H689" s="210" t="s">
        <v>2523</v>
      </c>
      <c r="I689" s="211">
        <f>SUM(I690:I694)</f>
        <v>79800000</v>
      </c>
      <c r="J689" s="211">
        <f t="shared" ref="J689:P689" si="87">SUM(J690:J694)</f>
        <v>1596000</v>
      </c>
      <c r="K689" s="211">
        <f t="shared" si="87"/>
        <v>798000</v>
      </c>
      <c r="L689" s="211">
        <f t="shared" si="87"/>
        <v>798000</v>
      </c>
      <c r="M689" s="211">
        <f t="shared" si="87"/>
        <v>1596000</v>
      </c>
      <c r="N689" s="211">
        <f t="shared" si="87"/>
        <v>19152000</v>
      </c>
      <c r="O689" s="211">
        <f t="shared" si="87"/>
        <v>60648000</v>
      </c>
      <c r="P689" s="211">
        <f t="shared" si="87"/>
        <v>0</v>
      </c>
      <c r="Q689" s="212"/>
    </row>
    <row r="690" spans="1:17" s="219" customFormat="1" ht="30" x14ac:dyDescent="0.25">
      <c r="A690" s="214"/>
      <c r="B690" s="215" t="s">
        <v>1822</v>
      </c>
      <c r="C690" s="215" t="s">
        <v>1823</v>
      </c>
      <c r="D690" s="215" t="s">
        <v>1847</v>
      </c>
      <c r="E690" s="215" t="s">
        <v>1847</v>
      </c>
      <c r="F690" s="215" t="s">
        <v>1825</v>
      </c>
      <c r="G690" s="215" t="s">
        <v>58</v>
      </c>
      <c r="H690" s="216" t="s">
        <v>2524</v>
      </c>
      <c r="I690" s="217"/>
      <c r="J690" s="217"/>
      <c r="K690" s="217"/>
      <c r="L690" s="217"/>
      <c r="M690" s="217"/>
      <c r="N690" s="217"/>
      <c r="O690" s="217"/>
      <c r="P690" s="217"/>
      <c r="Q690" s="218"/>
    </row>
    <row r="691" spans="1:17" s="219" customFormat="1" ht="30" hidden="1" x14ac:dyDescent="0.25">
      <c r="A691" s="214"/>
      <c r="B691" s="215" t="s">
        <v>1822</v>
      </c>
      <c r="C691" s="215" t="s">
        <v>1823</v>
      </c>
      <c r="D691" s="215" t="s">
        <v>1847</v>
      </c>
      <c r="E691" s="215" t="s">
        <v>1847</v>
      </c>
      <c r="F691" s="215" t="s">
        <v>1825</v>
      </c>
      <c r="G691" s="215" t="s">
        <v>75</v>
      </c>
      <c r="H691" s="216" t="s">
        <v>2525</v>
      </c>
      <c r="I691" s="217"/>
      <c r="J691" s="217"/>
      <c r="K691" s="217"/>
      <c r="L691" s="217"/>
      <c r="M691" s="217"/>
      <c r="N691" s="217"/>
      <c r="O691" s="217"/>
      <c r="P691" s="217"/>
      <c r="Q691" s="218"/>
    </row>
    <row r="692" spans="1:17" s="219" customFormat="1" hidden="1" x14ac:dyDescent="0.25">
      <c r="A692" s="214"/>
      <c r="B692" s="215" t="s">
        <v>1822</v>
      </c>
      <c r="C692" s="215" t="s">
        <v>1823</v>
      </c>
      <c r="D692" s="215" t="s">
        <v>1847</v>
      </c>
      <c r="E692" s="215" t="s">
        <v>1847</v>
      </c>
      <c r="F692" s="215" t="s">
        <v>1825</v>
      </c>
      <c r="G692" s="215" t="s">
        <v>79</v>
      </c>
      <c r="H692" s="216" t="s">
        <v>2526</v>
      </c>
      <c r="I692" s="217"/>
      <c r="J692" s="217"/>
      <c r="K692" s="217"/>
      <c r="L692" s="217"/>
      <c r="M692" s="217"/>
      <c r="N692" s="217"/>
      <c r="O692" s="217"/>
      <c r="P692" s="217"/>
      <c r="Q692" s="218"/>
    </row>
    <row r="693" spans="1:17" s="219" customFormat="1" x14ac:dyDescent="0.25">
      <c r="A693" s="214"/>
      <c r="B693" s="215" t="s">
        <v>1822</v>
      </c>
      <c r="C693" s="215" t="s">
        <v>1823</v>
      </c>
      <c r="D693" s="215" t="s">
        <v>1847</v>
      </c>
      <c r="E693" s="215" t="s">
        <v>1847</v>
      </c>
      <c r="F693" s="215" t="s">
        <v>1825</v>
      </c>
      <c r="G693" s="215" t="s">
        <v>84</v>
      </c>
      <c r="H693" s="216" t="s">
        <v>2527</v>
      </c>
      <c r="I693" s="217"/>
      <c r="J693" s="217"/>
      <c r="K693" s="217"/>
      <c r="L693" s="217"/>
      <c r="M693" s="217"/>
      <c r="N693" s="217"/>
      <c r="O693" s="217"/>
      <c r="P693" s="217"/>
      <c r="Q693" s="218"/>
    </row>
    <row r="694" spans="1:17" s="219" customFormat="1" ht="30" x14ac:dyDescent="0.25">
      <c r="A694" s="214"/>
      <c r="B694" s="215" t="s">
        <v>1822</v>
      </c>
      <c r="C694" s="215" t="s">
        <v>1823</v>
      </c>
      <c r="D694" s="215" t="s">
        <v>1847</v>
      </c>
      <c r="E694" s="215" t="s">
        <v>1847</v>
      </c>
      <c r="F694" s="215" t="s">
        <v>1825</v>
      </c>
      <c r="G694" s="215" t="s">
        <v>88</v>
      </c>
      <c r="H694" s="216" t="s">
        <v>2528</v>
      </c>
      <c r="I694" s="217">
        <v>79800000</v>
      </c>
      <c r="J694" s="217">
        <v>1596000</v>
      </c>
      <c r="K694" s="217">
        <v>798000</v>
      </c>
      <c r="L694" s="217">
        <v>798000</v>
      </c>
      <c r="M694" s="217">
        <v>1596000</v>
      </c>
      <c r="N694" s="217">
        <v>19152000</v>
      </c>
      <c r="O694" s="217">
        <v>60648000</v>
      </c>
      <c r="P694" s="217"/>
      <c r="Q694" s="218"/>
    </row>
    <row r="695" spans="1:17" s="213" customFormat="1" x14ac:dyDescent="0.25">
      <c r="A695" s="208" t="s">
        <v>1984</v>
      </c>
      <c r="B695" s="209" t="s">
        <v>1822</v>
      </c>
      <c r="C695" s="209" t="s">
        <v>1823</v>
      </c>
      <c r="D695" s="209" t="s">
        <v>1847</v>
      </c>
      <c r="E695" s="209" t="s">
        <v>1928</v>
      </c>
      <c r="F695" s="209"/>
      <c r="G695" s="209"/>
      <c r="H695" s="210" t="s">
        <v>2529</v>
      </c>
      <c r="I695" s="211">
        <f>I696</f>
        <v>0</v>
      </c>
      <c r="J695" s="211">
        <f t="shared" ref="J695:P695" si="88">J696</f>
        <v>0</v>
      </c>
      <c r="K695" s="211">
        <f t="shared" si="88"/>
        <v>0</v>
      </c>
      <c r="L695" s="211">
        <f t="shared" si="88"/>
        <v>0</v>
      </c>
      <c r="M695" s="211">
        <f t="shared" si="88"/>
        <v>0</v>
      </c>
      <c r="N695" s="211">
        <f t="shared" si="88"/>
        <v>0</v>
      </c>
      <c r="O695" s="211">
        <f t="shared" si="88"/>
        <v>0</v>
      </c>
      <c r="P695" s="211">
        <f t="shared" si="88"/>
        <v>0</v>
      </c>
      <c r="Q695" s="212"/>
    </row>
    <row r="696" spans="1:17" s="213" customFormat="1" hidden="1" x14ac:dyDescent="0.25">
      <c r="A696" s="208" t="s">
        <v>263</v>
      </c>
      <c r="B696" s="209" t="s">
        <v>1822</v>
      </c>
      <c r="C696" s="209" t="s">
        <v>1823</v>
      </c>
      <c r="D696" s="209" t="s">
        <v>1847</v>
      </c>
      <c r="E696" s="209" t="s">
        <v>1928</v>
      </c>
      <c r="F696" s="209" t="s">
        <v>1825</v>
      </c>
      <c r="G696" s="209"/>
      <c r="H696" s="210" t="s">
        <v>2530</v>
      </c>
      <c r="I696" s="211">
        <f>SUM(I697:I701)</f>
        <v>0</v>
      </c>
      <c r="J696" s="211">
        <f t="shared" ref="J696:P696" si="89">SUM(J697:J701)</f>
        <v>0</v>
      </c>
      <c r="K696" s="211">
        <f t="shared" si="89"/>
        <v>0</v>
      </c>
      <c r="L696" s="211">
        <f t="shared" si="89"/>
        <v>0</v>
      </c>
      <c r="M696" s="211">
        <f t="shared" si="89"/>
        <v>0</v>
      </c>
      <c r="N696" s="211">
        <f t="shared" si="89"/>
        <v>0</v>
      </c>
      <c r="O696" s="211">
        <f t="shared" si="89"/>
        <v>0</v>
      </c>
      <c r="P696" s="211">
        <f t="shared" si="89"/>
        <v>0</v>
      </c>
      <c r="Q696" s="212"/>
    </row>
    <row r="697" spans="1:17" s="219" customFormat="1" hidden="1" x14ac:dyDescent="0.25">
      <c r="A697" s="214"/>
      <c r="B697" s="215" t="s">
        <v>1822</v>
      </c>
      <c r="C697" s="215" t="s">
        <v>1823</v>
      </c>
      <c r="D697" s="215" t="s">
        <v>1847</v>
      </c>
      <c r="E697" s="215" t="s">
        <v>1928</v>
      </c>
      <c r="F697" s="215" t="s">
        <v>1825</v>
      </c>
      <c r="G697" s="215" t="s">
        <v>58</v>
      </c>
      <c r="H697" s="216" t="s">
        <v>2531</v>
      </c>
      <c r="I697" s="217"/>
      <c r="J697" s="217"/>
      <c r="K697" s="217"/>
      <c r="L697" s="217"/>
      <c r="M697" s="217"/>
      <c r="N697" s="217"/>
      <c r="O697" s="217"/>
      <c r="P697" s="217"/>
      <c r="Q697" s="218"/>
    </row>
    <row r="698" spans="1:17" s="219" customFormat="1" hidden="1" x14ac:dyDescent="0.25">
      <c r="A698" s="214"/>
      <c r="B698" s="215" t="s">
        <v>1822</v>
      </c>
      <c r="C698" s="215" t="s">
        <v>1823</v>
      </c>
      <c r="D698" s="215" t="s">
        <v>1847</v>
      </c>
      <c r="E698" s="215" t="s">
        <v>1928</v>
      </c>
      <c r="F698" s="215" t="s">
        <v>1825</v>
      </c>
      <c r="G698" s="215" t="s">
        <v>75</v>
      </c>
      <c r="H698" s="216" t="s">
        <v>2532</v>
      </c>
      <c r="I698" s="217"/>
      <c r="J698" s="217"/>
      <c r="K698" s="217"/>
      <c r="L698" s="217"/>
      <c r="M698" s="217"/>
      <c r="N698" s="217"/>
      <c r="O698" s="217"/>
      <c r="P698" s="217"/>
      <c r="Q698" s="218"/>
    </row>
    <row r="699" spans="1:17" s="219" customFormat="1" hidden="1" x14ac:dyDescent="0.25">
      <c r="A699" s="214"/>
      <c r="B699" s="215" t="s">
        <v>1822</v>
      </c>
      <c r="C699" s="215" t="s">
        <v>1823</v>
      </c>
      <c r="D699" s="215" t="s">
        <v>1847</v>
      </c>
      <c r="E699" s="215" t="s">
        <v>1928</v>
      </c>
      <c r="F699" s="215" t="s">
        <v>1825</v>
      </c>
      <c r="G699" s="215" t="s">
        <v>79</v>
      </c>
      <c r="H699" s="216" t="s">
        <v>2533</v>
      </c>
      <c r="I699" s="217"/>
      <c r="J699" s="217"/>
      <c r="K699" s="217"/>
      <c r="L699" s="217"/>
      <c r="M699" s="217"/>
      <c r="N699" s="217"/>
      <c r="O699" s="217"/>
      <c r="P699" s="217"/>
      <c r="Q699" s="218"/>
    </row>
    <row r="700" spans="1:17" s="219" customFormat="1" hidden="1" x14ac:dyDescent="0.25">
      <c r="A700" s="214"/>
      <c r="B700" s="215" t="s">
        <v>1822</v>
      </c>
      <c r="C700" s="215" t="s">
        <v>1823</v>
      </c>
      <c r="D700" s="215" t="s">
        <v>1847</v>
      </c>
      <c r="E700" s="215" t="s">
        <v>1928</v>
      </c>
      <c r="F700" s="215" t="s">
        <v>1825</v>
      </c>
      <c r="G700" s="215" t="s">
        <v>84</v>
      </c>
      <c r="H700" s="216" t="s">
        <v>2534</v>
      </c>
      <c r="I700" s="217"/>
      <c r="J700" s="217"/>
      <c r="K700" s="217"/>
      <c r="L700" s="217"/>
      <c r="M700" s="217"/>
      <c r="N700" s="217"/>
      <c r="O700" s="217"/>
      <c r="P700" s="217"/>
      <c r="Q700" s="218"/>
    </row>
    <row r="701" spans="1:17" s="219" customFormat="1" hidden="1" x14ac:dyDescent="0.25">
      <c r="A701" s="214"/>
      <c r="B701" s="215" t="s">
        <v>1822</v>
      </c>
      <c r="C701" s="215" t="s">
        <v>1823</v>
      </c>
      <c r="D701" s="215" t="s">
        <v>1847</v>
      </c>
      <c r="E701" s="215" t="s">
        <v>1928</v>
      </c>
      <c r="F701" s="215" t="s">
        <v>1825</v>
      </c>
      <c r="G701" s="215" t="s">
        <v>88</v>
      </c>
      <c r="H701" s="216" t="s">
        <v>2535</v>
      </c>
      <c r="I701" s="217"/>
      <c r="J701" s="217"/>
      <c r="K701" s="217"/>
      <c r="L701" s="217"/>
      <c r="M701" s="217"/>
      <c r="N701" s="217"/>
      <c r="O701" s="217"/>
      <c r="P701" s="217"/>
      <c r="Q701" s="218"/>
    </row>
    <row r="702" spans="1:17" s="339" customFormat="1" x14ac:dyDescent="0.25">
      <c r="A702" s="337"/>
      <c r="B702" s="338"/>
      <c r="C702" s="340"/>
      <c r="D702" s="340"/>
      <c r="E702" s="340"/>
      <c r="F702" s="340"/>
      <c r="G702" s="333"/>
      <c r="H702" s="335"/>
      <c r="I702" s="226"/>
      <c r="J702" s="226"/>
      <c r="K702" s="226"/>
      <c r="L702" s="226"/>
      <c r="M702" s="226"/>
      <c r="N702" s="226"/>
      <c r="O702" s="226"/>
      <c r="P702" s="226"/>
    </row>
    <row r="703" spans="1:17" s="339" customFormat="1" x14ac:dyDescent="0.25">
      <c r="A703" s="337">
        <v>4</v>
      </c>
      <c r="B703" s="338">
        <v>4</v>
      </c>
      <c r="C703" s="333" t="s">
        <v>1928</v>
      </c>
      <c r="D703" s="333"/>
      <c r="E703" s="333"/>
      <c r="F703" s="333"/>
      <c r="G703" s="333"/>
      <c r="H703" s="335" t="s">
        <v>2536</v>
      </c>
      <c r="I703" s="230">
        <f>SUM(I704+I730+I789+I844)</f>
        <v>1749770100</v>
      </c>
      <c r="J703" s="230">
        <f t="shared" ref="J703:P703" si="90">SUM(J704+J730+J789+J844)</f>
        <v>43087151.180672273</v>
      </c>
      <c r="K703" s="230">
        <f t="shared" si="90"/>
        <v>20656275.590336137</v>
      </c>
      <c r="L703" s="230">
        <f t="shared" si="90"/>
        <v>20656275.590336137</v>
      </c>
      <c r="M703" s="230">
        <f t="shared" si="90"/>
        <v>41312551.180672273</v>
      </c>
      <c r="N703" s="230">
        <f t="shared" si="90"/>
        <v>369947525.48739499</v>
      </c>
      <c r="O703" s="230">
        <f t="shared" si="90"/>
        <v>1379822574.512605</v>
      </c>
      <c r="P703" s="230">
        <f t="shared" si="90"/>
        <v>0</v>
      </c>
    </row>
    <row r="704" spans="1:17" s="213" customFormat="1" x14ac:dyDescent="0.25">
      <c r="A704" s="208" t="s">
        <v>1827</v>
      </c>
      <c r="B704" s="209" t="s">
        <v>1822</v>
      </c>
      <c r="C704" s="209" t="s">
        <v>1823</v>
      </c>
      <c r="D704" s="209" t="s">
        <v>1928</v>
      </c>
      <c r="E704" s="209" t="s">
        <v>1825</v>
      </c>
      <c r="F704" s="209"/>
      <c r="G704" s="209"/>
      <c r="H704" s="210" t="s">
        <v>2537</v>
      </c>
      <c r="I704" s="211">
        <f>SUM(I705+I716)</f>
        <v>0</v>
      </c>
      <c r="J704" s="211">
        <f t="shared" ref="J704:P704" si="91">SUM(J705+J716)</f>
        <v>0</v>
      </c>
      <c r="K704" s="211">
        <f t="shared" si="91"/>
        <v>0</v>
      </c>
      <c r="L704" s="211">
        <f t="shared" si="91"/>
        <v>0</v>
      </c>
      <c r="M704" s="211">
        <f t="shared" si="91"/>
        <v>0</v>
      </c>
      <c r="N704" s="211">
        <f t="shared" si="91"/>
        <v>0</v>
      </c>
      <c r="O704" s="211">
        <f t="shared" si="91"/>
        <v>0</v>
      </c>
      <c r="P704" s="211">
        <f t="shared" si="91"/>
        <v>0</v>
      </c>
      <c r="Q704" s="212"/>
    </row>
    <row r="705" spans="1:17" s="213" customFormat="1" hidden="1" x14ac:dyDescent="0.25">
      <c r="A705" s="208" t="s">
        <v>263</v>
      </c>
      <c r="B705" s="209" t="s">
        <v>1822</v>
      </c>
      <c r="C705" s="209" t="s">
        <v>1823</v>
      </c>
      <c r="D705" s="209" t="s">
        <v>1928</v>
      </c>
      <c r="E705" s="209" t="s">
        <v>1825</v>
      </c>
      <c r="F705" s="209" t="s">
        <v>1825</v>
      </c>
      <c r="G705" s="209"/>
      <c r="H705" s="210" t="s">
        <v>2538</v>
      </c>
      <c r="I705" s="211">
        <f>SUM(I706:I715)</f>
        <v>0</v>
      </c>
      <c r="J705" s="211">
        <f t="shared" ref="J705:P705" si="92">SUM(J706:J715)</f>
        <v>0</v>
      </c>
      <c r="K705" s="211">
        <f t="shared" si="92"/>
        <v>0</v>
      </c>
      <c r="L705" s="211">
        <f t="shared" si="92"/>
        <v>0</v>
      </c>
      <c r="M705" s="211">
        <f t="shared" si="92"/>
        <v>0</v>
      </c>
      <c r="N705" s="211">
        <f t="shared" si="92"/>
        <v>0</v>
      </c>
      <c r="O705" s="211">
        <f t="shared" si="92"/>
        <v>0</v>
      </c>
      <c r="P705" s="211">
        <f t="shared" si="92"/>
        <v>0</v>
      </c>
      <c r="Q705" s="212"/>
    </row>
    <row r="706" spans="1:17" s="219" customFormat="1" hidden="1" x14ac:dyDescent="0.25">
      <c r="A706" s="214"/>
      <c r="B706" s="215" t="s">
        <v>1822</v>
      </c>
      <c r="C706" s="215" t="s">
        <v>1823</v>
      </c>
      <c r="D706" s="215" t="s">
        <v>1928</v>
      </c>
      <c r="E706" s="215" t="s">
        <v>1825</v>
      </c>
      <c r="F706" s="215" t="s">
        <v>1825</v>
      </c>
      <c r="G706" s="215" t="s">
        <v>58</v>
      </c>
      <c r="H706" s="216" t="s">
        <v>2539</v>
      </c>
      <c r="I706" s="217"/>
      <c r="J706" s="217"/>
      <c r="K706" s="217"/>
      <c r="L706" s="217"/>
      <c r="M706" s="217"/>
      <c r="N706" s="217"/>
      <c r="O706" s="217"/>
      <c r="P706" s="217"/>
      <c r="Q706" s="218"/>
    </row>
    <row r="707" spans="1:17" s="219" customFormat="1" hidden="1" x14ac:dyDescent="0.25">
      <c r="A707" s="214"/>
      <c r="B707" s="215" t="s">
        <v>1822</v>
      </c>
      <c r="C707" s="215" t="s">
        <v>1823</v>
      </c>
      <c r="D707" s="215" t="s">
        <v>1928</v>
      </c>
      <c r="E707" s="215" t="s">
        <v>1825</v>
      </c>
      <c r="F707" s="215" t="s">
        <v>1825</v>
      </c>
      <c r="G707" s="215" t="s">
        <v>75</v>
      </c>
      <c r="H707" s="216" t="s">
        <v>2540</v>
      </c>
      <c r="I707" s="217"/>
      <c r="J707" s="217"/>
      <c r="K707" s="217"/>
      <c r="L707" s="217"/>
      <c r="M707" s="217"/>
      <c r="N707" s="217"/>
      <c r="O707" s="217"/>
      <c r="P707" s="217"/>
      <c r="Q707" s="218"/>
    </row>
    <row r="708" spans="1:17" s="219" customFormat="1" hidden="1" x14ac:dyDescent="0.25">
      <c r="A708" s="214"/>
      <c r="B708" s="215" t="s">
        <v>1822</v>
      </c>
      <c r="C708" s="215" t="s">
        <v>1823</v>
      </c>
      <c r="D708" s="215" t="s">
        <v>1928</v>
      </c>
      <c r="E708" s="215" t="s">
        <v>1825</v>
      </c>
      <c r="F708" s="215" t="s">
        <v>1825</v>
      </c>
      <c r="G708" s="215" t="s">
        <v>79</v>
      </c>
      <c r="H708" s="216" t="s">
        <v>2541</v>
      </c>
      <c r="I708" s="217"/>
      <c r="J708" s="217"/>
      <c r="K708" s="217"/>
      <c r="L708" s="217"/>
      <c r="M708" s="217"/>
      <c r="N708" s="217"/>
      <c r="O708" s="217"/>
      <c r="P708" s="217"/>
      <c r="Q708" s="218"/>
    </row>
    <row r="709" spans="1:17" s="219" customFormat="1" hidden="1" x14ac:dyDescent="0.25">
      <c r="A709" s="214"/>
      <c r="B709" s="215" t="s">
        <v>1822</v>
      </c>
      <c r="C709" s="215" t="s">
        <v>1823</v>
      </c>
      <c r="D709" s="215" t="s">
        <v>1928</v>
      </c>
      <c r="E709" s="215" t="s">
        <v>1825</v>
      </c>
      <c r="F709" s="215" t="s">
        <v>1825</v>
      </c>
      <c r="G709" s="215" t="s">
        <v>84</v>
      </c>
      <c r="H709" s="216" t="s">
        <v>2542</v>
      </c>
      <c r="I709" s="217"/>
      <c r="J709" s="217"/>
      <c r="K709" s="217"/>
      <c r="L709" s="217"/>
      <c r="M709" s="217"/>
      <c r="N709" s="217"/>
      <c r="O709" s="217"/>
      <c r="P709" s="217"/>
      <c r="Q709" s="218"/>
    </row>
    <row r="710" spans="1:17" s="219" customFormat="1" hidden="1" x14ac:dyDescent="0.25">
      <c r="A710" s="214"/>
      <c r="B710" s="215" t="s">
        <v>1822</v>
      </c>
      <c r="C710" s="215" t="s">
        <v>1823</v>
      </c>
      <c r="D710" s="215" t="s">
        <v>1928</v>
      </c>
      <c r="E710" s="215" t="s">
        <v>1825</v>
      </c>
      <c r="F710" s="215" t="s">
        <v>1825</v>
      </c>
      <c r="G710" s="215" t="s">
        <v>88</v>
      </c>
      <c r="H710" s="216" t="s">
        <v>2543</v>
      </c>
      <c r="I710" s="217"/>
      <c r="J710" s="217"/>
      <c r="K710" s="217"/>
      <c r="L710" s="217"/>
      <c r="M710" s="217"/>
      <c r="N710" s="217"/>
      <c r="O710" s="217"/>
      <c r="P710" s="217"/>
      <c r="Q710" s="218"/>
    </row>
    <row r="711" spans="1:17" s="219" customFormat="1" hidden="1" x14ac:dyDescent="0.25">
      <c r="A711" s="214"/>
      <c r="B711" s="215" t="s">
        <v>1822</v>
      </c>
      <c r="C711" s="215" t="s">
        <v>1823</v>
      </c>
      <c r="D711" s="215" t="s">
        <v>1928</v>
      </c>
      <c r="E711" s="215" t="s">
        <v>1825</v>
      </c>
      <c r="F711" s="215" t="s">
        <v>1825</v>
      </c>
      <c r="G711" s="215" t="s">
        <v>92</v>
      </c>
      <c r="H711" s="216" t="s">
        <v>2544</v>
      </c>
      <c r="I711" s="217"/>
      <c r="J711" s="217"/>
      <c r="K711" s="217"/>
      <c r="L711" s="217"/>
      <c r="M711" s="217"/>
      <c r="N711" s="217"/>
      <c r="O711" s="217"/>
      <c r="P711" s="217"/>
      <c r="Q711" s="218"/>
    </row>
    <row r="712" spans="1:17" s="219" customFormat="1" hidden="1" x14ac:dyDescent="0.25">
      <c r="A712" s="214"/>
      <c r="B712" s="215" t="s">
        <v>1822</v>
      </c>
      <c r="C712" s="215" t="s">
        <v>1823</v>
      </c>
      <c r="D712" s="215" t="s">
        <v>1928</v>
      </c>
      <c r="E712" s="215" t="s">
        <v>1825</v>
      </c>
      <c r="F712" s="215" t="s">
        <v>1825</v>
      </c>
      <c r="G712" s="215" t="s">
        <v>96</v>
      </c>
      <c r="H712" s="216" t="s">
        <v>2545</v>
      </c>
      <c r="I712" s="217"/>
      <c r="J712" s="217"/>
      <c r="K712" s="217"/>
      <c r="L712" s="217"/>
      <c r="M712" s="217"/>
      <c r="N712" s="217"/>
      <c r="O712" s="217"/>
      <c r="P712" s="217"/>
      <c r="Q712" s="218"/>
    </row>
    <row r="713" spans="1:17" s="219" customFormat="1" hidden="1" x14ac:dyDescent="0.25">
      <c r="A713" s="214"/>
      <c r="B713" s="215" t="s">
        <v>1822</v>
      </c>
      <c r="C713" s="215" t="s">
        <v>1823</v>
      </c>
      <c r="D713" s="215" t="s">
        <v>1928</v>
      </c>
      <c r="E713" s="215" t="s">
        <v>1825</v>
      </c>
      <c r="F713" s="215" t="s">
        <v>1825</v>
      </c>
      <c r="G713" s="215" t="s">
        <v>100</v>
      </c>
      <c r="H713" s="216" t="s">
        <v>2546</v>
      </c>
      <c r="I713" s="217"/>
      <c r="J713" s="217"/>
      <c r="K713" s="217"/>
      <c r="L713" s="217"/>
      <c r="M713" s="217"/>
      <c r="N713" s="217"/>
      <c r="O713" s="217"/>
      <c r="P713" s="217"/>
      <c r="Q713" s="218"/>
    </row>
    <row r="714" spans="1:17" s="219" customFormat="1" hidden="1" x14ac:dyDescent="0.25">
      <c r="A714" s="214"/>
      <c r="B714" s="215" t="s">
        <v>1822</v>
      </c>
      <c r="C714" s="215" t="s">
        <v>1823</v>
      </c>
      <c r="D714" s="215" t="s">
        <v>1928</v>
      </c>
      <c r="E714" s="215" t="s">
        <v>1825</v>
      </c>
      <c r="F714" s="215" t="s">
        <v>1825</v>
      </c>
      <c r="G714" s="215" t="s">
        <v>105</v>
      </c>
      <c r="H714" s="216" t="s">
        <v>2547</v>
      </c>
      <c r="I714" s="217"/>
      <c r="J714" s="217"/>
      <c r="K714" s="217"/>
      <c r="L714" s="217"/>
      <c r="M714" s="217"/>
      <c r="N714" s="217"/>
      <c r="O714" s="217"/>
      <c r="P714" s="217"/>
      <c r="Q714" s="218"/>
    </row>
    <row r="715" spans="1:17" s="219" customFormat="1" hidden="1" x14ac:dyDescent="0.25">
      <c r="A715" s="214"/>
      <c r="B715" s="215" t="s">
        <v>1822</v>
      </c>
      <c r="C715" s="215" t="s">
        <v>1823</v>
      </c>
      <c r="D715" s="215" t="s">
        <v>1928</v>
      </c>
      <c r="E715" s="215" t="s">
        <v>1825</v>
      </c>
      <c r="F715" s="215" t="s">
        <v>1825</v>
      </c>
      <c r="G715" s="215" t="s">
        <v>108</v>
      </c>
      <c r="H715" s="216" t="s">
        <v>2548</v>
      </c>
      <c r="I715" s="217"/>
      <c r="J715" s="217"/>
      <c r="K715" s="217"/>
      <c r="L715" s="217"/>
      <c r="M715" s="217"/>
      <c r="N715" s="217"/>
      <c r="O715" s="217"/>
      <c r="P715" s="217"/>
      <c r="Q715" s="218"/>
    </row>
    <row r="716" spans="1:17" s="213" customFormat="1" hidden="1" x14ac:dyDescent="0.25">
      <c r="A716" s="208" t="s">
        <v>263</v>
      </c>
      <c r="B716" s="209" t="s">
        <v>1822</v>
      </c>
      <c r="C716" s="209" t="s">
        <v>1823</v>
      </c>
      <c r="D716" s="209" t="s">
        <v>1928</v>
      </c>
      <c r="E716" s="209" t="s">
        <v>1825</v>
      </c>
      <c r="F716" s="209" t="s">
        <v>1836</v>
      </c>
      <c r="G716" s="209"/>
      <c r="H716" s="210" t="s">
        <v>2549</v>
      </c>
      <c r="I716" s="211">
        <f>SUM(I717:I729)</f>
        <v>0</v>
      </c>
      <c r="J716" s="211">
        <f t="shared" ref="J716:P716" si="93">SUM(J717:J729)</f>
        <v>0</v>
      </c>
      <c r="K716" s="211">
        <f t="shared" si="93"/>
        <v>0</v>
      </c>
      <c r="L716" s="211">
        <f t="shared" si="93"/>
        <v>0</v>
      </c>
      <c r="M716" s="211">
        <f t="shared" si="93"/>
        <v>0</v>
      </c>
      <c r="N716" s="211">
        <f t="shared" si="93"/>
        <v>0</v>
      </c>
      <c r="O716" s="211">
        <f t="shared" si="93"/>
        <v>0</v>
      </c>
      <c r="P716" s="211">
        <f t="shared" si="93"/>
        <v>0</v>
      </c>
      <c r="Q716" s="212"/>
    </row>
    <row r="717" spans="1:17" s="219" customFormat="1" hidden="1" x14ac:dyDescent="0.25">
      <c r="A717" s="214"/>
      <c r="B717" s="215" t="s">
        <v>1822</v>
      </c>
      <c r="C717" s="215" t="s">
        <v>1823</v>
      </c>
      <c r="D717" s="215" t="s">
        <v>1928</v>
      </c>
      <c r="E717" s="215" t="s">
        <v>1825</v>
      </c>
      <c r="F717" s="215" t="s">
        <v>1836</v>
      </c>
      <c r="G717" s="215" t="s">
        <v>58</v>
      </c>
      <c r="H717" s="216" t="s">
        <v>2550</v>
      </c>
      <c r="I717" s="217"/>
      <c r="J717" s="217"/>
      <c r="K717" s="217"/>
      <c r="L717" s="217"/>
      <c r="M717" s="217"/>
      <c r="N717" s="217"/>
      <c r="O717" s="217"/>
      <c r="P717" s="217"/>
      <c r="Q717" s="218"/>
    </row>
    <row r="718" spans="1:17" s="219" customFormat="1" hidden="1" x14ac:dyDescent="0.25">
      <c r="A718" s="214"/>
      <c r="B718" s="215" t="s">
        <v>1822</v>
      </c>
      <c r="C718" s="215" t="s">
        <v>1823</v>
      </c>
      <c r="D718" s="215" t="s">
        <v>1928</v>
      </c>
      <c r="E718" s="215" t="s">
        <v>1825</v>
      </c>
      <c r="F718" s="215" t="s">
        <v>1836</v>
      </c>
      <c r="G718" s="215" t="s">
        <v>75</v>
      </c>
      <c r="H718" s="216" t="s">
        <v>2551</v>
      </c>
      <c r="I718" s="217"/>
      <c r="J718" s="217"/>
      <c r="K718" s="217"/>
      <c r="L718" s="217"/>
      <c r="M718" s="217"/>
      <c r="N718" s="217"/>
      <c r="O718" s="217"/>
      <c r="P718" s="217"/>
      <c r="Q718" s="218"/>
    </row>
    <row r="719" spans="1:17" s="219" customFormat="1" hidden="1" x14ac:dyDescent="0.25">
      <c r="A719" s="214"/>
      <c r="B719" s="215" t="s">
        <v>1822</v>
      </c>
      <c r="C719" s="215" t="s">
        <v>1823</v>
      </c>
      <c r="D719" s="215" t="s">
        <v>1928</v>
      </c>
      <c r="E719" s="215" t="s">
        <v>1825</v>
      </c>
      <c r="F719" s="215" t="s">
        <v>1836</v>
      </c>
      <c r="G719" s="215" t="s">
        <v>79</v>
      </c>
      <c r="H719" s="216" t="s">
        <v>2552</v>
      </c>
      <c r="I719" s="217"/>
      <c r="J719" s="217"/>
      <c r="K719" s="217"/>
      <c r="L719" s="217"/>
      <c r="M719" s="217"/>
      <c r="N719" s="217"/>
      <c r="O719" s="217"/>
      <c r="P719" s="217"/>
      <c r="Q719" s="218"/>
    </row>
    <row r="720" spans="1:17" s="219" customFormat="1" hidden="1" x14ac:dyDescent="0.25">
      <c r="A720" s="214"/>
      <c r="B720" s="215" t="s">
        <v>1822</v>
      </c>
      <c r="C720" s="215" t="s">
        <v>1823</v>
      </c>
      <c r="D720" s="215" t="s">
        <v>1928</v>
      </c>
      <c r="E720" s="215" t="s">
        <v>1825</v>
      </c>
      <c r="F720" s="215" t="s">
        <v>1836</v>
      </c>
      <c r="G720" s="215" t="s">
        <v>84</v>
      </c>
      <c r="H720" s="216" t="s">
        <v>2553</v>
      </c>
      <c r="I720" s="217"/>
      <c r="J720" s="217"/>
      <c r="K720" s="217"/>
      <c r="L720" s="217"/>
      <c r="M720" s="217"/>
      <c r="N720" s="217"/>
      <c r="O720" s="217"/>
      <c r="P720" s="217"/>
      <c r="Q720" s="218"/>
    </row>
    <row r="721" spans="1:17" s="219" customFormat="1" hidden="1" x14ac:dyDescent="0.25">
      <c r="A721" s="214"/>
      <c r="B721" s="215" t="s">
        <v>1822</v>
      </c>
      <c r="C721" s="215" t="s">
        <v>1823</v>
      </c>
      <c r="D721" s="215" t="s">
        <v>1928</v>
      </c>
      <c r="E721" s="215" t="s">
        <v>1825</v>
      </c>
      <c r="F721" s="215" t="s">
        <v>1836</v>
      </c>
      <c r="G721" s="215" t="s">
        <v>88</v>
      </c>
      <c r="H721" s="216" t="s">
        <v>2554</v>
      </c>
      <c r="I721" s="217"/>
      <c r="J721" s="217"/>
      <c r="K721" s="217"/>
      <c r="L721" s="217"/>
      <c r="M721" s="217"/>
      <c r="N721" s="217"/>
      <c r="O721" s="217"/>
      <c r="P721" s="217"/>
      <c r="Q721" s="218"/>
    </row>
    <row r="722" spans="1:17" s="219" customFormat="1" hidden="1" x14ac:dyDescent="0.25">
      <c r="A722" s="214"/>
      <c r="B722" s="215" t="s">
        <v>1822</v>
      </c>
      <c r="C722" s="215" t="s">
        <v>1823</v>
      </c>
      <c r="D722" s="215" t="s">
        <v>1928</v>
      </c>
      <c r="E722" s="215" t="s">
        <v>1825</v>
      </c>
      <c r="F722" s="215" t="s">
        <v>1836</v>
      </c>
      <c r="G722" s="215" t="s">
        <v>92</v>
      </c>
      <c r="H722" s="216" t="s">
        <v>2555</v>
      </c>
      <c r="I722" s="217"/>
      <c r="J722" s="217"/>
      <c r="K722" s="217"/>
      <c r="L722" s="217"/>
      <c r="M722" s="217"/>
      <c r="N722" s="217"/>
      <c r="O722" s="217"/>
      <c r="P722" s="217"/>
      <c r="Q722" s="218"/>
    </row>
    <row r="723" spans="1:17" s="219" customFormat="1" hidden="1" x14ac:dyDescent="0.25">
      <c r="A723" s="214"/>
      <c r="B723" s="215" t="s">
        <v>1822</v>
      </c>
      <c r="C723" s="215" t="s">
        <v>1823</v>
      </c>
      <c r="D723" s="215" t="s">
        <v>1928</v>
      </c>
      <c r="E723" s="215" t="s">
        <v>1825</v>
      </c>
      <c r="F723" s="215" t="s">
        <v>1836</v>
      </c>
      <c r="G723" s="215" t="s">
        <v>96</v>
      </c>
      <c r="H723" s="216" t="s">
        <v>2556</v>
      </c>
      <c r="I723" s="217"/>
      <c r="J723" s="217"/>
      <c r="K723" s="217"/>
      <c r="L723" s="217"/>
      <c r="M723" s="217"/>
      <c r="N723" s="217"/>
      <c r="O723" s="217"/>
      <c r="P723" s="217"/>
      <c r="Q723" s="218"/>
    </row>
    <row r="724" spans="1:17" s="219" customFormat="1" ht="30" hidden="1" x14ac:dyDescent="0.25">
      <c r="A724" s="214"/>
      <c r="B724" s="215" t="s">
        <v>1822</v>
      </c>
      <c r="C724" s="215" t="s">
        <v>1823</v>
      </c>
      <c r="D724" s="215" t="s">
        <v>1928</v>
      </c>
      <c r="E724" s="215" t="s">
        <v>1825</v>
      </c>
      <c r="F724" s="215" t="s">
        <v>1836</v>
      </c>
      <c r="G724" s="215" t="s">
        <v>100</v>
      </c>
      <c r="H724" s="216" t="s">
        <v>2557</v>
      </c>
      <c r="I724" s="217"/>
      <c r="J724" s="217"/>
      <c r="K724" s="217"/>
      <c r="L724" s="217"/>
      <c r="M724" s="217"/>
      <c r="N724" s="217"/>
      <c r="O724" s="217"/>
      <c r="P724" s="217"/>
      <c r="Q724" s="218"/>
    </row>
    <row r="725" spans="1:17" s="219" customFormat="1" hidden="1" x14ac:dyDescent="0.25">
      <c r="A725" s="214"/>
      <c r="B725" s="215" t="s">
        <v>1822</v>
      </c>
      <c r="C725" s="215" t="s">
        <v>1823</v>
      </c>
      <c r="D725" s="215" t="s">
        <v>1928</v>
      </c>
      <c r="E725" s="215" t="s">
        <v>1825</v>
      </c>
      <c r="F725" s="215" t="s">
        <v>1836</v>
      </c>
      <c r="G725" s="215" t="s">
        <v>105</v>
      </c>
      <c r="H725" s="216" t="s">
        <v>2558</v>
      </c>
      <c r="I725" s="217"/>
      <c r="J725" s="217"/>
      <c r="K725" s="217"/>
      <c r="L725" s="217"/>
      <c r="M725" s="217"/>
      <c r="N725" s="217"/>
      <c r="O725" s="217"/>
      <c r="P725" s="217"/>
      <c r="Q725" s="218"/>
    </row>
    <row r="726" spans="1:17" s="219" customFormat="1" hidden="1" x14ac:dyDescent="0.25">
      <c r="A726" s="214"/>
      <c r="B726" s="215" t="s">
        <v>1822</v>
      </c>
      <c r="C726" s="215" t="s">
        <v>1823</v>
      </c>
      <c r="D726" s="215" t="s">
        <v>1928</v>
      </c>
      <c r="E726" s="215" t="s">
        <v>1825</v>
      </c>
      <c r="F726" s="215" t="s">
        <v>1836</v>
      </c>
      <c r="G726" s="215" t="s">
        <v>108</v>
      </c>
      <c r="H726" s="216" t="s">
        <v>2559</v>
      </c>
      <c r="I726" s="217"/>
      <c r="J726" s="217"/>
      <c r="K726" s="217"/>
      <c r="L726" s="217"/>
      <c r="M726" s="217"/>
      <c r="N726" s="217"/>
      <c r="O726" s="217"/>
      <c r="P726" s="217"/>
      <c r="Q726" s="218"/>
    </row>
    <row r="727" spans="1:17" s="219" customFormat="1" ht="30" hidden="1" x14ac:dyDescent="0.25">
      <c r="A727" s="214"/>
      <c r="B727" s="215" t="s">
        <v>1822</v>
      </c>
      <c r="C727" s="215" t="s">
        <v>1823</v>
      </c>
      <c r="D727" s="215" t="s">
        <v>1928</v>
      </c>
      <c r="E727" s="215" t="s">
        <v>1825</v>
      </c>
      <c r="F727" s="215" t="s">
        <v>1836</v>
      </c>
      <c r="G727" s="215" t="s">
        <v>135</v>
      </c>
      <c r="H727" s="216" t="s">
        <v>2560</v>
      </c>
      <c r="I727" s="217"/>
      <c r="J727" s="217"/>
      <c r="K727" s="217"/>
      <c r="L727" s="217"/>
      <c r="M727" s="217"/>
      <c r="N727" s="217"/>
      <c r="O727" s="217"/>
      <c r="P727" s="217"/>
      <c r="Q727" s="218"/>
    </row>
    <row r="728" spans="1:17" s="219" customFormat="1" hidden="1" x14ac:dyDescent="0.25">
      <c r="A728" s="214"/>
      <c r="B728" s="215" t="s">
        <v>1822</v>
      </c>
      <c r="C728" s="215" t="s">
        <v>1823</v>
      </c>
      <c r="D728" s="215" t="s">
        <v>1928</v>
      </c>
      <c r="E728" s="215" t="s">
        <v>1825</v>
      </c>
      <c r="F728" s="215" t="s">
        <v>1836</v>
      </c>
      <c r="G728" s="215" t="s">
        <v>138</v>
      </c>
      <c r="H728" s="216" t="s">
        <v>2561</v>
      </c>
      <c r="I728" s="217"/>
      <c r="J728" s="217"/>
      <c r="K728" s="217"/>
      <c r="L728" s="217"/>
      <c r="M728" s="217"/>
      <c r="N728" s="217"/>
      <c r="O728" s="217"/>
      <c r="P728" s="217"/>
      <c r="Q728" s="218"/>
    </row>
    <row r="729" spans="1:17" s="219" customFormat="1" hidden="1" x14ac:dyDescent="0.25">
      <c r="A729" s="214"/>
      <c r="B729" s="215" t="s">
        <v>1822</v>
      </c>
      <c r="C729" s="215" t="s">
        <v>1823</v>
      </c>
      <c r="D729" s="215" t="s">
        <v>1928</v>
      </c>
      <c r="E729" s="215" t="s">
        <v>1825</v>
      </c>
      <c r="F729" s="215" t="s">
        <v>1836</v>
      </c>
      <c r="G729" s="215" t="s">
        <v>140</v>
      </c>
      <c r="H729" s="216" t="s">
        <v>2562</v>
      </c>
      <c r="I729" s="217"/>
      <c r="J729" s="217"/>
      <c r="K729" s="217"/>
      <c r="L729" s="217"/>
      <c r="M729" s="217"/>
      <c r="N729" s="217"/>
      <c r="O729" s="217"/>
      <c r="P729" s="217"/>
      <c r="Q729" s="218"/>
    </row>
    <row r="730" spans="1:17" s="213" customFormat="1" hidden="1" x14ac:dyDescent="0.25">
      <c r="A730" s="208" t="s">
        <v>1905</v>
      </c>
      <c r="B730" s="209" t="s">
        <v>1822</v>
      </c>
      <c r="C730" s="209" t="s">
        <v>1823</v>
      </c>
      <c r="D730" s="209" t="s">
        <v>1928</v>
      </c>
      <c r="E730" s="209" t="s">
        <v>1836</v>
      </c>
      <c r="F730" s="209"/>
      <c r="G730" s="209"/>
      <c r="H730" s="210" t="s">
        <v>2563</v>
      </c>
      <c r="I730" s="211">
        <f>SUM(I731+I740+I749+I758+I766+I775+I782)</f>
        <v>0</v>
      </c>
      <c r="J730" s="211">
        <f t="shared" ref="J730:P730" si="94">SUM(J731+J740+J749+J758+J766+J775+J782)</f>
        <v>0</v>
      </c>
      <c r="K730" s="211">
        <f t="shared" si="94"/>
        <v>0</v>
      </c>
      <c r="L730" s="211">
        <f t="shared" si="94"/>
        <v>0</v>
      </c>
      <c r="M730" s="211">
        <f t="shared" si="94"/>
        <v>0</v>
      </c>
      <c r="N730" s="211">
        <f t="shared" si="94"/>
        <v>0</v>
      </c>
      <c r="O730" s="211">
        <f t="shared" si="94"/>
        <v>0</v>
      </c>
      <c r="P730" s="211">
        <f t="shared" si="94"/>
        <v>0</v>
      </c>
      <c r="Q730" s="212"/>
    </row>
    <row r="731" spans="1:17" s="213" customFormat="1" hidden="1" x14ac:dyDescent="0.25">
      <c r="A731" s="208" t="s">
        <v>263</v>
      </c>
      <c r="B731" s="209" t="s">
        <v>1822</v>
      </c>
      <c r="C731" s="209" t="s">
        <v>1823</v>
      </c>
      <c r="D731" s="209" t="s">
        <v>1928</v>
      </c>
      <c r="E731" s="209" t="s">
        <v>1836</v>
      </c>
      <c r="F731" s="209" t="s">
        <v>1825</v>
      </c>
      <c r="G731" s="209"/>
      <c r="H731" s="210" t="s">
        <v>2564</v>
      </c>
      <c r="I731" s="211">
        <f>SUM(I732:I739)</f>
        <v>0</v>
      </c>
      <c r="J731" s="211">
        <f t="shared" ref="J731:P731" si="95">SUM(J732:J739)</f>
        <v>0</v>
      </c>
      <c r="K731" s="211">
        <f t="shared" si="95"/>
        <v>0</v>
      </c>
      <c r="L731" s="211">
        <f t="shared" si="95"/>
        <v>0</v>
      </c>
      <c r="M731" s="211">
        <f t="shared" si="95"/>
        <v>0</v>
      </c>
      <c r="N731" s="211">
        <f t="shared" si="95"/>
        <v>0</v>
      </c>
      <c r="O731" s="211">
        <f t="shared" si="95"/>
        <v>0</v>
      </c>
      <c r="P731" s="211">
        <f t="shared" si="95"/>
        <v>0</v>
      </c>
      <c r="Q731" s="212"/>
    </row>
    <row r="732" spans="1:17" s="219" customFormat="1" hidden="1" x14ac:dyDescent="0.25">
      <c r="A732" s="214"/>
      <c r="B732" s="215" t="s">
        <v>1822</v>
      </c>
      <c r="C732" s="215" t="s">
        <v>1823</v>
      </c>
      <c r="D732" s="215" t="s">
        <v>1928</v>
      </c>
      <c r="E732" s="215" t="s">
        <v>1836</v>
      </c>
      <c r="F732" s="215" t="s">
        <v>1825</v>
      </c>
      <c r="G732" s="215" t="s">
        <v>58</v>
      </c>
      <c r="H732" s="216" t="s">
        <v>2565</v>
      </c>
      <c r="I732" s="217"/>
      <c r="J732" s="217"/>
      <c r="K732" s="217"/>
      <c r="L732" s="217"/>
      <c r="M732" s="217"/>
      <c r="N732" s="217"/>
      <c r="O732" s="217"/>
      <c r="P732" s="217"/>
      <c r="Q732" s="218"/>
    </row>
    <row r="733" spans="1:17" s="219" customFormat="1" hidden="1" x14ac:dyDescent="0.25">
      <c r="A733" s="214"/>
      <c r="B733" s="215" t="s">
        <v>1822</v>
      </c>
      <c r="C733" s="215" t="s">
        <v>1823</v>
      </c>
      <c r="D733" s="215" t="s">
        <v>1928</v>
      </c>
      <c r="E733" s="215" t="s">
        <v>1836</v>
      </c>
      <c r="F733" s="215" t="s">
        <v>1825</v>
      </c>
      <c r="G733" s="215" t="s">
        <v>75</v>
      </c>
      <c r="H733" s="216" t="s">
        <v>2566</v>
      </c>
      <c r="I733" s="217"/>
      <c r="J733" s="217"/>
      <c r="K733" s="217"/>
      <c r="L733" s="217"/>
      <c r="M733" s="217"/>
      <c r="N733" s="217"/>
      <c r="O733" s="217"/>
      <c r="P733" s="217"/>
      <c r="Q733" s="218"/>
    </row>
    <row r="734" spans="1:17" s="219" customFormat="1" hidden="1" x14ac:dyDescent="0.25">
      <c r="A734" s="214"/>
      <c r="B734" s="215" t="s">
        <v>1822</v>
      </c>
      <c r="C734" s="215" t="s">
        <v>1823</v>
      </c>
      <c r="D734" s="215" t="s">
        <v>1928</v>
      </c>
      <c r="E734" s="215" t="s">
        <v>1836</v>
      </c>
      <c r="F734" s="215" t="s">
        <v>1825</v>
      </c>
      <c r="G734" s="215" t="s">
        <v>79</v>
      </c>
      <c r="H734" s="216" t="s">
        <v>2567</v>
      </c>
      <c r="I734" s="217"/>
      <c r="J734" s="217"/>
      <c r="K734" s="217"/>
      <c r="L734" s="217"/>
      <c r="M734" s="217"/>
      <c r="N734" s="217"/>
      <c r="O734" s="217"/>
      <c r="P734" s="217"/>
      <c r="Q734" s="218"/>
    </row>
    <row r="735" spans="1:17" s="219" customFormat="1" hidden="1" x14ac:dyDescent="0.25">
      <c r="A735" s="214"/>
      <c r="B735" s="215" t="s">
        <v>1822</v>
      </c>
      <c r="C735" s="215" t="s">
        <v>1823</v>
      </c>
      <c r="D735" s="215" t="s">
        <v>1928</v>
      </c>
      <c r="E735" s="215" t="s">
        <v>1836</v>
      </c>
      <c r="F735" s="215" t="s">
        <v>1825</v>
      </c>
      <c r="G735" s="215" t="s">
        <v>84</v>
      </c>
      <c r="H735" s="216" t="s">
        <v>2568</v>
      </c>
      <c r="I735" s="217"/>
      <c r="J735" s="217"/>
      <c r="K735" s="217"/>
      <c r="L735" s="217"/>
      <c r="M735" s="217"/>
      <c r="N735" s="217"/>
      <c r="O735" s="217"/>
      <c r="P735" s="217"/>
      <c r="Q735" s="218"/>
    </row>
    <row r="736" spans="1:17" s="219" customFormat="1" hidden="1" x14ac:dyDescent="0.25">
      <c r="A736" s="214"/>
      <c r="B736" s="215" t="s">
        <v>1822</v>
      </c>
      <c r="C736" s="215" t="s">
        <v>1823</v>
      </c>
      <c r="D736" s="215" t="s">
        <v>1928</v>
      </c>
      <c r="E736" s="215" t="s">
        <v>1836</v>
      </c>
      <c r="F736" s="215" t="s">
        <v>1825</v>
      </c>
      <c r="G736" s="215" t="s">
        <v>88</v>
      </c>
      <c r="H736" s="216" t="s">
        <v>2569</v>
      </c>
      <c r="I736" s="217"/>
      <c r="J736" s="217"/>
      <c r="K736" s="217"/>
      <c r="L736" s="217"/>
      <c r="M736" s="217"/>
      <c r="N736" s="217"/>
      <c r="O736" s="217"/>
      <c r="P736" s="217"/>
      <c r="Q736" s="218"/>
    </row>
    <row r="737" spans="1:17" s="219" customFormat="1" hidden="1" x14ac:dyDescent="0.25">
      <c r="A737" s="214"/>
      <c r="B737" s="215" t="s">
        <v>1822</v>
      </c>
      <c r="C737" s="215" t="s">
        <v>1823</v>
      </c>
      <c r="D737" s="215" t="s">
        <v>1928</v>
      </c>
      <c r="E737" s="215" t="s">
        <v>1836</v>
      </c>
      <c r="F737" s="215" t="s">
        <v>1825</v>
      </c>
      <c r="G737" s="215" t="s">
        <v>92</v>
      </c>
      <c r="H737" s="216" t="s">
        <v>2570</v>
      </c>
      <c r="I737" s="217"/>
      <c r="J737" s="217"/>
      <c r="K737" s="217"/>
      <c r="L737" s="217"/>
      <c r="M737" s="217"/>
      <c r="N737" s="217"/>
      <c r="O737" s="217"/>
      <c r="P737" s="217"/>
      <c r="Q737" s="218"/>
    </row>
    <row r="738" spans="1:17" s="219" customFormat="1" hidden="1" x14ac:dyDescent="0.25">
      <c r="A738" s="214"/>
      <c r="B738" s="215" t="s">
        <v>1822</v>
      </c>
      <c r="C738" s="215" t="s">
        <v>1823</v>
      </c>
      <c r="D738" s="215" t="s">
        <v>1928</v>
      </c>
      <c r="E738" s="215" t="s">
        <v>1836</v>
      </c>
      <c r="F738" s="215" t="s">
        <v>1825</v>
      </c>
      <c r="G738" s="215" t="s">
        <v>96</v>
      </c>
      <c r="H738" s="216" t="s">
        <v>2571</v>
      </c>
      <c r="I738" s="217"/>
      <c r="J738" s="217"/>
      <c r="K738" s="217"/>
      <c r="L738" s="217"/>
      <c r="M738" s="217"/>
      <c r="N738" s="217"/>
      <c r="O738" s="217"/>
      <c r="P738" s="217"/>
      <c r="Q738" s="218"/>
    </row>
    <row r="739" spans="1:17" s="219" customFormat="1" hidden="1" x14ac:dyDescent="0.25">
      <c r="A739" s="214"/>
      <c r="B739" s="215" t="s">
        <v>1822</v>
      </c>
      <c r="C739" s="215" t="s">
        <v>1823</v>
      </c>
      <c r="D739" s="215" t="s">
        <v>1928</v>
      </c>
      <c r="E739" s="215" t="s">
        <v>1836</v>
      </c>
      <c r="F739" s="215" t="s">
        <v>1825</v>
      </c>
      <c r="G739" s="215" t="s">
        <v>100</v>
      </c>
      <c r="H739" s="216" t="s">
        <v>2572</v>
      </c>
      <c r="I739" s="217"/>
      <c r="J739" s="217"/>
      <c r="K739" s="217"/>
      <c r="L739" s="217"/>
      <c r="M739" s="217"/>
      <c r="N739" s="217"/>
      <c r="O739" s="217"/>
      <c r="P739" s="217"/>
      <c r="Q739" s="218"/>
    </row>
    <row r="740" spans="1:17" s="213" customFormat="1" hidden="1" x14ac:dyDescent="0.25">
      <c r="A740" s="208" t="s">
        <v>263</v>
      </c>
      <c r="B740" s="209" t="s">
        <v>1822</v>
      </c>
      <c r="C740" s="209" t="s">
        <v>1823</v>
      </c>
      <c r="D740" s="209" t="s">
        <v>1928</v>
      </c>
      <c r="E740" s="209" t="s">
        <v>1836</v>
      </c>
      <c r="F740" s="209" t="s">
        <v>1836</v>
      </c>
      <c r="G740" s="209"/>
      <c r="H740" s="210" t="s">
        <v>2573</v>
      </c>
      <c r="I740" s="211">
        <f>SUM(I741:I748)</f>
        <v>0</v>
      </c>
      <c r="J740" s="211">
        <f t="shared" ref="J740:P740" si="96">SUM(J741:J748)</f>
        <v>0</v>
      </c>
      <c r="K740" s="211">
        <f t="shared" si="96"/>
        <v>0</v>
      </c>
      <c r="L740" s="211">
        <f t="shared" si="96"/>
        <v>0</v>
      </c>
      <c r="M740" s="211">
        <f t="shared" si="96"/>
        <v>0</v>
      </c>
      <c r="N740" s="211">
        <f t="shared" si="96"/>
        <v>0</v>
      </c>
      <c r="O740" s="211">
        <f t="shared" si="96"/>
        <v>0</v>
      </c>
      <c r="P740" s="211">
        <f t="shared" si="96"/>
        <v>0</v>
      </c>
      <c r="Q740" s="212"/>
    </row>
    <row r="741" spans="1:17" s="219" customFormat="1" hidden="1" x14ac:dyDescent="0.25">
      <c r="A741" s="214"/>
      <c r="B741" s="215" t="s">
        <v>1822</v>
      </c>
      <c r="C741" s="215" t="s">
        <v>1823</v>
      </c>
      <c r="D741" s="215" t="s">
        <v>1928</v>
      </c>
      <c r="E741" s="215" t="s">
        <v>1836</v>
      </c>
      <c r="F741" s="215" t="s">
        <v>1836</v>
      </c>
      <c r="G741" s="215" t="s">
        <v>58</v>
      </c>
      <c r="H741" s="216" t="s">
        <v>2574</v>
      </c>
      <c r="I741" s="217"/>
      <c r="J741" s="217"/>
      <c r="K741" s="217"/>
      <c r="L741" s="217"/>
      <c r="M741" s="217"/>
      <c r="N741" s="217"/>
      <c r="O741" s="217"/>
      <c r="P741" s="217"/>
      <c r="Q741" s="218"/>
    </row>
    <row r="742" spans="1:17" s="219" customFormat="1" hidden="1" x14ac:dyDescent="0.25">
      <c r="A742" s="214"/>
      <c r="B742" s="215" t="s">
        <v>1822</v>
      </c>
      <c r="C742" s="215" t="s">
        <v>1823</v>
      </c>
      <c r="D742" s="215" t="s">
        <v>1928</v>
      </c>
      <c r="E742" s="215" t="s">
        <v>1836</v>
      </c>
      <c r="F742" s="215" t="s">
        <v>1836</v>
      </c>
      <c r="G742" s="215" t="s">
        <v>75</v>
      </c>
      <c r="H742" s="216" t="s">
        <v>2575</v>
      </c>
      <c r="I742" s="217"/>
      <c r="J742" s="217"/>
      <c r="K742" s="217"/>
      <c r="L742" s="217"/>
      <c r="M742" s="217"/>
      <c r="N742" s="217"/>
      <c r="O742" s="217"/>
      <c r="P742" s="217"/>
      <c r="Q742" s="218"/>
    </row>
    <row r="743" spans="1:17" s="219" customFormat="1" hidden="1" x14ac:dyDescent="0.25">
      <c r="A743" s="214"/>
      <c r="B743" s="215" t="s">
        <v>1822</v>
      </c>
      <c r="C743" s="215" t="s">
        <v>1823</v>
      </c>
      <c r="D743" s="215" t="s">
        <v>1928</v>
      </c>
      <c r="E743" s="215" t="s">
        <v>1836</v>
      </c>
      <c r="F743" s="215" t="s">
        <v>1836</v>
      </c>
      <c r="G743" s="215" t="s">
        <v>79</v>
      </c>
      <c r="H743" s="216" t="s">
        <v>2576</v>
      </c>
      <c r="I743" s="217"/>
      <c r="J743" s="217"/>
      <c r="K743" s="217"/>
      <c r="L743" s="217"/>
      <c r="M743" s="217"/>
      <c r="N743" s="217"/>
      <c r="O743" s="217"/>
      <c r="P743" s="217"/>
      <c r="Q743" s="218"/>
    </row>
    <row r="744" spans="1:17" s="219" customFormat="1" hidden="1" x14ac:dyDescent="0.25">
      <c r="A744" s="214"/>
      <c r="B744" s="215" t="s">
        <v>1822</v>
      </c>
      <c r="C744" s="215" t="s">
        <v>1823</v>
      </c>
      <c r="D744" s="215" t="s">
        <v>1928</v>
      </c>
      <c r="E744" s="215" t="s">
        <v>1836</v>
      </c>
      <c r="F744" s="215" t="s">
        <v>1836</v>
      </c>
      <c r="G744" s="215" t="s">
        <v>84</v>
      </c>
      <c r="H744" s="216" t="s">
        <v>2577</v>
      </c>
      <c r="I744" s="217"/>
      <c r="J744" s="217"/>
      <c r="K744" s="217"/>
      <c r="L744" s="217"/>
      <c r="M744" s="217"/>
      <c r="N744" s="217"/>
      <c r="O744" s="217"/>
      <c r="P744" s="217"/>
      <c r="Q744" s="218"/>
    </row>
    <row r="745" spans="1:17" s="219" customFormat="1" hidden="1" x14ac:dyDescent="0.25">
      <c r="A745" s="214"/>
      <c r="B745" s="215" t="s">
        <v>1822</v>
      </c>
      <c r="C745" s="215" t="s">
        <v>1823</v>
      </c>
      <c r="D745" s="215" t="s">
        <v>1928</v>
      </c>
      <c r="E745" s="215" t="s">
        <v>1836</v>
      </c>
      <c r="F745" s="215" t="s">
        <v>1836</v>
      </c>
      <c r="G745" s="215" t="s">
        <v>88</v>
      </c>
      <c r="H745" s="216" t="s">
        <v>2578</v>
      </c>
      <c r="I745" s="217"/>
      <c r="J745" s="217"/>
      <c r="K745" s="217"/>
      <c r="L745" s="217"/>
      <c r="M745" s="217"/>
      <c r="N745" s="217"/>
      <c r="O745" s="217"/>
      <c r="P745" s="217"/>
      <c r="Q745" s="218"/>
    </row>
    <row r="746" spans="1:17" s="219" customFormat="1" hidden="1" x14ac:dyDescent="0.25">
      <c r="A746" s="214"/>
      <c r="B746" s="215" t="s">
        <v>1822</v>
      </c>
      <c r="C746" s="215" t="s">
        <v>1823</v>
      </c>
      <c r="D746" s="215" t="s">
        <v>1928</v>
      </c>
      <c r="E746" s="215" t="s">
        <v>1836</v>
      </c>
      <c r="F746" s="215" t="s">
        <v>1836</v>
      </c>
      <c r="G746" s="215" t="s">
        <v>92</v>
      </c>
      <c r="H746" s="216" t="s">
        <v>2579</v>
      </c>
      <c r="I746" s="217"/>
      <c r="J746" s="217"/>
      <c r="K746" s="217"/>
      <c r="L746" s="217"/>
      <c r="M746" s="217"/>
      <c r="N746" s="217"/>
      <c r="O746" s="217"/>
      <c r="P746" s="217"/>
      <c r="Q746" s="218"/>
    </row>
    <row r="747" spans="1:17" s="219" customFormat="1" hidden="1" x14ac:dyDescent="0.25">
      <c r="A747" s="214"/>
      <c r="B747" s="215" t="s">
        <v>1822</v>
      </c>
      <c r="C747" s="215" t="s">
        <v>1823</v>
      </c>
      <c r="D747" s="215" t="s">
        <v>1928</v>
      </c>
      <c r="E747" s="215" t="s">
        <v>1836</v>
      </c>
      <c r="F747" s="215" t="s">
        <v>1836</v>
      </c>
      <c r="G747" s="215" t="s">
        <v>96</v>
      </c>
      <c r="H747" s="216" t="s">
        <v>2580</v>
      </c>
      <c r="I747" s="217"/>
      <c r="J747" s="217"/>
      <c r="K747" s="217"/>
      <c r="L747" s="217"/>
      <c r="M747" s="217"/>
      <c r="N747" s="217"/>
      <c r="O747" s="217"/>
      <c r="P747" s="217"/>
      <c r="Q747" s="218"/>
    </row>
    <row r="748" spans="1:17" s="219" customFormat="1" ht="30" hidden="1" x14ac:dyDescent="0.25">
      <c r="A748" s="214"/>
      <c r="B748" s="215" t="s">
        <v>1822</v>
      </c>
      <c r="C748" s="215" t="s">
        <v>1823</v>
      </c>
      <c r="D748" s="215" t="s">
        <v>1928</v>
      </c>
      <c r="E748" s="215" t="s">
        <v>1836</v>
      </c>
      <c r="F748" s="215" t="s">
        <v>1836</v>
      </c>
      <c r="G748" s="215" t="s">
        <v>100</v>
      </c>
      <c r="H748" s="216" t="s">
        <v>2581</v>
      </c>
      <c r="I748" s="217"/>
      <c r="J748" s="217"/>
      <c r="K748" s="217"/>
      <c r="L748" s="217"/>
      <c r="M748" s="217"/>
      <c r="N748" s="217"/>
      <c r="O748" s="217"/>
      <c r="P748" s="217"/>
      <c r="Q748" s="218"/>
    </row>
    <row r="749" spans="1:17" s="213" customFormat="1" ht="30" hidden="1" x14ac:dyDescent="0.25">
      <c r="A749" s="208" t="s">
        <v>263</v>
      </c>
      <c r="B749" s="209" t="s">
        <v>1822</v>
      </c>
      <c r="C749" s="209" t="s">
        <v>1823</v>
      </c>
      <c r="D749" s="209" t="s">
        <v>1928</v>
      </c>
      <c r="E749" s="209" t="s">
        <v>1836</v>
      </c>
      <c r="F749" s="209" t="s">
        <v>1847</v>
      </c>
      <c r="G749" s="209"/>
      <c r="H749" s="210" t="s">
        <v>2582</v>
      </c>
      <c r="I749" s="211">
        <f>SUM(I750:I757)</f>
        <v>0</v>
      </c>
      <c r="J749" s="211">
        <f t="shared" ref="J749:P749" si="97">SUM(J750:J757)</f>
        <v>0</v>
      </c>
      <c r="K749" s="211">
        <f t="shared" si="97"/>
        <v>0</v>
      </c>
      <c r="L749" s="211">
        <f t="shared" si="97"/>
        <v>0</v>
      </c>
      <c r="M749" s="211">
        <f t="shared" si="97"/>
        <v>0</v>
      </c>
      <c r="N749" s="211">
        <f t="shared" si="97"/>
        <v>0</v>
      </c>
      <c r="O749" s="211">
        <f t="shared" si="97"/>
        <v>0</v>
      </c>
      <c r="P749" s="211">
        <f t="shared" si="97"/>
        <v>0</v>
      </c>
      <c r="Q749" s="212"/>
    </row>
    <row r="750" spans="1:17" s="219" customFormat="1" ht="30" hidden="1" x14ac:dyDescent="0.25">
      <c r="A750" s="214"/>
      <c r="B750" s="215" t="s">
        <v>1822</v>
      </c>
      <c r="C750" s="215" t="s">
        <v>1823</v>
      </c>
      <c r="D750" s="215" t="s">
        <v>1928</v>
      </c>
      <c r="E750" s="215" t="s">
        <v>1836</v>
      </c>
      <c r="F750" s="215" t="s">
        <v>1847</v>
      </c>
      <c r="G750" s="215" t="s">
        <v>58</v>
      </c>
      <c r="H750" s="216" t="s">
        <v>2583</v>
      </c>
      <c r="I750" s="217"/>
      <c r="J750" s="217"/>
      <c r="K750" s="217"/>
      <c r="L750" s="217"/>
      <c r="M750" s="217"/>
      <c r="N750" s="217"/>
      <c r="O750" s="217"/>
      <c r="P750" s="217"/>
      <c r="Q750" s="218"/>
    </row>
    <row r="751" spans="1:17" s="219" customFormat="1" ht="30" hidden="1" x14ac:dyDescent="0.25">
      <c r="A751" s="214"/>
      <c r="B751" s="215" t="s">
        <v>1822</v>
      </c>
      <c r="C751" s="215" t="s">
        <v>1823</v>
      </c>
      <c r="D751" s="215" t="s">
        <v>1928</v>
      </c>
      <c r="E751" s="215" t="s">
        <v>1836</v>
      </c>
      <c r="F751" s="215" t="s">
        <v>1847</v>
      </c>
      <c r="G751" s="215" t="s">
        <v>75</v>
      </c>
      <c r="H751" s="216" t="s">
        <v>2584</v>
      </c>
      <c r="I751" s="217"/>
      <c r="J751" s="217"/>
      <c r="K751" s="217"/>
      <c r="L751" s="217"/>
      <c r="M751" s="217"/>
      <c r="N751" s="217"/>
      <c r="O751" s="217"/>
      <c r="P751" s="217"/>
      <c r="Q751" s="218"/>
    </row>
    <row r="752" spans="1:17" s="219" customFormat="1" ht="30" hidden="1" x14ac:dyDescent="0.25">
      <c r="A752" s="214"/>
      <c r="B752" s="215" t="s">
        <v>1822</v>
      </c>
      <c r="C752" s="215" t="s">
        <v>1823</v>
      </c>
      <c r="D752" s="215" t="s">
        <v>1928</v>
      </c>
      <c r="E752" s="215" t="s">
        <v>1836</v>
      </c>
      <c r="F752" s="215" t="s">
        <v>1847</v>
      </c>
      <c r="G752" s="215" t="s">
        <v>79</v>
      </c>
      <c r="H752" s="216" t="s">
        <v>2585</v>
      </c>
      <c r="I752" s="217"/>
      <c r="J752" s="217"/>
      <c r="K752" s="217"/>
      <c r="L752" s="217"/>
      <c r="M752" s="217"/>
      <c r="N752" s="217"/>
      <c r="O752" s="217"/>
      <c r="P752" s="217"/>
      <c r="Q752" s="218"/>
    </row>
    <row r="753" spans="1:17" s="219" customFormat="1" ht="30" hidden="1" x14ac:dyDescent="0.25">
      <c r="A753" s="214"/>
      <c r="B753" s="215" t="s">
        <v>1822</v>
      </c>
      <c r="C753" s="215" t="s">
        <v>1823</v>
      </c>
      <c r="D753" s="215" t="s">
        <v>1928</v>
      </c>
      <c r="E753" s="215" t="s">
        <v>1836</v>
      </c>
      <c r="F753" s="215" t="s">
        <v>1847</v>
      </c>
      <c r="G753" s="215" t="s">
        <v>84</v>
      </c>
      <c r="H753" s="216" t="s">
        <v>2586</v>
      </c>
      <c r="I753" s="217"/>
      <c r="J753" s="217"/>
      <c r="K753" s="217"/>
      <c r="L753" s="217"/>
      <c r="M753" s="217"/>
      <c r="N753" s="217"/>
      <c r="O753" s="217"/>
      <c r="P753" s="217"/>
      <c r="Q753" s="218"/>
    </row>
    <row r="754" spans="1:17" s="219" customFormat="1" ht="30" hidden="1" x14ac:dyDescent="0.25">
      <c r="A754" s="214"/>
      <c r="B754" s="215" t="s">
        <v>1822</v>
      </c>
      <c r="C754" s="215" t="s">
        <v>1823</v>
      </c>
      <c r="D754" s="215" t="s">
        <v>1928</v>
      </c>
      <c r="E754" s="215" t="s">
        <v>1836</v>
      </c>
      <c r="F754" s="215" t="s">
        <v>1847</v>
      </c>
      <c r="G754" s="215" t="s">
        <v>88</v>
      </c>
      <c r="H754" s="216" t="s">
        <v>2587</v>
      </c>
      <c r="I754" s="217"/>
      <c r="J754" s="217"/>
      <c r="K754" s="217"/>
      <c r="L754" s="217"/>
      <c r="M754" s="217"/>
      <c r="N754" s="217"/>
      <c r="O754" s="217"/>
      <c r="P754" s="217"/>
      <c r="Q754" s="218"/>
    </row>
    <row r="755" spans="1:17" s="219" customFormat="1" ht="30" hidden="1" x14ac:dyDescent="0.25">
      <c r="A755" s="214"/>
      <c r="B755" s="215" t="s">
        <v>1822</v>
      </c>
      <c r="C755" s="215" t="s">
        <v>1823</v>
      </c>
      <c r="D755" s="215" t="s">
        <v>1928</v>
      </c>
      <c r="E755" s="215" t="s">
        <v>1836</v>
      </c>
      <c r="F755" s="215" t="s">
        <v>1847</v>
      </c>
      <c r="G755" s="215" t="s">
        <v>92</v>
      </c>
      <c r="H755" s="216" t="s">
        <v>2588</v>
      </c>
      <c r="I755" s="217"/>
      <c r="J755" s="217"/>
      <c r="K755" s="217"/>
      <c r="L755" s="217"/>
      <c r="M755" s="217"/>
      <c r="N755" s="217"/>
      <c r="O755" s="217"/>
      <c r="P755" s="217"/>
      <c r="Q755" s="218"/>
    </row>
    <row r="756" spans="1:17" s="219" customFormat="1" ht="30" hidden="1" x14ac:dyDescent="0.25">
      <c r="A756" s="214"/>
      <c r="B756" s="215" t="s">
        <v>1822</v>
      </c>
      <c r="C756" s="215" t="s">
        <v>1823</v>
      </c>
      <c r="D756" s="215" t="s">
        <v>1928</v>
      </c>
      <c r="E756" s="215" t="s">
        <v>1836</v>
      </c>
      <c r="F756" s="215" t="s">
        <v>1847</v>
      </c>
      <c r="G756" s="215" t="s">
        <v>96</v>
      </c>
      <c r="H756" s="216" t="s">
        <v>2589</v>
      </c>
      <c r="I756" s="217"/>
      <c r="J756" s="217"/>
      <c r="K756" s="217"/>
      <c r="L756" s="217"/>
      <c r="M756" s="217"/>
      <c r="N756" s="217"/>
      <c r="O756" s="217"/>
      <c r="P756" s="217"/>
      <c r="Q756" s="218"/>
    </row>
    <row r="757" spans="1:17" s="219" customFormat="1" ht="30" hidden="1" x14ac:dyDescent="0.25">
      <c r="A757" s="214"/>
      <c r="B757" s="215" t="s">
        <v>1822</v>
      </c>
      <c r="C757" s="215" t="s">
        <v>1823</v>
      </c>
      <c r="D757" s="215" t="s">
        <v>1928</v>
      </c>
      <c r="E757" s="215" t="s">
        <v>1836</v>
      </c>
      <c r="F757" s="215" t="s">
        <v>1847</v>
      </c>
      <c r="G757" s="215" t="s">
        <v>100</v>
      </c>
      <c r="H757" s="216" t="s">
        <v>2590</v>
      </c>
      <c r="I757" s="217"/>
      <c r="J757" s="217"/>
      <c r="K757" s="217"/>
      <c r="L757" s="217"/>
      <c r="M757" s="217"/>
      <c r="N757" s="217"/>
      <c r="O757" s="217"/>
      <c r="P757" s="217"/>
      <c r="Q757" s="218"/>
    </row>
    <row r="758" spans="1:17" s="213" customFormat="1" ht="30" hidden="1" x14ac:dyDescent="0.25">
      <c r="A758" s="208" t="s">
        <v>263</v>
      </c>
      <c r="B758" s="209" t="s">
        <v>1822</v>
      </c>
      <c r="C758" s="209" t="s">
        <v>1823</v>
      </c>
      <c r="D758" s="209" t="s">
        <v>1928</v>
      </c>
      <c r="E758" s="209" t="s">
        <v>1836</v>
      </c>
      <c r="F758" s="209" t="s">
        <v>1928</v>
      </c>
      <c r="G758" s="209"/>
      <c r="H758" s="210" t="s">
        <v>2591</v>
      </c>
      <c r="I758" s="211">
        <f>SUM(I759:I765)</f>
        <v>0</v>
      </c>
      <c r="J758" s="211">
        <f t="shared" ref="J758:P758" si="98">SUM(J759:J765)</f>
        <v>0</v>
      </c>
      <c r="K758" s="211">
        <f t="shared" si="98"/>
        <v>0</v>
      </c>
      <c r="L758" s="211">
        <f t="shared" si="98"/>
        <v>0</v>
      </c>
      <c r="M758" s="211">
        <f t="shared" si="98"/>
        <v>0</v>
      </c>
      <c r="N758" s="211">
        <f t="shared" si="98"/>
        <v>0</v>
      </c>
      <c r="O758" s="211">
        <f t="shared" si="98"/>
        <v>0</v>
      </c>
      <c r="P758" s="211">
        <f t="shared" si="98"/>
        <v>0</v>
      </c>
      <c r="Q758" s="212"/>
    </row>
    <row r="759" spans="1:17" s="219" customFormat="1" ht="30" hidden="1" x14ac:dyDescent="0.25">
      <c r="A759" s="214"/>
      <c r="B759" s="215" t="s">
        <v>1822</v>
      </c>
      <c r="C759" s="215" t="s">
        <v>1823</v>
      </c>
      <c r="D759" s="215" t="s">
        <v>1928</v>
      </c>
      <c r="E759" s="215" t="s">
        <v>1836</v>
      </c>
      <c r="F759" s="215" t="s">
        <v>1928</v>
      </c>
      <c r="G759" s="215" t="s">
        <v>58</v>
      </c>
      <c r="H759" s="216" t="s">
        <v>2591</v>
      </c>
      <c r="I759" s="217"/>
      <c r="J759" s="217"/>
      <c r="K759" s="217"/>
      <c r="L759" s="217"/>
      <c r="M759" s="217"/>
      <c r="N759" s="217"/>
      <c r="O759" s="217"/>
      <c r="P759" s="217"/>
      <c r="Q759" s="218"/>
    </row>
    <row r="760" spans="1:17" s="219" customFormat="1" ht="30" hidden="1" x14ac:dyDescent="0.25">
      <c r="A760" s="214"/>
      <c r="B760" s="215" t="s">
        <v>1822</v>
      </c>
      <c r="C760" s="215" t="s">
        <v>1823</v>
      </c>
      <c r="D760" s="215" t="s">
        <v>1928</v>
      </c>
      <c r="E760" s="215" t="s">
        <v>1836</v>
      </c>
      <c r="F760" s="215" t="s">
        <v>1928</v>
      </c>
      <c r="G760" s="215" t="s">
        <v>75</v>
      </c>
      <c r="H760" s="216" t="s">
        <v>2592</v>
      </c>
      <c r="I760" s="217"/>
      <c r="J760" s="217"/>
      <c r="K760" s="217"/>
      <c r="L760" s="217"/>
      <c r="M760" s="217"/>
      <c r="N760" s="217"/>
      <c r="O760" s="217"/>
      <c r="P760" s="217"/>
      <c r="Q760" s="218"/>
    </row>
    <row r="761" spans="1:17" s="219" customFormat="1" ht="30" hidden="1" x14ac:dyDescent="0.25">
      <c r="A761" s="214"/>
      <c r="B761" s="215" t="s">
        <v>1822</v>
      </c>
      <c r="C761" s="215" t="s">
        <v>1823</v>
      </c>
      <c r="D761" s="215" t="s">
        <v>1928</v>
      </c>
      <c r="E761" s="215" t="s">
        <v>1836</v>
      </c>
      <c r="F761" s="215" t="s">
        <v>1928</v>
      </c>
      <c r="G761" s="215" t="s">
        <v>79</v>
      </c>
      <c r="H761" s="216" t="s">
        <v>2593</v>
      </c>
      <c r="I761" s="217"/>
      <c r="J761" s="217"/>
      <c r="K761" s="217"/>
      <c r="L761" s="217"/>
      <c r="M761" s="217"/>
      <c r="N761" s="217"/>
      <c r="O761" s="217"/>
      <c r="P761" s="217"/>
      <c r="Q761" s="218"/>
    </row>
    <row r="762" spans="1:17" s="219" customFormat="1" ht="30" hidden="1" x14ac:dyDescent="0.25">
      <c r="A762" s="214"/>
      <c r="B762" s="215" t="s">
        <v>1822</v>
      </c>
      <c r="C762" s="215" t="s">
        <v>1823</v>
      </c>
      <c r="D762" s="215" t="s">
        <v>1928</v>
      </c>
      <c r="E762" s="215" t="s">
        <v>1836</v>
      </c>
      <c r="F762" s="215" t="s">
        <v>1928</v>
      </c>
      <c r="G762" s="215" t="s">
        <v>84</v>
      </c>
      <c r="H762" s="216" t="s">
        <v>2594</v>
      </c>
      <c r="I762" s="217"/>
      <c r="J762" s="217"/>
      <c r="K762" s="217"/>
      <c r="L762" s="217"/>
      <c r="M762" s="217"/>
      <c r="N762" s="217"/>
      <c r="O762" s="217"/>
      <c r="P762" s="217"/>
      <c r="Q762" s="218"/>
    </row>
    <row r="763" spans="1:17" s="219" customFormat="1" ht="30" hidden="1" x14ac:dyDescent="0.25">
      <c r="A763" s="214"/>
      <c r="B763" s="215" t="s">
        <v>1822</v>
      </c>
      <c r="C763" s="215" t="s">
        <v>1823</v>
      </c>
      <c r="D763" s="215" t="s">
        <v>1928</v>
      </c>
      <c r="E763" s="215" t="s">
        <v>1836</v>
      </c>
      <c r="F763" s="215" t="s">
        <v>1928</v>
      </c>
      <c r="G763" s="215" t="s">
        <v>88</v>
      </c>
      <c r="H763" s="216" t="s">
        <v>2595</v>
      </c>
      <c r="I763" s="217"/>
      <c r="J763" s="217"/>
      <c r="K763" s="217"/>
      <c r="L763" s="217"/>
      <c r="M763" s="217"/>
      <c r="N763" s="217"/>
      <c r="O763" s="217"/>
      <c r="P763" s="217"/>
      <c r="Q763" s="218"/>
    </row>
    <row r="764" spans="1:17" s="219" customFormat="1" ht="30" hidden="1" x14ac:dyDescent="0.25">
      <c r="A764" s="214"/>
      <c r="B764" s="215" t="s">
        <v>1822</v>
      </c>
      <c r="C764" s="215" t="s">
        <v>1823</v>
      </c>
      <c r="D764" s="215" t="s">
        <v>1928</v>
      </c>
      <c r="E764" s="215" t="s">
        <v>1836</v>
      </c>
      <c r="F764" s="215" t="s">
        <v>1928</v>
      </c>
      <c r="G764" s="215" t="s">
        <v>92</v>
      </c>
      <c r="H764" s="216" t="s">
        <v>2596</v>
      </c>
      <c r="I764" s="217"/>
      <c r="J764" s="217"/>
      <c r="K764" s="217"/>
      <c r="L764" s="217"/>
      <c r="M764" s="217"/>
      <c r="N764" s="217"/>
      <c r="O764" s="217"/>
      <c r="P764" s="217"/>
      <c r="Q764" s="218"/>
    </row>
    <row r="765" spans="1:17" s="219" customFormat="1" ht="45" hidden="1" x14ac:dyDescent="0.25">
      <c r="A765" s="214"/>
      <c r="B765" s="215" t="s">
        <v>1822</v>
      </c>
      <c r="C765" s="215" t="s">
        <v>1823</v>
      </c>
      <c r="D765" s="215" t="s">
        <v>1928</v>
      </c>
      <c r="E765" s="215" t="s">
        <v>1836</v>
      </c>
      <c r="F765" s="215" t="s">
        <v>1928</v>
      </c>
      <c r="G765" s="215" t="s">
        <v>96</v>
      </c>
      <c r="H765" s="216" t="s">
        <v>2597</v>
      </c>
      <c r="I765" s="217"/>
      <c r="J765" s="217"/>
      <c r="K765" s="217"/>
      <c r="L765" s="217"/>
      <c r="M765" s="217"/>
      <c r="N765" s="217"/>
      <c r="O765" s="217"/>
      <c r="P765" s="217"/>
      <c r="Q765" s="218"/>
    </row>
    <row r="766" spans="1:17" s="213" customFormat="1" ht="30" hidden="1" x14ac:dyDescent="0.25">
      <c r="A766" s="208" t="s">
        <v>263</v>
      </c>
      <c r="B766" s="209" t="s">
        <v>1822</v>
      </c>
      <c r="C766" s="209" t="s">
        <v>1823</v>
      </c>
      <c r="D766" s="209" t="s">
        <v>1928</v>
      </c>
      <c r="E766" s="209" t="s">
        <v>1836</v>
      </c>
      <c r="F766" s="209" t="s">
        <v>1934</v>
      </c>
      <c r="G766" s="209"/>
      <c r="H766" s="210" t="s">
        <v>2598</v>
      </c>
      <c r="I766" s="211">
        <f>SUM(I767:I774)</f>
        <v>0</v>
      </c>
      <c r="J766" s="211">
        <f t="shared" ref="J766:P766" si="99">SUM(J767:J774)</f>
        <v>0</v>
      </c>
      <c r="K766" s="211">
        <f t="shared" si="99"/>
        <v>0</v>
      </c>
      <c r="L766" s="211">
        <f t="shared" si="99"/>
        <v>0</v>
      </c>
      <c r="M766" s="211">
        <f t="shared" si="99"/>
        <v>0</v>
      </c>
      <c r="N766" s="211">
        <f t="shared" si="99"/>
        <v>0</v>
      </c>
      <c r="O766" s="211">
        <f t="shared" si="99"/>
        <v>0</v>
      </c>
      <c r="P766" s="211">
        <f t="shared" si="99"/>
        <v>0</v>
      </c>
      <c r="Q766" s="212"/>
    </row>
    <row r="767" spans="1:17" s="219" customFormat="1" ht="30" hidden="1" x14ac:dyDescent="0.25">
      <c r="A767" s="214"/>
      <c r="B767" s="215" t="s">
        <v>1822</v>
      </c>
      <c r="C767" s="215" t="s">
        <v>1823</v>
      </c>
      <c r="D767" s="215" t="s">
        <v>1928</v>
      </c>
      <c r="E767" s="215" t="s">
        <v>1836</v>
      </c>
      <c r="F767" s="215" t="s">
        <v>1934</v>
      </c>
      <c r="G767" s="215" t="s">
        <v>58</v>
      </c>
      <c r="H767" s="216" t="s">
        <v>2599</v>
      </c>
      <c r="I767" s="217"/>
      <c r="J767" s="217"/>
      <c r="K767" s="217"/>
      <c r="L767" s="217"/>
      <c r="M767" s="217"/>
      <c r="N767" s="217"/>
      <c r="O767" s="217"/>
      <c r="P767" s="217"/>
      <c r="Q767" s="218"/>
    </row>
    <row r="768" spans="1:17" s="219" customFormat="1" ht="30" hidden="1" x14ac:dyDescent="0.25">
      <c r="A768" s="214"/>
      <c r="B768" s="215" t="s">
        <v>1822</v>
      </c>
      <c r="C768" s="215" t="s">
        <v>1823</v>
      </c>
      <c r="D768" s="215" t="s">
        <v>1928</v>
      </c>
      <c r="E768" s="215" t="s">
        <v>1836</v>
      </c>
      <c r="F768" s="215" t="s">
        <v>1934</v>
      </c>
      <c r="G768" s="215" t="s">
        <v>75</v>
      </c>
      <c r="H768" s="216" t="s">
        <v>2600</v>
      </c>
      <c r="I768" s="217"/>
      <c r="J768" s="217"/>
      <c r="K768" s="217"/>
      <c r="L768" s="217"/>
      <c r="M768" s="217"/>
      <c r="N768" s="217"/>
      <c r="O768" s="217"/>
      <c r="P768" s="217"/>
      <c r="Q768" s="218"/>
    </row>
    <row r="769" spans="1:17" s="219" customFormat="1" ht="30" hidden="1" x14ac:dyDescent="0.25">
      <c r="A769" s="214"/>
      <c r="B769" s="215" t="s">
        <v>1822</v>
      </c>
      <c r="C769" s="215" t="s">
        <v>1823</v>
      </c>
      <c r="D769" s="215" t="s">
        <v>1928</v>
      </c>
      <c r="E769" s="215" t="s">
        <v>1836</v>
      </c>
      <c r="F769" s="215" t="s">
        <v>1934</v>
      </c>
      <c r="G769" s="215" t="s">
        <v>79</v>
      </c>
      <c r="H769" s="216" t="s">
        <v>2601</v>
      </c>
      <c r="I769" s="217"/>
      <c r="J769" s="217"/>
      <c r="K769" s="217"/>
      <c r="L769" s="217"/>
      <c r="M769" s="217"/>
      <c r="N769" s="217"/>
      <c r="O769" s="217"/>
      <c r="P769" s="217"/>
      <c r="Q769" s="218"/>
    </row>
    <row r="770" spans="1:17" s="219" customFormat="1" ht="30" hidden="1" x14ac:dyDescent="0.25">
      <c r="A770" s="214"/>
      <c r="B770" s="215" t="s">
        <v>1822</v>
      </c>
      <c r="C770" s="215" t="s">
        <v>1823</v>
      </c>
      <c r="D770" s="215" t="s">
        <v>1928</v>
      </c>
      <c r="E770" s="215" t="s">
        <v>1836</v>
      </c>
      <c r="F770" s="215" t="s">
        <v>1934</v>
      </c>
      <c r="G770" s="215" t="s">
        <v>84</v>
      </c>
      <c r="H770" s="216" t="s">
        <v>2602</v>
      </c>
      <c r="I770" s="217"/>
      <c r="J770" s="217"/>
      <c r="K770" s="217"/>
      <c r="L770" s="217"/>
      <c r="M770" s="217"/>
      <c r="N770" s="217"/>
      <c r="O770" s="217"/>
      <c r="P770" s="217"/>
      <c r="Q770" s="218"/>
    </row>
    <row r="771" spans="1:17" s="219" customFormat="1" ht="30" hidden="1" x14ac:dyDescent="0.25">
      <c r="A771" s="214"/>
      <c r="B771" s="215" t="s">
        <v>1822</v>
      </c>
      <c r="C771" s="215" t="s">
        <v>1823</v>
      </c>
      <c r="D771" s="215" t="s">
        <v>1928</v>
      </c>
      <c r="E771" s="215" t="s">
        <v>1836</v>
      </c>
      <c r="F771" s="215" t="s">
        <v>1934</v>
      </c>
      <c r="G771" s="215" t="s">
        <v>88</v>
      </c>
      <c r="H771" s="216" t="s">
        <v>2603</v>
      </c>
      <c r="I771" s="217"/>
      <c r="J771" s="217"/>
      <c r="K771" s="217"/>
      <c r="L771" s="217"/>
      <c r="M771" s="217"/>
      <c r="N771" s="217"/>
      <c r="O771" s="217"/>
      <c r="P771" s="217"/>
      <c r="Q771" s="218"/>
    </row>
    <row r="772" spans="1:17" s="219" customFormat="1" ht="30" hidden="1" x14ac:dyDescent="0.25">
      <c r="A772" s="214"/>
      <c r="B772" s="215" t="s">
        <v>1822</v>
      </c>
      <c r="C772" s="215" t="s">
        <v>1823</v>
      </c>
      <c r="D772" s="215" t="s">
        <v>1928</v>
      </c>
      <c r="E772" s="215" t="s">
        <v>1836</v>
      </c>
      <c r="F772" s="215" t="s">
        <v>1934</v>
      </c>
      <c r="G772" s="215" t="s">
        <v>92</v>
      </c>
      <c r="H772" s="216" t="s">
        <v>2604</v>
      </c>
      <c r="I772" s="217"/>
      <c r="J772" s="217"/>
      <c r="K772" s="217"/>
      <c r="L772" s="217"/>
      <c r="M772" s="217"/>
      <c r="N772" s="217"/>
      <c r="O772" s="217"/>
      <c r="P772" s="217"/>
      <c r="Q772" s="218"/>
    </row>
    <row r="773" spans="1:17" s="219" customFormat="1" hidden="1" x14ac:dyDescent="0.25">
      <c r="A773" s="214"/>
      <c r="B773" s="215" t="s">
        <v>1822</v>
      </c>
      <c r="C773" s="215" t="s">
        <v>1823</v>
      </c>
      <c r="D773" s="215" t="s">
        <v>1928</v>
      </c>
      <c r="E773" s="215" t="s">
        <v>1836</v>
      </c>
      <c r="F773" s="215" t="s">
        <v>1934</v>
      </c>
      <c r="G773" s="215" t="s">
        <v>96</v>
      </c>
      <c r="H773" s="216" t="s">
        <v>2605</v>
      </c>
      <c r="I773" s="217"/>
      <c r="J773" s="217"/>
      <c r="K773" s="217"/>
      <c r="L773" s="217"/>
      <c r="M773" s="217"/>
      <c r="N773" s="217"/>
      <c r="O773" s="217"/>
      <c r="P773" s="217"/>
      <c r="Q773" s="218"/>
    </row>
    <row r="774" spans="1:17" s="219" customFormat="1" ht="30" hidden="1" x14ac:dyDescent="0.25">
      <c r="A774" s="214"/>
      <c r="B774" s="215" t="s">
        <v>1822</v>
      </c>
      <c r="C774" s="215" t="s">
        <v>1823</v>
      </c>
      <c r="D774" s="215" t="s">
        <v>1928</v>
      </c>
      <c r="E774" s="215" t="s">
        <v>1836</v>
      </c>
      <c r="F774" s="215" t="s">
        <v>1934</v>
      </c>
      <c r="G774" s="215" t="s">
        <v>100</v>
      </c>
      <c r="H774" s="216" t="s">
        <v>2606</v>
      </c>
      <c r="I774" s="217"/>
      <c r="J774" s="217"/>
      <c r="K774" s="217"/>
      <c r="L774" s="217"/>
      <c r="M774" s="217"/>
      <c r="N774" s="217"/>
      <c r="O774" s="217"/>
      <c r="P774" s="217"/>
      <c r="Q774" s="218"/>
    </row>
    <row r="775" spans="1:17" s="213" customFormat="1" hidden="1" x14ac:dyDescent="0.25">
      <c r="A775" s="208" t="s">
        <v>263</v>
      </c>
      <c r="B775" s="209" t="s">
        <v>1822</v>
      </c>
      <c r="C775" s="209" t="s">
        <v>1823</v>
      </c>
      <c r="D775" s="209" t="s">
        <v>1928</v>
      </c>
      <c r="E775" s="209" t="s">
        <v>1836</v>
      </c>
      <c r="F775" s="209" t="s">
        <v>2022</v>
      </c>
      <c r="G775" s="209"/>
      <c r="H775" s="210" t="s">
        <v>2607</v>
      </c>
      <c r="I775" s="211">
        <f>SUM(I776:I781)</f>
        <v>0</v>
      </c>
      <c r="J775" s="211">
        <f t="shared" ref="J775:P775" si="100">SUM(J776:J781)</f>
        <v>0</v>
      </c>
      <c r="K775" s="211">
        <f t="shared" si="100"/>
        <v>0</v>
      </c>
      <c r="L775" s="211">
        <f t="shared" si="100"/>
        <v>0</v>
      </c>
      <c r="M775" s="211">
        <f t="shared" si="100"/>
        <v>0</v>
      </c>
      <c r="N775" s="211">
        <f t="shared" si="100"/>
        <v>0</v>
      </c>
      <c r="O775" s="211">
        <f t="shared" si="100"/>
        <v>0</v>
      </c>
      <c r="P775" s="211">
        <f t="shared" si="100"/>
        <v>0</v>
      </c>
      <c r="Q775" s="212"/>
    </row>
    <row r="776" spans="1:17" s="219" customFormat="1" ht="30" hidden="1" x14ac:dyDescent="0.25">
      <c r="A776" s="214"/>
      <c r="B776" s="215" t="s">
        <v>1822</v>
      </c>
      <c r="C776" s="215" t="s">
        <v>1823</v>
      </c>
      <c r="D776" s="215" t="s">
        <v>1928</v>
      </c>
      <c r="E776" s="215" t="s">
        <v>1836</v>
      </c>
      <c r="F776" s="215" t="s">
        <v>2022</v>
      </c>
      <c r="G776" s="215" t="s">
        <v>58</v>
      </c>
      <c r="H776" s="216" t="s">
        <v>2608</v>
      </c>
      <c r="I776" s="217"/>
      <c r="J776" s="217"/>
      <c r="K776" s="217"/>
      <c r="L776" s="217"/>
      <c r="M776" s="217"/>
      <c r="N776" s="217"/>
      <c r="O776" s="217"/>
      <c r="P776" s="217"/>
      <c r="Q776" s="218"/>
    </row>
    <row r="777" spans="1:17" s="219" customFormat="1" ht="30" hidden="1" x14ac:dyDescent="0.25">
      <c r="A777" s="214"/>
      <c r="B777" s="215" t="s">
        <v>1822</v>
      </c>
      <c r="C777" s="215" t="s">
        <v>1823</v>
      </c>
      <c r="D777" s="215" t="s">
        <v>1928</v>
      </c>
      <c r="E777" s="215" t="s">
        <v>1836</v>
      </c>
      <c r="F777" s="215" t="s">
        <v>2022</v>
      </c>
      <c r="G777" s="215" t="s">
        <v>75</v>
      </c>
      <c r="H777" s="216" t="s">
        <v>2609</v>
      </c>
      <c r="I777" s="217"/>
      <c r="J777" s="217"/>
      <c r="K777" s="217"/>
      <c r="L777" s="217"/>
      <c r="M777" s="217"/>
      <c r="N777" s="217"/>
      <c r="O777" s="217"/>
      <c r="P777" s="217"/>
      <c r="Q777" s="218"/>
    </row>
    <row r="778" spans="1:17" s="219" customFormat="1" ht="30" hidden="1" x14ac:dyDescent="0.25">
      <c r="A778" s="214"/>
      <c r="B778" s="215" t="s">
        <v>1822</v>
      </c>
      <c r="C778" s="215" t="s">
        <v>1823</v>
      </c>
      <c r="D778" s="215" t="s">
        <v>1928</v>
      </c>
      <c r="E778" s="215" t="s">
        <v>1836</v>
      </c>
      <c r="F778" s="215" t="s">
        <v>2022</v>
      </c>
      <c r="G778" s="215" t="s">
        <v>79</v>
      </c>
      <c r="H778" s="216" t="s">
        <v>2610</v>
      </c>
      <c r="I778" s="217"/>
      <c r="J778" s="217"/>
      <c r="K778" s="217"/>
      <c r="L778" s="217"/>
      <c r="M778" s="217"/>
      <c r="N778" s="217"/>
      <c r="O778" s="217"/>
      <c r="P778" s="217"/>
      <c r="Q778" s="218"/>
    </row>
    <row r="779" spans="1:17" s="219" customFormat="1" ht="30" hidden="1" x14ac:dyDescent="0.25">
      <c r="A779" s="214"/>
      <c r="B779" s="215" t="s">
        <v>1822</v>
      </c>
      <c r="C779" s="215" t="s">
        <v>1823</v>
      </c>
      <c r="D779" s="215" t="s">
        <v>1928</v>
      </c>
      <c r="E779" s="215" t="s">
        <v>1836</v>
      </c>
      <c r="F779" s="215" t="s">
        <v>2022</v>
      </c>
      <c r="G779" s="215" t="s">
        <v>84</v>
      </c>
      <c r="H779" s="216" t="s">
        <v>2611</v>
      </c>
      <c r="I779" s="217"/>
      <c r="J779" s="217"/>
      <c r="K779" s="217"/>
      <c r="L779" s="217"/>
      <c r="M779" s="217"/>
      <c r="N779" s="217"/>
      <c r="O779" s="217"/>
      <c r="P779" s="217"/>
      <c r="Q779" s="218"/>
    </row>
    <row r="780" spans="1:17" s="219" customFormat="1" ht="30" hidden="1" x14ac:dyDescent="0.25">
      <c r="A780" s="214"/>
      <c r="B780" s="215" t="s">
        <v>1822</v>
      </c>
      <c r="C780" s="215" t="s">
        <v>1823</v>
      </c>
      <c r="D780" s="215" t="s">
        <v>1928</v>
      </c>
      <c r="E780" s="215" t="s">
        <v>1836</v>
      </c>
      <c r="F780" s="215" t="s">
        <v>2022</v>
      </c>
      <c r="G780" s="215" t="s">
        <v>88</v>
      </c>
      <c r="H780" s="216" t="s">
        <v>2612</v>
      </c>
      <c r="I780" s="217"/>
      <c r="J780" s="217"/>
      <c r="K780" s="217"/>
      <c r="L780" s="217"/>
      <c r="M780" s="217"/>
      <c r="N780" s="217"/>
      <c r="O780" s="217"/>
      <c r="P780" s="217"/>
      <c r="Q780" s="218"/>
    </row>
    <row r="781" spans="1:17" s="219" customFormat="1" ht="30" hidden="1" x14ac:dyDescent="0.25">
      <c r="A781" s="214"/>
      <c r="B781" s="215" t="s">
        <v>1822</v>
      </c>
      <c r="C781" s="215" t="s">
        <v>1823</v>
      </c>
      <c r="D781" s="215" t="s">
        <v>1928</v>
      </c>
      <c r="E781" s="215" t="s">
        <v>1836</v>
      </c>
      <c r="F781" s="215" t="s">
        <v>2022</v>
      </c>
      <c r="G781" s="215" t="s">
        <v>92</v>
      </c>
      <c r="H781" s="216" t="s">
        <v>2613</v>
      </c>
      <c r="I781" s="217"/>
      <c r="J781" s="217"/>
      <c r="K781" s="217"/>
      <c r="L781" s="217"/>
      <c r="M781" s="217"/>
      <c r="N781" s="217"/>
      <c r="O781" s="217"/>
      <c r="P781" s="217"/>
      <c r="Q781" s="218"/>
    </row>
    <row r="782" spans="1:17" s="213" customFormat="1" hidden="1" x14ac:dyDescent="0.25">
      <c r="A782" s="208" t="s">
        <v>263</v>
      </c>
      <c r="B782" s="209" t="s">
        <v>1822</v>
      </c>
      <c r="C782" s="209" t="s">
        <v>1823</v>
      </c>
      <c r="D782" s="209" t="s">
        <v>1928</v>
      </c>
      <c r="E782" s="209" t="s">
        <v>1836</v>
      </c>
      <c r="F782" s="209" t="s">
        <v>2100</v>
      </c>
      <c r="G782" s="209"/>
      <c r="H782" s="210" t="s">
        <v>2614</v>
      </c>
      <c r="I782" s="211">
        <f>SUM(I783:I788)</f>
        <v>0</v>
      </c>
      <c r="J782" s="211">
        <f t="shared" ref="J782:P782" si="101">SUM(J783:J788)</f>
        <v>0</v>
      </c>
      <c r="K782" s="211">
        <f t="shared" si="101"/>
        <v>0</v>
      </c>
      <c r="L782" s="211">
        <f t="shared" si="101"/>
        <v>0</v>
      </c>
      <c r="M782" s="211">
        <f t="shared" si="101"/>
        <v>0</v>
      </c>
      <c r="N782" s="211">
        <f t="shared" si="101"/>
        <v>0</v>
      </c>
      <c r="O782" s="211">
        <f t="shared" si="101"/>
        <v>0</v>
      </c>
      <c r="P782" s="211">
        <f t="shared" si="101"/>
        <v>0</v>
      </c>
      <c r="Q782" s="212"/>
    </row>
    <row r="783" spans="1:17" s="219" customFormat="1" hidden="1" x14ac:dyDescent="0.25">
      <c r="A783" s="214"/>
      <c r="B783" s="215" t="s">
        <v>1822</v>
      </c>
      <c r="C783" s="215" t="s">
        <v>1823</v>
      </c>
      <c r="D783" s="215" t="s">
        <v>1928</v>
      </c>
      <c r="E783" s="215" t="s">
        <v>1836</v>
      </c>
      <c r="F783" s="215" t="s">
        <v>2100</v>
      </c>
      <c r="G783" s="215" t="s">
        <v>58</v>
      </c>
      <c r="H783" s="216" t="s">
        <v>2615</v>
      </c>
      <c r="I783" s="217"/>
      <c r="J783" s="217"/>
      <c r="K783" s="217"/>
      <c r="L783" s="217"/>
      <c r="M783" s="217"/>
      <c r="N783" s="217"/>
      <c r="O783" s="217"/>
      <c r="P783" s="217"/>
      <c r="Q783" s="218"/>
    </row>
    <row r="784" spans="1:17" s="219" customFormat="1" hidden="1" x14ac:dyDescent="0.25">
      <c r="A784" s="214"/>
      <c r="B784" s="215" t="s">
        <v>1822</v>
      </c>
      <c r="C784" s="215" t="s">
        <v>1823</v>
      </c>
      <c r="D784" s="215" t="s">
        <v>1928</v>
      </c>
      <c r="E784" s="215" t="s">
        <v>1836</v>
      </c>
      <c r="F784" s="215" t="s">
        <v>2100</v>
      </c>
      <c r="G784" s="215" t="s">
        <v>75</v>
      </c>
      <c r="H784" s="216" t="s">
        <v>2616</v>
      </c>
      <c r="I784" s="217"/>
      <c r="J784" s="217"/>
      <c r="K784" s="217"/>
      <c r="L784" s="217"/>
      <c r="M784" s="217"/>
      <c r="N784" s="217"/>
      <c r="O784" s="217"/>
      <c r="P784" s="217"/>
      <c r="Q784" s="218"/>
    </row>
    <row r="785" spans="1:17" s="219" customFormat="1" hidden="1" x14ac:dyDescent="0.25">
      <c r="A785" s="214"/>
      <c r="B785" s="215" t="s">
        <v>1822</v>
      </c>
      <c r="C785" s="215" t="s">
        <v>1823</v>
      </c>
      <c r="D785" s="215" t="s">
        <v>1928</v>
      </c>
      <c r="E785" s="215" t="s">
        <v>1836</v>
      </c>
      <c r="F785" s="215" t="s">
        <v>2100</v>
      </c>
      <c r="G785" s="215" t="s">
        <v>79</v>
      </c>
      <c r="H785" s="216" t="s">
        <v>2617</v>
      </c>
      <c r="I785" s="217"/>
      <c r="J785" s="217"/>
      <c r="K785" s="217"/>
      <c r="L785" s="217"/>
      <c r="M785" s="217"/>
      <c r="N785" s="217"/>
      <c r="O785" s="217"/>
      <c r="P785" s="217"/>
      <c r="Q785" s="218"/>
    </row>
    <row r="786" spans="1:17" s="219" customFormat="1" hidden="1" x14ac:dyDescent="0.25">
      <c r="A786" s="214"/>
      <c r="B786" s="215" t="s">
        <v>1822</v>
      </c>
      <c r="C786" s="215" t="s">
        <v>1823</v>
      </c>
      <c r="D786" s="215" t="s">
        <v>1928</v>
      </c>
      <c r="E786" s="215" t="s">
        <v>1836</v>
      </c>
      <c r="F786" s="215" t="s">
        <v>2100</v>
      </c>
      <c r="G786" s="215" t="s">
        <v>84</v>
      </c>
      <c r="H786" s="216" t="s">
        <v>2618</v>
      </c>
      <c r="I786" s="217"/>
      <c r="J786" s="217"/>
      <c r="K786" s="217"/>
      <c r="L786" s="217"/>
      <c r="M786" s="217"/>
      <c r="N786" s="217"/>
      <c r="O786" s="217"/>
      <c r="P786" s="217"/>
      <c r="Q786" s="218"/>
    </row>
    <row r="787" spans="1:17" s="219" customFormat="1" hidden="1" x14ac:dyDescent="0.25">
      <c r="A787" s="214"/>
      <c r="B787" s="215" t="s">
        <v>1822</v>
      </c>
      <c r="C787" s="215" t="s">
        <v>1823</v>
      </c>
      <c r="D787" s="215" t="s">
        <v>1928</v>
      </c>
      <c r="E787" s="215" t="s">
        <v>1836</v>
      </c>
      <c r="F787" s="215" t="s">
        <v>2100</v>
      </c>
      <c r="G787" s="215" t="s">
        <v>88</v>
      </c>
      <c r="H787" s="216" t="s">
        <v>2619</v>
      </c>
      <c r="I787" s="217"/>
      <c r="J787" s="217"/>
      <c r="K787" s="217"/>
      <c r="L787" s="217"/>
      <c r="M787" s="217"/>
      <c r="N787" s="217"/>
      <c r="O787" s="217"/>
      <c r="P787" s="217"/>
      <c r="Q787" s="218"/>
    </row>
    <row r="788" spans="1:17" s="219" customFormat="1" x14ac:dyDescent="0.25">
      <c r="A788" s="214"/>
      <c r="B788" s="215" t="s">
        <v>1822</v>
      </c>
      <c r="C788" s="215" t="s">
        <v>1823</v>
      </c>
      <c r="D788" s="215" t="s">
        <v>1928</v>
      </c>
      <c r="E788" s="215" t="s">
        <v>1836</v>
      </c>
      <c r="F788" s="215" t="s">
        <v>2100</v>
      </c>
      <c r="G788" s="215" t="s">
        <v>92</v>
      </c>
      <c r="H788" s="216" t="s">
        <v>2620</v>
      </c>
      <c r="I788" s="217"/>
      <c r="J788" s="217"/>
      <c r="K788" s="217"/>
      <c r="L788" s="217"/>
      <c r="M788" s="217"/>
      <c r="N788" s="217"/>
      <c r="O788" s="217"/>
      <c r="P788" s="217"/>
      <c r="Q788" s="218"/>
    </row>
    <row r="789" spans="1:17" s="213" customFormat="1" x14ac:dyDescent="0.25">
      <c r="A789" s="208" t="s">
        <v>1938</v>
      </c>
      <c r="B789" s="209" t="s">
        <v>1822</v>
      </c>
      <c r="C789" s="209" t="s">
        <v>1823</v>
      </c>
      <c r="D789" s="209" t="s">
        <v>1928</v>
      </c>
      <c r="E789" s="209" t="s">
        <v>1847</v>
      </c>
      <c r="F789" s="209"/>
      <c r="G789" s="209"/>
      <c r="H789" s="210" t="s">
        <v>2621</v>
      </c>
      <c r="I789" s="211">
        <f>SUM(I790+I796+I801+I806+I811+I824+I829+I832+I837+I842)</f>
        <v>489024600</v>
      </c>
      <c r="J789" s="211">
        <f t="shared" ref="J789:P789" si="102">SUM(J790+J796+J801+J806+J811+J824+J829+J832+J837+J842)</f>
        <v>11568513.680672269</v>
      </c>
      <c r="K789" s="211">
        <f t="shared" si="102"/>
        <v>4896956.8403361347</v>
      </c>
      <c r="L789" s="211">
        <f t="shared" si="102"/>
        <v>4896956.8403361347</v>
      </c>
      <c r="M789" s="211">
        <f t="shared" si="102"/>
        <v>9793913.6806722693</v>
      </c>
      <c r="N789" s="211">
        <f t="shared" si="102"/>
        <v>71614925.487394974</v>
      </c>
      <c r="O789" s="211">
        <f t="shared" si="102"/>
        <v>417409674.51260501</v>
      </c>
      <c r="P789" s="211">
        <f t="shared" si="102"/>
        <v>0</v>
      </c>
      <c r="Q789" s="212"/>
    </row>
    <row r="790" spans="1:17" s="213" customFormat="1" x14ac:dyDescent="0.25">
      <c r="A790" s="208" t="s">
        <v>263</v>
      </c>
      <c r="B790" s="209" t="s">
        <v>1822</v>
      </c>
      <c r="C790" s="209" t="s">
        <v>1823</v>
      </c>
      <c r="D790" s="209" t="s">
        <v>1928</v>
      </c>
      <c r="E790" s="209" t="s">
        <v>1847</v>
      </c>
      <c r="F790" s="209" t="s">
        <v>1825</v>
      </c>
      <c r="G790" s="209"/>
      <c r="H790" s="210" t="s">
        <v>2622</v>
      </c>
      <c r="I790" s="211">
        <f>SUM(I791:I795)</f>
        <v>489024600</v>
      </c>
      <c r="J790" s="211">
        <f t="shared" ref="J790:P790" si="103">SUM(J791:J795)</f>
        <v>11568513.680672269</v>
      </c>
      <c r="K790" s="211">
        <f t="shared" si="103"/>
        <v>4896956.8403361347</v>
      </c>
      <c r="L790" s="211">
        <f t="shared" si="103"/>
        <v>4896956.8403361347</v>
      </c>
      <c r="M790" s="211">
        <f t="shared" si="103"/>
        <v>9793913.6806722693</v>
      </c>
      <c r="N790" s="211">
        <f t="shared" si="103"/>
        <v>71614925.487394974</v>
      </c>
      <c r="O790" s="211">
        <f t="shared" si="103"/>
        <v>417409674.51260501</v>
      </c>
      <c r="P790" s="211">
        <f t="shared" si="103"/>
        <v>0</v>
      </c>
      <c r="Q790" s="212"/>
    </row>
    <row r="791" spans="1:17" s="219" customFormat="1" x14ac:dyDescent="0.25">
      <c r="A791" s="208"/>
      <c r="B791" s="215" t="s">
        <v>1822</v>
      </c>
      <c r="C791" s="215" t="s">
        <v>1823</v>
      </c>
      <c r="D791" s="215" t="s">
        <v>1928</v>
      </c>
      <c r="E791" s="215" t="s">
        <v>1847</v>
      </c>
      <c r="F791" s="215" t="s">
        <v>1825</v>
      </c>
      <c r="G791" s="215" t="s">
        <v>58</v>
      </c>
      <c r="H791" s="216" t="s">
        <v>2623</v>
      </c>
      <c r="I791" s="217"/>
      <c r="J791" s="217"/>
      <c r="K791" s="217"/>
      <c r="L791" s="217"/>
      <c r="M791" s="217"/>
      <c r="N791" s="217"/>
      <c r="O791" s="217"/>
      <c r="P791" s="217"/>
      <c r="Q791" s="218"/>
    </row>
    <row r="792" spans="1:17" s="219" customFormat="1" hidden="1" x14ac:dyDescent="0.25">
      <c r="A792" s="214"/>
      <c r="B792" s="215" t="s">
        <v>1822</v>
      </c>
      <c r="C792" s="215" t="s">
        <v>1823</v>
      </c>
      <c r="D792" s="215" t="s">
        <v>1928</v>
      </c>
      <c r="E792" s="215" t="s">
        <v>1847</v>
      </c>
      <c r="F792" s="215" t="s">
        <v>1825</v>
      </c>
      <c r="G792" s="215" t="s">
        <v>75</v>
      </c>
      <c r="H792" s="216" t="s">
        <v>2624</v>
      </c>
      <c r="I792" s="217"/>
      <c r="J792" s="217"/>
      <c r="K792" s="217"/>
      <c r="L792" s="217"/>
      <c r="M792" s="217"/>
      <c r="N792" s="217"/>
      <c r="O792" s="217"/>
      <c r="P792" s="217"/>
      <c r="Q792" s="218"/>
    </row>
    <row r="793" spans="1:17" s="219" customFormat="1" hidden="1" x14ac:dyDescent="0.25">
      <c r="A793" s="214"/>
      <c r="B793" s="215" t="s">
        <v>1822</v>
      </c>
      <c r="C793" s="215" t="s">
        <v>1823</v>
      </c>
      <c r="D793" s="215" t="s">
        <v>1928</v>
      </c>
      <c r="E793" s="215" t="s">
        <v>1847</v>
      </c>
      <c r="F793" s="215" t="s">
        <v>1825</v>
      </c>
      <c r="G793" s="215" t="s">
        <v>79</v>
      </c>
      <c r="H793" s="216" t="s">
        <v>2625</v>
      </c>
      <c r="I793" s="217"/>
      <c r="J793" s="217"/>
      <c r="K793" s="217"/>
      <c r="L793" s="217"/>
      <c r="M793" s="217"/>
      <c r="N793" s="217"/>
      <c r="O793" s="217"/>
      <c r="P793" s="217"/>
      <c r="Q793" s="218"/>
    </row>
    <row r="794" spans="1:17" s="219" customFormat="1" x14ac:dyDescent="0.25">
      <c r="A794" s="214"/>
      <c r="B794" s="215" t="s">
        <v>1822</v>
      </c>
      <c r="C794" s="215" t="s">
        <v>1823</v>
      </c>
      <c r="D794" s="215" t="s">
        <v>1928</v>
      </c>
      <c r="E794" s="215" t="s">
        <v>1847</v>
      </c>
      <c r="F794" s="215" t="s">
        <v>1825</v>
      </c>
      <c r="G794" s="215" t="s">
        <v>84</v>
      </c>
      <c r="H794" s="216" t="s">
        <v>2626</v>
      </c>
      <c r="I794" s="217"/>
      <c r="J794" s="217"/>
      <c r="K794" s="217"/>
      <c r="L794" s="217"/>
      <c r="M794" s="217"/>
      <c r="N794" s="217"/>
      <c r="O794" s="217"/>
      <c r="P794" s="217"/>
      <c r="Q794" s="218"/>
    </row>
    <row r="795" spans="1:17" s="219" customFormat="1" x14ac:dyDescent="0.25">
      <c r="A795" s="214"/>
      <c r="B795" s="215" t="s">
        <v>1822</v>
      </c>
      <c r="C795" s="215" t="s">
        <v>1823</v>
      </c>
      <c r="D795" s="215" t="s">
        <v>1928</v>
      </c>
      <c r="E795" s="215" t="s">
        <v>1847</v>
      </c>
      <c r="F795" s="215" t="s">
        <v>1825</v>
      </c>
      <c r="G795" s="215" t="s">
        <v>88</v>
      </c>
      <c r="H795" s="216" t="s">
        <v>2627</v>
      </c>
      <c r="I795" s="217">
        <v>489024600</v>
      </c>
      <c r="J795" s="217">
        <v>11568513.680672269</v>
      </c>
      <c r="K795" s="217">
        <v>4896956.8403361347</v>
      </c>
      <c r="L795" s="217">
        <v>4896956.8403361347</v>
      </c>
      <c r="M795" s="217">
        <v>9793913.6806722693</v>
      </c>
      <c r="N795" s="217">
        <v>71614925.487394974</v>
      </c>
      <c r="O795" s="217">
        <v>417409674.51260501</v>
      </c>
      <c r="P795" s="217"/>
      <c r="Q795" s="218"/>
    </row>
    <row r="796" spans="1:17" s="213" customFormat="1" x14ac:dyDescent="0.25">
      <c r="A796" s="208" t="s">
        <v>263</v>
      </c>
      <c r="B796" s="209" t="s">
        <v>1822</v>
      </c>
      <c r="C796" s="209" t="s">
        <v>1823</v>
      </c>
      <c r="D796" s="209" t="s">
        <v>1928</v>
      </c>
      <c r="E796" s="209" t="s">
        <v>1847</v>
      </c>
      <c r="F796" s="209" t="s">
        <v>1836</v>
      </c>
      <c r="G796" s="209"/>
      <c r="H796" s="210" t="s">
        <v>2628</v>
      </c>
      <c r="I796" s="211">
        <f>SUM(I797:I800)</f>
        <v>0</v>
      </c>
      <c r="J796" s="211">
        <f t="shared" ref="J796:P796" si="104">SUM(J797:J800)</f>
        <v>0</v>
      </c>
      <c r="K796" s="211">
        <f t="shared" si="104"/>
        <v>0</v>
      </c>
      <c r="L796" s="211">
        <f t="shared" si="104"/>
        <v>0</v>
      </c>
      <c r="M796" s="211">
        <f t="shared" si="104"/>
        <v>0</v>
      </c>
      <c r="N796" s="211">
        <f t="shared" si="104"/>
        <v>0</v>
      </c>
      <c r="O796" s="211">
        <f t="shared" si="104"/>
        <v>0</v>
      </c>
      <c r="P796" s="211">
        <f t="shared" si="104"/>
        <v>0</v>
      </c>
      <c r="Q796" s="212"/>
    </row>
    <row r="797" spans="1:17" s="219" customFormat="1" hidden="1" x14ac:dyDescent="0.25">
      <c r="A797" s="214"/>
      <c r="B797" s="215" t="s">
        <v>1822</v>
      </c>
      <c r="C797" s="215" t="s">
        <v>1823</v>
      </c>
      <c r="D797" s="215" t="s">
        <v>1928</v>
      </c>
      <c r="E797" s="215" t="s">
        <v>1847</v>
      </c>
      <c r="F797" s="215" t="s">
        <v>1836</v>
      </c>
      <c r="G797" s="215" t="s">
        <v>58</v>
      </c>
      <c r="H797" s="216" t="s">
        <v>2629</v>
      </c>
      <c r="I797" s="217"/>
      <c r="J797" s="217"/>
      <c r="K797" s="217"/>
      <c r="L797" s="217"/>
      <c r="M797" s="217"/>
      <c r="N797" s="217"/>
      <c r="O797" s="217"/>
      <c r="P797" s="217"/>
      <c r="Q797" s="218"/>
    </row>
    <row r="798" spans="1:17" s="219" customFormat="1" hidden="1" x14ac:dyDescent="0.25">
      <c r="A798" s="214"/>
      <c r="B798" s="215" t="s">
        <v>1822</v>
      </c>
      <c r="C798" s="215" t="s">
        <v>1823</v>
      </c>
      <c r="D798" s="215" t="s">
        <v>1928</v>
      </c>
      <c r="E798" s="215" t="s">
        <v>1847</v>
      </c>
      <c r="F798" s="215" t="s">
        <v>1836</v>
      </c>
      <c r="G798" s="215" t="s">
        <v>75</v>
      </c>
      <c r="H798" s="216" t="s">
        <v>2630</v>
      </c>
      <c r="I798" s="217"/>
      <c r="J798" s="217"/>
      <c r="K798" s="217"/>
      <c r="L798" s="217"/>
      <c r="M798" s="217"/>
      <c r="N798" s="217"/>
      <c r="O798" s="217"/>
      <c r="P798" s="217"/>
      <c r="Q798" s="218"/>
    </row>
    <row r="799" spans="1:17" s="219" customFormat="1" hidden="1" x14ac:dyDescent="0.25">
      <c r="A799" s="214"/>
      <c r="B799" s="215" t="s">
        <v>1822</v>
      </c>
      <c r="C799" s="215" t="s">
        <v>1823</v>
      </c>
      <c r="D799" s="215" t="s">
        <v>1928</v>
      </c>
      <c r="E799" s="215" t="s">
        <v>1847</v>
      </c>
      <c r="F799" s="215" t="s">
        <v>1836</v>
      </c>
      <c r="G799" s="215" t="s">
        <v>79</v>
      </c>
      <c r="H799" s="216" t="s">
        <v>2631</v>
      </c>
      <c r="I799" s="217"/>
      <c r="J799" s="217"/>
      <c r="K799" s="217"/>
      <c r="L799" s="217"/>
      <c r="M799" s="217"/>
      <c r="N799" s="217"/>
      <c r="O799" s="217"/>
      <c r="P799" s="217"/>
      <c r="Q799" s="218"/>
    </row>
    <row r="800" spans="1:17" s="219" customFormat="1" hidden="1" x14ac:dyDescent="0.25">
      <c r="A800" s="214"/>
      <c r="B800" s="215" t="s">
        <v>1822</v>
      </c>
      <c r="C800" s="215" t="s">
        <v>1823</v>
      </c>
      <c r="D800" s="215" t="s">
        <v>1928</v>
      </c>
      <c r="E800" s="215" t="s">
        <v>1847</v>
      </c>
      <c r="F800" s="215" t="s">
        <v>1836</v>
      </c>
      <c r="G800" s="215" t="s">
        <v>84</v>
      </c>
      <c r="H800" s="216" t="s">
        <v>2632</v>
      </c>
      <c r="I800" s="217"/>
      <c r="J800" s="217"/>
      <c r="K800" s="217"/>
      <c r="L800" s="217"/>
      <c r="M800" s="217"/>
      <c r="N800" s="217"/>
      <c r="O800" s="217"/>
      <c r="P800" s="217"/>
      <c r="Q800" s="218"/>
    </row>
    <row r="801" spans="1:17" s="213" customFormat="1" hidden="1" x14ac:dyDescent="0.25">
      <c r="A801" s="208" t="s">
        <v>263</v>
      </c>
      <c r="B801" s="209" t="s">
        <v>1822</v>
      </c>
      <c r="C801" s="209" t="s">
        <v>1823</v>
      </c>
      <c r="D801" s="209" t="s">
        <v>1928</v>
      </c>
      <c r="E801" s="209" t="s">
        <v>1847</v>
      </c>
      <c r="F801" s="209" t="s">
        <v>1847</v>
      </c>
      <c r="G801" s="209"/>
      <c r="H801" s="210" t="s">
        <v>2633</v>
      </c>
      <c r="I801" s="211">
        <f>SUM(I802:I805)</f>
        <v>0</v>
      </c>
      <c r="J801" s="211">
        <f t="shared" ref="J801:P801" si="105">SUM(J802:J805)</f>
        <v>0</v>
      </c>
      <c r="K801" s="211">
        <f t="shared" si="105"/>
        <v>0</v>
      </c>
      <c r="L801" s="211">
        <f t="shared" si="105"/>
        <v>0</v>
      </c>
      <c r="M801" s="211">
        <f t="shared" si="105"/>
        <v>0</v>
      </c>
      <c r="N801" s="211">
        <f t="shared" si="105"/>
        <v>0</v>
      </c>
      <c r="O801" s="211">
        <f t="shared" si="105"/>
        <v>0</v>
      </c>
      <c r="P801" s="211">
        <f t="shared" si="105"/>
        <v>0</v>
      </c>
      <c r="Q801" s="212"/>
    </row>
    <row r="802" spans="1:17" s="219" customFormat="1" hidden="1" x14ac:dyDescent="0.25">
      <c r="A802" s="214"/>
      <c r="B802" s="215" t="s">
        <v>1822</v>
      </c>
      <c r="C802" s="215" t="s">
        <v>1823</v>
      </c>
      <c r="D802" s="215" t="s">
        <v>1928</v>
      </c>
      <c r="E802" s="215" t="s">
        <v>1847</v>
      </c>
      <c r="F802" s="215" t="s">
        <v>1847</v>
      </c>
      <c r="G802" s="215" t="s">
        <v>58</v>
      </c>
      <c r="H802" s="216" t="s">
        <v>2634</v>
      </c>
      <c r="I802" s="217"/>
      <c r="J802" s="217"/>
      <c r="K802" s="217"/>
      <c r="L802" s="217"/>
      <c r="M802" s="217"/>
      <c r="N802" s="217"/>
      <c r="O802" s="217"/>
      <c r="P802" s="217"/>
      <c r="Q802" s="218"/>
    </row>
    <row r="803" spans="1:17" s="219" customFormat="1" ht="30" hidden="1" x14ac:dyDescent="0.25">
      <c r="A803" s="214"/>
      <c r="B803" s="215" t="s">
        <v>1822</v>
      </c>
      <c r="C803" s="215" t="s">
        <v>1823</v>
      </c>
      <c r="D803" s="215" t="s">
        <v>1928</v>
      </c>
      <c r="E803" s="215" t="s">
        <v>1847</v>
      </c>
      <c r="F803" s="215" t="s">
        <v>1847</v>
      </c>
      <c r="G803" s="215" t="s">
        <v>75</v>
      </c>
      <c r="H803" s="216" t="s">
        <v>2635</v>
      </c>
      <c r="I803" s="217"/>
      <c r="J803" s="217"/>
      <c r="K803" s="217"/>
      <c r="L803" s="217"/>
      <c r="M803" s="217"/>
      <c r="N803" s="217"/>
      <c r="O803" s="217"/>
      <c r="P803" s="217"/>
      <c r="Q803" s="218"/>
    </row>
    <row r="804" spans="1:17" s="219" customFormat="1" hidden="1" x14ac:dyDescent="0.25">
      <c r="A804" s="214"/>
      <c r="B804" s="215" t="s">
        <v>1822</v>
      </c>
      <c r="C804" s="215" t="s">
        <v>1823</v>
      </c>
      <c r="D804" s="215" t="s">
        <v>1928</v>
      </c>
      <c r="E804" s="215" t="s">
        <v>1847</v>
      </c>
      <c r="F804" s="215" t="s">
        <v>1847</v>
      </c>
      <c r="G804" s="215" t="s">
        <v>79</v>
      </c>
      <c r="H804" s="216" t="s">
        <v>2636</v>
      </c>
      <c r="I804" s="217"/>
      <c r="J804" s="217"/>
      <c r="K804" s="217"/>
      <c r="L804" s="217"/>
      <c r="M804" s="217"/>
      <c r="N804" s="217"/>
      <c r="O804" s="217"/>
      <c r="P804" s="217"/>
      <c r="Q804" s="218"/>
    </row>
    <row r="805" spans="1:17" s="219" customFormat="1" hidden="1" x14ac:dyDescent="0.25">
      <c r="A805" s="214"/>
      <c r="B805" s="215" t="s">
        <v>1822</v>
      </c>
      <c r="C805" s="215" t="s">
        <v>1823</v>
      </c>
      <c r="D805" s="215" t="s">
        <v>1928</v>
      </c>
      <c r="E805" s="215" t="s">
        <v>1847</v>
      </c>
      <c r="F805" s="215" t="s">
        <v>1847</v>
      </c>
      <c r="G805" s="215" t="s">
        <v>84</v>
      </c>
      <c r="H805" s="216" t="s">
        <v>2637</v>
      </c>
      <c r="I805" s="217"/>
      <c r="J805" s="217"/>
      <c r="K805" s="217"/>
      <c r="L805" s="217"/>
      <c r="M805" s="217"/>
      <c r="N805" s="217"/>
      <c r="O805" s="217"/>
      <c r="P805" s="217"/>
      <c r="Q805" s="218"/>
    </row>
    <row r="806" spans="1:17" s="213" customFormat="1" ht="30" hidden="1" x14ac:dyDescent="0.25">
      <c r="A806" s="208" t="s">
        <v>263</v>
      </c>
      <c r="B806" s="209" t="s">
        <v>1822</v>
      </c>
      <c r="C806" s="209" t="s">
        <v>1823</v>
      </c>
      <c r="D806" s="209" t="s">
        <v>1928</v>
      </c>
      <c r="E806" s="209" t="s">
        <v>1847</v>
      </c>
      <c r="F806" s="209" t="s">
        <v>1928</v>
      </c>
      <c r="G806" s="209"/>
      <c r="H806" s="210" t="s">
        <v>2638</v>
      </c>
      <c r="I806" s="211">
        <f>SUM(I807:I810)</f>
        <v>0</v>
      </c>
      <c r="J806" s="211">
        <f t="shared" ref="J806:P806" si="106">SUM(J807:J810)</f>
        <v>0</v>
      </c>
      <c r="K806" s="211">
        <f t="shared" si="106"/>
        <v>0</v>
      </c>
      <c r="L806" s="211">
        <f t="shared" si="106"/>
        <v>0</v>
      </c>
      <c r="M806" s="211">
        <f t="shared" si="106"/>
        <v>0</v>
      </c>
      <c r="N806" s="211">
        <f t="shared" si="106"/>
        <v>0</v>
      </c>
      <c r="O806" s="211">
        <f t="shared" si="106"/>
        <v>0</v>
      </c>
      <c r="P806" s="211">
        <f t="shared" si="106"/>
        <v>0</v>
      </c>
      <c r="Q806" s="212"/>
    </row>
    <row r="807" spans="1:17" s="219" customFormat="1" ht="30" hidden="1" x14ac:dyDescent="0.25">
      <c r="A807" s="214"/>
      <c r="B807" s="215" t="s">
        <v>1822</v>
      </c>
      <c r="C807" s="215" t="s">
        <v>1823</v>
      </c>
      <c r="D807" s="215" t="s">
        <v>1928</v>
      </c>
      <c r="E807" s="215" t="s">
        <v>1847</v>
      </c>
      <c r="F807" s="215" t="s">
        <v>1928</v>
      </c>
      <c r="G807" s="215" t="s">
        <v>58</v>
      </c>
      <c r="H807" s="216" t="s">
        <v>2639</v>
      </c>
      <c r="I807" s="217"/>
      <c r="J807" s="217"/>
      <c r="K807" s="217"/>
      <c r="L807" s="217"/>
      <c r="M807" s="217"/>
      <c r="N807" s="217"/>
      <c r="O807" s="217"/>
      <c r="P807" s="217"/>
      <c r="Q807" s="218"/>
    </row>
    <row r="808" spans="1:17" s="219" customFormat="1" ht="30" hidden="1" x14ac:dyDescent="0.25">
      <c r="A808" s="214"/>
      <c r="B808" s="215" t="s">
        <v>1822</v>
      </c>
      <c r="C808" s="215" t="s">
        <v>1823</v>
      </c>
      <c r="D808" s="215" t="s">
        <v>1928</v>
      </c>
      <c r="E808" s="215" t="s">
        <v>1847</v>
      </c>
      <c r="F808" s="215" t="s">
        <v>1928</v>
      </c>
      <c r="G808" s="215" t="s">
        <v>75</v>
      </c>
      <c r="H808" s="216" t="s">
        <v>2640</v>
      </c>
      <c r="I808" s="217"/>
      <c r="J808" s="217"/>
      <c r="K808" s="217"/>
      <c r="L808" s="217"/>
      <c r="M808" s="217"/>
      <c r="N808" s="217"/>
      <c r="O808" s="217"/>
      <c r="P808" s="217"/>
      <c r="Q808" s="218"/>
    </row>
    <row r="809" spans="1:17" s="219" customFormat="1" ht="30" hidden="1" x14ac:dyDescent="0.25">
      <c r="A809" s="214"/>
      <c r="B809" s="215" t="s">
        <v>1822</v>
      </c>
      <c r="C809" s="215" t="s">
        <v>1823</v>
      </c>
      <c r="D809" s="215" t="s">
        <v>1928</v>
      </c>
      <c r="E809" s="215" t="s">
        <v>1847</v>
      </c>
      <c r="F809" s="215" t="s">
        <v>1928</v>
      </c>
      <c r="G809" s="215" t="s">
        <v>79</v>
      </c>
      <c r="H809" s="216" t="s">
        <v>2641</v>
      </c>
      <c r="I809" s="217"/>
      <c r="J809" s="217"/>
      <c r="K809" s="217"/>
      <c r="L809" s="217"/>
      <c r="M809" s="217"/>
      <c r="N809" s="217"/>
      <c r="O809" s="217"/>
      <c r="P809" s="217"/>
      <c r="Q809" s="218"/>
    </row>
    <row r="810" spans="1:17" s="219" customFormat="1" ht="30" hidden="1" x14ac:dyDescent="0.25">
      <c r="A810" s="214"/>
      <c r="B810" s="215" t="s">
        <v>1822</v>
      </c>
      <c r="C810" s="215" t="s">
        <v>1823</v>
      </c>
      <c r="D810" s="215" t="s">
        <v>1928</v>
      </c>
      <c r="E810" s="215" t="s">
        <v>1847</v>
      </c>
      <c r="F810" s="215" t="s">
        <v>1928</v>
      </c>
      <c r="G810" s="215" t="s">
        <v>84</v>
      </c>
      <c r="H810" s="216" t="s">
        <v>2642</v>
      </c>
      <c r="I810" s="217"/>
      <c r="J810" s="217"/>
      <c r="K810" s="217"/>
      <c r="L810" s="217"/>
      <c r="M810" s="217"/>
      <c r="N810" s="217"/>
      <c r="O810" s="217"/>
      <c r="P810" s="217"/>
      <c r="Q810" s="218"/>
    </row>
    <row r="811" spans="1:17" s="213" customFormat="1" hidden="1" x14ac:dyDescent="0.25">
      <c r="A811" s="208" t="s">
        <v>263</v>
      </c>
      <c r="B811" s="209" t="s">
        <v>1822</v>
      </c>
      <c r="C811" s="209" t="s">
        <v>1823</v>
      </c>
      <c r="D811" s="209" t="s">
        <v>1928</v>
      </c>
      <c r="E811" s="209" t="s">
        <v>1847</v>
      </c>
      <c r="F811" s="209" t="s">
        <v>1934</v>
      </c>
      <c r="G811" s="209"/>
      <c r="H811" s="210" t="s">
        <v>2643</v>
      </c>
      <c r="I811" s="211">
        <f>SUM(I812:I823)</f>
        <v>0</v>
      </c>
      <c r="J811" s="211">
        <f t="shared" ref="J811:P811" si="107">SUM(J812:J823)</f>
        <v>0</v>
      </c>
      <c r="K811" s="211">
        <f t="shared" si="107"/>
        <v>0</v>
      </c>
      <c r="L811" s="211">
        <f t="shared" si="107"/>
        <v>0</v>
      </c>
      <c r="M811" s="211">
        <f t="shared" si="107"/>
        <v>0</v>
      </c>
      <c r="N811" s="211">
        <f t="shared" si="107"/>
        <v>0</v>
      </c>
      <c r="O811" s="211">
        <f t="shared" si="107"/>
        <v>0</v>
      </c>
      <c r="P811" s="211">
        <f t="shared" si="107"/>
        <v>0</v>
      </c>
      <c r="Q811" s="212"/>
    </row>
    <row r="812" spans="1:17" s="219" customFormat="1" ht="30" hidden="1" x14ac:dyDescent="0.25">
      <c r="A812" s="214"/>
      <c r="B812" s="215" t="s">
        <v>1822</v>
      </c>
      <c r="C812" s="215" t="s">
        <v>1823</v>
      </c>
      <c r="D812" s="215" t="s">
        <v>1928</v>
      </c>
      <c r="E812" s="215" t="s">
        <v>1847</v>
      </c>
      <c r="F812" s="215" t="s">
        <v>1934</v>
      </c>
      <c r="G812" s="215" t="s">
        <v>58</v>
      </c>
      <c r="H812" s="216" t="s">
        <v>2644</v>
      </c>
      <c r="I812" s="217"/>
      <c r="J812" s="217"/>
      <c r="K812" s="217"/>
      <c r="L812" s="217"/>
      <c r="M812" s="217"/>
      <c r="N812" s="217"/>
      <c r="O812" s="217"/>
      <c r="P812" s="217"/>
      <c r="Q812" s="218"/>
    </row>
    <row r="813" spans="1:17" s="219" customFormat="1" ht="30" hidden="1" x14ac:dyDescent="0.25">
      <c r="A813" s="214"/>
      <c r="B813" s="215" t="s">
        <v>1822</v>
      </c>
      <c r="C813" s="215" t="s">
        <v>1823</v>
      </c>
      <c r="D813" s="215" t="s">
        <v>1928</v>
      </c>
      <c r="E813" s="215" t="s">
        <v>1847</v>
      </c>
      <c r="F813" s="215" t="s">
        <v>1934</v>
      </c>
      <c r="G813" s="215" t="s">
        <v>75</v>
      </c>
      <c r="H813" s="216" t="s">
        <v>2645</v>
      </c>
      <c r="I813" s="217"/>
      <c r="J813" s="217"/>
      <c r="K813" s="217"/>
      <c r="L813" s="217"/>
      <c r="M813" s="217"/>
      <c r="N813" s="217"/>
      <c r="O813" s="217"/>
      <c r="P813" s="217"/>
      <c r="Q813" s="218"/>
    </row>
    <row r="814" spans="1:17" s="219" customFormat="1" ht="30" hidden="1" x14ac:dyDescent="0.25">
      <c r="A814" s="214"/>
      <c r="B814" s="215" t="s">
        <v>1822</v>
      </c>
      <c r="C814" s="215" t="s">
        <v>1823</v>
      </c>
      <c r="D814" s="215" t="s">
        <v>1928</v>
      </c>
      <c r="E814" s="215" t="s">
        <v>1847</v>
      </c>
      <c r="F814" s="215" t="s">
        <v>1934</v>
      </c>
      <c r="G814" s="215" t="s">
        <v>79</v>
      </c>
      <c r="H814" s="216" t="s">
        <v>2646</v>
      </c>
      <c r="I814" s="217"/>
      <c r="J814" s="217"/>
      <c r="K814" s="217"/>
      <c r="L814" s="217"/>
      <c r="M814" s="217"/>
      <c r="N814" s="217"/>
      <c r="O814" s="217"/>
      <c r="P814" s="217"/>
      <c r="Q814" s="218"/>
    </row>
    <row r="815" spans="1:17" s="219" customFormat="1" ht="30" hidden="1" x14ac:dyDescent="0.25">
      <c r="A815" s="214"/>
      <c r="B815" s="215" t="s">
        <v>1822</v>
      </c>
      <c r="C815" s="215" t="s">
        <v>1823</v>
      </c>
      <c r="D815" s="215" t="s">
        <v>1928</v>
      </c>
      <c r="E815" s="215" t="s">
        <v>1847</v>
      </c>
      <c r="F815" s="215" t="s">
        <v>1934</v>
      </c>
      <c r="G815" s="215" t="s">
        <v>84</v>
      </c>
      <c r="H815" s="216" t="s">
        <v>2647</v>
      </c>
      <c r="I815" s="217"/>
      <c r="J815" s="217"/>
      <c r="K815" s="217"/>
      <c r="L815" s="217"/>
      <c r="M815" s="217"/>
      <c r="N815" s="217"/>
      <c r="O815" s="217"/>
      <c r="P815" s="217"/>
      <c r="Q815" s="218"/>
    </row>
    <row r="816" spans="1:17" s="219" customFormat="1" ht="30" hidden="1" x14ac:dyDescent="0.25">
      <c r="A816" s="214"/>
      <c r="B816" s="215" t="s">
        <v>1822</v>
      </c>
      <c r="C816" s="215" t="s">
        <v>1823</v>
      </c>
      <c r="D816" s="215" t="s">
        <v>1928</v>
      </c>
      <c r="E816" s="215" t="s">
        <v>1847</v>
      </c>
      <c r="F816" s="215" t="s">
        <v>1934</v>
      </c>
      <c r="G816" s="215" t="s">
        <v>88</v>
      </c>
      <c r="H816" s="216" t="s">
        <v>2648</v>
      </c>
      <c r="I816" s="217"/>
      <c r="J816" s="217"/>
      <c r="K816" s="217"/>
      <c r="L816" s="217"/>
      <c r="M816" s="217"/>
      <c r="N816" s="217"/>
      <c r="O816" s="217"/>
      <c r="P816" s="217"/>
      <c r="Q816" s="218"/>
    </row>
    <row r="817" spans="1:17" s="219" customFormat="1" ht="30" hidden="1" x14ac:dyDescent="0.25">
      <c r="A817" s="214"/>
      <c r="B817" s="215" t="s">
        <v>1822</v>
      </c>
      <c r="C817" s="215" t="s">
        <v>1823</v>
      </c>
      <c r="D817" s="215" t="s">
        <v>1928</v>
      </c>
      <c r="E817" s="215" t="s">
        <v>1847</v>
      </c>
      <c r="F817" s="215" t="s">
        <v>1934</v>
      </c>
      <c r="G817" s="215" t="s">
        <v>92</v>
      </c>
      <c r="H817" s="216" t="s">
        <v>2649</v>
      </c>
      <c r="I817" s="217"/>
      <c r="J817" s="217"/>
      <c r="K817" s="217"/>
      <c r="L817" s="217"/>
      <c r="M817" s="217"/>
      <c r="N817" s="217"/>
      <c r="O817" s="217"/>
      <c r="P817" s="217"/>
      <c r="Q817" s="218"/>
    </row>
    <row r="818" spans="1:17" s="219" customFormat="1" ht="30" hidden="1" x14ac:dyDescent="0.25">
      <c r="A818" s="214"/>
      <c r="B818" s="215" t="s">
        <v>1822</v>
      </c>
      <c r="C818" s="215" t="s">
        <v>1823</v>
      </c>
      <c r="D818" s="215" t="s">
        <v>1928</v>
      </c>
      <c r="E818" s="215" t="s">
        <v>1847</v>
      </c>
      <c r="F818" s="215" t="s">
        <v>1934</v>
      </c>
      <c r="G818" s="215" t="s">
        <v>96</v>
      </c>
      <c r="H818" s="216" t="s">
        <v>2650</v>
      </c>
      <c r="I818" s="217"/>
      <c r="J818" s="217"/>
      <c r="K818" s="217"/>
      <c r="L818" s="217"/>
      <c r="M818" s="217"/>
      <c r="N818" s="217"/>
      <c r="O818" s="217"/>
      <c r="P818" s="217"/>
      <c r="Q818" s="218"/>
    </row>
    <row r="819" spans="1:17" s="219" customFormat="1" ht="30" hidden="1" x14ac:dyDescent="0.25">
      <c r="A819" s="214"/>
      <c r="B819" s="215" t="s">
        <v>1822</v>
      </c>
      <c r="C819" s="215" t="s">
        <v>1823</v>
      </c>
      <c r="D819" s="215" t="s">
        <v>1928</v>
      </c>
      <c r="E819" s="215" t="s">
        <v>1847</v>
      </c>
      <c r="F819" s="215" t="s">
        <v>1934</v>
      </c>
      <c r="G819" s="215" t="s">
        <v>100</v>
      </c>
      <c r="H819" s="216" t="s">
        <v>2651</v>
      </c>
      <c r="I819" s="217"/>
      <c r="J819" s="217"/>
      <c r="K819" s="217"/>
      <c r="L819" s="217"/>
      <c r="M819" s="217"/>
      <c r="N819" s="217"/>
      <c r="O819" s="217"/>
      <c r="P819" s="217"/>
      <c r="Q819" s="218"/>
    </row>
    <row r="820" spans="1:17" s="219" customFormat="1" ht="30" hidden="1" x14ac:dyDescent="0.25">
      <c r="A820" s="214"/>
      <c r="B820" s="215" t="s">
        <v>1822</v>
      </c>
      <c r="C820" s="215" t="s">
        <v>1823</v>
      </c>
      <c r="D820" s="215" t="s">
        <v>1928</v>
      </c>
      <c r="E820" s="215" t="s">
        <v>1847</v>
      </c>
      <c r="F820" s="215" t="s">
        <v>1934</v>
      </c>
      <c r="G820" s="215" t="s">
        <v>105</v>
      </c>
      <c r="H820" s="216" t="s">
        <v>2652</v>
      </c>
      <c r="I820" s="217"/>
      <c r="J820" s="217"/>
      <c r="K820" s="217"/>
      <c r="L820" s="217"/>
      <c r="M820" s="217"/>
      <c r="N820" s="217"/>
      <c r="O820" s="217"/>
      <c r="P820" s="217"/>
      <c r="Q820" s="218"/>
    </row>
    <row r="821" spans="1:17" s="219" customFormat="1" ht="30" hidden="1" x14ac:dyDescent="0.25">
      <c r="A821" s="214"/>
      <c r="B821" s="215" t="s">
        <v>1822</v>
      </c>
      <c r="C821" s="215" t="s">
        <v>1823</v>
      </c>
      <c r="D821" s="215" t="s">
        <v>1928</v>
      </c>
      <c r="E821" s="215" t="s">
        <v>1847</v>
      </c>
      <c r="F821" s="215" t="s">
        <v>1934</v>
      </c>
      <c r="G821" s="215" t="s">
        <v>108</v>
      </c>
      <c r="H821" s="216" t="s">
        <v>2653</v>
      </c>
      <c r="I821" s="217"/>
      <c r="J821" s="217"/>
      <c r="K821" s="217"/>
      <c r="L821" s="217"/>
      <c r="M821" s="217"/>
      <c r="N821" s="217"/>
      <c r="O821" s="217"/>
      <c r="P821" s="217"/>
      <c r="Q821" s="218"/>
    </row>
    <row r="822" spans="1:17" s="219" customFormat="1" ht="30" hidden="1" x14ac:dyDescent="0.25">
      <c r="A822" s="214"/>
      <c r="B822" s="215" t="s">
        <v>1822</v>
      </c>
      <c r="C822" s="215" t="s">
        <v>1823</v>
      </c>
      <c r="D822" s="215" t="s">
        <v>1928</v>
      </c>
      <c r="E822" s="215" t="s">
        <v>1847</v>
      </c>
      <c r="F822" s="215" t="s">
        <v>1934</v>
      </c>
      <c r="G822" s="215" t="s">
        <v>135</v>
      </c>
      <c r="H822" s="216" t="s">
        <v>2654</v>
      </c>
      <c r="I822" s="217"/>
      <c r="J822" s="217"/>
      <c r="K822" s="217"/>
      <c r="L822" s="217"/>
      <c r="M822" s="217"/>
      <c r="N822" s="217"/>
      <c r="O822" s="217"/>
      <c r="P822" s="217"/>
      <c r="Q822" s="218"/>
    </row>
    <row r="823" spans="1:17" s="219" customFormat="1" hidden="1" x14ac:dyDescent="0.25">
      <c r="A823" s="214"/>
      <c r="B823" s="215" t="s">
        <v>1822</v>
      </c>
      <c r="C823" s="215" t="s">
        <v>1823</v>
      </c>
      <c r="D823" s="215" t="s">
        <v>1928</v>
      </c>
      <c r="E823" s="215" t="s">
        <v>1847</v>
      </c>
      <c r="F823" s="215" t="s">
        <v>1934</v>
      </c>
      <c r="G823" s="215" t="s">
        <v>138</v>
      </c>
      <c r="H823" s="216" t="s">
        <v>2655</v>
      </c>
      <c r="I823" s="217"/>
      <c r="J823" s="217"/>
      <c r="K823" s="217"/>
      <c r="L823" s="217"/>
      <c r="M823" s="217"/>
      <c r="N823" s="217"/>
      <c r="O823" s="217"/>
      <c r="P823" s="217"/>
      <c r="Q823" s="218"/>
    </row>
    <row r="824" spans="1:17" s="213" customFormat="1" hidden="1" x14ac:dyDescent="0.25">
      <c r="A824" s="208" t="s">
        <v>263</v>
      </c>
      <c r="B824" s="209" t="s">
        <v>1822</v>
      </c>
      <c r="C824" s="209" t="s">
        <v>1823</v>
      </c>
      <c r="D824" s="209" t="s">
        <v>1928</v>
      </c>
      <c r="E824" s="209" t="s">
        <v>1847</v>
      </c>
      <c r="F824" s="209" t="s">
        <v>2022</v>
      </c>
      <c r="G824" s="209"/>
      <c r="H824" s="210" t="s">
        <v>2656</v>
      </c>
      <c r="I824" s="211">
        <f>SUM(I825:I828)</f>
        <v>0</v>
      </c>
      <c r="J824" s="211">
        <f t="shared" ref="J824:P824" si="108">SUM(J825:J828)</f>
        <v>0</v>
      </c>
      <c r="K824" s="211">
        <f t="shared" si="108"/>
        <v>0</v>
      </c>
      <c r="L824" s="211">
        <f t="shared" si="108"/>
        <v>0</v>
      </c>
      <c r="M824" s="211">
        <f t="shared" si="108"/>
        <v>0</v>
      </c>
      <c r="N824" s="211">
        <f t="shared" si="108"/>
        <v>0</v>
      </c>
      <c r="O824" s="211">
        <f t="shared" si="108"/>
        <v>0</v>
      </c>
      <c r="P824" s="211">
        <f t="shared" si="108"/>
        <v>0</v>
      </c>
      <c r="Q824" s="212"/>
    </row>
    <row r="825" spans="1:17" s="219" customFormat="1" hidden="1" x14ac:dyDescent="0.25">
      <c r="A825" s="214"/>
      <c r="B825" s="215" t="s">
        <v>1822</v>
      </c>
      <c r="C825" s="215" t="s">
        <v>1823</v>
      </c>
      <c r="D825" s="215" t="s">
        <v>1928</v>
      </c>
      <c r="E825" s="215" t="s">
        <v>1847</v>
      </c>
      <c r="F825" s="215" t="s">
        <v>2022</v>
      </c>
      <c r="G825" s="215" t="s">
        <v>58</v>
      </c>
      <c r="H825" s="216" t="s">
        <v>2657</v>
      </c>
      <c r="I825" s="217"/>
      <c r="J825" s="217"/>
      <c r="K825" s="217"/>
      <c r="L825" s="217"/>
      <c r="M825" s="217"/>
      <c r="N825" s="217"/>
      <c r="O825" s="217"/>
      <c r="P825" s="217"/>
      <c r="Q825" s="218"/>
    </row>
    <row r="826" spans="1:17" s="219" customFormat="1" hidden="1" x14ac:dyDescent="0.25">
      <c r="A826" s="214"/>
      <c r="B826" s="215" t="s">
        <v>1822</v>
      </c>
      <c r="C826" s="215" t="s">
        <v>1823</v>
      </c>
      <c r="D826" s="215" t="s">
        <v>1928</v>
      </c>
      <c r="E826" s="215" t="s">
        <v>1847</v>
      </c>
      <c r="F826" s="215" t="s">
        <v>2022</v>
      </c>
      <c r="G826" s="215" t="s">
        <v>75</v>
      </c>
      <c r="H826" s="216" t="s">
        <v>2658</v>
      </c>
      <c r="I826" s="217"/>
      <c r="J826" s="217"/>
      <c r="K826" s="217"/>
      <c r="L826" s="217"/>
      <c r="M826" s="217"/>
      <c r="N826" s="217"/>
      <c r="O826" s="217"/>
      <c r="P826" s="217"/>
      <c r="Q826" s="218"/>
    </row>
    <row r="827" spans="1:17" s="219" customFormat="1" hidden="1" x14ac:dyDescent="0.25">
      <c r="A827" s="214"/>
      <c r="B827" s="215" t="s">
        <v>1822</v>
      </c>
      <c r="C827" s="215" t="s">
        <v>1823</v>
      </c>
      <c r="D827" s="215" t="s">
        <v>1928</v>
      </c>
      <c r="E827" s="215" t="s">
        <v>1847</v>
      </c>
      <c r="F827" s="215" t="s">
        <v>2022</v>
      </c>
      <c r="G827" s="215" t="s">
        <v>79</v>
      </c>
      <c r="H827" s="216" t="s">
        <v>2659</v>
      </c>
      <c r="I827" s="217"/>
      <c r="J827" s="217"/>
      <c r="K827" s="217"/>
      <c r="L827" s="217"/>
      <c r="M827" s="217"/>
      <c r="N827" s="217"/>
      <c r="O827" s="217"/>
      <c r="P827" s="217"/>
      <c r="Q827" s="218"/>
    </row>
    <row r="828" spans="1:17" s="219" customFormat="1" hidden="1" x14ac:dyDescent="0.25">
      <c r="A828" s="214"/>
      <c r="B828" s="215" t="s">
        <v>1822</v>
      </c>
      <c r="C828" s="215" t="s">
        <v>1823</v>
      </c>
      <c r="D828" s="215" t="s">
        <v>1928</v>
      </c>
      <c r="E828" s="215" t="s">
        <v>1847</v>
      </c>
      <c r="F828" s="215" t="s">
        <v>2022</v>
      </c>
      <c r="G828" s="215" t="s">
        <v>84</v>
      </c>
      <c r="H828" s="216" t="s">
        <v>2660</v>
      </c>
      <c r="I828" s="217"/>
      <c r="J828" s="217"/>
      <c r="K828" s="217"/>
      <c r="L828" s="217"/>
      <c r="M828" s="217"/>
      <c r="N828" s="217"/>
      <c r="O828" s="217"/>
      <c r="P828" s="217"/>
      <c r="Q828" s="218"/>
    </row>
    <row r="829" spans="1:17" s="213" customFormat="1" hidden="1" x14ac:dyDescent="0.25">
      <c r="A829" s="208" t="s">
        <v>263</v>
      </c>
      <c r="B829" s="209" t="s">
        <v>1822</v>
      </c>
      <c r="C829" s="209" t="s">
        <v>1823</v>
      </c>
      <c r="D829" s="209" t="s">
        <v>1928</v>
      </c>
      <c r="E829" s="209" t="s">
        <v>1847</v>
      </c>
      <c r="F829" s="209" t="s">
        <v>2100</v>
      </c>
      <c r="G829" s="209"/>
      <c r="H829" s="210" t="s">
        <v>2661</v>
      </c>
      <c r="I829" s="211">
        <f>SUM(I830:I831)</f>
        <v>0</v>
      </c>
      <c r="J829" s="211">
        <f t="shared" ref="J829:P829" si="109">SUM(J830:J831)</f>
        <v>0</v>
      </c>
      <c r="K829" s="211">
        <f t="shared" si="109"/>
        <v>0</v>
      </c>
      <c r="L829" s="211">
        <f t="shared" si="109"/>
        <v>0</v>
      </c>
      <c r="M829" s="211">
        <f t="shared" si="109"/>
        <v>0</v>
      </c>
      <c r="N829" s="211">
        <f t="shared" si="109"/>
        <v>0</v>
      </c>
      <c r="O829" s="211">
        <f t="shared" si="109"/>
        <v>0</v>
      </c>
      <c r="P829" s="211">
        <f t="shared" si="109"/>
        <v>0</v>
      </c>
      <c r="Q829" s="212"/>
    </row>
    <row r="830" spans="1:17" s="219" customFormat="1" hidden="1" x14ac:dyDescent="0.25">
      <c r="A830" s="214"/>
      <c r="B830" s="215" t="s">
        <v>1822</v>
      </c>
      <c r="C830" s="215" t="s">
        <v>1823</v>
      </c>
      <c r="D830" s="215" t="s">
        <v>1928</v>
      </c>
      <c r="E830" s="215" t="s">
        <v>1847</v>
      </c>
      <c r="F830" s="215" t="s">
        <v>2100</v>
      </c>
      <c r="G830" s="215" t="s">
        <v>58</v>
      </c>
      <c r="H830" s="216" t="s">
        <v>2662</v>
      </c>
      <c r="I830" s="217"/>
      <c r="J830" s="217"/>
      <c r="K830" s="217"/>
      <c r="L830" s="217"/>
      <c r="M830" s="217"/>
      <c r="N830" s="217"/>
      <c r="O830" s="217"/>
      <c r="P830" s="217"/>
      <c r="Q830" s="218"/>
    </row>
    <row r="831" spans="1:17" s="219" customFormat="1" hidden="1" x14ac:dyDescent="0.25">
      <c r="A831" s="214"/>
      <c r="B831" s="215" t="s">
        <v>1822</v>
      </c>
      <c r="C831" s="215" t="s">
        <v>1823</v>
      </c>
      <c r="D831" s="215" t="s">
        <v>1928</v>
      </c>
      <c r="E831" s="215" t="s">
        <v>1847</v>
      </c>
      <c r="F831" s="215" t="s">
        <v>2100</v>
      </c>
      <c r="G831" s="215" t="s">
        <v>75</v>
      </c>
      <c r="H831" s="216" t="s">
        <v>2663</v>
      </c>
      <c r="I831" s="217"/>
      <c r="J831" s="217"/>
      <c r="K831" s="217"/>
      <c r="L831" s="217"/>
      <c r="M831" s="217"/>
      <c r="N831" s="217"/>
      <c r="O831" s="217"/>
      <c r="P831" s="217"/>
      <c r="Q831" s="218"/>
    </row>
    <row r="832" spans="1:17" s="213" customFormat="1" hidden="1" x14ac:dyDescent="0.25">
      <c r="A832" s="208" t="s">
        <v>263</v>
      </c>
      <c r="B832" s="209" t="s">
        <v>1822</v>
      </c>
      <c r="C832" s="209" t="s">
        <v>1823</v>
      </c>
      <c r="D832" s="209" t="s">
        <v>1928</v>
      </c>
      <c r="E832" s="209" t="s">
        <v>1847</v>
      </c>
      <c r="F832" s="209" t="s">
        <v>2139</v>
      </c>
      <c r="G832" s="209"/>
      <c r="H832" s="210" t="s">
        <v>2664</v>
      </c>
      <c r="I832" s="211">
        <f>SUM(I833:I836)</f>
        <v>0</v>
      </c>
      <c r="J832" s="211">
        <f t="shared" ref="J832:P832" si="110">SUM(J833:J836)</f>
        <v>0</v>
      </c>
      <c r="K832" s="211">
        <f t="shared" si="110"/>
        <v>0</v>
      </c>
      <c r="L832" s="211">
        <f t="shared" si="110"/>
        <v>0</v>
      </c>
      <c r="M832" s="211">
        <f t="shared" si="110"/>
        <v>0</v>
      </c>
      <c r="N832" s="211">
        <f t="shared" si="110"/>
        <v>0</v>
      </c>
      <c r="O832" s="211">
        <f t="shared" si="110"/>
        <v>0</v>
      </c>
      <c r="P832" s="211">
        <f t="shared" si="110"/>
        <v>0</v>
      </c>
      <c r="Q832" s="212"/>
    </row>
    <row r="833" spans="1:17" s="219" customFormat="1" hidden="1" x14ac:dyDescent="0.25">
      <c r="A833" s="214"/>
      <c r="B833" s="215" t="s">
        <v>1822</v>
      </c>
      <c r="C833" s="215" t="s">
        <v>1823</v>
      </c>
      <c r="D833" s="215" t="s">
        <v>1928</v>
      </c>
      <c r="E833" s="215" t="s">
        <v>1847</v>
      </c>
      <c r="F833" s="215" t="s">
        <v>2139</v>
      </c>
      <c r="G833" s="215" t="s">
        <v>58</v>
      </c>
      <c r="H833" s="216" t="s">
        <v>2665</v>
      </c>
      <c r="I833" s="217"/>
      <c r="J833" s="217"/>
      <c r="K833" s="217"/>
      <c r="L833" s="217"/>
      <c r="M833" s="217"/>
      <c r="N833" s="217"/>
      <c r="O833" s="217"/>
      <c r="P833" s="217"/>
      <c r="Q833" s="218"/>
    </row>
    <row r="834" spans="1:17" s="219" customFormat="1" hidden="1" x14ac:dyDescent="0.25">
      <c r="A834" s="214"/>
      <c r="B834" s="215" t="s">
        <v>1822</v>
      </c>
      <c r="C834" s="215" t="s">
        <v>1823</v>
      </c>
      <c r="D834" s="215" t="s">
        <v>1928</v>
      </c>
      <c r="E834" s="215" t="s">
        <v>1847</v>
      </c>
      <c r="F834" s="215" t="s">
        <v>2139</v>
      </c>
      <c r="G834" s="215" t="s">
        <v>75</v>
      </c>
      <c r="H834" s="216" t="s">
        <v>2666</v>
      </c>
      <c r="I834" s="217"/>
      <c r="J834" s="217"/>
      <c r="K834" s="217"/>
      <c r="L834" s="217"/>
      <c r="M834" s="217"/>
      <c r="N834" s="217"/>
      <c r="O834" s="217"/>
      <c r="P834" s="217"/>
      <c r="Q834" s="218"/>
    </row>
    <row r="835" spans="1:17" s="219" customFormat="1" hidden="1" x14ac:dyDescent="0.25">
      <c r="A835" s="214"/>
      <c r="B835" s="215" t="s">
        <v>1822</v>
      </c>
      <c r="C835" s="215" t="s">
        <v>1823</v>
      </c>
      <c r="D835" s="215" t="s">
        <v>1928</v>
      </c>
      <c r="E835" s="215" t="s">
        <v>1847</v>
      </c>
      <c r="F835" s="215" t="s">
        <v>2139</v>
      </c>
      <c r="G835" s="215" t="s">
        <v>79</v>
      </c>
      <c r="H835" s="216" t="s">
        <v>2667</v>
      </c>
      <c r="I835" s="217"/>
      <c r="J835" s="217"/>
      <c r="K835" s="217"/>
      <c r="L835" s="217"/>
      <c r="M835" s="217"/>
      <c r="N835" s="217"/>
      <c r="O835" s="217"/>
      <c r="P835" s="217"/>
      <c r="Q835" s="218"/>
    </row>
    <row r="836" spans="1:17" s="219" customFormat="1" hidden="1" x14ac:dyDescent="0.25">
      <c r="A836" s="214"/>
      <c r="B836" s="215" t="s">
        <v>1822</v>
      </c>
      <c r="C836" s="215" t="s">
        <v>1823</v>
      </c>
      <c r="D836" s="215" t="s">
        <v>1928</v>
      </c>
      <c r="E836" s="215" t="s">
        <v>1847</v>
      </c>
      <c r="F836" s="215" t="s">
        <v>2139</v>
      </c>
      <c r="G836" s="215" t="s">
        <v>84</v>
      </c>
      <c r="H836" s="216" t="s">
        <v>2668</v>
      </c>
      <c r="I836" s="217"/>
      <c r="J836" s="217"/>
      <c r="K836" s="217"/>
      <c r="L836" s="217"/>
      <c r="M836" s="217"/>
      <c r="N836" s="217"/>
      <c r="O836" s="217"/>
      <c r="P836" s="217"/>
      <c r="Q836" s="218"/>
    </row>
    <row r="837" spans="1:17" s="213" customFormat="1" hidden="1" x14ac:dyDescent="0.25">
      <c r="A837" s="208" t="s">
        <v>263</v>
      </c>
      <c r="B837" s="209" t="s">
        <v>1822</v>
      </c>
      <c r="C837" s="209" t="s">
        <v>1823</v>
      </c>
      <c r="D837" s="209" t="s">
        <v>1928</v>
      </c>
      <c r="E837" s="209" t="s">
        <v>1847</v>
      </c>
      <c r="F837" s="209" t="s">
        <v>2277</v>
      </c>
      <c r="G837" s="209"/>
      <c r="H837" s="210" t="s">
        <v>2669</v>
      </c>
      <c r="I837" s="211">
        <f>SUM(I838:I841)</f>
        <v>0</v>
      </c>
      <c r="J837" s="211">
        <f t="shared" ref="J837:P837" si="111">SUM(J838:J841)</f>
        <v>0</v>
      </c>
      <c r="K837" s="211">
        <f t="shared" si="111"/>
        <v>0</v>
      </c>
      <c r="L837" s="211">
        <f t="shared" si="111"/>
        <v>0</v>
      </c>
      <c r="M837" s="211">
        <f t="shared" si="111"/>
        <v>0</v>
      </c>
      <c r="N837" s="211">
        <f t="shared" si="111"/>
        <v>0</v>
      </c>
      <c r="O837" s="211">
        <f t="shared" si="111"/>
        <v>0</v>
      </c>
      <c r="P837" s="211">
        <f t="shared" si="111"/>
        <v>0</v>
      </c>
      <c r="Q837" s="212"/>
    </row>
    <row r="838" spans="1:17" s="219" customFormat="1" hidden="1" x14ac:dyDescent="0.25">
      <c r="A838" s="214"/>
      <c r="B838" s="215" t="s">
        <v>1822</v>
      </c>
      <c r="C838" s="215" t="s">
        <v>1823</v>
      </c>
      <c r="D838" s="215" t="s">
        <v>1928</v>
      </c>
      <c r="E838" s="215" t="s">
        <v>1847</v>
      </c>
      <c r="F838" s="215" t="s">
        <v>2277</v>
      </c>
      <c r="G838" s="215" t="s">
        <v>58</v>
      </c>
      <c r="H838" s="216" t="s">
        <v>2670</v>
      </c>
      <c r="I838" s="217"/>
      <c r="J838" s="217"/>
      <c r="K838" s="217"/>
      <c r="L838" s="217"/>
      <c r="M838" s="217"/>
      <c r="N838" s="217"/>
      <c r="O838" s="217"/>
      <c r="P838" s="217"/>
      <c r="Q838" s="218"/>
    </row>
    <row r="839" spans="1:17" s="219" customFormat="1" hidden="1" x14ac:dyDescent="0.25">
      <c r="A839" s="214"/>
      <c r="B839" s="215" t="s">
        <v>1822</v>
      </c>
      <c r="C839" s="215" t="s">
        <v>1823</v>
      </c>
      <c r="D839" s="215" t="s">
        <v>1928</v>
      </c>
      <c r="E839" s="215" t="s">
        <v>1847</v>
      </c>
      <c r="F839" s="215" t="s">
        <v>2277</v>
      </c>
      <c r="G839" s="215" t="s">
        <v>75</v>
      </c>
      <c r="H839" s="216" t="s">
        <v>2671</v>
      </c>
      <c r="I839" s="217"/>
      <c r="J839" s="217"/>
      <c r="K839" s="217"/>
      <c r="L839" s="217"/>
      <c r="M839" s="217"/>
      <c r="N839" s="217"/>
      <c r="O839" s="217"/>
      <c r="P839" s="217"/>
      <c r="Q839" s="218"/>
    </row>
    <row r="840" spans="1:17" s="219" customFormat="1" ht="30" hidden="1" x14ac:dyDescent="0.25">
      <c r="A840" s="214"/>
      <c r="B840" s="215" t="s">
        <v>1822</v>
      </c>
      <c r="C840" s="215" t="s">
        <v>1823</v>
      </c>
      <c r="D840" s="215" t="s">
        <v>1928</v>
      </c>
      <c r="E840" s="215" t="s">
        <v>1847</v>
      </c>
      <c r="F840" s="215" t="s">
        <v>2277</v>
      </c>
      <c r="G840" s="215" t="s">
        <v>79</v>
      </c>
      <c r="H840" s="216" t="s">
        <v>2672</v>
      </c>
      <c r="I840" s="217"/>
      <c r="J840" s="217"/>
      <c r="K840" s="217"/>
      <c r="L840" s="217"/>
      <c r="M840" s="217"/>
      <c r="N840" s="217"/>
      <c r="O840" s="217"/>
      <c r="P840" s="217"/>
      <c r="Q840" s="218"/>
    </row>
    <row r="841" spans="1:17" s="219" customFormat="1" hidden="1" x14ac:dyDescent="0.25">
      <c r="A841" s="214"/>
      <c r="B841" s="215" t="s">
        <v>1822</v>
      </c>
      <c r="C841" s="215" t="s">
        <v>1823</v>
      </c>
      <c r="D841" s="215" t="s">
        <v>1928</v>
      </c>
      <c r="E841" s="215" t="s">
        <v>1847</v>
      </c>
      <c r="F841" s="215" t="s">
        <v>2277</v>
      </c>
      <c r="G841" s="215" t="s">
        <v>84</v>
      </c>
      <c r="H841" s="216" t="s">
        <v>2673</v>
      </c>
      <c r="I841" s="217"/>
      <c r="J841" s="217"/>
      <c r="K841" s="217"/>
      <c r="L841" s="217"/>
      <c r="M841" s="217"/>
      <c r="N841" s="217"/>
      <c r="O841" s="217"/>
      <c r="P841" s="217"/>
      <c r="Q841" s="218"/>
    </row>
    <row r="842" spans="1:17" s="213" customFormat="1" hidden="1" x14ac:dyDescent="0.25">
      <c r="A842" s="208" t="s">
        <v>263</v>
      </c>
      <c r="B842" s="209" t="s">
        <v>1822</v>
      </c>
      <c r="C842" s="209" t="s">
        <v>1823</v>
      </c>
      <c r="D842" s="209" t="s">
        <v>1928</v>
      </c>
      <c r="E842" s="209" t="s">
        <v>1847</v>
      </c>
      <c r="F842" s="209" t="s">
        <v>2313</v>
      </c>
      <c r="G842" s="209"/>
      <c r="H842" s="210" t="s">
        <v>2674</v>
      </c>
      <c r="I842" s="211">
        <f>I843</f>
        <v>0</v>
      </c>
      <c r="J842" s="211">
        <f t="shared" ref="J842:P842" si="112">J843</f>
        <v>0</v>
      </c>
      <c r="K842" s="211">
        <f t="shared" si="112"/>
        <v>0</v>
      </c>
      <c r="L842" s="211">
        <f t="shared" si="112"/>
        <v>0</v>
      </c>
      <c r="M842" s="211">
        <f t="shared" si="112"/>
        <v>0</v>
      </c>
      <c r="N842" s="211">
        <f t="shared" si="112"/>
        <v>0</v>
      </c>
      <c r="O842" s="211">
        <f t="shared" si="112"/>
        <v>0</v>
      </c>
      <c r="P842" s="211">
        <f t="shared" si="112"/>
        <v>0</v>
      </c>
      <c r="Q842" s="212"/>
    </row>
    <row r="843" spans="1:17" s="219" customFormat="1" x14ac:dyDescent="0.25">
      <c r="A843" s="214"/>
      <c r="B843" s="215" t="s">
        <v>1822</v>
      </c>
      <c r="C843" s="215" t="s">
        <v>1823</v>
      </c>
      <c r="D843" s="215" t="s">
        <v>1928</v>
      </c>
      <c r="E843" s="215" t="s">
        <v>1847</v>
      </c>
      <c r="F843" s="215" t="s">
        <v>2313</v>
      </c>
      <c r="G843" s="215" t="s">
        <v>58</v>
      </c>
      <c r="H843" s="216" t="s">
        <v>2674</v>
      </c>
      <c r="I843" s="217"/>
      <c r="J843" s="217"/>
      <c r="K843" s="217"/>
      <c r="L843" s="217"/>
      <c r="M843" s="217"/>
      <c r="N843" s="217"/>
      <c r="O843" s="217"/>
      <c r="P843" s="217"/>
      <c r="Q843" s="218"/>
    </row>
    <row r="844" spans="1:17" s="213" customFormat="1" x14ac:dyDescent="0.25">
      <c r="A844" s="208" t="s">
        <v>1984</v>
      </c>
      <c r="B844" s="209" t="s">
        <v>1822</v>
      </c>
      <c r="C844" s="209" t="s">
        <v>1823</v>
      </c>
      <c r="D844" s="209" t="s">
        <v>1928</v>
      </c>
      <c r="E844" s="209" t="s">
        <v>1928</v>
      </c>
      <c r="F844" s="209"/>
      <c r="G844" s="209"/>
      <c r="H844" s="210" t="s">
        <v>2675</v>
      </c>
      <c r="I844" s="211">
        <f>SUM(I845+I851+I855+I861)</f>
        <v>1260745500</v>
      </c>
      <c r="J844" s="211">
        <f t="shared" ref="J844:P844" si="113">SUM(J845+J851+J855+J861)</f>
        <v>31518637.5</v>
      </c>
      <c r="K844" s="211">
        <f t="shared" si="113"/>
        <v>15759318.75</v>
      </c>
      <c r="L844" s="211">
        <f t="shared" si="113"/>
        <v>15759318.75</v>
      </c>
      <c r="M844" s="211">
        <f t="shared" si="113"/>
        <v>31518637.5</v>
      </c>
      <c r="N844" s="211">
        <f t="shared" si="113"/>
        <v>298332600</v>
      </c>
      <c r="O844" s="211">
        <f t="shared" si="113"/>
        <v>962412900</v>
      </c>
      <c r="P844" s="211">
        <f t="shared" si="113"/>
        <v>0</v>
      </c>
      <c r="Q844" s="212"/>
    </row>
    <row r="845" spans="1:17" s="213" customFormat="1" x14ac:dyDescent="0.25">
      <c r="A845" s="208" t="s">
        <v>263</v>
      </c>
      <c r="B845" s="209" t="s">
        <v>1822</v>
      </c>
      <c r="C845" s="209" t="s">
        <v>1823</v>
      </c>
      <c r="D845" s="209" t="s">
        <v>1928</v>
      </c>
      <c r="E845" s="209" t="s">
        <v>1928</v>
      </c>
      <c r="F845" s="209" t="s">
        <v>1825</v>
      </c>
      <c r="G845" s="209"/>
      <c r="H845" s="210" t="s">
        <v>2676</v>
      </c>
      <c r="I845" s="211">
        <f>SUM(I846:I850)</f>
        <v>0</v>
      </c>
      <c r="J845" s="211">
        <f t="shared" ref="J845:P845" si="114">SUM(J846:J850)</f>
        <v>0</v>
      </c>
      <c r="K845" s="211">
        <f t="shared" si="114"/>
        <v>0</v>
      </c>
      <c r="L845" s="211">
        <f t="shared" si="114"/>
        <v>0</v>
      </c>
      <c r="M845" s="211">
        <f t="shared" si="114"/>
        <v>0</v>
      </c>
      <c r="N845" s="211">
        <f t="shared" si="114"/>
        <v>0</v>
      </c>
      <c r="O845" s="211">
        <f t="shared" si="114"/>
        <v>0</v>
      </c>
      <c r="P845" s="211">
        <f t="shared" si="114"/>
        <v>0</v>
      </c>
      <c r="Q845" s="212"/>
    </row>
    <row r="846" spans="1:17" s="219" customFormat="1" hidden="1" x14ac:dyDescent="0.25">
      <c r="A846" s="214"/>
      <c r="B846" s="215" t="s">
        <v>1822</v>
      </c>
      <c r="C846" s="215" t="s">
        <v>1823</v>
      </c>
      <c r="D846" s="215" t="s">
        <v>1928</v>
      </c>
      <c r="E846" s="215" t="s">
        <v>1928</v>
      </c>
      <c r="F846" s="215" t="s">
        <v>1825</v>
      </c>
      <c r="G846" s="215" t="s">
        <v>58</v>
      </c>
      <c r="H846" s="216" t="s">
        <v>2677</v>
      </c>
      <c r="I846" s="217"/>
      <c r="J846" s="217"/>
      <c r="K846" s="217"/>
      <c r="L846" s="217"/>
      <c r="M846" s="217"/>
      <c r="N846" s="217"/>
      <c r="O846" s="217"/>
      <c r="P846" s="217"/>
      <c r="Q846" s="218"/>
    </row>
    <row r="847" spans="1:17" s="219" customFormat="1" hidden="1" x14ac:dyDescent="0.25">
      <c r="A847" s="214"/>
      <c r="B847" s="215" t="s">
        <v>1822</v>
      </c>
      <c r="C847" s="215" t="s">
        <v>1823</v>
      </c>
      <c r="D847" s="215" t="s">
        <v>1928</v>
      </c>
      <c r="E847" s="215" t="s">
        <v>1928</v>
      </c>
      <c r="F847" s="215" t="s">
        <v>1825</v>
      </c>
      <c r="G847" s="215" t="s">
        <v>75</v>
      </c>
      <c r="H847" s="216" t="s">
        <v>2678</v>
      </c>
      <c r="I847" s="217"/>
      <c r="J847" s="217"/>
      <c r="K847" s="217"/>
      <c r="L847" s="217"/>
      <c r="M847" s="217"/>
      <c r="N847" s="217"/>
      <c r="O847" s="217"/>
      <c r="P847" s="217"/>
      <c r="Q847" s="218"/>
    </row>
    <row r="848" spans="1:17" s="219" customFormat="1" hidden="1" x14ac:dyDescent="0.25">
      <c r="A848" s="214"/>
      <c r="B848" s="215" t="s">
        <v>1822</v>
      </c>
      <c r="C848" s="215" t="s">
        <v>1823</v>
      </c>
      <c r="D848" s="215" t="s">
        <v>1928</v>
      </c>
      <c r="E848" s="215" t="s">
        <v>1928</v>
      </c>
      <c r="F848" s="215" t="s">
        <v>1825</v>
      </c>
      <c r="G848" s="215" t="s">
        <v>79</v>
      </c>
      <c r="H848" s="216" t="s">
        <v>2679</v>
      </c>
      <c r="I848" s="217"/>
      <c r="J848" s="217"/>
      <c r="K848" s="217"/>
      <c r="L848" s="217"/>
      <c r="M848" s="217"/>
      <c r="N848" s="217"/>
      <c r="O848" s="217"/>
      <c r="P848" s="217"/>
      <c r="Q848" s="218"/>
    </row>
    <row r="849" spans="1:17" s="219" customFormat="1" hidden="1" x14ac:dyDescent="0.25">
      <c r="A849" s="214"/>
      <c r="B849" s="215" t="s">
        <v>1822</v>
      </c>
      <c r="C849" s="215" t="s">
        <v>1823</v>
      </c>
      <c r="D849" s="215" t="s">
        <v>1928</v>
      </c>
      <c r="E849" s="215" t="s">
        <v>1928</v>
      </c>
      <c r="F849" s="215" t="s">
        <v>1825</v>
      </c>
      <c r="G849" s="215" t="s">
        <v>84</v>
      </c>
      <c r="H849" s="216" t="s">
        <v>2680</v>
      </c>
      <c r="I849" s="217"/>
      <c r="J849" s="217"/>
      <c r="K849" s="217"/>
      <c r="L849" s="217"/>
      <c r="M849" s="217"/>
      <c r="N849" s="217"/>
      <c r="O849" s="217"/>
      <c r="P849" s="217"/>
      <c r="Q849" s="218"/>
    </row>
    <row r="850" spans="1:17" s="219" customFormat="1" x14ac:dyDescent="0.25">
      <c r="A850" s="214"/>
      <c r="B850" s="215" t="s">
        <v>1822</v>
      </c>
      <c r="C850" s="215" t="s">
        <v>1823</v>
      </c>
      <c r="D850" s="215" t="s">
        <v>1928</v>
      </c>
      <c r="E850" s="215" t="s">
        <v>1928</v>
      </c>
      <c r="F850" s="215" t="s">
        <v>1825</v>
      </c>
      <c r="G850" s="215" t="s">
        <v>88</v>
      </c>
      <c r="H850" s="216" t="s">
        <v>2681</v>
      </c>
      <c r="I850" s="217"/>
      <c r="J850" s="217"/>
      <c r="K850" s="217"/>
      <c r="L850" s="217"/>
      <c r="M850" s="217"/>
      <c r="N850" s="217"/>
      <c r="O850" s="217"/>
      <c r="P850" s="217"/>
      <c r="Q850" s="218"/>
    </row>
    <row r="851" spans="1:17" s="213" customFormat="1" x14ac:dyDescent="0.25">
      <c r="A851" s="208" t="s">
        <v>263</v>
      </c>
      <c r="B851" s="209" t="s">
        <v>1822</v>
      </c>
      <c r="C851" s="209" t="s">
        <v>1823</v>
      </c>
      <c r="D851" s="209" t="s">
        <v>1928</v>
      </c>
      <c r="E851" s="209" t="s">
        <v>1928</v>
      </c>
      <c r="F851" s="209" t="s">
        <v>1836</v>
      </c>
      <c r="G851" s="209"/>
      <c r="H851" s="210" t="s">
        <v>1428</v>
      </c>
      <c r="I851" s="211">
        <f>SUM(I852:I854)</f>
        <v>1260745500</v>
      </c>
      <c r="J851" s="211">
        <f t="shared" ref="J851:P851" si="115">SUM(J852:J854)</f>
        <v>31518637.5</v>
      </c>
      <c r="K851" s="211">
        <f t="shared" si="115"/>
        <v>15759318.75</v>
      </c>
      <c r="L851" s="211">
        <f t="shared" si="115"/>
        <v>15759318.75</v>
      </c>
      <c r="M851" s="211">
        <f t="shared" si="115"/>
        <v>31518637.5</v>
      </c>
      <c r="N851" s="211">
        <f t="shared" si="115"/>
        <v>298332600</v>
      </c>
      <c r="O851" s="211">
        <f t="shared" si="115"/>
        <v>962412900</v>
      </c>
      <c r="P851" s="211">
        <f t="shared" si="115"/>
        <v>0</v>
      </c>
      <c r="Q851" s="212"/>
    </row>
    <row r="852" spans="1:17" s="219" customFormat="1" x14ac:dyDescent="0.25">
      <c r="A852" s="214"/>
      <c r="B852" s="215" t="s">
        <v>1822</v>
      </c>
      <c r="C852" s="215" t="s">
        <v>1823</v>
      </c>
      <c r="D852" s="215" t="s">
        <v>1928</v>
      </c>
      <c r="E852" s="215" t="s">
        <v>1928</v>
      </c>
      <c r="F852" s="215" t="s">
        <v>1836</v>
      </c>
      <c r="G852" s="215" t="s">
        <v>58</v>
      </c>
      <c r="H852" s="216" t="s">
        <v>2682</v>
      </c>
      <c r="I852" s="217"/>
      <c r="J852" s="217"/>
      <c r="K852" s="217"/>
      <c r="L852" s="217"/>
      <c r="M852" s="217"/>
      <c r="N852" s="217"/>
      <c r="O852" s="217"/>
      <c r="P852" s="217"/>
      <c r="Q852" s="218"/>
    </row>
    <row r="853" spans="1:17" s="219" customFormat="1" x14ac:dyDescent="0.25">
      <c r="A853" s="214"/>
      <c r="B853" s="215" t="s">
        <v>1822</v>
      </c>
      <c r="C853" s="215" t="s">
        <v>1823</v>
      </c>
      <c r="D853" s="215" t="s">
        <v>1928</v>
      </c>
      <c r="E853" s="215" t="s">
        <v>1928</v>
      </c>
      <c r="F853" s="215" t="s">
        <v>1836</v>
      </c>
      <c r="G853" s="215" t="s">
        <v>75</v>
      </c>
      <c r="H853" s="216" t="s">
        <v>2683</v>
      </c>
      <c r="I853" s="217"/>
      <c r="J853" s="217"/>
      <c r="K853" s="217"/>
      <c r="L853" s="217"/>
      <c r="M853" s="217"/>
      <c r="N853" s="217"/>
      <c r="O853" s="217"/>
      <c r="P853" s="217"/>
      <c r="Q853" s="218"/>
    </row>
    <row r="854" spans="1:17" s="219" customFormat="1" x14ac:dyDescent="0.25">
      <c r="A854" s="214"/>
      <c r="B854" s="215" t="s">
        <v>1822</v>
      </c>
      <c r="C854" s="215" t="s">
        <v>1823</v>
      </c>
      <c r="D854" s="215" t="s">
        <v>1928</v>
      </c>
      <c r="E854" s="215" t="s">
        <v>1928</v>
      </c>
      <c r="F854" s="215" t="s">
        <v>1836</v>
      </c>
      <c r="G854" s="215" t="s">
        <v>79</v>
      </c>
      <c r="H854" s="216" t="s">
        <v>2684</v>
      </c>
      <c r="I854" s="217">
        <v>1260745500</v>
      </c>
      <c r="J854" s="217">
        <v>31518637.5</v>
      </c>
      <c r="K854" s="217">
        <v>15759318.75</v>
      </c>
      <c r="L854" s="217">
        <v>15759318.75</v>
      </c>
      <c r="M854" s="217">
        <v>31518637.5</v>
      </c>
      <c r="N854" s="217">
        <v>298332600</v>
      </c>
      <c r="O854" s="217">
        <v>962412900</v>
      </c>
      <c r="P854" s="217"/>
      <c r="Q854" s="218"/>
    </row>
    <row r="855" spans="1:17" s="213" customFormat="1" x14ac:dyDescent="0.25">
      <c r="A855" s="208" t="s">
        <v>263</v>
      </c>
      <c r="B855" s="209" t="s">
        <v>1822</v>
      </c>
      <c r="C855" s="209" t="s">
        <v>1823</v>
      </c>
      <c r="D855" s="209" t="s">
        <v>1928</v>
      </c>
      <c r="E855" s="209" t="s">
        <v>1928</v>
      </c>
      <c r="F855" s="209" t="s">
        <v>1847</v>
      </c>
      <c r="G855" s="209"/>
      <c r="H855" s="210" t="s">
        <v>2685</v>
      </c>
      <c r="I855" s="211">
        <f>SUM(I856:I860)</f>
        <v>0</v>
      </c>
      <c r="J855" s="211">
        <f t="shared" ref="J855:P855" si="116">SUM(J856:J860)</f>
        <v>0</v>
      </c>
      <c r="K855" s="211">
        <f t="shared" si="116"/>
        <v>0</v>
      </c>
      <c r="L855" s="211">
        <f t="shared" si="116"/>
        <v>0</v>
      </c>
      <c r="M855" s="211">
        <f t="shared" si="116"/>
        <v>0</v>
      </c>
      <c r="N855" s="211">
        <f t="shared" si="116"/>
        <v>0</v>
      </c>
      <c r="O855" s="211">
        <f t="shared" si="116"/>
        <v>0</v>
      </c>
      <c r="P855" s="211">
        <f t="shared" si="116"/>
        <v>0</v>
      </c>
      <c r="Q855" s="212"/>
    </row>
    <row r="856" spans="1:17" s="219" customFormat="1" hidden="1" x14ac:dyDescent="0.25">
      <c r="A856" s="214"/>
      <c r="B856" s="215" t="s">
        <v>1822</v>
      </c>
      <c r="C856" s="215" t="s">
        <v>1823</v>
      </c>
      <c r="D856" s="215" t="s">
        <v>1928</v>
      </c>
      <c r="E856" s="215" t="s">
        <v>1928</v>
      </c>
      <c r="F856" s="215" t="s">
        <v>1847</v>
      </c>
      <c r="G856" s="215" t="s">
        <v>58</v>
      </c>
      <c r="H856" s="216" t="s">
        <v>2686</v>
      </c>
      <c r="I856" s="217"/>
      <c r="J856" s="217"/>
      <c r="K856" s="217"/>
      <c r="L856" s="217"/>
      <c r="M856" s="217"/>
      <c r="N856" s="217"/>
      <c r="O856" s="217"/>
      <c r="P856" s="217"/>
      <c r="Q856" s="218"/>
    </row>
    <row r="857" spans="1:17" s="219" customFormat="1" hidden="1" x14ac:dyDescent="0.25">
      <c r="A857" s="214"/>
      <c r="B857" s="215" t="s">
        <v>1822</v>
      </c>
      <c r="C857" s="215" t="s">
        <v>1823</v>
      </c>
      <c r="D857" s="215" t="s">
        <v>1928</v>
      </c>
      <c r="E857" s="215" t="s">
        <v>1928</v>
      </c>
      <c r="F857" s="215" t="s">
        <v>1847</v>
      </c>
      <c r="G857" s="215" t="s">
        <v>75</v>
      </c>
      <c r="H857" s="216" t="s">
        <v>2687</v>
      </c>
      <c r="I857" s="217"/>
      <c r="J857" s="217"/>
      <c r="K857" s="217"/>
      <c r="L857" s="217"/>
      <c r="M857" s="217"/>
      <c r="N857" s="217"/>
      <c r="O857" s="217"/>
      <c r="P857" s="217"/>
      <c r="Q857" s="218"/>
    </row>
    <row r="858" spans="1:17" s="219" customFormat="1" hidden="1" x14ac:dyDescent="0.25">
      <c r="A858" s="214"/>
      <c r="B858" s="215" t="s">
        <v>1822</v>
      </c>
      <c r="C858" s="215" t="s">
        <v>1823</v>
      </c>
      <c r="D858" s="215" t="s">
        <v>1928</v>
      </c>
      <c r="E858" s="215" t="s">
        <v>1928</v>
      </c>
      <c r="F858" s="215" t="s">
        <v>1847</v>
      </c>
      <c r="G858" s="215" t="s">
        <v>79</v>
      </c>
      <c r="H858" s="216" t="s">
        <v>2688</v>
      </c>
      <c r="I858" s="217"/>
      <c r="J858" s="217"/>
      <c r="K858" s="217"/>
      <c r="L858" s="217"/>
      <c r="M858" s="217"/>
      <c r="N858" s="217"/>
      <c r="O858" s="217"/>
      <c r="P858" s="217"/>
      <c r="Q858" s="218"/>
    </row>
    <row r="859" spans="1:17" s="219" customFormat="1" hidden="1" x14ac:dyDescent="0.25">
      <c r="A859" s="214"/>
      <c r="B859" s="215" t="s">
        <v>1822</v>
      </c>
      <c r="C859" s="215" t="s">
        <v>1823</v>
      </c>
      <c r="D859" s="215" t="s">
        <v>1928</v>
      </c>
      <c r="E859" s="215" t="s">
        <v>1928</v>
      </c>
      <c r="F859" s="215" t="s">
        <v>1847</v>
      </c>
      <c r="G859" s="215" t="s">
        <v>84</v>
      </c>
      <c r="H859" s="216" t="s">
        <v>2689</v>
      </c>
      <c r="I859" s="217"/>
      <c r="J859" s="217"/>
      <c r="K859" s="217"/>
      <c r="L859" s="217"/>
      <c r="M859" s="217"/>
      <c r="N859" s="217"/>
      <c r="O859" s="217"/>
      <c r="P859" s="217"/>
      <c r="Q859" s="218"/>
    </row>
    <row r="860" spans="1:17" s="219" customFormat="1" hidden="1" x14ac:dyDescent="0.25">
      <c r="A860" s="214"/>
      <c r="B860" s="215" t="s">
        <v>1822</v>
      </c>
      <c r="C860" s="215" t="s">
        <v>1823</v>
      </c>
      <c r="D860" s="215" t="s">
        <v>1928</v>
      </c>
      <c r="E860" s="215" t="s">
        <v>1928</v>
      </c>
      <c r="F860" s="215" t="s">
        <v>1847</v>
      </c>
      <c r="G860" s="215" t="s">
        <v>88</v>
      </c>
      <c r="H860" s="216" t="s">
        <v>2690</v>
      </c>
      <c r="I860" s="217"/>
      <c r="J860" s="217"/>
      <c r="K860" s="217"/>
      <c r="L860" s="217"/>
      <c r="M860" s="217"/>
      <c r="N860" s="217"/>
      <c r="O860" s="217"/>
      <c r="P860" s="217"/>
      <c r="Q860" s="218"/>
    </row>
    <row r="861" spans="1:17" s="213" customFormat="1" hidden="1" x14ac:dyDescent="0.25">
      <c r="A861" s="208" t="s">
        <v>263</v>
      </c>
      <c r="B861" s="209" t="s">
        <v>1822</v>
      </c>
      <c r="C861" s="209" t="s">
        <v>1823</v>
      </c>
      <c r="D861" s="209" t="s">
        <v>1928</v>
      </c>
      <c r="E861" s="209" t="s">
        <v>1928</v>
      </c>
      <c r="F861" s="209" t="s">
        <v>1928</v>
      </c>
      <c r="G861" s="209"/>
      <c r="H861" s="210" t="s">
        <v>2691</v>
      </c>
      <c r="I861" s="211">
        <f>SUM(I862:I866)</f>
        <v>0</v>
      </c>
      <c r="J861" s="211">
        <f t="shared" ref="J861:P861" si="117">SUM(J862:J866)</f>
        <v>0</v>
      </c>
      <c r="K861" s="211">
        <f t="shared" si="117"/>
        <v>0</v>
      </c>
      <c r="L861" s="211">
        <f t="shared" si="117"/>
        <v>0</v>
      </c>
      <c r="M861" s="211">
        <f t="shared" si="117"/>
        <v>0</v>
      </c>
      <c r="N861" s="211">
        <f t="shared" si="117"/>
        <v>0</v>
      </c>
      <c r="O861" s="211">
        <f t="shared" si="117"/>
        <v>0</v>
      </c>
      <c r="P861" s="211">
        <f t="shared" si="117"/>
        <v>0</v>
      </c>
      <c r="Q861" s="212"/>
    </row>
    <row r="862" spans="1:17" s="219" customFormat="1" hidden="1" x14ac:dyDescent="0.25">
      <c r="A862" s="214"/>
      <c r="B862" s="215" t="s">
        <v>1822</v>
      </c>
      <c r="C862" s="215" t="s">
        <v>1823</v>
      </c>
      <c r="D862" s="215" t="s">
        <v>1928</v>
      </c>
      <c r="E862" s="215" t="s">
        <v>1928</v>
      </c>
      <c r="F862" s="215" t="s">
        <v>1928</v>
      </c>
      <c r="G862" s="215" t="s">
        <v>58</v>
      </c>
      <c r="H862" s="216" t="s">
        <v>2692</v>
      </c>
      <c r="I862" s="217"/>
      <c r="J862" s="217"/>
      <c r="K862" s="217"/>
      <c r="L862" s="217"/>
      <c r="M862" s="217"/>
      <c r="N862" s="217"/>
      <c r="O862" s="217"/>
      <c r="P862" s="217"/>
      <c r="Q862" s="218"/>
    </row>
    <row r="863" spans="1:17" s="219" customFormat="1" hidden="1" x14ac:dyDescent="0.25">
      <c r="A863" s="214"/>
      <c r="B863" s="215" t="s">
        <v>1822</v>
      </c>
      <c r="C863" s="215" t="s">
        <v>1823</v>
      </c>
      <c r="D863" s="215" t="s">
        <v>1928</v>
      </c>
      <c r="E863" s="215" t="s">
        <v>1928</v>
      </c>
      <c r="F863" s="215" t="s">
        <v>1928</v>
      </c>
      <c r="G863" s="215" t="s">
        <v>75</v>
      </c>
      <c r="H863" s="216" t="s">
        <v>2693</v>
      </c>
      <c r="I863" s="217"/>
      <c r="J863" s="217"/>
      <c r="K863" s="217"/>
      <c r="L863" s="217"/>
      <c r="M863" s="217"/>
      <c r="N863" s="217"/>
      <c r="O863" s="217"/>
      <c r="P863" s="217"/>
      <c r="Q863" s="218"/>
    </row>
    <row r="864" spans="1:17" s="219" customFormat="1" hidden="1" x14ac:dyDescent="0.25">
      <c r="A864" s="214"/>
      <c r="B864" s="215" t="s">
        <v>1822</v>
      </c>
      <c r="C864" s="215" t="s">
        <v>1823</v>
      </c>
      <c r="D864" s="215" t="s">
        <v>1928</v>
      </c>
      <c r="E864" s="215" t="s">
        <v>1928</v>
      </c>
      <c r="F864" s="215" t="s">
        <v>1928</v>
      </c>
      <c r="G864" s="215" t="s">
        <v>79</v>
      </c>
      <c r="H864" s="216" t="s">
        <v>2694</v>
      </c>
      <c r="I864" s="217"/>
      <c r="J864" s="217"/>
      <c r="K864" s="217"/>
      <c r="L864" s="217"/>
      <c r="M864" s="217"/>
      <c r="N864" s="217"/>
      <c r="O864" s="217"/>
      <c r="P864" s="217"/>
      <c r="Q864" s="218"/>
    </row>
    <row r="865" spans="1:17" s="219" customFormat="1" hidden="1" x14ac:dyDescent="0.25">
      <c r="A865" s="214"/>
      <c r="B865" s="215" t="s">
        <v>1822</v>
      </c>
      <c r="C865" s="215" t="s">
        <v>1823</v>
      </c>
      <c r="D865" s="215" t="s">
        <v>1928</v>
      </c>
      <c r="E865" s="215" t="s">
        <v>1928</v>
      </c>
      <c r="F865" s="215" t="s">
        <v>1928</v>
      </c>
      <c r="G865" s="215" t="s">
        <v>84</v>
      </c>
      <c r="H865" s="216" t="s">
        <v>2695</v>
      </c>
      <c r="I865" s="217"/>
      <c r="J865" s="217"/>
      <c r="K865" s="217"/>
      <c r="L865" s="217"/>
      <c r="M865" s="217"/>
      <c r="N865" s="217"/>
      <c r="O865" s="217"/>
      <c r="P865" s="217"/>
      <c r="Q865" s="218"/>
    </row>
    <row r="866" spans="1:17" s="219" customFormat="1" hidden="1" x14ac:dyDescent="0.25">
      <c r="A866" s="214"/>
      <c r="B866" s="215" t="s">
        <v>1822</v>
      </c>
      <c r="C866" s="215" t="s">
        <v>1823</v>
      </c>
      <c r="D866" s="215" t="s">
        <v>1928</v>
      </c>
      <c r="E866" s="215" t="s">
        <v>1928</v>
      </c>
      <c r="F866" s="215" t="s">
        <v>1928</v>
      </c>
      <c r="G866" s="215" t="s">
        <v>88</v>
      </c>
      <c r="H866" s="216" t="s">
        <v>2696</v>
      </c>
      <c r="I866" s="217"/>
      <c r="J866" s="217"/>
      <c r="K866" s="217"/>
      <c r="L866" s="217"/>
      <c r="M866" s="217"/>
      <c r="N866" s="217"/>
      <c r="O866" s="217"/>
      <c r="P866" s="217"/>
      <c r="Q866" s="218"/>
    </row>
    <row r="867" spans="1:17" s="339" customFormat="1" hidden="1" x14ac:dyDescent="0.25">
      <c r="A867" s="337"/>
      <c r="B867" s="338"/>
      <c r="C867" s="340"/>
      <c r="D867" s="340"/>
      <c r="E867" s="340"/>
      <c r="F867" s="340"/>
      <c r="G867" s="333"/>
      <c r="H867" s="335"/>
      <c r="I867" s="226"/>
      <c r="J867" s="226"/>
      <c r="K867" s="226"/>
      <c r="L867" s="226"/>
      <c r="M867" s="226"/>
      <c r="N867" s="226"/>
      <c r="O867" s="226"/>
      <c r="P867" s="226"/>
    </row>
    <row r="868" spans="1:17" s="339" customFormat="1" x14ac:dyDescent="0.25">
      <c r="A868" s="337">
        <v>5</v>
      </c>
      <c r="B868" s="338">
        <v>5</v>
      </c>
      <c r="C868" s="333" t="s">
        <v>1934</v>
      </c>
      <c r="D868" s="333"/>
      <c r="E868" s="333"/>
      <c r="F868" s="333"/>
      <c r="G868" s="333"/>
      <c r="H868" s="335" t="s">
        <v>1434</v>
      </c>
      <c r="I868" s="226">
        <f>SUM(I869+I904+I918+I931+I952+I955+I964)</f>
        <v>254806915</v>
      </c>
      <c r="J868" s="226">
        <f t="shared" ref="J868:P868" si="118">SUM(J869+J904+J918+J931+J952+J955+J964)</f>
        <v>0</v>
      </c>
      <c r="K868" s="226">
        <f t="shared" si="118"/>
        <v>0</v>
      </c>
      <c r="L868" s="226">
        <f t="shared" si="118"/>
        <v>0</v>
      </c>
      <c r="M868" s="226">
        <f t="shared" si="118"/>
        <v>0</v>
      </c>
      <c r="N868" s="226">
        <f t="shared" si="118"/>
        <v>0</v>
      </c>
      <c r="O868" s="226">
        <f t="shared" si="118"/>
        <v>254806915</v>
      </c>
      <c r="P868" s="226">
        <f t="shared" si="118"/>
        <v>0</v>
      </c>
    </row>
    <row r="869" spans="1:17" s="213" customFormat="1" x14ac:dyDescent="0.25">
      <c r="A869" s="208" t="s">
        <v>1827</v>
      </c>
      <c r="B869" s="209" t="s">
        <v>1822</v>
      </c>
      <c r="C869" s="209" t="s">
        <v>1823</v>
      </c>
      <c r="D869" s="209" t="s">
        <v>1934</v>
      </c>
      <c r="E869" s="209" t="s">
        <v>1825</v>
      </c>
      <c r="F869" s="209"/>
      <c r="G869" s="209"/>
      <c r="H869" s="210" t="s">
        <v>2697</v>
      </c>
      <c r="I869" s="211">
        <f>SUM(I870+I883+I887+I892+I895+I898+I901)</f>
        <v>254806915</v>
      </c>
      <c r="J869" s="211">
        <f t="shared" ref="J869:P869" si="119">SUM(J870+J883+J887+J892+J895+J898+J901)</f>
        <v>0</v>
      </c>
      <c r="K869" s="211">
        <f t="shared" si="119"/>
        <v>0</v>
      </c>
      <c r="L869" s="211">
        <f t="shared" si="119"/>
        <v>0</v>
      </c>
      <c r="M869" s="211">
        <f t="shared" si="119"/>
        <v>0</v>
      </c>
      <c r="N869" s="211">
        <f t="shared" si="119"/>
        <v>0</v>
      </c>
      <c r="O869" s="211">
        <f t="shared" si="119"/>
        <v>254806915</v>
      </c>
      <c r="P869" s="211">
        <f t="shared" si="119"/>
        <v>0</v>
      </c>
      <c r="Q869" s="212"/>
    </row>
    <row r="870" spans="1:17" s="213" customFormat="1" x14ac:dyDescent="0.25">
      <c r="A870" s="208" t="s">
        <v>263</v>
      </c>
      <c r="B870" s="209" t="s">
        <v>1822</v>
      </c>
      <c r="C870" s="209" t="s">
        <v>1823</v>
      </c>
      <c r="D870" s="209" t="s">
        <v>1934</v>
      </c>
      <c r="E870" s="209" t="s">
        <v>1825</v>
      </c>
      <c r="F870" s="209" t="s">
        <v>1825</v>
      </c>
      <c r="G870" s="209"/>
      <c r="H870" s="210" t="s">
        <v>2698</v>
      </c>
      <c r="I870" s="211">
        <f>SUM(I871:I882)</f>
        <v>254806915</v>
      </c>
      <c r="J870" s="211">
        <f t="shared" ref="J870:P870" si="120">SUM(J871:J882)</f>
        <v>0</v>
      </c>
      <c r="K870" s="211">
        <f t="shared" si="120"/>
        <v>0</v>
      </c>
      <c r="L870" s="211">
        <f t="shared" si="120"/>
        <v>0</v>
      </c>
      <c r="M870" s="211">
        <f t="shared" si="120"/>
        <v>0</v>
      </c>
      <c r="N870" s="211">
        <f t="shared" si="120"/>
        <v>0</v>
      </c>
      <c r="O870" s="211">
        <f t="shared" si="120"/>
        <v>254806915</v>
      </c>
      <c r="P870" s="211">
        <f t="shared" si="120"/>
        <v>0</v>
      </c>
      <c r="Q870" s="212"/>
    </row>
    <row r="871" spans="1:17" s="219" customFormat="1" x14ac:dyDescent="0.25">
      <c r="A871" s="214"/>
      <c r="B871" s="215" t="s">
        <v>1822</v>
      </c>
      <c r="C871" s="215" t="s">
        <v>1823</v>
      </c>
      <c r="D871" s="215" t="s">
        <v>1934</v>
      </c>
      <c r="E871" s="215" t="s">
        <v>1825</v>
      </c>
      <c r="F871" s="215" t="s">
        <v>1825</v>
      </c>
      <c r="G871" s="215" t="s">
        <v>58</v>
      </c>
      <c r="H871" s="216" t="s">
        <v>1454</v>
      </c>
      <c r="I871" s="217">
        <v>254806915</v>
      </c>
      <c r="J871" s="217"/>
      <c r="K871" s="217"/>
      <c r="L871" s="217"/>
      <c r="M871" s="217"/>
      <c r="N871" s="217"/>
      <c r="O871" s="217">
        <v>254806915</v>
      </c>
      <c r="P871" s="217"/>
      <c r="Q871" s="218"/>
    </row>
    <row r="872" spans="1:17" s="219" customFormat="1" x14ac:dyDescent="0.25">
      <c r="A872" s="214"/>
      <c r="B872" s="215" t="s">
        <v>1822</v>
      </c>
      <c r="C872" s="215" t="s">
        <v>1823</v>
      </c>
      <c r="D872" s="215" t="s">
        <v>1934</v>
      </c>
      <c r="E872" s="215" t="s">
        <v>1825</v>
      </c>
      <c r="F872" s="215" t="s">
        <v>1825</v>
      </c>
      <c r="G872" s="215" t="s">
        <v>75</v>
      </c>
      <c r="H872" s="216" t="s">
        <v>2699</v>
      </c>
      <c r="I872" s="217"/>
      <c r="J872" s="217"/>
      <c r="K872" s="217"/>
      <c r="L872" s="217"/>
      <c r="M872" s="217"/>
      <c r="N872" s="217"/>
      <c r="O872" s="217"/>
      <c r="P872" s="217"/>
      <c r="Q872" s="218"/>
    </row>
    <row r="873" spans="1:17" s="219" customFormat="1" hidden="1" x14ac:dyDescent="0.25">
      <c r="A873" s="214"/>
      <c r="B873" s="215" t="s">
        <v>1822</v>
      </c>
      <c r="C873" s="215" t="s">
        <v>1823</v>
      </c>
      <c r="D873" s="215" t="s">
        <v>1934</v>
      </c>
      <c r="E873" s="215" t="s">
        <v>1825</v>
      </c>
      <c r="F873" s="215" t="s">
        <v>1825</v>
      </c>
      <c r="G873" s="215" t="s">
        <v>79</v>
      </c>
      <c r="H873" s="216" t="s">
        <v>2700</v>
      </c>
      <c r="I873" s="217"/>
      <c r="J873" s="217"/>
      <c r="K873" s="217"/>
      <c r="L873" s="217"/>
      <c r="M873" s="217"/>
      <c r="N873" s="217"/>
      <c r="O873" s="217"/>
      <c r="P873" s="217"/>
      <c r="Q873" s="218"/>
    </row>
    <row r="874" spans="1:17" s="219" customFormat="1" hidden="1" x14ac:dyDescent="0.25">
      <c r="A874" s="214"/>
      <c r="B874" s="215" t="s">
        <v>1822</v>
      </c>
      <c r="C874" s="215" t="s">
        <v>1823</v>
      </c>
      <c r="D874" s="215" t="s">
        <v>1934</v>
      </c>
      <c r="E874" s="215" t="s">
        <v>1825</v>
      </c>
      <c r="F874" s="215" t="s">
        <v>1825</v>
      </c>
      <c r="G874" s="215" t="s">
        <v>84</v>
      </c>
      <c r="H874" s="216" t="s">
        <v>2701</v>
      </c>
      <c r="I874" s="217"/>
      <c r="J874" s="217"/>
      <c r="K874" s="217"/>
      <c r="L874" s="217"/>
      <c r="M874" s="217"/>
      <c r="N874" s="217"/>
      <c r="O874" s="217"/>
      <c r="P874" s="217"/>
      <c r="Q874" s="218"/>
    </row>
    <row r="875" spans="1:17" s="219" customFormat="1" hidden="1" x14ac:dyDescent="0.25">
      <c r="A875" s="214"/>
      <c r="B875" s="215" t="s">
        <v>1822</v>
      </c>
      <c r="C875" s="215" t="s">
        <v>1823</v>
      </c>
      <c r="D875" s="215" t="s">
        <v>1934</v>
      </c>
      <c r="E875" s="215" t="s">
        <v>1825</v>
      </c>
      <c r="F875" s="215" t="s">
        <v>1825</v>
      </c>
      <c r="G875" s="215" t="s">
        <v>88</v>
      </c>
      <c r="H875" s="216" t="s">
        <v>1456</v>
      </c>
      <c r="I875" s="217"/>
      <c r="J875" s="217"/>
      <c r="K875" s="217"/>
      <c r="L875" s="217"/>
      <c r="M875" s="217"/>
      <c r="N875" s="217"/>
      <c r="O875" s="217"/>
      <c r="P875" s="217"/>
      <c r="Q875" s="218"/>
    </row>
    <row r="876" spans="1:17" s="219" customFormat="1" ht="30" hidden="1" x14ac:dyDescent="0.25">
      <c r="A876" s="214"/>
      <c r="B876" s="215" t="s">
        <v>1822</v>
      </c>
      <c r="C876" s="215" t="s">
        <v>1823</v>
      </c>
      <c r="D876" s="215" t="s">
        <v>1934</v>
      </c>
      <c r="E876" s="215" t="s">
        <v>1825</v>
      </c>
      <c r="F876" s="215" t="s">
        <v>1825</v>
      </c>
      <c r="G876" s="215" t="s">
        <v>92</v>
      </c>
      <c r="H876" s="216" t="s">
        <v>2702</v>
      </c>
      <c r="I876" s="217"/>
      <c r="J876" s="217"/>
      <c r="K876" s="217"/>
      <c r="L876" s="217"/>
      <c r="M876" s="217"/>
      <c r="N876" s="217"/>
      <c r="O876" s="217"/>
      <c r="P876" s="217"/>
      <c r="Q876" s="218"/>
    </row>
    <row r="877" spans="1:17" s="219" customFormat="1" hidden="1" x14ac:dyDescent="0.25">
      <c r="A877" s="214"/>
      <c r="B877" s="215" t="s">
        <v>1822</v>
      </c>
      <c r="C877" s="215" t="s">
        <v>1823</v>
      </c>
      <c r="D877" s="215" t="s">
        <v>1934</v>
      </c>
      <c r="E877" s="215" t="s">
        <v>1825</v>
      </c>
      <c r="F877" s="215" t="s">
        <v>1825</v>
      </c>
      <c r="G877" s="215" t="s">
        <v>96</v>
      </c>
      <c r="H877" s="216" t="s">
        <v>2703</v>
      </c>
      <c r="I877" s="217"/>
      <c r="J877" s="217"/>
      <c r="K877" s="217"/>
      <c r="L877" s="217"/>
      <c r="M877" s="217"/>
      <c r="N877" s="217"/>
      <c r="O877" s="217"/>
      <c r="P877" s="217"/>
      <c r="Q877" s="218"/>
    </row>
    <row r="878" spans="1:17" s="219" customFormat="1" ht="30" hidden="1" x14ac:dyDescent="0.25">
      <c r="A878" s="214"/>
      <c r="B878" s="215" t="s">
        <v>1822</v>
      </c>
      <c r="C878" s="215" t="s">
        <v>1823</v>
      </c>
      <c r="D878" s="215" t="s">
        <v>1934</v>
      </c>
      <c r="E878" s="215" t="s">
        <v>1825</v>
      </c>
      <c r="F878" s="215" t="s">
        <v>1825</v>
      </c>
      <c r="G878" s="215" t="s">
        <v>100</v>
      </c>
      <c r="H878" s="216" t="s">
        <v>2704</v>
      </c>
      <c r="I878" s="217"/>
      <c r="J878" s="217"/>
      <c r="K878" s="217"/>
      <c r="L878" s="217"/>
      <c r="M878" s="217"/>
      <c r="N878" s="217"/>
      <c r="O878" s="217"/>
      <c r="P878" s="217"/>
      <c r="Q878" s="218"/>
    </row>
    <row r="879" spans="1:17" s="219" customFormat="1" hidden="1" x14ac:dyDescent="0.25">
      <c r="A879" s="214"/>
      <c r="B879" s="215" t="s">
        <v>1822</v>
      </c>
      <c r="C879" s="215" t="s">
        <v>1823</v>
      </c>
      <c r="D879" s="215" t="s">
        <v>1934</v>
      </c>
      <c r="E879" s="215" t="s">
        <v>1825</v>
      </c>
      <c r="F879" s="215" t="s">
        <v>1825</v>
      </c>
      <c r="G879" s="215" t="s">
        <v>105</v>
      </c>
      <c r="H879" s="216" t="s">
        <v>2705</v>
      </c>
      <c r="I879" s="217"/>
      <c r="J879" s="217"/>
      <c r="K879" s="217"/>
      <c r="L879" s="217"/>
      <c r="M879" s="217"/>
      <c r="N879" s="217"/>
      <c r="O879" s="217"/>
      <c r="P879" s="217"/>
      <c r="Q879" s="218"/>
    </row>
    <row r="880" spans="1:17" s="219" customFormat="1" hidden="1" x14ac:dyDescent="0.25">
      <c r="A880" s="214"/>
      <c r="B880" s="215" t="s">
        <v>1822</v>
      </c>
      <c r="C880" s="215" t="s">
        <v>1823</v>
      </c>
      <c r="D880" s="215" t="s">
        <v>1934</v>
      </c>
      <c r="E880" s="215" t="s">
        <v>1825</v>
      </c>
      <c r="F880" s="215" t="s">
        <v>1825</v>
      </c>
      <c r="G880" s="215" t="s">
        <v>108</v>
      </c>
      <c r="H880" s="216" t="s">
        <v>2706</v>
      </c>
      <c r="I880" s="217"/>
      <c r="J880" s="217"/>
      <c r="K880" s="217"/>
      <c r="L880" s="217"/>
      <c r="M880" s="217"/>
      <c r="N880" s="217"/>
      <c r="O880" s="217"/>
      <c r="P880" s="217"/>
      <c r="Q880" s="218"/>
    </row>
    <row r="881" spans="1:17" s="219" customFormat="1" hidden="1" x14ac:dyDescent="0.25">
      <c r="A881" s="214"/>
      <c r="B881" s="215" t="s">
        <v>1822</v>
      </c>
      <c r="C881" s="215" t="s">
        <v>1823</v>
      </c>
      <c r="D881" s="215" t="s">
        <v>1934</v>
      </c>
      <c r="E881" s="215" t="s">
        <v>1825</v>
      </c>
      <c r="F881" s="215" t="s">
        <v>1825</v>
      </c>
      <c r="G881" s="215" t="s">
        <v>135</v>
      </c>
      <c r="H881" s="216" t="s">
        <v>2707</v>
      </c>
      <c r="I881" s="217"/>
      <c r="J881" s="217"/>
      <c r="K881" s="217"/>
      <c r="L881" s="217"/>
      <c r="M881" s="217"/>
      <c r="N881" s="217"/>
      <c r="O881" s="217"/>
      <c r="P881" s="217"/>
      <c r="Q881" s="218"/>
    </row>
    <row r="882" spans="1:17" s="219" customFormat="1" ht="30" hidden="1" x14ac:dyDescent="0.25">
      <c r="A882" s="214"/>
      <c r="B882" s="215" t="s">
        <v>1822</v>
      </c>
      <c r="C882" s="215" t="s">
        <v>1823</v>
      </c>
      <c r="D882" s="215" t="s">
        <v>1934</v>
      </c>
      <c r="E882" s="215" t="s">
        <v>1825</v>
      </c>
      <c r="F882" s="215" t="s">
        <v>1825</v>
      </c>
      <c r="G882" s="215" t="s">
        <v>138</v>
      </c>
      <c r="H882" s="216" t="s">
        <v>2708</v>
      </c>
      <c r="I882" s="217"/>
      <c r="J882" s="217"/>
      <c r="K882" s="217"/>
      <c r="L882" s="217"/>
      <c r="M882" s="217"/>
      <c r="N882" s="217"/>
      <c r="O882" s="217"/>
      <c r="P882" s="217"/>
      <c r="Q882" s="218"/>
    </row>
    <row r="883" spans="1:17" s="213" customFormat="1" ht="30" hidden="1" x14ac:dyDescent="0.25">
      <c r="A883" s="208" t="s">
        <v>263</v>
      </c>
      <c r="B883" s="209" t="s">
        <v>1822</v>
      </c>
      <c r="C883" s="209" t="s">
        <v>1823</v>
      </c>
      <c r="D883" s="209" t="s">
        <v>1934</v>
      </c>
      <c r="E883" s="209" t="s">
        <v>1825</v>
      </c>
      <c r="F883" s="209" t="s">
        <v>1836</v>
      </c>
      <c r="G883" s="209"/>
      <c r="H883" s="210" t="s">
        <v>2709</v>
      </c>
      <c r="I883" s="211">
        <f>SUM(I884:I886)</f>
        <v>0</v>
      </c>
      <c r="J883" s="211">
        <f t="shared" ref="J883:P883" si="121">SUM(J884:J886)</f>
        <v>0</v>
      </c>
      <c r="K883" s="211">
        <f t="shared" si="121"/>
        <v>0</v>
      </c>
      <c r="L883" s="211">
        <f t="shared" si="121"/>
        <v>0</v>
      </c>
      <c r="M883" s="211">
        <f t="shared" si="121"/>
        <v>0</v>
      </c>
      <c r="N883" s="211">
        <f t="shared" si="121"/>
        <v>0</v>
      </c>
      <c r="O883" s="211">
        <f t="shared" si="121"/>
        <v>0</v>
      </c>
      <c r="P883" s="211">
        <f t="shared" si="121"/>
        <v>0</v>
      </c>
      <c r="Q883" s="212"/>
    </row>
    <row r="884" spans="1:17" s="219" customFormat="1" hidden="1" x14ac:dyDescent="0.25">
      <c r="A884" s="214"/>
      <c r="B884" s="215" t="s">
        <v>1822</v>
      </c>
      <c r="C884" s="215" t="s">
        <v>1823</v>
      </c>
      <c r="D884" s="215" t="s">
        <v>1934</v>
      </c>
      <c r="E884" s="215" t="s">
        <v>1825</v>
      </c>
      <c r="F884" s="215" t="s">
        <v>1836</v>
      </c>
      <c r="G884" s="215" t="s">
        <v>58</v>
      </c>
      <c r="H884" s="216" t="s">
        <v>2710</v>
      </c>
      <c r="I884" s="217"/>
      <c r="J884" s="217"/>
      <c r="K884" s="217"/>
      <c r="L884" s="217"/>
      <c r="M884" s="217"/>
      <c r="N884" s="217"/>
      <c r="O884" s="217"/>
      <c r="P884" s="217"/>
      <c r="Q884" s="218"/>
    </row>
    <row r="885" spans="1:17" s="219" customFormat="1" hidden="1" x14ac:dyDescent="0.25">
      <c r="A885" s="214"/>
      <c r="B885" s="215" t="s">
        <v>1822</v>
      </c>
      <c r="C885" s="215" t="s">
        <v>1823</v>
      </c>
      <c r="D885" s="215" t="s">
        <v>1934</v>
      </c>
      <c r="E885" s="215" t="s">
        <v>1825</v>
      </c>
      <c r="F885" s="215" t="s">
        <v>1836</v>
      </c>
      <c r="G885" s="215" t="s">
        <v>75</v>
      </c>
      <c r="H885" s="216" t="s">
        <v>2711</v>
      </c>
      <c r="I885" s="217"/>
      <c r="J885" s="217"/>
      <c r="K885" s="217"/>
      <c r="L885" s="217"/>
      <c r="M885" s="217"/>
      <c r="N885" s="217"/>
      <c r="O885" s="217"/>
      <c r="P885" s="217"/>
      <c r="Q885" s="218"/>
    </row>
    <row r="886" spans="1:17" s="219" customFormat="1" hidden="1" x14ac:dyDescent="0.25">
      <c r="A886" s="214"/>
      <c r="B886" s="215" t="s">
        <v>1822</v>
      </c>
      <c r="C886" s="215" t="s">
        <v>1823</v>
      </c>
      <c r="D886" s="215" t="s">
        <v>1934</v>
      </c>
      <c r="E886" s="215" t="s">
        <v>1825</v>
      </c>
      <c r="F886" s="215" t="s">
        <v>1836</v>
      </c>
      <c r="G886" s="215" t="s">
        <v>79</v>
      </c>
      <c r="H886" s="216" t="s">
        <v>2712</v>
      </c>
      <c r="I886" s="217"/>
      <c r="J886" s="217"/>
      <c r="K886" s="217"/>
      <c r="L886" s="217"/>
      <c r="M886" s="217"/>
      <c r="N886" s="217"/>
      <c r="O886" s="217"/>
      <c r="P886" s="217"/>
      <c r="Q886" s="218"/>
    </row>
    <row r="887" spans="1:17" s="213" customFormat="1" hidden="1" x14ac:dyDescent="0.25">
      <c r="A887" s="208" t="s">
        <v>263</v>
      </c>
      <c r="B887" s="209" t="s">
        <v>1822</v>
      </c>
      <c r="C887" s="209" t="s">
        <v>1823</v>
      </c>
      <c r="D887" s="209" t="s">
        <v>1934</v>
      </c>
      <c r="E887" s="209" t="s">
        <v>1825</v>
      </c>
      <c r="F887" s="209" t="s">
        <v>1847</v>
      </c>
      <c r="G887" s="209"/>
      <c r="H887" s="210" t="s">
        <v>2713</v>
      </c>
      <c r="I887" s="211">
        <f>SUM(I888:I891)</f>
        <v>0</v>
      </c>
      <c r="J887" s="211">
        <f t="shared" ref="J887:P887" si="122">SUM(J888:J891)</f>
        <v>0</v>
      </c>
      <c r="K887" s="211">
        <f t="shared" si="122"/>
        <v>0</v>
      </c>
      <c r="L887" s="211">
        <f t="shared" si="122"/>
        <v>0</v>
      </c>
      <c r="M887" s="211">
        <f t="shared" si="122"/>
        <v>0</v>
      </c>
      <c r="N887" s="211">
        <f t="shared" si="122"/>
        <v>0</v>
      </c>
      <c r="O887" s="211">
        <f t="shared" si="122"/>
        <v>0</v>
      </c>
      <c r="P887" s="211">
        <f t="shared" si="122"/>
        <v>0</v>
      </c>
      <c r="Q887" s="212"/>
    </row>
    <row r="888" spans="1:17" s="219" customFormat="1" hidden="1" x14ac:dyDescent="0.25">
      <c r="A888" s="214"/>
      <c r="B888" s="215" t="s">
        <v>1822</v>
      </c>
      <c r="C888" s="215" t="s">
        <v>1823</v>
      </c>
      <c r="D888" s="215" t="s">
        <v>1934</v>
      </c>
      <c r="E888" s="215" t="s">
        <v>1825</v>
      </c>
      <c r="F888" s="215" t="s">
        <v>1847</v>
      </c>
      <c r="G888" s="215" t="s">
        <v>58</v>
      </c>
      <c r="H888" s="216" t="s">
        <v>2714</v>
      </c>
      <c r="I888" s="217"/>
      <c r="J888" s="217"/>
      <c r="K888" s="217"/>
      <c r="L888" s="217"/>
      <c r="M888" s="217"/>
      <c r="N888" s="217"/>
      <c r="O888" s="217"/>
      <c r="P888" s="217"/>
      <c r="Q888" s="218"/>
    </row>
    <row r="889" spans="1:17" s="219" customFormat="1" hidden="1" x14ac:dyDescent="0.25">
      <c r="A889" s="214"/>
      <c r="B889" s="215" t="s">
        <v>1822</v>
      </c>
      <c r="C889" s="215" t="s">
        <v>1823</v>
      </c>
      <c r="D889" s="215" t="s">
        <v>1934</v>
      </c>
      <c r="E889" s="215" t="s">
        <v>1825</v>
      </c>
      <c r="F889" s="215" t="s">
        <v>1847</v>
      </c>
      <c r="G889" s="215" t="s">
        <v>75</v>
      </c>
      <c r="H889" s="216" t="s">
        <v>2715</v>
      </c>
      <c r="I889" s="217"/>
      <c r="J889" s="217"/>
      <c r="K889" s="217"/>
      <c r="L889" s="217"/>
      <c r="M889" s="217"/>
      <c r="N889" s="217"/>
      <c r="O889" s="217"/>
      <c r="P889" s="217"/>
      <c r="Q889" s="218"/>
    </row>
    <row r="890" spans="1:17" s="219" customFormat="1" hidden="1" x14ac:dyDescent="0.25">
      <c r="A890" s="214"/>
      <c r="B890" s="215" t="s">
        <v>1822</v>
      </c>
      <c r="C890" s="215" t="s">
        <v>1823</v>
      </c>
      <c r="D890" s="215" t="s">
        <v>1934</v>
      </c>
      <c r="E890" s="215" t="s">
        <v>1825</v>
      </c>
      <c r="F890" s="215" t="s">
        <v>1847</v>
      </c>
      <c r="G890" s="215" t="s">
        <v>79</v>
      </c>
      <c r="H890" s="216" t="s">
        <v>2716</v>
      </c>
      <c r="I890" s="217"/>
      <c r="J890" s="217"/>
      <c r="K890" s="217"/>
      <c r="L890" s="217"/>
      <c r="M890" s="217"/>
      <c r="N890" s="217"/>
      <c r="O890" s="217"/>
      <c r="P890" s="217"/>
      <c r="Q890" s="218"/>
    </row>
    <row r="891" spans="1:17" s="219" customFormat="1" ht="30" hidden="1" x14ac:dyDescent="0.25">
      <c r="A891" s="214"/>
      <c r="B891" s="215" t="s">
        <v>1822</v>
      </c>
      <c r="C891" s="215" t="s">
        <v>1823</v>
      </c>
      <c r="D891" s="215" t="s">
        <v>1934</v>
      </c>
      <c r="E891" s="215" t="s">
        <v>1825</v>
      </c>
      <c r="F891" s="215" t="s">
        <v>1847</v>
      </c>
      <c r="G891" s="215" t="s">
        <v>84</v>
      </c>
      <c r="H891" s="216" t="s">
        <v>2717</v>
      </c>
      <c r="I891" s="217"/>
      <c r="J891" s="217"/>
      <c r="K891" s="217"/>
      <c r="L891" s="217"/>
      <c r="M891" s="217"/>
      <c r="N891" s="217"/>
      <c r="O891" s="217"/>
      <c r="P891" s="217"/>
      <c r="Q891" s="218"/>
    </row>
    <row r="892" spans="1:17" s="213" customFormat="1" hidden="1" x14ac:dyDescent="0.25">
      <c r="A892" s="208" t="s">
        <v>263</v>
      </c>
      <c r="B892" s="209" t="s">
        <v>1822</v>
      </c>
      <c r="C892" s="209" t="s">
        <v>1823</v>
      </c>
      <c r="D892" s="209" t="s">
        <v>1934</v>
      </c>
      <c r="E892" s="209" t="s">
        <v>1825</v>
      </c>
      <c r="F892" s="209" t="s">
        <v>1928</v>
      </c>
      <c r="G892" s="209"/>
      <c r="H892" s="210" t="s">
        <v>2718</v>
      </c>
      <c r="I892" s="211">
        <f>SUM(I893:I894)</f>
        <v>0</v>
      </c>
      <c r="J892" s="211">
        <f t="shared" ref="J892:P892" si="123">SUM(J893:J894)</f>
        <v>0</v>
      </c>
      <c r="K892" s="211">
        <f t="shared" si="123"/>
        <v>0</v>
      </c>
      <c r="L892" s="211">
        <f t="shared" si="123"/>
        <v>0</v>
      </c>
      <c r="M892" s="211">
        <f t="shared" si="123"/>
        <v>0</v>
      </c>
      <c r="N892" s="211">
        <f t="shared" si="123"/>
        <v>0</v>
      </c>
      <c r="O892" s="211">
        <f t="shared" si="123"/>
        <v>0</v>
      </c>
      <c r="P892" s="211">
        <f t="shared" si="123"/>
        <v>0</v>
      </c>
      <c r="Q892" s="212"/>
    </row>
    <row r="893" spans="1:17" s="219" customFormat="1" hidden="1" x14ac:dyDescent="0.25">
      <c r="A893" s="214"/>
      <c r="B893" s="215" t="s">
        <v>1822</v>
      </c>
      <c r="C893" s="215" t="s">
        <v>1823</v>
      </c>
      <c r="D893" s="215" t="s">
        <v>1934</v>
      </c>
      <c r="E893" s="215" t="s">
        <v>1825</v>
      </c>
      <c r="F893" s="215" t="s">
        <v>1928</v>
      </c>
      <c r="G893" s="215" t="s">
        <v>58</v>
      </c>
      <c r="H893" s="216" t="s">
        <v>2719</v>
      </c>
      <c r="I893" s="217"/>
      <c r="J893" s="217"/>
      <c r="K893" s="217"/>
      <c r="L893" s="217"/>
      <c r="M893" s="217"/>
      <c r="N893" s="217"/>
      <c r="O893" s="217"/>
      <c r="P893" s="217"/>
      <c r="Q893" s="218"/>
    </row>
    <row r="894" spans="1:17" s="219" customFormat="1" hidden="1" x14ac:dyDescent="0.25">
      <c r="A894" s="214"/>
      <c r="B894" s="215" t="s">
        <v>1822</v>
      </c>
      <c r="C894" s="215" t="s">
        <v>1823</v>
      </c>
      <c r="D894" s="215" t="s">
        <v>1934</v>
      </c>
      <c r="E894" s="215" t="s">
        <v>1825</v>
      </c>
      <c r="F894" s="215" t="s">
        <v>1928</v>
      </c>
      <c r="G894" s="215" t="s">
        <v>75</v>
      </c>
      <c r="H894" s="216" t="s">
        <v>2720</v>
      </c>
      <c r="I894" s="217"/>
      <c r="J894" s="217"/>
      <c r="K894" s="217"/>
      <c r="L894" s="217"/>
      <c r="M894" s="217"/>
      <c r="N894" s="217"/>
      <c r="O894" s="217"/>
      <c r="P894" s="217"/>
      <c r="Q894" s="218"/>
    </row>
    <row r="895" spans="1:17" s="213" customFormat="1" hidden="1" x14ac:dyDescent="0.25">
      <c r="A895" s="208" t="s">
        <v>263</v>
      </c>
      <c r="B895" s="209" t="s">
        <v>1822</v>
      </c>
      <c r="C895" s="209" t="s">
        <v>1823</v>
      </c>
      <c r="D895" s="209" t="s">
        <v>1934</v>
      </c>
      <c r="E895" s="209" t="s">
        <v>1825</v>
      </c>
      <c r="F895" s="209" t="s">
        <v>1934</v>
      </c>
      <c r="G895" s="209"/>
      <c r="H895" s="210" t="s">
        <v>2721</v>
      </c>
      <c r="I895" s="211">
        <f>SUM(I896:I897)</f>
        <v>0</v>
      </c>
      <c r="J895" s="211">
        <f t="shared" ref="J895:P895" si="124">SUM(J896:J897)</f>
        <v>0</v>
      </c>
      <c r="K895" s="211">
        <f t="shared" si="124"/>
        <v>0</v>
      </c>
      <c r="L895" s="211">
        <f t="shared" si="124"/>
        <v>0</v>
      </c>
      <c r="M895" s="211">
        <f t="shared" si="124"/>
        <v>0</v>
      </c>
      <c r="N895" s="211">
        <f t="shared" si="124"/>
        <v>0</v>
      </c>
      <c r="O895" s="211">
        <f t="shared" si="124"/>
        <v>0</v>
      </c>
      <c r="P895" s="211">
        <f t="shared" si="124"/>
        <v>0</v>
      </c>
      <c r="Q895" s="212"/>
    </row>
    <row r="896" spans="1:17" s="219" customFormat="1" hidden="1" x14ac:dyDescent="0.25">
      <c r="A896" s="214"/>
      <c r="B896" s="215" t="s">
        <v>1822</v>
      </c>
      <c r="C896" s="215" t="s">
        <v>1823</v>
      </c>
      <c r="D896" s="215" t="s">
        <v>1934</v>
      </c>
      <c r="E896" s="215" t="s">
        <v>1825</v>
      </c>
      <c r="F896" s="215" t="s">
        <v>1934</v>
      </c>
      <c r="G896" s="215" t="s">
        <v>58</v>
      </c>
      <c r="H896" s="216" t="s">
        <v>2721</v>
      </c>
      <c r="I896" s="217"/>
      <c r="J896" s="217"/>
      <c r="K896" s="217"/>
      <c r="L896" s="217"/>
      <c r="M896" s="217"/>
      <c r="N896" s="217"/>
      <c r="O896" s="217"/>
      <c r="P896" s="217"/>
      <c r="Q896" s="218"/>
    </row>
    <row r="897" spans="1:17" s="219" customFormat="1" ht="30" hidden="1" x14ac:dyDescent="0.25">
      <c r="A897" s="214"/>
      <c r="B897" s="215" t="s">
        <v>1822</v>
      </c>
      <c r="C897" s="215" t="s">
        <v>1823</v>
      </c>
      <c r="D897" s="215" t="s">
        <v>1934</v>
      </c>
      <c r="E897" s="215" t="s">
        <v>1825</v>
      </c>
      <c r="F897" s="215" t="s">
        <v>1934</v>
      </c>
      <c r="G897" s="215" t="s">
        <v>75</v>
      </c>
      <c r="H897" s="216" t="s">
        <v>2722</v>
      </c>
      <c r="I897" s="217"/>
      <c r="J897" s="217"/>
      <c r="K897" s="217"/>
      <c r="L897" s="217"/>
      <c r="M897" s="217"/>
      <c r="N897" s="217"/>
      <c r="O897" s="217"/>
      <c r="P897" s="217"/>
      <c r="Q897" s="218"/>
    </row>
    <row r="898" spans="1:17" s="213" customFormat="1" ht="30" hidden="1" x14ac:dyDescent="0.25">
      <c r="A898" s="208" t="s">
        <v>263</v>
      </c>
      <c r="B898" s="209" t="s">
        <v>1822</v>
      </c>
      <c r="C898" s="209" t="s">
        <v>1823</v>
      </c>
      <c r="D898" s="209" t="s">
        <v>1934</v>
      </c>
      <c r="E898" s="209" t="s">
        <v>1825</v>
      </c>
      <c r="F898" s="209" t="s">
        <v>2022</v>
      </c>
      <c r="G898" s="209"/>
      <c r="H898" s="210" t="s">
        <v>2723</v>
      </c>
      <c r="I898" s="211">
        <f>SUM(I899:I900)</f>
        <v>0</v>
      </c>
      <c r="J898" s="211">
        <f t="shared" ref="J898:P898" si="125">SUM(J899:J900)</f>
        <v>0</v>
      </c>
      <c r="K898" s="211">
        <f t="shared" si="125"/>
        <v>0</v>
      </c>
      <c r="L898" s="211">
        <f t="shared" si="125"/>
        <v>0</v>
      </c>
      <c r="M898" s="211">
        <f t="shared" si="125"/>
        <v>0</v>
      </c>
      <c r="N898" s="211">
        <f t="shared" si="125"/>
        <v>0</v>
      </c>
      <c r="O898" s="211">
        <f t="shared" si="125"/>
        <v>0</v>
      </c>
      <c r="P898" s="211">
        <f t="shared" si="125"/>
        <v>0</v>
      </c>
      <c r="Q898" s="212"/>
    </row>
    <row r="899" spans="1:17" s="219" customFormat="1" ht="30" hidden="1" x14ac:dyDescent="0.25">
      <c r="A899" s="214"/>
      <c r="B899" s="215" t="s">
        <v>1822</v>
      </c>
      <c r="C899" s="215" t="s">
        <v>1823</v>
      </c>
      <c r="D899" s="215" t="s">
        <v>1934</v>
      </c>
      <c r="E899" s="215" t="s">
        <v>1825</v>
      </c>
      <c r="F899" s="215" t="s">
        <v>2022</v>
      </c>
      <c r="G899" s="215" t="s">
        <v>58</v>
      </c>
      <c r="H899" s="216" t="s">
        <v>2723</v>
      </c>
      <c r="I899" s="217"/>
      <c r="J899" s="217"/>
      <c r="K899" s="217"/>
      <c r="L899" s="217"/>
      <c r="M899" s="217"/>
      <c r="N899" s="217"/>
      <c r="O899" s="217"/>
      <c r="P899" s="217"/>
      <c r="Q899" s="218"/>
    </row>
    <row r="900" spans="1:17" s="219" customFormat="1" ht="30" hidden="1" x14ac:dyDescent="0.25">
      <c r="A900" s="214"/>
      <c r="B900" s="215" t="s">
        <v>1822</v>
      </c>
      <c r="C900" s="215" t="s">
        <v>1823</v>
      </c>
      <c r="D900" s="215" t="s">
        <v>1934</v>
      </c>
      <c r="E900" s="215" t="s">
        <v>1825</v>
      </c>
      <c r="F900" s="215" t="s">
        <v>2022</v>
      </c>
      <c r="G900" s="215" t="s">
        <v>75</v>
      </c>
      <c r="H900" s="216" t="s">
        <v>2724</v>
      </c>
      <c r="I900" s="217"/>
      <c r="J900" s="217"/>
      <c r="K900" s="217"/>
      <c r="L900" s="217"/>
      <c r="M900" s="217"/>
      <c r="N900" s="217"/>
      <c r="O900" s="217"/>
      <c r="P900" s="217"/>
      <c r="Q900" s="218"/>
    </row>
    <row r="901" spans="1:17" s="213" customFormat="1" hidden="1" x14ac:dyDescent="0.25">
      <c r="A901" s="208" t="s">
        <v>263</v>
      </c>
      <c r="B901" s="209" t="s">
        <v>1822</v>
      </c>
      <c r="C901" s="209" t="s">
        <v>1823</v>
      </c>
      <c r="D901" s="209" t="s">
        <v>1934</v>
      </c>
      <c r="E901" s="209" t="s">
        <v>1825</v>
      </c>
      <c r="F901" s="209" t="s">
        <v>2100</v>
      </c>
      <c r="G901" s="209"/>
      <c r="H901" s="210" t="s">
        <v>2725</v>
      </c>
      <c r="I901" s="211">
        <f>SUM(I902:I903)</f>
        <v>0</v>
      </c>
      <c r="J901" s="211">
        <f t="shared" ref="J901:P901" si="126">SUM(J902:J903)</f>
        <v>0</v>
      </c>
      <c r="K901" s="211">
        <f t="shared" si="126"/>
        <v>0</v>
      </c>
      <c r="L901" s="211">
        <f t="shared" si="126"/>
        <v>0</v>
      </c>
      <c r="M901" s="211">
        <f t="shared" si="126"/>
        <v>0</v>
      </c>
      <c r="N901" s="211">
        <f t="shared" si="126"/>
        <v>0</v>
      </c>
      <c r="O901" s="211">
        <f t="shared" si="126"/>
        <v>0</v>
      </c>
      <c r="P901" s="211">
        <f t="shared" si="126"/>
        <v>0</v>
      </c>
      <c r="Q901" s="212"/>
    </row>
    <row r="902" spans="1:17" s="219" customFormat="1" hidden="1" x14ac:dyDescent="0.25">
      <c r="A902" s="214"/>
      <c r="B902" s="215" t="s">
        <v>1822</v>
      </c>
      <c r="C902" s="215" t="s">
        <v>1823</v>
      </c>
      <c r="D902" s="215" t="s">
        <v>1934</v>
      </c>
      <c r="E902" s="215" t="s">
        <v>1825</v>
      </c>
      <c r="F902" s="215" t="s">
        <v>2100</v>
      </c>
      <c r="G902" s="215" t="s">
        <v>58</v>
      </c>
      <c r="H902" s="216" t="s">
        <v>2725</v>
      </c>
      <c r="I902" s="217"/>
      <c r="J902" s="217"/>
      <c r="K902" s="217"/>
      <c r="L902" s="217"/>
      <c r="M902" s="217"/>
      <c r="N902" s="217"/>
      <c r="O902" s="217"/>
      <c r="P902" s="217"/>
      <c r="Q902" s="218"/>
    </row>
    <row r="903" spans="1:17" s="219" customFormat="1" hidden="1" x14ac:dyDescent="0.25">
      <c r="A903" s="214"/>
      <c r="B903" s="215" t="s">
        <v>1822</v>
      </c>
      <c r="C903" s="215" t="s">
        <v>1823</v>
      </c>
      <c r="D903" s="215" t="s">
        <v>1934</v>
      </c>
      <c r="E903" s="215" t="s">
        <v>1825</v>
      </c>
      <c r="F903" s="215" t="s">
        <v>2100</v>
      </c>
      <c r="G903" s="215" t="s">
        <v>75</v>
      </c>
      <c r="H903" s="216" t="s">
        <v>2726</v>
      </c>
      <c r="I903" s="217"/>
      <c r="J903" s="217"/>
      <c r="K903" s="217"/>
      <c r="L903" s="217"/>
      <c r="M903" s="217"/>
      <c r="N903" s="217"/>
      <c r="O903" s="217"/>
      <c r="P903" s="217"/>
      <c r="Q903" s="218"/>
    </row>
    <row r="904" spans="1:17" s="213" customFormat="1" ht="30" hidden="1" x14ac:dyDescent="0.25">
      <c r="A904" s="208" t="s">
        <v>1905</v>
      </c>
      <c r="B904" s="209" t="s">
        <v>1822</v>
      </c>
      <c r="C904" s="209" t="s">
        <v>1823</v>
      </c>
      <c r="D904" s="209" t="s">
        <v>1934</v>
      </c>
      <c r="E904" s="209" t="s">
        <v>1836</v>
      </c>
      <c r="F904" s="209"/>
      <c r="G904" s="209"/>
      <c r="H904" s="210" t="s">
        <v>2727</v>
      </c>
      <c r="I904" s="211">
        <f>SUM(I905+I910+I915)</f>
        <v>0</v>
      </c>
      <c r="J904" s="211">
        <f t="shared" ref="J904:P904" si="127">SUM(J905+J910+J915)</f>
        <v>0</v>
      </c>
      <c r="K904" s="211">
        <f t="shared" si="127"/>
        <v>0</v>
      </c>
      <c r="L904" s="211">
        <f t="shared" si="127"/>
        <v>0</v>
      </c>
      <c r="M904" s="211">
        <f t="shared" si="127"/>
        <v>0</v>
      </c>
      <c r="N904" s="211">
        <f t="shared" si="127"/>
        <v>0</v>
      </c>
      <c r="O904" s="211">
        <f t="shared" si="127"/>
        <v>0</v>
      </c>
      <c r="P904" s="211">
        <f t="shared" si="127"/>
        <v>0</v>
      </c>
      <c r="Q904" s="212"/>
    </row>
    <row r="905" spans="1:17" s="213" customFormat="1" hidden="1" x14ac:dyDescent="0.25">
      <c r="A905" s="208" t="s">
        <v>263</v>
      </c>
      <c r="B905" s="209" t="s">
        <v>1822</v>
      </c>
      <c r="C905" s="209" t="s">
        <v>1823</v>
      </c>
      <c r="D905" s="209" t="s">
        <v>1934</v>
      </c>
      <c r="E905" s="209" t="s">
        <v>1836</v>
      </c>
      <c r="F905" s="209" t="s">
        <v>1825</v>
      </c>
      <c r="G905" s="209"/>
      <c r="H905" s="210" t="s">
        <v>2728</v>
      </c>
      <c r="I905" s="211">
        <f>SUM(I906:I909)</f>
        <v>0</v>
      </c>
      <c r="J905" s="211">
        <f t="shared" ref="J905:P905" si="128">SUM(J906:J909)</f>
        <v>0</v>
      </c>
      <c r="K905" s="211">
        <f t="shared" si="128"/>
        <v>0</v>
      </c>
      <c r="L905" s="211">
        <f t="shared" si="128"/>
        <v>0</v>
      </c>
      <c r="M905" s="211">
        <f t="shared" si="128"/>
        <v>0</v>
      </c>
      <c r="N905" s="211">
        <f t="shared" si="128"/>
        <v>0</v>
      </c>
      <c r="O905" s="211">
        <f t="shared" si="128"/>
        <v>0</v>
      </c>
      <c r="P905" s="211">
        <f t="shared" si="128"/>
        <v>0</v>
      </c>
      <c r="Q905" s="212"/>
    </row>
    <row r="906" spans="1:17" s="219" customFormat="1" hidden="1" x14ac:dyDescent="0.25">
      <c r="A906" s="214"/>
      <c r="B906" s="215" t="s">
        <v>1822</v>
      </c>
      <c r="C906" s="215" t="s">
        <v>1823</v>
      </c>
      <c r="D906" s="215" t="s">
        <v>1934</v>
      </c>
      <c r="E906" s="215" t="s">
        <v>1836</v>
      </c>
      <c r="F906" s="215" t="s">
        <v>1825</v>
      </c>
      <c r="G906" s="215" t="s">
        <v>58</v>
      </c>
      <c r="H906" s="216" t="s">
        <v>2729</v>
      </c>
      <c r="I906" s="217"/>
      <c r="J906" s="217"/>
      <c r="K906" s="217"/>
      <c r="L906" s="217"/>
      <c r="M906" s="217"/>
      <c r="N906" s="217"/>
      <c r="O906" s="217"/>
      <c r="P906" s="217"/>
      <c r="Q906" s="218"/>
    </row>
    <row r="907" spans="1:17" s="219" customFormat="1" hidden="1" x14ac:dyDescent="0.25">
      <c r="A907" s="214"/>
      <c r="B907" s="215" t="s">
        <v>1822</v>
      </c>
      <c r="C907" s="215" t="s">
        <v>1823</v>
      </c>
      <c r="D907" s="215" t="s">
        <v>1934</v>
      </c>
      <c r="E907" s="215" t="s">
        <v>1836</v>
      </c>
      <c r="F907" s="215" t="s">
        <v>1825</v>
      </c>
      <c r="G907" s="215" t="s">
        <v>75</v>
      </c>
      <c r="H907" s="216" t="s">
        <v>2730</v>
      </c>
      <c r="I907" s="217"/>
      <c r="J907" s="217"/>
      <c r="K907" s="217"/>
      <c r="L907" s="217"/>
      <c r="M907" s="217"/>
      <c r="N907" s="217"/>
      <c r="O907" s="217"/>
      <c r="P907" s="217"/>
      <c r="Q907" s="218"/>
    </row>
    <row r="908" spans="1:17" s="219" customFormat="1" hidden="1" x14ac:dyDescent="0.25">
      <c r="A908" s="214"/>
      <c r="B908" s="215" t="s">
        <v>1822</v>
      </c>
      <c r="C908" s="215" t="s">
        <v>1823</v>
      </c>
      <c r="D908" s="215" t="s">
        <v>1934</v>
      </c>
      <c r="E908" s="215" t="s">
        <v>1836</v>
      </c>
      <c r="F908" s="215" t="s">
        <v>1825</v>
      </c>
      <c r="G908" s="215" t="s">
        <v>79</v>
      </c>
      <c r="H908" s="216" t="s">
        <v>2731</v>
      </c>
      <c r="I908" s="217"/>
      <c r="J908" s="217"/>
      <c r="K908" s="217"/>
      <c r="L908" s="217"/>
      <c r="M908" s="217"/>
      <c r="N908" s="217"/>
      <c r="O908" s="217"/>
      <c r="P908" s="217"/>
      <c r="Q908" s="218"/>
    </row>
    <row r="909" spans="1:17" s="219" customFormat="1" hidden="1" x14ac:dyDescent="0.25">
      <c r="A909" s="214"/>
      <c r="B909" s="215" t="s">
        <v>1822</v>
      </c>
      <c r="C909" s="215" t="s">
        <v>1823</v>
      </c>
      <c r="D909" s="215" t="s">
        <v>1934</v>
      </c>
      <c r="E909" s="215" t="s">
        <v>1836</v>
      </c>
      <c r="F909" s="215" t="s">
        <v>1825</v>
      </c>
      <c r="G909" s="215" t="s">
        <v>84</v>
      </c>
      <c r="H909" s="216" t="s">
        <v>2732</v>
      </c>
      <c r="I909" s="217"/>
      <c r="J909" s="217"/>
      <c r="K909" s="217"/>
      <c r="L909" s="217"/>
      <c r="M909" s="217"/>
      <c r="N909" s="217"/>
      <c r="O909" s="217"/>
      <c r="P909" s="217"/>
      <c r="Q909" s="218"/>
    </row>
    <row r="910" spans="1:17" s="213" customFormat="1" hidden="1" x14ac:dyDescent="0.25">
      <c r="A910" s="208" t="s">
        <v>263</v>
      </c>
      <c r="B910" s="209" t="s">
        <v>1822</v>
      </c>
      <c r="C910" s="209" t="s">
        <v>1823</v>
      </c>
      <c r="D910" s="209" t="s">
        <v>1934</v>
      </c>
      <c r="E910" s="209" t="s">
        <v>1836</v>
      </c>
      <c r="F910" s="209" t="s">
        <v>1836</v>
      </c>
      <c r="G910" s="209"/>
      <c r="H910" s="210" t="s">
        <v>2733</v>
      </c>
      <c r="I910" s="211">
        <f>SUM(I911:I914)</f>
        <v>0</v>
      </c>
      <c r="J910" s="211">
        <f t="shared" ref="J910:P910" si="129">SUM(J911:J914)</f>
        <v>0</v>
      </c>
      <c r="K910" s="211">
        <f t="shared" si="129"/>
        <v>0</v>
      </c>
      <c r="L910" s="211">
        <f t="shared" si="129"/>
        <v>0</v>
      </c>
      <c r="M910" s="211">
        <f t="shared" si="129"/>
        <v>0</v>
      </c>
      <c r="N910" s="211">
        <f t="shared" si="129"/>
        <v>0</v>
      </c>
      <c r="O910" s="211">
        <f t="shared" si="129"/>
        <v>0</v>
      </c>
      <c r="P910" s="211">
        <f t="shared" si="129"/>
        <v>0</v>
      </c>
      <c r="Q910" s="212"/>
    </row>
    <row r="911" spans="1:17" s="219" customFormat="1" hidden="1" x14ac:dyDescent="0.25">
      <c r="A911" s="214"/>
      <c r="B911" s="215" t="s">
        <v>1822</v>
      </c>
      <c r="C911" s="215" t="s">
        <v>1823</v>
      </c>
      <c r="D911" s="215" t="s">
        <v>1934</v>
      </c>
      <c r="E911" s="215" t="s">
        <v>1836</v>
      </c>
      <c r="F911" s="215" t="s">
        <v>1836</v>
      </c>
      <c r="G911" s="215" t="s">
        <v>58</v>
      </c>
      <c r="H911" s="216" t="s">
        <v>2734</v>
      </c>
      <c r="I911" s="217"/>
      <c r="J911" s="217"/>
      <c r="K911" s="217"/>
      <c r="L911" s="217"/>
      <c r="M911" s="217"/>
      <c r="N911" s="217"/>
      <c r="O911" s="217"/>
      <c r="P911" s="217"/>
      <c r="Q911" s="218"/>
    </row>
    <row r="912" spans="1:17" s="219" customFormat="1" ht="30" hidden="1" x14ac:dyDescent="0.25">
      <c r="A912" s="214"/>
      <c r="B912" s="215" t="s">
        <v>1822</v>
      </c>
      <c r="C912" s="215" t="s">
        <v>1823</v>
      </c>
      <c r="D912" s="215" t="s">
        <v>1934</v>
      </c>
      <c r="E912" s="215" t="s">
        <v>1836</v>
      </c>
      <c r="F912" s="215" t="s">
        <v>1836</v>
      </c>
      <c r="G912" s="215" t="s">
        <v>75</v>
      </c>
      <c r="H912" s="216" t="s">
        <v>2735</v>
      </c>
      <c r="I912" s="217"/>
      <c r="J912" s="217"/>
      <c r="K912" s="217"/>
      <c r="L912" s="217"/>
      <c r="M912" s="217"/>
      <c r="N912" s="217"/>
      <c r="O912" s="217"/>
      <c r="P912" s="217"/>
      <c r="Q912" s="218"/>
    </row>
    <row r="913" spans="1:17" s="219" customFormat="1" hidden="1" x14ac:dyDescent="0.25">
      <c r="A913" s="214"/>
      <c r="B913" s="215" t="s">
        <v>1822</v>
      </c>
      <c r="C913" s="215" t="s">
        <v>1823</v>
      </c>
      <c r="D913" s="215" t="s">
        <v>1934</v>
      </c>
      <c r="E913" s="215" t="s">
        <v>1836</v>
      </c>
      <c r="F913" s="215" t="s">
        <v>1836</v>
      </c>
      <c r="G913" s="215" t="s">
        <v>79</v>
      </c>
      <c r="H913" s="216" t="s">
        <v>2736</v>
      </c>
      <c r="I913" s="217"/>
      <c r="J913" s="217"/>
      <c r="K913" s="217"/>
      <c r="L913" s="217"/>
      <c r="M913" s="217"/>
      <c r="N913" s="217"/>
      <c r="O913" s="217"/>
      <c r="P913" s="217"/>
      <c r="Q913" s="218"/>
    </row>
    <row r="914" spans="1:17" s="219" customFormat="1" hidden="1" x14ac:dyDescent="0.25">
      <c r="A914" s="214"/>
      <c r="B914" s="215" t="s">
        <v>1822</v>
      </c>
      <c r="C914" s="215" t="s">
        <v>1823</v>
      </c>
      <c r="D914" s="215" t="s">
        <v>1934</v>
      </c>
      <c r="E914" s="215" t="s">
        <v>1836</v>
      </c>
      <c r="F914" s="215" t="s">
        <v>1836</v>
      </c>
      <c r="G914" s="215" t="s">
        <v>84</v>
      </c>
      <c r="H914" s="216" t="s">
        <v>2737</v>
      </c>
      <c r="I914" s="217"/>
      <c r="J914" s="217"/>
      <c r="K914" s="217"/>
      <c r="L914" s="217"/>
      <c r="M914" s="217"/>
      <c r="N914" s="217"/>
      <c r="O914" s="217"/>
      <c r="P914" s="217"/>
      <c r="Q914" s="218"/>
    </row>
    <row r="915" spans="1:17" s="213" customFormat="1" hidden="1" x14ac:dyDescent="0.25">
      <c r="A915" s="208" t="s">
        <v>263</v>
      </c>
      <c r="B915" s="209" t="s">
        <v>1822</v>
      </c>
      <c r="C915" s="209" t="s">
        <v>1823</v>
      </c>
      <c r="D915" s="209" t="s">
        <v>1934</v>
      </c>
      <c r="E915" s="209" t="s">
        <v>1836</v>
      </c>
      <c r="F915" s="209" t="s">
        <v>1847</v>
      </c>
      <c r="G915" s="209"/>
      <c r="H915" s="210" t="s">
        <v>2738</v>
      </c>
      <c r="I915" s="211">
        <f>SUM(I916:I917)</f>
        <v>0</v>
      </c>
      <c r="J915" s="211">
        <f t="shared" ref="J915:P915" si="130">SUM(J916:J917)</f>
        <v>0</v>
      </c>
      <c r="K915" s="211">
        <f t="shared" si="130"/>
        <v>0</v>
      </c>
      <c r="L915" s="211">
        <f t="shared" si="130"/>
        <v>0</v>
      </c>
      <c r="M915" s="211">
        <f t="shared" si="130"/>
        <v>0</v>
      </c>
      <c r="N915" s="211">
        <f t="shared" si="130"/>
        <v>0</v>
      </c>
      <c r="O915" s="211">
        <f t="shared" si="130"/>
        <v>0</v>
      </c>
      <c r="P915" s="211">
        <f t="shared" si="130"/>
        <v>0</v>
      </c>
      <c r="Q915" s="212"/>
    </row>
    <row r="916" spans="1:17" s="219" customFormat="1" hidden="1" x14ac:dyDescent="0.25">
      <c r="A916" s="214"/>
      <c r="B916" s="215" t="s">
        <v>1822</v>
      </c>
      <c r="C916" s="215" t="s">
        <v>1823</v>
      </c>
      <c r="D916" s="215" t="s">
        <v>1934</v>
      </c>
      <c r="E916" s="215" t="s">
        <v>1836</v>
      </c>
      <c r="F916" s="215" t="s">
        <v>1847</v>
      </c>
      <c r="G916" s="215" t="s">
        <v>58</v>
      </c>
      <c r="H916" s="216" t="s">
        <v>2739</v>
      </c>
      <c r="I916" s="217"/>
      <c r="J916" s="217"/>
      <c r="K916" s="217"/>
      <c r="L916" s="217"/>
      <c r="M916" s="217"/>
      <c r="N916" s="217"/>
      <c r="O916" s="217"/>
      <c r="P916" s="217"/>
      <c r="Q916" s="218"/>
    </row>
    <row r="917" spans="1:17" s="219" customFormat="1" hidden="1" x14ac:dyDescent="0.25">
      <c r="A917" s="214"/>
      <c r="B917" s="215" t="s">
        <v>1822</v>
      </c>
      <c r="C917" s="215" t="s">
        <v>1823</v>
      </c>
      <c r="D917" s="215" t="s">
        <v>1934</v>
      </c>
      <c r="E917" s="215" t="s">
        <v>1836</v>
      </c>
      <c r="F917" s="215" t="s">
        <v>1847</v>
      </c>
      <c r="G917" s="215" t="s">
        <v>75</v>
      </c>
      <c r="H917" s="216" t="s">
        <v>2740</v>
      </c>
      <c r="I917" s="217"/>
      <c r="J917" s="217"/>
      <c r="K917" s="217"/>
      <c r="L917" s="217"/>
      <c r="M917" s="217"/>
      <c r="N917" s="217"/>
      <c r="O917" s="217"/>
      <c r="P917" s="217"/>
      <c r="Q917" s="218"/>
    </row>
    <row r="918" spans="1:17" s="213" customFormat="1" hidden="1" x14ac:dyDescent="0.25">
      <c r="A918" s="208" t="s">
        <v>1938</v>
      </c>
      <c r="B918" s="209" t="s">
        <v>1822</v>
      </c>
      <c r="C918" s="209" t="s">
        <v>1823</v>
      </c>
      <c r="D918" s="209" t="s">
        <v>1934</v>
      </c>
      <c r="E918" s="209" t="s">
        <v>1847</v>
      </c>
      <c r="F918" s="209"/>
      <c r="G918" s="209"/>
      <c r="H918" s="210" t="s">
        <v>2741</v>
      </c>
      <c r="I918" s="211">
        <f>I919+I924+I929</f>
        <v>0</v>
      </c>
      <c r="J918" s="211">
        <f t="shared" ref="J918:P918" si="131">J919+J924+J929</f>
        <v>0</v>
      </c>
      <c r="K918" s="211">
        <f t="shared" si="131"/>
        <v>0</v>
      </c>
      <c r="L918" s="211">
        <f t="shared" si="131"/>
        <v>0</v>
      </c>
      <c r="M918" s="211">
        <f t="shared" si="131"/>
        <v>0</v>
      </c>
      <c r="N918" s="211">
        <f t="shared" si="131"/>
        <v>0</v>
      </c>
      <c r="O918" s="211">
        <f t="shared" si="131"/>
        <v>0</v>
      </c>
      <c r="P918" s="211">
        <f t="shared" si="131"/>
        <v>0</v>
      </c>
      <c r="Q918" s="212"/>
    </row>
    <row r="919" spans="1:17" s="213" customFormat="1" hidden="1" x14ac:dyDescent="0.25">
      <c r="A919" s="208" t="s">
        <v>263</v>
      </c>
      <c r="B919" s="209" t="s">
        <v>1822</v>
      </c>
      <c r="C919" s="209" t="s">
        <v>1823</v>
      </c>
      <c r="D919" s="209" t="s">
        <v>1934</v>
      </c>
      <c r="E919" s="209" t="s">
        <v>1847</v>
      </c>
      <c r="F919" s="209" t="s">
        <v>1825</v>
      </c>
      <c r="G919" s="209"/>
      <c r="H919" s="210" t="s">
        <v>2742</v>
      </c>
      <c r="I919" s="211">
        <f>SUM(I920:I923)</f>
        <v>0</v>
      </c>
      <c r="J919" s="211">
        <f t="shared" ref="J919:P919" si="132">SUM(J920:J923)</f>
        <v>0</v>
      </c>
      <c r="K919" s="211">
        <f t="shared" si="132"/>
        <v>0</v>
      </c>
      <c r="L919" s="211">
        <f t="shared" si="132"/>
        <v>0</v>
      </c>
      <c r="M919" s="211">
        <f t="shared" si="132"/>
        <v>0</v>
      </c>
      <c r="N919" s="211">
        <f t="shared" si="132"/>
        <v>0</v>
      </c>
      <c r="O919" s="211">
        <f t="shared" si="132"/>
        <v>0</v>
      </c>
      <c r="P919" s="211">
        <f t="shared" si="132"/>
        <v>0</v>
      </c>
      <c r="Q919" s="212"/>
    </row>
    <row r="920" spans="1:17" s="219" customFormat="1" hidden="1" x14ac:dyDescent="0.25">
      <c r="A920" s="214"/>
      <c r="B920" s="215" t="s">
        <v>1822</v>
      </c>
      <c r="C920" s="215" t="s">
        <v>1823</v>
      </c>
      <c r="D920" s="215" t="s">
        <v>1934</v>
      </c>
      <c r="E920" s="215" t="s">
        <v>1847</v>
      </c>
      <c r="F920" s="215" t="s">
        <v>1825</v>
      </c>
      <c r="G920" s="215" t="s">
        <v>58</v>
      </c>
      <c r="H920" s="216" t="s">
        <v>2743</v>
      </c>
      <c r="I920" s="217"/>
      <c r="J920" s="217"/>
      <c r="K920" s="217"/>
      <c r="L920" s="217"/>
      <c r="M920" s="217"/>
      <c r="N920" s="217"/>
      <c r="O920" s="217"/>
      <c r="P920" s="217"/>
      <c r="Q920" s="218"/>
    </row>
    <row r="921" spans="1:17" s="219" customFormat="1" hidden="1" x14ac:dyDescent="0.25">
      <c r="A921" s="214"/>
      <c r="B921" s="215" t="s">
        <v>1822</v>
      </c>
      <c r="C921" s="215" t="s">
        <v>1823</v>
      </c>
      <c r="D921" s="215" t="s">
        <v>1934</v>
      </c>
      <c r="E921" s="215" t="s">
        <v>1847</v>
      </c>
      <c r="F921" s="215" t="s">
        <v>1825</v>
      </c>
      <c r="G921" s="215" t="s">
        <v>75</v>
      </c>
      <c r="H921" s="216" t="s">
        <v>2744</v>
      </c>
      <c r="I921" s="217"/>
      <c r="J921" s="217"/>
      <c r="K921" s="217"/>
      <c r="L921" s="217"/>
      <c r="M921" s="217"/>
      <c r="N921" s="217"/>
      <c r="O921" s="217"/>
      <c r="P921" s="217"/>
      <c r="Q921" s="218"/>
    </row>
    <row r="922" spans="1:17" s="219" customFormat="1" hidden="1" x14ac:dyDescent="0.25">
      <c r="A922" s="214"/>
      <c r="B922" s="215" t="s">
        <v>1822</v>
      </c>
      <c r="C922" s="215" t="s">
        <v>1823</v>
      </c>
      <c r="D922" s="215" t="s">
        <v>1934</v>
      </c>
      <c r="E922" s="215" t="s">
        <v>1847</v>
      </c>
      <c r="F922" s="215" t="s">
        <v>1825</v>
      </c>
      <c r="G922" s="215" t="s">
        <v>79</v>
      </c>
      <c r="H922" s="216" t="s">
        <v>2745</v>
      </c>
      <c r="I922" s="217"/>
      <c r="J922" s="217"/>
      <c r="K922" s="217"/>
      <c r="L922" s="217"/>
      <c r="M922" s="217"/>
      <c r="N922" s="217"/>
      <c r="O922" s="217"/>
      <c r="P922" s="217"/>
      <c r="Q922" s="218"/>
    </row>
    <row r="923" spans="1:17" s="219" customFormat="1" hidden="1" x14ac:dyDescent="0.25">
      <c r="A923" s="214"/>
      <c r="B923" s="215" t="s">
        <v>1822</v>
      </c>
      <c r="C923" s="215" t="s">
        <v>1823</v>
      </c>
      <c r="D923" s="215" t="s">
        <v>1934</v>
      </c>
      <c r="E923" s="215" t="s">
        <v>1847</v>
      </c>
      <c r="F923" s="215" t="s">
        <v>1825</v>
      </c>
      <c r="G923" s="215" t="s">
        <v>84</v>
      </c>
      <c r="H923" s="216" t="s">
        <v>2746</v>
      </c>
      <c r="I923" s="217"/>
      <c r="J923" s="217"/>
      <c r="K923" s="217"/>
      <c r="L923" s="217"/>
      <c r="M923" s="217"/>
      <c r="N923" s="217"/>
      <c r="O923" s="217"/>
      <c r="P923" s="217"/>
      <c r="Q923" s="218"/>
    </row>
    <row r="924" spans="1:17" s="213" customFormat="1" hidden="1" x14ac:dyDescent="0.25">
      <c r="A924" s="208" t="s">
        <v>263</v>
      </c>
      <c r="B924" s="209" t="s">
        <v>1822</v>
      </c>
      <c r="C924" s="209" t="s">
        <v>1823</v>
      </c>
      <c r="D924" s="209" t="s">
        <v>1934</v>
      </c>
      <c r="E924" s="209" t="s">
        <v>1847</v>
      </c>
      <c r="F924" s="209" t="s">
        <v>1836</v>
      </c>
      <c r="G924" s="209"/>
      <c r="H924" s="210" t="s">
        <v>2747</v>
      </c>
      <c r="I924" s="211">
        <f>SUM(I925:I928)</f>
        <v>0</v>
      </c>
      <c r="J924" s="211">
        <f t="shared" ref="J924:P924" si="133">SUM(J925:J928)</f>
        <v>0</v>
      </c>
      <c r="K924" s="211">
        <f t="shared" si="133"/>
        <v>0</v>
      </c>
      <c r="L924" s="211">
        <f t="shared" si="133"/>
        <v>0</v>
      </c>
      <c r="M924" s="211">
        <f t="shared" si="133"/>
        <v>0</v>
      </c>
      <c r="N924" s="211">
        <f t="shared" si="133"/>
        <v>0</v>
      </c>
      <c r="O924" s="211">
        <f t="shared" si="133"/>
        <v>0</v>
      </c>
      <c r="P924" s="211">
        <f t="shared" si="133"/>
        <v>0</v>
      </c>
      <c r="Q924" s="212"/>
    </row>
    <row r="925" spans="1:17" s="219" customFormat="1" hidden="1" x14ac:dyDescent="0.25">
      <c r="A925" s="214"/>
      <c r="B925" s="215" t="s">
        <v>1822</v>
      </c>
      <c r="C925" s="215" t="s">
        <v>1823</v>
      </c>
      <c r="D925" s="215" t="s">
        <v>1934</v>
      </c>
      <c r="E925" s="215" t="s">
        <v>1847</v>
      </c>
      <c r="F925" s="215" t="s">
        <v>1836</v>
      </c>
      <c r="G925" s="215" t="s">
        <v>58</v>
      </c>
      <c r="H925" s="216" t="s">
        <v>2748</v>
      </c>
      <c r="I925" s="217"/>
      <c r="J925" s="217"/>
      <c r="K925" s="217"/>
      <c r="L925" s="217"/>
      <c r="M925" s="217"/>
      <c r="N925" s="217"/>
      <c r="O925" s="217"/>
      <c r="P925" s="217"/>
      <c r="Q925" s="218"/>
    </row>
    <row r="926" spans="1:17" s="219" customFormat="1" hidden="1" x14ac:dyDescent="0.25">
      <c r="A926" s="214"/>
      <c r="B926" s="215" t="s">
        <v>1822</v>
      </c>
      <c r="C926" s="215" t="s">
        <v>1823</v>
      </c>
      <c r="D926" s="215" t="s">
        <v>1934</v>
      </c>
      <c r="E926" s="215" t="s">
        <v>1847</v>
      </c>
      <c r="F926" s="215" t="s">
        <v>1836</v>
      </c>
      <c r="G926" s="215" t="s">
        <v>75</v>
      </c>
      <c r="H926" s="216" t="s">
        <v>2749</v>
      </c>
      <c r="I926" s="217"/>
      <c r="J926" s="217"/>
      <c r="K926" s="217"/>
      <c r="L926" s="217"/>
      <c r="M926" s="217"/>
      <c r="N926" s="217"/>
      <c r="O926" s="217"/>
      <c r="P926" s="217"/>
      <c r="Q926" s="218"/>
    </row>
    <row r="927" spans="1:17" s="219" customFormat="1" hidden="1" x14ac:dyDescent="0.25">
      <c r="A927" s="214"/>
      <c r="B927" s="215" t="s">
        <v>1822</v>
      </c>
      <c r="C927" s="215" t="s">
        <v>1823</v>
      </c>
      <c r="D927" s="215" t="s">
        <v>1934</v>
      </c>
      <c r="E927" s="215" t="s">
        <v>1847</v>
      </c>
      <c r="F927" s="215" t="s">
        <v>1836</v>
      </c>
      <c r="G927" s="215" t="s">
        <v>79</v>
      </c>
      <c r="H927" s="216" t="s">
        <v>2750</v>
      </c>
      <c r="I927" s="217"/>
      <c r="J927" s="217"/>
      <c r="K927" s="217"/>
      <c r="L927" s="217"/>
      <c r="M927" s="217"/>
      <c r="N927" s="217"/>
      <c r="O927" s="217"/>
      <c r="P927" s="217"/>
      <c r="Q927" s="218"/>
    </row>
    <row r="928" spans="1:17" s="219" customFormat="1" hidden="1" x14ac:dyDescent="0.25">
      <c r="A928" s="214"/>
      <c r="B928" s="215" t="s">
        <v>1822</v>
      </c>
      <c r="C928" s="215" t="s">
        <v>1823</v>
      </c>
      <c r="D928" s="215" t="s">
        <v>1934</v>
      </c>
      <c r="E928" s="215" t="s">
        <v>1847</v>
      </c>
      <c r="F928" s="215" t="s">
        <v>1836</v>
      </c>
      <c r="G928" s="215" t="s">
        <v>84</v>
      </c>
      <c r="H928" s="216" t="s">
        <v>2751</v>
      </c>
      <c r="I928" s="217"/>
      <c r="J928" s="217"/>
      <c r="K928" s="217"/>
      <c r="L928" s="217"/>
      <c r="M928" s="217"/>
      <c r="N928" s="217"/>
      <c r="O928" s="217"/>
      <c r="P928" s="217"/>
      <c r="Q928" s="218"/>
    </row>
    <row r="929" spans="1:17" s="213" customFormat="1" hidden="1" x14ac:dyDescent="0.25">
      <c r="A929" s="208" t="s">
        <v>263</v>
      </c>
      <c r="B929" s="209" t="s">
        <v>1822</v>
      </c>
      <c r="C929" s="209" t="s">
        <v>1823</v>
      </c>
      <c r="D929" s="209" t="s">
        <v>1934</v>
      </c>
      <c r="E929" s="209" t="s">
        <v>1847</v>
      </c>
      <c r="F929" s="209" t="s">
        <v>1847</v>
      </c>
      <c r="G929" s="209"/>
      <c r="H929" s="210" t="s">
        <v>2752</v>
      </c>
      <c r="I929" s="211">
        <f>I930</f>
        <v>0</v>
      </c>
      <c r="J929" s="211">
        <f t="shared" ref="J929:P929" si="134">J930</f>
        <v>0</v>
      </c>
      <c r="K929" s="211">
        <f t="shared" si="134"/>
        <v>0</v>
      </c>
      <c r="L929" s="211">
        <f t="shared" si="134"/>
        <v>0</v>
      </c>
      <c r="M929" s="211">
        <f t="shared" si="134"/>
        <v>0</v>
      </c>
      <c r="N929" s="211">
        <f t="shared" si="134"/>
        <v>0</v>
      </c>
      <c r="O929" s="211">
        <f t="shared" si="134"/>
        <v>0</v>
      </c>
      <c r="P929" s="211">
        <f t="shared" si="134"/>
        <v>0</v>
      </c>
      <c r="Q929" s="212"/>
    </row>
    <row r="930" spans="1:17" s="219" customFormat="1" hidden="1" x14ac:dyDescent="0.25">
      <c r="A930" s="214"/>
      <c r="B930" s="215" t="s">
        <v>1822</v>
      </c>
      <c r="C930" s="215" t="s">
        <v>1823</v>
      </c>
      <c r="D930" s="215" t="s">
        <v>1934</v>
      </c>
      <c r="E930" s="215" t="s">
        <v>1847</v>
      </c>
      <c r="F930" s="215" t="s">
        <v>1847</v>
      </c>
      <c r="G930" s="215" t="s">
        <v>58</v>
      </c>
      <c r="H930" s="216" t="s">
        <v>2752</v>
      </c>
      <c r="I930" s="217"/>
      <c r="J930" s="217"/>
      <c r="K930" s="217"/>
      <c r="L930" s="217"/>
      <c r="M930" s="217"/>
      <c r="N930" s="217"/>
      <c r="O930" s="217"/>
      <c r="P930" s="217"/>
      <c r="Q930" s="218"/>
    </row>
    <row r="931" spans="1:17" s="213" customFormat="1" hidden="1" x14ac:dyDescent="0.25">
      <c r="A931" s="208" t="s">
        <v>1984</v>
      </c>
      <c r="B931" s="209" t="s">
        <v>1822</v>
      </c>
      <c r="C931" s="209" t="s">
        <v>1823</v>
      </c>
      <c r="D931" s="209" t="s">
        <v>1934</v>
      </c>
      <c r="E931" s="209" t="s">
        <v>1928</v>
      </c>
      <c r="F931" s="209"/>
      <c r="G931" s="209"/>
      <c r="H931" s="210" t="s">
        <v>2753</v>
      </c>
      <c r="I931" s="211">
        <f>SUM(I932+I934+I936+I938+I940+I942+I944+I946+I948+I950)</f>
        <v>0</v>
      </c>
      <c r="J931" s="211">
        <f t="shared" ref="J931:P931" si="135">SUM(J932+J934+J936+J938+J940+J942+J944+J946+J948+J950)</f>
        <v>0</v>
      </c>
      <c r="K931" s="211">
        <f t="shared" si="135"/>
        <v>0</v>
      </c>
      <c r="L931" s="211">
        <f t="shared" si="135"/>
        <v>0</v>
      </c>
      <c r="M931" s="211">
        <f t="shared" si="135"/>
        <v>0</v>
      </c>
      <c r="N931" s="211">
        <f t="shared" si="135"/>
        <v>0</v>
      </c>
      <c r="O931" s="211">
        <f t="shared" si="135"/>
        <v>0</v>
      </c>
      <c r="P931" s="211">
        <f t="shared" si="135"/>
        <v>0</v>
      </c>
      <c r="Q931" s="212"/>
    </row>
    <row r="932" spans="1:17" s="213" customFormat="1" hidden="1" x14ac:dyDescent="0.25">
      <c r="A932" s="208" t="s">
        <v>263</v>
      </c>
      <c r="B932" s="209" t="s">
        <v>1822</v>
      </c>
      <c r="C932" s="209" t="s">
        <v>1823</v>
      </c>
      <c r="D932" s="209" t="s">
        <v>1934</v>
      </c>
      <c r="E932" s="209" t="s">
        <v>1928</v>
      </c>
      <c r="F932" s="209" t="s">
        <v>1825</v>
      </c>
      <c r="G932" s="209"/>
      <c r="H932" s="210" t="s">
        <v>2754</v>
      </c>
      <c r="I932" s="211">
        <f>I933</f>
        <v>0</v>
      </c>
      <c r="J932" s="211">
        <f t="shared" ref="J932:P932" si="136">J933</f>
        <v>0</v>
      </c>
      <c r="K932" s="211">
        <f t="shared" si="136"/>
        <v>0</v>
      </c>
      <c r="L932" s="211">
        <f t="shared" si="136"/>
        <v>0</v>
      </c>
      <c r="M932" s="211">
        <f t="shared" si="136"/>
        <v>0</v>
      </c>
      <c r="N932" s="211">
        <f t="shared" si="136"/>
        <v>0</v>
      </c>
      <c r="O932" s="211">
        <f t="shared" si="136"/>
        <v>0</v>
      </c>
      <c r="P932" s="211">
        <f t="shared" si="136"/>
        <v>0</v>
      </c>
      <c r="Q932" s="212"/>
    </row>
    <row r="933" spans="1:17" s="219" customFormat="1" hidden="1" x14ac:dyDescent="0.25">
      <c r="A933" s="214"/>
      <c r="B933" s="215" t="s">
        <v>1822</v>
      </c>
      <c r="C933" s="215" t="s">
        <v>1823</v>
      </c>
      <c r="D933" s="215" t="s">
        <v>1934</v>
      </c>
      <c r="E933" s="215" t="s">
        <v>1928</v>
      </c>
      <c r="F933" s="215" t="s">
        <v>1825</v>
      </c>
      <c r="G933" s="215" t="s">
        <v>58</v>
      </c>
      <c r="H933" s="216" t="s">
        <v>2755</v>
      </c>
      <c r="I933" s="217"/>
      <c r="J933" s="217"/>
      <c r="K933" s="217"/>
      <c r="L933" s="217"/>
      <c r="M933" s="217"/>
      <c r="N933" s="217"/>
      <c r="O933" s="217"/>
      <c r="P933" s="217"/>
      <c r="Q933" s="218"/>
    </row>
    <row r="934" spans="1:17" s="213" customFormat="1" ht="30" hidden="1" x14ac:dyDescent="0.25">
      <c r="A934" s="208" t="s">
        <v>263</v>
      </c>
      <c r="B934" s="209" t="s">
        <v>1822</v>
      </c>
      <c r="C934" s="209" t="s">
        <v>1823</v>
      </c>
      <c r="D934" s="209" t="s">
        <v>1934</v>
      </c>
      <c r="E934" s="209" t="s">
        <v>1928</v>
      </c>
      <c r="F934" s="209" t="s">
        <v>1836</v>
      </c>
      <c r="G934" s="209"/>
      <c r="H934" s="210" t="s">
        <v>2756</v>
      </c>
      <c r="I934" s="211">
        <f>I935</f>
        <v>0</v>
      </c>
      <c r="J934" s="211">
        <f t="shared" ref="J934:P934" si="137">J935</f>
        <v>0</v>
      </c>
      <c r="K934" s="211">
        <f t="shared" si="137"/>
        <v>0</v>
      </c>
      <c r="L934" s="211">
        <f t="shared" si="137"/>
        <v>0</v>
      </c>
      <c r="M934" s="211">
        <f t="shared" si="137"/>
        <v>0</v>
      </c>
      <c r="N934" s="211">
        <f t="shared" si="137"/>
        <v>0</v>
      </c>
      <c r="O934" s="211">
        <f t="shared" si="137"/>
        <v>0</v>
      </c>
      <c r="P934" s="211">
        <f t="shared" si="137"/>
        <v>0</v>
      </c>
      <c r="Q934" s="212"/>
    </row>
    <row r="935" spans="1:17" s="219" customFormat="1" ht="45" hidden="1" x14ac:dyDescent="0.25">
      <c r="A935" s="214"/>
      <c r="B935" s="215" t="s">
        <v>1822</v>
      </c>
      <c r="C935" s="215" t="s">
        <v>1823</v>
      </c>
      <c r="D935" s="215" t="s">
        <v>1934</v>
      </c>
      <c r="E935" s="215" t="s">
        <v>1928</v>
      </c>
      <c r="F935" s="215" t="s">
        <v>1836</v>
      </c>
      <c r="G935" s="215" t="s">
        <v>58</v>
      </c>
      <c r="H935" s="216" t="s">
        <v>2757</v>
      </c>
      <c r="I935" s="217"/>
      <c r="J935" s="217"/>
      <c r="K935" s="217"/>
      <c r="L935" s="217"/>
      <c r="M935" s="217"/>
      <c r="N935" s="217"/>
      <c r="O935" s="217"/>
      <c r="P935" s="217"/>
      <c r="Q935" s="218"/>
    </row>
    <row r="936" spans="1:17" s="213" customFormat="1" ht="45" hidden="1" x14ac:dyDescent="0.25">
      <c r="A936" s="208" t="s">
        <v>263</v>
      </c>
      <c r="B936" s="209" t="s">
        <v>1822</v>
      </c>
      <c r="C936" s="209" t="s">
        <v>1823</v>
      </c>
      <c r="D936" s="209" t="s">
        <v>1934</v>
      </c>
      <c r="E936" s="209" t="s">
        <v>1928</v>
      </c>
      <c r="F936" s="209" t="s">
        <v>1847</v>
      </c>
      <c r="G936" s="209"/>
      <c r="H936" s="210" t="s">
        <v>2758</v>
      </c>
      <c r="I936" s="211">
        <f>I937</f>
        <v>0</v>
      </c>
      <c r="J936" s="211">
        <f t="shared" ref="J936:P936" si="138">J937</f>
        <v>0</v>
      </c>
      <c r="K936" s="211">
        <f t="shared" si="138"/>
        <v>0</v>
      </c>
      <c r="L936" s="211">
        <f t="shared" si="138"/>
        <v>0</v>
      </c>
      <c r="M936" s="211">
        <f t="shared" si="138"/>
        <v>0</v>
      </c>
      <c r="N936" s="211">
        <f t="shared" si="138"/>
        <v>0</v>
      </c>
      <c r="O936" s="211">
        <f t="shared" si="138"/>
        <v>0</v>
      </c>
      <c r="P936" s="211">
        <f t="shared" si="138"/>
        <v>0</v>
      </c>
      <c r="Q936" s="212"/>
    </row>
    <row r="937" spans="1:17" s="219" customFormat="1" ht="45" hidden="1" x14ac:dyDescent="0.25">
      <c r="A937" s="214"/>
      <c r="B937" s="215" t="s">
        <v>1822</v>
      </c>
      <c r="C937" s="215" t="s">
        <v>1823</v>
      </c>
      <c r="D937" s="215" t="s">
        <v>1934</v>
      </c>
      <c r="E937" s="215" t="s">
        <v>1928</v>
      </c>
      <c r="F937" s="215" t="s">
        <v>1847</v>
      </c>
      <c r="G937" s="215" t="s">
        <v>58</v>
      </c>
      <c r="H937" s="216" t="s">
        <v>2759</v>
      </c>
      <c r="I937" s="217"/>
      <c r="J937" s="217"/>
      <c r="K937" s="217"/>
      <c r="L937" s="217"/>
      <c r="M937" s="217"/>
      <c r="N937" s="217"/>
      <c r="O937" s="217"/>
      <c r="P937" s="217"/>
      <c r="Q937" s="218"/>
    </row>
    <row r="938" spans="1:17" s="213" customFormat="1" ht="30" hidden="1" x14ac:dyDescent="0.25">
      <c r="A938" s="208" t="s">
        <v>263</v>
      </c>
      <c r="B938" s="209" t="s">
        <v>1822</v>
      </c>
      <c r="C938" s="209" t="s">
        <v>1823</v>
      </c>
      <c r="D938" s="209" t="s">
        <v>1934</v>
      </c>
      <c r="E938" s="209" t="s">
        <v>1928</v>
      </c>
      <c r="F938" s="209" t="s">
        <v>1928</v>
      </c>
      <c r="G938" s="209"/>
      <c r="H938" s="210" t="s">
        <v>2760</v>
      </c>
      <c r="I938" s="211">
        <f>I939</f>
        <v>0</v>
      </c>
      <c r="J938" s="211">
        <f t="shared" ref="J938:P938" si="139">J939</f>
        <v>0</v>
      </c>
      <c r="K938" s="211">
        <f t="shared" si="139"/>
        <v>0</v>
      </c>
      <c r="L938" s="211">
        <f t="shared" si="139"/>
        <v>0</v>
      </c>
      <c r="M938" s="211">
        <f t="shared" si="139"/>
        <v>0</v>
      </c>
      <c r="N938" s="211">
        <f t="shared" si="139"/>
        <v>0</v>
      </c>
      <c r="O938" s="211">
        <f t="shared" si="139"/>
        <v>0</v>
      </c>
      <c r="P938" s="211">
        <f t="shared" si="139"/>
        <v>0</v>
      </c>
      <c r="Q938" s="212"/>
    </row>
    <row r="939" spans="1:17" s="219" customFormat="1" ht="30" hidden="1" x14ac:dyDescent="0.25">
      <c r="A939" s="214"/>
      <c r="B939" s="215" t="s">
        <v>1822</v>
      </c>
      <c r="C939" s="215" t="s">
        <v>1823</v>
      </c>
      <c r="D939" s="215" t="s">
        <v>1934</v>
      </c>
      <c r="E939" s="215" t="s">
        <v>1928</v>
      </c>
      <c r="F939" s="215" t="s">
        <v>1928</v>
      </c>
      <c r="G939" s="215" t="s">
        <v>58</v>
      </c>
      <c r="H939" s="216" t="s">
        <v>2761</v>
      </c>
      <c r="I939" s="217"/>
      <c r="J939" s="217"/>
      <c r="K939" s="217"/>
      <c r="L939" s="217"/>
      <c r="M939" s="217"/>
      <c r="N939" s="217"/>
      <c r="O939" s="217"/>
      <c r="P939" s="217"/>
      <c r="Q939" s="218"/>
    </row>
    <row r="940" spans="1:17" s="213" customFormat="1" ht="30" hidden="1" x14ac:dyDescent="0.25">
      <c r="A940" s="208" t="s">
        <v>263</v>
      </c>
      <c r="B940" s="209" t="s">
        <v>1822</v>
      </c>
      <c r="C940" s="209" t="s">
        <v>1823</v>
      </c>
      <c r="D940" s="209" t="s">
        <v>1934</v>
      </c>
      <c r="E940" s="209" t="s">
        <v>1928</v>
      </c>
      <c r="F940" s="209" t="s">
        <v>1934</v>
      </c>
      <c r="G940" s="209"/>
      <c r="H940" s="210" t="s">
        <v>2762</v>
      </c>
      <c r="I940" s="211">
        <f>I941</f>
        <v>0</v>
      </c>
      <c r="J940" s="211">
        <f t="shared" ref="J940:P940" si="140">J941</f>
        <v>0</v>
      </c>
      <c r="K940" s="211">
        <f t="shared" si="140"/>
        <v>0</v>
      </c>
      <c r="L940" s="211">
        <f t="shared" si="140"/>
        <v>0</v>
      </c>
      <c r="M940" s="211">
        <f t="shared" si="140"/>
        <v>0</v>
      </c>
      <c r="N940" s="211">
        <f t="shared" si="140"/>
        <v>0</v>
      </c>
      <c r="O940" s="211">
        <f t="shared" si="140"/>
        <v>0</v>
      </c>
      <c r="P940" s="211">
        <f t="shared" si="140"/>
        <v>0</v>
      </c>
      <c r="Q940" s="212"/>
    </row>
    <row r="941" spans="1:17" s="219" customFormat="1" ht="30" hidden="1" x14ac:dyDescent="0.25">
      <c r="A941" s="214"/>
      <c r="B941" s="215" t="s">
        <v>1822</v>
      </c>
      <c r="C941" s="215" t="s">
        <v>1823</v>
      </c>
      <c r="D941" s="215" t="s">
        <v>1934</v>
      </c>
      <c r="E941" s="215" t="s">
        <v>1928</v>
      </c>
      <c r="F941" s="215" t="s">
        <v>1934</v>
      </c>
      <c r="G941" s="215" t="s">
        <v>58</v>
      </c>
      <c r="H941" s="216" t="s">
        <v>2763</v>
      </c>
      <c r="I941" s="217"/>
      <c r="J941" s="217"/>
      <c r="K941" s="217"/>
      <c r="L941" s="217"/>
      <c r="M941" s="217"/>
      <c r="N941" s="217"/>
      <c r="O941" s="217"/>
      <c r="P941" s="217"/>
      <c r="Q941" s="218"/>
    </row>
    <row r="942" spans="1:17" s="213" customFormat="1" hidden="1" x14ac:dyDescent="0.25">
      <c r="A942" s="208" t="s">
        <v>263</v>
      </c>
      <c r="B942" s="209" t="s">
        <v>1822</v>
      </c>
      <c r="C942" s="209" t="s">
        <v>1823</v>
      </c>
      <c r="D942" s="209" t="s">
        <v>1934</v>
      </c>
      <c r="E942" s="209" t="s">
        <v>1928</v>
      </c>
      <c r="F942" s="209" t="s">
        <v>2022</v>
      </c>
      <c r="G942" s="209"/>
      <c r="H942" s="210" t="s">
        <v>2764</v>
      </c>
      <c r="I942" s="211">
        <f>I943</f>
        <v>0</v>
      </c>
      <c r="J942" s="211">
        <f t="shared" ref="J942:P942" si="141">J943</f>
        <v>0</v>
      </c>
      <c r="K942" s="211">
        <f t="shared" si="141"/>
        <v>0</v>
      </c>
      <c r="L942" s="211">
        <f t="shared" si="141"/>
        <v>0</v>
      </c>
      <c r="M942" s="211">
        <f t="shared" si="141"/>
        <v>0</v>
      </c>
      <c r="N942" s="211">
        <f t="shared" si="141"/>
        <v>0</v>
      </c>
      <c r="O942" s="211">
        <f t="shared" si="141"/>
        <v>0</v>
      </c>
      <c r="P942" s="211">
        <f t="shared" si="141"/>
        <v>0</v>
      </c>
      <c r="Q942" s="212"/>
    </row>
    <row r="943" spans="1:17" s="219" customFormat="1" ht="30" hidden="1" x14ac:dyDescent="0.25">
      <c r="A943" s="214"/>
      <c r="B943" s="215" t="s">
        <v>1822</v>
      </c>
      <c r="C943" s="215" t="s">
        <v>1823</v>
      </c>
      <c r="D943" s="215" t="s">
        <v>1934</v>
      </c>
      <c r="E943" s="215" t="s">
        <v>1928</v>
      </c>
      <c r="F943" s="215" t="s">
        <v>2022</v>
      </c>
      <c r="G943" s="215" t="s">
        <v>58</v>
      </c>
      <c r="H943" s="216" t="s">
        <v>2765</v>
      </c>
      <c r="I943" s="217"/>
      <c r="J943" s="217"/>
      <c r="K943" s="217"/>
      <c r="L943" s="217"/>
      <c r="M943" s="217"/>
      <c r="N943" s="217"/>
      <c r="O943" s="217"/>
      <c r="P943" s="217"/>
      <c r="Q943" s="218"/>
    </row>
    <row r="944" spans="1:17" s="213" customFormat="1" ht="30" hidden="1" x14ac:dyDescent="0.25">
      <c r="A944" s="208" t="s">
        <v>263</v>
      </c>
      <c r="B944" s="209" t="s">
        <v>1822</v>
      </c>
      <c r="C944" s="209" t="s">
        <v>1823</v>
      </c>
      <c r="D944" s="209" t="s">
        <v>1934</v>
      </c>
      <c r="E944" s="209" t="s">
        <v>1928</v>
      </c>
      <c r="F944" s="209" t="s">
        <v>2100</v>
      </c>
      <c r="G944" s="209"/>
      <c r="H944" s="210" t="s">
        <v>2766</v>
      </c>
      <c r="I944" s="211">
        <f>I945</f>
        <v>0</v>
      </c>
      <c r="J944" s="211">
        <f t="shared" ref="J944:P944" si="142">J945</f>
        <v>0</v>
      </c>
      <c r="K944" s="211">
        <f t="shared" si="142"/>
        <v>0</v>
      </c>
      <c r="L944" s="211">
        <f t="shared" si="142"/>
        <v>0</v>
      </c>
      <c r="M944" s="211">
        <f t="shared" si="142"/>
        <v>0</v>
      </c>
      <c r="N944" s="211">
        <f t="shared" si="142"/>
        <v>0</v>
      </c>
      <c r="O944" s="211">
        <f t="shared" si="142"/>
        <v>0</v>
      </c>
      <c r="P944" s="211">
        <f t="shared" si="142"/>
        <v>0</v>
      </c>
      <c r="Q944" s="212"/>
    </row>
    <row r="945" spans="1:17" s="219" customFormat="1" ht="45" hidden="1" x14ac:dyDescent="0.25">
      <c r="A945" s="214"/>
      <c r="B945" s="215" t="s">
        <v>1822</v>
      </c>
      <c r="C945" s="215" t="s">
        <v>1823</v>
      </c>
      <c r="D945" s="215" t="s">
        <v>1934</v>
      </c>
      <c r="E945" s="215" t="s">
        <v>1928</v>
      </c>
      <c r="F945" s="215" t="s">
        <v>2100</v>
      </c>
      <c r="G945" s="215" t="s">
        <v>58</v>
      </c>
      <c r="H945" s="216" t="s">
        <v>2767</v>
      </c>
      <c r="I945" s="217"/>
      <c r="J945" s="217"/>
      <c r="K945" s="217"/>
      <c r="L945" s="217"/>
      <c r="M945" s="217"/>
      <c r="N945" s="217"/>
      <c r="O945" s="217"/>
      <c r="P945" s="217"/>
      <c r="Q945" s="218"/>
    </row>
    <row r="946" spans="1:17" s="213" customFormat="1" ht="30" hidden="1" x14ac:dyDescent="0.25">
      <c r="A946" s="208" t="s">
        <v>263</v>
      </c>
      <c r="B946" s="209" t="s">
        <v>1822</v>
      </c>
      <c r="C946" s="209" t="s">
        <v>1823</v>
      </c>
      <c r="D946" s="209" t="s">
        <v>1934</v>
      </c>
      <c r="E946" s="209" t="s">
        <v>1928</v>
      </c>
      <c r="F946" s="209" t="s">
        <v>2139</v>
      </c>
      <c r="G946" s="209"/>
      <c r="H946" s="210" t="s">
        <v>2768</v>
      </c>
      <c r="I946" s="211">
        <f>I947</f>
        <v>0</v>
      </c>
      <c r="J946" s="211">
        <f t="shared" ref="J946:P946" si="143">J947</f>
        <v>0</v>
      </c>
      <c r="K946" s="211">
        <f t="shared" si="143"/>
        <v>0</v>
      </c>
      <c r="L946" s="211">
        <f t="shared" si="143"/>
        <v>0</v>
      </c>
      <c r="M946" s="211">
        <f t="shared" si="143"/>
        <v>0</v>
      </c>
      <c r="N946" s="211">
        <f t="shared" si="143"/>
        <v>0</v>
      </c>
      <c r="O946" s="211">
        <f t="shared" si="143"/>
        <v>0</v>
      </c>
      <c r="P946" s="211">
        <f t="shared" si="143"/>
        <v>0</v>
      </c>
      <c r="Q946" s="212"/>
    </row>
    <row r="947" spans="1:17" s="219" customFormat="1" ht="45" hidden="1" x14ac:dyDescent="0.25">
      <c r="A947" s="214"/>
      <c r="B947" s="215" t="s">
        <v>1822</v>
      </c>
      <c r="C947" s="215" t="s">
        <v>1823</v>
      </c>
      <c r="D947" s="215" t="s">
        <v>1934</v>
      </c>
      <c r="E947" s="215" t="s">
        <v>1928</v>
      </c>
      <c r="F947" s="215" t="s">
        <v>2139</v>
      </c>
      <c r="G947" s="215" t="s">
        <v>58</v>
      </c>
      <c r="H947" s="216" t="s">
        <v>2769</v>
      </c>
      <c r="I947" s="217"/>
      <c r="J947" s="217"/>
      <c r="K947" s="217"/>
      <c r="L947" s="217"/>
      <c r="M947" s="217"/>
      <c r="N947" s="217"/>
      <c r="O947" s="217"/>
      <c r="P947" s="217"/>
      <c r="Q947" s="218"/>
    </row>
    <row r="948" spans="1:17" s="213" customFormat="1" ht="45" hidden="1" x14ac:dyDescent="0.25">
      <c r="A948" s="208" t="s">
        <v>263</v>
      </c>
      <c r="B948" s="209" t="s">
        <v>1822</v>
      </c>
      <c r="C948" s="209" t="s">
        <v>1823</v>
      </c>
      <c r="D948" s="209" t="s">
        <v>1934</v>
      </c>
      <c r="E948" s="209" t="s">
        <v>1928</v>
      </c>
      <c r="F948" s="209" t="s">
        <v>2277</v>
      </c>
      <c r="G948" s="209"/>
      <c r="H948" s="210" t="s">
        <v>2770</v>
      </c>
      <c r="I948" s="211">
        <f>I949</f>
        <v>0</v>
      </c>
      <c r="J948" s="211">
        <f t="shared" ref="J948:P948" si="144">J949</f>
        <v>0</v>
      </c>
      <c r="K948" s="211">
        <f t="shared" si="144"/>
        <v>0</v>
      </c>
      <c r="L948" s="211">
        <f t="shared" si="144"/>
        <v>0</v>
      </c>
      <c r="M948" s="211">
        <f t="shared" si="144"/>
        <v>0</v>
      </c>
      <c r="N948" s="211">
        <f t="shared" si="144"/>
        <v>0</v>
      </c>
      <c r="O948" s="211">
        <f t="shared" si="144"/>
        <v>0</v>
      </c>
      <c r="P948" s="211">
        <f t="shared" si="144"/>
        <v>0</v>
      </c>
      <c r="Q948" s="212"/>
    </row>
    <row r="949" spans="1:17" s="219" customFormat="1" ht="45" hidden="1" x14ac:dyDescent="0.25">
      <c r="A949" s="214"/>
      <c r="B949" s="215" t="s">
        <v>1822</v>
      </c>
      <c r="C949" s="215" t="s">
        <v>1823</v>
      </c>
      <c r="D949" s="215" t="s">
        <v>1934</v>
      </c>
      <c r="E949" s="215" t="s">
        <v>1928</v>
      </c>
      <c r="F949" s="215" t="s">
        <v>2277</v>
      </c>
      <c r="G949" s="215" t="s">
        <v>58</v>
      </c>
      <c r="H949" s="216" t="s">
        <v>2771</v>
      </c>
      <c r="I949" s="217"/>
      <c r="J949" s="217"/>
      <c r="K949" s="217"/>
      <c r="L949" s="217"/>
      <c r="M949" s="217"/>
      <c r="N949" s="217"/>
      <c r="O949" s="217"/>
      <c r="P949" s="217"/>
      <c r="Q949" s="218"/>
    </row>
    <row r="950" spans="1:17" s="213" customFormat="1" hidden="1" x14ac:dyDescent="0.25">
      <c r="A950" s="208" t="s">
        <v>263</v>
      </c>
      <c r="B950" s="209" t="s">
        <v>1822</v>
      </c>
      <c r="C950" s="209" t="s">
        <v>1823</v>
      </c>
      <c r="D950" s="209" t="s">
        <v>1934</v>
      </c>
      <c r="E950" s="209" t="s">
        <v>1928</v>
      </c>
      <c r="F950" s="209" t="s">
        <v>2313</v>
      </c>
      <c r="G950" s="209"/>
      <c r="H950" s="210" t="s">
        <v>2772</v>
      </c>
      <c r="I950" s="211">
        <f>I951</f>
        <v>0</v>
      </c>
      <c r="J950" s="211">
        <f t="shared" ref="J950:P950" si="145">J951</f>
        <v>0</v>
      </c>
      <c r="K950" s="211">
        <f t="shared" si="145"/>
        <v>0</v>
      </c>
      <c r="L950" s="211">
        <f t="shared" si="145"/>
        <v>0</v>
      </c>
      <c r="M950" s="211">
        <f t="shared" si="145"/>
        <v>0</v>
      </c>
      <c r="N950" s="211">
        <f t="shared" si="145"/>
        <v>0</v>
      </c>
      <c r="O950" s="211">
        <f t="shared" si="145"/>
        <v>0</v>
      </c>
      <c r="P950" s="211">
        <f t="shared" si="145"/>
        <v>0</v>
      </c>
      <c r="Q950" s="212"/>
    </row>
    <row r="951" spans="1:17" s="219" customFormat="1" hidden="1" x14ac:dyDescent="0.25">
      <c r="A951" s="214"/>
      <c r="B951" s="215" t="s">
        <v>1822</v>
      </c>
      <c r="C951" s="215" t="s">
        <v>1823</v>
      </c>
      <c r="D951" s="215" t="s">
        <v>1934</v>
      </c>
      <c r="E951" s="215" t="s">
        <v>1928</v>
      </c>
      <c r="F951" s="215" t="s">
        <v>2313</v>
      </c>
      <c r="G951" s="215" t="s">
        <v>58</v>
      </c>
      <c r="H951" s="216" t="s">
        <v>2773</v>
      </c>
      <c r="I951" s="217"/>
      <c r="J951" s="217"/>
      <c r="K951" s="217"/>
      <c r="L951" s="217"/>
      <c r="M951" s="217"/>
      <c r="N951" s="217"/>
      <c r="O951" s="217"/>
      <c r="P951" s="217"/>
      <c r="Q951" s="218"/>
    </row>
    <row r="952" spans="1:17" s="213" customFormat="1" hidden="1" x14ac:dyDescent="0.25">
      <c r="A952" s="208" t="s">
        <v>1997</v>
      </c>
      <c r="B952" s="209" t="s">
        <v>1822</v>
      </c>
      <c r="C952" s="209" t="s">
        <v>1823</v>
      </c>
      <c r="D952" s="209" t="s">
        <v>1934</v>
      </c>
      <c r="E952" s="209" t="s">
        <v>1934</v>
      </c>
      <c r="F952" s="209"/>
      <c r="G952" s="209"/>
      <c r="H952" s="210" t="s">
        <v>2774</v>
      </c>
      <c r="I952" s="211">
        <f>I953</f>
        <v>0</v>
      </c>
      <c r="J952" s="211">
        <f t="shared" ref="J952:P953" si="146">J953</f>
        <v>0</v>
      </c>
      <c r="K952" s="211">
        <f t="shared" si="146"/>
        <v>0</v>
      </c>
      <c r="L952" s="211">
        <f t="shared" si="146"/>
        <v>0</v>
      </c>
      <c r="M952" s="211">
        <f t="shared" si="146"/>
        <v>0</v>
      </c>
      <c r="N952" s="211">
        <f t="shared" si="146"/>
        <v>0</v>
      </c>
      <c r="O952" s="211">
        <f t="shared" si="146"/>
        <v>0</v>
      </c>
      <c r="P952" s="211">
        <f t="shared" si="146"/>
        <v>0</v>
      </c>
      <c r="Q952" s="212"/>
    </row>
    <row r="953" spans="1:17" s="213" customFormat="1" hidden="1" x14ac:dyDescent="0.25">
      <c r="A953" s="208" t="s">
        <v>263</v>
      </c>
      <c r="B953" s="209" t="s">
        <v>1822</v>
      </c>
      <c r="C953" s="209" t="s">
        <v>1823</v>
      </c>
      <c r="D953" s="209" t="s">
        <v>1934</v>
      </c>
      <c r="E953" s="209" t="s">
        <v>1934</v>
      </c>
      <c r="F953" s="209" t="s">
        <v>1825</v>
      </c>
      <c r="G953" s="209"/>
      <c r="H953" s="210" t="s">
        <v>2774</v>
      </c>
      <c r="I953" s="211">
        <f>I954</f>
        <v>0</v>
      </c>
      <c r="J953" s="211">
        <f t="shared" si="146"/>
        <v>0</v>
      </c>
      <c r="K953" s="211">
        <f t="shared" si="146"/>
        <v>0</v>
      </c>
      <c r="L953" s="211">
        <f t="shared" si="146"/>
        <v>0</v>
      </c>
      <c r="M953" s="211">
        <f t="shared" si="146"/>
        <v>0</v>
      </c>
      <c r="N953" s="211">
        <f t="shared" si="146"/>
        <v>0</v>
      </c>
      <c r="O953" s="211">
        <f t="shared" si="146"/>
        <v>0</v>
      </c>
      <c r="P953" s="211">
        <f t="shared" si="146"/>
        <v>0</v>
      </c>
      <c r="Q953" s="212"/>
    </row>
    <row r="954" spans="1:17" s="219" customFormat="1" hidden="1" x14ac:dyDescent="0.25">
      <c r="A954" s="214"/>
      <c r="B954" s="215" t="s">
        <v>1822</v>
      </c>
      <c r="C954" s="215" t="s">
        <v>1823</v>
      </c>
      <c r="D954" s="215" t="s">
        <v>1934</v>
      </c>
      <c r="E954" s="215" t="s">
        <v>1934</v>
      </c>
      <c r="F954" s="215" t="s">
        <v>1825</v>
      </c>
      <c r="G954" s="215" t="s">
        <v>58</v>
      </c>
      <c r="H954" s="216" t="s">
        <v>2774</v>
      </c>
      <c r="I954" s="217"/>
      <c r="J954" s="217"/>
      <c r="K954" s="217"/>
      <c r="L954" s="217"/>
      <c r="M954" s="217"/>
      <c r="N954" s="217"/>
      <c r="O954" s="217"/>
      <c r="P954" s="217"/>
      <c r="Q954" s="218"/>
    </row>
    <row r="955" spans="1:17" s="213" customFormat="1" hidden="1" x14ac:dyDescent="0.25">
      <c r="A955" s="208" t="s">
        <v>2021</v>
      </c>
      <c r="B955" s="209" t="s">
        <v>1822</v>
      </c>
      <c r="C955" s="209" t="s">
        <v>1823</v>
      </c>
      <c r="D955" s="209" t="s">
        <v>1934</v>
      </c>
      <c r="E955" s="209" t="s">
        <v>2022</v>
      </c>
      <c r="F955" s="209"/>
      <c r="G955" s="209"/>
      <c r="H955" s="210" t="s">
        <v>2775</v>
      </c>
      <c r="I955" s="211">
        <f>I956</f>
        <v>0</v>
      </c>
      <c r="J955" s="211">
        <f t="shared" ref="J955:P955" si="147">J956</f>
        <v>0</v>
      </c>
      <c r="K955" s="211">
        <f t="shared" si="147"/>
        <v>0</v>
      </c>
      <c r="L955" s="211">
        <f t="shared" si="147"/>
        <v>0</v>
      </c>
      <c r="M955" s="211">
        <f t="shared" si="147"/>
        <v>0</v>
      </c>
      <c r="N955" s="211">
        <f t="shared" si="147"/>
        <v>0</v>
      </c>
      <c r="O955" s="211">
        <f t="shared" si="147"/>
        <v>0</v>
      </c>
      <c r="P955" s="211">
        <f t="shared" si="147"/>
        <v>0</v>
      </c>
      <c r="Q955" s="212"/>
    </row>
    <row r="956" spans="1:17" s="213" customFormat="1" hidden="1" x14ac:dyDescent="0.25">
      <c r="A956" s="208" t="s">
        <v>263</v>
      </c>
      <c r="B956" s="209" t="s">
        <v>1822</v>
      </c>
      <c r="C956" s="209" t="s">
        <v>1823</v>
      </c>
      <c r="D956" s="209" t="s">
        <v>1934</v>
      </c>
      <c r="E956" s="209" t="s">
        <v>2022</v>
      </c>
      <c r="F956" s="209" t="s">
        <v>1825</v>
      </c>
      <c r="G956" s="209"/>
      <c r="H956" s="210" t="s">
        <v>2775</v>
      </c>
      <c r="I956" s="211">
        <f>SUM(I957:I963)</f>
        <v>0</v>
      </c>
      <c r="J956" s="211">
        <f t="shared" ref="J956:P956" si="148">SUM(J957:J963)</f>
        <v>0</v>
      </c>
      <c r="K956" s="211">
        <f t="shared" si="148"/>
        <v>0</v>
      </c>
      <c r="L956" s="211">
        <f t="shared" si="148"/>
        <v>0</v>
      </c>
      <c r="M956" s="211">
        <f t="shared" si="148"/>
        <v>0</v>
      </c>
      <c r="N956" s="211">
        <f t="shared" si="148"/>
        <v>0</v>
      </c>
      <c r="O956" s="211">
        <f t="shared" si="148"/>
        <v>0</v>
      </c>
      <c r="P956" s="211">
        <f t="shared" si="148"/>
        <v>0</v>
      </c>
      <c r="Q956" s="212"/>
    </row>
    <row r="957" spans="1:17" s="219" customFormat="1" hidden="1" x14ac:dyDescent="0.25">
      <c r="A957" s="214"/>
      <c r="B957" s="215" t="s">
        <v>1822</v>
      </c>
      <c r="C957" s="215" t="s">
        <v>1823</v>
      </c>
      <c r="D957" s="215" t="s">
        <v>1934</v>
      </c>
      <c r="E957" s="215" t="s">
        <v>2022</v>
      </c>
      <c r="F957" s="215" t="s">
        <v>1825</v>
      </c>
      <c r="G957" s="215" t="s">
        <v>58</v>
      </c>
      <c r="H957" s="216" t="s">
        <v>2776</v>
      </c>
      <c r="I957" s="217"/>
      <c r="J957" s="217"/>
      <c r="K957" s="217"/>
      <c r="L957" s="217"/>
      <c r="M957" s="217"/>
      <c r="N957" s="217"/>
      <c r="O957" s="217"/>
      <c r="P957" s="217"/>
      <c r="Q957" s="218"/>
    </row>
    <row r="958" spans="1:17" s="219" customFormat="1" hidden="1" x14ac:dyDescent="0.25">
      <c r="A958" s="214"/>
      <c r="B958" s="215" t="s">
        <v>1822</v>
      </c>
      <c r="C958" s="215" t="s">
        <v>1823</v>
      </c>
      <c r="D958" s="215" t="s">
        <v>1934</v>
      </c>
      <c r="E958" s="215" t="s">
        <v>2022</v>
      </c>
      <c r="F958" s="215" t="s">
        <v>1825</v>
      </c>
      <c r="G958" s="215" t="s">
        <v>75</v>
      </c>
      <c r="H958" s="216" t="s">
        <v>2777</v>
      </c>
      <c r="I958" s="217"/>
      <c r="J958" s="217"/>
      <c r="K958" s="217"/>
      <c r="L958" s="217"/>
      <c r="M958" s="217"/>
      <c r="N958" s="217"/>
      <c r="O958" s="217"/>
      <c r="P958" s="217"/>
      <c r="Q958" s="218"/>
    </row>
    <row r="959" spans="1:17" s="219" customFormat="1" hidden="1" x14ac:dyDescent="0.25">
      <c r="A959" s="214"/>
      <c r="B959" s="215" t="s">
        <v>1822</v>
      </c>
      <c r="C959" s="215" t="s">
        <v>1823</v>
      </c>
      <c r="D959" s="215" t="s">
        <v>1934</v>
      </c>
      <c r="E959" s="215" t="s">
        <v>2022</v>
      </c>
      <c r="F959" s="215" t="s">
        <v>1825</v>
      </c>
      <c r="G959" s="215" t="s">
        <v>79</v>
      </c>
      <c r="H959" s="216" t="s">
        <v>2778</v>
      </c>
      <c r="I959" s="217"/>
      <c r="J959" s="217"/>
      <c r="K959" s="217"/>
      <c r="L959" s="217"/>
      <c r="M959" s="217"/>
      <c r="N959" s="217"/>
      <c r="O959" s="217"/>
      <c r="P959" s="217"/>
      <c r="Q959" s="218"/>
    </row>
    <row r="960" spans="1:17" s="219" customFormat="1" hidden="1" x14ac:dyDescent="0.25">
      <c r="A960" s="214"/>
      <c r="B960" s="215" t="s">
        <v>1822</v>
      </c>
      <c r="C960" s="215" t="s">
        <v>1823</v>
      </c>
      <c r="D960" s="215" t="s">
        <v>1934</v>
      </c>
      <c r="E960" s="215" t="s">
        <v>2022</v>
      </c>
      <c r="F960" s="215" t="s">
        <v>1825</v>
      </c>
      <c r="G960" s="215" t="s">
        <v>84</v>
      </c>
      <c r="H960" s="216" t="s">
        <v>2779</v>
      </c>
      <c r="I960" s="217"/>
      <c r="J960" s="217"/>
      <c r="K960" s="217"/>
      <c r="L960" s="217"/>
      <c r="M960" s="217"/>
      <c r="N960" s="217"/>
      <c r="O960" s="217"/>
      <c r="P960" s="217"/>
      <c r="Q960" s="218"/>
    </row>
    <row r="961" spans="1:17" s="219" customFormat="1" hidden="1" x14ac:dyDescent="0.25">
      <c r="A961" s="214"/>
      <c r="B961" s="215" t="s">
        <v>1822</v>
      </c>
      <c r="C961" s="215" t="s">
        <v>1823</v>
      </c>
      <c r="D961" s="215" t="s">
        <v>1934</v>
      </c>
      <c r="E961" s="215" t="s">
        <v>2022</v>
      </c>
      <c r="F961" s="215" t="s">
        <v>1825</v>
      </c>
      <c r="G961" s="215" t="s">
        <v>88</v>
      </c>
      <c r="H961" s="216" t="s">
        <v>2780</v>
      </c>
      <c r="I961" s="217"/>
      <c r="J961" s="217"/>
      <c r="K961" s="217"/>
      <c r="L961" s="217"/>
      <c r="M961" s="217"/>
      <c r="N961" s="217"/>
      <c r="O961" s="217"/>
      <c r="P961" s="217"/>
      <c r="Q961" s="218"/>
    </row>
    <row r="962" spans="1:17" s="219" customFormat="1" hidden="1" x14ac:dyDescent="0.25">
      <c r="A962" s="214"/>
      <c r="B962" s="215" t="s">
        <v>1822</v>
      </c>
      <c r="C962" s="215" t="s">
        <v>1823</v>
      </c>
      <c r="D962" s="215" t="s">
        <v>1934</v>
      </c>
      <c r="E962" s="215" t="s">
        <v>2022</v>
      </c>
      <c r="F962" s="215" t="s">
        <v>1825</v>
      </c>
      <c r="G962" s="215" t="s">
        <v>92</v>
      </c>
      <c r="H962" s="216" t="s">
        <v>2781</v>
      </c>
      <c r="I962" s="217"/>
      <c r="J962" s="217"/>
      <c r="K962" s="217"/>
      <c r="L962" s="217"/>
      <c r="M962" s="217"/>
      <c r="N962" s="217"/>
      <c r="O962" s="217"/>
      <c r="P962" s="217"/>
      <c r="Q962" s="218"/>
    </row>
    <row r="963" spans="1:17" s="219" customFormat="1" hidden="1" x14ac:dyDescent="0.25">
      <c r="A963" s="214"/>
      <c r="B963" s="215" t="s">
        <v>1822</v>
      </c>
      <c r="C963" s="215" t="s">
        <v>1823</v>
      </c>
      <c r="D963" s="215" t="s">
        <v>1934</v>
      </c>
      <c r="E963" s="215" t="s">
        <v>2022</v>
      </c>
      <c r="F963" s="215" t="s">
        <v>1825</v>
      </c>
      <c r="G963" s="215" t="s">
        <v>96</v>
      </c>
      <c r="H963" s="216" t="s">
        <v>2782</v>
      </c>
      <c r="I963" s="217"/>
      <c r="J963" s="217"/>
      <c r="K963" s="217"/>
      <c r="L963" s="217"/>
      <c r="M963" s="217"/>
      <c r="N963" s="217"/>
      <c r="O963" s="217"/>
      <c r="P963" s="217"/>
      <c r="Q963" s="218"/>
    </row>
    <row r="964" spans="1:17" s="213" customFormat="1" hidden="1" x14ac:dyDescent="0.25">
      <c r="A964" s="208" t="s">
        <v>2099</v>
      </c>
      <c r="B964" s="209" t="s">
        <v>1822</v>
      </c>
      <c r="C964" s="209" t="s">
        <v>1823</v>
      </c>
      <c r="D964" s="209" t="s">
        <v>1934</v>
      </c>
      <c r="E964" s="209" t="s">
        <v>2100</v>
      </c>
      <c r="F964" s="209"/>
      <c r="G964" s="209"/>
      <c r="H964" s="210" t="s">
        <v>2783</v>
      </c>
      <c r="I964" s="211">
        <f>I965</f>
        <v>0</v>
      </c>
      <c r="J964" s="211">
        <f t="shared" ref="J964:P964" si="149">J965</f>
        <v>0</v>
      </c>
      <c r="K964" s="211">
        <f t="shared" si="149"/>
        <v>0</v>
      </c>
      <c r="L964" s="211">
        <f t="shared" si="149"/>
        <v>0</v>
      </c>
      <c r="M964" s="211">
        <f t="shared" si="149"/>
        <v>0</v>
      </c>
      <c r="N964" s="211">
        <f t="shared" si="149"/>
        <v>0</v>
      </c>
      <c r="O964" s="211">
        <f t="shared" si="149"/>
        <v>0</v>
      </c>
      <c r="P964" s="211">
        <f t="shared" si="149"/>
        <v>0</v>
      </c>
      <c r="Q964" s="212"/>
    </row>
    <row r="965" spans="1:17" s="213" customFormat="1" hidden="1" x14ac:dyDescent="0.25">
      <c r="A965" s="208" t="s">
        <v>263</v>
      </c>
      <c r="B965" s="209" t="s">
        <v>1822</v>
      </c>
      <c r="C965" s="209" t="s">
        <v>1823</v>
      </c>
      <c r="D965" s="209" t="s">
        <v>1934</v>
      </c>
      <c r="E965" s="209" t="s">
        <v>2100</v>
      </c>
      <c r="F965" s="209" t="s">
        <v>1825</v>
      </c>
      <c r="G965" s="209"/>
      <c r="H965" s="210" t="s">
        <v>2783</v>
      </c>
      <c r="I965" s="211">
        <f>SUM(I966)</f>
        <v>0</v>
      </c>
      <c r="J965" s="211">
        <f t="shared" ref="J965:P965" si="150">SUM(J966)</f>
        <v>0</v>
      </c>
      <c r="K965" s="211">
        <f t="shared" si="150"/>
        <v>0</v>
      </c>
      <c r="L965" s="211">
        <f t="shared" si="150"/>
        <v>0</v>
      </c>
      <c r="M965" s="211">
        <f t="shared" si="150"/>
        <v>0</v>
      </c>
      <c r="N965" s="211">
        <f t="shared" si="150"/>
        <v>0</v>
      </c>
      <c r="O965" s="211">
        <f t="shared" si="150"/>
        <v>0</v>
      </c>
      <c r="P965" s="211">
        <f t="shared" si="150"/>
        <v>0</v>
      </c>
      <c r="Q965" s="212"/>
    </row>
    <row r="966" spans="1:17" s="219" customFormat="1" hidden="1" x14ac:dyDescent="0.25">
      <c r="A966" s="214"/>
      <c r="B966" s="215" t="s">
        <v>1822</v>
      </c>
      <c r="C966" s="215" t="s">
        <v>1823</v>
      </c>
      <c r="D966" s="215" t="s">
        <v>1934</v>
      </c>
      <c r="E966" s="215" t="s">
        <v>2100</v>
      </c>
      <c r="F966" s="215" t="s">
        <v>1825</v>
      </c>
      <c r="G966" s="215" t="s">
        <v>58</v>
      </c>
      <c r="H966" s="216" t="s">
        <v>2783</v>
      </c>
      <c r="I966" s="217"/>
      <c r="J966" s="217"/>
      <c r="K966" s="217"/>
      <c r="L966" s="217"/>
      <c r="M966" s="217"/>
      <c r="N966" s="217"/>
      <c r="O966" s="217"/>
      <c r="P966" s="217"/>
      <c r="Q966" s="218"/>
    </row>
    <row r="967" spans="1:17" s="339" customFormat="1" hidden="1" x14ac:dyDescent="0.25">
      <c r="A967" s="337"/>
      <c r="B967" s="338"/>
      <c r="C967" s="340"/>
      <c r="D967" s="340"/>
      <c r="E967" s="340"/>
      <c r="F967" s="340"/>
      <c r="G967" s="333"/>
      <c r="H967" s="335"/>
      <c r="I967" s="226"/>
      <c r="J967" s="226"/>
      <c r="K967" s="226"/>
      <c r="L967" s="226"/>
      <c r="M967" s="226"/>
      <c r="N967" s="226"/>
      <c r="O967" s="226"/>
      <c r="P967" s="226"/>
    </row>
    <row r="968" spans="1:17" s="339" customFormat="1" ht="30" hidden="1" x14ac:dyDescent="0.25">
      <c r="A968" s="337">
        <v>6</v>
      </c>
      <c r="B968" s="338">
        <v>6</v>
      </c>
      <c r="C968" s="333" t="s">
        <v>2022</v>
      </c>
      <c r="D968" s="333"/>
      <c r="E968" s="333"/>
      <c r="F968" s="333"/>
      <c r="G968" s="333"/>
      <c r="H968" s="335" t="s">
        <v>2784</v>
      </c>
      <c r="I968" s="230">
        <f>SUM(I969+I1006+I1507+I1576+I1717)</f>
        <v>0</v>
      </c>
      <c r="J968" s="230">
        <f t="shared" ref="J968:P968" si="151">SUM(J969+J1006+J1507+J1576+J1717)</f>
        <v>0</v>
      </c>
      <c r="K968" s="230">
        <f t="shared" si="151"/>
        <v>0</v>
      </c>
      <c r="L968" s="230">
        <f t="shared" si="151"/>
        <v>0</v>
      </c>
      <c r="M968" s="230">
        <f t="shared" si="151"/>
        <v>0</v>
      </c>
      <c r="N968" s="230">
        <f t="shared" si="151"/>
        <v>0</v>
      </c>
      <c r="O968" s="230">
        <f t="shared" si="151"/>
        <v>0</v>
      </c>
      <c r="P968" s="230">
        <f t="shared" si="151"/>
        <v>0</v>
      </c>
    </row>
    <row r="969" spans="1:17" s="213" customFormat="1" hidden="1" x14ac:dyDescent="0.25">
      <c r="A969" s="208" t="s">
        <v>1827</v>
      </c>
      <c r="B969" s="234">
        <v>1</v>
      </c>
      <c r="C969" s="234">
        <v>3</v>
      </c>
      <c r="D969" s="235" t="s">
        <v>2022</v>
      </c>
      <c r="E969" s="235" t="s">
        <v>1825</v>
      </c>
      <c r="F969" s="234"/>
      <c r="G969" s="234"/>
      <c r="H969" s="236" t="s">
        <v>2785</v>
      </c>
      <c r="I969" s="230">
        <f>I970</f>
        <v>0</v>
      </c>
      <c r="J969" s="230">
        <f t="shared" ref="J969:P969" si="152">J970</f>
        <v>0</v>
      </c>
      <c r="K969" s="230">
        <f t="shared" si="152"/>
        <v>0</v>
      </c>
      <c r="L969" s="230">
        <f t="shared" si="152"/>
        <v>0</v>
      </c>
      <c r="M969" s="230">
        <f t="shared" si="152"/>
        <v>0</v>
      </c>
      <c r="N969" s="230">
        <f t="shared" si="152"/>
        <v>0</v>
      </c>
      <c r="O969" s="230">
        <f t="shared" si="152"/>
        <v>0</v>
      </c>
      <c r="P969" s="230">
        <f t="shared" si="152"/>
        <v>0</v>
      </c>
      <c r="Q969" s="201"/>
    </row>
    <row r="970" spans="1:17" s="213" customFormat="1" hidden="1" x14ac:dyDescent="0.25">
      <c r="A970" s="208" t="s">
        <v>263</v>
      </c>
      <c r="B970" s="234">
        <v>1</v>
      </c>
      <c r="C970" s="234">
        <v>3</v>
      </c>
      <c r="D970" s="235" t="s">
        <v>2022</v>
      </c>
      <c r="E970" s="235" t="s">
        <v>1825</v>
      </c>
      <c r="F970" s="235" t="s">
        <v>1825</v>
      </c>
      <c r="G970" s="234"/>
      <c r="H970" s="236" t="s">
        <v>2785</v>
      </c>
      <c r="I970" s="230">
        <f>SUM(I971:I1005)</f>
        <v>0</v>
      </c>
      <c r="J970" s="230">
        <f t="shared" ref="J970:P970" si="153">SUM(J971:J1005)</f>
        <v>0</v>
      </c>
      <c r="K970" s="230">
        <f t="shared" si="153"/>
        <v>0</v>
      </c>
      <c r="L970" s="230">
        <f t="shared" si="153"/>
        <v>0</v>
      </c>
      <c r="M970" s="230">
        <f t="shared" si="153"/>
        <v>0</v>
      </c>
      <c r="N970" s="230">
        <f t="shared" si="153"/>
        <v>0</v>
      </c>
      <c r="O970" s="230">
        <f t="shared" si="153"/>
        <v>0</v>
      </c>
      <c r="P970" s="230">
        <f t="shared" si="153"/>
        <v>0</v>
      </c>
      <c r="Q970" s="201"/>
    </row>
    <row r="971" spans="1:17" s="219" customFormat="1" ht="45" hidden="1" x14ac:dyDescent="0.25">
      <c r="A971" s="214"/>
      <c r="B971" s="237">
        <v>1</v>
      </c>
      <c r="C971" s="237">
        <v>3</v>
      </c>
      <c r="D971" s="238" t="s">
        <v>2022</v>
      </c>
      <c r="E971" s="238" t="s">
        <v>1825</v>
      </c>
      <c r="F971" s="238" t="s">
        <v>1825</v>
      </c>
      <c r="G971" s="238" t="s">
        <v>58</v>
      </c>
      <c r="H971" s="239" t="s">
        <v>2786</v>
      </c>
      <c r="I971" s="217"/>
      <c r="J971" s="217"/>
      <c r="K971" s="217"/>
      <c r="L971" s="217"/>
      <c r="M971" s="217"/>
      <c r="N971" s="217"/>
      <c r="O971" s="217"/>
      <c r="P971" s="217"/>
    </row>
    <row r="972" spans="1:17" s="219" customFormat="1" ht="45" hidden="1" x14ac:dyDescent="0.25">
      <c r="A972" s="214"/>
      <c r="B972" s="237">
        <v>1</v>
      </c>
      <c r="C972" s="237">
        <v>3</v>
      </c>
      <c r="D972" s="238" t="s">
        <v>2022</v>
      </c>
      <c r="E972" s="238" t="s">
        <v>1825</v>
      </c>
      <c r="F972" s="238" t="s">
        <v>1825</v>
      </c>
      <c r="G972" s="238" t="s">
        <v>75</v>
      </c>
      <c r="H972" s="239" t="s">
        <v>2787</v>
      </c>
      <c r="I972" s="217"/>
      <c r="J972" s="217"/>
      <c r="K972" s="217"/>
      <c r="L972" s="217"/>
      <c r="M972" s="217"/>
      <c r="N972" s="217"/>
      <c r="O972" s="217"/>
      <c r="P972" s="217"/>
    </row>
    <row r="973" spans="1:17" s="219" customFormat="1" ht="45" hidden="1" x14ac:dyDescent="0.25">
      <c r="A973" s="214"/>
      <c r="B973" s="237">
        <v>1</v>
      </c>
      <c r="C973" s="237">
        <v>3</v>
      </c>
      <c r="D973" s="238" t="s">
        <v>2022</v>
      </c>
      <c r="E973" s="238" t="s">
        <v>1825</v>
      </c>
      <c r="F973" s="238" t="s">
        <v>1825</v>
      </c>
      <c r="G973" s="238" t="s">
        <v>79</v>
      </c>
      <c r="H973" s="239" t="s">
        <v>2788</v>
      </c>
      <c r="I973" s="217"/>
      <c r="J973" s="217"/>
      <c r="K973" s="217"/>
      <c r="L973" s="217"/>
      <c r="M973" s="217"/>
      <c r="N973" s="217"/>
      <c r="O973" s="217"/>
      <c r="P973" s="217"/>
    </row>
    <row r="974" spans="1:17" s="219" customFormat="1" ht="45" hidden="1" x14ac:dyDescent="0.25">
      <c r="A974" s="214"/>
      <c r="B974" s="237">
        <v>1</v>
      </c>
      <c r="C974" s="237">
        <v>3</v>
      </c>
      <c r="D974" s="238" t="s">
        <v>2022</v>
      </c>
      <c r="E974" s="238" t="s">
        <v>1825</v>
      </c>
      <c r="F974" s="238" t="s">
        <v>1825</v>
      </c>
      <c r="G974" s="238" t="s">
        <v>84</v>
      </c>
      <c r="H974" s="239" t="s">
        <v>2789</v>
      </c>
      <c r="I974" s="217"/>
      <c r="J974" s="217"/>
      <c r="K974" s="217"/>
      <c r="L974" s="217"/>
      <c r="M974" s="217"/>
      <c r="N974" s="217"/>
      <c r="O974" s="217"/>
      <c r="P974" s="217"/>
    </row>
    <row r="975" spans="1:17" s="219" customFormat="1" ht="45" hidden="1" x14ac:dyDescent="0.25">
      <c r="A975" s="214"/>
      <c r="B975" s="237">
        <v>1</v>
      </c>
      <c r="C975" s="237">
        <v>3</v>
      </c>
      <c r="D975" s="238" t="s">
        <v>2022</v>
      </c>
      <c r="E975" s="238" t="s">
        <v>1825</v>
      </c>
      <c r="F975" s="238" t="s">
        <v>1825</v>
      </c>
      <c r="G975" s="238" t="s">
        <v>88</v>
      </c>
      <c r="H975" s="239" t="s">
        <v>2790</v>
      </c>
      <c r="I975" s="217"/>
      <c r="J975" s="217"/>
      <c r="K975" s="217"/>
      <c r="L975" s="217"/>
      <c r="M975" s="217"/>
      <c r="N975" s="217"/>
      <c r="O975" s="217"/>
      <c r="P975" s="217"/>
    </row>
    <row r="976" spans="1:17" s="219" customFormat="1" ht="45" hidden="1" x14ac:dyDescent="0.25">
      <c r="A976" s="214"/>
      <c r="B976" s="237">
        <v>1</v>
      </c>
      <c r="C976" s="237">
        <v>3</v>
      </c>
      <c r="D976" s="238" t="s">
        <v>2022</v>
      </c>
      <c r="E976" s="238" t="s">
        <v>1825</v>
      </c>
      <c r="F976" s="238" t="s">
        <v>1825</v>
      </c>
      <c r="G976" s="238" t="s">
        <v>92</v>
      </c>
      <c r="H976" s="239" t="s">
        <v>2791</v>
      </c>
      <c r="I976" s="217"/>
      <c r="J976" s="217"/>
      <c r="K976" s="217"/>
      <c r="L976" s="217"/>
      <c r="M976" s="217"/>
      <c r="N976" s="217"/>
      <c r="O976" s="217"/>
      <c r="P976" s="217"/>
    </row>
    <row r="977" spans="1:16" s="219" customFormat="1" ht="30" hidden="1" x14ac:dyDescent="0.25">
      <c r="A977" s="214"/>
      <c r="B977" s="237">
        <v>1</v>
      </c>
      <c r="C977" s="237">
        <v>3</v>
      </c>
      <c r="D977" s="238" t="s">
        <v>2022</v>
      </c>
      <c r="E977" s="238" t="s">
        <v>1825</v>
      </c>
      <c r="F977" s="238" t="s">
        <v>1825</v>
      </c>
      <c r="G977" s="238" t="s">
        <v>96</v>
      </c>
      <c r="H977" s="239" t="s">
        <v>2792</v>
      </c>
      <c r="I977" s="217"/>
      <c r="J977" s="217"/>
      <c r="K977" s="217"/>
      <c r="L977" s="217"/>
      <c r="M977" s="217"/>
      <c r="N977" s="217"/>
      <c r="O977" s="217"/>
      <c r="P977" s="217"/>
    </row>
    <row r="978" spans="1:16" s="219" customFormat="1" ht="30" hidden="1" x14ac:dyDescent="0.25">
      <c r="A978" s="214"/>
      <c r="B978" s="237">
        <v>1</v>
      </c>
      <c r="C978" s="237">
        <v>3</v>
      </c>
      <c r="D978" s="238" t="s">
        <v>2022</v>
      </c>
      <c r="E978" s="238" t="s">
        <v>1825</v>
      </c>
      <c r="F978" s="238" t="s">
        <v>1825</v>
      </c>
      <c r="G978" s="238" t="s">
        <v>100</v>
      </c>
      <c r="H978" s="239" t="s">
        <v>2793</v>
      </c>
      <c r="I978" s="217"/>
      <c r="J978" s="217"/>
      <c r="K978" s="217"/>
      <c r="L978" s="217"/>
      <c r="M978" s="217"/>
      <c r="N978" s="217"/>
      <c r="O978" s="217"/>
      <c r="P978" s="217"/>
    </row>
    <row r="979" spans="1:16" s="219" customFormat="1" ht="30" hidden="1" x14ac:dyDescent="0.25">
      <c r="A979" s="214"/>
      <c r="B979" s="237">
        <v>1</v>
      </c>
      <c r="C979" s="237">
        <v>3</v>
      </c>
      <c r="D979" s="238" t="s">
        <v>2022</v>
      </c>
      <c r="E979" s="238" t="s">
        <v>1825</v>
      </c>
      <c r="F979" s="238" t="s">
        <v>1825</v>
      </c>
      <c r="G979" s="238" t="s">
        <v>105</v>
      </c>
      <c r="H979" s="239" t="s">
        <v>2794</v>
      </c>
      <c r="I979" s="217"/>
      <c r="J979" s="217"/>
      <c r="K979" s="217"/>
      <c r="L979" s="217"/>
      <c r="M979" s="217"/>
      <c r="N979" s="217"/>
      <c r="O979" s="217"/>
      <c r="P979" s="217"/>
    </row>
    <row r="980" spans="1:16" s="219" customFormat="1" ht="30" hidden="1" x14ac:dyDescent="0.25">
      <c r="A980" s="214"/>
      <c r="B980" s="237">
        <v>1</v>
      </c>
      <c r="C980" s="237">
        <v>3</v>
      </c>
      <c r="D980" s="238" t="s">
        <v>2022</v>
      </c>
      <c r="E980" s="238" t="s">
        <v>1825</v>
      </c>
      <c r="F980" s="238" t="s">
        <v>1825</v>
      </c>
      <c r="G980" s="238" t="s">
        <v>108</v>
      </c>
      <c r="H980" s="239" t="s">
        <v>2795</v>
      </c>
      <c r="I980" s="217"/>
      <c r="J980" s="217"/>
      <c r="K980" s="217"/>
      <c r="L980" s="217"/>
      <c r="M980" s="217"/>
      <c r="N980" s="217"/>
      <c r="O980" s="217"/>
      <c r="P980" s="217"/>
    </row>
    <row r="981" spans="1:16" s="219" customFormat="1" ht="30" hidden="1" x14ac:dyDescent="0.25">
      <c r="A981" s="214"/>
      <c r="B981" s="237">
        <v>1</v>
      </c>
      <c r="C981" s="237">
        <v>3</v>
      </c>
      <c r="D981" s="238" t="s">
        <v>2022</v>
      </c>
      <c r="E981" s="238" t="s">
        <v>1825</v>
      </c>
      <c r="F981" s="238" t="s">
        <v>1825</v>
      </c>
      <c r="G981" s="238" t="s">
        <v>135</v>
      </c>
      <c r="H981" s="239" t="s">
        <v>2796</v>
      </c>
      <c r="I981" s="217"/>
      <c r="J981" s="217"/>
      <c r="K981" s="217"/>
      <c r="L981" s="217"/>
      <c r="M981" s="217"/>
      <c r="N981" s="217"/>
      <c r="O981" s="217"/>
      <c r="P981" s="217"/>
    </row>
    <row r="982" spans="1:16" s="219" customFormat="1" ht="30" hidden="1" x14ac:dyDescent="0.25">
      <c r="A982" s="214"/>
      <c r="B982" s="237">
        <v>1</v>
      </c>
      <c r="C982" s="237">
        <v>3</v>
      </c>
      <c r="D982" s="238" t="s">
        <v>2022</v>
      </c>
      <c r="E982" s="238" t="s">
        <v>1825</v>
      </c>
      <c r="F982" s="238" t="s">
        <v>1825</v>
      </c>
      <c r="G982" s="238" t="s">
        <v>138</v>
      </c>
      <c r="H982" s="239" t="s">
        <v>2797</v>
      </c>
      <c r="I982" s="217"/>
      <c r="J982" s="217"/>
      <c r="K982" s="217"/>
      <c r="L982" s="217"/>
      <c r="M982" s="217"/>
      <c r="N982" s="217"/>
      <c r="O982" s="217"/>
      <c r="P982" s="217"/>
    </row>
    <row r="983" spans="1:16" s="219" customFormat="1" ht="45" hidden="1" x14ac:dyDescent="0.25">
      <c r="A983" s="214"/>
      <c r="B983" s="237">
        <v>1</v>
      </c>
      <c r="C983" s="237">
        <v>3</v>
      </c>
      <c r="D983" s="238" t="s">
        <v>2022</v>
      </c>
      <c r="E983" s="238" t="s">
        <v>1825</v>
      </c>
      <c r="F983" s="238" t="s">
        <v>1825</v>
      </c>
      <c r="G983" s="238" t="s">
        <v>140</v>
      </c>
      <c r="H983" s="239" t="s">
        <v>2798</v>
      </c>
      <c r="I983" s="217"/>
      <c r="J983" s="217"/>
      <c r="K983" s="217"/>
      <c r="L983" s="217"/>
      <c r="M983" s="217"/>
      <c r="N983" s="217"/>
      <c r="O983" s="217"/>
      <c r="P983" s="217"/>
    </row>
    <row r="984" spans="1:16" s="219" customFormat="1" ht="30" hidden="1" x14ac:dyDescent="0.25">
      <c r="A984" s="214"/>
      <c r="B984" s="237">
        <v>1</v>
      </c>
      <c r="C984" s="237">
        <v>3</v>
      </c>
      <c r="D984" s="238" t="s">
        <v>2022</v>
      </c>
      <c r="E984" s="238" t="s">
        <v>1825</v>
      </c>
      <c r="F984" s="238" t="s">
        <v>1825</v>
      </c>
      <c r="G984" s="238" t="s">
        <v>143</v>
      </c>
      <c r="H984" s="239" t="s">
        <v>2799</v>
      </c>
      <c r="I984" s="217"/>
      <c r="J984" s="217"/>
      <c r="K984" s="217"/>
      <c r="L984" s="217"/>
      <c r="M984" s="217"/>
      <c r="N984" s="217"/>
      <c r="O984" s="217"/>
      <c r="P984" s="217"/>
    </row>
    <row r="985" spans="1:16" s="219" customFormat="1" ht="30" hidden="1" x14ac:dyDescent="0.25">
      <c r="A985" s="214"/>
      <c r="B985" s="237">
        <v>1</v>
      </c>
      <c r="C985" s="237">
        <v>3</v>
      </c>
      <c r="D985" s="238" t="s">
        <v>2022</v>
      </c>
      <c r="E985" s="238" t="s">
        <v>1825</v>
      </c>
      <c r="F985" s="238" t="s">
        <v>1825</v>
      </c>
      <c r="G985" s="238" t="s">
        <v>146</v>
      </c>
      <c r="H985" s="239" t="s">
        <v>2800</v>
      </c>
      <c r="I985" s="217"/>
      <c r="J985" s="217"/>
      <c r="K985" s="217"/>
      <c r="L985" s="217"/>
      <c r="M985" s="217"/>
      <c r="N985" s="217"/>
      <c r="O985" s="217"/>
      <c r="P985" s="217"/>
    </row>
    <row r="986" spans="1:16" s="219" customFormat="1" ht="30" hidden="1" x14ac:dyDescent="0.25">
      <c r="A986" s="214"/>
      <c r="B986" s="237">
        <v>1</v>
      </c>
      <c r="C986" s="237">
        <v>3</v>
      </c>
      <c r="D986" s="238" t="s">
        <v>2022</v>
      </c>
      <c r="E986" s="238" t="s">
        <v>1825</v>
      </c>
      <c r="F986" s="238" t="s">
        <v>1825</v>
      </c>
      <c r="G986" s="238" t="s">
        <v>150</v>
      </c>
      <c r="H986" s="239" t="s">
        <v>2801</v>
      </c>
      <c r="I986" s="217"/>
      <c r="J986" s="217"/>
      <c r="K986" s="217"/>
      <c r="L986" s="217"/>
      <c r="M986" s="217"/>
      <c r="N986" s="217"/>
      <c r="O986" s="217"/>
      <c r="P986" s="217"/>
    </row>
    <row r="987" spans="1:16" s="219" customFormat="1" ht="30" hidden="1" x14ac:dyDescent="0.25">
      <c r="A987" s="214"/>
      <c r="B987" s="237">
        <v>1</v>
      </c>
      <c r="C987" s="237">
        <v>3</v>
      </c>
      <c r="D987" s="238" t="s">
        <v>2022</v>
      </c>
      <c r="E987" s="238" t="s">
        <v>1825</v>
      </c>
      <c r="F987" s="238" t="s">
        <v>1825</v>
      </c>
      <c r="G987" s="238" t="s">
        <v>153</v>
      </c>
      <c r="H987" s="239" t="s">
        <v>2802</v>
      </c>
      <c r="I987" s="217"/>
      <c r="J987" s="217"/>
      <c r="K987" s="217"/>
      <c r="L987" s="217"/>
      <c r="M987" s="217"/>
      <c r="N987" s="217"/>
      <c r="O987" s="217"/>
      <c r="P987" s="217"/>
    </row>
    <row r="988" spans="1:16" s="219" customFormat="1" ht="30" hidden="1" x14ac:dyDescent="0.25">
      <c r="A988" s="214"/>
      <c r="B988" s="237">
        <v>1</v>
      </c>
      <c r="C988" s="237">
        <v>3</v>
      </c>
      <c r="D988" s="238" t="s">
        <v>2022</v>
      </c>
      <c r="E988" s="238" t="s">
        <v>1825</v>
      </c>
      <c r="F988" s="238" t="s">
        <v>1825</v>
      </c>
      <c r="G988" s="238" t="s">
        <v>156</v>
      </c>
      <c r="H988" s="239" t="s">
        <v>2803</v>
      </c>
      <c r="I988" s="217"/>
      <c r="J988" s="217"/>
      <c r="K988" s="217"/>
      <c r="L988" s="217"/>
      <c r="M988" s="217"/>
      <c r="N988" s="217"/>
      <c r="O988" s="217"/>
      <c r="P988" s="217"/>
    </row>
    <row r="989" spans="1:16" s="219" customFormat="1" ht="45" hidden="1" x14ac:dyDescent="0.25">
      <c r="A989" s="214"/>
      <c r="B989" s="237">
        <v>1</v>
      </c>
      <c r="C989" s="237">
        <v>3</v>
      </c>
      <c r="D989" s="238" t="s">
        <v>2022</v>
      </c>
      <c r="E989" s="238" t="s">
        <v>1825</v>
      </c>
      <c r="F989" s="238" t="s">
        <v>1825</v>
      </c>
      <c r="G989" s="238" t="s">
        <v>159</v>
      </c>
      <c r="H989" s="239" t="s">
        <v>2804</v>
      </c>
      <c r="I989" s="217"/>
      <c r="J989" s="217"/>
      <c r="K989" s="217"/>
      <c r="L989" s="217"/>
      <c r="M989" s="217"/>
      <c r="N989" s="217"/>
      <c r="O989" s="217"/>
      <c r="P989" s="217"/>
    </row>
    <row r="990" spans="1:16" s="219" customFormat="1" ht="45" hidden="1" x14ac:dyDescent="0.25">
      <c r="A990" s="214"/>
      <c r="B990" s="237">
        <v>1</v>
      </c>
      <c r="C990" s="237">
        <v>3</v>
      </c>
      <c r="D990" s="238" t="s">
        <v>2022</v>
      </c>
      <c r="E990" s="238" t="s">
        <v>1825</v>
      </c>
      <c r="F990" s="238" t="s">
        <v>1825</v>
      </c>
      <c r="G990" s="238" t="s">
        <v>162</v>
      </c>
      <c r="H990" s="239" t="s">
        <v>2805</v>
      </c>
      <c r="I990" s="217"/>
      <c r="J990" s="217"/>
      <c r="K990" s="217"/>
      <c r="L990" s="217"/>
      <c r="M990" s="217"/>
      <c r="N990" s="217"/>
      <c r="O990" s="217"/>
      <c r="P990" s="217"/>
    </row>
    <row r="991" spans="1:16" s="219" customFormat="1" ht="45" hidden="1" x14ac:dyDescent="0.25">
      <c r="A991" s="214"/>
      <c r="B991" s="237">
        <v>1</v>
      </c>
      <c r="C991" s="237">
        <v>3</v>
      </c>
      <c r="D991" s="238" t="s">
        <v>2022</v>
      </c>
      <c r="E991" s="238" t="s">
        <v>1825</v>
      </c>
      <c r="F991" s="238" t="s">
        <v>1825</v>
      </c>
      <c r="G991" s="238" t="s">
        <v>312</v>
      </c>
      <c r="H991" s="239" t="s">
        <v>2806</v>
      </c>
      <c r="I991" s="217"/>
      <c r="J991" s="217"/>
      <c r="K991" s="217"/>
      <c r="L991" s="217"/>
      <c r="M991" s="217"/>
      <c r="N991" s="217"/>
      <c r="O991" s="217"/>
      <c r="P991" s="217"/>
    </row>
    <row r="992" spans="1:16" s="219" customFormat="1" ht="30" hidden="1" x14ac:dyDescent="0.25">
      <c r="A992" s="214"/>
      <c r="B992" s="237">
        <v>1</v>
      </c>
      <c r="C992" s="237">
        <v>3</v>
      </c>
      <c r="D992" s="238" t="s">
        <v>2022</v>
      </c>
      <c r="E992" s="238" t="s">
        <v>1825</v>
      </c>
      <c r="F992" s="238" t="s">
        <v>1825</v>
      </c>
      <c r="G992" s="238" t="s">
        <v>313</v>
      </c>
      <c r="H992" s="239" t="s">
        <v>2807</v>
      </c>
      <c r="I992" s="217"/>
      <c r="J992" s="217"/>
      <c r="K992" s="217"/>
      <c r="L992" s="217"/>
      <c r="M992" s="217"/>
      <c r="N992" s="217"/>
      <c r="O992" s="217"/>
      <c r="P992" s="217"/>
    </row>
    <row r="993" spans="1:16" s="219" customFormat="1" ht="30" hidden="1" x14ac:dyDescent="0.25">
      <c r="A993" s="214"/>
      <c r="B993" s="237">
        <v>1</v>
      </c>
      <c r="C993" s="237">
        <v>3</v>
      </c>
      <c r="D993" s="238" t="s">
        <v>2022</v>
      </c>
      <c r="E993" s="238" t="s">
        <v>1825</v>
      </c>
      <c r="F993" s="238" t="s">
        <v>1825</v>
      </c>
      <c r="G993" s="238" t="s">
        <v>559</v>
      </c>
      <c r="H993" s="239" t="s">
        <v>2808</v>
      </c>
      <c r="I993" s="217"/>
      <c r="J993" s="217"/>
      <c r="K993" s="217"/>
      <c r="L993" s="217"/>
      <c r="M993" s="217"/>
      <c r="N993" s="217"/>
      <c r="O993" s="217"/>
      <c r="P993" s="217"/>
    </row>
    <row r="994" spans="1:16" s="219" customFormat="1" ht="30" hidden="1" x14ac:dyDescent="0.25">
      <c r="A994" s="214"/>
      <c r="B994" s="237">
        <v>1</v>
      </c>
      <c r="C994" s="237">
        <v>3</v>
      </c>
      <c r="D994" s="238" t="s">
        <v>2022</v>
      </c>
      <c r="E994" s="238" t="s">
        <v>1825</v>
      </c>
      <c r="F994" s="238" t="s">
        <v>1825</v>
      </c>
      <c r="G994" s="238" t="s">
        <v>561</v>
      </c>
      <c r="H994" s="239" t="s">
        <v>2809</v>
      </c>
      <c r="I994" s="217"/>
      <c r="J994" s="217"/>
      <c r="K994" s="217"/>
      <c r="L994" s="217"/>
      <c r="M994" s="217"/>
      <c r="N994" s="217"/>
      <c r="O994" s="217"/>
      <c r="P994" s="217"/>
    </row>
    <row r="995" spans="1:16" s="219" customFormat="1" ht="45" hidden="1" x14ac:dyDescent="0.25">
      <c r="A995" s="214"/>
      <c r="B995" s="237">
        <v>1</v>
      </c>
      <c r="C995" s="237">
        <v>3</v>
      </c>
      <c r="D995" s="238" t="s">
        <v>2022</v>
      </c>
      <c r="E995" s="238" t="s">
        <v>1825</v>
      </c>
      <c r="F995" s="238" t="s">
        <v>1825</v>
      </c>
      <c r="G995" s="238" t="s">
        <v>563</v>
      </c>
      <c r="H995" s="239" t="s">
        <v>2810</v>
      </c>
      <c r="I995" s="217"/>
      <c r="J995" s="217"/>
      <c r="K995" s="217"/>
      <c r="L995" s="217"/>
      <c r="M995" s="217"/>
      <c r="N995" s="217"/>
      <c r="O995" s="217"/>
      <c r="P995" s="217"/>
    </row>
    <row r="996" spans="1:16" s="219" customFormat="1" ht="45" hidden="1" x14ac:dyDescent="0.25">
      <c r="A996" s="214"/>
      <c r="B996" s="237">
        <v>1</v>
      </c>
      <c r="C996" s="237">
        <v>3</v>
      </c>
      <c r="D996" s="238" t="s">
        <v>2022</v>
      </c>
      <c r="E996" s="238" t="s">
        <v>1825</v>
      </c>
      <c r="F996" s="238" t="s">
        <v>1825</v>
      </c>
      <c r="G996" s="238" t="s">
        <v>227</v>
      </c>
      <c r="H996" s="239" t="s">
        <v>2811</v>
      </c>
      <c r="I996" s="217"/>
      <c r="J996" s="217"/>
      <c r="K996" s="217"/>
      <c r="L996" s="217"/>
      <c r="M996" s="217"/>
      <c r="N996" s="217"/>
      <c r="O996" s="217"/>
      <c r="P996" s="217"/>
    </row>
    <row r="997" spans="1:16" s="219" customFormat="1" ht="45" hidden="1" x14ac:dyDescent="0.25">
      <c r="A997" s="214"/>
      <c r="B997" s="237">
        <v>1</v>
      </c>
      <c r="C997" s="237">
        <v>3</v>
      </c>
      <c r="D997" s="238" t="s">
        <v>2022</v>
      </c>
      <c r="E997" s="238" t="s">
        <v>1825</v>
      </c>
      <c r="F997" s="238" t="s">
        <v>1825</v>
      </c>
      <c r="G997" s="238" t="s">
        <v>230</v>
      </c>
      <c r="H997" s="239" t="s">
        <v>2812</v>
      </c>
      <c r="I997" s="217"/>
      <c r="J997" s="217"/>
      <c r="K997" s="217"/>
      <c r="L997" s="217"/>
      <c r="M997" s="217"/>
      <c r="N997" s="217"/>
      <c r="O997" s="217"/>
      <c r="P997" s="217"/>
    </row>
    <row r="998" spans="1:16" s="219" customFormat="1" ht="30" hidden="1" x14ac:dyDescent="0.25">
      <c r="A998" s="214"/>
      <c r="B998" s="237">
        <v>1</v>
      </c>
      <c r="C998" s="237">
        <v>3</v>
      </c>
      <c r="D998" s="238" t="s">
        <v>2022</v>
      </c>
      <c r="E998" s="238" t="s">
        <v>1825</v>
      </c>
      <c r="F998" s="238" t="s">
        <v>1825</v>
      </c>
      <c r="G998" s="238" t="s">
        <v>232</v>
      </c>
      <c r="H998" s="239" t="s">
        <v>2813</v>
      </c>
      <c r="I998" s="217"/>
      <c r="J998" s="217"/>
      <c r="K998" s="217"/>
      <c r="L998" s="217"/>
      <c r="M998" s="217"/>
      <c r="N998" s="217"/>
      <c r="O998" s="217"/>
      <c r="P998" s="217"/>
    </row>
    <row r="999" spans="1:16" s="219" customFormat="1" ht="30" hidden="1" x14ac:dyDescent="0.25">
      <c r="A999" s="214"/>
      <c r="B999" s="237">
        <v>1</v>
      </c>
      <c r="C999" s="237">
        <v>3</v>
      </c>
      <c r="D999" s="238" t="s">
        <v>2022</v>
      </c>
      <c r="E999" s="238" t="s">
        <v>1825</v>
      </c>
      <c r="F999" s="238" t="s">
        <v>1825</v>
      </c>
      <c r="G999" s="238" t="s">
        <v>234</v>
      </c>
      <c r="H999" s="239" t="s">
        <v>2814</v>
      </c>
      <c r="I999" s="217"/>
      <c r="J999" s="217"/>
      <c r="K999" s="217"/>
      <c r="L999" s="217"/>
      <c r="M999" s="217"/>
      <c r="N999" s="217"/>
      <c r="O999" s="217"/>
      <c r="P999" s="217"/>
    </row>
    <row r="1000" spans="1:16" s="219" customFormat="1" ht="30" hidden="1" x14ac:dyDescent="0.25">
      <c r="A1000" s="214"/>
      <c r="B1000" s="237">
        <v>1</v>
      </c>
      <c r="C1000" s="237">
        <v>3</v>
      </c>
      <c r="D1000" s="238" t="s">
        <v>2022</v>
      </c>
      <c r="E1000" s="238" t="s">
        <v>1825</v>
      </c>
      <c r="F1000" s="238" t="s">
        <v>1825</v>
      </c>
      <c r="G1000" s="238" t="s">
        <v>236</v>
      </c>
      <c r="H1000" s="239" t="s">
        <v>2815</v>
      </c>
      <c r="I1000" s="217"/>
      <c r="J1000" s="217"/>
      <c r="K1000" s="217"/>
      <c r="L1000" s="217"/>
      <c r="M1000" s="217"/>
      <c r="N1000" s="217"/>
      <c r="O1000" s="217"/>
      <c r="P1000" s="217"/>
    </row>
    <row r="1001" spans="1:16" s="219" customFormat="1" ht="30" hidden="1" x14ac:dyDescent="0.25">
      <c r="A1001" s="214"/>
      <c r="B1001" s="237">
        <v>1</v>
      </c>
      <c r="C1001" s="237">
        <v>3</v>
      </c>
      <c r="D1001" s="238" t="s">
        <v>2022</v>
      </c>
      <c r="E1001" s="238" t="s">
        <v>1825</v>
      </c>
      <c r="F1001" s="238" t="s">
        <v>1825</v>
      </c>
      <c r="G1001" s="238" t="s">
        <v>238</v>
      </c>
      <c r="H1001" s="239" t="s">
        <v>2816</v>
      </c>
      <c r="I1001" s="217"/>
      <c r="J1001" s="217"/>
      <c r="K1001" s="217"/>
      <c r="L1001" s="217"/>
      <c r="M1001" s="217"/>
      <c r="N1001" s="217"/>
      <c r="O1001" s="217"/>
      <c r="P1001" s="217"/>
    </row>
    <row r="1002" spans="1:16" s="219" customFormat="1" ht="30" hidden="1" x14ac:dyDescent="0.25">
      <c r="A1002" s="214"/>
      <c r="B1002" s="237">
        <v>1</v>
      </c>
      <c r="C1002" s="237">
        <v>3</v>
      </c>
      <c r="D1002" s="238" t="s">
        <v>2022</v>
      </c>
      <c r="E1002" s="238" t="s">
        <v>1825</v>
      </c>
      <c r="F1002" s="238" t="s">
        <v>1825</v>
      </c>
      <c r="G1002" s="238" t="s">
        <v>240</v>
      </c>
      <c r="H1002" s="239" t="s">
        <v>2817</v>
      </c>
      <c r="I1002" s="217"/>
      <c r="J1002" s="217"/>
      <c r="K1002" s="217"/>
      <c r="L1002" s="217"/>
      <c r="M1002" s="217"/>
      <c r="N1002" s="217"/>
      <c r="O1002" s="217"/>
      <c r="P1002" s="217"/>
    </row>
    <row r="1003" spans="1:16" s="219" customFormat="1" ht="30" hidden="1" x14ac:dyDescent="0.25">
      <c r="A1003" s="214"/>
      <c r="B1003" s="237">
        <v>1</v>
      </c>
      <c r="C1003" s="237">
        <v>3</v>
      </c>
      <c r="D1003" s="238" t="s">
        <v>2022</v>
      </c>
      <c r="E1003" s="238" t="s">
        <v>1825</v>
      </c>
      <c r="F1003" s="238" t="s">
        <v>1825</v>
      </c>
      <c r="G1003" s="238" t="s">
        <v>242</v>
      </c>
      <c r="H1003" s="239" t="s">
        <v>2818</v>
      </c>
      <c r="I1003" s="217"/>
      <c r="J1003" s="217"/>
      <c r="K1003" s="217"/>
      <c r="L1003" s="217"/>
      <c r="M1003" s="217"/>
      <c r="N1003" s="217"/>
      <c r="O1003" s="217"/>
      <c r="P1003" s="217"/>
    </row>
    <row r="1004" spans="1:16" s="219" customFormat="1" ht="30" hidden="1" x14ac:dyDescent="0.25">
      <c r="A1004" s="214"/>
      <c r="B1004" s="237">
        <v>1</v>
      </c>
      <c r="C1004" s="237">
        <v>3</v>
      </c>
      <c r="D1004" s="238" t="s">
        <v>2022</v>
      </c>
      <c r="E1004" s="238" t="s">
        <v>1825</v>
      </c>
      <c r="F1004" s="238" t="s">
        <v>1825</v>
      </c>
      <c r="G1004" s="238" t="s">
        <v>244</v>
      </c>
      <c r="H1004" s="239" t="s">
        <v>2819</v>
      </c>
      <c r="I1004" s="217"/>
      <c r="J1004" s="217"/>
      <c r="K1004" s="217"/>
      <c r="L1004" s="217"/>
      <c r="M1004" s="217"/>
      <c r="N1004" s="217"/>
      <c r="O1004" s="217"/>
      <c r="P1004" s="217"/>
    </row>
    <row r="1005" spans="1:16" s="219" customFormat="1" ht="30" hidden="1" x14ac:dyDescent="0.25">
      <c r="A1005" s="214"/>
      <c r="B1005" s="237">
        <v>1</v>
      </c>
      <c r="C1005" s="237">
        <v>3</v>
      </c>
      <c r="D1005" s="238" t="s">
        <v>2022</v>
      </c>
      <c r="E1005" s="238" t="s">
        <v>1825</v>
      </c>
      <c r="F1005" s="238" t="s">
        <v>1825</v>
      </c>
      <c r="G1005" s="238" t="s">
        <v>246</v>
      </c>
      <c r="H1005" s="239" t="s">
        <v>2820</v>
      </c>
      <c r="I1005" s="217"/>
      <c r="J1005" s="217"/>
      <c r="K1005" s="217"/>
      <c r="L1005" s="217"/>
      <c r="M1005" s="217"/>
      <c r="N1005" s="217"/>
      <c r="O1005" s="217"/>
      <c r="P1005" s="217"/>
    </row>
    <row r="1006" spans="1:16" s="213" customFormat="1" ht="30" hidden="1" x14ac:dyDescent="0.25">
      <c r="A1006" s="208" t="s">
        <v>1905</v>
      </c>
      <c r="B1006" s="234">
        <v>1</v>
      </c>
      <c r="C1006" s="234">
        <v>3</v>
      </c>
      <c r="D1006" s="235" t="s">
        <v>2022</v>
      </c>
      <c r="E1006" s="235" t="s">
        <v>1836</v>
      </c>
      <c r="F1006" s="234"/>
      <c r="G1006" s="234"/>
      <c r="H1006" s="236" t="s">
        <v>2821</v>
      </c>
      <c r="I1006" s="211">
        <f>SUM(I1007+I1042+I1067+I1112+I1123+I1143+I1216+I1251+I1391+I1400+I1408+I1417+I1428+I1435+I1456+I1460+I1487+I1500)</f>
        <v>0</v>
      </c>
      <c r="J1006" s="211">
        <f t="shared" ref="J1006:P1006" si="154">SUM(J1007+J1042+J1067+J1112+J1123+J1143+J1216+J1251+J1391+J1400+J1408+J1417+J1428+J1435+J1456+J1460+J1487+J1500)</f>
        <v>0</v>
      </c>
      <c r="K1006" s="211">
        <f t="shared" si="154"/>
        <v>0</v>
      </c>
      <c r="L1006" s="211">
        <f t="shared" si="154"/>
        <v>0</v>
      </c>
      <c r="M1006" s="211">
        <f t="shared" si="154"/>
        <v>0</v>
      </c>
      <c r="N1006" s="211">
        <f t="shared" si="154"/>
        <v>0</v>
      </c>
      <c r="O1006" s="211">
        <f t="shared" si="154"/>
        <v>0</v>
      </c>
      <c r="P1006" s="211">
        <f t="shared" si="154"/>
        <v>0</v>
      </c>
    </row>
    <row r="1007" spans="1:16" s="213" customFormat="1" ht="30" hidden="1" x14ac:dyDescent="0.25">
      <c r="A1007" s="208" t="s">
        <v>263</v>
      </c>
      <c r="B1007" s="234">
        <v>1</v>
      </c>
      <c r="C1007" s="234">
        <v>3</v>
      </c>
      <c r="D1007" s="235" t="s">
        <v>2022</v>
      </c>
      <c r="E1007" s="235" t="s">
        <v>1836</v>
      </c>
      <c r="F1007" s="235" t="s">
        <v>1825</v>
      </c>
      <c r="G1007" s="234"/>
      <c r="H1007" s="236" t="s">
        <v>2822</v>
      </c>
      <c r="I1007" s="211">
        <f>SUM(I1008:I1041)</f>
        <v>0</v>
      </c>
      <c r="J1007" s="211">
        <f t="shared" ref="J1007:P1007" si="155">SUM(J1008:J1041)</f>
        <v>0</v>
      </c>
      <c r="K1007" s="211">
        <f t="shared" si="155"/>
        <v>0</v>
      </c>
      <c r="L1007" s="211">
        <f t="shared" si="155"/>
        <v>0</v>
      </c>
      <c r="M1007" s="211">
        <f t="shared" si="155"/>
        <v>0</v>
      </c>
      <c r="N1007" s="211">
        <f t="shared" si="155"/>
        <v>0</v>
      </c>
      <c r="O1007" s="211">
        <f t="shared" si="155"/>
        <v>0</v>
      </c>
      <c r="P1007" s="211">
        <f t="shared" si="155"/>
        <v>0</v>
      </c>
    </row>
    <row r="1008" spans="1:16" s="219" customFormat="1" ht="30" hidden="1" x14ac:dyDescent="0.25">
      <c r="A1008" s="214"/>
      <c r="B1008" s="237">
        <v>1</v>
      </c>
      <c r="C1008" s="237">
        <v>3</v>
      </c>
      <c r="D1008" s="238" t="s">
        <v>2022</v>
      </c>
      <c r="E1008" s="238" t="s">
        <v>1836</v>
      </c>
      <c r="F1008" s="238" t="s">
        <v>1825</v>
      </c>
      <c r="G1008" s="238" t="s">
        <v>58</v>
      </c>
      <c r="H1008" s="239" t="s">
        <v>2823</v>
      </c>
      <c r="I1008" s="217"/>
      <c r="J1008" s="217"/>
      <c r="K1008" s="217"/>
      <c r="L1008" s="217"/>
      <c r="M1008" s="217"/>
      <c r="N1008" s="217"/>
      <c r="O1008" s="217"/>
      <c r="P1008" s="217"/>
    </row>
    <row r="1009" spans="1:16" s="219" customFormat="1" ht="30" hidden="1" x14ac:dyDescent="0.25">
      <c r="A1009" s="214"/>
      <c r="B1009" s="237">
        <v>1</v>
      </c>
      <c r="C1009" s="237">
        <v>3</v>
      </c>
      <c r="D1009" s="238" t="s">
        <v>2022</v>
      </c>
      <c r="E1009" s="238" t="s">
        <v>1836</v>
      </c>
      <c r="F1009" s="238" t="s">
        <v>1825</v>
      </c>
      <c r="G1009" s="238" t="s">
        <v>75</v>
      </c>
      <c r="H1009" s="239" t="s">
        <v>2824</v>
      </c>
      <c r="I1009" s="217"/>
      <c r="J1009" s="217"/>
      <c r="K1009" s="217"/>
      <c r="L1009" s="217"/>
      <c r="M1009" s="217"/>
      <c r="N1009" s="217"/>
      <c r="O1009" s="217"/>
      <c r="P1009" s="217"/>
    </row>
    <row r="1010" spans="1:16" s="219" customFormat="1" ht="30" hidden="1" x14ac:dyDescent="0.25">
      <c r="A1010" s="214"/>
      <c r="B1010" s="237">
        <v>1</v>
      </c>
      <c r="C1010" s="237">
        <v>3</v>
      </c>
      <c r="D1010" s="238" t="s">
        <v>2022</v>
      </c>
      <c r="E1010" s="238" t="s">
        <v>1836</v>
      </c>
      <c r="F1010" s="238" t="s">
        <v>1825</v>
      </c>
      <c r="G1010" s="238" t="s">
        <v>79</v>
      </c>
      <c r="H1010" s="239" t="s">
        <v>2825</v>
      </c>
      <c r="I1010" s="217"/>
      <c r="J1010" s="217"/>
      <c r="K1010" s="217"/>
      <c r="L1010" s="217"/>
      <c r="M1010" s="217"/>
      <c r="N1010" s="217"/>
      <c r="O1010" s="217"/>
      <c r="P1010" s="217"/>
    </row>
    <row r="1011" spans="1:16" s="219" customFormat="1" ht="30" hidden="1" x14ac:dyDescent="0.25">
      <c r="A1011" s="214"/>
      <c r="B1011" s="237">
        <v>1</v>
      </c>
      <c r="C1011" s="237">
        <v>3</v>
      </c>
      <c r="D1011" s="238" t="s">
        <v>2022</v>
      </c>
      <c r="E1011" s="238" t="s">
        <v>1836</v>
      </c>
      <c r="F1011" s="238" t="s">
        <v>1825</v>
      </c>
      <c r="G1011" s="238" t="s">
        <v>84</v>
      </c>
      <c r="H1011" s="239" t="s">
        <v>2826</v>
      </c>
      <c r="I1011" s="217"/>
      <c r="J1011" s="217"/>
      <c r="K1011" s="217"/>
      <c r="L1011" s="217"/>
      <c r="M1011" s="217"/>
      <c r="N1011" s="217"/>
      <c r="O1011" s="217"/>
      <c r="P1011" s="217"/>
    </row>
    <row r="1012" spans="1:16" s="219" customFormat="1" ht="30" hidden="1" x14ac:dyDescent="0.25">
      <c r="A1012" s="214"/>
      <c r="B1012" s="237">
        <v>1</v>
      </c>
      <c r="C1012" s="237">
        <v>3</v>
      </c>
      <c r="D1012" s="238" t="s">
        <v>2022</v>
      </c>
      <c r="E1012" s="238" t="s">
        <v>1836</v>
      </c>
      <c r="F1012" s="238" t="s">
        <v>1825</v>
      </c>
      <c r="G1012" s="238" t="s">
        <v>88</v>
      </c>
      <c r="H1012" s="239" t="s">
        <v>2827</v>
      </c>
      <c r="I1012" s="217"/>
      <c r="J1012" s="217"/>
      <c r="K1012" s="217"/>
      <c r="L1012" s="217"/>
      <c r="M1012" s="217"/>
      <c r="N1012" s="217"/>
      <c r="O1012" s="217"/>
      <c r="P1012" s="217"/>
    </row>
    <row r="1013" spans="1:16" s="219" customFormat="1" ht="30" hidden="1" x14ac:dyDescent="0.25">
      <c r="A1013" s="214"/>
      <c r="B1013" s="237">
        <v>1</v>
      </c>
      <c r="C1013" s="237">
        <v>3</v>
      </c>
      <c r="D1013" s="238" t="s">
        <v>2022</v>
      </c>
      <c r="E1013" s="238" t="s">
        <v>1836</v>
      </c>
      <c r="F1013" s="238" t="s">
        <v>1825</v>
      </c>
      <c r="G1013" s="238" t="s">
        <v>92</v>
      </c>
      <c r="H1013" s="239" t="s">
        <v>2828</v>
      </c>
      <c r="I1013" s="217"/>
      <c r="J1013" s="217"/>
      <c r="K1013" s="217"/>
      <c r="L1013" s="217"/>
      <c r="M1013" s="217"/>
      <c r="N1013" s="217"/>
      <c r="O1013" s="217"/>
      <c r="P1013" s="217"/>
    </row>
    <row r="1014" spans="1:16" s="219" customFormat="1" ht="30" hidden="1" x14ac:dyDescent="0.25">
      <c r="A1014" s="214"/>
      <c r="B1014" s="237">
        <v>1</v>
      </c>
      <c r="C1014" s="237">
        <v>3</v>
      </c>
      <c r="D1014" s="238" t="s">
        <v>2022</v>
      </c>
      <c r="E1014" s="238" t="s">
        <v>1836</v>
      </c>
      <c r="F1014" s="238" t="s">
        <v>1825</v>
      </c>
      <c r="G1014" s="238" t="s">
        <v>96</v>
      </c>
      <c r="H1014" s="239" t="s">
        <v>2829</v>
      </c>
      <c r="I1014" s="217"/>
      <c r="J1014" s="217"/>
      <c r="K1014" s="217"/>
      <c r="L1014" s="217"/>
      <c r="M1014" s="217"/>
      <c r="N1014" s="217"/>
      <c r="O1014" s="217"/>
      <c r="P1014" s="217"/>
    </row>
    <row r="1015" spans="1:16" s="219" customFormat="1" ht="45" hidden="1" x14ac:dyDescent="0.25">
      <c r="A1015" s="214"/>
      <c r="B1015" s="237">
        <v>1</v>
      </c>
      <c r="C1015" s="237">
        <v>3</v>
      </c>
      <c r="D1015" s="238" t="s">
        <v>2022</v>
      </c>
      <c r="E1015" s="238" t="s">
        <v>1836</v>
      </c>
      <c r="F1015" s="238" t="s">
        <v>1825</v>
      </c>
      <c r="G1015" s="238" t="s">
        <v>100</v>
      </c>
      <c r="H1015" s="239" t="s">
        <v>2830</v>
      </c>
      <c r="I1015" s="217"/>
      <c r="J1015" s="217"/>
      <c r="K1015" s="217"/>
      <c r="L1015" s="217"/>
      <c r="M1015" s="217"/>
      <c r="N1015" s="217"/>
      <c r="O1015" s="217"/>
      <c r="P1015" s="217"/>
    </row>
    <row r="1016" spans="1:16" s="219" customFormat="1" ht="30" hidden="1" x14ac:dyDescent="0.25">
      <c r="A1016" s="214"/>
      <c r="B1016" s="237">
        <v>1</v>
      </c>
      <c r="C1016" s="237">
        <v>3</v>
      </c>
      <c r="D1016" s="238" t="s">
        <v>2022</v>
      </c>
      <c r="E1016" s="238" t="s">
        <v>1836</v>
      </c>
      <c r="F1016" s="238" t="s">
        <v>1825</v>
      </c>
      <c r="G1016" s="238" t="s">
        <v>105</v>
      </c>
      <c r="H1016" s="239" t="s">
        <v>2831</v>
      </c>
      <c r="I1016" s="217"/>
      <c r="J1016" s="217"/>
      <c r="K1016" s="217"/>
      <c r="L1016" s="217"/>
      <c r="M1016" s="217"/>
      <c r="N1016" s="217"/>
      <c r="O1016" s="217"/>
      <c r="P1016" s="217"/>
    </row>
    <row r="1017" spans="1:16" s="219" customFormat="1" ht="30" hidden="1" x14ac:dyDescent="0.25">
      <c r="A1017" s="214"/>
      <c r="B1017" s="237">
        <v>1</v>
      </c>
      <c r="C1017" s="237">
        <v>3</v>
      </c>
      <c r="D1017" s="238" t="s">
        <v>2022</v>
      </c>
      <c r="E1017" s="238" t="s">
        <v>1836</v>
      </c>
      <c r="F1017" s="238" t="s">
        <v>1825</v>
      </c>
      <c r="G1017" s="238" t="s">
        <v>108</v>
      </c>
      <c r="H1017" s="239" t="s">
        <v>2832</v>
      </c>
      <c r="I1017" s="217"/>
      <c r="J1017" s="217"/>
      <c r="K1017" s="217"/>
      <c r="L1017" s="217"/>
      <c r="M1017" s="217"/>
      <c r="N1017" s="217"/>
      <c r="O1017" s="217"/>
      <c r="P1017" s="217"/>
    </row>
    <row r="1018" spans="1:16" s="219" customFormat="1" ht="30" hidden="1" x14ac:dyDescent="0.25">
      <c r="A1018" s="214"/>
      <c r="B1018" s="237">
        <v>1</v>
      </c>
      <c r="C1018" s="237">
        <v>3</v>
      </c>
      <c r="D1018" s="238" t="s">
        <v>2022</v>
      </c>
      <c r="E1018" s="238" t="s">
        <v>1836</v>
      </c>
      <c r="F1018" s="238" t="s">
        <v>1825</v>
      </c>
      <c r="G1018" s="238" t="s">
        <v>135</v>
      </c>
      <c r="H1018" s="239" t="s">
        <v>2833</v>
      </c>
      <c r="I1018" s="217"/>
      <c r="J1018" s="217"/>
      <c r="K1018" s="217"/>
      <c r="L1018" s="217"/>
      <c r="M1018" s="217"/>
      <c r="N1018" s="217"/>
      <c r="O1018" s="217"/>
      <c r="P1018" s="217"/>
    </row>
    <row r="1019" spans="1:16" s="219" customFormat="1" ht="45" hidden="1" x14ac:dyDescent="0.25">
      <c r="A1019" s="214"/>
      <c r="B1019" s="237">
        <v>1</v>
      </c>
      <c r="C1019" s="237">
        <v>3</v>
      </c>
      <c r="D1019" s="238" t="s">
        <v>2022</v>
      </c>
      <c r="E1019" s="238" t="s">
        <v>1836</v>
      </c>
      <c r="F1019" s="238" t="s">
        <v>1825</v>
      </c>
      <c r="G1019" s="238" t="s">
        <v>138</v>
      </c>
      <c r="H1019" s="239" t="s">
        <v>2834</v>
      </c>
      <c r="I1019" s="217"/>
      <c r="J1019" s="217"/>
      <c r="K1019" s="217"/>
      <c r="L1019" s="217"/>
      <c r="M1019" s="217"/>
      <c r="N1019" s="217"/>
      <c r="O1019" s="217"/>
      <c r="P1019" s="217"/>
    </row>
    <row r="1020" spans="1:16" s="219" customFormat="1" ht="30" hidden="1" x14ac:dyDescent="0.25">
      <c r="A1020" s="214"/>
      <c r="B1020" s="237">
        <v>1</v>
      </c>
      <c r="C1020" s="237">
        <v>3</v>
      </c>
      <c r="D1020" s="238" t="s">
        <v>2022</v>
      </c>
      <c r="E1020" s="238" t="s">
        <v>1836</v>
      </c>
      <c r="F1020" s="238" t="s">
        <v>1825</v>
      </c>
      <c r="G1020" s="238" t="s">
        <v>140</v>
      </c>
      <c r="H1020" s="239" t="s">
        <v>2835</v>
      </c>
      <c r="I1020" s="217"/>
      <c r="J1020" s="217"/>
      <c r="K1020" s="217"/>
      <c r="L1020" s="217"/>
      <c r="M1020" s="217"/>
      <c r="N1020" s="217"/>
      <c r="O1020" s="217"/>
      <c r="P1020" s="217"/>
    </row>
    <row r="1021" spans="1:16" s="219" customFormat="1" ht="30" hidden="1" x14ac:dyDescent="0.25">
      <c r="A1021" s="214"/>
      <c r="B1021" s="237">
        <v>1</v>
      </c>
      <c r="C1021" s="237">
        <v>3</v>
      </c>
      <c r="D1021" s="238" t="s">
        <v>2022</v>
      </c>
      <c r="E1021" s="238" t="s">
        <v>1836</v>
      </c>
      <c r="F1021" s="238" t="s">
        <v>1825</v>
      </c>
      <c r="G1021" s="238" t="s">
        <v>143</v>
      </c>
      <c r="H1021" s="239" t="s">
        <v>2836</v>
      </c>
      <c r="I1021" s="217"/>
      <c r="J1021" s="217"/>
      <c r="K1021" s="217"/>
      <c r="L1021" s="217"/>
      <c r="M1021" s="217"/>
      <c r="N1021" s="217"/>
      <c r="O1021" s="217"/>
      <c r="P1021" s="217"/>
    </row>
    <row r="1022" spans="1:16" s="219" customFormat="1" ht="30" hidden="1" x14ac:dyDescent="0.25">
      <c r="A1022" s="214"/>
      <c r="B1022" s="237">
        <v>1</v>
      </c>
      <c r="C1022" s="237">
        <v>3</v>
      </c>
      <c r="D1022" s="238" t="s">
        <v>2022</v>
      </c>
      <c r="E1022" s="238" t="s">
        <v>1836</v>
      </c>
      <c r="F1022" s="238" t="s">
        <v>1825</v>
      </c>
      <c r="G1022" s="238" t="s">
        <v>146</v>
      </c>
      <c r="H1022" s="239" t="s">
        <v>2837</v>
      </c>
      <c r="I1022" s="217"/>
      <c r="J1022" s="217"/>
      <c r="K1022" s="217"/>
      <c r="L1022" s="217"/>
      <c r="M1022" s="217"/>
      <c r="N1022" s="217"/>
      <c r="O1022" s="217"/>
      <c r="P1022" s="217"/>
    </row>
    <row r="1023" spans="1:16" s="219" customFormat="1" ht="30" hidden="1" x14ac:dyDescent="0.25">
      <c r="A1023" s="214"/>
      <c r="B1023" s="237">
        <v>1</v>
      </c>
      <c r="C1023" s="237">
        <v>3</v>
      </c>
      <c r="D1023" s="238" t="s">
        <v>2022</v>
      </c>
      <c r="E1023" s="238" t="s">
        <v>1836</v>
      </c>
      <c r="F1023" s="238" t="s">
        <v>1825</v>
      </c>
      <c r="G1023" s="238" t="s">
        <v>150</v>
      </c>
      <c r="H1023" s="239" t="s">
        <v>2838</v>
      </c>
      <c r="I1023" s="217"/>
      <c r="J1023" s="217"/>
      <c r="K1023" s="217"/>
      <c r="L1023" s="217"/>
      <c r="M1023" s="217"/>
      <c r="N1023" s="217"/>
      <c r="O1023" s="217"/>
      <c r="P1023" s="217"/>
    </row>
    <row r="1024" spans="1:16" s="219" customFormat="1" ht="30" hidden="1" x14ac:dyDescent="0.25">
      <c r="A1024" s="214"/>
      <c r="B1024" s="237">
        <v>1</v>
      </c>
      <c r="C1024" s="237">
        <v>3</v>
      </c>
      <c r="D1024" s="238" t="s">
        <v>2022</v>
      </c>
      <c r="E1024" s="238" t="s">
        <v>1836</v>
      </c>
      <c r="F1024" s="238" t="s">
        <v>1825</v>
      </c>
      <c r="G1024" s="238" t="s">
        <v>153</v>
      </c>
      <c r="H1024" s="239" t="s">
        <v>2839</v>
      </c>
      <c r="I1024" s="217"/>
      <c r="J1024" s="217"/>
      <c r="K1024" s="217"/>
      <c r="L1024" s="217"/>
      <c r="M1024" s="217"/>
      <c r="N1024" s="217"/>
      <c r="O1024" s="217"/>
      <c r="P1024" s="217"/>
    </row>
    <row r="1025" spans="1:16" s="219" customFormat="1" ht="45" hidden="1" x14ac:dyDescent="0.25">
      <c r="A1025" s="214"/>
      <c r="B1025" s="237">
        <v>1</v>
      </c>
      <c r="C1025" s="237">
        <v>3</v>
      </c>
      <c r="D1025" s="238" t="s">
        <v>2022</v>
      </c>
      <c r="E1025" s="238" t="s">
        <v>1836</v>
      </c>
      <c r="F1025" s="238" t="s">
        <v>1825</v>
      </c>
      <c r="G1025" s="238" t="s">
        <v>156</v>
      </c>
      <c r="H1025" s="239" t="s">
        <v>2840</v>
      </c>
      <c r="I1025" s="217"/>
      <c r="J1025" s="217"/>
      <c r="K1025" s="217"/>
      <c r="L1025" s="217"/>
      <c r="M1025" s="217"/>
      <c r="N1025" s="217"/>
      <c r="O1025" s="217"/>
      <c r="P1025" s="217"/>
    </row>
    <row r="1026" spans="1:16" s="219" customFormat="1" ht="30" hidden="1" x14ac:dyDescent="0.25">
      <c r="A1026" s="214"/>
      <c r="B1026" s="237">
        <v>1</v>
      </c>
      <c r="C1026" s="237">
        <v>3</v>
      </c>
      <c r="D1026" s="238" t="s">
        <v>2022</v>
      </c>
      <c r="E1026" s="238" t="s">
        <v>1836</v>
      </c>
      <c r="F1026" s="238" t="s">
        <v>1825</v>
      </c>
      <c r="G1026" s="238" t="s">
        <v>159</v>
      </c>
      <c r="H1026" s="239" t="s">
        <v>2841</v>
      </c>
      <c r="I1026" s="217"/>
      <c r="J1026" s="217"/>
      <c r="K1026" s="217"/>
      <c r="L1026" s="217"/>
      <c r="M1026" s="217"/>
      <c r="N1026" s="217"/>
      <c r="O1026" s="217"/>
      <c r="P1026" s="217"/>
    </row>
    <row r="1027" spans="1:16" s="219" customFormat="1" ht="30" hidden="1" x14ac:dyDescent="0.25">
      <c r="A1027" s="214"/>
      <c r="B1027" s="237">
        <v>1</v>
      </c>
      <c r="C1027" s="237">
        <v>3</v>
      </c>
      <c r="D1027" s="238" t="s">
        <v>2022</v>
      </c>
      <c r="E1027" s="238" t="s">
        <v>1836</v>
      </c>
      <c r="F1027" s="238" t="s">
        <v>1825</v>
      </c>
      <c r="G1027" s="238" t="s">
        <v>162</v>
      </c>
      <c r="H1027" s="239" t="s">
        <v>2842</v>
      </c>
      <c r="I1027" s="217"/>
      <c r="J1027" s="217"/>
      <c r="K1027" s="217"/>
      <c r="L1027" s="217"/>
      <c r="M1027" s="217"/>
      <c r="N1027" s="217"/>
      <c r="O1027" s="217"/>
      <c r="P1027" s="217"/>
    </row>
    <row r="1028" spans="1:16" s="219" customFormat="1" ht="30" hidden="1" x14ac:dyDescent="0.25">
      <c r="A1028" s="214"/>
      <c r="B1028" s="237">
        <v>1</v>
      </c>
      <c r="C1028" s="237">
        <v>3</v>
      </c>
      <c r="D1028" s="238" t="s">
        <v>2022</v>
      </c>
      <c r="E1028" s="238" t="s">
        <v>1836</v>
      </c>
      <c r="F1028" s="238" t="s">
        <v>1825</v>
      </c>
      <c r="G1028" s="238" t="s">
        <v>312</v>
      </c>
      <c r="H1028" s="239" t="s">
        <v>2843</v>
      </c>
      <c r="I1028" s="217"/>
      <c r="J1028" s="217"/>
      <c r="K1028" s="217"/>
      <c r="L1028" s="217"/>
      <c r="M1028" s="217"/>
      <c r="N1028" s="217"/>
      <c r="O1028" s="217"/>
      <c r="P1028" s="217"/>
    </row>
    <row r="1029" spans="1:16" s="219" customFormat="1" ht="30" hidden="1" x14ac:dyDescent="0.25">
      <c r="A1029" s="214"/>
      <c r="B1029" s="237">
        <v>1</v>
      </c>
      <c r="C1029" s="237">
        <v>3</v>
      </c>
      <c r="D1029" s="238" t="s">
        <v>2022</v>
      </c>
      <c r="E1029" s="238" t="s">
        <v>1836</v>
      </c>
      <c r="F1029" s="238" t="s">
        <v>1825</v>
      </c>
      <c r="G1029" s="238" t="s">
        <v>313</v>
      </c>
      <c r="H1029" s="239" t="s">
        <v>2844</v>
      </c>
      <c r="I1029" s="217"/>
      <c r="J1029" s="217"/>
      <c r="K1029" s="217"/>
      <c r="L1029" s="217"/>
      <c r="M1029" s="217"/>
      <c r="N1029" s="217"/>
      <c r="O1029" s="217"/>
      <c r="P1029" s="217"/>
    </row>
    <row r="1030" spans="1:16" s="219" customFormat="1" ht="30" hidden="1" x14ac:dyDescent="0.25">
      <c r="A1030" s="214"/>
      <c r="B1030" s="237">
        <v>1</v>
      </c>
      <c r="C1030" s="237">
        <v>3</v>
      </c>
      <c r="D1030" s="238" t="s">
        <v>2022</v>
      </c>
      <c r="E1030" s="238" t="s">
        <v>1836</v>
      </c>
      <c r="F1030" s="238" t="s">
        <v>1825</v>
      </c>
      <c r="G1030" s="238" t="s">
        <v>559</v>
      </c>
      <c r="H1030" s="239" t="s">
        <v>2845</v>
      </c>
      <c r="I1030" s="217"/>
      <c r="J1030" s="217"/>
      <c r="K1030" s="217"/>
      <c r="L1030" s="217"/>
      <c r="M1030" s="217"/>
      <c r="N1030" s="217"/>
      <c r="O1030" s="217"/>
      <c r="P1030" s="217"/>
    </row>
    <row r="1031" spans="1:16" s="219" customFormat="1" ht="30" hidden="1" x14ac:dyDescent="0.25">
      <c r="A1031" s="214"/>
      <c r="B1031" s="237">
        <v>1</v>
      </c>
      <c r="C1031" s="237">
        <v>3</v>
      </c>
      <c r="D1031" s="238" t="s">
        <v>2022</v>
      </c>
      <c r="E1031" s="238" t="s">
        <v>1836</v>
      </c>
      <c r="F1031" s="238" t="s">
        <v>1825</v>
      </c>
      <c r="G1031" s="238" t="s">
        <v>561</v>
      </c>
      <c r="H1031" s="239" t="s">
        <v>2846</v>
      </c>
      <c r="I1031" s="217"/>
      <c r="J1031" s="217"/>
      <c r="K1031" s="217"/>
      <c r="L1031" s="217"/>
      <c r="M1031" s="217"/>
      <c r="N1031" s="217"/>
      <c r="O1031" s="217"/>
      <c r="P1031" s="217"/>
    </row>
    <row r="1032" spans="1:16" s="219" customFormat="1" ht="30" hidden="1" x14ac:dyDescent="0.25">
      <c r="A1032" s="214"/>
      <c r="B1032" s="237">
        <v>1</v>
      </c>
      <c r="C1032" s="237">
        <v>3</v>
      </c>
      <c r="D1032" s="238" t="s">
        <v>2022</v>
      </c>
      <c r="E1032" s="238" t="s">
        <v>1836</v>
      </c>
      <c r="F1032" s="238" t="s">
        <v>1825</v>
      </c>
      <c r="G1032" s="238" t="s">
        <v>563</v>
      </c>
      <c r="H1032" s="239" t="s">
        <v>2847</v>
      </c>
      <c r="I1032" s="217"/>
      <c r="J1032" s="217"/>
      <c r="K1032" s="217"/>
      <c r="L1032" s="217"/>
      <c r="M1032" s="217"/>
      <c r="N1032" s="217"/>
      <c r="O1032" s="217"/>
      <c r="P1032" s="217"/>
    </row>
    <row r="1033" spans="1:16" s="219" customFormat="1" ht="30" hidden="1" x14ac:dyDescent="0.25">
      <c r="A1033" s="214"/>
      <c r="B1033" s="237">
        <v>1</v>
      </c>
      <c r="C1033" s="237">
        <v>3</v>
      </c>
      <c r="D1033" s="238" t="s">
        <v>2022</v>
      </c>
      <c r="E1033" s="238" t="s">
        <v>1836</v>
      </c>
      <c r="F1033" s="238" t="s">
        <v>1825</v>
      </c>
      <c r="G1033" s="238" t="s">
        <v>227</v>
      </c>
      <c r="H1033" s="239" t="s">
        <v>2848</v>
      </c>
      <c r="I1033" s="217"/>
      <c r="J1033" s="217"/>
      <c r="K1033" s="217"/>
      <c r="L1033" s="217"/>
      <c r="M1033" s="217"/>
      <c r="N1033" s="217"/>
      <c r="O1033" s="217"/>
      <c r="P1033" s="217"/>
    </row>
    <row r="1034" spans="1:16" s="219" customFormat="1" ht="45" hidden="1" x14ac:dyDescent="0.25">
      <c r="A1034" s="214"/>
      <c r="B1034" s="237">
        <v>1</v>
      </c>
      <c r="C1034" s="237">
        <v>3</v>
      </c>
      <c r="D1034" s="238" t="s">
        <v>2022</v>
      </c>
      <c r="E1034" s="238" t="s">
        <v>1836</v>
      </c>
      <c r="F1034" s="238" t="s">
        <v>1825</v>
      </c>
      <c r="G1034" s="238" t="s">
        <v>230</v>
      </c>
      <c r="H1034" s="239" t="s">
        <v>2849</v>
      </c>
      <c r="I1034" s="217"/>
      <c r="J1034" s="217"/>
      <c r="K1034" s="217"/>
      <c r="L1034" s="217"/>
      <c r="M1034" s="217"/>
      <c r="N1034" s="217"/>
      <c r="O1034" s="217"/>
      <c r="P1034" s="217"/>
    </row>
    <row r="1035" spans="1:16" s="219" customFormat="1" ht="45" hidden="1" x14ac:dyDescent="0.25">
      <c r="A1035" s="214"/>
      <c r="B1035" s="237">
        <v>1</v>
      </c>
      <c r="C1035" s="237">
        <v>3</v>
      </c>
      <c r="D1035" s="238" t="s">
        <v>2022</v>
      </c>
      <c r="E1035" s="238" t="s">
        <v>1836</v>
      </c>
      <c r="F1035" s="238" t="s">
        <v>1825</v>
      </c>
      <c r="G1035" s="238" t="s">
        <v>232</v>
      </c>
      <c r="H1035" s="239" t="s">
        <v>2850</v>
      </c>
      <c r="I1035" s="217"/>
      <c r="J1035" s="217"/>
      <c r="K1035" s="217"/>
      <c r="L1035" s="217"/>
      <c r="M1035" s="217"/>
      <c r="N1035" s="217"/>
      <c r="O1035" s="217"/>
      <c r="P1035" s="217"/>
    </row>
    <row r="1036" spans="1:16" s="219" customFormat="1" ht="30" hidden="1" x14ac:dyDescent="0.25">
      <c r="A1036" s="214"/>
      <c r="B1036" s="237">
        <v>1</v>
      </c>
      <c r="C1036" s="237">
        <v>3</v>
      </c>
      <c r="D1036" s="238" t="s">
        <v>2022</v>
      </c>
      <c r="E1036" s="238" t="s">
        <v>1836</v>
      </c>
      <c r="F1036" s="238" t="s">
        <v>1825</v>
      </c>
      <c r="G1036" s="238" t="s">
        <v>234</v>
      </c>
      <c r="H1036" s="239" t="s">
        <v>2851</v>
      </c>
      <c r="I1036" s="217"/>
      <c r="J1036" s="217"/>
      <c r="K1036" s="217"/>
      <c r="L1036" s="217"/>
      <c r="M1036" s="217"/>
      <c r="N1036" s="217"/>
      <c r="O1036" s="217"/>
      <c r="P1036" s="217"/>
    </row>
    <row r="1037" spans="1:16" s="219" customFormat="1" ht="45" hidden="1" x14ac:dyDescent="0.25">
      <c r="A1037" s="214"/>
      <c r="B1037" s="237">
        <v>1</v>
      </c>
      <c r="C1037" s="237">
        <v>3</v>
      </c>
      <c r="D1037" s="238" t="s">
        <v>2022</v>
      </c>
      <c r="E1037" s="238" t="s">
        <v>1836</v>
      </c>
      <c r="F1037" s="238" t="s">
        <v>1825</v>
      </c>
      <c r="G1037" s="238" t="s">
        <v>236</v>
      </c>
      <c r="H1037" s="239" t="s">
        <v>2852</v>
      </c>
      <c r="I1037" s="217"/>
      <c r="J1037" s="217"/>
      <c r="K1037" s="217"/>
      <c r="L1037" s="217"/>
      <c r="M1037" s="217"/>
      <c r="N1037" s="217"/>
      <c r="O1037" s="217"/>
      <c r="P1037" s="217"/>
    </row>
    <row r="1038" spans="1:16" s="219" customFormat="1" ht="30" hidden="1" x14ac:dyDescent="0.25">
      <c r="A1038" s="214"/>
      <c r="B1038" s="237">
        <v>1</v>
      </c>
      <c r="C1038" s="237">
        <v>3</v>
      </c>
      <c r="D1038" s="238" t="s">
        <v>2022</v>
      </c>
      <c r="E1038" s="238" t="s">
        <v>1836</v>
      </c>
      <c r="F1038" s="238" t="s">
        <v>1825</v>
      </c>
      <c r="G1038" s="238" t="s">
        <v>238</v>
      </c>
      <c r="H1038" s="239" t="s">
        <v>2853</v>
      </c>
      <c r="I1038" s="217"/>
      <c r="J1038" s="217"/>
      <c r="K1038" s="217"/>
      <c r="L1038" s="217"/>
      <c r="M1038" s="217"/>
      <c r="N1038" s="217"/>
      <c r="O1038" s="217"/>
      <c r="P1038" s="217"/>
    </row>
    <row r="1039" spans="1:16" s="219" customFormat="1" ht="30" hidden="1" x14ac:dyDescent="0.25">
      <c r="A1039" s="214"/>
      <c r="B1039" s="237">
        <v>1</v>
      </c>
      <c r="C1039" s="237">
        <v>3</v>
      </c>
      <c r="D1039" s="238" t="s">
        <v>2022</v>
      </c>
      <c r="E1039" s="238" t="s">
        <v>1836</v>
      </c>
      <c r="F1039" s="238" t="s">
        <v>1825</v>
      </c>
      <c r="G1039" s="238" t="s">
        <v>240</v>
      </c>
      <c r="H1039" s="239" t="s">
        <v>2854</v>
      </c>
      <c r="I1039" s="217"/>
      <c r="J1039" s="217"/>
      <c r="K1039" s="217"/>
      <c r="L1039" s="217"/>
      <c r="M1039" s="217"/>
      <c r="N1039" s="217"/>
      <c r="O1039" s="217"/>
      <c r="P1039" s="217"/>
    </row>
    <row r="1040" spans="1:16" s="219" customFormat="1" ht="30" hidden="1" x14ac:dyDescent="0.25">
      <c r="A1040" s="214"/>
      <c r="B1040" s="237">
        <v>1</v>
      </c>
      <c r="C1040" s="237">
        <v>3</v>
      </c>
      <c r="D1040" s="238" t="s">
        <v>2022</v>
      </c>
      <c r="E1040" s="238" t="s">
        <v>1836</v>
      </c>
      <c r="F1040" s="238" t="s">
        <v>1825</v>
      </c>
      <c r="G1040" s="238" t="s">
        <v>242</v>
      </c>
      <c r="H1040" s="239" t="s">
        <v>2855</v>
      </c>
      <c r="I1040" s="217"/>
      <c r="J1040" s="217"/>
      <c r="K1040" s="217"/>
      <c r="L1040" s="217"/>
      <c r="M1040" s="217"/>
      <c r="N1040" s="217"/>
      <c r="O1040" s="217"/>
      <c r="P1040" s="217"/>
    </row>
    <row r="1041" spans="1:16" s="219" customFormat="1" ht="30" hidden="1" x14ac:dyDescent="0.25">
      <c r="A1041" s="214"/>
      <c r="B1041" s="237">
        <v>1</v>
      </c>
      <c r="C1041" s="237">
        <v>3</v>
      </c>
      <c r="D1041" s="238" t="s">
        <v>2022</v>
      </c>
      <c r="E1041" s="238" t="s">
        <v>1836</v>
      </c>
      <c r="F1041" s="238" t="s">
        <v>1825</v>
      </c>
      <c r="G1041" s="238" t="s">
        <v>244</v>
      </c>
      <c r="H1041" s="239" t="s">
        <v>2856</v>
      </c>
      <c r="I1041" s="217"/>
      <c r="J1041" s="217"/>
      <c r="K1041" s="217"/>
      <c r="L1041" s="217"/>
      <c r="M1041" s="217"/>
      <c r="N1041" s="217"/>
      <c r="O1041" s="217"/>
      <c r="P1041" s="217"/>
    </row>
    <row r="1042" spans="1:16" s="213" customFormat="1" ht="30" hidden="1" x14ac:dyDescent="0.25">
      <c r="A1042" s="208" t="s">
        <v>263</v>
      </c>
      <c r="B1042" s="234">
        <v>1</v>
      </c>
      <c r="C1042" s="234">
        <v>3</v>
      </c>
      <c r="D1042" s="235" t="s">
        <v>2022</v>
      </c>
      <c r="E1042" s="235" t="s">
        <v>1836</v>
      </c>
      <c r="F1042" s="235" t="s">
        <v>1836</v>
      </c>
      <c r="G1042" s="234"/>
      <c r="H1042" s="236" t="s">
        <v>2857</v>
      </c>
      <c r="I1042" s="211">
        <f>SUM(I1043:I1066)</f>
        <v>0</v>
      </c>
      <c r="J1042" s="211">
        <f t="shared" ref="J1042:P1042" si="156">SUM(J1043:J1066)</f>
        <v>0</v>
      </c>
      <c r="K1042" s="211">
        <f t="shared" si="156"/>
        <v>0</v>
      </c>
      <c r="L1042" s="211">
        <f t="shared" si="156"/>
        <v>0</v>
      </c>
      <c r="M1042" s="211">
        <f t="shared" si="156"/>
        <v>0</v>
      </c>
      <c r="N1042" s="211">
        <f t="shared" si="156"/>
        <v>0</v>
      </c>
      <c r="O1042" s="211">
        <f t="shared" si="156"/>
        <v>0</v>
      </c>
      <c r="P1042" s="211">
        <f t="shared" si="156"/>
        <v>0</v>
      </c>
    </row>
    <row r="1043" spans="1:16" s="219" customFormat="1" ht="45" hidden="1" x14ac:dyDescent="0.25">
      <c r="A1043" s="214"/>
      <c r="B1043" s="237">
        <v>1</v>
      </c>
      <c r="C1043" s="237">
        <v>3</v>
      </c>
      <c r="D1043" s="238" t="s">
        <v>2022</v>
      </c>
      <c r="E1043" s="238" t="s">
        <v>1836</v>
      </c>
      <c r="F1043" s="238" t="s">
        <v>1836</v>
      </c>
      <c r="G1043" s="238" t="s">
        <v>58</v>
      </c>
      <c r="H1043" s="239" t="s">
        <v>2858</v>
      </c>
      <c r="I1043" s="217"/>
      <c r="J1043" s="217"/>
      <c r="K1043" s="217"/>
      <c r="L1043" s="217"/>
      <c r="M1043" s="217"/>
      <c r="N1043" s="217"/>
      <c r="O1043" s="217"/>
      <c r="P1043" s="217"/>
    </row>
    <row r="1044" spans="1:16" s="219" customFormat="1" ht="45" hidden="1" x14ac:dyDescent="0.25">
      <c r="A1044" s="214"/>
      <c r="B1044" s="237">
        <v>1</v>
      </c>
      <c r="C1044" s="237">
        <v>3</v>
      </c>
      <c r="D1044" s="238" t="s">
        <v>2022</v>
      </c>
      <c r="E1044" s="238" t="s">
        <v>1836</v>
      </c>
      <c r="F1044" s="238" t="s">
        <v>1836</v>
      </c>
      <c r="G1044" s="238" t="s">
        <v>75</v>
      </c>
      <c r="H1044" s="239" t="s">
        <v>2859</v>
      </c>
      <c r="I1044" s="217"/>
      <c r="J1044" s="217"/>
      <c r="K1044" s="217"/>
      <c r="L1044" s="217"/>
      <c r="M1044" s="217"/>
      <c r="N1044" s="217"/>
      <c r="O1044" s="217"/>
      <c r="P1044" s="217"/>
    </row>
    <row r="1045" spans="1:16" s="219" customFormat="1" ht="45" hidden="1" x14ac:dyDescent="0.25">
      <c r="A1045" s="214"/>
      <c r="B1045" s="237">
        <v>1</v>
      </c>
      <c r="C1045" s="237">
        <v>3</v>
      </c>
      <c r="D1045" s="238" t="s">
        <v>2022</v>
      </c>
      <c r="E1045" s="238" t="s">
        <v>1836</v>
      </c>
      <c r="F1045" s="238" t="s">
        <v>1836</v>
      </c>
      <c r="G1045" s="238" t="s">
        <v>79</v>
      </c>
      <c r="H1045" s="239" t="s">
        <v>2860</v>
      </c>
      <c r="I1045" s="217"/>
      <c r="J1045" s="217"/>
      <c r="K1045" s="217"/>
      <c r="L1045" s="217"/>
      <c r="M1045" s="217"/>
      <c r="N1045" s="217"/>
      <c r="O1045" s="217"/>
      <c r="P1045" s="217"/>
    </row>
    <row r="1046" spans="1:16" s="219" customFormat="1" ht="45" hidden="1" x14ac:dyDescent="0.25">
      <c r="A1046" s="214"/>
      <c r="B1046" s="237">
        <v>1</v>
      </c>
      <c r="C1046" s="237">
        <v>3</v>
      </c>
      <c r="D1046" s="238" t="s">
        <v>2022</v>
      </c>
      <c r="E1046" s="238" t="s">
        <v>1836</v>
      </c>
      <c r="F1046" s="238" t="s">
        <v>1836</v>
      </c>
      <c r="G1046" s="238" t="s">
        <v>84</v>
      </c>
      <c r="H1046" s="239" t="s">
        <v>2861</v>
      </c>
      <c r="I1046" s="217"/>
      <c r="J1046" s="217"/>
      <c r="K1046" s="217"/>
      <c r="L1046" s="217"/>
      <c r="M1046" s="217"/>
      <c r="N1046" s="217"/>
      <c r="O1046" s="217"/>
      <c r="P1046" s="217"/>
    </row>
    <row r="1047" spans="1:16" s="219" customFormat="1" ht="45" hidden="1" x14ac:dyDescent="0.25">
      <c r="A1047" s="214"/>
      <c r="B1047" s="237">
        <v>1</v>
      </c>
      <c r="C1047" s="237">
        <v>3</v>
      </c>
      <c r="D1047" s="238" t="s">
        <v>2022</v>
      </c>
      <c r="E1047" s="238" t="s">
        <v>1836</v>
      </c>
      <c r="F1047" s="238" t="s">
        <v>1836</v>
      </c>
      <c r="G1047" s="238" t="s">
        <v>88</v>
      </c>
      <c r="H1047" s="239" t="s">
        <v>2862</v>
      </c>
      <c r="I1047" s="217"/>
      <c r="J1047" s="217"/>
      <c r="K1047" s="217"/>
      <c r="L1047" s="217"/>
      <c r="M1047" s="217"/>
      <c r="N1047" s="217"/>
      <c r="O1047" s="217"/>
      <c r="P1047" s="217"/>
    </row>
    <row r="1048" spans="1:16" s="219" customFormat="1" ht="45" hidden="1" x14ac:dyDescent="0.25">
      <c r="A1048" s="214"/>
      <c r="B1048" s="237">
        <v>1</v>
      </c>
      <c r="C1048" s="237">
        <v>3</v>
      </c>
      <c r="D1048" s="238" t="s">
        <v>2022</v>
      </c>
      <c r="E1048" s="238" t="s">
        <v>1836</v>
      </c>
      <c r="F1048" s="238" t="s">
        <v>1836</v>
      </c>
      <c r="G1048" s="238" t="s">
        <v>92</v>
      </c>
      <c r="H1048" s="239" t="s">
        <v>2863</v>
      </c>
      <c r="I1048" s="217"/>
      <c r="J1048" s="217"/>
      <c r="K1048" s="217"/>
      <c r="L1048" s="217"/>
      <c r="M1048" s="217"/>
      <c r="N1048" s="217"/>
      <c r="O1048" s="217"/>
      <c r="P1048" s="217"/>
    </row>
    <row r="1049" spans="1:16" s="219" customFormat="1" ht="45" hidden="1" x14ac:dyDescent="0.25">
      <c r="A1049" s="214"/>
      <c r="B1049" s="237">
        <v>1</v>
      </c>
      <c r="C1049" s="237">
        <v>3</v>
      </c>
      <c r="D1049" s="238" t="s">
        <v>2022</v>
      </c>
      <c r="E1049" s="238" t="s">
        <v>1836</v>
      </c>
      <c r="F1049" s="238" t="s">
        <v>1836</v>
      </c>
      <c r="G1049" s="238" t="s">
        <v>96</v>
      </c>
      <c r="H1049" s="239" t="s">
        <v>2864</v>
      </c>
      <c r="I1049" s="217"/>
      <c r="J1049" s="217"/>
      <c r="K1049" s="217"/>
      <c r="L1049" s="217"/>
      <c r="M1049" s="217"/>
      <c r="N1049" s="217"/>
      <c r="O1049" s="217"/>
      <c r="P1049" s="217"/>
    </row>
    <row r="1050" spans="1:16" s="219" customFormat="1" ht="45" hidden="1" x14ac:dyDescent="0.25">
      <c r="A1050" s="214"/>
      <c r="B1050" s="237">
        <v>1</v>
      </c>
      <c r="C1050" s="237">
        <v>3</v>
      </c>
      <c r="D1050" s="238" t="s">
        <v>2022</v>
      </c>
      <c r="E1050" s="238" t="s">
        <v>1836</v>
      </c>
      <c r="F1050" s="238" t="s">
        <v>1836</v>
      </c>
      <c r="G1050" s="238" t="s">
        <v>100</v>
      </c>
      <c r="H1050" s="239" t="s">
        <v>2865</v>
      </c>
      <c r="I1050" s="217"/>
      <c r="J1050" s="217"/>
      <c r="K1050" s="217"/>
      <c r="L1050" s="217"/>
      <c r="M1050" s="217"/>
      <c r="N1050" s="217"/>
      <c r="O1050" s="217"/>
      <c r="P1050" s="217"/>
    </row>
    <row r="1051" spans="1:16" s="219" customFormat="1" ht="45" hidden="1" x14ac:dyDescent="0.25">
      <c r="A1051" s="214"/>
      <c r="B1051" s="237">
        <v>1</v>
      </c>
      <c r="C1051" s="237">
        <v>3</v>
      </c>
      <c r="D1051" s="238" t="s">
        <v>2022</v>
      </c>
      <c r="E1051" s="238" t="s">
        <v>1836</v>
      </c>
      <c r="F1051" s="238" t="s">
        <v>1836</v>
      </c>
      <c r="G1051" s="238" t="s">
        <v>105</v>
      </c>
      <c r="H1051" s="239" t="s">
        <v>2866</v>
      </c>
      <c r="I1051" s="217"/>
      <c r="J1051" s="217"/>
      <c r="K1051" s="217"/>
      <c r="L1051" s="217"/>
      <c r="M1051" s="217"/>
      <c r="N1051" s="217"/>
      <c r="O1051" s="217"/>
      <c r="P1051" s="217"/>
    </row>
    <row r="1052" spans="1:16" s="219" customFormat="1" ht="60" hidden="1" x14ac:dyDescent="0.25">
      <c r="A1052" s="214"/>
      <c r="B1052" s="237">
        <v>1</v>
      </c>
      <c r="C1052" s="237">
        <v>3</v>
      </c>
      <c r="D1052" s="238" t="s">
        <v>2022</v>
      </c>
      <c r="E1052" s="238" t="s">
        <v>1836</v>
      </c>
      <c r="F1052" s="238" t="s">
        <v>1836</v>
      </c>
      <c r="G1052" s="238" t="s">
        <v>108</v>
      </c>
      <c r="H1052" s="239" t="s">
        <v>2867</v>
      </c>
      <c r="I1052" s="217"/>
      <c r="J1052" s="217"/>
      <c r="K1052" s="217"/>
      <c r="L1052" s="217"/>
      <c r="M1052" s="217"/>
      <c r="N1052" s="217"/>
      <c r="O1052" s="217"/>
      <c r="P1052" s="217"/>
    </row>
    <row r="1053" spans="1:16" s="219" customFormat="1" ht="45" hidden="1" x14ac:dyDescent="0.25">
      <c r="A1053" s="214"/>
      <c r="B1053" s="237">
        <v>1</v>
      </c>
      <c r="C1053" s="237">
        <v>3</v>
      </c>
      <c r="D1053" s="238" t="s">
        <v>2022</v>
      </c>
      <c r="E1053" s="238" t="s">
        <v>1836</v>
      </c>
      <c r="F1053" s="238" t="s">
        <v>1836</v>
      </c>
      <c r="G1053" s="238" t="s">
        <v>135</v>
      </c>
      <c r="H1053" s="239" t="s">
        <v>2868</v>
      </c>
      <c r="I1053" s="217"/>
      <c r="J1053" s="217"/>
      <c r="K1053" s="217"/>
      <c r="L1053" s="217"/>
      <c r="M1053" s="217"/>
      <c r="N1053" s="217"/>
      <c r="O1053" s="217"/>
      <c r="P1053" s="217"/>
    </row>
    <row r="1054" spans="1:16" s="219" customFormat="1" ht="45" hidden="1" x14ac:dyDescent="0.25">
      <c r="A1054" s="214"/>
      <c r="B1054" s="237">
        <v>1</v>
      </c>
      <c r="C1054" s="237">
        <v>3</v>
      </c>
      <c r="D1054" s="238" t="s">
        <v>2022</v>
      </c>
      <c r="E1054" s="238" t="s">
        <v>1836</v>
      </c>
      <c r="F1054" s="238" t="s">
        <v>1836</v>
      </c>
      <c r="G1054" s="238" t="s">
        <v>138</v>
      </c>
      <c r="H1054" s="239" t="s">
        <v>2869</v>
      </c>
      <c r="I1054" s="217"/>
      <c r="J1054" s="217"/>
      <c r="K1054" s="217"/>
      <c r="L1054" s="217"/>
      <c r="M1054" s="217"/>
      <c r="N1054" s="217"/>
      <c r="O1054" s="217"/>
      <c r="P1054" s="217"/>
    </row>
    <row r="1055" spans="1:16" s="219" customFormat="1" ht="60" hidden="1" x14ac:dyDescent="0.25">
      <c r="A1055" s="214"/>
      <c r="B1055" s="237">
        <v>1</v>
      </c>
      <c r="C1055" s="237">
        <v>3</v>
      </c>
      <c r="D1055" s="238" t="s">
        <v>2022</v>
      </c>
      <c r="E1055" s="238" t="s">
        <v>1836</v>
      </c>
      <c r="F1055" s="238" t="s">
        <v>1836</v>
      </c>
      <c r="G1055" s="238" t="s">
        <v>140</v>
      </c>
      <c r="H1055" s="239" t="s">
        <v>2870</v>
      </c>
      <c r="I1055" s="217"/>
      <c r="J1055" s="217"/>
      <c r="K1055" s="217"/>
      <c r="L1055" s="217"/>
      <c r="M1055" s="217"/>
      <c r="N1055" s="217"/>
      <c r="O1055" s="217"/>
      <c r="P1055" s="217"/>
    </row>
    <row r="1056" spans="1:16" s="219" customFormat="1" ht="60" hidden="1" x14ac:dyDescent="0.25">
      <c r="A1056" s="214"/>
      <c r="B1056" s="237">
        <v>1</v>
      </c>
      <c r="C1056" s="237">
        <v>3</v>
      </c>
      <c r="D1056" s="238" t="s">
        <v>2022</v>
      </c>
      <c r="E1056" s="238" t="s">
        <v>1836</v>
      </c>
      <c r="F1056" s="238" t="s">
        <v>1836</v>
      </c>
      <c r="G1056" s="238" t="s">
        <v>143</v>
      </c>
      <c r="H1056" s="239" t="s">
        <v>2871</v>
      </c>
      <c r="I1056" s="217"/>
      <c r="J1056" s="217"/>
      <c r="K1056" s="217"/>
      <c r="L1056" s="217"/>
      <c r="M1056" s="217"/>
      <c r="N1056" s="217"/>
      <c r="O1056" s="217"/>
      <c r="P1056" s="217"/>
    </row>
    <row r="1057" spans="1:16" s="219" customFormat="1" ht="60" hidden="1" x14ac:dyDescent="0.25">
      <c r="A1057" s="214"/>
      <c r="B1057" s="237">
        <v>1</v>
      </c>
      <c r="C1057" s="237">
        <v>3</v>
      </c>
      <c r="D1057" s="238" t="s">
        <v>2022</v>
      </c>
      <c r="E1057" s="238" t="s">
        <v>1836</v>
      </c>
      <c r="F1057" s="238" t="s">
        <v>1836</v>
      </c>
      <c r="G1057" s="238" t="s">
        <v>146</v>
      </c>
      <c r="H1057" s="239" t="s">
        <v>2872</v>
      </c>
      <c r="I1057" s="217"/>
      <c r="J1057" s="217"/>
      <c r="K1057" s="217"/>
      <c r="L1057" s="217"/>
      <c r="M1057" s="217"/>
      <c r="N1057" s="217"/>
      <c r="O1057" s="217"/>
      <c r="P1057" s="217"/>
    </row>
    <row r="1058" spans="1:16" s="219" customFormat="1" ht="45" hidden="1" x14ac:dyDescent="0.25">
      <c r="A1058" s="214"/>
      <c r="B1058" s="237">
        <v>1</v>
      </c>
      <c r="C1058" s="237">
        <v>3</v>
      </c>
      <c r="D1058" s="238" t="s">
        <v>2022</v>
      </c>
      <c r="E1058" s="238" t="s">
        <v>1836</v>
      </c>
      <c r="F1058" s="238" t="s">
        <v>1836</v>
      </c>
      <c r="G1058" s="238" t="s">
        <v>150</v>
      </c>
      <c r="H1058" s="239" t="s">
        <v>2873</v>
      </c>
      <c r="I1058" s="217"/>
      <c r="J1058" s="217"/>
      <c r="K1058" s="217"/>
      <c r="L1058" s="217"/>
      <c r="M1058" s="217"/>
      <c r="N1058" s="217"/>
      <c r="O1058" s="217"/>
      <c r="P1058" s="217"/>
    </row>
    <row r="1059" spans="1:16" s="219" customFormat="1" ht="45" hidden="1" x14ac:dyDescent="0.25">
      <c r="A1059" s="214"/>
      <c r="B1059" s="237">
        <v>1</v>
      </c>
      <c r="C1059" s="237">
        <v>3</v>
      </c>
      <c r="D1059" s="238" t="s">
        <v>2022</v>
      </c>
      <c r="E1059" s="238" t="s">
        <v>1836</v>
      </c>
      <c r="F1059" s="238" t="s">
        <v>1836</v>
      </c>
      <c r="G1059" s="238" t="s">
        <v>153</v>
      </c>
      <c r="H1059" s="239" t="s">
        <v>2874</v>
      </c>
      <c r="I1059" s="217"/>
      <c r="J1059" s="217"/>
      <c r="K1059" s="217"/>
      <c r="L1059" s="217"/>
      <c r="M1059" s="217"/>
      <c r="N1059" s="217"/>
      <c r="O1059" s="217"/>
      <c r="P1059" s="217"/>
    </row>
    <row r="1060" spans="1:16" s="219" customFormat="1" ht="45" hidden="1" x14ac:dyDescent="0.25">
      <c r="A1060" s="214"/>
      <c r="B1060" s="237">
        <v>1</v>
      </c>
      <c r="C1060" s="237">
        <v>3</v>
      </c>
      <c r="D1060" s="238" t="s">
        <v>2022</v>
      </c>
      <c r="E1060" s="238" t="s">
        <v>1836</v>
      </c>
      <c r="F1060" s="238" t="s">
        <v>1836</v>
      </c>
      <c r="G1060" s="238" t="s">
        <v>156</v>
      </c>
      <c r="H1060" s="239" t="s">
        <v>2875</v>
      </c>
      <c r="I1060" s="217"/>
      <c r="J1060" s="217"/>
      <c r="K1060" s="217"/>
      <c r="L1060" s="217"/>
      <c r="M1060" s="217"/>
      <c r="N1060" s="217"/>
      <c r="O1060" s="217"/>
      <c r="P1060" s="217"/>
    </row>
    <row r="1061" spans="1:16" s="219" customFormat="1" ht="60" hidden="1" x14ac:dyDescent="0.25">
      <c r="A1061" s="214"/>
      <c r="B1061" s="237">
        <v>1</v>
      </c>
      <c r="C1061" s="237">
        <v>3</v>
      </c>
      <c r="D1061" s="238" t="s">
        <v>2022</v>
      </c>
      <c r="E1061" s="238" t="s">
        <v>1836</v>
      </c>
      <c r="F1061" s="238" t="s">
        <v>1836</v>
      </c>
      <c r="G1061" s="238" t="s">
        <v>159</v>
      </c>
      <c r="H1061" s="239" t="s">
        <v>2876</v>
      </c>
      <c r="I1061" s="217"/>
      <c r="J1061" s="217"/>
      <c r="K1061" s="217"/>
      <c r="L1061" s="217"/>
      <c r="M1061" s="217"/>
      <c r="N1061" s="217"/>
      <c r="O1061" s="217"/>
      <c r="P1061" s="217"/>
    </row>
    <row r="1062" spans="1:16" s="219" customFormat="1" ht="60" hidden="1" x14ac:dyDescent="0.25">
      <c r="A1062" s="214"/>
      <c r="B1062" s="237">
        <v>1</v>
      </c>
      <c r="C1062" s="237">
        <v>3</v>
      </c>
      <c r="D1062" s="238" t="s">
        <v>2022</v>
      </c>
      <c r="E1062" s="238" t="s">
        <v>1836</v>
      </c>
      <c r="F1062" s="238" t="s">
        <v>1836</v>
      </c>
      <c r="G1062" s="238" t="s">
        <v>162</v>
      </c>
      <c r="H1062" s="239" t="s">
        <v>2877</v>
      </c>
      <c r="I1062" s="217"/>
      <c r="J1062" s="217"/>
      <c r="K1062" s="217"/>
      <c r="L1062" s="217"/>
      <c r="M1062" s="217"/>
      <c r="N1062" s="217"/>
      <c r="O1062" s="217"/>
      <c r="P1062" s="217"/>
    </row>
    <row r="1063" spans="1:16" s="219" customFormat="1" ht="60" hidden="1" x14ac:dyDescent="0.25">
      <c r="A1063" s="214"/>
      <c r="B1063" s="237">
        <v>1</v>
      </c>
      <c r="C1063" s="237">
        <v>3</v>
      </c>
      <c r="D1063" s="238" t="s">
        <v>2022</v>
      </c>
      <c r="E1063" s="238" t="s">
        <v>1836</v>
      </c>
      <c r="F1063" s="238" t="s">
        <v>1836</v>
      </c>
      <c r="G1063" s="238" t="s">
        <v>312</v>
      </c>
      <c r="H1063" s="239" t="s">
        <v>2878</v>
      </c>
      <c r="I1063" s="217"/>
      <c r="J1063" s="217"/>
      <c r="K1063" s="217"/>
      <c r="L1063" s="217"/>
      <c r="M1063" s="217"/>
      <c r="N1063" s="217"/>
      <c r="O1063" s="217"/>
      <c r="P1063" s="217"/>
    </row>
    <row r="1064" spans="1:16" s="219" customFormat="1" ht="60" hidden="1" x14ac:dyDescent="0.25">
      <c r="A1064" s="214"/>
      <c r="B1064" s="237">
        <v>1</v>
      </c>
      <c r="C1064" s="237">
        <v>3</v>
      </c>
      <c r="D1064" s="238" t="s">
        <v>2022</v>
      </c>
      <c r="E1064" s="238" t="s">
        <v>1836</v>
      </c>
      <c r="F1064" s="238" t="s">
        <v>1836</v>
      </c>
      <c r="G1064" s="238" t="s">
        <v>313</v>
      </c>
      <c r="H1064" s="239" t="s">
        <v>2879</v>
      </c>
      <c r="I1064" s="217"/>
      <c r="J1064" s="217"/>
      <c r="K1064" s="217"/>
      <c r="L1064" s="217"/>
      <c r="M1064" s="217"/>
      <c r="N1064" s="217"/>
      <c r="O1064" s="217"/>
      <c r="P1064" s="217"/>
    </row>
    <row r="1065" spans="1:16" s="219" customFormat="1" ht="45" hidden="1" x14ac:dyDescent="0.25">
      <c r="A1065" s="214"/>
      <c r="B1065" s="237">
        <v>1</v>
      </c>
      <c r="C1065" s="237">
        <v>3</v>
      </c>
      <c r="D1065" s="238" t="s">
        <v>2022</v>
      </c>
      <c r="E1065" s="238" t="s">
        <v>1836</v>
      </c>
      <c r="F1065" s="238" t="s">
        <v>1836</v>
      </c>
      <c r="G1065" s="238" t="s">
        <v>559</v>
      </c>
      <c r="H1065" s="239" t="s">
        <v>2880</v>
      </c>
      <c r="I1065" s="217"/>
      <c r="J1065" s="217"/>
      <c r="K1065" s="217"/>
      <c r="L1065" s="217"/>
      <c r="M1065" s="217"/>
      <c r="N1065" s="217"/>
      <c r="O1065" s="217"/>
      <c r="P1065" s="217"/>
    </row>
    <row r="1066" spans="1:16" s="219" customFormat="1" ht="45" hidden="1" x14ac:dyDescent="0.25">
      <c r="A1066" s="214"/>
      <c r="B1066" s="237">
        <v>1</v>
      </c>
      <c r="C1066" s="237">
        <v>3</v>
      </c>
      <c r="D1066" s="238" t="s">
        <v>2022</v>
      </c>
      <c r="E1066" s="238" t="s">
        <v>1836</v>
      </c>
      <c r="F1066" s="238" t="s">
        <v>1836</v>
      </c>
      <c r="G1066" s="238" t="s">
        <v>561</v>
      </c>
      <c r="H1066" s="239" t="s">
        <v>2881</v>
      </c>
      <c r="I1066" s="217"/>
      <c r="J1066" s="217"/>
      <c r="K1066" s="217"/>
      <c r="L1066" s="217"/>
      <c r="M1066" s="217"/>
      <c r="N1066" s="217"/>
      <c r="O1066" s="217"/>
      <c r="P1066" s="217"/>
    </row>
    <row r="1067" spans="1:16" s="213" customFormat="1" ht="30" hidden="1" x14ac:dyDescent="0.25">
      <c r="A1067" s="208" t="s">
        <v>263</v>
      </c>
      <c r="B1067" s="234">
        <v>1</v>
      </c>
      <c r="C1067" s="234">
        <v>3</v>
      </c>
      <c r="D1067" s="235" t="s">
        <v>2022</v>
      </c>
      <c r="E1067" s="235" t="s">
        <v>1836</v>
      </c>
      <c r="F1067" s="235" t="s">
        <v>1847</v>
      </c>
      <c r="G1067" s="234"/>
      <c r="H1067" s="210" t="s">
        <v>2882</v>
      </c>
      <c r="I1067" s="211">
        <f>SUM(I1068:I1111)</f>
        <v>0</v>
      </c>
      <c r="J1067" s="211">
        <f t="shared" ref="J1067:P1067" si="157">SUM(J1068:J1111)</f>
        <v>0</v>
      </c>
      <c r="K1067" s="211">
        <f t="shared" si="157"/>
        <v>0</v>
      </c>
      <c r="L1067" s="211">
        <f t="shared" si="157"/>
        <v>0</v>
      </c>
      <c r="M1067" s="211">
        <f t="shared" si="157"/>
        <v>0</v>
      </c>
      <c r="N1067" s="211">
        <f t="shared" si="157"/>
        <v>0</v>
      </c>
      <c r="O1067" s="211">
        <f t="shared" si="157"/>
        <v>0</v>
      </c>
      <c r="P1067" s="211">
        <f t="shared" si="157"/>
        <v>0</v>
      </c>
    </row>
    <row r="1068" spans="1:16" s="219" customFormat="1" ht="60" hidden="1" x14ac:dyDescent="0.25">
      <c r="A1068" s="214"/>
      <c r="B1068" s="237">
        <v>1</v>
      </c>
      <c r="C1068" s="237">
        <v>3</v>
      </c>
      <c r="D1068" s="238" t="s">
        <v>2022</v>
      </c>
      <c r="E1068" s="238" t="s">
        <v>1836</v>
      </c>
      <c r="F1068" s="238" t="s">
        <v>1847</v>
      </c>
      <c r="G1068" s="238" t="s">
        <v>58</v>
      </c>
      <c r="H1068" s="239" t="s">
        <v>2883</v>
      </c>
      <c r="I1068" s="217"/>
      <c r="J1068" s="217"/>
      <c r="K1068" s="217"/>
      <c r="L1068" s="217"/>
      <c r="M1068" s="217"/>
      <c r="N1068" s="217"/>
      <c r="O1068" s="217"/>
      <c r="P1068" s="217"/>
    </row>
    <row r="1069" spans="1:16" s="219" customFormat="1" ht="60" hidden="1" x14ac:dyDescent="0.25">
      <c r="A1069" s="214"/>
      <c r="B1069" s="237">
        <v>1</v>
      </c>
      <c r="C1069" s="237">
        <v>3</v>
      </c>
      <c r="D1069" s="238" t="s">
        <v>2022</v>
      </c>
      <c r="E1069" s="238" t="s">
        <v>1836</v>
      </c>
      <c r="F1069" s="238" t="s">
        <v>1847</v>
      </c>
      <c r="G1069" s="238" t="s">
        <v>75</v>
      </c>
      <c r="H1069" s="239" t="s">
        <v>2884</v>
      </c>
      <c r="I1069" s="217"/>
      <c r="J1069" s="217"/>
      <c r="K1069" s="217"/>
      <c r="L1069" s="217"/>
      <c r="M1069" s="217"/>
      <c r="N1069" s="217"/>
      <c r="O1069" s="217"/>
      <c r="P1069" s="217"/>
    </row>
    <row r="1070" spans="1:16" s="219" customFormat="1" ht="45" hidden="1" x14ac:dyDescent="0.25">
      <c r="A1070" s="214"/>
      <c r="B1070" s="237">
        <v>1</v>
      </c>
      <c r="C1070" s="237">
        <v>3</v>
      </c>
      <c r="D1070" s="238" t="s">
        <v>2022</v>
      </c>
      <c r="E1070" s="238" t="s">
        <v>1836</v>
      </c>
      <c r="F1070" s="238" t="s">
        <v>1847</v>
      </c>
      <c r="G1070" s="238" t="s">
        <v>79</v>
      </c>
      <c r="H1070" s="239" t="s">
        <v>2885</v>
      </c>
      <c r="I1070" s="217"/>
      <c r="J1070" s="217"/>
      <c r="K1070" s="217"/>
      <c r="L1070" s="217"/>
      <c r="M1070" s="217"/>
      <c r="N1070" s="217"/>
      <c r="O1070" s="217"/>
      <c r="P1070" s="217"/>
    </row>
    <row r="1071" spans="1:16" s="219" customFormat="1" ht="45" hidden="1" x14ac:dyDescent="0.25">
      <c r="A1071" s="214"/>
      <c r="B1071" s="237">
        <v>1</v>
      </c>
      <c r="C1071" s="237">
        <v>3</v>
      </c>
      <c r="D1071" s="238" t="s">
        <v>2022</v>
      </c>
      <c r="E1071" s="238" t="s">
        <v>1836</v>
      </c>
      <c r="F1071" s="238" t="s">
        <v>1847</v>
      </c>
      <c r="G1071" s="238" t="s">
        <v>84</v>
      </c>
      <c r="H1071" s="239" t="s">
        <v>2886</v>
      </c>
      <c r="I1071" s="217"/>
      <c r="J1071" s="217"/>
      <c r="K1071" s="217"/>
      <c r="L1071" s="217"/>
      <c r="M1071" s="217"/>
      <c r="N1071" s="217"/>
      <c r="O1071" s="217"/>
      <c r="P1071" s="217"/>
    </row>
    <row r="1072" spans="1:16" s="219" customFormat="1" ht="45" hidden="1" x14ac:dyDescent="0.25">
      <c r="A1072" s="214"/>
      <c r="B1072" s="237">
        <v>1</v>
      </c>
      <c r="C1072" s="237">
        <v>3</v>
      </c>
      <c r="D1072" s="238" t="s">
        <v>2022</v>
      </c>
      <c r="E1072" s="238" t="s">
        <v>1836</v>
      </c>
      <c r="F1072" s="238" t="s">
        <v>1847</v>
      </c>
      <c r="G1072" s="238" t="s">
        <v>88</v>
      </c>
      <c r="H1072" s="239" t="s">
        <v>2887</v>
      </c>
      <c r="I1072" s="217"/>
      <c r="J1072" s="217"/>
      <c r="K1072" s="217"/>
      <c r="L1072" s="217"/>
      <c r="M1072" s="217"/>
      <c r="N1072" s="217"/>
      <c r="O1072" s="217"/>
      <c r="P1072" s="217"/>
    </row>
    <row r="1073" spans="1:16" s="219" customFormat="1" ht="45" hidden="1" x14ac:dyDescent="0.25">
      <c r="A1073" s="214"/>
      <c r="B1073" s="237">
        <v>1</v>
      </c>
      <c r="C1073" s="237">
        <v>3</v>
      </c>
      <c r="D1073" s="238" t="s">
        <v>2022</v>
      </c>
      <c r="E1073" s="238" t="s">
        <v>1836</v>
      </c>
      <c r="F1073" s="238" t="s">
        <v>1847</v>
      </c>
      <c r="G1073" s="238" t="s">
        <v>92</v>
      </c>
      <c r="H1073" s="239" t="s">
        <v>2888</v>
      </c>
      <c r="I1073" s="217"/>
      <c r="J1073" s="217"/>
      <c r="K1073" s="217"/>
      <c r="L1073" s="217"/>
      <c r="M1073" s="217"/>
      <c r="N1073" s="217"/>
      <c r="O1073" s="217"/>
      <c r="P1073" s="217"/>
    </row>
    <row r="1074" spans="1:16" s="219" customFormat="1" ht="45" hidden="1" x14ac:dyDescent="0.25">
      <c r="A1074" s="214"/>
      <c r="B1074" s="237">
        <v>1</v>
      </c>
      <c r="C1074" s="237">
        <v>3</v>
      </c>
      <c r="D1074" s="238" t="s">
        <v>2022</v>
      </c>
      <c r="E1074" s="238" t="s">
        <v>1836</v>
      </c>
      <c r="F1074" s="238" t="s">
        <v>1847</v>
      </c>
      <c r="G1074" s="238" t="s">
        <v>96</v>
      </c>
      <c r="H1074" s="239" t="s">
        <v>2889</v>
      </c>
      <c r="I1074" s="217"/>
      <c r="J1074" s="217"/>
      <c r="K1074" s="217"/>
      <c r="L1074" s="217"/>
      <c r="M1074" s="217"/>
      <c r="N1074" s="217"/>
      <c r="O1074" s="217"/>
      <c r="P1074" s="217"/>
    </row>
    <row r="1075" spans="1:16" s="219" customFormat="1" ht="30" hidden="1" x14ac:dyDescent="0.25">
      <c r="A1075" s="214"/>
      <c r="B1075" s="237">
        <v>1</v>
      </c>
      <c r="C1075" s="237">
        <v>3</v>
      </c>
      <c r="D1075" s="238" t="s">
        <v>2022</v>
      </c>
      <c r="E1075" s="238" t="s">
        <v>1836</v>
      </c>
      <c r="F1075" s="238" t="s">
        <v>1847</v>
      </c>
      <c r="G1075" s="238" t="s">
        <v>100</v>
      </c>
      <c r="H1075" s="239" t="s">
        <v>2890</v>
      </c>
      <c r="I1075" s="217"/>
      <c r="J1075" s="217"/>
      <c r="K1075" s="217"/>
      <c r="L1075" s="217"/>
      <c r="M1075" s="217"/>
      <c r="N1075" s="217"/>
      <c r="O1075" s="217"/>
      <c r="P1075" s="217"/>
    </row>
    <row r="1076" spans="1:16" s="219" customFormat="1" ht="45" hidden="1" x14ac:dyDescent="0.25">
      <c r="A1076" s="214"/>
      <c r="B1076" s="237">
        <v>1</v>
      </c>
      <c r="C1076" s="237">
        <v>3</v>
      </c>
      <c r="D1076" s="238" t="s">
        <v>2022</v>
      </c>
      <c r="E1076" s="238" t="s">
        <v>1836</v>
      </c>
      <c r="F1076" s="238" t="s">
        <v>1847</v>
      </c>
      <c r="G1076" s="238" t="s">
        <v>105</v>
      </c>
      <c r="H1076" s="239" t="s">
        <v>2891</v>
      </c>
      <c r="I1076" s="217"/>
      <c r="J1076" s="217"/>
      <c r="K1076" s="217"/>
      <c r="L1076" s="217"/>
      <c r="M1076" s="217"/>
      <c r="N1076" s="217"/>
      <c r="O1076" s="217"/>
      <c r="P1076" s="217"/>
    </row>
    <row r="1077" spans="1:16" s="219" customFormat="1" ht="45" hidden="1" x14ac:dyDescent="0.25">
      <c r="A1077" s="214"/>
      <c r="B1077" s="237">
        <v>1</v>
      </c>
      <c r="C1077" s="237">
        <v>3</v>
      </c>
      <c r="D1077" s="238" t="s">
        <v>2022</v>
      </c>
      <c r="E1077" s="238" t="s">
        <v>1836</v>
      </c>
      <c r="F1077" s="238" t="s">
        <v>1847</v>
      </c>
      <c r="G1077" s="238" t="s">
        <v>108</v>
      </c>
      <c r="H1077" s="239" t="s">
        <v>2892</v>
      </c>
      <c r="I1077" s="217"/>
      <c r="J1077" s="217"/>
      <c r="K1077" s="217"/>
      <c r="L1077" s="217"/>
      <c r="M1077" s="217"/>
      <c r="N1077" s="217"/>
      <c r="O1077" s="217"/>
      <c r="P1077" s="217"/>
    </row>
    <row r="1078" spans="1:16" s="219" customFormat="1" ht="45" hidden="1" x14ac:dyDescent="0.25">
      <c r="A1078" s="214"/>
      <c r="B1078" s="237">
        <v>1</v>
      </c>
      <c r="C1078" s="237">
        <v>3</v>
      </c>
      <c r="D1078" s="238" t="s">
        <v>2022</v>
      </c>
      <c r="E1078" s="238" t="s">
        <v>1836</v>
      </c>
      <c r="F1078" s="238" t="s">
        <v>1847</v>
      </c>
      <c r="G1078" s="238" t="s">
        <v>135</v>
      </c>
      <c r="H1078" s="239" t="s">
        <v>2893</v>
      </c>
      <c r="I1078" s="217"/>
      <c r="J1078" s="217"/>
      <c r="K1078" s="217"/>
      <c r="L1078" s="217"/>
      <c r="M1078" s="217"/>
      <c r="N1078" s="217"/>
      <c r="O1078" s="217"/>
      <c r="P1078" s="217"/>
    </row>
    <row r="1079" spans="1:16" s="219" customFormat="1" ht="45" hidden="1" x14ac:dyDescent="0.25">
      <c r="A1079" s="214"/>
      <c r="B1079" s="237">
        <v>1</v>
      </c>
      <c r="C1079" s="237">
        <v>3</v>
      </c>
      <c r="D1079" s="238" t="s">
        <v>2022</v>
      </c>
      <c r="E1079" s="238" t="s">
        <v>1836</v>
      </c>
      <c r="F1079" s="238" t="s">
        <v>1847</v>
      </c>
      <c r="G1079" s="238" t="s">
        <v>138</v>
      </c>
      <c r="H1079" s="239" t="s">
        <v>2894</v>
      </c>
      <c r="I1079" s="217"/>
      <c r="J1079" s="217"/>
      <c r="K1079" s="217"/>
      <c r="L1079" s="217"/>
      <c r="M1079" s="217"/>
      <c r="N1079" s="217"/>
      <c r="O1079" s="217"/>
      <c r="P1079" s="217"/>
    </row>
    <row r="1080" spans="1:16" s="219" customFormat="1" ht="45" hidden="1" x14ac:dyDescent="0.25">
      <c r="A1080" s="214"/>
      <c r="B1080" s="237">
        <v>1</v>
      </c>
      <c r="C1080" s="237">
        <v>3</v>
      </c>
      <c r="D1080" s="238" t="s">
        <v>2022</v>
      </c>
      <c r="E1080" s="238" t="s">
        <v>1836</v>
      </c>
      <c r="F1080" s="238" t="s">
        <v>1847</v>
      </c>
      <c r="G1080" s="238" t="s">
        <v>140</v>
      </c>
      <c r="H1080" s="239" t="s">
        <v>2895</v>
      </c>
      <c r="I1080" s="217"/>
      <c r="J1080" s="217"/>
      <c r="K1080" s="217"/>
      <c r="L1080" s="217"/>
      <c r="M1080" s="217"/>
      <c r="N1080" s="217"/>
      <c r="O1080" s="217"/>
      <c r="P1080" s="217"/>
    </row>
    <row r="1081" spans="1:16" s="219" customFormat="1" ht="45" hidden="1" x14ac:dyDescent="0.25">
      <c r="A1081" s="214"/>
      <c r="B1081" s="237">
        <v>1</v>
      </c>
      <c r="C1081" s="237">
        <v>3</v>
      </c>
      <c r="D1081" s="238" t="s">
        <v>2022</v>
      </c>
      <c r="E1081" s="238" t="s">
        <v>1836</v>
      </c>
      <c r="F1081" s="238" t="s">
        <v>1847</v>
      </c>
      <c r="G1081" s="238" t="s">
        <v>143</v>
      </c>
      <c r="H1081" s="239" t="s">
        <v>2896</v>
      </c>
      <c r="I1081" s="217"/>
      <c r="J1081" s="217"/>
      <c r="K1081" s="217"/>
      <c r="L1081" s="217"/>
      <c r="M1081" s="217"/>
      <c r="N1081" s="217"/>
      <c r="O1081" s="217"/>
      <c r="P1081" s="217"/>
    </row>
    <row r="1082" spans="1:16" s="219" customFormat="1" ht="45" hidden="1" x14ac:dyDescent="0.25">
      <c r="A1082" s="214"/>
      <c r="B1082" s="237">
        <v>1</v>
      </c>
      <c r="C1082" s="237">
        <v>3</v>
      </c>
      <c r="D1082" s="238" t="s">
        <v>2022</v>
      </c>
      <c r="E1082" s="238" t="s">
        <v>1836</v>
      </c>
      <c r="F1082" s="238" t="s">
        <v>1847</v>
      </c>
      <c r="G1082" s="238" t="s">
        <v>146</v>
      </c>
      <c r="H1082" s="239" t="s">
        <v>2897</v>
      </c>
      <c r="I1082" s="217"/>
      <c r="J1082" s="217"/>
      <c r="K1082" s="217"/>
      <c r="L1082" s="217"/>
      <c r="M1082" s="217"/>
      <c r="N1082" s="217"/>
      <c r="O1082" s="217"/>
      <c r="P1082" s="217"/>
    </row>
    <row r="1083" spans="1:16" s="219" customFormat="1" ht="45" hidden="1" x14ac:dyDescent="0.25">
      <c r="A1083" s="214"/>
      <c r="B1083" s="237">
        <v>1</v>
      </c>
      <c r="C1083" s="237">
        <v>3</v>
      </c>
      <c r="D1083" s="238" t="s">
        <v>2022</v>
      </c>
      <c r="E1083" s="238" t="s">
        <v>1836</v>
      </c>
      <c r="F1083" s="238" t="s">
        <v>1847</v>
      </c>
      <c r="G1083" s="238" t="s">
        <v>150</v>
      </c>
      <c r="H1083" s="239" t="s">
        <v>2898</v>
      </c>
      <c r="I1083" s="217"/>
      <c r="J1083" s="217"/>
      <c r="K1083" s="217"/>
      <c r="L1083" s="217"/>
      <c r="M1083" s="217"/>
      <c r="N1083" s="217"/>
      <c r="O1083" s="217"/>
      <c r="P1083" s="217"/>
    </row>
    <row r="1084" spans="1:16" s="219" customFormat="1" ht="45" hidden="1" x14ac:dyDescent="0.25">
      <c r="A1084" s="214"/>
      <c r="B1084" s="237">
        <v>1</v>
      </c>
      <c r="C1084" s="237">
        <v>3</v>
      </c>
      <c r="D1084" s="238" t="s">
        <v>2022</v>
      </c>
      <c r="E1084" s="238" t="s">
        <v>1836</v>
      </c>
      <c r="F1084" s="238" t="s">
        <v>1847</v>
      </c>
      <c r="G1084" s="238" t="s">
        <v>153</v>
      </c>
      <c r="H1084" s="239" t="s">
        <v>2899</v>
      </c>
      <c r="I1084" s="217"/>
      <c r="J1084" s="217"/>
      <c r="K1084" s="217"/>
      <c r="L1084" s="217"/>
      <c r="M1084" s="217"/>
      <c r="N1084" s="217"/>
      <c r="O1084" s="217"/>
      <c r="P1084" s="217"/>
    </row>
    <row r="1085" spans="1:16" s="219" customFormat="1" ht="45" hidden="1" x14ac:dyDescent="0.25">
      <c r="A1085" s="214"/>
      <c r="B1085" s="237">
        <v>1</v>
      </c>
      <c r="C1085" s="237">
        <v>3</v>
      </c>
      <c r="D1085" s="238" t="s">
        <v>2022</v>
      </c>
      <c r="E1085" s="238" t="s">
        <v>1836</v>
      </c>
      <c r="F1085" s="238" t="s">
        <v>1847</v>
      </c>
      <c r="G1085" s="238" t="s">
        <v>156</v>
      </c>
      <c r="H1085" s="239" t="s">
        <v>2900</v>
      </c>
      <c r="I1085" s="217"/>
      <c r="J1085" s="217"/>
      <c r="K1085" s="217"/>
      <c r="L1085" s="217"/>
      <c r="M1085" s="217"/>
      <c r="N1085" s="217"/>
      <c r="O1085" s="217"/>
      <c r="P1085" s="217"/>
    </row>
    <row r="1086" spans="1:16" s="219" customFormat="1" ht="45" hidden="1" x14ac:dyDescent="0.25">
      <c r="A1086" s="214"/>
      <c r="B1086" s="237">
        <v>1</v>
      </c>
      <c r="C1086" s="237">
        <v>3</v>
      </c>
      <c r="D1086" s="238" t="s">
        <v>2022</v>
      </c>
      <c r="E1086" s="238" t="s">
        <v>1836</v>
      </c>
      <c r="F1086" s="238" t="s">
        <v>1847</v>
      </c>
      <c r="G1086" s="238" t="s">
        <v>159</v>
      </c>
      <c r="H1086" s="239" t="s">
        <v>2901</v>
      </c>
      <c r="I1086" s="217"/>
      <c r="J1086" s="217"/>
      <c r="K1086" s="217"/>
      <c r="L1086" s="217"/>
      <c r="M1086" s="217"/>
      <c r="N1086" s="217"/>
      <c r="O1086" s="217"/>
      <c r="P1086" s="217"/>
    </row>
    <row r="1087" spans="1:16" s="219" customFormat="1" ht="45" hidden="1" x14ac:dyDescent="0.25">
      <c r="A1087" s="214"/>
      <c r="B1087" s="237">
        <v>1</v>
      </c>
      <c r="C1087" s="237">
        <v>3</v>
      </c>
      <c r="D1087" s="238" t="s">
        <v>2022</v>
      </c>
      <c r="E1087" s="238" t="s">
        <v>1836</v>
      </c>
      <c r="F1087" s="238" t="s">
        <v>1847</v>
      </c>
      <c r="G1087" s="238" t="s">
        <v>162</v>
      </c>
      <c r="H1087" s="239" t="s">
        <v>2901</v>
      </c>
      <c r="I1087" s="217"/>
      <c r="J1087" s="217"/>
      <c r="K1087" s="217"/>
      <c r="L1087" s="217"/>
      <c r="M1087" s="217"/>
      <c r="N1087" s="217"/>
      <c r="O1087" s="217"/>
      <c r="P1087" s="217"/>
    </row>
    <row r="1088" spans="1:16" s="219" customFormat="1" ht="45" hidden="1" x14ac:dyDescent="0.25">
      <c r="A1088" s="214"/>
      <c r="B1088" s="237">
        <v>1</v>
      </c>
      <c r="C1088" s="237">
        <v>3</v>
      </c>
      <c r="D1088" s="238" t="s">
        <v>2022</v>
      </c>
      <c r="E1088" s="238" t="s">
        <v>1836</v>
      </c>
      <c r="F1088" s="238" t="s">
        <v>1847</v>
      </c>
      <c r="G1088" s="238" t="s">
        <v>312</v>
      </c>
      <c r="H1088" s="239" t="s">
        <v>2902</v>
      </c>
      <c r="I1088" s="217"/>
      <c r="J1088" s="217"/>
      <c r="K1088" s="217"/>
      <c r="L1088" s="217"/>
      <c r="M1088" s="217"/>
      <c r="N1088" s="217"/>
      <c r="O1088" s="217"/>
      <c r="P1088" s="217"/>
    </row>
    <row r="1089" spans="1:16" s="219" customFormat="1" ht="45" hidden="1" x14ac:dyDescent="0.25">
      <c r="A1089" s="214"/>
      <c r="B1089" s="237">
        <v>1</v>
      </c>
      <c r="C1089" s="237">
        <v>3</v>
      </c>
      <c r="D1089" s="238" t="s">
        <v>2022</v>
      </c>
      <c r="E1089" s="238" t="s">
        <v>1836</v>
      </c>
      <c r="F1089" s="238" t="s">
        <v>1847</v>
      </c>
      <c r="G1089" s="238" t="s">
        <v>313</v>
      </c>
      <c r="H1089" s="239" t="s">
        <v>2903</v>
      </c>
      <c r="I1089" s="217"/>
      <c r="J1089" s="217"/>
      <c r="K1089" s="217"/>
      <c r="L1089" s="217"/>
      <c r="M1089" s="217"/>
      <c r="N1089" s="217"/>
      <c r="O1089" s="217"/>
      <c r="P1089" s="217"/>
    </row>
    <row r="1090" spans="1:16" s="219" customFormat="1" ht="45" hidden="1" x14ac:dyDescent="0.25">
      <c r="A1090" s="214"/>
      <c r="B1090" s="237">
        <v>1</v>
      </c>
      <c r="C1090" s="237">
        <v>3</v>
      </c>
      <c r="D1090" s="238" t="s">
        <v>2022</v>
      </c>
      <c r="E1090" s="238" t="s">
        <v>1836</v>
      </c>
      <c r="F1090" s="238" t="s">
        <v>1847</v>
      </c>
      <c r="G1090" s="238" t="s">
        <v>559</v>
      </c>
      <c r="H1090" s="239" t="s">
        <v>2904</v>
      </c>
      <c r="I1090" s="217"/>
      <c r="J1090" s="217"/>
      <c r="K1090" s="217"/>
      <c r="L1090" s="217"/>
      <c r="M1090" s="217"/>
      <c r="N1090" s="217"/>
      <c r="O1090" s="217"/>
      <c r="P1090" s="217"/>
    </row>
    <row r="1091" spans="1:16" s="219" customFormat="1" ht="30" hidden="1" x14ac:dyDescent="0.25">
      <c r="A1091" s="214"/>
      <c r="B1091" s="237">
        <v>1</v>
      </c>
      <c r="C1091" s="237">
        <v>3</v>
      </c>
      <c r="D1091" s="238" t="s">
        <v>2022</v>
      </c>
      <c r="E1091" s="238" t="s">
        <v>1836</v>
      </c>
      <c r="F1091" s="238" t="s">
        <v>1847</v>
      </c>
      <c r="G1091" s="238" t="s">
        <v>561</v>
      </c>
      <c r="H1091" s="239" t="s">
        <v>2905</v>
      </c>
      <c r="I1091" s="217"/>
      <c r="J1091" s="217"/>
      <c r="K1091" s="217"/>
      <c r="L1091" s="217"/>
      <c r="M1091" s="217"/>
      <c r="N1091" s="217"/>
      <c r="O1091" s="217"/>
      <c r="P1091" s="217"/>
    </row>
    <row r="1092" spans="1:16" s="219" customFormat="1" ht="30" hidden="1" x14ac:dyDescent="0.25">
      <c r="A1092" s="214"/>
      <c r="B1092" s="237">
        <v>1</v>
      </c>
      <c r="C1092" s="237">
        <v>3</v>
      </c>
      <c r="D1092" s="238" t="s">
        <v>2022</v>
      </c>
      <c r="E1092" s="238" t="s">
        <v>1836</v>
      </c>
      <c r="F1092" s="238" t="s">
        <v>1847</v>
      </c>
      <c r="G1092" s="238" t="s">
        <v>563</v>
      </c>
      <c r="H1092" s="239" t="s">
        <v>2906</v>
      </c>
      <c r="I1092" s="217"/>
      <c r="J1092" s="217"/>
      <c r="K1092" s="217"/>
      <c r="L1092" s="217"/>
      <c r="M1092" s="217"/>
      <c r="N1092" s="217"/>
      <c r="O1092" s="217"/>
      <c r="P1092" s="217"/>
    </row>
    <row r="1093" spans="1:16" s="219" customFormat="1" ht="30" hidden="1" x14ac:dyDescent="0.25">
      <c r="A1093" s="214"/>
      <c r="B1093" s="237">
        <v>1</v>
      </c>
      <c r="C1093" s="237">
        <v>3</v>
      </c>
      <c r="D1093" s="238" t="s">
        <v>2022</v>
      </c>
      <c r="E1093" s="238" t="s">
        <v>1836</v>
      </c>
      <c r="F1093" s="238" t="s">
        <v>1847</v>
      </c>
      <c r="G1093" s="238" t="s">
        <v>227</v>
      </c>
      <c r="H1093" s="239" t="s">
        <v>2907</v>
      </c>
      <c r="I1093" s="217"/>
      <c r="J1093" s="217"/>
      <c r="K1093" s="217"/>
      <c r="L1093" s="217"/>
      <c r="M1093" s="217"/>
      <c r="N1093" s="217"/>
      <c r="O1093" s="217"/>
      <c r="P1093" s="217"/>
    </row>
    <row r="1094" spans="1:16" s="219" customFormat="1" ht="30" hidden="1" x14ac:dyDescent="0.25">
      <c r="A1094" s="214"/>
      <c r="B1094" s="237">
        <v>1</v>
      </c>
      <c r="C1094" s="237">
        <v>3</v>
      </c>
      <c r="D1094" s="238" t="s">
        <v>2022</v>
      </c>
      <c r="E1094" s="238" t="s">
        <v>1836</v>
      </c>
      <c r="F1094" s="238" t="s">
        <v>1847</v>
      </c>
      <c r="G1094" s="238" t="s">
        <v>230</v>
      </c>
      <c r="H1094" s="239" t="s">
        <v>2908</v>
      </c>
      <c r="I1094" s="217"/>
      <c r="J1094" s="217"/>
      <c r="K1094" s="217"/>
      <c r="L1094" s="217"/>
      <c r="M1094" s="217"/>
      <c r="N1094" s="217"/>
      <c r="O1094" s="217"/>
      <c r="P1094" s="217"/>
    </row>
    <row r="1095" spans="1:16" s="219" customFormat="1" ht="30" hidden="1" x14ac:dyDescent="0.25">
      <c r="A1095" s="214"/>
      <c r="B1095" s="237">
        <v>1</v>
      </c>
      <c r="C1095" s="237">
        <v>3</v>
      </c>
      <c r="D1095" s="238" t="s">
        <v>2022</v>
      </c>
      <c r="E1095" s="238" t="s">
        <v>1836</v>
      </c>
      <c r="F1095" s="238" t="s">
        <v>1847</v>
      </c>
      <c r="G1095" s="238" t="s">
        <v>232</v>
      </c>
      <c r="H1095" s="239" t="s">
        <v>2909</v>
      </c>
      <c r="I1095" s="217"/>
      <c r="J1095" s="217"/>
      <c r="K1095" s="217"/>
      <c r="L1095" s="217"/>
      <c r="M1095" s="217"/>
      <c r="N1095" s="217"/>
      <c r="O1095" s="217"/>
      <c r="P1095" s="217"/>
    </row>
    <row r="1096" spans="1:16" s="219" customFormat="1" ht="30" hidden="1" x14ac:dyDescent="0.25">
      <c r="A1096" s="214"/>
      <c r="B1096" s="237">
        <v>1</v>
      </c>
      <c r="C1096" s="237">
        <v>3</v>
      </c>
      <c r="D1096" s="238" t="s">
        <v>2022</v>
      </c>
      <c r="E1096" s="238" t="s">
        <v>1836</v>
      </c>
      <c r="F1096" s="238" t="s">
        <v>1847</v>
      </c>
      <c r="G1096" s="238" t="s">
        <v>234</v>
      </c>
      <c r="H1096" s="239" t="s">
        <v>2910</v>
      </c>
      <c r="I1096" s="217"/>
      <c r="J1096" s="217"/>
      <c r="K1096" s="217"/>
      <c r="L1096" s="217"/>
      <c r="M1096" s="217"/>
      <c r="N1096" s="217"/>
      <c r="O1096" s="217"/>
      <c r="P1096" s="217"/>
    </row>
    <row r="1097" spans="1:16" s="219" customFormat="1" ht="30" hidden="1" x14ac:dyDescent="0.25">
      <c r="A1097" s="214"/>
      <c r="B1097" s="237">
        <v>1</v>
      </c>
      <c r="C1097" s="237">
        <v>3</v>
      </c>
      <c r="D1097" s="238" t="s">
        <v>2022</v>
      </c>
      <c r="E1097" s="238" t="s">
        <v>1836</v>
      </c>
      <c r="F1097" s="238" t="s">
        <v>1847</v>
      </c>
      <c r="G1097" s="238" t="s">
        <v>236</v>
      </c>
      <c r="H1097" s="239" t="s">
        <v>2911</v>
      </c>
      <c r="I1097" s="217"/>
      <c r="J1097" s="217"/>
      <c r="K1097" s="217"/>
      <c r="L1097" s="217"/>
      <c r="M1097" s="217"/>
      <c r="N1097" s="217"/>
      <c r="O1097" s="217"/>
      <c r="P1097" s="217"/>
    </row>
    <row r="1098" spans="1:16" s="219" customFormat="1" ht="30" hidden="1" x14ac:dyDescent="0.25">
      <c r="A1098" s="214"/>
      <c r="B1098" s="237">
        <v>1</v>
      </c>
      <c r="C1098" s="237">
        <v>3</v>
      </c>
      <c r="D1098" s="238" t="s">
        <v>2022</v>
      </c>
      <c r="E1098" s="238" t="s">
        <v>1836</v>
      </c>
      <c r="F1098" s="238" t="s">
        <v>1847</v>
      </c>
      <c r="G1098" s="238" t="s">
        <v>238</v>
      </c>
      <c r="H1098" s="239" t="s">
        <v>2912</v>
      </c>
      <c r="I1098" s="217"/>
      <c r="J1098" s="217"/>
      <c r="K1098" s="217"/>
      <c r="L1098" s="217"/>
      <c r="M1098" s="217"/>
      <c r="N1098" s="217"/>
      <c r="O1098" s="217"/>
      <c r="P1098" s="217"/>
    </row>
    <row r="1099" spans="1:16" s="219" customFormat="1" ht="30" hidden="1" x14ac:dyDescent="0.25">
      <c r="A1099" s="214"/>
      <c r="B1099" s="237">
        <v>1</v>
      </c>
      <c r="C1099" s="237">
        <v>3</v>
      </c>
      <c r="D1099" s="238" t="s">
        <v>2022</v>
      </c>
      <c r="E1099" s="238" t="s">
        <v>1836</v>
      </c>
      <c r="F1099" s="238" t="s">
        <v>1847</v>
      </c>
      <c r="G1099" s="238" t="s">
        <v>240</v>
      </c>
      <c r="H1099" s="239" t="s">
        <v>2913</v>
      </c>
      <c r="I1099" s="217"/>
      <c r="J1099" s="217"/>
      <c r="K1099" s="217"/>
      <c r="L1099" s="217"/>
      <c r="M1099" s="217"/>
      <c r="N1099" s="217"/>
      <c r="O1099" s="217"/>
      <c r="P1099" s="217"/>
    </row>
    <row r="1100" spans="1:16" s="219" customFormat="1" ht="30" hidden="1" x14ac:dyDescent="0.25">
      <c r="A1100" s="214"/>
      <c r="B1100" s="237">
        <v>1</v>
      </c>
      <c r="C1100" s="237">
        <v>3</v>
      </c>
      <c r="D1100" s="238" t="s">
        <v>2022</v>
      </c>
      <c r="E1100" s="238" t="s">
        <v>1836</v>
      </c>
      <c r="F1100" s="238" t="s">
        <v>1847</v>
      </c>
      <c r="G1100" s="238" t="s">
        <v>242</v>
      </c>
      <c r="H1100" s="239" t="s">
        <v>2914</v>
      </c>
      <c r="I1100" s="217"/>
      <c r="J1100" s="217"/>
      <c r="K1100" s="217"/>
      <c r="L1100" s="217"/>
      <c r="M1100" s="217"/>
      <c r="N1100" s="217"/>
      <c r="O1100" s="217"/>
      <c r="P1100" s="217"/>
    </row>
    <row r="1101" spans="1:16" s="219" customFormat="1" ht="30" hidden="1" x14ac:dyDescent="0.25">
      <c r="A1101" s="214"/>
      <c r="B1101" s="237">
        <v>1</v>
      </c>
      <c r="C1101" s="237">
        <v>3</v>
      </c>
      <c r="D1101" s="238" t="s">
        <v>2022</v>
      </c>
      <c r="E1101" s="238" t="s">
        <v>1836</v>
      </c>
      <c r="F1101" s="238" t="s">
        <v>1847</v>
      </c>
      <c r="G1101" s="238" t="s">
        <v>244</v>
      </c>
      <c r="H1101" s="239" t="s">
        <v>2915</v>
      </c>
      <c r="I1101" s="217"/>
      <c r="J1101" s="217"/>
      <c r="K1101" s="217"/>
      <c r="L1101" s="217"/>
      <c r="M1101" s="217"/>
      <c r="N1101" s="217"/>
      <c r="O1101" s="217"/>
      <c r="P1101" s="217"/>
    </row>
    <row r="1102" spans="1:16" s="219" customFormat="1" ht="30" hidden="1" x14ac:dyDescent="0.25">
      <c r="A1102" s="214"/>
      <c r="B1102" s="237">
        <v>1</v>
      </c>
      <c r="C1102" s="237">
        <v>3</v>
      </c>
      <c r="D1102" s="238" t="s">
        <v>2022</v>
      </c>
      <c r="E1102" s="238" t="s">
        <v>1836</v>
      </c>
      <c r="F1102" s="238" t="s">
        <v>1847</v>
      </c>
      <c r="G1102" s="238" t="s">
        <v>246</v>
      </c>
      <c r="H1102" s="239" t="s">
        <v>2916</v>
      </c>
      <c r="I1102" s="217"/>
      <c r="J1102" s="217"/>
      <c r="K1102" s="217"/>
      <c r="L1102" s="217"/>
      <c r="M1102" s="217"/>
      <c r="N1102" s="217"/>
      <c r="O1102" s="217"/>
      <c r="P1102" s="217"/>
    </row>
    <row r="1103" spans="1:16" s="219" customFormat="1" ht="30" hidden="1" x14ac:dyDescent="0.25">
      <c r="A1103" s="214"/>
      <c r="B1103" s="237">
        <v>1</v>
      </c>
      <c r="C1103" s="237">
        <v>3</v>
      </c>
      <c r="D1103" s="238" t="s">
        <v>2022</v>
      </c>
      <c r="E1103" s="238" t="s">
        <v>1836</v>
      </c>
      <c r="F1103" s="238" t="s">
        <v>1847</v>
      </c>
      <c r="G1103" s="238" t="s">
        <v>407</v>
      </c>
      <c r="H1103" s="239" t="s">
        <v>2917</v>
      </c>
      <c r="I1103" s="217"/>
      <c r="J1103" s="217"/>
      <c r="K1103" s="217"/>
      <c r="L1103" s="217"/>
      <c r="M1103" s="217"/>
      <c r="N1103" s="217"/>
      <c r="O1103" s="217"/>
      <c r="P1103" s="217"/>
    </row>
    <row r="1104" spans="1:16" s="219" customFormat="1" ht="30" hidden="1" x14ac:dyDescent="0.25">
      <c r="A1104" s="214"/>
      <c r="B1104" s="237">
        <v>1</v>
      </c>
      <c r="C1104" s="237">
        <v>3</v>
      </c>
      <c r="D1104" s="238" t="s">
        <v>2022</v>
      </c>
      <c r="E1104" s="238" t="s">
        <v>1836</v>
      </c>
      <c r="F1104" s="238" t="s">
        <v>1847</v>
      </c>
      <c r="G1104" s="238" t="s">
        <v>408</v>
      </c>
      <c r="H1104" s="239" t="s">
        <v>2918</v>
      </c>
      <c r="I1104" s="217"/>
      <c r="J1104" s="217"/>
      <c r="K1104" s="217"/>
      <c r="L1104" s="217"/>
      <c r="M1104" s="217"/>
      <c r="N1104" s="217"/>
      <c r="O1104" s="217"/>
      <c r="P1104" s="217"/>
    </row>
    <row r="1105" spans="1:16" s="219" customFormat="1" ht="45" hidden="1" x14ac:dyDescent="0.25">
      <c r="A1105" s="214"/>
      <c r="B1105" s="237">
        <v>1</v>
      </c>
      <c r="C1105" s="237">
        <v>3</v>
      </c>
      <c r="D1105" s="238" t="s">
        <v>2022</v>
      </c>
      <c r="E1105" s="238" t="s">
        <v>1836</v>
      </c>
      <c r="F1105" s="238" t="s">
        <v>1847</v>
      </c>
      <c r="G1105" s="238" t="s">
        <v>409</v>
      </c>
      <c r="H1105" s="239" t="s">
        <v>2919</v>
      </c>
      <c r="I1105" s="217"/>
      <c r="J1105" s="217"/>
      <c r="K1105" s="217"/>
      <c r="L1105" s="217"/>
      <c r="M1105" s="217"/>
      <c r="N1105" s="217"/>
      <c r="O1105" s="217"/>
      <c r="P1105" s="217"/>
    </row>
    <row r="1106" spans="1:16" s="219" customFormat="1" ht="30" hidden="1" x14ac:dyDescent="0.25">
      <c r="A1106" s="214"/>
      <c r="B1106" s="237">
        <v>1</v>
      </c>
      <c r="C1106" s="237">
        <v>3</v>
      </c>
      <c r="D1106" s="238" t="s">
        <v>2022</v>
      </c>
      <c r="E1106" s="238" t="s">
        <v>1836</v>
      </c>
      <c r="F1106" s="238" t="s">
        <v>1847</v>
      </c>
      <c r="G1106" s="238" t="s">
        <v>788</v>
      </c>
      <c r="H1106" s="239" t="s">
        <v>2920</v>
      </c>
      <c r="I1106" s="217"/>
      <c r="J1106" s="217"/>
      <c r="K1106" s="217"/>
      <c r="L1106" s="217"/>
      <c r="M1106" s="217"/>
      <c r="N1106" s="217"/>
      <c r="O1106" s="217"/>
      <c r="P1106" s="217"/>
    </row>
    <row r="1107" spans="1:16" s="219" customFormat="1" ht="30" hidden="1" x14ac:dyDescent="0.25">
      <c r="A1107" s="214"/>
      <c r="B1107" s="237">
        <v>1</v>
      </c>
      <c r="C1107" s="237">
        <v>3</v>
      </c>
      <c r="D1107" s="238" t="s">
        <v>2022</v>
      </c>
      <c r="E1107" s="238" t="s">
        <v>1836</v>
      </c>
      <c r="F1107" s="238" t="s">
        <v>1847</v>
      </c>
      <c r="G1107" s="238" t="s">
        <v>1017</v>
      </c>
      <c r="H1107" s="239" t="s">
        <v>2921</v>
      </c>
      <c r="I1107" s="217"/>
      <c r="J1107" s="217"/>
      <c r="K1107" s="217"/>
      <c r="L1107" s="217"/>
      <c r="M1107" s="217"/>
      <c r="N1107" s="217"/>
      <c r="O1107" s="217"/>
      <c r="P1107" s="217"/>
    </row>
    <row r="1108" spans="1:16" s="219" customFormat="1" ht="30" hidden="1" x14ac:dyDescent="0.25">
      <c r="A1108" s="214"/>
      <c r="B1108" s="237">
        <v>1</v>
      </c>
      <c r="C1108" s="237">
        <v>3</v>
      </c>
      <c r="D1108" s="238" t="s">
        <v>2022</v>
      </c>
      <c r="E1108" s="238" t="s">
        <v>1836</v>
      </c>
      <c r="F1108" s="238" t="s">
        <v>1847</v>
      </c>
      <c r="G1108" s="238" t="s">
        <v>411</v>
      </c>
      <c r="H1108" s="239" t="s">
        <v>2922</v>
      </c>
      <c r="I1108" s="217"/>
      <c r="J1108" s="217"/>
      <c r="K1108" s="217"/>
      <c r="L1108" s="217"/>
      <c r="M1108" s="217"/>
      <c r="N1108" s="217"/>
      <c r="O1108" s="217"/>
      <c r="P1108" s="217"/>
    </row>
    <row r="1109" spans="1:16" s="219" customFormat="1" ht="45" hidden="1" x14ac:dyDescent="0.25">
      <c r="A1109" s="214"/>
      <c r="B1109" s="237">
        <v>1</v>
      </c>
      <c r="C1109" s="237">
        <v>3</v>
      </c>
      <c r="D1109" s="238" t="s">
        <v>2022</v>
      </c>
      <c r="E1109" s="238" t="s">
        <v>1836</v>
      </c>
      <c r="F1109" s="238" t="s">
        <v>1847</v>
      </c>
      <c r="G1109" s="238" t="s">
        <v>247</v>
      </c>
      <c r="H1109" s="239" t="s">
        <v>2923</v>
      </c>
      <c r="I1109" s="217"/>
      <c r="J1109" s="217"/>
      <c r="K1109" s="217"/>
      <c r="L1109" s="217"/>
      <c r="M1109" s="217"/>
      <c r="N1109" s="217"/>
      <c r="O1109" s="217"/>
      <c r="P1109" s="217"/>
    </row>
    <row r="1110" spans="1:16" s="219" customFormat="1" ht="30" hidden="1" x14ac:dyDescent="0.25">
      <c r="A1110" s="214"/>
      <c r="B1110" s="237">
        <v>1</v>
      </c>
      <c r="C1110" s="237">
        <v>3</v>
      </c>
      <c r="D1110" s="238" t="s">
        <v>2022</v>
      </c>
      <c r="E1110" s="238" t="s">
        <v>1836</v>
      </c>
      <c r="F1110" s="238" t="s">
        <v>1847</v>
      </c>
      <c r="G1110" s="238" t="s">
        <v>1019</v>
      </c>
      <c r="H1110" s="239" t="s">
        <v>2924</v>
      </c>
      <c r="I1110" s="217"/>
      <c r="J1110" s="217"/>
      <c r="K1110" s="217"/>
      <c r="L1110" s="217"/>
      <c r="M1110" s="217"/>
      <c r="N1110" s="217"/>
      <c r="O1110" s="217"/>
      <c r="P1110" s="217"/>
    </row>
    <row r="1111" spans="1:16" s="219" customFormat="1" ht="30" hidden="1" x14ac:dyDescent="0.25">
      <c r="A1111" s="214"/>
      <c r="B1111" s="237">
        <v>1</v>
      </c>
      <c r="C1111" s="237">
        <v>3</v>
      </c>
      <c r="D1111" s="238" t="s">
        <v>2022</v>
      </c>
      <c r="E1111" s="238" t="s">
        <v>1836</v>
      </c>
      <c r="F1111" s="238" t="s">
        <v>1847</v>
      </c>
      <c r="G1111" s="238" t="s">
        <v>1022</v>
      </c>
      <c r="H1111" s="239" t="s">
        <v>2925</v>
      </c>
      <c r="I1111" s="217"/>
      <c r="J1111" s="217"/>
      <c r="K1111" s="217"/>
      <c r="L1111" s="217"/>
      <c r="M1111" s="217"/>
      <c r="N1111" s="217"/>
      <c r="O1111" s="217"/>
      <c r="P1111" s="217"/>
    </row>
    <row r="1112" spans="1:16" s="213" customFormat="1" ht="30" hidden="1" x14ac:dyDescent="0.25">
      <c r="A1112" s="208" t="s">
        <v>263</v>
      </c>
      <c r="B1112" s="234">
        <v>1</v>
      </c>
      <c r="C1112" s="234">
        <v>3</v>
      </c>
      <c r="D1112" s="235" t="s">
        <v>2022</v>
      </c>
      <c r="E1112" s="235" t="s">
        <v>1836</v>
      </c>
      <c r="F1112" s="235" t="s">
        <v>1928</v>
      </c>
      <c r="G1112" s="234"/>
      <c r="H1112" s="236" t="s">
        <v>2926</v>
      </c>
      <c r="I1112" s="211">
        <f>SUM(I1113:I1122)</f>
        <v>0</v>
      </c>
      <c r="J1112" s="211">
        <f t="shared" ref="J1112:P1112" si="158">SUM(J1113:J1122)</f>
        <v>0</v>
      </c>
      <c r="K1112" s="211">
        <f t="shared" si="158"/>
        <v>0</v>
      </c>
      <c r="L1112" s="211">
        <f t="shared" si="158"/>
        <v>0</v>
      </c>
      <c r="M1112" s="211">
        <f t="shared" si="158"/>
        <v>0</v>
      </c>
      <c r="N1112" s="211">
        <f t="shared" si="158"/>
        <v>0</v>
      </c>
      <c r="O1112" s="211">
        <f t="shared" si="158"/>
        <v>0</v>
      </c>
      <c r="P1112" s="211">
        <f t="shared" si="158"/>
        <v>0</v>
      </c>
    </row>
    <row r="1113" spans="1:16" s="219" customFormat="1" ht="45" hidden="1" x14ac:dyDescent="0.25">
      <c r="A1113" s="214"/>
      <c r="B1113" s="237">
        <v>1</v>
      </c>
      <c r="C1113" s="237">
        <v>3</v>
      </c>
      <c r="D1113" s="238" t="s">
        <v>2022</v>
      </c>
      <c r="E1113" s="238" t="s">
        <v>1836</v>
      </c>
      <c r="F1113" s="238" t="s">
        <v>1928</v>
      </c>
      <c r="G1113" s="238" t="s">
        <v>58</v>
      </c>
      <c r="H1113" s="239" t="s">
        <v>2927</v>
      </c>
      <c r="I1113" s="217"/>
      <c r="J1113" s="217"/>
      <c r="K1113" s="217"/>
      <c r="L1113" s="217"/>
      <c r="M1113" s="217"/>
      <c r="N1113" s="217"/>
      <c r="O1113" s="217"/>
      <c r="P1113" s="217"/>
    </row>
    <row r="1114" spans="1:16" s="219" customFormat="1" ht="45" hidden="1" x14ac:dyDescent="0.25">
      <c r="A1114" s="214"/>
      <c r="B1114" s="237">
        <v>1</v>
      </c>
      <c r="C1114" s="237">
        <v>3</v>
      </c>
      <c r="D1114" s="238" t="s">
        <v>2022</v>
      </c>
      <c r="E1114" s="238" t="s">
        <v>1836</v>
      </c>
      <c r="F1114" s="238" t="s">
        <v>1928</v>
      </c>
      <c r="G1114" s="238" t="s">
        <v>75</v>
      </c>
      <c r="H1114" s="239" t="s">
        <v>2928</v>
      </c>
      <c r="I1114" s="217"/>
      <c r="J1114" s="217"/>
      <c r="K1114" s="217"/>
      <c r="L1114" s="217"/>
      <c r="M1114" s="217"/>
      <c r="N1114" s="217"/>
      <c r="O1114" s="217"/>
      <c r="P1114" s="217"/>
    </row>
    <row r="1115" spans="1:16" s="219" customFormat="1" ht="30" hidden="1" x14ac:dyDescent="0.25">
      <c r="A1115" s="214"/>
      <c r="B1115" s="237">
        <v>1</v>
      </c>
      <c r="C1115" s="237">
        <v>3</v>
      </c>
      <c r="D1115" s="238" t="s">
        <v>2022</v>
      </c>
      <c r="E1115" s="238" t="s">
        <v>1836</v>
      </c>
      <c r="F1115" s="238" t="s">
        <v>1928</v>
      </c>
      <c r="G1115" s="238" t="s">
        <v>79</v>
      </c>
      <c r="H1115" s="239" t="s">
        <v>2929</v>
      </c>
      <c r="I1115" s="217"/>
      <c r="J1115" s="217"/>
      <c r="K1115" s="217"/>
      <c r="L1115" s="217"/>
      <c r="M1115" s="217"/>
      <c r="N1115" s="217"/>
      <c r="O1115" s="217"/>
      <c r="P1115" s="217"/>
    </row>
    <row r="1116" spans="1:16" s="219" customFormat="1" ht="45" hidden="1" x14ac:dyDescent="0.25">
      <c r="A1116" s="214"/>
      <c r="B1116" s="237">
        <v>1</v>
      </c>
      <c r="C1116" s="237">
        <v>3</v>
      </c>
      <c r="D1116" s="238" t="s">
        <v>2022</v>
      </c>
      <c r="E1116" s="238" t="s">
        <v>1836</v>
      </c>
      <c r="F1116" s="238" t="s">
        <v>1928</v>
      </c>
      <c r="G1116" s="238" t="s">
        <v>84</v>
      </c>
      <c r="H1116" s="239" t="s">
        <v>2930</v>
      </c>
      <c r="I1116" s="217"/>
      <c r="J1116" s="217"/>
      <c r="K1116" s="217"/>
      <c r="L1116" s="217"/>
      <c r="M1116" s="217"/>
      <c r="N1116" s="217"/>
      <c r="O1116" s="217"/>
      <c r="P1116" s="217"/>
    </row>
    <row r="1117" spans="1:16" s="219" customFormat="1" ht="45" hidden="1" x14ac:dyDescent="0.25">
      <c r="A1117" s="214"/>
      <c r="B1117" s="237">
        <v>1</v>
      </c>
      <c r="C1117" s="237">
        <v>3</v>
      </c>
      <c r="D1117" s="238" t="s">
        <v>2022</v>
      </c>
      <c r="E1117" s="238" t="s">
        <v>1836</v>
      </c>
      <c r="F1117" s="238" t="s">
        <v>1928</v>
      </c>
      <c r="G1117" s="238" t="s">
        <v>88</v>
      </c>
      <c r="H1117" s="239" t="s">
        <v>2931</v>
      </c>
      <c r="I1117" s="217"/>
      <c r="J1117" s="217"/>
      <c r="K1117" s="217"/>
      <c r="L1117" s="217"/>
      <c r="M1117" s="217"/>
      <c r="N1117" s="217"/>
      <c r="O1117" s="217"/>
      <c r="P1117" s="217"/>
    </row>
    <row r="1118" spans="1:16" s="219" customFormat="1" ht="30" hidden="1" x14ac:dyDescent="0.25">
      <c r="A1118" s="214"/>
      <c r="B1118" s="237">
        <v>1</v>
      </c>
      <c r="C1118" s="237">
        <v>3</v>
      </c>
      <c r="D1118" s="238" t="s">
        <v>2022</v>
      </c>
      <c r="E1118" s="238" t="s">
        <v>1836</v>
      </c>
      <c r="F1118" s="238" t="s">
        <v>1928</v>
      </c>
      <c r="G1118" s="238" t="s">
        <v>92</v>
      </c>
      <c r="H1118" s="239" t="s">
        <v>2932</v>
      </c>
      <c r="I1118" s="217"/>
      <c r="J1118" s="217"/>
      <c r="K1118" s="217"/>
      <c r="L1118" s="217"/>
      <c r="M1118" s="217"/>
      <c r="N1118" s="217"/>
      <c r="O1118" s="217"/>
      <c r="P1118" s="217"/>
    </row>
    <row r="1119" spans="1:16" s="219" customFormat="1" ht="30" hidden="1" x14ac:dyDescent="0.25">
      <c r="A1119" s="214"/>
      <c r="B1119" s="237">
        <v>1</v>
      </c>
      <c r="C1119" s="237">
        <v>3</v>
      </c>
      <c r="D1119" s="238" t="s">
        <v>2022</v>
      </c>
      <c r="E1119" s="238" t="s">
        <v>1836</v>
      </c>
      <c r="F1119" s="238" t="s">
        <v>1928</v>
      </c>
      <c r="G1119" s="238" t="s">
        <v>96</v>
      </c>
      <c r="H1119" s="239" t="s">
        <v>2933</v>
      </c>
      <c r="I1119" s="217"/>
      <c r="J1119" s="217"/>
      <c r="K1119" s="217"/>
      <c r="L1119" s="217"/>
      <c r="M1119" s="217"/>
      <c r="N1119" s="217"/>
      <c r="O1119" s="217"/>
      <c r="P1119" s="217"/>
    </row>
    <row r="1120" spans="1:16" s="219" customFormat="1" ht="30" hidden="1" x14ac:dyDescent="0.25">
      <c r="A1120" s="214"/>
      <c r="B1120" s="237">
        <v>1</v>
      </c>
      <c r="C1120" s="237">
        <v>3</v>
      </c>
      <c r="D1120" s="238" t="s">
        <v>2022</v>
      </c>
      <c r="E1120" s="238" t="s">
        <v>1836</v>
      </c>
      <c r="F1120" s="238" t="s">
        <v>1928</v>
      </c>
      <c r="G1120" s="238" t="s">
        <v>100</v>
      </c>
      <c r="H1120" s="239" t="s">
        <v>2934</v>
      </c>
      <c r="I1120" s="217"/>
      <c r="J1120" s="217"/>
      <c r="K1120" s="217"/>
      <c r="L1120" s="217"/>
      <c r="M1120" s="217"/>
      <c r="N1120" s="217"/>
      <c r="O1120" s="217"/>
      <c r="P1120" s="217"/>
    </row>
    <row r="1121" spans="1:16" s="219" customFormat="1" ht="30" hidden="1" x14ac:dyDescent="0.25">
      <c r="A1121" s="214"/>
      <c r="B1121" s="237">
        <v>1</v>
      </c>
      <c r="C1121" s="237">
        <v>3</v>
      </c>
      <c r="D1121" s="238" t="s">
        <v>2022</v>
      </c>
      <c r="E1121" s="238" t="s">
        <v>1836</v>
      </c>
      <c r="F1121" s="238" t="s">
        <v>1928</v>
      </c>
      <c r="G1121" s="238" t="s">
        <v>105</v>
      </c>
      <c r="H1121" s="239" t="s">
        <v>2935</v>
      </c>
      <c r="I1121" s="217"/>
      <c r="J1121" s="217"/>
      <c r="K1121" s="217"/>
      <c r="L1121" s="217"/>
      <c r="M1121" s="217"/>
      <c r="N1121" s="217"/>
      <c r="O1121" s="217"/>
      <c r="P1121" s="217"/>
    </row>
    <row r="1122" spans="1:16" s="219" customFormat="1" ht="30" hidden="1" x14ac:dyDescent="0.25">
      <c r="A1122" s="214"/>
      <c r="B1122" s="237">
        <v>1</v>
      </c>
      <c r="C1122" s="237">
        <v>3</v>
      </c>
      <c r="D1122" s="238" t="s">
        <v>2022</v>
      </c>
      <c r="E1122" s="238" t="s">
        <v>1836</v>
      </c>
      <c r="F1122" s="238" t="s">
        <v>1928</v>
      </c>
      <c r="G1122" s="238" t="s">
        <v>108</v>
      </c>
      <c r="H1122" s="239" t="s">
        <v>2936</v>
      </c>
      <c r="I1122" s="217"/>
      <c r="J1122" s="217"/>
      <c r="K1122" s="217"/>
      <c r="L1122" s="217"/>
      <c r="M1122" s="217"/>
      <c r="N1122" s="217"/>
      <c r="O1122" s="217"/>
      <c r="P1122" s="217"/>
    </row>
    <row r="1123" spans="1:16" s="213" customFormat="1" ht="30" hidden="1" x14ac:dyDescent="0.25">
      <c r="A1123" s="208" t="s">
        <v>263</v>
      </c>
      <c r="B1123" s="234">
        <v>1</v>
      </c>
      <c r="C1123" s="234">
        <v>3</v>
      </c>
      <c r="D1123" s="235" t="s">
        <v>2022</v>
      </c>
      <c r="E1123" s="235" t="s">
        <v>1836</v>
      </c>
      <c r="F1123" s="235" t="s">
        <v>1934</v>
      </c>
      <c r="G1123" s="234"/>
      <c r="H1123" s="236" t="s">
        <v>2937</v>
      </c>
      <c r="I1123" s="211">
        <f>SUM(I1124:I1142)</f>
        <v>0</v>
      </c>
      <c r="J1123" s="211">
        <f t="shared" ref="J1123:P1123" si="159">SUM(J1124:J1142)</f>
        <v>0</v>
      </c>
      <c r="K1123" s="211">
        <f t="shared" si="159"/>
        <v>0</v>
      </c>
      <c r="L1123" s="211">
        <f t="shared" si="159"/>
        <v>0</v>
      </c>
      <c r="M1123" s="211">
        <f t="shared" si="159"/>
        <v>0</v>
      </c>
      <c r="N1123" s="211">
        <f t="shared" si="159"/>
        <v>0</v>
      </c>
      <c r="O1123" s="211">
        <f t="shared" si="159"/>
        <v>0</v>
      </c>
      <c r="P1123" s="211">
        <f t="shared" si="159"/>
        <v>0</v>
      </c>
    </row>
    <row r="1124" spans="1:16" s="219" customFormat="1" ht="30" hidden="1" x14ac:dyDescent="0.25">
      <c r="A1124" s="214"/>
      <c r="B1124" s="237">
        <v>1</v>
      </c>
      <c r="C1124" s="237">
        <v>3</v>
      </c>
      <c r="D1124" s="238" t="s">
        <v>2022</v>
      </c>
      <c r="E1124" s="238" t="s">
        <v>1836</v>
      </c>
      <c r="F1124" s="238" t="s">
        <v>1934</v>
      </c>
      <c r="G1124" s="238" t="s">
        <v>58</v>
      </c>
      <c r="H1124" s="239" t="s">
        <v>2938</v>
      </c>
      <c r="I1124" s="217"/>
      <c r="J1124" s="217"/>
      <c r="K1124" s="217"/>
      <c r="L1124" s="217"/>
      <c r="M1124" s="217"/>
      <c r="N1124" s="217"/>
      <c r="O1124" s="217"/>
      <c r="P1124" s="217"/>
    </row>
    <row r="1125" spans="1:16" s="219" customFormat="1" ht="30" hidden="1" x14ac:dyDescent="0.25">
      <c r="A1125" s="214"/>
      <c r="B1125" s="237">
        <v>1</v>
      </c>
      <c r="C1125" s="237">
        <v>3</v>
      </c>
      <c r="D1125" s="238" t="s">
        <v>2022</v>
      </c>
      <c r="E1125" s="238" t="s">
        <v>1836</v>
      </c>
      <c r="F1125" s="238" t="s">
        <v>1934</v>
      </c>
      <c r="G1125" s="238" t="s">
        <v>75</v>
      </c>
      <c r="H1125" s="239" t="s">
        <v>2939</v>
      </c>
      <c r="I1125" s="217"/>
      <c r="J1125" s="217"/>
      <c r="K1125" s="217"/>
      <c r="L1125" s="217"/>
      <c r="M1125" s="217"/>
      <c r="N1125" s="217"/>
      <c r="O1125" s="217"/>
      <c r="P1125" s="217"/>
    </row>
    <row r="1126" spans="1:16" s="219" customFormat="1" ht="45" hidden="1" x14ac:dyDescent="0.25">
      <c r="A1126" s="214"/>
      <c r="B1126" s="237">
        <v>1</v>
      </c>
      <c r="C1126" s="237">
        <v>3</v>
      </c>
      <c r="D1126" s="238" t="s">
        <v>2022</v>
      </c>
      <c r="E1126" s="238" t="s">
        <v>1836</v>
      </c>
      <c r="F1126" s="238" t="s">
        <v>1934</v>
      </c>
      <c r="G1126" s="238" t="s">
        <v>79</v>
      </c>
      <c r="H1126" s="239" t="s">
        <v>2940</v>
      </c>
      <c r="I1126" s="217"/>
      <c r="J1126" s="217"/>
      <c r="K1126" s="217"/>
      <c r="L1126" s="217"/>
      <c r="M1126" s="217"/>
      <c r="N1126" s="217"/>
      <c r="O1126" s="217"/>
      <c r="P1126" s="217"/>
    </row>
    <row r="1127" spans="1:16" s="219" customFormat="1" ht="45" hidden="1" x14ac:dyDescent="0.25">
      <c r="A1127" s="214"/>
      <c r="B1127" s="237">
        <v>1</v>
      </c>
      <c r="C1127" s="237">
        <v>3</v>
      </c>
      <c r="D1127" s="238" t="s">
        <v>2022</v>
      </c>
      <c r="E1127" s="238" t="s">
        <v>1836</v>
      </c>
      <c r="F1127" s="238" t="s">
        <v>1934</v>
      </c>
      <c r="G1127" s="238" t="s">
        <v>84</v>
      </c>
      <c r="H1127" s="239" t="s">
        <v>2941</v>
      </c>
      <c r="I1127" s="217"/>
      <c r="J1127" s="217"/>
      <c r="K1127" s="217"/>
      <c r="L1127" s="217"/>
      <c r="M1127" s="217"/>
      <c r="N1127" s="217"/>
      <c r="O1127" s="217"/>
      <c r="P1127" s="217"/>
    </row>
    <row r="1128" spans="1:16" s="219" customFormat="1" ht="30" hidden="1" x14ac:dyDescent="0.25">
      <c r="A1128" s="214"/>
      <c r="B1128" s="237">
        <v>1</v>
      </c>
      <c r="C1128" s="237">
        <v>3</v>
      </c>
      <c r="D1128" s="238" t="s">
        <v>2022</v>
      </c>
      <c r="E1128" s="238" t="s">
        <v>1836</v>
      </c>
      <c r="F1128" s="238" t="s">
        <v>1934</v>
      </c>
      <c r="G1128" s="238" t="s">
        <v>88</v>
      </c>
      <c r="H1128" s="239" t="s">
        <v>2942</v>
      </c>
      <c r="I1128" s="217"/>
      <c r="J1128" s="217"/>
      <c r="K1128" s="217"/>
      <c r="L1128" s="217"/>
      <c r="M1128" s="217"/>
      <c r="N1128" s="217"/>
      <c r="O1128" s="217"/>
      <c r="P1128" s="217"/>
    </row>
    <row r="1129" spans="1:16" s="219" customFormat="1" ht="30" hidden="1" x14ac:dyDescent="0.25">
      <c r="A1129" s="214"/>
      <c r="B1129" s="237">
        <v>1</v>
      </c>
      <c r="C1129" s="237">
        <v>3</v>
      </c>
      <c r="D1129" s="238" t="s">
        <v>2022</v>
      </c>
      <c r="E1129" s="238" t="s">
        <v>1836</v>
      </c>
      <c r="F1129" s="238" t="s">
        <v>1934</v>
      </c>
      <c r="G1129" s="238" t="s">
        <v>92</v>
      </c>
      <c r="H1129" s="239" t="s">
        <v>2943</v>
      </c>
      <c r="I1129" s="217"/>
      <c r="J1129" s="217"/>
      <c r="K1129" s="217"/>
      <c r="L1129" s="217"/>
      <c r="M1129" s="217"/>
      <c r="N1129" s="217"/>
      <c r="O1129" s="217"/>
      <c r="P1129" s="217"/>
    </row>
    <row r="1130" spans="1:16" s="219" customFormat="1" ht="30" hidden="1" x14ac:dyDescent="0.25">
      <c r="A1130" s="214"/>
      <c r="B1130" s="237">
        <v>1</v>
      </c>
      <c r="C1130" s="237">
        <v>3</v>
      </c>
      <c r="D1130" s="238" t="s">
        <v>2022</v>
      </c>
      <c r="E1130" s="238" t="s">
        <v>1836</v>
      </c>
      <c r="F1130" s="238" t="s">
        <v>1934</v>
      </c>
      <c r="G1130" s="238" t="s">
        <v>96</v>
      </c>
      <c r="H1130" s="239" t="s">
        <v>2944</v>
      </c>
      <c r="I1130" s="217"/>
      <c r="J1130" s="217"/>
      <c r="K1130" s="217"/>
      <c r="L1130" s="217"/>
      <c r="M1130" s="217"/>
      <c r="N1130" s="217"/>
      <c r="O1130" s="217"/>
      <c r="P1130" s="217"/>
    </row>
    <row r="1131" spans="1:16" s="219" customFormat="1" ht="30" hidden="1" x14ac:dyDescent="0.25">
      <c r="A1131" s="214"/>
      <c r="B1131" s="237">
        <v>1</v>
      </c>
      <c r="C1131" s="237">
        <v>3</v>
      </c>
      <c r="D1131" s="238" t="s">
        <v>2022</v>
      </c>
      <c r="E1131" s="238" t="s">
        <v>1836</v>
      </c>
      <c r="F1131" s="238" t="s">
        <v>1934</v>
      </c>
      <c r="G1131" s="238" t="s">
        <v>100</v>
      </c>
      <c r="H1131" s="239" t="s">
        <v>2945</v>
      </c>
      <c r="I1131" s="217"/>
      <c r="J1131" s="217"/>
      <c r="K1131" s="217"/>
      <c r="L1131" s="217"/>
      <c r="M1131" s="217"/>
      <c r="N1131" s="217"/>
      <c r="O1131" s="217"/>
      <c r="P1131" s="217"/>
    </row>
    <row r="1132" spans="1:16" s="219" customFormat="1" ht="30" hidden="1" x14ac:dyDescent="0.25">
      <c r="A1132" s="214"/>
      <c r="B1132" s="237">
        <v>1</v>
      </c>
      <c r="C1132" s="237">
        <v>3</v>
      </c>
      <c r="D1132" s="238" t="s">
        <v>2022</v>
      </c>
      <c r="E1132" s="238" t="s">
        <v>1836</v>
      </c>
      <c r="F1132" s="238" t="s">
        <v>1934</v>
      </c>
      <c r="G1132" s="238" t="s">
        <v>105</v>
      </c>
      <c r="H1132" s="239" t="s">
        <v>2946</v>
      </c>
      <c r="I1132" s="217"/>
      <c r="J1132" s="217"/>
      <c r="K1132" s="217"/>
      <c r="L1132" s="217"/>
      <c r="M1132" s="217"/>
      <c r="N1132" s="217"/>
      <c r="O1132" s="217"/>
      <c r="P1132" s="217"/>
    </row>
    <row r="1133" spans="1:16" s="219" customFormat="1" ht="30" hidden="1" x14ac:dyDescent="0.25">
      <c r="A1133" s="214"/>
      <c r="B1133" s="237">
        <v>1</v>
      </c>
      <c r="C1133" s="237">
        <v>3</v>
      </c>
      <c r="D1133" s="238" t="s">
        <v>2022</v>
      </c>
      <c r="E1133" s="238" t="s">
        <v>1836</v>
      </c>
      <c r="F1133" s="238" t="s">
        <v>1934</v>
      </c>
      <c r="G1133" s="238" t="s">
        <v>108</v>
      </c>
      <c r="H1133" s="239" t="s">
        <v>2947</v>
      </c>
      <c r="I1133" s="217"/>
      <c r="J1133" s="217"/>
      <c r="K1133" s="217"/>
      <c r="L1133" s="217"/>
      <c r="M1133" s="217"/>
      <c r="N1133" s="217"/>
      <c r="O1133" s="217"/>
      <c r="P1133" s="217"/>
    </row>
    <row r="1134" spans="1:16" s="219" customFormat="1" ht="45" hidden="1" x14ac:dyDescent="0.25">
      <c r="A1134" s="214"/>
      <c r="B1134" s="237">
        <v>1</v>
      </c>
      <c r="C1134" s="237">
        <v>3</v>
      </c>
      <c r="D1134" s="238" t="s">
        <v>2022</v>
      </c>
      <c r="E1134" s="238" t="s">
        <v>1836</v>
      </c>
      <c r="F1134" s="238" t="s">
        <v>1934</v>
      </c>
      <c r="G1134" s="238" t="s">
        <v>135</v>
      </c>
      <c r="H1134" s="239" t="s">
        <v>2948</v>
      </c>
      <c r="I1134" s="217"/>
      <c r="J1134" s="217"/>
      <c r="K1134" s="217"/>
      <c r="L1134" s="217"/>
      <c r="M1134" s="217"/>
      <c r="N1134" s="217"/>
      <c r="O1134" s="217"/>
      <c r="P1134" s="217"/>
    </row>
    <row r="1135" spans="1:16" s="219" customFormat="1" ht="45" hidden="1" x14ac:dyDescent="0.25">
      <c r="A1135" s="214"/>
      <c r="B1135" s="237">
        <v>1</v>
      </c>
      <c r="C1135" s="237">
        <v>3</v>
      </c>
      <c r="D1135" s="238" t="s">
        <v>2022</v>
      </c>
      <c r="E1135" s="238" t="s">
        <v>1836</v>
      </c>
      <c r="F1135" s="238" t="s">
        <v>1934</v>
      </c>
      <c r="G1135" s="238" t="s">
        <v>138</v>
      </c>
      <c r="H1135" s="239" t="s">
        <v>2949</v>
      </c>
      <c r="I1135" s="217"/>
      <c r="J1135" s="217"/>
      <c r="K1135" s="217"/>
      <c r="L1135" s="217"/>
      <c r="M1135" s="217"/>
      <c r="N1135" s="217"/>
      <c r="O1135" s="217"/>
      <c r="P1135" s="217"/>
    </row>
    <row r="1136" spans="1:16" s="219" customFormat="1" ht="45" hidden="1" x14ac:dyDescent="0.25">
      <c r="A1136" s="214"/>
      <c r="B1136" s="237">
        <v>1</v>
      </c>
      <c r="C1136" s="237">
        <v>3</v>
      </c>
      <c r="D1136" s="238" t="s">
        <v>2022</v>
      </c>
      <c r="E1136" s="238" t="s">
        <v>1836</v>
      </c>
      <c r="F1136" s="238" t="s">
        <v>1934</v>
      </c>
      <c r="G1136" s="238" t="s">
        <v>140</v>
      </c>
      <c r="H1136" s="239" t="s">
        <v>2950</v>
      </c>
      <c r="I1136" s="217"/>
      <c r="J1136" s="217"/>
      <c r="K1136" s="217"/>
      <c r="L1136" s="217"/>
      <c r="M1136" s="217"/>
      <c r="N1136" s="217"/>
      <c r="O1136" s="217"/>
      <c r="P1136" s="217"/>
    </row>
    <row r="1137" spans="1:16" s="219" customFormat="1" ht="45" hidden="1" x14ac:dyDescent="0.25">
      <c r="A1137" s="214"/>
      <c r="B1137" s="237">
        <v>1</v>
      </c>
      <c r="C1137" s="237">
        <v>3</v>
      </c>
      <c r="D1137" s="238" t="s">
        <v>2022</v>
      </c>
      <c r="E1137" s="238" t="s">
        <v>1836</v>
      </c>
      <c r="F1137" s="238" t="s">
        <v>1934</v>
      </c>
      <c r="G1137" s="238" t="s">
        <v>143</v>
      </c>
      <c r="H1137" s="239" t="s">
        <v>2951</v>
      </c>
      <c r="I1137" s="217"/>
      <c r="J1137" s="217"/>
      <c r="K1137" s="217"/>
      <c r="L1137" s="217"/>
      <c r="M1137" s="217"/>
      <c r="N1137" s="217"/>
      <c r="O1137" s="217"/>
      <c r="P1137" s="217"/>
    </row>
    <row r="1138" spans="1:16" s="219" customFormat="1" ht="45" hidden="1" x14ac:dyDescent="0.25">
      <c r="A1138" s="214"/>
      <c r="B1138" s="237">
        <v>1</v>
      </c>
      <c r="C1138" s="237">
        <v>3</v>
      </c>
      <c r="D1138" s="238" t="s">
        <v>2022</v>
      </c>
      <c r="E1138" s="238" t="s">
        <v>1836</v>
      </c>
      <c r="F1138" s="238" t="s">
        <v>1934</v>
      </c>
      <c r="G1138" s="238" t="s">
        <v>146</v>
      </c>
      <c r="H1138" s="239" t="s">
        <v>2952</v>
      </c>
      <c r="I1138" s="217"/>
      <c r="J1138" s="217"/>
      <c r="K1138" s="217"/>
      <c r="L1138" s="217"/>
      <c r="M1138" s="217"/>
      <c r="N1138" s="217"/>
      <c r="O1138" s="217"/>
      <c r="P1138" s="217"/>
    </row>
    <row r="1139" spans="1:16" s="219" customFormat="1" ht="45" hidden="1" x14ac:dyDescent="0.25">
      <c r="A1139" s="214"/>
      <c r="B1139" s="237">
        <v>1</v>
      </c>
      <c r="C1139" s="237">
        <v>3</v>
      </c>
      <c r="D1139" s="238" t="s">
        <v>2022</v>
      </c>
      <c r="E1139" s="238" t="s">
        <v>1836</v>
      </c>
      <c r="F1139" s="238" t="s">
        <v>1934</v>
      </c>
      <c r="G1139" s="238" t="s">
        <v>150</v>
      </c>
      <c r="H1139" s="239" t="s">
        <v>2953</v>
      </c>
      <c r="I1139" s="217"/>
      <c r="J1139" s="217"/>
      <c r="K1139" s="217"/>
      <c r="L1139" s="217"/>
      <c r="M1139" s="217"/>
      <c r="N1139" s="217"/>
      <c r="O1139" s="217"/>
      <c r="P1139" s="217"/>
    </row>
    <row r="1140" spans="1:16" s="219" customFormat="1" ht="45" hidden="1" x14ac:dyDescent="0.25">
      <c r="A1140" s="214"/>
      <c r="B1140" s="237">
        <v>1</v>
      </c>
      <c r="C1140" s="237">
        <v>3</v>
      </c>
      <c r="D1140" s="238" t="s">
        <v>2022</v>
      </c>
      <c r="E1140" s="238" t="s">
        <v>1836</v>
      </c>
      <c r="F1140" s="238" t="s">
        <v>1934</v>
      </c>
      <c r="G1140" s="238" t="s">
        <v>153</v>
      </c>
      <c r="H1140" s="239" t="s">
        <v>2954</v>
      </c>
      <c r="I1140" s="217"/>
      <c r="J1140" s="217"/>
      <c r="K1140" s="217"/>
      <c r="L1140" s="217"/>
      <c r="M1140" s="217"/>
      <c r="N1140" s="217"/>
      <c r="O1140" s="217"/>
      <c r="P1140" s="217"/>
    </row>
    <row r="1141" spans="1:16" s="219" customFormat="1" ht="45" hidden="1" x14ac:dyDescent="0.25">
      <c r="A1141" s="214"/>
      <c r="B1141" s="237">
        <v>1</v>
      </c>
      <c r="C1141" s="237">
        <v>3</v>
      </c>
      <c r="D1141" s="238" t="s">
        <v>2022</v>
      </c>
      <c r="E1141" s="238" t="s">
        <v>1836</v>
      </c>
      <c r="F1141" s="238" t="s">
        <v>1934</v>
      </c>
      <c r="G1141" s="238" t="s">
        <v>156</v>
      </c>
      <c r="H1141" s="239" t="s">
        <v>2955</v>
      </c>
      <c r="I1141" s="217"/>
      <c r="J1141" s="217"/>
      <c r="K1141" s="217"/>
      <c r="L1141" s="217"/>
      <c r="M1141" s="217"/>
      <c r="N1141" s="217"/>
      <c r="O1141" s="217"/>
      <c r="P1141" s="217"/>
    </row>
    <row r="1142" spans="1:16" s="219" customFormat="1" ht="45" hidden="1" x14ac:dyDescent="0.25">
      <c r="A1142" s="214"/>
      <c r="B1142" s="237">
        <v>1</v>
      </c>
      <c r="C1142" s="237">
        <v>3</v>
      </c>
      <c r="D1142" s="238" t="s">
        <v>2022</v>
      </c>
      <c r="E1142" s="238" t="s">
        <v>1836</v>
      </c>
      <c r="F1142" s="238" t="s">
        <v>1934</v>
      </c>
      <c r="G1142" s="238" t="s">
        <v>159</v>
      </c>
      <c r="H1142" s="239" t="s">
        <v>2956</v>
      </c>
      <c r="I1142" s="217"/>
      <c r="J1142" s="217"/>
      <c r="K1142" s="217"/>
      <c r="L1142" s="217"/>
      <c r="M1142" s="217"/>
      <c r="N1142" s="217"/>
      <c r="O1142" s="217"/>
      <c r="P1142" s="217"/>
    </row>
    <row r="1143" spans="1:16" s="213" customFormat="1" ht="30" hidden="1" x14ac:dyDescent="0.25">
      <c r="A1143" s="208" t="s">
        <v>263</v>
      </c>
      <c r="B1143" s="234">
        <v>1</v>
      </c>
      <c r="C1143" s="234">
        <v>3</v>
      </c>
      <c r="D1143" s="235" t="s">
        <v>2022</v>
      </c>
      <c r="E1143" s="235" t="s">
        <v>1836</v>
      </c>
      <c r="F1143" s="235" t="s">
        <v>2022</v>
      </c>
      <c r="G1143" s="234"/>
      <c r="H1143" s="236" t="s">
        <v>2957</v>
      </c>
      <c r="I1143" s="211">
        <f>SUM(I1144:I1215)</f>
        <v>0</v>
      </c>
      <c r="J1143" s="211">
        <f t="shared" ref="J1143:P1143" si="160">SUM(J1144:J1215)</f>
        <v>0</v>
      </c>
      <c r="K1143" s="211">
        <f t="shared" si="160"/>
        <v>0</v>
      </c>
      <c r="L1143" s="211">
        <f t="shared" si="160"/>
        <v>0</v>
      </c>
      <c r="M1143" s="211">
        <f t="shared" si="160"/>
        <v>0</v>
      </c>
      <c r="N1143" s="211">
        <f t="shared" si="160"/>
        <v>0</v>
      </c>
      <c r="O1143" s="211">
        <f t="shared" si="160"/>
        <v>0</v>
      </c>
      <c r="P1143" s="211">
        <f t="shared" si="160"/>
        <v>0</v>
      </c>
    </row>
    <row r="1144" spans="1:16" s="219" customFormat="1" ht="30" hidden="1" x14ac:dyDescent="0.25">
      <c r="A1144" s="214"/>
      <c r="B1144" s="237">
        <v>1</v>
      </c>
      <c r="C1144" s="237">
        <v>3</v>
      </c>
      <c r="D1144" s="238" t="s">
        <v>2022</v>
      </c>
      <c r="E1144" s="238" t="s">
        <v>1836</v>
      </c>
      <c r="F1144" s="238" t="s">
        <v>2022</v>
      </c>
      <c r="G1144" s="238" t="s">
        <v>58</v>
      </c>
      <c r="H1144" s="239" t="s">
        <v>2958</v>
      </c>
      <c r="I1144" s="217"/>
      <c r="J1144" s="217"/>
      <c r="K1144" s="217"/>
      <c r="L1144" s="217"/>
      <c r="M1144" s="217"/>
      <c r="N1144" s="217"/>
      <c r="O1144" s="217"/>
      <c r="P1144" s="217"/>
    </row>
    <row r="1145" spans="1:16" s="219" customFormat="1" ht="45" hidden="1" x14ac:dyDescent="0.25">
      <c r="A1145" s="214"/>
      <c r="B1145" s="237">
        <v>1</v>
      </c>
      <c r="C1145" s="237">
        <v>3</v>
      </c>
      <c r="D1145" s="238" t="s">
        <v>2022</v>
      </c>
      <c r="E1145" s="238" t="s">
        <v>1836</v>
      </c>
      <c r="F1145" s="238" t="s">
        <v>2022</v>
      </c>
      <c r="G1145" s="238" t="s">
        <v>75</v>
      </c>
      <c r="H1145" s="239" t="s">
        <v>2959</v>
      </c>
      <c r="I1145" s="217"/>
      <c r="J1145" s="217"/>
      <c r="K1145" s="217"/>
      <c r="L1145" s="217"/>
      <c r="M1145" s="217"/>
      <c r="N1145" s="217"/>
      <c r="O1145" s="217"/>
      <c r="P1145" s="217"/>
    </row>
    <row r="1146" spans="1:16" s="219" customFormat="1" ht="30" hidden="1" x14ac:dyDescent="0.25">
      <c r="A1146" s="214"/>
      <c r="B1146" s="237">
        <v>1</v>
      </c>
      <c r="C1146" s="237">
        <v>3</v>
      </c>
      <c r="D1146" s="238" t="s">
        <v>2022</v>
      </c>
      <c r="E1146" s="238" t="s">
        <v>1836</v>
      </c>
      <c r="F1146" s="238" t="s">
        <v>2022</v>
      </c>
      <c r="G1146" s="238" t="s">
        <v>79</v>
      </c>
      <c r="H1146" s="239" t="s">
        <v>2960</v>
      </c>
      <c r="I1146" s="217"/>
      <c r="J1146" s="217"/>
      <c r="K1146" s="217"/>
      <c r="L1146" s="217"/>
      <c r="M1146" s="217"/>
      <c r="N1146" s="217"/>
      <c r="O1146" s="217"/>
      <c r="P1146" s="217"/>
    </row>
    <row r="1147" spans="1:16" s="219" customFormat="1" ht="30" hidden="1" x14ac:dyDescent="0.25">
      <c r="A1147" s="214"/>
      <c r="B1147" s="237">
        <v>1</v>
      </c>
      <c r="C1147" s="237">
        <v>3</v>
      </c>
      <c r="D1147" s="238" t="s">
        <v>2022</v>
      </c>
      <c r="E1147" s="238" t="s">
        <v>1836</v>
      </c>
      <c r="F1147" s="238" t="s">
        <v>2022</v>
      </c>
      <c r="G1147" s="238" t="s">
        <v>84</v>
      </c>
      <c r="H1147" s="239" t="s">
        <v>2961</v>
      </c>
      <c r="I1147" s="217"/>
      <c r="J1147" s="217"/>
      <c r="K1147" s="217"/>
      <c r="L1147" s="217"/>
      <c r="M1147" s="217"/>
      <c r="N1147" s="217"/>
      <c r="O1147" s="217"/>
      <c r="P1147" s="217"/>
    </row>
    <row r="1148" spans="1:16" s="219" customFormat="1" ht="45" hidden="1" x14ac:dyDescent="0.25">
      <c r="A1148" s="214"/>
      <c r="B1148" s="237">
        <v>1</v>
      </c>
      <c r="C1148" s="237">
        <v>3</v>
      </c>
      <c r="D1148" s="238" t="s">
        <v>2022</v>
      </c>
      <c r="E1148" s="238" t="s">
        <v>1836</v>
      </c>
      <c r="F1148" s="238" t="s">
        <v>2022</v>
      </c>
      <c r="G1148" s="238" t="s">
        <v>88</v>
      </c>
      <c r="H1148" s="239" t="s">
        <v>2962</v>
      </c>
      <c r="I1148" s="217"/>
      <c r="J1148" s="217"/>
      <c r="K1148" s="217"/>
      <c r="L1148" s="217"/>
      <c r="M1148" s="217"/>
      <c r="N1148" s="217"/>
      <c r="O1148" s="217"/>
      <c r="P1148" s="217"/>
    </row>
    <row r="1149" spans="1:16" s="219" customFormat="1" ht="30" hidden="1" x14ac:dyDescent="0.25">
      <c r="A1149" s="214"/>
      <c r="B1149" s="237">
        <v>1</v>
      </c>
      <c r="C1149" s="237">
        <v>3</v>
      </c>
      <c r="D1149" s="238" t="s">
        <v>2022</v>
      </c>
      <c r="E1149" s="238" t="s">
        <v>1836</v>
      </c>
      <c r="F1149" s="238" t="s">
        <v>2022</v>
      </c>
      <c r="G1149" s="238" t="s">
        <v>92</v>
      </c>
      <c r="H1149" s="239" t="s">
        <v>2963</v>
      </c>
      <c r="I1149" s="217"/>
      <c r="J1149" s="217"/>
      <c r="K1149" s="217"/>
      <c r="L1149" s="217"/>
      <c r="M1149" s="217"/>
      <c r="N1149" s="217"/>
      <c r="O1149" s="217"/>
      <c r="P1149" s="217"/>
    </row>
    <row r="1150" spans="1:16" s="219" customFormat="1" ht="45" hidden="1" x14ac:dyDescent="0.25">
      <c r="A1150" s="214"/>
      <c r="B1150" s="237">
        <v>1</v>
      </c>
      <c r="C1150" s="237">
        <v>3</v>
      </c>
      <c r="D1150" s="238" t="s">
        <v>2022</v>
      </c>
      <c r="E1150" s="238" t="s">
        <v>1836</v>
      </c>
      <c r="F1150" s="238" t="s">
        <v>2022</v>
      </c>
      <c r="G1150" s="238" t="s">
        <v>96</v>
      </c>
      <c r="H1150" s="239" t="s">
        <v>2964</v>
      </c>
      <c r="I1150" s="217"/>
      <c r="J1150" s="217"/>
      <c r="K1150" s="217"/>
      <c r="L1150" s="217"/>
      <c r="M1150" s="217"/>
      <c r="N1150" s="217"/>
      <c r="O1150" s="217"/>
      <c r="P1150" s="217"/>
    </row>
    <row r="1151" spans="1:16" s="219" customFormat="1" ht="45" hidden="1" x14ac:dyDescent="0.25">
      <c r="A1151" s="214"/>
      <c r="B1151" s="237">
        <v>1</v>
      </c>
      <c r="C1151" s="237">
        <v>3</v>
      </c>
      <c r="D1151" s="238" t="s">
        <v>2022</v>
      </c>
      <c r="E1151" s="238" t="s">
        <v>1836</v>
      </c>
      <c r="F1151" s="238" t="s">
        <v>2022</v>
      </c>
      <c r="G1151" s="238" t="s">
        <v>100</v>
      </c>
      <c r="H1151" s="239" t="s">
        <v>2965</v>
      </c>
      <c r="I1151" s="217"/>
      <c r="J1151" s="217"/>
      <c r="K1151" s="217"/>
      <c r="L1151" s="217"/>
      <c r="M1151" s="217"/>
      <c r="N1151" s="217"/>
      <c r="O1151" s="217"/>
      <c r="P1151" s="217"/>
    </row>
    <row r="1152" spans="1:16" s="219" customFormat="1" ht="45" hidden="1" x14ac:dyDescent="0.25">
      <c r="A1152" s="214"/>
      <c r="B1152" s="237">
        <v>1</v>
      </c>
      <c r="C1152" s="237">
        <v>3</v>
      </c>
      <c r="D1152" s="238" t="s">
        <v>2022</v>
      </c>
      <c r="E1152" s="238" t="s">
        <v>1836</v>
      </c>
      <c r="F1152" s="238" t="s">
        <v>2022</v>
      </c>
      <c r="G1152" s="238" t="s">
        <v>105</v>
      </c>
      <c r="H1152" s="239" t="s">
        <v>2966</v>
      </c>
      <c r="I1152" s="217"/>
      <c r="J1152" s="217"/>
      <c r="K1152" s="217"/>
      <c r="L1152" s="217"/>
      <c r="M1152" s="217"/>
      <c r="N1152" s="217"/>
      <c r="O1152" s="217"/>
      <c r="P1152" s="217"/>
    </row>
    <row r="1153" spans="1:16" s="219" customFormat="1" ht="45" hidden="1" x14ac:dyDescent="0.25">
      <c r="A1153" s="214"/>
      <c r="B1153" s="237">
        <v>1</v>
      </c>
      <c r="C1153" s="237">
        <v>3</v>
      </c>
      <c r="D1153" s="238" t="s">
        <v>2022</v>
      </c>
      <c r="E1153" s="238" t="s">
        <v>1836</v>
      </c>
      <c r="F1153" s="238" t="s">
        <v>2022</v>
      </c>
      <c r="G1153" s="238" t="s">
        <v>108</v>
      </c>
      <c r="H1153" s="239" t="s">
        <v>2967</v>
      </c>
      <c r="I1153" s="217"/>
      <c r="J1153" s="217"/>
      <c r="K1153" s="217"/>
      <c r="L1153" s="217"/>
      <c r="M1153" s="217"/>
      <c r="N1153" s="217"/>
      <c r="O1153" s="217"/>
      <c r="P1153" s="217"/>
    </row>
    <row r="1154" spans="1:16" s="219" customFormat="1" ht="45" hidden="1" x14ac:dyDescent="0.25">
      <c r="A1154" s="214"/>
      <c r="B1154" s="237">
        <v>1</v>
      </c>
      <c r="C1154" s="237">
        <v>3</v>
      </c>
      <c r="D1154" s="238" t="s">
        <v>2022</v>
      </c>
      <c r="E1154" s="238" t="s">
        <v>1836</v>
      </c>
      <c r="F1154" s="238" t="s">
        <v>2022</v>
      </c>
      <c r="G1154" s="238" t="s">
        <v>135</v>
      </c>
      <c r="H1154" s="239" t="s">
        <v>2968</v>
      </c>
      <c r="I1154" s="217"/>
      <c r="J1154" s="217"/>
      <c r="K1154" s="217"/>
      <c r="L1154" s="217"/>
      <c r="M1154" s="217"/>
      <c r="N1154" s="217"/>
      <c r="O1154" s="217"/>
      <c r="P1154" s="217"/>
    </row>
    <row r="1155" spans="1:16" s="219" customFormat="1" ht="30" hidden="1" x14ac:dyDescent="0.25">
      <c r="A1155" s="214"/>
      <c r="B1155" s="237">
        <v>1</v>
      </c>
      <c r="C1155" s="237">
        <v>3</v>
      </c>
      <c r="D1155" s="238" t="s">
        <v>2022</v>
      </c>
      <c r="E1155" s="238" t="s">
        <v>1836</v>
      </c>
      <c r="F1155" s="238" t="s">
        <v>2022</v>
      </c>
      <c r="G1155" s="238" t="s">
        <v>138</v>
      </c>
      <c r="H1155" s="239" t="s">
        <v>2969</v>
      </c>
      <c r="I1155" s="217"/>
      <c r="J1155" s="217"/>
      <c r="K1155" s="217"/>
      <c r="L1155" s="217"/>
      <c r="M1155" s="217"/>
      <c r="N1155" s="217"/>
      <c r="O1155" s="217"/>
      <c r="P1155" s="217"/>
    </row>
    <row r="1156" spans="1:16" s="219" customFormat="1" ht="30" hidden="1" x14ac:dyDescent="0.25">
      <c r="A1156" s="214"/>
      <c r="B1156" s="237">
        <v>1</v>
      </c>
      <c r="C1156" s="237">
        <v>3</v>
      </c>
      <c r="D1156" s="238" t="s">
        <v>2022</v>
      </c>
      <c r="E1156" s="238" t="s">
        <v>1836</v>
      </c>
      <c r="F1156" s="238" t="s">
        <v>2022</v>
      </c>
      <c r="G1156" s="238" t="s">
        <v>140</v>
      </c>
      <c r="H1156" s="239" t="s">
        <v>2970</v>
      </c>
      <c r="I1156" s="217"/>
      <c r="J1156" s="217"/>
      <c r="K1156" s="217"/>
      <c r="L1156" s="217"/>
      <c r="M1156" s="217"/>
      <c r="N1156" s="217"/>
      <c r="O1156" s="217"/>
      <c r="P1156" s="217"/>
    </row>
    <row r="1157" spans="1:16" s="219" customFormat="1" ht="30" hidden="1" x14ac:dyDescent="0.25">
      <c r="A1157" s="214"/>
      <c r="B1157" s="237">
        <v>1</v>
      </c>
      <c r="C1157" s="237">
        <v>3</v>
      </c>
      <c r="D1157" s="238" t="s">
        <v>2022</v>
      </c>
      <c r="E1157" s="238" t="s">
        <v>1836</v>
      </c>
      <c r="F1157" s="238" t="s">
        <v>2022</v>
      </c>
      <c r="G1157" s="238" t="s">
        <v>143</v>
      </c>
      <c r="H1157" s="239" t="s">
        <v>2971</v>
      </c>
      <c r="I1157" s="217"/>
      <c r="J1157" s="217"/>
      <c r="K1157" s="217"/>
      <c r="L1157" s="217"/>
      <c r="M1157" s="217"/>
      <c r="N1157" s="217"/>
      <c r="O1157" s="217"/>
      <c r="P1157" s="217"/>
    </row>
    <row r="1158" spans="1:16" s="219" customFormat="1" ht="45" hidden="1" x14ac:dyDescent="0.25">
      <c r="A1158" s="214"/>
      <c r="B1158" s="237">
        <v>1</v>
      </c>
      <c r="C1158" s="237">
        <v>3</v>
      </c>
      <c r="D1158" s="238" t="s">
        <v>2022</v>
      </c>
      <c r="E1158" s="238" t="s">
        <v>1836</v>
      </c>
      <c r="F1158" s="238" t="s">
        <v>2022</v>
      </c>
      <c r="G1158" s="238" t="s">
        <v>146</v>
      </c>
      <c r="H1158" s="239" t="s">
        <v>2972</v>
      </c>
      <c r="I1158" s="217"/>
      <c r="J1158" s="217"/>
      <c r="K1158" s="217"/>
      <c r="L1158" s="217"/>
      <c r="M1158" s="217"/>
      <c r="N1158" s="217"/>
      <c r="O1158" s="217"/>
      <c r="P1158" s="217"/>
    </row>
    <row r="1159" spans="1:16" s="219" customFormat="1" ht="30" hidden="1" x14ac:dyDescent="0.25">
      <c r="A1159" s="214"/>
      <c r="B1159" s="237">
        <v>1</v>
      </c>
      <c r="C1159" s="237">
        <v>3</v>
      </c>
      <c r="D1159" s="238" t="s">
        <v>2022</v>
      </c>
      <c r="E1159" s="238" t="s">
        <v>1836</v>
      </c>
      <c r="F1159" s="238" t="s">
        <v>2022</v>
      </c>
      <c r="G1159" s="238" t="s">
        <v>150</v>
      </c>
      <c r="H1159" s="239" t="s">
        <v>2973</v>
      </c>
      <c r="I1159" s="217"/>
      <c r="J1159" s="217"/>
      <c r="K1159" s="217"/>
      <c r="L1159" s="217"/>
      <c r="M1159" s="217"/>
      <c r="N1159" s="217"/>
      <c r="O1159" s="217"/>
      <c r="P1159" s="217"/>
    </row>
    <row r="1160" spans="1:16" s="219" customFormat="1" ht="30" hidden="1" x14ac:dyDescent="0.25">
      <c r="A1160" s="214"/>
      <c r="B1160" s="237">
        <v>1</v>
      </c>
      <c r="C1160" s="237">
        <v>3</v>
      </c>
      <c r="D1160" s="238" t="s">
        <v>2022</v>
      </c>
      <c r="E1160" s="238" t="s">
        <v>1836</v>
      </c>
      <c r="F1160" s="238" t="s">
        <v>2022</v>
      </c>
      <c r="G1160" s="238" t="s">
        <v>153</v>
      </c>
      <c r="H1160" s="239" t="s">
        <v>2974</v>
      </c>
      <c r="I1160" s="217"/>
      <c r="J1160" s="217"/>
      <c r="K1160" s="217"/>
      <c r="L1160" s="217"/>
      <c r="M1160" s="217"/>
      <c r="N1160" s="217"/>
      <c r="O1160" s="217"/>
      <c r="P1160" s="217"/>
    </row>
    <row r="1161" spans="1:16" s="219" customFormat="1" ht="45" hidden="1" x14ac:dyDescent="0.25">
      <c r="A1161" s="214"/>
      <c r="B1161" s="237">
        <v>1</v>
      </c>
      <c r="C1161" s="237">
        <v>3</v>
      </c>
      <c r="D1161" s="238" t="s">
        <v>2022</v>
      </c>
      <c r="E1161" s="238" t="s">
        <v>1836</v>
      </c>
      <c r="F1161" s="238" t="s">
        <v>2022</v>
      </c>
      <c r="G1161" s="238" t="s">
        <v>156</v>
      </c>
      <c r="H1161" s="239" t="s">
        <v>2975</v>
      </c>
      <c r="I1161" s="217"/>
      <c r="J1161" s="217"/>
      <c r="K1161" s="217"/>
      <c r="L1161" s="217"/>
      <c r="M1161" s="217"/>
      <c r="N1161" s="217"/>
      <c r="O1161" s="217"/>
      <c r="P1161" s="217"/>
    </row>
    <row r="1162" spans="1:16" s="219" customFormat="1" ht="45" hidden="1" x14ac:dyDescent="0.25">
      <c r="A1162" s="214"/>
      <c r="B1162" s="237">
        <v>1</v>
      </c>
      <c r="C1162" s="237">
        <v>3</v>
      </c>
      <c r="D1162" s="238" t="s">
        <v>2022</v>
      </c>
      <c r="E1162" s="238" t="s">
        <v>1836</v>
      </c>
      <c r="F1162" s="238" t="s">
        <v>2022</v>
      </c>
      <c r="G1162" s="238" t="s">
        <v>159</v>
      </c>
      <c r="H1162" s="239" t="s">
        <v>2976</v>
      </c>
      <c r="I1162" s="217"/>
      <c r="J1162" s="217"/>
      <c r="K1162" s="217"/>
      <c r="L1162" s="217"/>
      <c r="M1162" s="217"/>
      <c r="N1162" s="217"/>
      <c r="O1162" s="217"/>
      <c r="P1162" s="217"/>
    </row>
    <row r="1163" spans="1:16" s="219" customFormat="1" ht="45" hidden="1" x14ac:dyDescent="0.25">
      <c r="A1163" s="214"/>
      <c r="B1163" s="237">
        <v>1</v>
      </c>
      <c r="C1163" s="237">
        <v>3</v>
      </c>
      <c r="D1163" s="238" t="s">
        <v>2022</v>
      </c>
      <c r="E1163" s="238" t="s">
        <v>1836</v>
      </c>
      <c r="F1163" s="238" t="s">
        <v>2022</v>
      </c>
      <c r="G1163" s="238" t="s">
        <v>162</v>
      </c>
      <c r="H1163" s="239" t="s">
        <v>2977</v>
      </c>
      <c r="I1163" s="217"/>
      <c r="J1163" s="217"/>
      <c r="K1163" s="217"/>
      <c r="L1163" s="217"/>
      <c r="M1163" s="217"/>
      <c r="N1163" s="217"/>
      <c r="O1163" s="217"/>
      <c r="P1163" s="217"/>
    </row>
    <row r="1164" spans="1:16" s="219" customFormat="1" ht="45" hidden="1" x14ac:dyDescent="0.25">
      <c r="A1164" s="214"/>
      <c r="B1164" s="237">
        <v>1</v>
      </c>
      <c r="C1164" s="237">
        <v>3</v>
      </c>
      <c r="D1164" s="238" t="s">
        <v>2022</v>
      </c>
      <c r="E1164" s="238" t="s">
        <v>1836</v>
      </c>
      <c r="F1164" s="238" t="s">
        <v>2022</v>
      </c>
      <c r="G1164" s="238" t="s">
        <v>312</v>
      </c>
      <c r="H1164" s="239" t="s">
        <v>2978</v>
      </c>
      <c r="I1164" s="217"/>
      <c r="J1164" s="217"/>
      <c r="K1164" s="217"/>
      <c r="L1164" s="217"/>
      <c r="M1164" s="217"/>
      <c r="N1164" s="217"/>
      <c r="O1164" s="217"/>
      <c r="P1164" s="217"/>
    </row>
    <row r="1165" spans="1:16" s="219" customFormat="1" ht="45" hidden="1" x14ac:dyDescent="0.25">
      <c r="A1165" s="214"/>
      <c r="B1165" s="237">
        <v>1</v>
      </c>
      <c r="C1165" s="237">
        <v>3</v>
      </c>
      <c r="D1165" s="238" t="s">
        <v>2022</v>
      </c>
      <c r="E1165" s="238" t="s">
        <v>1836</v>
      </c>
      <c r="F1165" s="238" t="s">
        <v>2022</v>
      </c>
      <c r="G1165" s="238" t="s">
        <v>313</v>
      </c>
      <c r="H1165" s="239" t="s">
        <v>2979</v>
      </c>
      <c r="I1165" s="217"/>
      <c r="J1165" s="217"/>
      <c r="K1165" s="217"/>
      <c r="L1165" s="217"/>
      <c r="M1165" s="217"/>
      <c r="N1165" s="217"/>
      <c r="O1165" s="217"/>
      <c r="P1165" s="217"/>
    </row>
    <row r="1166" spans="1:16" s="219" customFormat="1" ht="45" hidden="1" x14ac:dyDescent="0.25">
      <c r="A1166" s="214"/>
      <c r="B1166" s="237">
        <v>1</v>
      </c>
      <c r="C1166" s="237">
        <v>3</v>
      </c>
      <c r="D1166" s="238" t="s">
        <v>2022</v>
      </c>
      <c r="E1166" s="238" t="s">
        <v>1836</v>
      </c>
      <c r="F1166" s="238" t="s">
        <v>2022</v>
      </c>
      <c r="G1166" s="238" t="s">
        <v>559</v>
      </c>
      <c r="H1166" s="239" t="s">
        <v>2980</v>
      </c>
      <c r="I1166" s="217"/>
      <c r="J1166" s="217"/>
      <c r="K1166" s="217"/>
      <c r="L1166" s="217"/>
      <c r="M1166" s="217"/>
      <c r="N1166" s="217"/>
      <c r="O1166" s="217"/>
      <c r="P1166" s="217"/>
    </row>
    <row r="1167" spans="1:16" s="219" customFormat="1" ht="45" hidden="1" x14ac:dyDescent="0.25">
      <c r="A1167" s="214"/>
      <c r="B1167" s="237">
        <v>1</v>
      </c>
      <c r="C1167" s="237">
        <v>3</v>
      </c>
      <c r="D1167" s="238" t="s">
        <v>2022</v>
      </c>
      <c r="E1167" s="238" t="s">
        <v>1836</v>
      </c>
      <c r="F1167" s="238" t="s">
        <v>2022</v>
      </c>
      <c r="G1167" s="238" t="s">
        <v>561</v>
      </c>
      <c r="H1167" s="239" t="s">
        <v>2981</v>
      </c>
      <c r="I1167" s="217"/>
      <c r="J1167" s="217"/>
      <c r="K1167" s="217"/>
      <c r="L1167" s="217"/>
      <c r="M1167" s="217"/>
      <c r="N1167" s="217"/>
      <c r="O1167" s="217"/>
      <c r="P1167" s="217"/>
    </row>
    <row r="1168" spans="1:16" s="219" customFormat="1" ht="45" hidden="1" x14ac:dyDescent="0.25">
      <c r="A1168" s="214"/>
      <c r="B1168" s="237">
        <v>1</v>
      </c>
      <c r="C1168" s="237">
        <v>3</v>
      </c>
      <c r="D1168" s="238" t="s">
        <v>2022</v>
      </c>
      <c r="E1168" s="238" t="s">
        <v>1836</v>
      </c>
      <c r="F1168" s="238" t="s">
        <v>2022</v>
      </c>
      <c r="G1168" s="238" t="s">
        <v>563</v>
      </c>
      <c r="H1168" s="239" t="s">
        <v>2982</v>
      </c>
      <c r="I1168" s="217"/>
      <c r="J1168" s="217"/>
      <c r="K1168" s="217"/>
      <c r="L1168" s="217"/>
      <c r="M1168" s="217"/>
      <c r="N1168" s="217"/>
      <c r="O1168" s="217"/>
      <c r="P1168" s="217"/>
    </row>
    <row r="1169" spans="1:16" s="219" customFormat="1" ht="45" hidden="1" x14ac:dyDescent="0.25">
      <c r="A1169" s="214"/>
      <c r="B1169" s="237">
        <v>1</v>
      </c>
      <c r="C1169" s="237">
        <v>3</v>
      </c>
      <c r="D1169" s="238" t="s">
        <v>2022</v>
      </c>
      <c r="E1169" s="238" t="s">
        <v>1836</v>
      </c>
      <c r="F1169" s="238" t="s">
        <v>2022</v>
      </c>
      <c r="G1169" s="238" t="s">
        <v>227</v>
      </c>
      <c r="H1169" s="239" t="s">
        <v>2983</v>
      </c>
      <c r="I1169" s="217"/>
      <c r="J1169" s="217"/>
      <c r="K1169" s="217"/>
      <c r="L1169" s="217"/>
      <c r="M1169" s="217"/>
      <c r="N1169" s="217"/>
      <c r="O1169" s="217"/>
      <c r="P1169" s="217"/>
    </row>
    <row r="1170" spans="1:16" s="219" customFormat="1" ht="45" hidden="1" x14ac:dyDescent="0.25">
      <c r="A1170" s="214"/>
      <c r="B1170" s="237">
        <v>1</v>
      </c>
      <c r="C1170" s="237">
        <v>3</v>
      </c>
      <c r="D1170" s="238" t="s">
        <v>2022</v>
      </c>
      <c r="E1170" s="238" t="s">
        <v>1836</v>
      </c>
      <c r="F1170" s="238" t="s">
        <v>2022</v>
      </c>
      <c r="G1170" s="238" t="s">
        <v>230</v>
      </c>
      <c r="H1170" s="239" t="s">
        <v>2984</v>
      </c>
      <c r="I1170" s="217"/>
      <c r="J1170" s="217"/>
      <c r="K1170" s="217"/>
      <c r="L1170" s="217"/>
      <c r="M1170" s="217"/>
      <c r="N1170" s="217"/>
      <c r="O1170" s="217"/>
      <c r="P1170" s="217"/>
    </row>
    <row r="1171" spans="1:16" s="219" customFormat="1" ht="45" hidden="1" x14ac:dyDescent="0.25">
      <c r="A1171" s="214"/>
      <c r="B1171" s="237">
        <v>1</v>
      </c>
      <c r="C1171" s="237">
        <v>3</v>
      </c>
      <c r="D1171" s="238" t="s">
        <v>2022</v>
      </c>
      <c r="E1171" s="238" t="s">
        <v>1836</v>
      </c>
      <c r="F1171" s="238" t="s">
        <v>2022</v>
      </c>
      <c r="G1171" s="238" t="s">
        <v>232</v>
      </c>
      <c r="H1171" s="239" t="s">
        <v>2985</v>
      </c>
      <c r="I1171" s="217"/>
      <c r="J1171" s="217"/>
      <c r="K1171" s="217"/>
      <c r="L1171" s="217"/>
      <c r="M1171" s="217"/>
      <c r="N1171" s="217"/>
      <c r="O1171" s="217"/>
      <c r="P1171" s="217"/>
    </row>
    <row r="1172" spans="1:16" s="219" customFormat="1" ht="45" hidden="1" x14ac:dyDescent="0.25">
      <c r="A1172" s="214"/>
      <c r="B1172" s="237">
        <v>1</v>
      </c>
      <c r="C1172" s="237">
        <v>3</v>
      </c>
      <c r="D1172" s="238" t="s">
        <v>2022</v>
      </c>
      <c r="E1172" s="238" t="s">
        <v>1836</v>
      </c>
      <c r="F1172" s="238" t="s">
        <v>2022</v>
      </c>
      <c r="G1172" s="238" t="s">
        <v>234</v>
      </c>
      <c r="H1172" s="239" t="s">
        <v>2986</v>
      </c>
      <c r="I1172" s="217"/>
      <c r="J1172" s="217"/>
      <c r="K1172" s="217"/>
      <c r="L1172" s="217"/>
      <c r="M1172" s="217"/>
      <c r="N1172" s="217"/>
      <c r="O1172" s="217"/>
      <c r="P1172" s="217"/>
    </row>
    <row r="1173" spans="1:16" s="219" customFormat="1" ht="45" hidden="1" x14ac:dyDescent="0.25">
      <c r="A1173" s="214"/>
      <c r="B1173" s="237">
        <v>1</v>
      </c>
      <c r="C1173" s="237">
        <v>3</v>
      </c>
      <c r="D1173" s="238" t="s">
        <v>2022</v>
      </c>
      <c r="E1173" s="238" t="s">
        <v>1836</v>
      </c>
      <c r="F1173" s="238" t="s">
        <v>2022</v>
      </c>
      <c r="G1173" s="238" t="s">
        <v>236</v>
      </c>
      <c r="H1173" s="239" t="s">
        <v>2987</v>
      </c>
      <c r="I1173" s="217"/>
      <c r="J1173" s="217"/>
      <c r="K1173" s="217"/>
      <c r="L1173" s="217"/>
      <c r="M1173" s="217"/>
      <c r="N1173" s="217"/>
      <c r="O1173" s="217"/>
      <c r="P1173" s="217"/>
    </row>
    <row r="1174" spans="1:16" s="219" customFormat="1" ht="45" hidden="1" x14ac:dyDescent="0.25">
      <c r="A1174" s="214"/>
      <c r="B1174" s="237">
        <v>1</v>
      </c>
      <c r="C1174" s="237">
        <v>3</v>
      </c>
      <c r="D1174" s="238" t="s">
        <v>2022</v>
      </c>
      <c r="E1174" s="238" t="s">
        <v>1836</v>
      </c>
      <c r="F1174" s="238" t="s">
        <v>2022</v>
      </c>
      <c r="G1174" s="238" t="s">
        <v>238</v>
      </c>
      <c r="H1174" s="239" t="s">
        <v>2988</v>
      </c>
      <c r="I1174" s="217"/>
      <c r="J1174" s="217"/>
      <c r="K1174" s="217"/>
      <c r="L1174" s="217"/>
      <c r="M1174" s="217"/>
      <c r="N1174" s="217"/>
      <c r="O1174" s="217"/>
      <c r="P1174" s="217"/>
    </row>
    <row r="1175" spans="1:16" s="219" customFormat="1" ht="45" hidden="1" x14ac:dyDescent="0.25">
      <c r="A1175" s="214"/>
      <c r="B1175" s="237">
        <v>1</v>
      </c>
      <c r="C1175" s="237">
        <v>3</v>
      </c>
      <c r="D1175" s="238" t="s">
        <v>2022</v>
      </c>
      <c r="E1175" s="238" t="s">
        <v>1836</v>
      </c>
      <c r="F1175" s="238" t="s">
        <v>2022</v>
      </c>
      <c r="G1175" s="238" t="s">
        <v>240</v>
      </c>
      <c r="H1175" s="239" t="s">
        <v>2989</v>
      </c>
      <c r="I1175" s="217"/>
      <c r="J1175" s="217"/>
      <c r="K1175" s="217"/>
      <c r="L1175" s="217"/>
      <c r="M1175" s="217"/>
      <c r="N1175" s="217"/>
      <c r="O1175" s="217"/>
      <c r="P1175" s="217"/>
    </row>
    <row r="1176" spans="1:16" s="219" customFormat="1" ht="45" hidden="1" x14ac:dyDescent="0.25">
      <c r="A1176" s="214"/>
      <c r="B1176" s="237">
        <v>1</v>
      </c>
      <c r="C1176" s="237">
        <v>3</v>
      </c>
      <c r="D1176" s="238" t="s">
        <v>2022</v>
      </c>
      <c r="E1176" s="238" t="s">
        <v>1836</v>
      </c>
      <c r="F1176" s="238" t="s">
        <v>2022</v>
      </c>
      <c r="G1176" s="238" t="s">
        <v>242</v>
      </c>
      <c r="H1176" s="239" t="s">
        <v>2990</v>
      </c>
      <c r="I1176" s="217"/>
      <c r="J1176" s="217"/>
      <c r="K1176" s="217"/>
      <c r="L1176" s="217"/>
      <c r="M1176" s="217"/>
      <c r="N1176" s="217"/>
      <c r="O1176" s="217"/>
      <c r="P1176" s="217"/>
    </row>
    <row r="1177" spans="1:16" s="219" customFormat="1" ht="45" hidden="1" x14ac:dyDescent="0.25">
      <c r="A1177" s="214"/>
      <c r="B1177" s="237">
        <v>1</v>
      </c>
      <c r="C1177" s="237">
        <v>3</v>
      </c>
      <c r="D1177" s="238" t="s">
        <v>2022</v>
      </c>
      <c r="E1177" s="238" t="s">
        <v>1836</v>
      </c>
      <c r="F1177" s="238" t="s">
        <v>2022</v>
      </c>
      <c r="G1177" s="238" t="s">
        <v>244</v>
      </c>
      <c r="H1177" s="239" t="s">
        <v>2991</v>
      </c>
      <c r="I1177" s="217"/>
      <c r="J1177" s="217"/>
      <c r="K1177" s="217"/>
      <c r="L1177" s="217"/>
      <c r="M1177" s="217"/>
      <c r="N1177" s="217"/>
      <c r="O1177" s="217"/>
      <c r="P1177" s="217"/>
    </row>
    <row r="1178" spans="1:16" s="219" customFormat="1" ht="45" hidden="1" x14ac:dyDescent="0.25">
      <c r="A1178" s="214"/>
      <c r="B1178" s="237">
        <v>1</v>
      </c>
      <c r="C1178" s="237">
        <v>3</v>
      </c>
      <c r="D1178" s="238" t="s">
        <v>2022</v>
      </c>
      <c r="E1178" s="238" t="s">
        <v>1836</v>
      </c>
      <c r="F1178" s="238" t="s">
        <v>2022</v>
      </c>
      <c r="G1178" s="238" t="s">
        <v>246</v>
      </c>
      <c r="H1178" s="239" t="s">
        <v>2992</v>
      </c>
      <c r="I1178" s="217"/>
      <c r="J1178" s="217"/>
      <c r="K1178" s="217"/>
      <c r="L1178" s="217"/>
      <c r="M1178" s="217"/>
      <c r="N1178" s="217"/>
      <c r="O1178" s="217"/>
      <c r="P1178" s="217"/>
    </row>
    <row r="1179" spans="1:16" s="219" customFormat="1" ht="30" hidden="1" x14ac:dyDescent="0.25">
      <c r="A1179" s="214"/>
      <c r="B1179" s="237">
        <v>1</v>
      </c>
      <c r="C1179" s="237">
        <v>3</v>
      </c>
      <c r="D1179" s="238" t="s">
        <v>2022</v>
      </c>
      <c r="E1179" s="238" t="s">
        <v>1836</v>
      </c>
      <c r="F1179" s="238" t="s">
        <v>2022</v>
      </c>
      <c r="G1179" s="238" t="s">
        <v>407</v>
      </c>
      <c r="H1179" s="239" t="s">
        <v>2993</v>
      </c>
      <c r="I1179" s="217"/>
      <c r="J1179" s="217"/>
      <c r="K1179" s="217"/>
      <c r="L1179" s="217"/>
      <c r="M1179" s="217"/>
      <c r="N1179" s="217"/>
      <c r="O1179" s="217"/>
      <c r="P1179" s="217"/>
    </row>
    <row r="1180" spans="1:16" s="219" customFormat="1" ht="45" hidden="1" x14ac:dyDescent="0.25">
      <c r="A1180" s="214"/>
      <c r="B1180" s="237">
        <v>1</v>
      </c>
      <c r="C1180" s="237">
        <v>3</v>
      </c>
      <c r="D1180" s="238" t="s">
        <v>2022</v>
      </c>
      <c r="E1180" s="238" t="s">
        <v>1836</v>
      </c>
      <c r="F1180" s="238" t="s">
        <v>2022</v>
      </c>
      <c r="G1180" s="238" t="s">
        <v>408</v>
      </c>
      <c r="H1180" s="239" t="s">
        <v>2994</v>
      </c>
      <c r="I1180" s="217"/>
      <c r="J1180" s="217"/>
      <c r="K1180" s="217"/>
      <c r="L1180" s="217"/>
      <c r="M1180" s="217"/>
      <c r="N1180" s="217"/>
      <c r="O1180" s="217"/>
      <c r="P1180" s="217"/>
    </row>
    <row r="1181" spans="1:16" s="219" customFormat="1" ht="30" hidden="1" x14ac:dyDescent="0.25">
      <c r="A1181" s="214"/>
      <c r="B1181" s="237">
        <v>1</v>
      </c>
      <c r="C1181" s="237">
        <v>3</v>
      </c>
      <c r="D1181" s="238" t="s">
        <v>2022</v>
      </c>
      <c r="E1181" s="238" t="s">
        <v>1836</v>
      </c>
      <c r="F1181" s="238" t="s">
        <v>2022</v>
      </c>
      <c r="G1181" s="238" t="s">
        <v>409</v>
      </c>
      <c r="H1181" s="239" t="s">
        <v>2995</v>
      </c>
      <c r="I1181" s="217"/>
      <c r="J1181" s="217"/>
      <c r="K1181" s="217"/>
      <c r="L1181" s="217"/>
      <c r="M1181" s="217"/>
      <c r="N1181" s="217"/>
      <c r="O1181" s="217"/>
      <c r="P1181" s="217"/>
    </row>
    <row r="1182" spans="1:16" s="219" customFormat="1" ht="30" hidden="1" x14ac:dyDescent="0.25">
      <c r="A1182" s="214"/>
      <c r="B1182" s="237">
        <v>1</v>
      </c>
      <c r="C1182" s="237">
        <v>3</v>
      </c>
      <c r="D1182" s="238" t="s">
        <v>2022</v>
      </c>
      <c r="E1182" s="238" t="s">
        <v>1836</v>
      </c>
      <c r="F1182" s="238" t="s">
        <v>2022</v>
      </c>
      <c r="G1182" s="238" t="s">
        <v>788</v>
      </c>
      <c r="H1182" s="239" t="s">
        <v>2996</v>
      </c>
      <c r="I1182" s="217"/>
      <c r="J1182" s="217"/>
      <c r="K1182" s="217"/>
      <c r="L1182" s="217"/>
      <c r="M1182" s="217"/>
      <c r="N1182" s="217"/>
      <c r="O1182" s="217"/>
      <c r="P1182" s="217"/>
    </row>
    <row r="1183" spans="1:16" s="219" customFormat="1" ht="45" hidden="1" x14ac:dyDescent="0.25">
      <c r="A1183" s="214"/>
      <c r="B1183" s="237">
        <v>1</v>
      </c>
      <c r="C1183" s="237">
        <v>3</v>
      </c>
      <c r="D1183" s="238" t="s">
        <v>2022</v>
      </c>
      <c r="E1183" s="238" t="s">
        <v>1836</v>
      </c>
      <c r="F1183" s="238" t="s">
        <v>2022</v>
      </c>
      <c r="G1183" s="238" t="s">
        <v>1017</v>
      </c>
      <c r="H1183" s="239" t="s">
        <v>2997</v>
      </c>
      <c r="I1183" s="217"/>
      <c r="J1183" s="217"/>
      <c r="K1183" s="217"/>
      <c r="L1183" s="217"/>
      <c r="M1183" s="217"/>
      <c r="N1183" s="217"/>
      <c r="O1183" s="217"/>
      <c r="P1183" s="217"/>
    </row>
    <row r="1184" spans="1:16" s="219" customFormat="1" ht="45" hidden="1" x14ac:dyDescent="0.25">
      <c r="A1184" s="214"/>
      <c r="B1184" s="237">
        <v>1</v>
      </c>
      <c r="C1184" s="237">
        <v>3</v>
      </c>
      <c r="D1184" s="238" t="s">
        <v>2022</v>
      </c>
      <c r="E1184" s="238" t="s">
        <v>1836</v>
      </c>
      <c r="F1184" s="238" t="s">
        <v>2022</v>
      </c>
      <c r="G1184" s="238" t="s">
        <v>411</v>
      </c>
      <c r="H1184" s="239" t="s">
        <v>2998</v>
      </c>
      <c r="I1184" s="217"/>
      <c r="J1184" s="217"/>
      <c r="K1184" s="217"/>
      <c r="L1184" s="217"/>
      <c r="M1184" s="217"/>
      <c r="N1184" s="217"/>
      <c r="O1184" s="217"/>
      <c r="P1184" s="217"/>
    </row>
    <row r="1185" spans="1:16" s="219" customFormat="1" ht="45" hidden="1" x14ac:dyDescent="0.25">
      <c r="A1185" s="214"/>
      <c r="B1185" s="237">
        <v>1</v>
      </c>
      <c r="C1185" s="237">
        <v>3</v>
      </c>
      <c r="D1185" s="238" t="s">
        <v>2022</v>
      </c>
      <c r="E1185" s="238" t="s">
        <v>1836</v>
      </c>
      <c r="F1185" s="238" t="s">
        <v>2022</v>
      </c>
      <c r="G1185" s="238" t="s">
        <v>247</v>
      </c>
      <c r="H1185" s="239" t="s">
        <v>2999</v>
      </c>
      <c r="I1185" s="217"/>
      <c r="J1185" s="217"/>
      <c r="K1185" s="217"/>
      <c r="L1185" s="217"/>
      <c r="M1185" s="217"/>
      <c r="N1185" s="217"/>
      <c r="O1185" s="217"/>
      <c r="P1185" s="217"/>
    </row>
    <row r="1186" spans="1:16" s="219" customFormat="1" ht="45" hidden="1" x14ac:dyDescent="0.25">
      <c r="A1186" s="214"/>
      <c r="B1186" s="237">
        <v>1</v>
      </c>
      <c r="C1186" s="237">
        <v>3</v>
      </c>
      <c r="D1186" s="238" t="s">
        <v>2022</v>
      </c>
      <c r="E1186" s="238" t="s">
        <v>1836</v>
      </c>
      <c r="F1186" s="238" t="s">
        <v>2022</v>
      </c>
      <c r="G1186" s="238" t="s">
        <v>1019</v>
      </c>
      <c r="H1186" s="239" t="s">
        <v>3000</v>
      </c>
      <c r="I1186" s="217"/>
      <c r="J1186" s="217"/>
      <c r="K1186" s="217"/>
      <c r="L1186" s="217"/>
      <c r="M1186" s="217"/>
      <c r="N1186" s="217"/>
      <c r="O1186" s="217"/>
      <c r="P1186" s="217"/>
    </row>
    <row r="1187" spans="1:16" s="219" customFormat="1" ht="45" hidden="1" x14ac:dyDescent="0.25">
      <c r="A1187" s="214"/>
      <c r="B1187" s="237">
        <v>1</v>
      </c>
      <c r="C1187" s="237">
        <v>3</v>
      </c>
      <c r="D1187" s="238" t="s">
        <v>2022</v>
      </c>
      <c r="E1187" s="238" t="s">
        <v>1836</v>
      </c>
      <c r="F1187" s="238" t="s">
        <v>2022</v>
      </c>
      <c r="G1187" s="238" t="s">
        <v>1022</v>
      </c>
      <c r="H1187" s="239" t="s">
        <v>3001</v>
      </c>
      <c r="I1187" s="217"/>
      <c r="J1187" s="217"/>
      <c r="K1187" s="217"/>
      <c r="L1187" s="217"/>
      <c r="M1187" s="217"/>
      <c r="N1187" s="217"/>
      <c r="O1187" s="217"/>
      <c r="P1187" s="217"/>
    </row>
    <row r="1188" spans="1:16" s="219" customFormat="1" ht="45" hidden="1" x14ac:dyDescent="0.25">
      <c r="A1188" s="214"/>
      <c r="B1188" s="237">
        <v>1</v>
      </c>
      <c r="C1188" s="237">
        <v>3</v>
      </c>
      <c r="D1188" s="238" t="s">
        <v>2022</v>
      </c>
      <c r="E1188" s="238" t="s">
        <v>1836</v>
      </c>
      <c r="F1188" s="238" t="s">
        <v>2022</v>
      </c>
      <c r="G1188" s="238" t="s">
        <v>1024</v>
      </c>
      <c r="H1188" s="239" t="s">
        <v>3002</v>
      </c>
      <c r="I1188" s="217"/>
      <c r="J1188" s="217"/>
      <c r="K1188" s="217"/>
      <c r="L1188" s="217"/>
      <c r="M1188" s="217"/>
      <c r="N1188" s="217"/>
      <c r="O1188" s="217"/>
      <c r="P1188" s="217"/>
    </row>
    <row r="1189" spans="1:16" s="219" customFormat="1" ht="45" hidden="1" x14ac:dyDescent="0.25">
      <c r="A1189" s="214"/>
      <c r="B1189" s="237">
        <v>1</v>
      </c>
      <c r="C1189" s="237">
        <v>3</v>
      </c>
      <c r="D1189" s="238" t="s">
        <v>2022</v>
      </c>
      <c r="E1189" s="238" t="s">
        <v>1836</v>
      </c>
      <c r="F1189" s="238" t="s">
        <v>2022</v>
      </c>
      <c r="G1189" s="238" t="s">
        <v>1026</v>
      </c>
      <c r="H1189" s="239" t="s">
        <v>3003</v>
      </c>
      <c r="I1189" s="217"/>
      <c r="J1189" s="217"/>
      <c r="K1189" s="217"/>
      <c r="L1189" s="217"/>
      <c r="M1189" s="217"/>
      <c r="N1189" s="217"/>
      <c r="O1189" s="217"/>
      <c r="P1189" s="217"/>
    </row>
    <row r="1190" spans="1:16" s="219" customFormat="1" ht="45" hidden="1" x14ac:dyDescent="0.25">
      <c r="A1190" s="214"/>
      <c r="B1190" s="237">
        <v>1</v>
      </c>
      <c r="C1190" s="237">
        <v>3</v>
      </c>
      <c r="D1190" s="238" t="s">
        <v>2022</v>
      </c>
      <c r="E1190" s="238" t="s">
        <v>1836</v>
      </c>
      <c r="F1190" s="238" t="s">
        <v>2022</v>
      </c>
      <c r="G1190" s="238" t="s">
        <v>416</v>
      </c>
      <c r="H1190" s="239" t="s">
        <v>3004</v>
      </c>
      <c r="I1190" s="217"/>
      <c r="J1190" s="217"/>
      <c r="K1190" s="217"/>
      <c r="L1190" s="217"/>
      <c r="M1190" s="217"/>
      <c r="N1190" s="217"/>
      <c r="O1190" s="217"/>
      <c r="P1190" s="217"/>
    </row>
    <row r="1191" spans="1:16" s="219" customFormat="1" ht="45" hidden="1" x14ac:dyDescent="0.25">
      <c r="A1191" s="214"/>
      <c r="B1191" s="237">
        <v>1</v>
      </c>
      <c r="C1191" s="237">
        <v>3</v>
      </c>
      <c r="D1191" s="238" t="s">
        <v>2022</v>
      </c>
      <c r="E1191" s="238" t="s">
        <v>1836</v>
      </c>
      <c r="F1191" s="238" t="s">
        <v>2022</v>
      </c>
      <c r="G1191" s="238" t="s">
        <v>417</v>
      </c>
      <c r="H1191" s="239" t="s">
        <v>3005</v>
      </c>
      <c r="I1191" s="217"/>
      <c r="J1191" s="217"/>
      <c r="K1191" s="217"/>
      <c r="L1191" s="217"/>
      <c r="M1191" s="217"/>
      <c r="N1191" s="217"/>
      <c r="O1191" s="217"/>
      <c r="P1191" s="217"/>
    </row>
    <row r="1192" spans="1:16" s="219" customFormat="1" ht="45" hidden="1" x14ac:dyDescent="0.25">
      <c r="A1192" s="214"/>
      <c r="B1192" s="237">
        <v>1</v>
      </c>
      <c r="C1192" s="237">
        <v>3</v>
      </c>
      <c r="D1192" s="238" t="s">
        <v>2022</v>
      </c>
      <c r="E1192" s="238" t="s">
        <v>1836</v>
      </c>
      <c r="F1192" s="238" t="s">
        <v>2022</v>
      </c>
      <c r="G1192" s="238" t="s">
        <v>1028</v>
      </c>
      <c r="H1192" s="239" t="s">
        <v>3006</v>
      </c>
      <c r="I1192" s="217"/>
      <c r="J1192" s="217"/>
      <c r="K1192" s="217"/>
      <c r="L1192" s="217"/>
      <c r="M1192" s="217"/>
      <c r="N1192" s="217"/>
      <c r="O1192" s="217"/>
      <c r="P1192" s="217"/>
    </row>
    <row r="1193" spans="1:16" s="219" customFormat="1" ht="45" hidden="1" x14ac:dyDescent="0.25">
      <c r="A1193" s="214"/>
      <c r="B1193" s="237">
        <v>1</v>
      </c>
      <c r="C1193" s="237">
        <v>3</v>
      </c>
      <c r="D1193" s="238" t="s">
        <v>2022</v>
      </c>
      <c r="E1193" s="238" t="s">
        <v>1836</v>
      </c>
      <c r="F1193" s="238" t="s">
        <v>2022</v>
      </c>
      <c r="G1193" s="238" t="s">
        <v>1029</v>
      </c>
      <c r="H1193" s="239" t="s">
        <v>3007</v>
      </c>
      <c r="I1193" s="217"/>
      <c r="J1193" s="217"/>
      <c r="K1193" s="217"/>
      <c r="L1193" s="217"/>
      <c r="M1193" s="217"/>
      <c r="N1193" s="217"/>
      <c r="O1193" s="217"/>
      <c r="P1193" s="217"/>
    </row>
    <row r="1194" spans="1:16" s="219" customFormat="1" ht="45" hidden="1" x14ac:dyDescent="0.25">
      <c r="A1194" s="214"/>
      <c r="B1194" s="237">
        <v>1</v>
      </c>
      <c r="C1194" s="237">
        <v>3</v>
      </c>
      <c r="D1194" s="238" t="s">
        <v>2022</v>
      </c>
      <c r="E1194" s="238" t="s">
        <v>1836</v>
      </c>
      <c r="F1194" s="238" t="s">
        <v>2022</v>
      </c>
      <c r="G1194" s="238" t="s">
        <v>1030</v>
      </c>
      <c r="H1194" s="239" t="s">
        <v>3008</v>
      </c>
      <c r="I1194" s="217"/>
      <c r="J1194" s="217"/>
      <c r="K1194" s="217"/>
      <c r="L1194" s="217"/>
      <c r="M1194" s="217"/>
      <c r="N1194" s="217"/>
      <c r="O1194" s="217"/>
      <c r="P1194" s="217"/>
    </row>
    <row r="1195" spans="1:16" s="219" customFormat="1" ht="45" hidden="1" x14ac:dyDescent="0.25">
      <c r="A1195" s="214"/>
      <c r="B1195" s="237">
        <v>1</v>
      </c>
      <c r="C1195" s="237">
        <v>3</v>
      </c>
      <c r="D1195" s="238" t="s">
        <v>2022</v>
      </c>
      <c r="E1195" s="238" t="s">
        <v>1836</v>
      </c>
      <c r="F1195" s="238" t="s">
        <v>2022</v>
      </c>
      <c r="G1195" s="238" t="s">
        <v>1032</v>
      </c>
      <c r="H1195" s="239" t="s">
        <v>3009</v>
      </c>
      <c r="I1195" s="217"/>
      <c r="J1195" s="217"/>
      <c r="K1195" s="217"/>
      <c r="L1195" s="217"/>
      <c r="M1195" s="217"/>
      <c r="N1195" s="217"/>
      <c r="O1195" s="217"/>
      <c r="P1195" s="217"/>
    </row>
    <row r="1196" spans="1:16" s="219" customFormat="1" ht="45" hidden="1" x14ac:dyDescent="0.25">
      <c r="A1196" s="214"/>
      <c r="B1196" s="237">
        <v>1</v>
      </c>
      <c r="C1196" s="237">
        <v>3</v>
      </c>
      <c r="D1196" s="238" t="s">
        <v>2022</v>
      </c>
      <c r="E1196" s="238" t="s">
        <v>1836</v>
      </c>
      <c r="F1196" s="238" t="s">
        <v>2022</v>
      </c>
      <c r="G1196" s="238" t="s">
        <v>1212</v>
      </c>
      <c r="H1196" s="239" t="s">
        <v>3010</v>
      </c>
      <c r="I1196" s="217"/>
      <c r="J1196" s="217"/>
      <c r="K1196" s="217"/>
      <c r="L1196" s="217"/>
      <c r="M1196" s="217"/>
      <c r="N1196" s="217"/>
      <c r="O1196" s="217"/>
      <c r="P1196" s="217"/>
    </row>
    <row r="1197" spans="1:16" s="219" customFormat="1" ht="45" hidden="1" x14ac:dyDescent="0.25">
      <c r="A1197" s="214"/>
      <c r="B1197" s="237">
        <v>1</v>
      </c>
      <c r="C1197" s="237">
        <v>3</v>
      </c>
      <c r="D1197" s="238" t="s">
        <v>2022</v>
      </c>
      <c r="E1197" s="238" t="s">
        <v>1836</v>
      </c>
      <c r="F1197" s="238" t="s">
        <v>2022</v>
      </c>
      <c r="G1197" s="238" t="s">
        <v>791</v>
      </c>
      <c r="H1197" s="239" t="s">
        <v>3011</v>
      </c>
      <c r="I1197" s="217"/>
      <c r="J1197" s="217"/>
      <c r="K1197" s="217"/>
      <c r="L1197" s="217"/>
      <c r="M1197" s="217"/>
      <c r="N1197" s="217"/>
      <c r="O1197" s="217"/>
      <c r="P1197" s="217"/>
    </row>
    <row r="1198" spans="1:16" s="219" customFormat="1" ht="45" hidden="1" x14ac:dyDescent="0.25">
      <c r="A1198" s="214"/>
      <c r="B1198" s="237">
        <v>1</v>
      </c>
      <c r="C1198" s="237">
        <v>3</v>
      </c>
      <c r="D1198" s="238" t="s">
        <v>2022</v>
      </c>
      <c r="E1198" s="238" t="s">
        <v>1836</v>
      </c>
      <c r="F1198" s="238" t="s">
        <v>2022</v>
      </c>
      <c r="G1198" s="238" t="s">
        <v>420</v>
      </c>
      <c r="H1198" s="239" t="s">
        <v>3012</v>
      </c>
      <c r="I1198" s="217"/>
      <c r="J1198" s="217"/>
      <c r="K1198" s="217"/>
      <c r="L1198" s="217"/>
      <c r="M1198" s="217"/>
      <c r="N1198" s="217"/>
      <c r="O1198" s="217"/>
      <c r="P1198" s="217"/>
    </row>
    <row r="1199" spans="1:16" s="219" customFormat="1" ht="60" hidden="1" x14ac:dyDescent="0.25">
      <c r="A1199" s="214"/>
      <c r="B1199" s="237">
        <v>1</v>
      </c>
      <c r="C1199" s="237">
        <v>3</v>
      </c>
      <c r="D1199" s="238" t="s">
        <v>2022</v>
      </c>
      <c r="E1199" s="238" t="s">
        <v>1836</v>
      </c>
      <c r="F1199" s="238" t="s">
        <v>2022</v>
      </c>
      <c r="G1199" s="238" t="s">
        <v>1224</v>
      </c>
      <c r="H1199" s="239" t="s">
        <v>3013</v>
      </c>
      <c r="I1199" s="217"/>
      <c r="J1199" s="217"/>
      <c r="K1199" s="217"/>
      <c r="L1199" s="217"/>
      <c r="M1199" s="217"/>
      <c r="N1199" s="217"/>
      <c r="O1199" s="217"/>
      <c r="P1199" s="217"/>
    </row>
    <row r="1200" spans="1:16" s="219" customFormat="1" ht="45" hidden="1" x14ac:dyDescent="0.25">
      <c r="A1200" s="214"/>
      <c r="B1200" s="237">
        <v>1</v>
      </c>
      <c r="C1200" s="237">
        <v>3</v>
      </c>
      <c r="D1200" s="238" t="s">
        <v>2022</v>
      </c>
      <c r="E1200" s="238" t="s">
        <v>1836</v>
      </c>
      <c r="F1200" s="238" t="s">
        <v>2022</v>
      </c>
      <c r="G1200" s="238" t="s">
        <v>1226</v>
      </c>
      <c r="H1200" s="239" t="s">
        <v>3014</v>
      </c>
      <c r="I1200" s="217"/>
      <c r="J1200" s="217"/>
      <c r="K1200" s="217"/>
      <c r="L1200" s="217"/>
      <c r="M1200" s="217"/>
      <c r="N1200" s="217"/>
      <c r="O1200" s="217"/>
      <c r="P1200" s="217"/>
    </row>
    <row r="1201" spans="1:16" s="219" customFormat="1" ht="45" hidden="1" x14ac:dyDescent="0.25">
      <c r="A1201" s="214"/>
      <c r="B1201" s="237">
        <v>1</v>
      </c>
      <c r="C1201" s="237">
        <v>3</v>
      </c>
      <c r="D1201" s="238" t="s">
        <v>2022</v>
      </c>
      <c r="E1201" s="238" t="s">
        <v>1836</v>
      </c>
      <c r="F1201" s="238" t="s">
        <v>2022</v>
      </c>
      <c r="G1201" s="238" t="s">
        <v>2198</v>
      </c>
      <c r="H1201" s="239" t="s">
        <v>3015</v>
      </c>
      <c r="I1201" s="217"/>
      <c r="J1201" s="217"/>
      <c r="K1201" s="217"/>
      <c r="L1201" s="217"/>
      <c r="M1201" s="217"/>
      <c r="N1201" s="217"/>
      <c r="O1201" s="217"/>
      <c r="P1201" s="217"/>
    </row>
    <row r="1202" spans="1:16" s="219" customFormat="1" ht="45" hidden="1" x14ac:dyDescent="0.25">
      <c r="A1202" s="214"/>
      <c r="B1202" s="237">
        <v>1</v>
      </c>
      <c r="C1202" s="237">
        <v>3</v>
      </c>
      <c r="D1202" s="238" t="s">
        <v>2022</v>
      </c>
      <c r="E1202" s="238" t="s">
        <v>1836</v>
      </c>
      <c r="F1202" s="238" t="s">
        <v>2022</v>
      </c>
      <c r="G1202" s="238" t="s">
        <v>422</v>
      </c>
      <c r="H1202" s="239" t="s">
        <v>3016</v>
      </c>
      <c r="I1202" s="217"/>
      <c r="J1202" s="217"/>
      <c r="K1202" s="217"/>
      <c r="L1202" s="217"/>
      <c r="M1202" s="217"/>
      <c r="N1202" s="217"/>
      <c r="O1202" s="217"/>
      <c r="P1202" s="217"/>
    </row>
    <row r="1203" spans="1:16" s="219" customFormat="1" ht="60" hidden="1" x14ac:dyDescent="0.25">
      <c r="A1203" s="214"/>
      <c r="B1203" s="237">
        <v>1</v>
      </c>
      <c r="C1203" s="237">
        <v>3</v>
      </c>
      <c r="D1203" s="238" t="s">
        <v>2022</v>
      </c>
      <c r="E1203" s="238" t="s">
        <v>1836</v>
      </c>
      <c r="F1203" s="238" t="s">
        <v>2022</v>
      </c>
      <c r="G1203" s="238" t="s">
        <v>423</v>
      </c>
      <c r="H1203" s="239" t="s">
        <v>3017</v>
      </c>
      <c r="I1203" s="217"/>
      <c r="J1203" s="217"/>
      <c r="K1203" s="217"/>
      <c r="L1203" s="217"/>
      <c r="M1203" s="217"/>
      <c r="N1203" s="217"/>
      <c r="O1203" s="217"/>
      <c r="P1203" s="217"/>
    </row>
    <row r="1204" spans="1:16" s="219" customFormat="1" ht="60" hidden="1" x14ac:dyDescent="0.25">
      <c r="A1204" s="214"/>
      <c r="B1204" s="237">
        <v>1</v>
      </c>
      <c r="C1204" s="237">
        <v>3</v>
      </c>
      <c r="D1204" s="238" t="s">
        <v>2022</v>
      </c>
      <c r="E1204" s="238" t="s">
        <v>1836</v>
      </c>
      <c r="F1204" s="238" t="s">
        <v>2022</v>
      </c>
      <c r="G1204" s="238" t="s">
        <v>575</v>
      </c>
      <c r="H1204" s="239" t="s">
        <v>3018</v>
      </c>
      <c r="I1204" s="217"/>
      <c r="J1204" s="217"/>
      <c r="K1204" s="217"/>
      <c r="L1204" s="217"/>
      <c r="M1204" s="217"/>
      <c r="N1204" s="217"/>
      <c r="O1204" s="217"/>
      <c r="P1204" s="217"/>
    </row>
    <row r="1205" spans="1:16" s="219" customFormat="1" ht="60" hidden="1" x14ac:dyDescent="0.25">
      <c r="A1205" s="214"/>
      <c r="B1205" s="237">
        <v>1</v>
      </c>
      <c r="C1205" s="237">
        <v>3</v>
      </c>
      <c r="D1205" s="238" t="s">
        <v>2022</v>
      </c>
      <c r="E1205" s="238" t="s">
        <v>1836</v>
      </c>
      <c r="F1205" s="238" t="s">
        <v>2022</v>
      </c>
      <c r="G1205" s="238" t="s">
        <v>576</v>
      </c>
      <c r="H1205" s="239" t="s">
        <v>3019</v>
      </c>
      <c r="I1205" s="217"/>
      <c r="J1205" s="217"/>
      <c r="K1205" s="217"/>
      <c r="L1205" s="217"/>
      <c r="M1205" s="217"/>
      <c r="N1205" s="217"/>
      <c r="O1205" s="217"/>
      <c r="P1205" s="217"/>
    </row>
    <row r="1206" spans="1:16" s="219" customFormat="1" ht="45" hidden="1" x14ac:dyDescent="0.25">
      <c r="A1206" s="214"/>
      <c r="B1206" s="237">
        <v>1</v>
      </c>
      <c r="C1206" s="237">
        <v>3</v>
      </c>
      <c r="D1206" s="238" t="s">
        <v>2022</v>
      </c>
      <c r="E1206" s="238" t="s">
        <v>1836</v>
      </c>
      <c r="F1206" s="238" t="s">
        <v>2022</v>
      </c>
      <c r="G1206" s="238" t="s">
        <v>577</v>
      </c>
      <c r="H1206" s="239" t="s">
        <v>3020</v>
      </c>
      <c r="I1206" s="217"/>
      <c r="J1206" s="217"/>
      <c r="K1206" s="217"/>
      <c r="L1206" s="217"/>
      <c r="M1206" s="217"/>
      <c r="N1206" s="217"/>
      <c r="O1206" s="217"/>
      <c r="P1206" s="217"/>
    </row>
    <row r="1207" spans="1:16" s="219" customFormat="1" ht="30" hidden="1" x14ac:dyDescent="0.25">
      <c r="A1207" s="214"/>
      <c r="B1207" s="237">
        <v>1</v>
      </c>
      <c r="C1207" s="237">
        <v>3</v>
      </c>
      <c r="D1207" s="238" t="s">
        <v>2022</v>
      </c>
      <c r="E1207" s="238" t="s">
        <v>1836</v>
      </c>
      <c r="F1207" s="238" t="s">
        <v>2022</v>
      </c>
      <c r="G1207" s="238" t="s">
        <v>2205</v>
      </c>
      <c r="H1207" s="239" t="s">
        <v>3021</v>
      </c>
      <c r="I1207" s="217"/>
      <c r="J1207" s="217"/>
      <c r="K1207" s="217"/>
      <c r="L1207" s="217"/>
      <c r="M1207" s="217"/>
      <c r="N1207" s="217"/>
      <c r="O1207" s="217"/>
      <c r="P1207" s="217"/>
    </row>
    <row r="1208" spans="1:16" s="219" customFormat="1" ht="45" hidden="1" x14ac:dyDescent="0.25">
      <c r="A1208" s="214"/>
      <c r="B1208" s="237">
        <v>1</v>
      </c>
      <c r="C1208" s="237">
        <v>3</v>
      </c>
      <c r="D1208" s="238" t="s">
        <v>2022</v>
      </c>
      <c r="E1208" s="238" t="s">
        <v>1836</v>
      </c>
      <c r="F1208" s="238" t="s">
        <v>2022</v>
      </c>
      <c r="G1208" s="238" t="s">
        <v>3022</v>
      </c>
      <c r="H1208" s="239" t="s">
        <v>3023</v>
      </c>
      <c r="I1208" s="217"/>
      <c r="J1208" s="217"/>
      <c r="K1208" s="217"/>
      <c r="L1208" s="217"/>
      <c r="M1208" s="217"/>
      <c r="N1208" s="217"/>
      <c r="O1208" s="217"/>
      <c r="P1208" s="217"/>
    </row>
    <row r="1209" spans="1:16" s="219" customFormat="1" ht="60" hidden="1" x14ac:dyDescent="0.25">
      <c r="A1209" s="214"/>
      <c r="B1209" s="237">
        <v>1</v>
      </c>
      <c r="C1209" s="237">
        <v>3</v>
      </c>
      <c r="D1209" s="238" t="s">
        <v>2022</v>
      </c>
      <c r="E1209" s="238" t="s">
        <v>1836</v>
      </c>
      <c r="F1209" s="238" t="s">
        <v>2022</v>
      </c>
      <c r="G1209" s="238" t="s">
        <v>427</v>
      </c>
      <c r="H1209" s="239" t="s">
        <v>3024</v>
      </c>
      <c r="I1209" s="217"/>
      <c r="J1209" s="217"/>
      <c r="K1209" s="217"/>
      <c r="L1209" s="217"/>
      <c r="M1209" s="217"/>
      <c r="N1209" s="217"/>
      <c r="O1209" s="217"/>
      <c r="P1209" s="217"/>
    </row>
    <row r="1210" spans="1:16" s="219" customFormat="1" ht="45" hidden="1" x14ac:dyDescent="0.25">
      <c r="A1210" s="214"/>
      <c r="B1210" s="237">
        <v>1</v>
      </c>
      <c r="C1210" s="237">
        <v>3</v>
      </c>
      <c r="D1210" s="238" t="s">
        <v>2022</v>
      </c>
      <c r="E1210" s="238" t="s">
        <v>1836</v>
      </c>
      <c r="F1210" s="238" t="s">
        <v>2022</v>
      </c>
      <c r="G1210" s="238" t="s">
        <v>428</v>
      </c>
      <c r="H1210" s="239" t="s">
        <v>3025</v>
      </c>
      <c r="I1210" s="217"/>
      <c r="J1210" s="217"/>
      <c r="K1210" s="217"/>
      <c r="L1210" s="217"/>
      <c r="M1210" s="217"/>
      <c r="N1210" s="217"/>
      <c r="O1210" s="217"/>
      <c r="P1210" s="217"/>
    </row>
    <row r="1211" spans="1:16" s="219" customFormat="1" ht="45" hidden="1" x14ac:dyDescent="0.25">
      <c r="A1211" s="214"/>
      <c r="B1211" s="237">
        <v>1</v>
      </c>
      <c r="C1211" s="237">
        <v>3</v>
      </c>
      <c r="D1211" s="238" t="s">
        <v>2022</v>
      </c>
      <c r="E1211" s="238" t="s">
        <v>1836</v>
      </c>
      <c r="F1211" s="238" t="s">
        <v>2022</v>
      </c>
      <c r="G1211" s="238" t="s">
        <v>429</v>
      </c>
      <c r="H1211" s="239" t="s">
        <v>3026</v>
      </c>
      <c r="I1211" s="217"/>
      <c r="J1211" s="217"/>
      <c r="K1211" s="217"/>
      <c r="L1211" s="217"/>
      <c r="M1211" s="217"/>
      <c r="N1211" s="217"/>
      <c r="O1211" s="217"/>
      <c r="P1211" s="217"/>
    </row>
    <row r="1212" spans="1:16" s="219" customFormat="1" ht="30" hidden="1" x14ac:dyDescent="0.25">
      <c r="A1212" s="214"/>
      <c r="B1212" s="237">
        <v>1</v>
      </c>
      <c r="C1212" s="237">
        <v>3</v>
      </c>
      <c r="D1212" s="238" t="s">
        <v>2022</v>
      </c>
      <c r="E1212" s="238" t="s">
        <v>1836</v>
      </c>
      <c r="F1212" s="238" t="s">
        <v>2022</v>
      </c>
      <c r="G1212" s="238" t="s">
        <v>431</v>
      </c>
      <c r="H1212" s="239" t="s">
        <v>3027</v>
      </c>
      <c r="I1212" s="217"/>
      <c r="J1212" s="217"/>
      <c r="K1212" s="217"/>
      <c r="L1212" s="217"/>
      <c r="M1212" s="217"/>
      <c r="N1212" s="217"/>
      <c r="O1212" s="217"/>
      <c r="P1212" s="217"/>
    </row>
    <row r="1213" spans="1:16" s="219" customFormat="1" ht="45" hidden="1" x14ac:dyDescent="0.25">
      <c r="A1213" s="214"/>
      <c r="B1213" s="237">
        <v>1</v>
      </c>
      <c r="C1213" s="237">
        <v>3</v>
      </c>
      <c r="D1213" s="238" t="s">
        <v>2022</v>
      </c>
      <c r="E1213" s="238" t="s">
        <v>1836</v>
      </c>
      <c r="F1213" s="238" t="s">
        <v>2022</v>
      </c>
      <c r="G1213" s="238" t="s">
        <v>432</v>
      </c>
      <c r="H1213" s="239" t="s">
        <v>3028</v>
      </c>
      <c r="I1213" s="217"/>
      <c r="J1213" s="217"/>
      <c r="K1213" s="217"/>
      <c r="L1213" s="217"/>
      <c r="M1213" s="217"/>
      <c r="N1213" s="217"/>
      <c r="O1213" s="217"/>
      <c r="P1213" s="217"/>
    </row>
    <row r="1214" spans="1:16" s="219" customFormat="1" ht="60" hidden="1" x14ac:dyDescent="0.25">
      <c r="A1214" s="214"/>
      <c r="B1214" s="237">
        <v>1</v>
      </c>
      <c r="C1214" s="237">
        <v>3</v>
      </c>
      <c r="D1214" s="238" t="s">
        <v>2022</v>
      </c>
      <c r="E1214" s="238" t="s">
        <v>1836</v>
      </c>
      <c r="F1214" s="238" t="s">
        <v>2022</v>
      </c>
      <c r="G1214" s="238" t="s">
        <v>435</v>
      </c>
      <c r="H1214" s="239" t="s">
        <v>3029</v>
      </c>
      <c r="I1214" s="217"/>
      <c r="J1214" s="217"/>
      <c r="K1214" s="217"/>
      <c r="L1214" s="217"/>
      <c r="M1214" s="217"/>
      <c r="N1214" s="217"/>
      <c r="O1214" s="217"/>
      <c r="P1214" s="217"/>
    </row>
    <row r="1215" spans="1:16" s="219" customFormat="1" ht="60" hidden="1" x14ac:dyDescent="0.25">
      <c r="A1215" s="214"/>
      <c r="B1215" s="237">
        <v>1</v>
      </c>
      <c r="C1215" s="237">
        <v>3</v>
      </c>
      <c r="D1215" s="238" t="s">
        <v>2022</v>
      </c>
      <c r="E1215" s="238" t="s">
        <v>1836</v>
      </c>
      <c r="F1215" s="238" t="s">
        <v>2022</v>
      </c>
      <c r="G1215" s="238" t="s">
        <v>436</v>
      </c>
      <c r="H1215" s="239" t="s">
        <v>3030</v>
      </c>
      <c r="I1215" s="217"/>
      <c r="J1215" s="217"/>
      <c r="K1215" s="217"/>
      <c r="L1215" s="217"/>
      <c r="M1215" s="217"/>
      <c r="N1215" s="217"/>
      <c r="O1215" s="217"/>
      <c r="P1215" s="217"/>
    </row>
    <row r="1216" spans="1:16" s="213" customFormat="1" ht="30" hidden="1" x14ac:dyDescent="0.25">
      <c r="A1216" s="208" t="s">
        <v>263</v>
      </c>
      <c r="B1216" s="234">
        <v>1</v>
      </c>
      <c r="C1216" s="234">
        <v>3</v>
      </c>
      <c r="D1216" s="235" t="s">
        <v>2022</v>
      </c>
      <c r="E1216" s="235" t="s">
        <v>1836</v>
      </c>
      <c r="F1216" s="235" t="s">
        <v>2100</v>
      </c>
      <c r="G1216" s="234"/>
      <c r="H1216" s="236" t="s">
        <v>3031</v>
      </c>
      <c r="I1216" s="211">
        <f>SUM(I1217:I1250)</f>
        <v>0</v>
      </c>
      <c r="J1216" s="211">
        <f t="shared" ref="J1216:P1216" si="161">SUM(J1217:J1250)</f>
        <v>0</v>
      </c>
      <c r="K1216" s="211">
        <f t="shared" si="161"/>
        <v>0</v>
      </c>
      <c r="L1216" s="211">
        <f t="shared" si="161"/>
        <v>0</v>
      </c>
      <c r="M1216" s="211">
        <f t="shared" si="161"/>
        <v>0</v>
      </c>
      <c r="N1216" s="211">
        <f t="shared" si="161"/>
        <v>0</v>
      </c>
      <c r="O1216" s="211">
        <f t="shared" si="161"/>
        <v>0</v>
      </c>
      <c r="P1216" s="211">
        <f t="shared" si="161"/>
        <v>0</v>
      </c>
    </row>
    <row r="1217" spans="1:16" s="219" customFormat="1" ht="30" hidden="1" x14ac:dyDescent="0.25">
      <c r="A1217" s="214"/>
      <c r="B1217" s="237">
        <v>1</v>
      </c>
      <c r="C1217" s="237">
        <v>3</v>
      </c>
      <c r="D1217" s="238" t="s">
        <v>2022</v>
      </c>
      <c r="E1217" s="238" t="s">
        <v>1836</v>
      </c>
      <c r="F1217" s="238" t="s">
        <v>2100</v>
      </c>
      <c r="G1217" s="238" t="s">
        <v>58</v>
      </c>
      <c r="H1217" s="239" t="s">
        <v>3032</v>
      </c>
      <c r="I1217" s="217"/>
      <c r="J1217" s="217"/>
      <c r="K1217" s="217"/>
      <c r="L1217" s="217"/>
      <c r="M1217" s="217"/>
      <c r="N1217" s="217"/>
      <c r="O1217" s="217"/>
      <c r="P1217" s="217"/>
    </row>
    <row r="1218" spans="1:16" s="219" customFormat="1" ht="30" hidden="1" x14ac:dyDescent="0.25">
      <c r="A1218" s="214"/>
      <c r="B1218" s="237">
        <v>1</v>
      </c>
      <c r="C1218" s="237">
        <v>3</v>
      </c>
      <c r="D1218" s="238" t="s">
        <v>2022</v>
      </c>
      <c r="E1218" s="238" t="s">
        <v>1836</v>
      </c>
      <c r="F1218" s="238" t="s">
        <v>2100</v>
      </c>
      <c r="G1218" s="238" t="s">
        <v>75</v>
      </c>
      <c r="H1218" s="239" t="s">
        <v>3033</v>
      </c>
      <c r="I1218" s="217"/>
      <c r="J1218" s="217"/>
      <c r="K1218" s="217"/>
      <c r="L1218" s="217"/>
      <c r="M1218" s="217"/>
      <c r="N1218" s="217"/>
      <c r="O1218" s="217"/>
      <c r="P1218" s="217"/>
    </row>
    <row r="1219" spans="1:16" s="219" customFormat="1" ht="45" hidden="1" x14ac:dyDescent="0.25">
      <c r="A1219" s="214"/>
      <c r="B1219" s="237">
        <v>1</v>
      </c>
      <c r="C1219" s="237">
        <v>3</v>
      </c>
      <c r="D1219" s="238" t="s">
        <v>2022</v>
      </c>
      <c r="E1219" s="238" t="s">
        <v>1836</v>
      </c>
      <c r="F1219" s="238" t="s">
        <v>2100</v>
      </c>
      <c r="G1219" s="238" t="s">
        <v>79</v>
      </c>
      <c r="H1219" s="239" t="s">
        <v>3034</v>
      </c>
      <c r="I1219" s="217"/>
      <c r="J1219" s="217"/>
      <c r="K1219" s="217"/>
      <c r="L1219" s="217"/>
      <c r="M1219" s="217"/>
      <c r="N1219" s="217"/>
      <c r="O1219" s="217"/>
      <c r="P1219" s="217"/>
    </row>
    <row r="1220" spans="1:16" s="219" customFormat="1" ht="30" hidden="1" x14ac:dyDescent="0.25">
      <c r="A1220" s="214"/>
      <c r="B1220" s="237">
        <v>1</v>
      </c>
      <c r="C1220" s="237">
        <v>3</v>
      </c>
      <c r="D1220" s="238" t="s">
        <v>2022</v>
      </c>
      <c r="E1220" s="238" t="s">
        <v>1836</v>
      </c>
      <c r="F1220" s="238" t="s">
        <v>2100</v>
      </c>
      <c r="G1220" s="238" t="s">
        <v>84</v>
      </c>
      <c r="H1220" s="239" t="s">
        <v>3035</v>
      </c>
      <c r="I1220" s="217"/>
      <c r="J1220" s="217"/>
      <c r="K1220" s="217"/>
      <c r="L1220" s="217"/>
      <c r="M1220" s="217"/>
      <c r="N1220" s="217"/>
      <c r="O1220" s="217"/>
      <c r="P1220" s="217"/>
    </row>
    <row r="1221" spans="1:16" s="219" customFormat="1" ht="45" hidden="1" x14ac:dyDescent="0.25">
      <c r="A1221" s="214"/>
      <c r="B1221" s="237">
        <v>1</v>
      </c>
      <c r="C1221" s="237">
        <v>3</v>
      </c>
      <c r="D1221" s="238" t="s">
        <v>2022</v>
      </c>
      <c r="E1221" s="238" t="s">
        <v>1836</v>
      </c>
      <c r="F1221" s="238" t="s">
        <v>2100</v>
      </c>
      <c r="G1221" s="238" t="s">
        <v>88</v>
      </c>
      <c r="H1221" s="239" t="s">
        <v>3036</v>
      </c>
      <c r="I1221" s="217"/>
      <c r="J1221" s="217"/>
      <c r="K1221" s="217"/>
      <c r="L1221" s="217"/>
      <c r="M1221" s="217"/>
      <c r="N1221" s="217"/>
      <c r="O1221" s="217"/>
      <c r="P1221" s="217"/>
    </row>
    <row r="1222" spans="1:16" s="219" customFormat="1" ht="30" hidden="1" x14ac:dyDescent="0.25">
      <c r="A1222" s="214"/>
      <c r="B1222" s="237">
        <v>1</v>
      </c>
      <c r="C1222" s="237">
        <v>3</v>
      </c>
      <c r="D1222" s="238" t="s">
        <v>2022</v>
      </c>
      <c r="E1222" s="238" t="s">
        <v>1836</v>
      </c>
      <c r="F1222" s="238" t="s">
        <v>2100</v>
      </c>
      <c r="G1222" s="238" t="s">
        <v>92</v>
      </c>
      <c r="H1222" s="239" t="s">
        <v>3037</v>
      </c>
      <c r="I1222" s="217"/>
      <c r="J1222" s="217"/>
      <c r="K1222" s="217"/>
      <c r="L1222" s="217"/>
      <c r="M1222" s="217"/>
      <c r="N1222" s="217"/>
      <c r="O1222" s="217"/>
      <c r="P1222" s="217"/>
    </row>
    <row r="1223" spans="1:16" s="219" customFormat="1" ht="30" hidden="1" x14ac:dyDescent="0.25">
      <c r="A1223" s="214"/>
      <c r="B1223" s="237">
        <v>1</v>
      </c>
      <c r="C1223" s="237">
        <v>3</v>
      </c>
      <c r="D1223" s="238" t="s">
        <v>2022</v>
      </c>
      <c r="E1223" s="238" t="s">
        <v>1836</v>
      </c>
      <c r="F1223" s="238" t="s">
        <v>2100</v>
      </c>
      <c r="G1223" s="238" t="s">
        <v>96</v>
      </c>
      <c r="H1223" s="239" t="s">
        <v>3038</v>
      </c>
      <c r="I1223" s="217"/>
      <c r="J1223" s="217"/>
      <c r="K1223" s="217"/>
      <c r="L1223" s="217"/>
      <c r="M1223" s="217"/>
      <c r="N1223" s="217"/>
      <c r="O1223" s="217"/>
      <c r="P1223" s="217"/>
    </row>
    <row r="1224" spans="1:16" s="219" customFormat="1" ht="45" hidden="1" x14ac:dyDescent="0.25">
      <c r="A1224" s="214"/>
      <c r="B1224" s="237">
        <v>1</v>
      </c>
      <c r="C1224" s="237">
        <v>3</v>
      </c>
      <c r="D1224" s="238" t="s">
        <v>2022</v>
      </c>
      <c r="E1224" s="238" t="s">
        <v>1836</v>
      </c>
      <c r="F1224" s="238" t="s">
        <v>2100</v>
      </c>
      <c r="G1224" s="238" t="s">
        <v>100</v>
      </c>
      <c r="H1224" s="239" t="s">
        <v>3039</v>
      </c>
      <c r="I1224" s="217"/>
      <c r="J1224" s="217"/>
      <c r="K1224" s="217"/>
      <c r="L1224" s="217"/>
      <c r="M1224" s="217"/>
      <c r="N1224" s="217"/>
      <c r="O1224" s="217"/>
      <c r="P1224" s="217"/>
    </row>
    <row r="1225" spans="1:16" s="219" customFormat="1" ht="45" hidden="1" x14ac:dyDescent="0.25">
      <c r="A1225" s="214"/>
      <c r="B1225" s="237">
        <v>1</v>
      </c>
      <c r="C1225" s="237">
        <v>3</v>
      </c>
      <c r="D1225" s="238" t="s">
        <v>2022</v>
      </c>
      <c r="E1225" s="238" t="s">
        <v>1836</v>
      </c>
      <c r="F1225" s="238" t="s">
        <v>2100</v>
      </c>
      <c r="G1225" s="238" t="s">
        <v>105</v>
      </c>
      <c r="H1225" s="239" t="s">
        <v>3040</v>
      </c>
      <c r="I1225" s="217"/>
      <c r="J1225" s="217"/>
      <c r="K1225" s="217"/>
      <c r="L1225" s="217"/>
      <c r="M1225" s="217"/>
      <c r="N1225" s="217"/>
      <c r="O1225" s="217"/>
      <c r="P1225" s="217"/>
    </row>
    <row r="1226" spans="1:16" s="219" customFormat="1" ht="30" hidden="1" x14ac:dyDescent="0.25">
      <c r="A1226" s="214"/>
      <c r="B1226" s="237">
        <v>1</v>
      </c>
      <c r="C1226" s="237">
        <v>3</v>
      </c>
      <c r="D1226" s="238" t="s">
        <v>2022</v>
      </c>
      <c r="E1226" s="238" t="s">
        <v>1836</v>
      </c>
      <c r="F1226" s="238" t="s">
        <v>2100</v>
      </c>
      <c r="G1226" s="238" t="s">
        <v>108</v>
      </c>
      <c r="H1226" s="239" t="s">
        <v>3041</v>
      </c>
      <c r="I1226" s="217"/>
      <c r="J1226" s="217"/>
      <c r="K1226" s="217"/>
      <c r="L1226" s="217"/>
      <c r="M1226" s="217"/>
      <c r="N1226" s="217"/>
      <c r="O1226" s="217"/>
      <c r="P1226" s="217"/>
    </row>
    <row r="1227" spans="1:16" s="219" customFormat="1" ht="45" hidden="1" x14ac:dyDescent="0.25">
      <c r="A1227" s="214"/>
      <c r="B1227" s="237">
        <v>1</v>
      </c>
      <c r="C1227" s="237">
        <v>3</v>
      </c>
      <c r="D1227" s="238" t="s">
        <v>2022</v>
      </c>
      <c r="E1227" s="238" t="s">
        <v>1836</v>
      </c>
      <c r="F1227" s="238" t="s">
        <v>2100</v>
      </c>
      <c r="G1227" s="238" t="s">
        <v>135</v>
      </c>
      <c r="H1227" s="239" t="s">
        <v>3042</v>
      </c>
      <c r="I1227" s="217"/>
      <c r="J1227" s="217"/>
      <c r="K1227" s="217"/>
      <c r="L1227" s="217"/>
      <c r="M1227" s="217"/>
      <c r="N1227" s="217"/>
      <c r="O1227" s="217"/>
      <c r="P1227" s="217"/>
    </row>
    <row r="1228" spans="1:16" s="219" customFormat="1" ht="45" hidden="1" x14ac:dyDescent="0.25">
      <c r="A1228" s="214"/>
      <c r="B1228" s="237">
        <v>1</v>
      </c>
      <c r="C1228" s="237">
        <v>3</v>
      </c>
      <c r="D1228" s="238" t="s">
        <v>2022</v>
      </c>
      <c r="E1228" s="238" t="s">
        <v>1836</v>
      </c>
      <c r="F1228" s="238" t="s">
        <v>2100</v>
      </c>
      <c r="G1228" s="238" t="s">
        <v>138</v>
      </c>
      <c r="H1228" s="239" t="s">
        <v>3043</v>
      </c>
      <c r="I1228" s="217"/>
      <c r="J1228" s="217"/>
      <c r="K1228" s="217"/>
      <c r="L1228" s="217"/>
      <c r="M1228" s="217"/>
      <c r="N1228" s="217"/>
      <c r="O1228" s="217"/>
      <c r="P1228" s="217"/>
    </row>
    <row r="1229" spans="1:16" s="219" customFormat="1" ht="45" hidden="1" x14ac:dyDescent="0.25">
      <c r="A1229" s="214"/>
      <c r="B1229" s="237">
        <v>1</v>
      </c>
      <c r="C1229" s="237">
        <v>3</v>
      </c>
      <c r="D1229" s="238" t="s">
        <v>2022</v>
      </c>
      <c r="E1229" s="238" t="s">
        <v>1836</v>
      </c>
      <c r="F1229" s="238" t="s">
        <v>2100</v>
      </c>
      <c r="G1229" s="238" t="s">
        <v>140</v>
      </c>
      <c r="H1229" s="239" t="s">
        <v>3044</v>
      </c>
      <c r="I1229" s="217"/>
      <c r="J1229" s="217"/>
      <c r="K1229" s="217"/>
      <c r="L1229" s="217"/>
      <c r="M1229" s="217"/>
      <c r="N1229" s="217"/>
      <c r="O1229" s="217"/>
      <c r="P1229" s="217"/>
    </row>
    <row r="1230" spans="1:16" s="219" customFormat="1" ht="30" hidden="1" x14ac:dyDescent="0.25">
      <c r="A1230" s="214"/>
      <c r="B1230" s="237">
        <v>1</v>
      </c>
      <c r="C1230" s="237">
        <v>3</v>
      </c>
      <c r="D1230" s="238" t="s">
        <v>2022</v>
      </c>
      <c r="E1230" s="238" t="s">
        <v>1836</v>
      </c>
      <c r="F1230" s="238" t="s">
        <v>2100</v>
      </c>
      <c r="G1230" s="238" t="s">
        <v>143</v>
      </c>
      <c r="H1230" s="239" t="s">
        <v>3045</v>
      </c>
      <c r="I1230" s="217"/>
      <c r="J1230" s="217"/>
      <c r="K1230" s="217"/>
      <c r="L1230" s="217"/>
      <c r="M1230" s="217"/>
      <c r="N1230" s="217"/>
      <c r="O1230" s="217"/>
      <c r="P1230" s="217"/>
    </row>
    <row r="1231" spans="1:16" s="219" customFormat="1" ht="45" hidden="1" x14ac:dyDescent="0.25">
      <c r="A1231" s="214"/>
      <c r="B1231" s="237">
        <v>1</v>
      </c>
      <c r="C1231" s="237">
        <v>3</v>
      </c>
      <c r="D1231" s="238" t="s">
        <v>2022</v>
      </c>
      <c r="E1231" s="238" t="s">
        <v>1836</v>
      </c>
      <c r="F1231" s="238" t="s">
        <v>2100</v>
      </c>
      <c r="G1231" s="238" t="s">
        <v>146</v>
      </c>
      <c r="H1231" s="239" t="s">
        <v>3046</v>
      </c>
      <c r="I1231" s="217"/>
      <c r="J1231" s="217"/>
      <c r="K1231" s="217"/>
      <c r="L1231" s="217"/>
      <c r="M1231" s="217"/>
      <c r="N1231" s="217"/>
      <c r="O1231" s="217"/>
      <c r="P1231" s="217"/>
    </row>
    <row r="1232" spans="1:16" s="219" customFormat="1" ht="45" hidden="1" x14ac:dyDescent="0.25">
      <c r="A1232" s="214"/>
      <c r="B1232" s="237">
        <v>1</v>
      </c>
      <c r="C1232" s="237">
        <v>3</v>
      </c>
      <c r="D1232" s="238" t="s">
        <v>2022</v>
      </c>
      <c r="E1232" s="238" t="s">
        <v>1836</v>
      </c>
      <c r="F1232" s="238" t="s">
        <v>2100</v>
      </c>
      <c r="G1232" s="238" t="s">
        <v>150</v>
      </c>
      <c r="H1232" s="239" t="s">
        <v>3047</v>
      </c>
      <c r="I1232" s="217"/>
      <c r="J1232" s="217"/>
      <c r="K1232" s="217"/>
      <c r="L1232" s="217"/>
      <c r="M1232" s="217"/>
      <c r="N1232" s="217"/>
      <c r="O1232" s="217"/>
      <c r="P1232" s="217"/>
    </row>
    <row r="1233" spans="1:16" s="219" customFormat="1" ht="45" hidden="1" x14ac:dyDescent="0.25">
      <c r="A1233" s="214"/>
      <c r="B1233" s="237">
        <v>1</v>
      </c>
      <c r="C1233" s="237">
        <v>3</v>
      </c>
      <c r="D1233" s="238" t="s">
        <v>2022</v>
      </c>
      <c r="E1233" s="238" t="s">
        <v>1836</v>
      </c>
      <c r="F1233" s="238" t="s">
        <v>2100</v>
      </c>
      <c r="G1233" s="238" t="s">
        <v>153</v>
      </c>
      <c r="H1233" s="239" t="s">
        <v>3048</v>
      </c>
      <c r="I1233" s="217"/>
      <c r="J1233" s="217"/>
      <c r="K1233" s="217"/>
      <c r="L1233" s="217"/>
      <c r="M1233" s="217"/>
      <c r="N1233" s="217"/>
      <c r="O1233" s="217"/>
      <c r="P1233" s="217"/>
    </row>
    <row r="1234" spans="1:16" s="219" customFormat="1" ht="45" hidden="1" x14ac:dyDescent="0.25">
      <c r="A1234" s="214"/>
      <c r="B1234" s="237">
        <v>1</v>
      </c>
      <c r="C1234" s="237">
        <v>3</v>
      </c>
      <c r="D1234" s="238" t="s">
        <v>2022</v>
      </c>
      <c r="E1234" s="238" t="s">
        <v>1836</v>
      </c>
      <c r="F1234" s="238" t="s">
        <v>2100</v>
      </c>
      <c r="G1234" s="238" t="s">
        <v>156</v>
      </c>
      <c r="H1234" s="239" t="s">
        <v>3049</v>
      </c>
      <c r="I1234" s="217"/>
      <c r="J1234" s="217"/>
      <c r="K1234" s="217"/>
      <c r="L1234" s="217"/>
      <c r="M1234" s="217"/>
      <c r="N1234" s="217"/>
      <c r="O1234" s="217"/>
      <c r="P1234" s="217"/>
    </row>
    <row r="1235" spans="1:16" s="219" customFormat="1" ht="30" hidden="1" x14ac:dyDescent="0.25">
      <c r="A1235" s="214"/>
      <c r="B1235" s="237">
        <v>1</v>
      </c>
      <c r="C1235" s="237">
        <v>3</v>
      </c>
      <c r="D1235" s="238" t="s">
        <v>2022</v>
      </c>
      <c r="E1235" s="238" t="s">
        <v>1836</v>
      </c>
      <c r="F1235" s="238" t="s">
        <v>2100</v>
      </c>
      <c r="G1235" s="238" t="s">
        <v>159</v>
      </c>
      <c r="H1235" s="239" t="s">
        <v>3050</v>
      </c>
      <c r="I1235" s="217"/>
      <c r="J1235" s="217"/>
      <c r="K1235" s="217"/>
      <c r="L1235" s="217"/>
      <c r="M1235" s="217"/>
      <c r="N1235" s="217"/>
      <c r="O1235" s="217"/>
      <c r="P1235" s="217"/>
    </row>
    <row r="1236" spans="1:16" s="219" customFormat="1" ht="45" hidden="1" x14ac:dyDescent="0.25">
      <c r="A1236" s="214"/>
      <c r="B1236" s="237">
        <v>1</v>
      </c>
      <c r="C1236" s="237">
        <v>3</v>
      </c>
      <c r="D1236" s="238" t="s">
        <v>2022</v>
      </c>
      <c r="E1236" s="238" t="s">
        <v>1836</v>
      </c>
      <c r="F1236" s="238" t="s">
        <v>2100</v>
      </c>
      <c r="G1236" s="238" t="s">
        <v>162</v>
      </c>
      <c r="H1236" s="239" t="s">
        <v>3051</v>
      </c>
      <c r="I1236" s="217"/>
      <c r="J1236" s="217"/>
      <c r="K1236" s="217"/>
      <c r="L1236" s="217"/>
      <c r="M1236" s="217"/>
      <c r="N1236" s="217"/>
      <c r="O1236" s="217"/>
      <c r="P1236" s="217"/>
    </row>
    <row r="1237" spans="1:16" s="219" customFormat="1" ht="45" hidden="1" x14ac:dyDescent="0.25">
      <c r="A1237" s="214"/>
      <c r="B1237" s="237">
        <v>1</v>
      </c>
      <c r="C1237" s="237">
        <v>3</v>
      </c>
      <c r="D1237" s="238" t="s">
        <v>2022</v>
      </c>
      <c r="E1237" s="238" t="s">
        <v>1836</v>
      </c>
      <c r="F1237" s="238" t="s">
        <v>2100</v>
      </c>
      <c r="G1237" s="238" t="s">
        <v>312</v>
      </c>
      <c r="H1237" s="239" t="s">
        <v>3052</v>
      </c>
      <c r="I1237" s="217"/>
      <c r="J1237" s="217"/>
      <c r="K1237" s="217"/>
      <c r="L1237" s="217"/>
      <c r="M1237" s="217"/>
      <c r="N1237" s="217"/>
      <c r="O1237" s="217"/>
      <c r="P1237" s="217"/>
    </row>
    <row r="1238" spans="1:16" s="219" customFormat="1" ht="30" hidden="1" x14ac:dyDescent="0.25">
      <c r="A1238" s="214"/>
      <c r="B1238" s="237">
        <v>1</v>
      </c>
      <c r="C1238" s="237">
        <v>3</v>
      </c>
      <c r="D1238" s="238" t="s">
        <v>2022</v>
      </c>
      <c r="E1238" s="238" t="s">
        <v>1836</v>
      </c>
      <c r="F1238" s="238" t="s">
        <v>2100</v>
      </c>
      <c r="G1238" s="238" t="s">
        <v>313</v>
      </c>
      <c r="H1238" s="239" t="s">
        <v>3053</v>
      </c>
      <c r="I1238" s="217"/>
      <c r="J1238" s="217"/>
      <c r="K1238" s="217"/>
      <c r="L1238" s="217"/>
      <c r="M1238" s="217"/>
      <c r="N1238" s="217"/>
      <c r="O1238" s="217"/>
      <c r="P1238" s="217"/>
    </row>
    <row r="1239" spans="1:16" s="219" customFormat="1" ht="45" hidden="1" x14ac:dyDescent="0.25">
      <c r="A1239" s="214"/>
      <c r="B1239" s="237">
        <v>1</v>
      </c>
      <c r="C1239" s="237">
        <v>3</v>
      </c>
      <c r="D1239" s="238" t="s">
        <v>2022</v>
      </c>
      <c r="E1239" s="238" t="s">
        <v>1836</v>
      </c>
      <c r="F1239" s="238" t="s">
        <v>2100</v>
      </c>
      <c r="G1239" s="238" t="s">
        <v>559</v>
      </c>
      <c r="H1239" s="239" t="s">
        <v>3054</v>
      </c>
      <c r="I1239" s="217"/>
      <c r="J1239" s="217"/>
      <c r="K1239" s="217"/>
      <c r="L1239" s="217"/>
      <c r="M1239" s="217"/>
      <c r="N1239" s="217"/>
      <c r="O1239" s="217"/>
      <c r="P1239" s="217"/>
    </row>
    <row r="1240" spans="1:16" s="219" customFormat="1" ht="30" hidden="1" x14ac:dyDescent="0.25">
      <c r="A1240" s="214"/>
      <c r="B1240" s="237">
        <v>1</v>
      </c>
      <c r="C1240" s="237">
        <v>3</v>
      </c>
      <c r="D1240" s="238" t="s">
        <v>2022</v>
      </c>
      <c r="E1240" s="238" t="s">
        <v>1836</v>
      </c>
      <c r="F1240" s="238" t="s">
        <v>2100</v>
      </c>
      <c r="G1240" s="238" t="s">
        <v>561</v>
      </c>
      <c r="H1240" s="239" t="s">
        <v>3055</v>
      </c>
      <c r="I1240" s="217"/>
      <c r="J1240" s="217"/>
      <c r="K1240" s="217"/>
      <c r="L1240" s="217"/>
      <c r="M1240" s="217"/>
      <c r="N1240" s="217"/>
      <c r="O1240" s="217"/>
      <c r="P1240" s="217"/>
    </row>
    <row r="1241" spans="1:16" s="219" customFormat="1" ht="30" hidden="1" x14ac:dyDescent="0.25">
      <c r="A1241" s="214"/>
      <c r="B1241" s="237">
        <v>1</v>
      </c>
      <c r="C1241" s="237">
        <v>3</v>
      </c>
      <c r="D1241" s="238" t="s">
        <v>2022</v>
      </c>
      <c r="E1241" s="238" t="s">
        <v>1836</v>
      </c>
      <c r="F1241" s="238" t="s">
        <v>2100</v>
      </c>
      <c r="G1241" s="238" t="s">
        <v>563</v>
      </c>
      <c r="H1241" s="239" t="s">
        <v>3056</v>
      </c>
      <c r="I1241" s="217"/>
      <c r="J1241" s="217"/>
      <c r="K1241" s="217"/>
      <c r="L1241" s="217"/>
      <c r="M1241" s="217"/>
      <c r="N1241" s="217"/>
      <c r="O1241" s="217"/>
      <c r="P1241" s="217"/>
    </row>
    <row r="1242" spans="1:16" s="219" customFormat="1" ht="45" hidden="1" x14ac:dyDescent="0.25">
      <c r="A1242" s="214"/>
      <c r="B1242" s="237">
        <v>1</v>
      </c>
      <c r="C1242" s="237">
        <v>3</v>
      </c>
      <c r="D1242" s="238" t="s">
        <v>2022</v>
      </c>
      <c r="E1242" s="238" t="s">
        <v>1836</v>
      </c>
      <c r="F1242" s="238" t="s">
        <v>2100</v>
      </c>
      <c r="G1242" s="238" t="s">
        <v>227</v>
      </c>
      <c r="H1242" s="239" t="s">
        <v>3057</v>
      </c>
      <c r="I1242" s="217"/>
      <c r="J1242" s="217"/>
      <c r="K1242" s="217"/>
      <c r="L1242" s="217"/>
      <c r="M1242" s="217"/>
      <c r="N1242" s="217"/>
      <c r="O1242" s="217"/>
      <c r="P1242" s="217"/>
    </row>
    <row r="1243" spans="1:16" s="219" customFormat="1" ht="45" hidden="1" x14ac:dyDescent="0.25">
      <c r="A1243" s="214"/>
      <c r="B1243" s="237">
        <v>1</v>
      </c>
      <c r="C1243" s="237">
        <v>3</v>
      </c>
      <c r="D1243" s="238" t="s">
        <v>2022</v>
      </c>
      <c r="E1243" s="238" t="s">
        <v>1836</v>
      </c>
      <c r="F1243" s="238" t="s">
        <v>2100</v>
      </c>
      <c r="G1243" s="238" t="s">
        <v>230</v>
      </c>
      <c r="H1243" s="239" t="s">
        <v>3058</v>
      </c>
      <c r="I1243" s="217"/>
      <c r="J1243" s="217"/>
      <c r="K1243" s="217"/>
      <c r="L1243" s="217"/>
      <c r="M1243" s="217"/>
      <c r="N1243" s="217"/>
      <c r="O1243" s="217"/>
      <c r="P1243" s="217"/>
    </row>
    <row r="1244" spans="1:16" s="219" customFormat="1" ht="30" hidden="1" x14ac:dyDescent="0.25">
      <c r="A1244" s="214"/>
      <c r="B1244" s="237">
        <v>1</v>
      </c>
      <c r="C1244" s="237">
        <v>3</v>
      </c>
      <c r="D1244" s="238" t="s">
        <v>2022</v>
      </c>
      <c r="E1244" s="238" t="s">
        <v>1836</v>
      </c>
      <c r="F1244" s="238" t="s">
        <v>2100</v>
      </c>
      <c r="G1244" s="238" t="s">
        <v>232</v>
      </c>
      <c r="H1244" s="239" t="s">
        <v>3059</v>
      </c>
      <c r="I1244" s="217"/>
      <c r="J1244" s="217"/>
      <c r="K1244" s="217"/>
      <c r="L1244" s="217"/>
      <c r="M1244" s="217"/>
      <c r="N1244" s="217"/>
      <c r="O1244" s="217"/>
      <c r="P1244" s="217"/>
    </row>
    <row r="1245" spans="1:16" s="219" customFormat="1" ht="30" hidden="1" x14ac:dyDescent="0.25">
      <c r="A1245" s="214"/>
      <c r="B1245" s="237">
        <v>1</v>
      </c>
      <c r="C1245" s="237">
        <v>3</v>
      </c>
      <c r="D1245" s="238" t="s">
        <v>2022</v>
      </c>
      <c r="E1245" s="238" t="s">
        <v>1836</v>
      </c>
      <c r="F1245" s="238" t="s">
        <v>2100</v>
      </c>
      <c r="G1245" s="238" t="s">
        <v>234</v>
      </c>
      <c r="H1245" s="239" t="s">
        <v>3060</v>
      </c>
      <c r="I1245" s="217"/>
      <c r="J1245" s="217"/>
      <c r="K1245" s="217"/>
      <c r="L1245" s="217"/>
      <c r="M1245" s="217"/>
      <c r="N1245" s="217"/>
      <c r="O1245" s="217"/>
      <c r="P1245" s="217"/>
    </row>
    <row r="1246" spans="1:16" s="219" customFormat="1" ht="45" hidden="1" x14ac:dyDescent="0.25">
      <c r="A1246" s="214"/>
      <c r="B1246" s="237">
        <v>1</v>
      </c>
      <c r="C1246" s="237">
        <v>3</v>
      </c>
      <c r="D1246" s="238" t="s">
        <v>2022</v>
      </c>
      <c r="E1246" s="238" t="s">
        <v>1836</v>
      </c>
      <c r="F1246" s="238" t="s">
        <v>2100</v>
      </c>
      <c r="G1246" s="238" t="s">
        <v>236</v>
      </c>
      <c r="H1246" s="239" t="s">
        <v>3061</v>
      </c>
      <c r="I1246" s="217"/>
      <c r="J1246" s="217"/>
      <c r="K1246" s="217"/>
      <c r="L1246" s="217"/>
      <c r="M1246" s="217"/>
      <c r="N1246" s="217"/>
      <c r="O1246" s="217"/>
      <c r="P1246" s="217"/>
    </row>
    <row r="1247" spans="1:16" s="219" customFormat="1" ht="45" hidden="1" x14ac:dyDescent="0.25">
      <c r="A1247" s="214"/>
      <c r="B1247" s="237">
        <v>1</v>
      </c>
      <c r="C1247" s="237">
        <v>3</v>
      </c>
      <c r="D1247" s="238" t="s">
        <v>2022</v>
      </c>
      <c r="E1247" s="238" t="s">
        <v>1836</v>
      </c>
      <c r="F1247" s="238" t="s">
        <v>2100</v>
      </c>
      <c r="G1247" s="238" t="s">
        <v>238</v>
      </c>
      <c r="H1247" s="239" t="s">
        <v>3062</v>
      </c>
      <c r="I1247" s="217"/>
      <c r="J1247" s="217"/>
      <c r="K1247" s="217"/>
      <c r="L1247" s="217"/>
      <c r="M1247" s="217"/>
      <c r="N1247" s="217"/>
      <c r="O1247" s="217"/>
      <c r="P1247" s="217"/>
    </row>
    <row r="1248" spans="1:16" s="219" customFormat="1" ht="45" hidden="1" x14ac:dyDescent="0.25">
      <c r="A1248" s="214"/>
      <c r="B1248" s="237">
        <v>1</v>
      </c>
      <c r="C1248" s="237">
        <v>3</v>
      </c>
      <c r="D1248" s="238" t="s">
        <v>2022</v>
      </c>
      <c r="E1248" s="238" t="s">
        <v>1836</v>
      </c>
      <c r="F1248" s="238" t="s">
        <v>2100</v>
      </c>
      <c r="G1248" s="238" t="s">
        <v>240</v>
      </c>
      <c r="H1248" s="239" t="s">
        <v>3063</v>
      </c>
      <c r="I1248" s="217"/>
      <c r="J1248" s="217"/>
      <c r="K1248" s="217"/>
      <c r="L1248" s="217"/>
      <c r="M1248" s="217"/>
      <c r="N1248" s="217"/>
      <c r="O1248" s="217"/>
      <c r="P1248" s="217"/>
    </row>
    <row r="1249" spans="1:16" s="219" customFormat="1" ht="45" hidden="1" x14ac:dyDescent="0.25">
      <c r="A1249" s="214"/>
      <c r="B1249" s="237">
        <v>1</v>
      </c>
      <c r="C1249" s="237">
        <v>3</v>
      </c>
      <c r="D1249" s="238" t="s">
        <v>2022</v>
      </c>
      <c r="E1249" s="238" t="s">
        <v>1836</v>
      </c>
      <c r="F1249" s="238" t="s">
        <v>2100</v>
      </c>
      <c r="G1249" s="238" t="s">
        <v>242</v>
      </c>
      <c r="H1249" s="239" t="s">
        <v>3064</v>
      </c>
      <c r="I1249" s="217"/>
      <c r="J1249" s="217"/>
      <c r="K1249" s="217"/>
      <c r="L1249" s="217"/>
      <c r="M1249" s="217"/>
      <c r="N1249" s="217"/>
      <c r="O1249" s="217"/>
      <c r="P1249" s="217"/>
    </row>
    <row r="1250" spans="1:16" s="219" customFormat="1" ht="45" hidden="1" x14ac:dyDescent="0.25">
      <c r="A1250" s="214"/>
      <c r="B1250" s="237">
        <v>1</v>
      </c>
      <c r="C1250" s="237">
        <v>3</v>
      </c>
      <c r="D1250" s="238" t="s">
        <v>2022</v>
      </c>
      <c r="E1250" s="238" t="s">
        <v>1836</v>
      </c>
      <c r="F1250" s="238" t="s">
        <v>2100</v>
      </c>
      <c r="G1250" s="238" t="s">
        <v>244</v>
      </c>
      <c r="H1250" s="239" t="s">
        <v>3065</v>
      </c>
      <c r="I1250" s="217"/>
      <c r="J1250" s="217"/>
      <c r="K1250" s="217"/>
      <c r="L1250" s="217"/>
      <c r="M1250" s="217"/>
      <c r="N1250" s="217"/>
      <c r="O1250" s="217"/>
      <c r="P1250" s="217"/>
    </row>
    <row r="1251" spans="1:16" s="213" customFormat="1" ht="30" hidden="1" x14ac:dyDescent="0.25">
      <c r="A1251" s="208" t="s">
        <v>263</v>
      </c>
      <c r="B1251" s="234">
        <v>1</v>
      </c>
      <c r="C1251" s="234">
        <v>3</v>
      </c>
      <c r="D1251" s="235" t="s">
        <v>2022</v>
      </c>
      <c r="E1251" s="235" t="s">
        <v>1836</v>
      </c>
      <c r="F1251" s="235" t="s">
        <v>2139</v>
      </c>
      <c r="G1251" s="234"/>
      <c r="H1251" s="236" t="s">
        <v>3066</v>
      </c>
      <c r="I1251" s="211">
        <f>SUM(I1252:I1390)</f>
        <v>0</v>
      </c>
      <c r="J1251" s="211">
        <f t="shared" ref="J1251:P1251" si="162">SUM(J1252:J1390)</f>
        <v>0</v>
      </c>
      <c r="K1251" s="211">
        <f t="shared" si="162"/>
        <v>0</v>
      </c>
      <c r="L1251" s="211">
        <f t="shared" si="162"/>
        <v>0</v>
      </c>
      <c r="M1251" s="211">
        <f t="shared" si="162"/>
        <v>0</v>
      </c>
      <c r="N1251" s="211">
        <f t="shared" si="162"/>
        <v>0</v>
      </c>
      <c r="O1251" s="211">
        <f t="shared" si="162"/>
        <v>0</v>
      </c>
      <c r="P1251" s="211">
        <f t="shared" si="162"/>
        <v>0</v>
      </c>
    </row>
    <row r="1252" spans="1:16" s="219" customFormat="1" ht="45" hidden="1" x14ac:dyDescent="0.25">
      <c r="A1252" s="214"/>
      <c r="B1252" s="237">
        <v>1</v>
      </c>
      <c r="C1252" s="237">
        <v>3</v>
      </c>
      <c r="D1252" s="238" t="s">
        <v>2022</v>
      </c>
      <c r="E1252" s="238" t="s">
        <v>1836</v>
      </c>
      <c r="F1252" s="238" t="s">
        <v>2139</v>
      </c>
      <c r="G1252" s="238" t="s">
        <v>58</v>
      </c>
      <c r="H1252" s="239" t="s">
        <v>3067</v>
      </c>
      <c r="I1252" s="217"/>
      <c r="J1252" s="217"/>
      <c r="K1252" s="217"/>
      <c r="L1252" s="217"/>
      <c r="M1252" s="217"/>
      <c r="N1252" s="217"/>
      <c r="O1252" s="217"/>
      <c r="P1252" s="217"/>
    </row>
    <row r="1253" spans="1:16" s="219" customFormat="1" ht="45" hidden="1" x14ac:dyDescent="0.25">
      <c r="A1253" s="214"/>
      <c r="B1253" s="237">
        <v>1</v>
      </c>
      <c r="C1253" s="237">
        <v>3</v>
      </c>
      <c r="D1253" s="238" t="s">
        <v>2022</v>
      </c>
      <c r="E1253" s="238" t="s">
        <v>1836</v>
      </c>
      <c r="F1253" s="238" t="s">
        <v>2139</v>
      </c>
      <c r="G1253" s="238" t="s">
        <v>75</v>
      </c>
      <c r="H1253" s="239" t="s">
        <v>3068</v>
      </c>
      <c r="I1253" s="217"/>
      <c r="J1253" s="217"/>
      <c r="K1253" s="217"/>
      <c r="L1253" s="217"/>
      <c r="M1253" s="217"/>
      <c r="N1253" s="217"/>
      <c r="O1253" s="217"/>
      <c r="P1253" s="217"/>
    </row>
    <row r="1254" spans="1:16" s="219" customFormat="1" ht="45" hidden="1" x14ac:dyDescent="0.25">
      <c r="A1254" s="214"/>
      <c r="B1254" s="237">
        <v>1</v>
      </c>
      <c r="C1254" s="237">
        <v>3</v>
      </c>
      <c r="D1254" s="238" t="s">
        <v>2022</v>
      </c>
      <c r="E1254" s="238" t="s">
        <v>1836</v>
      </c>
      <c r="F1254" s="238" t="s">
        <v>2139</v>
      </c>
      <c r="G1254" s="238" t="s">
        <v>79</v>
      </c>
      <c r="H1254" s="239" t="s">
        <v>3069</v>
      </c>
      <c r="I1254" s="217"/>
      <c r="J1254" s="217"/>
      <c r="K1254" s="217"/>
      <c r="L1254" s="217"/>
      <c r="M1254" s="217"/>
      <c r="N1254" s="217"/>
      <c r="O1254" s="217"/>
      <c r="P1254" s="217"/>
    </row>
    <row r="1255" spans="1:16" s="219" customFormat="1" ht="45" hidden="1" x14ac:dyDescent="0.25">
      <c r="A1255" s="214"/>
      <c r="B1255" s="237">
        <v>1</v>
      </c>
      <c r="C1255" s="237">
        <v>3</v>
      </c>
      <c r="D1255" s="238" t="s">
        <v>2022</v>
      </c>
      <c r="E1255" s="238" t="s">
        <v>1836</v>
      </c>
      <c r="F1255" s="238" t="s">
        <v>2139</v>
      </c>
      <c r="G1255" s="238" t="s">
        <v>84</v>
      </c>
      <c r="H1255" s="239" t="s">
        <v>3070</v>
      </c>
      <c r="I1255" s="217"/>
      <c r="J1255" s="217"/>
      <c r="K1255" s="217"/>
      <c r="L1255" s="217"/>
      <c r="M1255" s="217"/>
      <c r="N1255" s="217"/>
      <c r="O1255" s="217"/>
      <c r="P1255" s="217"/>
    </row>
    <row r="1256" spans="1:16" s="219" customFormat="1" ht="45" hidden="1" x14ac:dyDescent="0.25">
      <c r="A1256" s="214"/>
      <c r="B1256" s="237">
        <v>1</v>
      </c>
      <c r="C1256" s="237">
        <v>3</v>
      </c>
      <c r="D1256" s="238" t="s">
        <v>2022</v>
      </c>
      <c r="E1256" s="238" t="s">
        <v>1836</v>
      </c>
      <c r="F1256" s="238" t="s">
        <v>2139</v>
      </c>
      <c r="G1256" s="238" t="s">
        <v>88</v>
      </c>
      <c r="H1256" s="239" t="s">
        <v>3071</v>
      </c>
      <c r="I1256" s="217"/>
      <c r="J1256" s="217"/>
      <c r="K1256" s="217"/>
      <c r="L1256" s="217"/>
      <c r="M1256" s="217"/>
      <c r="N1256" s="217"/>
      <c r="O1256" s="217"/>
      <c r="P1256" s="217"/>
    </row>
    <row r="1257" spans="1:16" s="219" customFormat="1" ht="45" hidden="1" x14ac:dyDescent="0.25">
      <c r="A1257" s="214"/>
      <c r="B1257" s="237">
        <v>1</v>
      </c>
      <c r="C1257" s="237">
        <v>3</v>
      </c>
      <c r="D1257" s="238" t="s">
        <v>2022</v>
      </c>
      <c r="E1257" s="238" t="s">
        <v>1836</v>
      </c>
      <c r="F1257" s="238" t="s">
        <v>2139</v>
      </c>
      <c r="G1257" s="238" t="s">
        <v>92</v>
      </c>
      <c r="H1257" s="239" t="s">
        <v>3072</v>
      </c>
      <c r="I1257" s="217"/>
      <c r="J1257" s="217"/>
      <c r="K1257" s="217"/>
      <c r="L1257" s="217"/>
      <c r="M1257" s="217"/>
      <c r="N1257" s="217"/>
      <c r="O1257" s="217"/>
      <c r="P1257" s="217"/>
    </row>
    <row r="1258" spans="1:16" s="219" customFormat="1" ht="45" hidden="1" x14ac:dyDescent="0.25">
      <c r="A1258" s="214"/>
      <c r="B1258" s="237">
        <v>1</v>
      </c>
      <c r="C1258" s="237">
        <v>3</v>
      </c>
      <c r="D1258" s="238" t="s">
        <v>2022</v>
      </c>
      <c r="E1258" s="238" t="s">
        <v>1836</v>
      </c>
      <c r="F1258" s="238" t="s">
        <v>2139</v>
      </c>
      <c r="G1258" s="238" t="s">
        <v>96</v>
      </c>
      <c r="H1258" s="239" t="s">
        <v>3073</v>
      </c>
      <c r="I1258" s="217"/>
      <c r="J1258" s="217"/>
      <c r="K1258" s="217"/>
      <c r="L1258" s="217"/>
      <c r="M1258" s="217"/>
      <c r="N1258" s="217"/>
      <c r="O1258" s="217"/>
      <c r="P1258" s="217"/>
    </row>
    <row r="1259" spans="1:16" s="219" customFormat="1" ht="45" hidden="1" x14ac:dyDescent="0.25">
      <c r="A1259" s="214"/>
      <c r="B1259" s="237">
        <v>1</v>
      </c>
      <c r="C1259" s="237">
        <v>3</v>
      </c>
      <c r="D1259" s="238" t="s">
        <v>2022</v>
      </c>
      <c r="E1259" s="238" t="s">
        <v>1836</v>
      </c>
      <c r="F1259" s="238" t="s">
        <v>2139</v>
      </c>
      <c r="G1259" s="238" t="s">
        <v>100</v>
      </c>
      <c r="H1259" s="239" t="s">
        <v>3074</v>
      </c>
      <c r="I1259" s="217"/>
      <c r="J1259" s="217"/>
      <c r="K1259" s="217"/>
      <c r="L1259" s="217"/>
      <c r="M1259" s="217"/>
      <c r="N1259" s="217"/>
      <c r="O1259" s="217"/>
      <c r="P1259" s="217"/>
    </row>
    <row r="1260" spans="1:16" s="219" customFormat="1" ht="45" hidden="1" x14ac:dyDescent="0.25">
      <c r="A1260" s="214"/>
      <c r="B1260" s="237">
        <v>1</v>
      </c>
      <c r="C1260" s="237">
        <v>3</v>
      </c>
      <c r="D1260" s="238" t="s">
        <v>2022</v>
      </c>
      <c r="E1260" s="238" t="s">
        <v>1836</v>
      </c>
      <c r="F1260" s="238" t="s">
        <v>2139</v>
      </c>
      <c r="G1260" s="238" t="s">
        <v>105</v>
      </c>
      <c r="H1260" s="239" t="s">
        <v>3075</v>
      </c>
      <c r="I1260" s="217"/>
      <c r="J1260" s="217"/>
      <c r="K1260" s="217"/>
      <c r="L1260" s="217"/>
      <c r="M1260" s="217"/>
      <c r="N1260" s="217"/>
      <c r="O1260" s="217"/>
      <c r="P1260" s="217"/>
    </row>
    <row r="1261" spans="1:16" s="219" customFormat="1" ht="45" hidden="1" x14ac:dyDescent="0.25">
      <c r="A1261" s="214"/>
      <c r="B1261" s="237">
        <v>1</v>
      </c>
      <c r="C1261" s="237">
        <v>3</v>
      </c>
      <c r="D1261" s="238" t="s">
        <v>2022</v>
      </c>
      <c r="E1261" s="238" t="s">
        <v>1836</v>
      </c>
      <c r="F1261" s="238" t="s">
        <v>2139</v>
      </c>
      <c r="G1261" s="238" t="s">
        <v>108</v>
      </c>
      <c r="H1261" s="239" t="s">
        <v>3076</v>
      </c>
      <c r="I1261" s="217"/>
      <c r="J1261" s="217"/>
      <c r="K1261" s="217"/>
      <c r="L1261" s="217"/>
      <c r="M1261" s="217"/>
      <c r="N1261" s="217"/>
      <c r="O1261" s="217"/>
      <c r="P1261" s="217"/>
    </row>
    <row r="1262" spans="1:16" s="219" customFormat="1" ht="45" hidden="1" x14ac:dyDescent="0.25">
      <c r="A1262" s="214"/>
      <c r="B1262" s="237">
        <v>1</v>
      </c>
      <c r="C1262" s="237">
        <v>3</v>
      </c>
      <c r="D1262" s="238" t="s">
        <v>2022</v>
      </c>
      <c r="E1262" s="238" t="s">
        <v>1836</v>
      </c>
      <c r="F1262" s="238" t="s">
        <v>2139</v>
      </c>
      <c r="G1262" s="238" t="s">
        <v>135</v>
      </c>
      <c r="H1262" s="239" t="s">
        <v>3077</v>
      </c>
      <c r="I1262" s="217"/>
      <c r="J1262" s="217"/>
      <c r="K1262" s="217"/>
      <c r="L1262" s="217"/>
      <c r="M1262" s="217"/>
      <c r="N1262" s="217"/>
      <c r="O1262" s="217"/>
      <c r="P1262" s="217"/>
    </row>
    <row r="1263" spans="1:16" s="219" customFormat="1" ht="45" hidden="1" x14ac:dyDescent="0.25">
      <c r="A1263" s="214"/>
      <c r="B1263" s="237">
        <v>1</v>
      </c>
      <c r="C1263" s="237">
        <v>3</v>
      </c>
      <c r="D1263" s="238" t="s">
        <v>2022</v>
      </c>
      <c r="E1263" s="238" t="s">
        <v>1836</v>
      </c>
      <c r="F1263" s="238" t="s">
        <v>2139</v>
      </c>
      <c r="G1263" s="238" t="s">
        <v>138</v>
      </c>
      <c r="H1263" s="239" t="s">
        <v>3078</v>
      </c>
      <c r="I1263" s="217"/>
      <c r="J1263" s="217"/>
      <c r="K1263" s="217"/>
      <c r="L1263" s="217"/>
      <c r="M1263" s="217"/>
      <c r="N1263" s="217"/>
      <c r="O1263" s="217"/>
      <c r="P1263" s="217"/>
    </row>
    <row r="1264" spans="1:16" s="219" customFormat="1" ht="45" hidden="1" x14ac:dyDescent="0.25">
      <c r="A1264" s="214"/>
      <c r="B1264" s="237">
        <v>1</v>
      </c>
      <c r="C1264" s="237">
        <v>3</v>
      </c>
      <c r="D1264" s="238" t="s">
        <v>2022</v>
      </c>
      <c r="E1264" s="238" t="s">
        <v>1836</v>
      </c>
      <c r="F1264" s="238" t="s">
        <v>2139</v>
      </c>
      <c r="G1264" s="238" t="s">
        <v>140</v>
      </c>
      <c r="H1264" s="239" t="s">
        <v>3079</v>
      </c>
      <c r="I1264" s="217"/>
      <c r="J1264" s="217"/>
      <c r="K1264" s="217"/>
      <c r="L1264" s="217"/>
      <c r="M1264" s="217"/>
      <c r="N1264" s="217"/>
      <c r="O1264" s="217"/>
      <c r="P1264" s="217"/>
    </row>
    <row r="1265" spans="1:16" s="219" customFormat="1" ht="45" hidden="1" x14ac:dyDescent="0.25">
      <c r="A1265" s="214"/>
      <c r="B1265" s="237">
        <v>1</v>
      </c>
      <c r="C1265" s="237">
        <v>3</v>
      </c>
      <c r="D1265" s="238" t="s">
        <v>2022</v>
      </c>
      <c r="E1265" s="238" t="s">
        <v>1836</v>
      </c>
      <c r="F1265" s="238" t="s">
        <v>2139</v>
      </c>
      <c r="G1265" s="238" t="s">
        <v>143</v>
      </c>
      <c r="H1265" s="239" t="s">
        <v>3080</v>
      </c>
      <c r="I1265" s="217"/>
      <c r="J1265" s="217"/>
      <c r="K1265" s="217"/>
      <c r="L1265" s="217"/>
      <c r="M1265" s="217"/>
      <c r="N1265" s="217"/>
      <c r="O1265" s="217"/>
      <c r="P1265" s="217"/>
    </row>
    <row r="1266" spans="1:16" s="219" customFormat="1" ht="45" hidden="1" x14ac:dyDescent="0.25">
      <c r="A1266" s="214"/>
      <c r="B1266" s="237">
        <v>1</v>
      </c>
      <c r="C1266" s="237">
        <v>3</v>
      </c>
      <c r="D1266" s="238" t="s">
        <v>2022</v>
      </c>
      <c r="E1266" s="238" t="s">
        <v>1836</v>
      </c>
      <c r="F1266" s="238" t="s">
        <v>2139</v>
      </c>
      <c r="G1266" s="238" t="s">
        <v>146</v>
      </c>
      <c r="H1266" s="239" t="s">
        <v>3081</v>
      </c>
      <c r="I1266" s="217"/>
      <c r="J1266" s="217"/>
      <c r="K1266" s="217"/>
      <c r="L1266" s="217"/>
      <c r="M1266" s="217"/>
      <c r="N1266" s="217"/>
      <c r="O1266" s="217"/>
      <c r="P1266" s="217"/>
    </row>
    <row r="1267" spans="1:16" s="219" customFormat="1" ht="45" hidden="1" x14ac:dyDescent="0.25">
      <c r="A1267" s="214"/>
      <c r="B1267" s="237">
        <v>1</v>
      </c>
      <c r="C1267" s="237">
        <v>3</v>
      </c>
      <c r="D1267" s="238" t="s">
        <v>2022</v>
      </c>
      <c r="E1267" s="238" t="s">
        <v>1836</v>
      </c>
      <c r="F1267" s="238" t="s">
        <v>2139</v>
      </c>
      <c r="G1267" s="238" t="s">
        <v>150</v>
      </c>
      <c r="H1267" s="239" t="s">
        <v>3082</v>
      </c>
      <c r="I1267" s="217"/>
      <c r="J1267" s="217"/>
      <c r="K1267" s="217"/>
      <c r="L1267" s="217"/>
      <c r="M1267" s="217"/>
      <c r="N1267" s="217"/>
      <c r="O1267" s="217"/>
      <c r="P1267" s="217"/>
    </row>
    <row r="1268" spans="1:16" s="219" customFormat="1" ht="45" hidden="1" x14ac:dyDescent="0.25">
      <c r="A1268" s="214"/>
      <c r="B1268" s="237">
        <v>1</v>
      </c>
      <c r="C1268" s="237">
        <v>3</v>
      </c>
      <c r="D1268" s="238" t="s">
        <v>2022</v>
      </c>
      <c r="E1268" s="238" t="s">
        <v>1836</v>
      </c>
      <c r="F1268" s="238" t="s">
        <v>2139</v>
      </c>
      <c r="G1268" s="238" t="s">
        <v>153</v>
      </c>
      <c r="H1268" s="239" t="s">
        <v>3083</v>
      </c>
      <c r="I1268" s="217"/>
      <c r="J1268" s="217"/>
      <c r="K1268" s="217"/>
      <c r="L1268" s="217"/>
      <c r="M1268" s="217"/>
      <c r="N1268" s="217"/>
      <c r="O1268" s="217"/>
      <c r="P1268" s="217"/>
    </row>
    <row r="1269" spans="1:16" s="219" customFormat="1" ht="45" hidden="1" x14ac:dyDescent="0.25">
      <c r="A1269" s="214"/>
      <c r="B1269" s="237">
        <v>1</v>
      </c>
      <c r="C1269" s="237">
        <v>3</v>
      </c>
      <c r="D1269" s="238" t="s">
        <v>2022</v>
      </c>
      <c r="E1269" s="238" t="s">
        <v>1836</v>
      </c>
      <c r="F1269" s="238" t="s">
        <v>2139</v>
      </c>
      <c r="G1269" s="238" t="s">
        <v>156</v>
      </c>
      <c r="H1269" s="239" t="s">
        <v>3084</v>
      </c>
      <c r="I1269" s="217"/>
      <c r="J1269" s="217"/>
      <c r="K1269" s="217"/>
      <c r="L1269" s="217"/>
      <c r="M1269" s="217"/>
      <c r="N1269" s="217"/>
      <c r="O1269" s="217"/>
      <c r="P1269" s="217"/>
    </row>
    <row r="1270" spans="1:16" s="219" customFormat="1" ht="45" hidden="1" x14ac:dyDescent="0.25">
      <c r="A1270" s="214"/>
      <c r="B1270" s="237">
        <v>1</v>
      </c>
      <c r="C1270" s="237">
        <v>3</v>
      </c>
      <c r="D1270" s="238" t="s">
        <v>2022</v>
      </c>
      <c r="E1270" s="238" t="s">
        <v>1836</v>
      </c>
      <c r="F1270" s="238" t="s">
        <v>2139</v>
      </c>
      <c r="G1270" s="238" t="s">
        <v>159</v>
      </c>
      <c r="H1270" s="239" t="s">
        <v>3085</v>
      </c>
      <c r="I1270" s="217"/>
      <c r="J1270" s="217"/>
      <c r="K1270" s="217"/>
      <c r="L1270" s="217"/>
      <c r="M1270" s="217"/>
      <c r="N1270" s="217"/>
      <c r="O1270" s="217"/>
      <c r="P1270" s="217"/>
    </row>
    <row r="1271" spans="1:16" s="219" customFormat="1" ht="45" hidden="1" x14ac:dyDescent="0.25">
      <c r="A1271" s="214"/>
      <c r="B1271" s="237">
        <v>1</v>
      </c>
      <c r="C1271" s="237">
        <v>3</v>
      </c>
      <c r="D1271" s="238" t="s">
        <v>2022</v>
      </c>
      <c r="E1271" s="238" t="s">
        <v>1836</v>
      </c>
      <c r="F1271" s="238" t="s">
        <v>2139</v>
      </c>
      <c r="G1271" s="238" t="s">
        <v>162</v>
      </c>
      <c r="H1271" s="239" t="s">
        <v>3086</v>
      </c>
      <c r="I1271" s="217"/>
      <c r="J1271" s="217"/>
      <c r="K1271" s="217"/>
      <c r="L1271" s="217"/>
      <c r="M1271" s="217"/>
      <c r="N1271" s="217"/>
      <c r="O1271" s="217"/>
      <c r="P1271" s="217"/>
    </row>
    <row r="1272" spans="1:16" s="219" customFormat="1" ht="45" hidden="1" x14ac:dyDescent="0.25">
      <c r="A1272" s="214"/>
      <c r="B1272" s="237">
        <v>1</v>
      </c>
      <c r="C1272" s="237">
        <v>3</v>
      </c>
      <c r="D1272" s="238" t="s">
        <v>2022</v>
      </c>
      <c r="E1272" s="238" t="s">
        <v>1836</v>
      </c>
      <c r="F1272" s="238" t="s">
        <v>2139</v>
      </c>
      <c r="G1272" s="238" t="s">
        <v>312</v>
      </c>
      <c r="H1272" s="239" t="s">
        <v>3087</v>
      </c>
      <c r="I1272" s="217"/>
      <c r="J1272" s="217"/>
      <c r="K1272" s="217"/>
      <c r="L1272" s="217"/>
      <c r="M1272" s="217"/>
      <c r="N1272" s="217"/>
      <c r="O1272" s="217"/>
      <c r="P1272" s="217"/>
    </row>
    <row r="1273" spans="1:16" s="219" customFormat="1" ht="45" hidden="1" x14ac:dyDescent="0.25">
      <c r="A1273" s="214"/>
      <c r="B1273" s="237">
        <v>1</v>
      </c>
      <c r="C1273" s="237">
        <v>3</v>
      </c>
      <c r="D1273" s="238" t="s">
        <v>2022</v>
      </c>
      <c r="E1273" s="238" t="s">
        <v>1836</v>
      </c>
      <c r="F1273" s="238" t="s">
        <v>2139</v>
      </c>
      <c r="G1273" s="238" t="s">
        <v>313</v>
      </c>
      <c r="H1273" s="239" t="s">
        <v>3088</v>
      </c>
      <c r="I1273" s="217"/>
      <c r="J1273" s="217"/>
      <c r="K1273" s="217"/>
      <c r="L1273" s="217"/>
      <c r="M1273" s="217"/>
      <c r="N1273" s="217"/>
      <c r="O1273" s="217"/>
      <c r="P1273" s="217"/>
    </row>
    <row r="1274" spans="1:16" s="219" customFormat="1" ht="45" hidden="1" x14ac:dyDescent="0.25">
      <c r="A1274" s="214"/>
      <c r="B1274" s="237">
        <v>1</v>
      </c>
      <c r="C1274" s="237">
        <v>3</v>
      </c>
      <c r="D1274" s="238" t="s">
        <v>2022</v>
      </c>
      <c r="E1274" s="238" t="s">
        <v>1836</v>
      </c>
      <c r="F1274" s="238" t="s">
        <v>2139</v>
      </c>
      <c r="G1274" s="238" t="s">
        <v>559</v>
      </c>
      <c r="H1274" s="239" t="s">
        <v>3089</v>
      </c>
      <c r="I1274" s="217"/>
      <c r="J1274" s="217"/>
      <c r="K1274" s="217"/>
      <c r="L1274" s="217"/>
      <c r="M1274" s="217"/>
      <c r="N1274" s="217"/>
      <c r="O1274" s="217"/>
      <c r="P1274" s="217"/>
    </row>
    <row r="1275" spans="1:16" s="219" customFormat="1" ht="45" hidden="1" x14ac:dyDescent="0.25">
      <c r="A1275" s="214"/>
      <c r="B1275" s="237">
        <v>1</v>
      </c>
      <c r="C1275" s="237">
        <v>3</v>
      </c>
      <c r="D1275" s="238" t="s">
        <v>2022</v>
      </c>
      <c r="E1275" s="238" t="s">
        <v>1836</v>
      </c>
      <c r="F1275" s="238" t="s">
        <v>2139</v>
      </c>
      <c r="G1275" s="238" t="s">
        <v>561</v>
      </c>
      <c r="H1275" s="239" t="s">
        <v>3090</v>
      </c>
      <c r="I1275" s="217"/>
      <c r="J1275" s="217"/>
      <c r="K1275" s="217"/>
      <c r="L1275" s="217"/>
      <c r="M1275" s="217"/>
      <c r="N1275" s="217"/>
      <c r="O1275" s="217"/>
      <c r="P1275" s="217"/>
    </row>
    <row r="1276" spans="1:16" s="219" customFormat="1" ht="45" hidden="1" x14ac:dyDescent="0.25">
      <c r="A1276" s="214"/>
      <c r="B1276" s="237">
        <v>1</v>
      </c>
      <c r="C1276" s="237">
        <v>3</v>
      </c>
      <c r="D1276" s="238" t="s">
        <v>2022</v>
      </c>
      <c r="E1276" s="238" t="s">
        <v>1836</v>
      </c>
      <c r="F1276" s="238" t="s">
        <v>2139</v>
      </c>
      <c r="G1276" s="238" t="s">
        <v>563</v>
      </c>
      <c r="H1276" s="239" t="s">
        <v>3091</v>
      </c>
      <c r="I1276" s="217"/>
      <c r="J1276" s="217"/>
      <c r="K1276" s="217"/>
      <c r="L1276" s="217"/>
      <c r="M1276" s="217"/>
      <c r="N1276" s="217"/>
      <c r="O1276" s="217"/>
      <c r="P1276" s="217"/>
    </row>
    <row r="1277" spans="1:16" s="219" customFormat="1" ht="45" hidden="1" x14ac:dyDescent="0.25">
      <c r="A1277" s="214"/>
      <c r="B1277" s="237">
        <v>1</v>
      </c>
      <c r="C1277" s="237">
        <v>3</v>
      </c>
      <c r="D1277" s="238" t="s">
        <v>2022</v>
      </c>
      <c r="E1277" s="238" t="s">
        <v>1836</v>
      </c>
      <c r="F1277" s="238" t="s">
        <v>2139</v>
      </c>
      <c r="G1277" s="238" t="s">
        <v>227</v>
      </c>
      <c r="H1277" s="239" t="s">
        <v>3092</v>
      </c>
      <c r="I1277" s="217"/>
      <c r="J1277" s="217"/>
      <c r="K1277" s="217"/>
      <c r="L1277" s="217"/>
      <c r="M1277" s="217"/>
      <c r="N1277" s="217"/>
      <c r="O1277" s="217"/>
      <c r="P1277" s="217"/>
    </row>
    <row r="1278" spans="1:16" s="219" customFormat="1" ht="45" hidden="1" x14ac:dyDescent="0.25">
      <c r="A1278" s="214"/>
      <c r="B1278" s="237">
        <v>1</v>
      </c>
      <c r="C1278" s="237">
        <v>3</v>
      </c>
      <c r="D1278" s="238" t="s">
        <v>2022</v>
      </c>
      <c r="E1278" s="238" t="s">
        <v>1836</v>
      </c>
      <c r="F1278" s="238" t="s">
        <v>2139</v>
      </c>
      <c r="G1278" s="238" t="s">
        <v>230</v>
      </c>
      <c r="H1278" s="239" t="s">
        <v>3093</v>
      </c>
      <c r="I1278" s="217"/>
      <c r="J1278" s="217"/>
      <c r="K1278" s="217"/>
      <c r="L1278" s="217"/>
      <c r="M1278" s="217"/>
      <c r="N1278" s="217"/>
      <c r="O1278" s="217"/>
      <c r="P1278" s="217"/>
    </row>
    <row r="1279" spans="1:16" s="219" customFormat="1" ht="45" hidden="1" x14ac:dyDescent="0.25">
      <c r="A1279" s="214"/>
      <c r="B1279" s="237">
        <v>1</v>
      </c>
      <c r="C1279" s="237">
        <v>3</v>
      </c>
      <c r="D1279" s="238" t="s">
        <v>2022</v>
      </c>
      <c r="E1279" s="238" t="s">
        <v>1836</v>
      </c>
      <c r="F1279" s="238" t="s">
        <v>2139</v>
      </c>
      <c r="G1279" s="238" t="s">
        <v>232</v>
      </c>
      <c r="H1279" s="239" t="s">
        <v>3094</v>
      </c>
      <c r="I1279" s="217"/>
      <c r="J1279" s="217"/>
      <c r="K1279" s="217"/>
      <c r="L1279" s="217"/>
      <c r="M1279" s="217"/>
      <c r="N1279" s="217"/>
      <c r="O1279" s="217"/>
      <c r="P1279" s="217"/>
    </row>
    <row r="1280" spans="1:16" s="219" customFormat="1" ht="45" hidden="1" x14ac:dyDescent="0.25">
      <c r="A1280" s="214"/>
      <c r="B1280" s="237">
        <v>1</v>
      </c>
      <c r="C1280" s="237">
        <v>3</v>
      </c>
      <c r="D1280" s="238" t="s">
        <v>2022</v>
      </c>
      <c r="E1280" s="238" t="s">
        <v>1836</v>
      </c>
      <c r="F1280" s="238" t="s">
        <v>2139</v>
      </c>
      <c r="G1280" s="238" t="s">
        <v>234</v>
      </c>
      <c r="H1280" s="239" t="s">
        <v>3095</v>
      </c>
      <c r="I1280" s="217"/>
      <c r="J1280" s="217"/>
      <c r="K1280" s="217"/>
      <c r="L1280" s="217"/>
      <c r="M1280" s="217"/>
      <c r="N1280" s="217"/>
      <c r="O1280" s="217"/>
      <c r="P1280" s="217"/>
    </row>
    <row r="1281" spans="1:16" s="219" customFormat="1" ht="45" hidden="1" x14ac:dyDescent="0.25">
      <c r="A1281" s="214"/>
      <c r="B1281" s="237">
        <v>1</v>
      </c>
      <c r="C1281" s="237">
        <v>3</v>
      </c>
      <c r="D1281" s="238" t="s">
        <v>2022</v>
      </c>
      <c r="E1281" s="238" t="s">
        <v>1836</v>
      </c>
      <c r="F1281" s="238" t="s">
        <v>2139</v>
      </c>
      <c r="G1281" s="238" t="s">
        <v>236</v>
      </c>
      <c r="H1281" s="239" t="s">
        <v>3096</v>
      </c>
      <c r="I1281" s="217"/>
      <c r="J1281" s="217"/>
      <c r="K1281" s="217"/>
      <c r="L1281" s="217"/>
      <c r="M1281" s="217"/>
      <c r="N1281" s="217"/>
      <c r="O1281" s="217"/>
      <c r="P1281" s="217"/>
    </row>
    <row r="1282" spans="1:16" s="219" customFormat="1" ht="45" hidden="1" x14ac:dyDescent="0.25">
      <c r="A1282" s="214"/>
      <c r="B1282" s="237">
        <v>1</v>
      </c>
      <c r="C1282" s="237">
        <v>3</v>
      </c>
      <c r="D1282" s="238" t="s">
        <v>2022</v>
      </c>
      <c r="E1282" s="238" t="s">
        <v>1836</v>
      </c>
      <c r="F1282" s="238" t="s">
        <v>2139</v>
      </c>
      <c r="G1282" s="238" t="s">
        <v>238</v>
      </c>
      <c r="H1282" s="239" t="s">
        <v>3097</v>
      </c>
      <c r="I1282" s="217"/>
      <c r="J1282" s="217"/>
      <c r="K1282" s="217"/>
      <c r="L1282" s="217"/>
      <c r="M1282" s="217"/>
      <c r="N1282" s="217"/>
      <c r="O1282" s="217"/>
      <c r="P1282" s="217"/>
    </row>
    <row r="1283" spans="1:16" s="219" customFormat="1" ht="45" hidden="1" x14ac:dyDescent="0.25">
      <c r="A1283" s="214"/>
      <c r="B1283" s="237">
        <v>1</v>
      </c>
      <c r="C1283" s="237">
        <v>3</v>
      </c>
      <c r="D1283" s="238" t="s">
        <v>2022</v>
      </c>
      <c r="E1283" s="238" t="s">
        <v>1836</v>
      </c>
      <c r="F1283" s="238" t="s">
        <v>2139</v>
      </c>
      <c r="G1283" s="238" t="s">
        <v>240</v>
      </c>
      <c r="H1283" s="239" t="s">
        <v>3098</v>
      </c>
      <c r="I1283" s="217"/>
      <c r="J1283" s="217"/>
      <c r="K1283" s="217"/>
      <c r="L1283" s="217"/>
      <c r="M1283" s="217"/>
      <c r="N1283" s="217"/>
      <c r="O1283" s="217"/>
      <c r="P1283" s="217"/>
    </row>
    <row r="1284" spans="1:16" s="219" customFormat="1" ht="45" hidden="1" x14ac:dyDescent="0.25">
      <c r="A1284" s="214"/>
      <c r="B1284" s="237">
        <v>1</v>
      </c>
      <c r="C1284" s="237">
        <v>3</v>
      </c>
      <c r="D1284" s="238" t="s">
        <v>2022</v>
      </c>
      <c r="E1284" s="238" t="s">
        <v>1836</v>
      </c>
      <c r="F1284" s="238" t="s">
        <v>2139</v>
      </c>
      <c r="G1284" s="238" t="s">
        <v>242</v>
      </c>
      <c r="H1284" s="239" t="s">
        <v>3099</v>
      </c>
      <c r="I1284" s="217"/>
      <c r="J1284" s="217"/>
      <c r="K1284" s="217"/>
      <c r="L1284" s="217"/>
      <c r="M1284" s="217"/>
      <c r="N1284" s="217"/>
      <c r="O1284" s="217"/>
      <c r="P1284" s="217"/>
    </row>
    <row r="1285" spans="1:16" s="219" customFormat="1" ht="45" hidden="1" x14ac:dyDescent="0.25">
      <c r="A1285" s="214"/>
      <c r="B1285" s="237">
        <v>1</v>
      </c>
      <c r="C1285" s="237">
        <v>3</v>
      </c>
      <c r="D1285" s="238" t="s">
        <v>2022</v>
      </c>
      <c r="E1285" s="238" t="s">
        <v>1836</v>
      </c>
      <c r="F1285" s="238" t="s">
        <v>2139</v>
      </c>
      <c r="G1285" s="238" t="s">
        <v>244</v>
      </c>
      <c r="H1285" s="239" t="s">
        <v>3100</v>
      </c>
      <c r="I1285" s="217"/>
      <c r="J1285" s="217"/>
      <c r="K1285" s="217"/>
      <c r="L1285" s="217"/>
      <c r="M1285" s="217"/>
      <c r="N1285" s="217"/>
      <c r="O1285" s="217"/>
      <c r="P1285" s="217"/>
    </row>
    <row r="1286" spans="1:16" s="219" customFormat="1" ht="45" hidden="1" x14ac:dyDescent="0.25">
      <c r="A1286" s="214"/>
      <c r="B1286" s="237">
        <v>1</v>
      </c>
      <c r="C1286" s="237">
        <v>3</v>
      </c>
      <c r="D1286" s="238" t="s">
        <v>2022</v>
      </c>
      <c r="E1286" s="238" t="s">
        <v>1836</v>
      </c>
      <c r="F1286" s="238" t="s">
        <v>2139</v>
      </c>
      <c r="G1286" s="238" t="s">
        <v>246</v>
      </c>
      <c r="H1286" s="239" t="s">
        <v>3101</v>
      </c>
      <c r="I1286" s="217"/>
      <c r="J1286" s="217"/>
      <c r="K1286" s="217"/>
      <c r="L1286" s="217"/>
      <c r="M1286" s="217"/>
      <c r="N1286" s="217"/>
      <c r="O1286" s="217"/>
      <c r="P1286" s="217"/>
    </row>
    <row r="1287" spans="1:16" s="219" customFormat="1" ht="45" hidden="1" x14ac:dyDescent="0.25">
      <c r="A1287" s="214"/>
      <c r="B1287" s="237">
        <v>1</v>
      </c>
      <c r="C1287" s="237">
        <v>3</v>
      </c>
      <c r="D1287" s="238" t="s">
        <v>2022</v>
      </c>
      <c r="E1287" s="238" t="s">
        <v>1836</v>
      </c>
      <c r="F1287" s="238" t="s">
        <v>2139</v>
      </c>
      <c r="G1287" s="238" t="s">
        <v>407</v>
      </c>
      <c r="H1287" s="239" t="s">
        <v>3102</v>
      </c>
      <c r="I1287" s="217"/>
      <c r="J1287" s="217"/>
      <c r="K1287" s="217"/>
      <c r="L1287" s="217"/>
      <c r="M1287" s="217"/>
      <c r="N1287" s="217"/>
      <c r="O1287" s="217"/>
      <c r="P1287" s="217"/>
    </row>
    <row r="1288" spans="1:16" s="219" customFormat="1" ht="60" hidden="1" x14ac:dyDescent="0.25">
      <c r="A1288" s="214"/>
      <c r="B1288" s="237">
        <v>1</v>
      </c>
      <c r="C1288" s="237">
        <v>3</v>
      </c>
      <c r="D1288" s="238" t="s">
        <v>2022</v>
      </c>
      <c r="E1288" s="238" t="s">
        <v>1836</v>
      </c>
      <c r="F1288" s="238" t="s">
        <v>2139</v>
      </c>
      <c r="G1288" s="238" t="s">
        <v>408</v>
      </c>
      <c r="H1288" s="239" t="s">
        <v>3103</v>
      </c>
      <c r="I1288" s="217"/>
      <c r="J1288" s="217"/>
      <c r="K1288" s="217"/>
      <c r="L1288" s="217"/>
      <c r="M1288" s="217"/>
      <c r="N1288" s="217"/>
      <c r="O1288" s="217"/>
      <c r="P1288" s="217"/>
    </row>
    <row r="1289" spans="1:16" s="219" customFormat="1" ht="45" hidden="1" x14ac:dyDescent="0.25">
      <c r="A1289" s="214"/>
      <c r="B1289" s="237">
        <v>1</v>
      </c>
      <c r="C1289" s="237">
        <v>3</v>
      </c>
      <c r="D1289" s="238" t="s">
        <v>2022</v>
      </c>
      <c r="E1289" s="238" t="s">
        <v>1836</v>
      </c>
      <c r="F1289" s="238" t="s">
        <v>2139</v>
      </c>
      <c r="G1289" s="238" t="s">
        <v>409</v>
      </c>
      <c r="H1289" s="239" t="s">
        <v>3104</v>
      </c>
      <c r="I1289" s="217"/>
      <c r="J1289" s="217"/>
      <c r="K1289" s="217"/>
      <c r="L1289" s="217"/>
      <c r="M1289" s="217"/>
      <c r="N1289" s="217"/>
      <c r="O1289" s="217"/>
      <c r="P1289" s="217"/>
    </row>
    <row r="1290" spans="1:16" s="219" customFormat="1" ht="45" hidden="1" x14ac:dyDescent="0.25">
      <c r="A1290" s="214"/>
      <c r="B1290" s="237">
        <v>1</v>
      </c>
      <c r="C1290" s="237">
        <v>3</v>
      </c>
      <c r="D1290" s="238" t="s">
        <v>2022</v>
      </c>
      <c r="E1290" s="238" t="s">
        <v>1836</v>
      </c>
      <c r="F1290" s="238" t="s">
        <v>2139</v>
      </c>
      <c r="G1290" s="238" t="s">
        <v>788</v>
      </c>
      <c r="H1290" s="239" t="s">
        <v>3105</v>
      </c>
      <c r="I1290" s="217"/>
      <c r="J1290" s="217"/>
      <c r="K1290" s="217"/>
      <c r="L1290" s="217"/>
      <c r="M1290" s="217"/>
      <c r="N1290" s="217"/>
      <c r="O1290" s="217"/>
      <c r="P1290" s="217"/>
    </row>
    <row r="1291" spans="1:16" s="219" customFormat="1" ht="45" hidden="1" x14ac:dyDescent="0.25">
      <c r="A1291" s="214"/>
      <c r="B1291" s="237">
        <v>1</v>
      </c>
      <c r="C1291" s="237">
        <v>3</v>
      </c>
      <c r="D1291" s="238" t="s">
        <v>2022</v>
      </c>
      <c r="E1291" s="238" t="s">
        <v>1836</v>
      </c>
      <c r="F1291" s="238" t="s">
        <v>2139</v>
      </c>
      <c r="G1291" s="238" t="s">
        <v>1017</v>
      </c>
      <c r="H1291" s="239" t="s">
        <v>3106</v>
      </c>
      <c r="I1291" s="217"/>
      <c r="J1291" s="217"/>
      <c r="K1291" s="217"/>
      <c r="L1291" s="217"/>
      <c r="M1291" s="217"/>
      <c r="N1291" s="217"/>
      <c r="O1291" s="217"/>
      <c r="P1291" s="217"/>
    </row>
    <row r="1292" spans="1:16" s="219" customFormat="1" ht="45" hidden="1" x14ac:dyDescent="0.25">
      <c r="A1292" s="214"/>
      <c r="B1292" s="237">
        <v>1</v>
      </c>
      <c r="C1292" s="237">
        <v>3</v>
      </c>
      <c r="D1292" s="238" t="s">
        <v>2022</v>
      </c>
      <c r="E1292" s="238" t="s">
        <v>1836</v>
      </c>
      <c r="F1292" s="238" t="s">
        <v>2139</v>
      </c>
      <c r="G1292" s="238" t="s">
        <v>411</v>
      </c>
      <c r="H1292" s="239" t="s">
        <v>3107</v>
      </c>
      <c r="I1292" s="217"/>
      <c r="J1292" s="217"/>
      <c r="K1292" s="217"/>
      <c r="L1292" s="217"/>
      <c r="M1292" s="217"/>
      <c r="N1292" s="217"/>
      <c r="O1292" s="217"/>
      <c r="P1292" s="217"/>
    </row>
    <row r="1293" spans="1:16" s="219" customFormat="1" ht="45" hidden="1" x14ac:dyDescent="0.25">
      <c r="A1293" s="214"/>
      <c r="B1293" s="237">
        <v>1</v>
      </c>
      <c r="C1293" s="237">
        <v>3</v>
      </c>
      <c r="D1293" s="238" t="s">
        <v>2022</v>
      </c>
      <c r="E1293" s="238" t="s">
        <v>1836</v>
      </c>
      <c r="F1293" s="238" t="s">
        <v>2139</v>
      </c>
      <c r="G1293" s="238" t="s">
        <v>247</v>
      </c>
      <c r="H1293" s="239" t="s">
        <v>3108</v>
      </c>
      <c r="I1293" s="217"/>
      <c r="J1293" s="217"/>
      <c r="K1293" s="217"/>
      <c r="L1293" s="217"/>
      <c r="M1293" s="217"/>
      <c r="N1293" s="217"/>
      <c r="O1293" s="217"/>
      <c r="P1293" s="217"/>
    </row>
    <row r="1294" spans="1:16" s="219" customFormat="1" ht="45" hidden="1" x14ac:dyDescent="0.25">
      <c r="A1294" s="214"/>
      <c r="B1294" s="237">
        <v>1</v>
      </c>
      <c r="C1294" s="237">
        <v>3</v>
      </c>
      <c r="D1294" s="238" t="s">
        <v>2022</v>
      </c>
      <c r="E1294" s="238" t="s">
        <v>1836</v>
      </c>
      <c r="F1294" s="238" t="s">
        <v>2139</v>
      </c>
      <c r="G1294" s="238" t="s">
        <v>1019</v>
      </c>
      <c r="H1294" s="239" t="s">
        <v>3109</v>
      </c>
      <c r="I1294" s="217"/>
      <c r="J1294" s="217"/>
      <c r="K1294" s="217"/>
      <c r="L1294" s="217"/>
      <c r="M1294" s="217"/>
      <c r="N1294" s="217"/>
      <c r="O1294" s="217"/>
      <c r="P1294" s="217"/>
    </row>
    <row r="1295" spans="1:16" s="219" customFormat="1" ht="45" hidden="1" x14ac:dyDescent="0.25">
      <c r="A1295" s="214"/>
      <c r="B1295" s="237">
        <v>1</v>
      </c>
      <c r="C1295" s="237">
        <v>3</v>
      </c>
      <c r="D1295" s="238" t="s">
        <v>2022</v>
      </c>
      <c r="E1295" s="238" t="s">
        <v>1836</v>
      </c>
      <c r="F1295" s="238" t="s">
        <v>2139</v>
      </c>
      <c r="G1295" s="238" t="s">
        <v>1022</v>
      </c>
      <c r="H1295" s="239" t="s">
        <v>3110</v>
      </c>
      <c r="I1295" s="217"/>
      <c r="J1295" s="217"/>
      <c r="K1295" s="217"/>
      <c r="L1295" s="217"/>
      <c r="M1295" s="217"/>
      <c r="N1295" s="217"/>
      <c r="O1295" s="217"/>
      <c r="P1295" s="217"/>
    </row>
    <row r="1296" spans="1:16" s="219" customFormat="1" ht="45" hidden="1" x14ac:dyDescent="0.25">
      <c r="A1296" s="214"/>
      <c r="B1296" s="237">
        <v>1</v>
      </c>
      <c r="C1296" s="237">
        <v>3</v>
      </c>
      <c r="D1296" s="238" t="s">
        <v>2022</v>
      </c>
      <c r="E1296" s="238" t="s">
        <v>1836</v>
      </c>
      <c r="F1296" s="238" t="s">
        <v>2139</v>
      </c>
      <c r="G1296" s="238" t="s">
        <v>1024</v>
      </c>
      <c r="H1296" s="239" t="s">
        <v>3111</v>
      </c>
      <c r="I1296" s="217"/>
      <c r="J1296" s="217"/>
      <c r="K1296" s="217"/>
      <c r="L1296" s="217"/>
      <c r="M1296" s="217"/>
      <c r="N1296" s="217"/>
      <c r="O1296" s="217"/>
      <c r="P1296" s="217"/>
    </row>
    <row r="1297" spans="1:16" s="219" customFormat="1" ht="45" hidden="1" x14ac:dyDescent="0.25">
      <c r="A1297" s="214"/>
      <c r="B1297" s="237">
        <v>1</v>
      </c>
      <c r="C1297" s="237">
        <v>3</v>
      </c>
      <c r="D1297" s="238" t="s">
        <v>2022</v>
      </c>
      <c r="E1297" s="238" t="s">
        <v>1836</v>
      </c>
      <c r="F1297" s="238" t="s">
        <v>2139</v>
      </c>
      <c r="G1297" s="238" t="s">
        <v>1026</v>
      </c>
      <c r="H1297" s="239" t="s">
        <v>3112</v>
      </c>
      <c r="I1297" s="217"/>
      <c r="J1297" s="217"/>
      <c r="K1297" s="217"/>
      <c r="L1297" s="217"/>
      <c r="M1297" s="217"/>
      <c r="N1297" s="217"/>
      <c r="O1297" s="217"/>
      <c r="P1297" s="217"/>
    </row>
    <row r="1298" spans="1:16" s="219" customFormat="1" ht="45" hidden="1" x14ac:dyDescent="0.25">
      <c r="A1298" s="214"/>
      <c r="B1298" s="237">
        <v>1</v>
      </c>
      <c r="C1298" s="237">
        <v>3</v>
      </c>
      <c r="D1298" s="238" t="s">
        <v>2022</v>
      </c>
      <c r="E1298" s="238" t="s">
        <v>1836</v>
      </c>
      <c r="F1298" s="238" t="s">
        <v>2139</v>
      </c>
      <c r="G1298" s="238" t="s">
        <v>416</v>
      </c>
      <c r="H1298" s="239" t="s">
        <v>3113</v>
      </c>
      <c r="I1298" s="217"/>
      <c r="J1298" s="217"/>
      <c r="K1298" s="217"/>
      <c r="L1298" s="217"/>
      <c r="M1298" s="217"/>
      <c r="N1298" s="217"/>
      <c r="O1298" s="217"/>
      <c r="P1298" s="217"/>
    </row>
    <row r="1299" spans="1:16" s="219" customFormat="1" ht="45" hidden="1" x14ac:dyDescent="0.25">
      <c r="A1299" s="214"/>
      <c r="B1299" s="237">
        <v>1</v>
      </c>
      <c r="C1299" s="237">
        <v>3</v>
      </c>
      <c r="D1299" s="238" t="s">
        <v>2022</v>
      </c>
      <c r="E1299" s="238" t="s">
        <v>1836</v>
      </c>
      <c r="F1299" s="238" t="s">
        <v>2139</v>
      </c>
      <c r="G1299" s="238" t="s">
        <v>417</v>
      </c>
      <c r="H1299" s="239" t="s">
        <v>3114</v>
      </c>
      <c r="I1299" s="217"/>
      <c r="J1299" s="217"/>
      <c r="K1299" s="217"/>
      <c r="L1299" s="217"/>
      <c r="M1299" s="217"/>
      <c r="N1299" s="217"/>
      <c r="O1299" s="217"/>
      <c r="P1299" s="217"/>
    </row>
    <row r="1300" spans="1:16" s="219" customFormat="1" ht="45" hidden="1" x14ac:dyDescent="0.25">
      <c r="A1300" s="214"/>
      <c r="B1300" s="237">
        <v>1</v>
      </c>
      <c r="C1300" s="237">
        <v>3</v>
      </c>
      <c r="D1300" s="238" t="s">
        <v>2022</v>
      </c>
      <c r="E1300" s="238" t="s">
        <v>1836</v>
      </c>
      <c r="F1300" s="238" t="s">
        <v>2139</v>
      </c>
      <c r="G1300" s="238" t="s">
        <v>1028</v>
      </c>
      <c r="H1300" s="239" t="s">
        <v>3115</v>
      </c>
      <c r="I1300" s="217"/>
      <c r="J1300" s="217"/>
      <c r="K1300" s="217"/>
      <c r="L1300" s="217"/>
      <c r="M1300" s="217"/>
      <c r="N1300" s="217"/>
      <c r="O1300" s="217"/>
      <c r="P1300" s="217"/>
    </row>
    <row r="1301" spans="1:16" s="219" customFormat="1" ht="45" hidden="1" x14ac:dyDescent="0.25">
      <c r="A1301" s="214"/>
      <c r="B1301" s="237">
        <v>1</v>
      </c>
      <c r="C1301" s="237">
        <v>3</v>
      </c>
      <c r="D1301" s="238" t="s">
        <v>2022</v>
      </c>
      <c r="E1301" s="238" t="s">
        <v>1836</v>
      </c>
      <c r="F1301" s="238" t="s">
        <v>2139</v>
      </c>
      <c r="G1301" s="238" t="s">
        <v>1029</v>
      </c>
      <c r="H1301" s="239" t="s">
        <v>3116</v>
      </c>
      <c r="I1301" s="217"/>
      <c r="J1301" s="217"/>
      <c r="K1301" s="217"/>
      <c r="L1301" s="217"/>
      <c r="M1301" s="217"/>
      <c r="N1301" s="217"/>
      <c r="O1301" s="217"/>
      <c r="P1301" s="217"/>
    </row>
    <row r="1302" spans="1:16" s="219" customFormat="1" ht="45" hidden="1" x14ac:dyDescent="0.25">
      <c r="A1302" s="214"/>
      <c r="B1302" s="237">
        <v>1</v>
      </c>
      <c r="C1302" s="237">
        <v>3</v>
      </c>
      <c r="D1302" s="238" t="s">
        <v>2022</v>
      </c>
      <c r="E1302" s="238" t="s">
        <v>1836</v>
      </c>
      <c r="F1302" s="238" t="s">
        <v>2139</v>
      </c>
      <c r="G1302" s="238" t="s">
        <v>1030</v>
      </c>
      <c r="H1302" s="239" t="s">
        <v>3117</v>
      </c>
      <c r="I1302" s="217"/>
      <c r="J1302" s="217"/>
      <c r="K1302" s="217"/>
      <c r="L1302" s="217"/>
      <c r="M1302" s="217"/>
      <c r="N1302" s="217"/>
      <c r="O1302" s="217"/>
      <c r="P1302" s="217"/>
    </row>
    <row r="1303" spans="1:16" s="219" customFormat="1" ht="45" hidden="1" x14ac:dyDescent="0.25">
      <c r="A1303" s="214"/>
      <c r="B1303" s="237">
        <v>1</v>
      </c>
      <c r="C1303" s="237">
        <v>3</v>
      </c>
      <c r="D1303" s="238" t="s">
        <v>2022</v>
      </c>
      <c r="E1303" s="238" t="s">
        <v>1836</v>
      </c>
      <c r="F1303" s="238" t="s">
        <v>2139</v>
      </c>
      <c r="G1303" s="238" t="s">
        <v>1032</v>
      </c>
      <c r="H1303" s="239" t="s">
        <v>3118</v>
      </c>
      <c r="I1303" s="217"/>
      <c r="J1303" s="217"/>
      <c r="K1303" s="217"/>
      <c r="L1303" s="217"/>
      <c r="M1303" s="217"/>
      <c r="N1303" s="217"/>
      <c r="O1303" s="217"/>
      <c r="P1303" s="217"/>
    </row>
    <row r="1304" spans="1:16" s="219" customFormat="1" ht="45" hidden="1" x14ac:dyDescent="0.25">
      <c r="A1304" s="214"/>
      <c r="B1304" s="237">
        <v>1</v>
      </c>
      <c r="C1304" s="237">
        <v>3</v>
      </c>
      <c r="D1304" s="238" t="s">
        <v>2022</v>
      </c>
      <c r="E1304" s="238" t="s">
        <v>1836</v>
      </c>
      <c r="F1304" s="238" t="s">
        <v>2139</v>
      </c>
      <c r="G1304" s="238" t="s">
        <v>1212</v>
      </c>
      <c r="H1304" s="239" t="s">
        <v>3119</v>
      </c>
      <c r="I1304" s="217"/>
      <c r="J1304" s="217"/>
      <c r="K1304" s="217"/>
      <c r="L1304" s="217"/>
      <c r="M1304" s="217"/>
      <c r="N1304" s="217"/>
      <c r="O1304" s="217"/>
      <c r="P1304" s="217"/>
    </row>
    <row r="1305" spans="1:16" s="219" customFormat="1" ht="45" hidden="1" x14ac:dyDescent="0.25">
      <c r="A1305" s="214"/>
      <c r="B1305" s="237">
        <v>1</v>
      </c>
      <c r="C1305" s="237">
        <v>3</v>
      </c>
      <c r="D1305" s="238" t="s">
        <v>2022</v>
      </c>
      <c r="E1305" s="238" t="s">
        <v>1836</v>
      </c>
      <c r="F1305" s="238" t="s">
        <v>2139</v>
      </c>
      <c r="G1305" s="238" t="s">
        <v>791</v>
      </c>
      <c r="H1305" s="239" t="s">
        <v>3120</v>
      </c>
      <c r="I1305" s="217"/>
      <c r="J1305" s="217"/>
      <c r="K1305" s="217"/>
      <c r="L1305" s="217"/>
      <c r="M1305" s="217"/>
      <c r="N1305" s="217"/>
      <c r="O1305" s="217"/>
      <c r="P1305" s="217"/>
    </row>
    <row r="1306" spans="1:16" s="219" customFormat="1" ht="45" hidden="1" x14ac:dyDescent="0.25">
      <c r="A1306" s="214"/>
      <c r="B1306" s="237">
        <v>1</v>
      </c>
      <c r="C1306" s="237">
        <v>3</v>
      </c>
      <c r="D1306" s="238" t="s">
        <v>2022</v>
      </c>
      <c r="E1306" s="238" t="s">
        <v>1836</v>
      </c>
      <c r="F1306" s="238" t="s">
        <v>2139</v>
      </c>
      <c r="G1306" s="238" t="s">
        <v>420</v>
      </c>
      <c r="H1306" s="239" t="s">
        <v>3121</v>
      </c>
      <c r="I1306" s="217"/>
      <c r="J1306" s="217"/>
      <c r="K1306" s="217"/>
      <c r="L1306" s="217"/>
      <c r="M1306" s="217"/>
      <c r="N1306" s="217"/>
      <c r="O1306" s="217"/>
      <c r="P1306" s="217"/>
    </row>
    <row r="1307" spans="1:16" s="219" customFormat="1" ht="45" hidden="1" x14ac:dyDescent="0.25">
      <c r="A1307" s="214"/>
      <c r="B1307" s="237">
        <v>1</v>
      </c>
      <c r="C1307" s="237">
        <v>3</v>
      </c>
      <c r="D1307" s="238" t="s">
        <v>2022</v>
      </c>
      <c r="E1307" s="238" t="s">
        <v>1836</v>
      </c>
      <c r="F1307" s="238" t="s">
        <v>2139</v>
      </c>
      <c r="G1307" s="238" t="s">
        <v>1224</v>
      </c>
      <c r="H1307" s="239" t="s">
        <v>3122</v>
      </c>
      <c r="I1307" s="217"/>
      <c r="J1307" s="217"/>
      <c r="K1307" s="217"/>
      <c r="L1307" s="217"/>
      <c r="M1307" s="217"/>
      <c r="N1307" s="217"/>
      <c r="O1307" s="217"/>
      <c r="P1307" s="217"/>
    </row>
    <row r="1308" spans="1:16" s="219" customFormat="1" ht="60" hidden="1" x14ac:dyDescent="0.25">
      <c r="A1308" s="214"/>
      <c r="B1308" s="237">
        <v>1</v>
      </c>
      <c r="C1308" s="237">
        <v>3</v>
      </c>
      <c r="D1308" s="238" t="s">
        <v>2022</v>
      </c>
      <c r="E1308" s="238" t="s">
        <v>1836</v>
      </c>
      <c r="F1308" s="238" t="s">
        <v>2139</v>
      </c>
      <c r="G1308" s="238" t="s">
        <v>1226</v>
      </c>
      <c r="H1308" s="239" t="s">
        <v>3123</v>
      </c>
      <c r="I1308" s="217"/>
      <c r="J1308" s="217"/>
      <c r="K1308" s="217"/>
      <c r="L1308" s="217"/>
      <c r="M1308" s="217"/>
      <c r="N1308" s="217"/>
      <c r="O1308" s="217"/>
      <c r="P1308" s="217"/>
    </row>
    <row r="1309" spans="1:16" s="219" customFormat="1" ht="45" hidden="1" x14ac:dyDescent="0.25">
      <c r="A1309" s="214"/>
      <c r="B1309" s="237">
        <v>1</v>
      </c>
      <c r="C1309" s="237">
        <v>3</v>
      </c>
      <c r="D1309" s="238" t="s">
        <v>2022</v>
      </c>
      <c r="E1309" s="238" t="s">
        <v>1836</v>
      </c>
      <c r="F1309" s="238" t="s">
        <v>2139</v>
      </c>
      <c r="G1309" s="238" t="s">
        <v>2198</v>
      </c>
      <c r="H1309" s="239" t="s">
        <v>3124</v>
      </c>
      <c r="I1309" s="217"/>
      <c r="J1309" s="217"/>
      <c r="K1309" s="217"/>
      <c r="L1309" s="217"/>
      <c r="M1309" s="217"/>
      <c r="N1309" s="217"/>
      <c r="O1309" s="217"/>
      <c r="P1309" s="217"/>
    </row>
    <row r="1310" spans="1:16" s="219" customFormat="1" ht="45" hidden="1" x14ac:dyDescent="0.25">
      <c r="A1310" s="214"/>
      <c r="B1310" s="237">
        <v>1</v>
      </c>
      <c r="C1310" s="237">
        <v>3</v>
      </c>
      <c r="D1310" s="238" t="s">
        <v>2022</v>
      </c>
      <c r="E1310" s="238" t="s">
        <v>1836</v>
      </c>
      <c r="F1310" s="238" t="s">
        <v>2139</v>
      </c>
      <c r="G1310" s="238" t="s">
        <v>422</v>
      </c>
      <c r="H1310" s="239" t="s">
        <v>3125</v>
      </c>
      <c r="I1310" s="217"/>
      <c r="J1310" s="217"/>
      <c r="K1310" s="217"/>
      <c r="L1310" s="217"/>
      <c r="M1310" s="217"/>
      <c r="N1310" s="217"/>
      <c r="O1310" s="217"/>
      <c r="P1310" s="217"/>
    </row>
    <row r="1311" spans="1:16" s="219" customFormat="1" ht="45" hidden="1" x14ac:dyDescent="0.25">
      <c r="A1311" s="214"/>
      <c r="B1311" s="237">
        <v>1</v>
      </c>
      <c r="C1311" s="237">
        <v>3</v>
      </c>
      <c r="D1311" s="238" t="s">
        <v>2022</v>
      </c>
      <c r="E1311" s="238" t="s">
        <v>1836</v>
      </c>
      <c r="F1311" s="238" t="s">
        <v>2139</v>
      </c>
      <c r="G1311" s="238" t="s">
        <v>423</v>
      </c>
      <c r="H1311" s="239" t="s">
        <v>3126</v>
      </c>
      <c r="I1311" s="217"/>
      <c r="J1311" s="217"/>
      <c r="K1311" s="217"/>
      <c r="L1311" s="217"/>
      <c r="M1311" s="217"/>
      <c r="N1311" s="217"/>
      <c r="O1311" s="217"/>
      <c r="P1311" s="217"/>
    </row>
    <row r="1312" spans="1:16" s="219" customFormat="1" ht="45" hidden="1" x14ac:dyDescent="0.25">
      <c r="A1312" s="214"/>
      <c r="B1312" s="237">
        <v>1</v>
      </c>
      <c r="C1312" s="237">
        <v>3</v>
      </c>
      <c r="D1312" s="238" t="s">
        <v>2022</v>
      </c>
      <c r="E1312" s="238" t="s">
        <v>1836</v>
      </c>
      <c r="F1312" s="238" t="s">
        <v>2139</v>
      </c>
      <c r="G1312" s="238" t="s">
        <v>575</v>
      </c>
      <c r="H1312" s="239" t="s">
        <v>3127</v>
      </c>
      <c r="I1312" s="217"/>
      <c r="J1312" s="217"/>
      <c r="K1312" s="217"/>
      <c r="L1312" s="217"/>
      <c r="M1312" s="217"/>
      <c r="N1312" s="217"/>
      <c r="O1312" s="217"/>
      <c r="P1312" s="217"/>
    </row>
    <row r="1313" spans="1:16" s="219" customFormat="1" ht="45" hidden="1" x14ac:dyDescent="0.25">
      <c r="A1313" s="214"/>
      <c r="B1313" s="237">
        <v>1</v>
      </c>
      <c r="C1313" s="237">
        <v>3</v>
      </c>
      <c r="D1313" s="238" t="s">
        <v>2022</v>
      </c>
      <c r="E1313" s="238" t="s">
        <v>1836</v>
      </c>
      <c r="F1313" s="238" t="s">
        <v>2139</v>
      </c>
      <c r="G1313" s="238" t="s">
        <v>576</v>
      </c>
      <c r="H1313" s="239" t="s">
        <v>3128</v>
      </c>
      <c r="I1313" s="217"/>
      <c r="J1313" s="217"/>
      <c r="K1313" s="217"/>
      <c r="L1313" s="217"/>
      <c r="M1313" s="217"/>
      <c r="N1313" s="217"/>
      <c r="O1313" s="217"/>
      <c r="P1313" s="217"/>
    </row>
    <row r="1314" spans="1:16" s="219" customFormat="1" ht="45" hidden="1" x14ac:dyDescent="0.25">
      <c r="A1314" s="214"/>
      <c r="B1314" s="237">
        <v>1</v>
      </c>
      <c r="C1314" s="237">
        <v>3</v>
      </c>
      <c r="D1314" s="238" t="s">
        <v>2022</v>
      </c>
      <c r="E1314" s="238" t="s">
        <v>1836</v>
      </c>
      <c r="F1314" s="238" t="s">
        <v>2139</v>
      </c>
      <c r="G1314" s="238" t="s">
        <v>577</v>
      </c>
      <c r="H1314" s="239" t="s">
        <v>3129</v>
      </c>
      <c r="I1314" s="217"/>
      <c r="J1314" s="217"/>
      <c r="K1314" s="217"/>
      <c r="L1314" s="217"/>
      <c r="M1314" s="217"/>
      <c r="N1314" s="217"/>
      <c r="O1314" s="217"/>
      <c r="P1314" s="217"/>
    </row>
    <row r="1315" spans="1:16" s="219" customFormat="1" ht="45" hidden="1" x14ac:dyDescent="0.25">
      <c r="A1315" s="214"/>
      <c r="B1315" s="237">
        <v>1</v>
      </c>
      <c r="C1315" s="237">
        <v>3</v>
      </c>
      <c r="D1315" s="238" t="s">
        <v>2022</v>
      </c>
      <c r="E1315" s="238" t="s">
        <v>1836</v>
      </c>
      <c r="F1315" s="238" t="s">
        <v>2139</v>
      </c>
      <c r="G1315" s="238" t="s">
        <v>2205</v>
      </c>
      <c r="H1315" s="239" t="s">
        <v>3130</v>
      </c>
      <c r="I1315" s="217"/>
      <c r="J1315" s="217"/>
      <c r="K1315" s="217"/>
      <c r="L1315" s="217"/>
      <c r="M1315" s="217"/>
      <c r="N1315" s="217"/>
      <c r="O1315" s="217"/>
      <c r="P1315" s="217"/>
    </row>
    <row r="1316" spans="1:16" s="219" customFormat="1" ht="45" hidden="1" x14ac:dyDescent="0.25">
      <c r="A1316" s="214"/>
      <c r="B1316" s="237">
        <v>1</v>
      </c>
      <c r="C1316" s="237">
        <v>3</v>
      </c>
      <c r="D1316" s="238" t="s">
        <v>2022</v>
      </c>
      <c r="E1316" s="238" t="s">
        <v>1836</v>
      </c>
      <c r="F1316" s="238" t="s">
        <v>2139</v>
      </c>
      <c r="G1316" s="238" t="s">
        <v>3022</v>
      </c>
      <c r="H1316" s="239" t="s">
        <v>3131</v>
      </c>
      <c r="I1316" s="217"/>
      <c r="J1316" s="217"/>
      <c r="K1316" s="217"/>
      <c r="L1316" s="217"/>
      <c r="M1316" s="217"/>
      <c r="N1316" s="217"/>
      <c r="O1316" s="217"/>
      <c r="P1316" s="217"/>
    </row>
    <row r="1317" spans="1:16" s="219" customFormat="1" ht="45" hidden="1" x14ac:dyDescent="0.25">
      <c r="A1317" s="214"/>
      <c r="B1317" s="237">
        <v>1</v>
      </c>
      <c r="C1317" s="237">
        <v>3</v>
      </c>
      <c r="D1317" s="238" t="s">
        <v>2022</v>
      </c>
      <c r="E1317" s="238" t="s">
        <v>1836</v>
      </c>
      <c r="F1317" s="238" t="s">
        <v>2139</v>
      </c>
      <c r="G1317" s="238" t="s">
        <v>427</v>
      </c>
      <c r="H1317" s="239" t="s">
        <v>3132</v>
      </c>
      <c r="I1317" s="217"/>
      <c r="J1317" s="217"/>
      <c r="K1317" s="217"/>
      <c r="L1317" s="217"/>
      <c r="M1317" s="217"/>
      <c r="N1317" s="217"/>
      <c r="O1317" s="217"/>
      <c r="P1317" s="217"/>
    </row>
    <row r="1318" spans="1:16" s="219" customFormat="1" ht="45" hidden="1" x14ac:dyDescent="0.25">
      <c r="A1318" s="214"/>
      <c r="B1318" s="237">
        <v>1</v>
      </c>
      <c r="C1318" s="237">
        <v>3</v>
      </c>
      <c r="D1318" s="238" t="s">
        <v>2022</v>
      </c>
      <c r="E1318" s="238" t="s">
        <v>1836</v>
      </c>
      <c r="F1318" s="238" t="s">
        <v>2139</v>
      </c>
      <c r="G1318" s="238" t="s">
        <v>428</v>
      </c>
      <c r="H1318" s="239" t="s">
        <v>3133</v>
      </c>
      <c r="I1318" s="217"/>
      <c r="J1318" s="217"/>
      <c r="K1318" s="217"/>
      <c r="L1318" s="217"/>
      <c r="M1318" s="217"/>
      <c r="N1318" s="217"/>
      <c r="O1318" s="217"/>
      <c r="P1318" s="217"/>
    </row>
    <row r="1319" spans="1:16" s="219" customFormat="1" ht="45" hidden="1" x14ac:dyDescent="0.25">
      <c r="A1319" s="214"/>
      <c r="B1319" s="237">
        <v>1</v>
      </c>
      <c r="C1319" s="237">
        <v>3</v>
      </c>
      <c r="D1319" s="238" t="s">
        <v>2022</v>
      </c>
      <c r="E1319" s="238" t="s">
        <v>1836</v>
      </c>
      <c r="F1319" s="238" t="s">
        <v>2139</v>
      </c>
      <c r="G1319" s="238" t="s">
        <v>429</v>
      </c>
      <c r="H1319" s="239" t="s">
        <v>3134</v>
      </c>
      <c r="I1319" s="217"/>
      <c r="J1319" s="217"/>
      <c r="K1319" s="217"/>
      <c r="L1319" s="217"/>
      <c r="M1319" s="217"/>
      <c r="N1319" s="217"/>
      <c r="O1319" s="217"/>
      <c r="P1319" s="217"/>
    </row>
    <row r="1320" spans="1:16" s="219" customFormat="1" ht="45" hidden="1" x14ac:dyDescent="0.25">
      <c r="A1320" s="214"/>
      <c r="B1320" s="237">
        <v>1</v>
      </c>
      <c r="C1320" s="237">
        <v>3</v>
      </c>
      <c r="D1320" s="238" t="s">
        <v>2022</v>
      </c>
      <c r="E1320" s="238" t="s">
        <v>1836</v>
      </c>
      <c r="F1320" s="238" t="s">
        <v>2139</v>
      </c>
      <c r="G1320" s="238" t="s">
        <v>431</v>
      </c>
      <c r="H1320" s="239" t="s">
        <v>3135</v>
      </c>
      <c r="I1320" s="217"/>
      <c r="J1320" s="217"/>
      <c r="K1320" s="217"/>
      <c r="L1320" s="217"/>
      <c r="M1320" s="217"/>
      <c r="N1320" s="217"/>
      <c r="O1320" s="217"/>
      <c r="P1320" s="217"/>
    </row>
    <row r="1321" spans="1:16" s="219" customFormat="1" ht="45" hidden="1" x14ac:dyDescent="0.25">
      <c r="A1321" s="214"/>
      <c r="B1321" s="237">
        <v>1</v>
      </c>
      <c r="C1321" s="237">
        <v>3</v>
      </c>
      <c r="D1321" s="238" t="s">
        <v>2022</v>
      </c>
      <c r="E1321" s="238" t="s">
        <v>1836</v>
      </c>
      <c r="F1321" s="238" t="s">
        <v>2139</v>
      </c>
      <c r="G1321" s="238" t="s">
        <v>432</v>
      </c>
      <c r="H1321" s="239" t="s">
        <v>3136</v>
      </c>
      <c r="I1321" s="217"/>
      <c r="J1321" s="217"/>
      <c r="K1321" s="217"/>
      <c r="L1321" s="217"/>
      <c r="M1321" s="217"/>
      <c r="N1321" s="217"/>
      <c r="O1321" s="217"/>
      <c r="P1321" s="217"/>
    </row>
    <row r="1322" spans="1:16" s="219" customFormat="1" ht="60" hidden="1" x14ac:dyDescent="0.25">
      <c r="A1322" s="214"/>
      <c r="B1322" s="237">
        <v>1</v>
      </c>
      <c r="C1322" s="237">
        <v>3</v>
      </c>
      <c r="D1322" s="238" t="s">
        <v>2022</v>
      </c>
      <c r="E1322" s="238" t="s">
        <v>1836</v>
      </c>
      <c r="F1322" s="238" t="s">
        <v>2139</v>
      </c>
      <c r="G1322" s="238" t="s">
        <v>435</v>
      </c>
      <c r="H1322" s="239" t="s">
        <v>3137</v>
      </c>
      <c r="I1322" s="217"/>
      <c r="J1322" s="217"/>
      <c r="K1322" s="217"/>
      <c r="L1322" s="217"/>
      <c r="M1322" s="217"/>
      <c r="N1322" s="217"/>
      <c r="O1322" s="217"/>
      <c r="P1322" s="217"/>
    </row>
    <row r="1323" spans="1:16" s="219" customFormat="1" ht="60" hidden="1" x14ac:dyDescent="0.25">
      <c r="A1323" s="214"/>
      <c r="B1323" s="237">
        <v>1</v>
      </c>
      <c r="C1323" s="237">
        <v>3</v>
      </c>
      <c r="D1323" s="238" t="s">
        <v>2022</v>
      </c>
      <c r="E1323" s="238" t="s">
        <v>1836</v>
      </c>
      <c r="F1323" s="238" t="s">
        <v>2139</v>
      </c>
      <c r="G1323" s="238" t="s">
        <v>436</v>
      </c>
      <c r="H1323" s="239" t="s">
        <v>3138</v>
      </c>
      <c r="I1323" s="217"/>
      <c r="J1323" s="217"/>
      <c r="K1323" s="217"/>
      <c r="L1323" s="217"/>
      <c r="M1323" s="217"/>
      <c r="N1323" s="217"/>
      <c r="O1323" s="217"/>
      <c r="P1323" s="217"/>
    </row>
    <row r="1324" spans="1:16" s="219" customFormat="1" ht="60" hidden="1" x14ac:dyDescent="0.25">
      <c r="A1324" s="214"/>
      <c r="B1324" s="237">
        <v>1</v>
      </c>
      <c r="C1324" s="237">
        <v>3</v>
      </c>
      <c r="D1324" s="238" t="s">
        <v>2022</v>
      </c>
      <c r="E1324" s="238" t="s">
        <v>1836</v>
      </c>
      <c r="F1324" s="238" t="s">
        <v>2139</v>
      </c>
      <c r="G1324" s="238" t="s">
        <v>437</v>
      </c>
      <c r="H1324" s="239" t="s">
        <v>3139</v>
      </c>
      <c r="I1324" s="217"/>
      <c r="J1324" s="217"/>
      <c r="K1324" s="217"/>
      <c r="L1324" s="217"/>
      <c r="M1324" s="217"/>
      <c r="N1324" s="217"/>
      <c r="O1324" s="217"/>
      <c r="P1324" s="217"/>
    </row>
    <row r="1325" spans="1:16" s="219" customFormat="1" ht="60" hidden="1" x14ac:dyDescent="0.25">
      <c r="A1325" s="214"/>
      <c r="B1325" s="237">
        <v>1</v>
      </c>
      <c r="C1325" s="237">
        <v>3</v>
      </c>
      <c r="D1325" s="238" t="s">
        <v>2022</v>
      </c>
      <c r="E1325" s="238" t="s">
        <v>1836</v>
      </c>
      <c r="F1325" s="238" t="s">
        <v>2139</v>
      </c>
      <c r="G1325" s="238" t="s">
        <v>438</v>
      </c>
      <c r="H1325" s="239" t="s">
        <v>3140</v>
      </c>
      <c r="I1325" s="217"/>
      <c r="J1325" s="217"/>
      <c r="K1325" s="217"/>
      <c r="L1325" s="217"/>
      <c r="M1325" s="217"/>
      <c r="N1325" s="217"/>
      <c r="O1325" s="217"/>
      <c r="P1325" s="217"/>
    </row>
    <row r="1326" spans="1:16" s="219" customFormat="1" ht="60" hidden="1" x14ac:dyDescent="0.25">
      <c r="A1326" s="214"/>
      <c r="B1326" s="237">
        <v>1</v>
      </c>
      <c r="C1326" s="237">
        <v>3</v>
      </c>
      <c r="D1326" s="238" t="s">
        <v>2022</v>
      </c>
      <c r="E1326" s="238" t="s">
        <v>1836</v>
      </c>
      <c r="F1326" s="238" t="s">
        <v>2139</v>
      </c>
      <c r="G1326" s="238" t="s">
        <v>440</v>
      </c>
      <c r="H1326" s="239" t="s">
        <v>3141</v>
      </c>
      <c r="I1326" s="217"/>
      <c r="J1326" s="217"/>
      <c r="K1326" s="217"/>
      <c r="L1326" s="217"/>
      <c r="M1326" s="217"/>
      <c r="N1326" s="217"/>
      <c r="O1326" s="217"/>
      <c r="P1326" s="217"/>
    </row>
    <row r="1327" spans="1:16" s="219" customFormat="1" ht="60" hidden="1" x14ac:dyDescent="0.25">
      <c r="A1327" s="214"/>
      <c r="B1327" s="237">
        <v>1</v>
      </c>
      <c r="C1327" s="237">
        <v>3</v>
      </c>
      <c r="D1327" s="238" t="s">
        <v>2022</v>
      </c>
      <c r="E1327" s="238" t="s">
        <v>1836</v>
      </c>
      <c r="F1327" s="238" t="s">
        <v>2139</v>
      </c>
      <c r="G1327" s="238" t="s">
        <v>441</v>
      </c>
      <c r="H1327" s="239" t="s">
        <v>3142</v>
      </c>
      <c r="I1327" s="217"/>
      <c r="J1327" s="217"/>
      <c r="K1327" s="217"/>
      <c r="L1327" s="217"/>
      <c r="M1327" s="217"/>
      <c r="N1327" s="217"/>
      <c r="O1327" s="217"/>
      <c r="P1327" s="217"/>
    </row>
    <row r="1328" spans="1:16" s="219" customFormat="1" ht="45" hidden="1" x14ac:dyDescent="0.25">
      <c r="A1328" s="214"/>
      <c r="B1328" s="237">
        <v>1</v>
      </c>
      <c r="C1328" s="237">
        <v>3</v>
      </c>
      <c r="D1328" s="238" t="s">
        <v>2022</v>
      </c>
      <c r="E1328" s="238" t="s">
        <v>1836</v>
      </c>
      <c r="F1328" s="238" t="s">
        <v>2139</v>
      </c>
      <c r="G1328" s="238" t="s">
        <v>442</v>
      </c>
      <c r="H1328" s="239" t="s">
        <v>3143</v>
      </c>
      <c r="I1328" s="217"/>
      <c r="J1328" s="217"/>
      <c r="K1328" s="217"/>
      <c r="L1328" s="217"/>
      <c r="M1328" s="217"/>
      <c r="N1328" s="217"/>
      <c r="O1328" s="217"/>
      <c r="P1328" s="217"/>
    </row>
    <row r="1329" spans="1:16" s="219" customFormat="1" ht="45" hidden="1" x14ac:dyDescent="0.25">
      <c r="A1329" s="214"/>
      <c r="B1329" s="237">
        <v>1</v>
      </c>
      <c r="C1329" s="237">
        <v>3</v>
      </c>
      <c r="D1329" s="238" t="s">
        <v>2022</v>
      </c>
      <c r="E1329" s="238" t="s">
        <v>1836</v>
      </c>
      <c r="F1329" s="238" t="s">
        <v>2139</v>
      </c>
      <c r="G1329" s="238" t="s">
        <v>443</v>
      </c>
      <c r="H1329" s="239" t="s">
        <v>3144</v>
      </c>
      <c r="I1329" s="217"/>
      <c r="J1329" s="217"/>
      <c r="K1329" s="217"/>
      <c r="L1329" s="217"/>
      <c r="M1329" s="217"/>
      <c r="N1329" s="217"/>
      <c r="O1329" s="217"/>
      <c r="P1329" s="217"/>
    </row>
    <row r="1330" spans="1:16" s="219" customFormat="1" ht="60" hidden="1" x14ac:dyDescent="0.25">
      <c r="A1330" s="214"/>
      <c r="B1330" s="237">
        <v>1</v>
      </c>
      <c r="C1330" s="237">
        <v>3</v>
      </c>
      <c r="D1330" s="238" t="s">
        <v>2022</v>
      </c>
      <c r="E1330" s="238" t="s">
        <v>1836</v>
      </c>
      <c r="F1330" s="238" t="s">
        <v>2139</v>
      </c>
      <c r="G1330" s="238" t="s">
        <v>3145</v>
      </c>
      <c r="H1330" s="239" t="s">
        <v>3146</v>
      </c>
      <c r="I1330" s="217"/>
      <c r="J1330" s="217"/>
      <c r="K1330" s="217"/>
      <c r="L1330" s="217"/>
      <c r="M1330" s="217"/>
      <c r="N1330" s="217"/>
      <c r="O1330" s="217"/>
      <c r="P1330" s="217"/>
    </row>
    <row r="1331" spans="1:16" s="219" customFormat="1" ht="60" hidden="1" x14ac:dyDescent="0.25">
      <c r="A1331" s="214"/>
      <c r="B1331" s="237">
        <v>1</v>
      </c>
      <c r="C1331" s="237">
        <v>3</v>
      </c>
      <c r="D1331" s="238" t="s">
        <v>2022</v>
      </c>
      <c r="E1331" s="238" t="s">
        <v>1836</v>
      </c>
      <c r="F1331" s="238" t="s">
        <v>2139</v>
      </c>
      <c r="G1331" s="238" t="s">
        <v>3147</v>
      </c>
      <c r="H1331" s="239" t="s">
        <v>3148</v>
      </c>
      <c r="I1331" s="217"/>
      <c r="J1331" s="217"/>
      <c r="K1331" s="217"/>
      <c r="L1331" s="217"/>
      <c r="M1331" s="217"/>
      <c r="N1331" s="217"/>
      <c r="O1331" s="217"/>
      <c r="P1331" s="217"/>
    </row>
    <row r="1332" spans="1:16" s="219" customFormat="1" ht="60" hidden="1" x14ac:dyDescent="0.25">
      <c r="A1332" s="214"/>
      <c r="B1332" s="237">
        <v>1</v>
      </c>
      <c r="C1332" s="237">
        <v>3</v>
      </c>
      <c r="D1332" s="238" t="s">
        <v>2022</v>
      </c>
      <c r="E1332" s="238" t="s">
        <v>1836</v>
      </c>
      <c r="F1332" s="238" t="s">
        <v>2139</v>
      </c>
      <c r="G1332" s="238" t="s">
        <v>3149</v>
      </c>
      <c r="H1332" s="239" t="s">
        <v>3150</v>
      </c>
      <c r="I1332" s="217"/>
      <c r="J1332" s="217"/>
      <c r="K1332" s="217"/>
      <c r="L1332" s="217"/>
      <c r="M1332" s="217"/>
      <c r="N1332" s="217"/>
      <c r="O1332" s="217"/>
      <c r="P1332" s="217"/>
    </row>
    <row r="1333" spans="1:16" s="219" customFormat="1" ht="45" hidden="1" x14ac:dyDescent="0.25">
      <c r="A1333" s="214"/>
      <c r="B1333" s="237">
        <v>1</v>
      </c>
      <c r="C1333" s="237">
        <v>3</v>
      </c>
      <c r="D1333" s="238" t="s">
        <v>2022</v>
      </c>
      <c r="E1333" s="238" t="s">
        <v>1836</v>
      </c>
      <c r="F1333" s="238" t="s">
        <v>2139</v>
      </c>
      <c r="G1333" s="238" t="s">
        <v>3151</v>
      </c>
      <c r="H1333" s="239" t="s">
        <v>3152</v>
      </c>
      <c r="I1333" s="217"/>
      <c r="J1333" s="217"/>
      <c r="K1333" s="217"/>
      <c r="L1333" s="217"/>
      <c r="M1333" s="217"/>
      <c r="N1333" s="217"/>
      <c r="O1333" s="217"/>
      <c r="P1333" s="217"/>
    </row>
    <row r="1334" spans="1:16" s="219" customFormat="1" ht="60" hidden="1" x14ac:dyDescent="0.25">
      <c r="A1334" s="214"/>
      <c r="B1334" s="237">
        <v>1</v>
      </c>
      <c r="C1334" s="237">
        <v>3</v>
      </c>
      <c r="D1334" s="238" t="s">
        <v>2022</v>
      </c>
      <c r="E1334" s="238" t="s">
        <v>1836</v>
      </c>
      <c r="F1334" s="238" t="s">
        <v>2139</v>
      </c>
      <c r="G1334" s="238" t="s">
        <v>3153</v>
      </c>
      <c r="H1334" s="239" t="s">
        <v>3154</v>
      </c>
      <c r="I1334" s="217"/>
      <c r="J1334" s="217"/>
      <c r="K1334" s="217"/>
      <c r="L1334" s="217"/>
      <c r="M1334" s="217"/>
      <c r="N1334" s="217"/>
      <c r="O1334" s="217"/>
      <c r="P1334" s="217"/>
    </row>
    <row r="1335" spans="1:16" s="219" customFormat="1" ht="45" hidden="1" x14ac:dyDescent="0.25">
      <c r="A1335" s="214"/>
      <c r="B1335" s="237">
        <v>1</v>
      </c>
      <c r="C1335" s="237">
        <v>3</v>
      </c>
      <c r="D1335" s="238" t="s">
        <v>2022</v>
      </c>
      <c r="E1335" s="238" t="s">
        <v>1836</v>
      </c>
      <c r="F1335" s="238" t="s">
        <v>2139</v>
      </c>
      <c r="G1335" s="238" t="s">
        <v>3155</v>
      </c>
      <c r="H1335" s="239" t="s">
        <v>3156</v>
      </c>
      <c r="I1335" s="217"/>
      <c r="J1335" s="217"/>
      <c r="K1335" s="217"/>
      <c r="L1335" s="217"/>
      <c r="M1335" s="217"/>
      <c r="N1335" s="217"/>
      <c r="O1335" s="217"/>
      <c r="P1335" s="217"/>
    </row>
    <row r="1336" spans="1:16" s="219" customFormat="1" ht="45" hidden="1" x14ac:dyDescent="0.25">
      <c r="A1336" s="214"/>
      <c r="B1336" s="237">
        <v>1</v>
      </c>
      <c r="C1336" s="237">
        <v>3</v>
      </c>
      <c r="D1336" s="238" t="s">
        <v>2022</v>
      </c>
      <c r="E1336" s="238" t="s">
        <v>1836</v>
      </c>
      <c r="F1336" s="238" t="s">
        <v>2139</v>
      </c>
      <c r="G1336" s="238" t="s">
        <v>899</v>
      </c>
      <c r="H1336" s="239" t="s">
        <v>3157</v>
      </c>
      <c r="I1336" s="217"/>
      <c r="J1336" s="217"/>
      <c r="K1336" s="217"/>
      <c r="L1336" s="217"/>
      <c r="M1336" s="217"/>
      <c r="N1336" s="217"/>
      <c r="O1336" s="217"/>
      <c r="P1336" s="217"/>
    </row>
    <row r="1337" spans="1:16" s="219" customFormat="1" ht="45" hidden="1" x14ac:dyDescent="0.25">
      <c r="A1337" s="214"/>
      <c r="B1337" s="237">
        <v>1</v>
      </c>
      <c r="C1337" s="237">
        <v>3</v>
      </c>
      <c r="D1337" s="238" t="s">
        <v>2022</v>
      </c>
      <c r="E1337" s="238" t="s">
        <v>1836</v>
      </c>
      <c r="F1337" s="238" t="s">
        <v>2139</v>
      </c>
      <c r="G1337" s="238" t="s">
        <v>900</v>
      </c>
      <c r="H1337" s="239" t="s">
        <v>3158</v>
      </c>
      <c r="I1337" s="217"/>
      <c r="J1337" s="217"/>
      <c r="K1337" s="217"/>
      <c r="L1337" s="217"/>
      <c r="M1337" s="217"/>
      <c r="N1337" s="217"/>
      <c r="O1337" s="217"/>
      <c r="P1337" s="217"/>
    </row>
    <row r="1338" spans="1:16" s="219" customFormat="1" ht="60" hidden="1" x14ac:dyDescent="0.25">
      <c r="A1338" s="214"/>
      <c r="B1338" s="237">
        <v>1</v>
      </c>
      <c r="C1338" s="237">
        <v>3</v>
      </c>
      <c r="D1338" s="238" t="s">
        <v>2022</v>
      </c>
      <c r="E1338" s="238" t="s">
        <v>1836</v>
      </c>
      <c r="F1338" s="238" t="s">
        <v>2139</v>
      </c>
      <c r="G1338" s="238" t="s">
        <v>835</v>
      </c>
      <c r="H1338" s="239" t="s">
        <v>3159</v>
      </c>
      <c r="I1338" s="217"/>
      <c r="J1338" s="217"/>
      <c r="K1338" s="217"/>
      <c r="L1338" s="217"/>
      <c r="M1338" s="217"/>
      <c r="N1338" s="217"/>
      <c r="O1338" s="217"/>
      <c r="P1338" s="217"/>
    </row>
    <row r="1339" spans="1:16" s="219" customFormat="1" ht="60" hidden="1" x14ac:dyDescent="0.25">
      <c r="A1339" s="214"/>
      <c r="B1339" s="237">
        <v>1</v>
      </c>
      <c r="C1339" s="237">
        <v>3</v>
      </c>
      <c r="D1339" s="238" t="s">
        <v>2022</v>
      </c>
      <c r="E1339" s="238" t="s">
        <v>1836</v>
      </c>
      <c r="F1339" s="238" t="s">
        <v>2139</v>
      </c>
      <c r="G1339" s="238" t="s">
        <v>901</v>
      </c>
      <c r="H1339" s="239" t="s">
        <v>3160</v>
      </c>
      <c r="I1339" s="217"/>
      <c r="J1339" s="217"/>
      <c r="K1339" s="217"/>
      <c r="L1339" s="217"/>
      <c r="M1339" s="217"/>
      <c r="N1339" s="217"/>
      <c r="O1339" s="217"/>
      <c r="P1339" s="217"/>
    </row>
    <row r="1340" spans="1:16" s="219" customFormat="1" ht="60" hidden="1" x14ac:dyDescent="0.25">
      <c r="A1340" s="214"/>
      <c r="B1340" s="237">
        <v>1</v>
      </c>
      <c r="C1340" s="237">
        <v>3</v>
      </c>
      <c r="D1340" s="238" t="s">
        <v>2022</v>
      </c>
      <c r="E1340" s="238" t="s">
        <v>1836</v>
      </c>
      <c r="F1340" s="238" t="s">
        <v>2139</v>
      </c>
      <c r="G1340" s="238" t="s">
        <v>446</v>
      </c>
      <c r="H1340" s="239" t="s">
        <v>3161</v>
      </c>
      <c r="I1340" s="217"/>
      <c r="J1340" s="217"/>
      <c r="K1340" s="217"/>
      <c r="L1340" s="217"/>
      <c r="M1340" s="217"/>
      <c r="N1340" s="217"/>
      <c r="O1340" s="217"/>
      <c r="P1340" s="217"/>
    </row>
    <row r="1341" spans="1:16" s="219" customFormat="1" ht="45" hidden="1" x14ac:dyDescent="0.25">
      <c r="A1341" s="214"/>
      <c r="B1341" s="237">
        <v>1</v>
      </c>
      <c r="C1341" s="237">
        <v>3</v>
      </c>
      <c r="D1341" s="238" t="s">
        <v>2022</v>
      </c>
      <c r="E1341" s="238" t="s">
        <v>1836</v>
      </c>
      <c r="F1341" s="238" t="s">
        <v>2139</v>
      </c>
      <c r="G1341" s="238" t="s">
        <v>448</v>
      </c>
      <c r="H1341" s="239" t="s">
        <v>3162</v>
      </c>
      <c r="I1341" s="217"/>
      <c r="J1341" s="217"/>
      <c r="K1341" s="217"/>
      <c r="L1341" s="217"/>
      <c r="M1341" s="217"/>
      <c r="N1341" s="217"/>
      <c r="O1341" s="217"/>
      <c r="P1341" s="217"/>
    </row>
    <row r="1342" spans="1:16" s="219" customFormat="1" ht="60" hidden="1" x14ac:dyDescent="0.25">
      <c r="A1342" s="214"/>
      <c r="B1342" s="237">
        <v>1</v>
      </c>
      <c r="C1342" s="237">
        <v>3</v>
      </c>
      <c r="D1342" s="238" t="s">
        <v>2022</v>
      </c>
      <c r="E1342" s="238" t="s">
        <v>1836</v>
      </c>
      <c r="F1342" s="238" t="s">
        <v>2139</v>
      </c>
      <c r="G1342" s="238" t="s">
        <v>452</v>
      </c>
      <c r="H1342" s="239" t="s">
        <v>3163</v>
      </c>
      <c r="I1342" s="217"/>
      <c r="J1342" s="217"/>
      <c r="K1342" s="217"/>
      <c r="L1342" s="217"/>
      <c r="M1342" s="217"/>
      <c r="N1342" s="217"/>
      <c r="O1342" s="217"/>
      <c r="P1342" s="217"/>
    </row>
    <row r="1343" spans="1:16" s="219" customFormat="1" ht="60" hidden="1" x14ac:dyDescent="0.25">
      <c r="A1343" s="214"/>
      <c r="B1343" s="237">
        <v>1</v>
      </c>
      <c r="C1343" s="237">
        <v>3</v>
      </c>
      <c r="D1343" s="238" t="s">
        <v>2022</v>
      </c>
      <c r="E1343" s="238" t="s">
        <v>1836</v>
      </c>
      <c r="F1343" s="238" t="s">
        <v>2139</v>
      </c>
      <c r="G1343" s="238" t="s">
        <v>904</v>
      </c>
      <c r="H1343" s="239" t="s">
        <v>3164</v>
      </c>
      <c r="I1343" s="217"/>
      <c r="J1343" s="217"/>
      <c r="K1343" s="217"/>
      <c r="L1343" s="217"/>
      <c r="M1343" s="217"/>
      <c r="N1343" s="217"/>
      <c r="O1343" s="217"/>
      <c r="P1343" s="217"/>
    </row>
    <row r="1344" spans="1:16" s="219" customFormat="1" ht="45" hidden="1" x14ac:dyDescent="0.25">
      <c r="A1344" s="214"/>
      <c r="B1344" s="237">
        <v>1</v>
      </c>
      <c r="C1344" s="237">
        <v>3</v>
      </c>
      <c r="D1344" s="238" t="s">
        <v>2022</v>
      </c>
      <c r="E1344" s="238" t="s">
        <v>1836</v>
      </c>
      <c r="F1344" s="238" t="s">
        <v>2139</v>
      </c>
      <c r="G1344" s="238" t="s">
        <v>905</v>
      </c>
      <c r="H1344" s="239" t="s">
        <v>3165</v>
      </c>
      <c r="I1344" s="217"/>
      <c r="J1344" s="217"/>
      <c r="K1344" s="217"/>
      <c r="L1344" s="217"/>
      <c r="M1344" s="217"/>
      <c r="N1344" s="217"/>
      <c r="O1344" s="217"/>
      <c r="P1344" s="217"/>
    </row>
    <row r="1345" spans="1:16" s="219" customFormat="1" ht="45" hidden="1" x14ac:dyDescent="0.25">
      <c r="A1345" s="214"/>
      <c r="B1345" s="237">
        <v>1</v>
      </c>
      <c r="C1345" s="237">
        <v>3</v>
      </c>
      <c r="D1345" s="238" t="s">
        <v>2022</v>
      </c>
      <c r="E1345" s="238" t="s">
        <v>1836</v>
      </c>
      <c r="F1345" s="238" t="s">
        <v>2139</v>
      </c>
      <c r="G1345" s="238" t="s">
        <v>906</v>
      </c>
      <c r="H1345" s="239" t="s">
        <v>3166</v>
      </c>
      <c r="I1345" s="217"/>
      <c r="J1345" s="217"/>
      <c r="K1345" s="217"/>
      <c r="L1345" s="217"/>
      <c r="M1345" s="217"/>
      <c r="N1345" s="217"/>
      <c r="O1345" s="217"/>
      <c r="P1345" s="217"/>
    </row>
    <row r="1346" spans="1:16" s="219" customFormat="1" ht="60" hidden="1" x14ac:dyDescent="0.25">
      <c r="A1346" s="214"/>
      <c r="B1346" s="237">
        <v>1</v>
      </c>
      <c r="C1346" s="237">
        <v>3</v>
      </c>
      <c r="D1346" s="238" t="s">
        <v>2022</v>
      </c>
      <c r="E1346" s="238" t="s">
        <v>1836</v>
      </c>
      <c r="F1346" s="238" t="s">
        <v>2139</v>
      </c>
      <c r="G1346" s="238" t="s">
        <v>908</v>
      </c>
      <c r="H1346" s="239" t="s">
        <v>3167</v>
      </c>
      <c r="I1346" s="217"/>
      <c r="J1346" s="217"/>
      <c r="K1346" s="217"/>
      <c r="L1346" s="217"/>
      <c r="M1346" s="217"/>
      <c r="N1346" s="217"/>
      <c r="O1346" s="217"/>
      <c r="P1346" s="217"/>
    </row>
    <row r="1347" spans="1:16" s="219" customFormat="1" ht="60" hidden="1" x14ac:dyDescent="0.25">
      <c r="A1347" s="214"/>
      <c r="B1347" s="237">
        <v>1</v>
      </c>
      <c r="C1347" s="237">
        <v>3</v>
      </c>
      <c r="D1347" s="238" t="s">
        <v>2022</v>
      </c>
      <c r="E1347" s="238" t="s">
        <v>1836</v>
      </c>
      <c r="F1347" s="238" t="s">
        <v>2139</v>
      </c>
      <c r="G1347" s="238" t="s">
        <v>3168</v>
      </c>
      <c r="H1347" s="239" t="s">
        <v>3169</v>
      </c>
      <c r="I1347" s="217"/>
      <c r="J1347" s="217"/>
      <c r="K1347" s="217"/>
      <c r="L1347" s="217"/>
      <c r="M1347" s="217"/>
      <c r="N1347" s="217"/>
      <c r="O1347" s="217"/>
      <c r="P1347" s="217"/>
    </row>
    <row r="1348" spans="1:16" s="219" customFormat="1" ht="45" hidden="1" x14ac:dyDescent="0.25">
      <c r="A1348" s="214"/>
      <c r="B1348" s="237">
        <v>1</v>
      </c>
      <c r="C1348" s="237">
        <v>3</v>
      </c>
      <c r="D1348" s="238" t="s">
        <v>2022</v>
      </c>
      <c r="E1348" s="238" t="s">
        <v>1836</v>
      </c>
      <c r="F1348" s="238" t="s">
        <v>2139</v>
      </c>
      <c r="G1348" s="238" t="s">
        <v>3170</v>
      </c>
      <c r="H1348" s="239" t="s">
        <v>3171</v>
      </c>
      <c r="I1348" s="217"/>
      <c r="J1348" s="217"/>
      <c r="K1348" s="217"/>
      <c r="L1348" s="217"/>
      <c r="M1348" s="217"/>
      <c r="N1348" s="217"/>
      <c r="O1348" s="217"/>
      <c r="P1348" s="217"/>
    </row>
    <row r="1349" spans="1:16" s="219" customFormat="1" ht="45" hidden="1" x14ac:dyDescent="0.25">
      <c r="A1349" s="214"/>
      <c r="B1349" s="237">
        <v>1</v>
      </c>
      <c r="C1349" s="237">
        <v>3</v>
      </c>
      <c r="D1349" s="238" t="s">
        <v>2022</v>
      </c>
      <c r="E1349" s="238" t="s">
        <v>1836</v>
      </c>
      <c r="F1349" s="238" t="s">
        <v>2139</v>
      </c>
      <c r="G1349" s="238" t="s">
        <v>3172</v>
      </c>
      <c r="H1349" s="239" t="s">
        <v>3173</v>
      </c>
      <c r="I1349" s="217"/>
      <c r="J1349" s="217"/>
      <c r="K1349" s="217"/>
      <c r="L1349" s="217"/>
      <c r="M1349" s="217"/>
      <c r="N1349" s="217"/>
      <c r="O1349" s="217"/>
      <c r="P1349" s="217"/>
    </row>
    <row r="1350" spans="1:16" s="219" customFormat="1" ht="45" hidden="1" x14ac:dyDescent="0.25">
      <c r="A1350" s="214"/>
      <c r="B1350" s="237">
        <v>1</v>
      </c>
      <c r="C1350" s="237">
        <v>3</v>
      </c>
      <c r="D1350" s="238" t="s">
        <v>2022</v>
      </c>
      <c r="E1350" s="238" t="s">
        <v>1836</v>
      </c>
      <c r="F1350" s="238" t="s">
        <v>2139</v>
      </c>
      <c r="G1350" s="238" t="s">
        <v>3174</v>
      </c>
      <c r="H1350" s="239" t="s">
        <v>3175</v>
      </c>
      <c r="I1350" s="217"/>
      <c r="J1350" s="217"/>
      <c r="K1350" s="217"/>
      <c r="L1350" s="217"/>
      <c r="M1350" s="217"/>
      <c r="N1350" s="217"/>
      <c r="O1350" s="217"/>
      <c r="P1350" s="217"/>
    </row>
    <row r="1351" spans="1:16" s="219" customFormat="1" ht="45" hidden="1" x14ac:dyDescent="0.25">
      <c r="A1351" s="214"/>
      <c r="B1351" s="237">
        <v>1</v>
      </c>
      <c r="C1351" s="237">
        <v>3</v>
      </c>
      <c r="D1351" s="238" t="s">
        <v>2022</v>
      </c>
      <c r="E1351" s="238" t="s">
        <v>1836</v>
      </c>
      <c r="F1351" s="238" t="s">
        <v>2139</v>
      </c>
      <c r="G1351" s="238" t="s">
        <v>3176</v>
      </c>
      <c r="H1351" s="239" t="s">
        <v>3177</v>
      </c>
      <c r="I1351" s="217"/>
      <c r="J1351" s="217"/>
      <c r="K1351" s="217"/>
      <c r="L1351" s="217"/>
      <c r="M1351" s="217"/>
      <c r="N1351" s="217"/>
      <c r="O1351" s="217"/>
      <c r="P1351" s="217"/>
    </row>
    <row r="1352" spans="1:16" s="219" customFormat="1" ht="45" hidden="1" x14ac:dyDescent="0.25">
      <c r="A1352" s="214"/>
      <c r="B1352" s="237">
        <v>1</v>
      </c>
      <c r="C1352" s="237">
        <v>3</v>
      </c>
      <c r="D1352" s="238" t="s">
        <v>2022</v>
      </c>
      <c r="E1352" s="238" t="s">
        <v>1836</v>
      </c>
      <c r="F1352" s="238" t="s">
        <v>2139</v>
      </c>
      <c r="G1352" s="238" t="s">
        <v>3178</v>
      </c>
      <c r="H1352" s="239" t="s">
        <v>3179</v>
      </c>
      <c r="I1352" s="217"/>
      <c r="J1352" s="217"/>
      <c r="K1352" s="217"/>
      <c r="L1352" s="217"/>
      <c r="M1352" s="217"/>
      <c r="N1352" s="217"/>
      <c r="O1352" s="217"/>
      <c r="P1352" s="217"/>
    </row>
    <row r="1353" spans="1:16" s="219" customFormat="1" ht="60" hidden="1" x14ac:dyDescent="0.25">
      <c r="A1353" s="214"/>
      <c r="B1353" s="237">
        <v>1</v>
      </c>
      <c r="C1353" s="237">
        <v>3</v>
      </c>
      <c r="D1353" s="238" t="s">
        <v>2022</v>
      </c>
      <c r="E1353" s="238" t="s">
        <v>1836</v>
      </c>
      <c r="F1353" s="238" t="s">
        <v>2139</v>
      </c>
      <c r="G1353" s="238" t="s">
        <v>3180</v>
      </c>
      <c r="H1353" s="239" t="s">
        <v>3181</v>
      </c>
      <c r="I1353" s="217"/>
      <c r="J1353" s="217"/>
      <c r="K1353" s="217"/>
      <c r="L1353" s="217"/>
      <c r="M1353" s="217"/>
      <c r="N1353" s="217"/>
      <c r="O1353" s="217"/>
      <c r="P1353" s="217"/>
    </row>
    <row r="1354" spans="1:16" s="219" customFormat="1" ht="75" hidden="1" x14ac:dyDescent="0.25">
      <c r="A1354" s="214"/>
      <c r="B1354" s="237">
        <v>1</v>
      </c>
      <c r="C1354" s="237">
        <v>3</v>
      </c>
      <c r="D1354" s="238" t="s">
        <v>2022</v>
      </c>
      <c r="E1354" s="238" t="s">
        <v>1836</v>
      </c>
      <c r="F1354" s="238" t="s">
        <v>2139</v>
      </c>
      <c r="G1354" s="238" t="s">
        <v>3182</v>
      </c>
      <c r="H1354" s="239" t="s">
        <v>3183</v>
      </c>
      <c r="I1354" s="217"/>
      <c r="J1354" s="217"/>
      <c r="K1354" s="217"/>
      <c r="L1354" s="217"/>
      <c r="M1354" s="217"/>
      <c r="N1354" s="217"/>
      <c r="O1354" s="217"/>
      <c r="P1354" s="217"/>
    </row>
    <row r="1355" spans="1:16" s="219" customFormat="1" ht="75" hidden="1" x14ac:dyDescent="0.25">
      <c r="A1355" s="214"/>
      <c r="B1355" s="237">
        <v>1</v>
      </c>
      <c r="C1355" s="237">
        <v>3</v>
      </c>
      <c r="D1355" s="238" t="s">
        <v>2022</v>
      </c>
      <c r="E1355" s="238" t="s">
        <v>1836</v>
      </c>
      <c r="F1355" s="238" t="s">
        <v>2139</v>
      </c>
      <c r="G1355" s="238" t="s">
        <v>758</v>
      </c>
      <c r="H1355" s="239" t="s">
        <v>3184</v>
      </c>
      <c r="I1355" s="217"/>
      <c r="J1355" s="217"/>
      <c r="K1355" s="217"/>
      <c r="L1355" s="217"/>
      <c r="M1355" s="217"/>
      <c r="N1355" s="217"/>
      <c r="O1355" s="217"/>
      <c r="P1355" s="217"/>
    </row>
    <row r="1356" spans="1:16" s="219" customFormat="1" ht="75" hidden="1" x14ac:dyDescent="0.25">
      <c r="A1356" s="214"/>
      <c r="B1356" s="237">
        <v>1</v>
      </c>
      <c r="C1356" s="237">
        <v>3</v>
      </c>
      <c r="D1356" s="238" t="s">
        <v>2022</v>
      </c>
      <c r="E1356" s="238" t="s">
        <v>1836</v>
      </c>
      <c r="F1356" s="238" t="s">
        <v>2139</v>
      </c>
      <c r="G1356" s="238" t="s">
        <v>760</v>
      </c>
      <c r="H1356" s="239" t="s">
        <v>3185</v>
      </c>
      <c r="I1356" s="217"/>
      <c r="J1356" s="217"/>
      <c r="K1356" s="217"/>
      <c r="L1356" s="217"/>
      <c r="M1356" s="217"/>
      <c r="N1356" s="217"/>
      <c r="O1356" s="217"/>
      <c r="P1356" s="217"/>
    </row>
    <row r="1357" spans="1:16" s="219" customFormat="1" ht="90" hidden="1" x14ac:dyDescent="0.25">
      <c r="A1357" s="214"/>
      <c r="B1357" s="237">
        <v>1</v>
      </c>
      <c r="C1357" s="237">
        <v>3</v>
      </c>
      <c r="D1357" s="238" t="s">
        <v>2022</v>
      </c>
      <c r="E1357" s="238" t="s">
        <v>1836</v>
      </c>
      <c r="F1357" s="238" t="s">
        <v>2139</v>
      </c>
      <c r="G1357" s="238" t="s">
        <v>761</v>
      </c>
      <c r="H1357" s="239" t="s">
        <v>3186</v>
      </c>
      <c r="I1357" s="217"/>
      <c r="J1357" s="217"/>
      <c r="K1357" s="217"/>
      <c r="L1357" s="217"/>
      <c r="M1357" s="217"/>
      <c r="N1357" s="217"/>
      <c r="O1357" s="217"/>
      <c r="P1357" s="217"/>
    </row>
    <row r="1358" spans="1:16" s="219" customFormat="1" ht="45" hidden="1" x14ac:dyDescent="0.25">
      <c r="A1358" s="214"/>
      <c r="B1358" s="237">
        <v>1</v>
      </c>
      <c r="C1358" s="237">
        <v>3</v>
      </c>
      <c r="D1358" s="238" t="s">
        <v>2022</v>
      </c>
      <c r="E1358" s="238" t="s">
        <v>1836</v>
      </c>
      <c r="F1358" s="238" t="s">
        <v>2139</v>
      </c>
      <c r="G1358" s="238" t="s">
        <v>3187</v>
      </c>
      <c r="H1358" s="239" t="s">
        <v>3188</v>
      </c>
      <c r="I1358" s="217"/>
      <c r="J1358" s="217"/>
      <c r="K1358" s="217"/>
      <c r="L1358" s="217"/>
      <c r="M1358" s="217"/>
      <c r="N1358" s="217"/>
      <c r="O1358" s="217"/>
      <c r="P1358" s="217"/>
    </row>
    <row r="1359" spans="1:16" s="219" customFormat="1" ht="45" hidden="1" x14ac:dyDescent="0.25">
      <c r="A1359" s="214"/>
      <c r="B1359" s="237">
        <v>1</v>
      </c>
      <c r="C1359" s="237">
        <v>3</v>
      </c>
      <c r="D1359" s="238" t="s">
        <v>2022</v>
      </c>
      <c r="E1359" s="238" t="s">
        <v>1836</v>
      </c>
      <c r="F1359" s="238" t="s">
        <v>2139</v>
      </c>
      <c r="G1359" s="238" t="s">
        <v>3189</v>
      </c>
      <c r="H1359" s="239" t="s">
        <v>3190</v>
      </c>
      <c r="I1359" s="217"/>
      <c r="J1359" s="217"/>
      <c r="K1359" s="217"/>
      <c r="L1359" s="217"/>
      <c r="M1359" s="217"/>
      <c r="N1359" s="217"/>
      <c r="O1359" s="217"/>
      <c r="P1359" s="217"/>
    </row>
    <row r="1360" spans="1:16" s="219" customFormat="1" ht="45" hidden="1" x14ac:dyDescent="0.25">
      <c r="A1360" s="214"/>
      <c r="B1360" s="237">
        <v>1</v>
      </c>
      <c r="C1360" s="237">
        <v>3</v>
      </c>
      <c r="D1360" s="238" t="s">
        <v>2022</v>
      </c>
      <c r="E1360" s="238" t="s">
        <v>1836</v>
      </c>
      <c r="F1360" s="238" t="s">
        <v>2139</v>
      </c>
      <c r="G1360" s="238" t="s">
        <v>763</v>
      </c>
      <c r="H1360" s="239" t="s">
        <v>3191</v>
      </c>
      <c r="I1360" s="217"/>
      <c r="J1360" s="217"/>
      <c r="K1360" s="217"/>
      <c r="L1360" s="217"/>
      <c r="M1360" s="217"/>
      <c r="N1360" s="217"/>
      <c r="O1360" s="217"/>
      <c r="P1360" s="217"/>
    </row>
    <row r="1361" spans="1:16" s="219" customFormat="1" ht="45" hidden="1" x14ac:dyDescent="0.25">
      <c r="A1361" s="214"/>
      <c r="B1361" s="237">
        <v>1</v>
      </c>
      <c r="C1361" s="237">
        <v>3</v>
      </c>
      <c r="D1361" s="238" t="s">
        <v>2022</v>
      </c>
      <c r="E1361" s="238" t="s">
        <v>1836</v>
      </c>
      <c r="F1361" s="238" t="s">
        <v>2139</v>
      </c>
      <c r="G1361" s="238" t="s">
        <v>3192</v>
      </c>
      <c r="H1361" s="239" t="s">
        <v>3193</v>
      </c>
      <c r="I1361" s="217"/>
      <c r="J1361" s="217"/>
      <c r="K1361" s="217"/>
      <c r="L1361" s="217"/>
      <c r="M1361" s="217"/>
      <c r="N1361" s="217"/>
      <c r="O1361" s="217"/>
      <c r="P1361" s="217"/>
    </row>
    <row r="1362" spans="1:16" s="219" customFormat="1" ht="45" hidden="1" x14ac:dyDescent="0.25">
      <c r="A1362" s="214"/>
      <c r="B1362" s="237">
        <v>1</v>
      </c>
      <c r="C1362" s="237">
        <v>3</v>
      </c>
      <c r="D1362" s="238" t="s">
        <v>2022</v>
      </c>
      <c r="E1362" s="238" t="s">
        <v>1836</v>
      </c>
      <c r="F1362" s="238" t="s">
        <v>2139</v>
      </c>
      <c r="G1362" s="238" t="s">
        <v>3194</v>
      </c>
      <c r="H1362" s="239" t="s">
        <v>3195</v>
      </c>
      <c r="I1362" s="217"/>
      <c r="J1362" s="217"/>
      <c r="K1362" s="217"/>
      <c r="L1362" s="217"/>
      <c r="M1362" s="217"/>
      <c r="N1362" s="217"/>
      <c r="O1362" s="217"/>
      <c r="P1362" s="217"/>
    </row>
    <row r="1363" spans="1:16" s="219" customFormat="1" ht="60" hidden="1" x14ac:dyDescent="0.25">
      <c r="A1363" s="214"/>
      <c r="B1363" s="237">
        <v>1</v>
      </c>
      <c r="C1363" s="237">
        <v>3</v>
      </c>
      <c r="D1363" s="238" t="s">
        <v>2022</v>
      </c>
      <c r="E1363" s="238" t="s">
        <v>1836</v>
      </c>
      <c r="F1363" s="238" t="s">
        <v>2139</v>
      </c>
      <c r="G1363" s="238" t="s">
        <v>3196</v>
      </c>
      <c r="H1363" s="239" t="s">
        <v>3197</v>
      </c>
      <c r="I1363" s="217"/>
      <c r="J1363" s="217"/>
      <c r="K1363" s="217"/>
      <c r="L1363" s="217"/>
      <c r="M1363" s="217"/>
      <c r="N1363" s="217"/>
      <c r="O1363" s="217"/>
      <c r="P1363" s="217"/>
    </row>
    <row r="1364" spans="1:16" s="219" customFormat="1" ht="45" hidden="1" x14ac:dyDescent="0.25">
      <c r="A1364" s="214"/>
      <c r="B1364" s="237">
        <v>1</v>
      </c>
      <c r="C1364" s="237">
        <v>3</v>
      </c>
      <c r="D1364" s="238" t="s">
        <v>2022</v>
      </c>
      <c r="E1364" s="238" t="s">
        <v>1836</v>
      </c>
      <c r="F1364" s="238" t="s">
        <v>2139</v>
      </c>
      <c r="G1364" s="238" t="s">
        <v>3198</v>
      </c>
      <c r="H1364" s="239" t="s">
        <v>3199</v>
      </c>
      <c r="I1364" s="217"/>
      <c r="J1364" s="217"/>
      <c r="K1364" s="217"/>
      <c r="L1364" s="217"/>
      <c r="M1364" s="217"/>
      <c r="N1364" s="217"/>
      <c r="O1364" s="217"/>
      <c r="P1364" s="217"/>
    </row>
    <row r="1365" spans="1:16" s="219" customFormat="1" ht="60" hidden="1" x14ac:dyDescent="0.25">
      <c r="A1365" s="214"/>
      <c r="B1365" s="237">
        <v>1</v>
      </c>
      <c r="C1365" s="237">
        <v>3</v>
      </c>
      <c r="D1365" s="238" t="s">
        <v>2022</v>
      </c>
      <c r="E1365" s="238" t="s">
        <v>1836</v>
      </c>
      <c r="F1365" s="238" t="s">
        <v>2139</v>
      </c>
      <c r="G1365" s="238" t="s">
        <v>3200</v>
      </c>
      <c r="H1365" s="239" t="s">
        <v>3201</v>
      </c>
      <c r="I1365" s="217"/>
      <c r="J1365" s="217"/>
      <c r="K1365" s="217"/>
      <c r="L1365" s="217"/>
      <c r="M1365" s="217"/>
      <c r="N1365" s="217"/>
      <c r="O1365" s="217"/>
      <c r="P1365" s="217"/>
    </row>
    <row r="1366" spans="1:16" s="219" customFormat="1" ht="60" hidden="1" x14ac:dyDescent="0.25">
      <c r="A1366" s="214"/>
      <c r="B1366" s="237">
        <v>1</v>
      </c>
      <c r="C1366" s="237">
        <v>3</v>
      </c>
      <c r="D1366" s="238" t="s">
        <v>2022</v>
      </c>
      <c r="E1366" s="238" t="s">
        <v>1836</v>
      </c>
      <c r="F1366" s="238" t="s">
        <v>2139</v>
      </c>
      <c r="G1366" s="238" t="s">
        <v>3202</v>
      </c>
      <c r="H1366" s="239" t="s">
        <v>3203</v>
      </c>
      <c r="I1366" s="217"/>
      <c r="J1366" s="217"/>
      <c r="K1366" s="217"/>
      <c r="L1366" s="217"/>
      <c r="M1366" s="217"/>
      <c r="N1366" s="217"/>
      <c r="O1366" s="217"/>
      <c r="P1366" s="217"/>
    </row>
    <row r="1367" spans="1:16" s="219" customFormat="1" ht="45" hidden="1" x14ac:dyDescent="0.25">
      <c r="A1367" s="214"/>
      <c r="B1367" s="237">
        <v>1</v>
      </c>
      <c r="C1367" s="237">
        <v>3</v>
      </c>
      <c r="D1367" s="238" t="s">
        <v>2022</v>
      </c>
      <c r="E1367" s="238" t="s">
        <v>1836</v>
      </c>
      <c r="F1367" s="238" t="s">
        <v>2139</v>
      </c>
      <c r="G1367" s="238" t="s">
        <v>3204</v>
      </c>
      <c r="H1367" s="239" t="s">
        <v>3205</v>
      </c>
      <c r="I1367" s="217"/>
      <c r="J1367" s="217"/>
      <c r="K1367" s="217"/>
      <c r="L1367" s="217"/>
      <c r="M1367" s="217"/>
      <c r="N1367" s="217"/>
      <c r="O1367" s="217"/>
      <c r="P1367" s="217"/>
    </row>
    <row r="1368" spans="1:16" s="219" customFormat="1" ht="45" hidden="1" x14ac:dyDescent="0.25">
      <c r="A1368" s="214"/>
      <c r="B1368" s="237">
        <v>1</v>
      </c>
      <c r="C1368" s="237">
        <v>3</v>
      </c>
      <c r="D1368" s="238" t="s">
        <v>2022</v>
      </c>
      <c r="E1368" s="238" t="s">
        <v>1836</v>
      </c>
      <c r="F1368" s="238" t="s">
        <v>2139</v>
      </c>
      <c r="G1368" s="238" t="s">
        <v>3206</v>
      </c>
      <c r="H1368" s="239" t="s">
        <v>3207</v>
      </c>
      <c r="I1368" s="217"/>
      <c r="J1368" s="217"/>
      <c r="K1368" s="217"/>
      <c r="L1368" s="217"/>
      <c r="M1368" s="217"/>
      <c r="N1368" s="217"/>
      <c r="O1368" s="217"/>
      <c r="P1368" s="217"/>
    </row>
    <row r="1369" spans="1:16" s="219" customFormat="1" ht="45" hidden="1" x14ac:dyDescent="0.25">
      <c r="A1369" s="214"/>
      <c r="B1369" s="237">
        <v>1</v>
      </c>
      <c r="C1369" s="237">
        <v>3</v>
      </c>
      <c r="D1369" s="238" t="s">
        <v>2022</v>
      </c>
      <c r="E1369" s="238" t="s">
        <v>1836</v>
      </c>
      <c r="F1369" s="238" t="s">
        <v>2139</v>
      </c>
      <c r="G1369" s="238" t="s">
        <v>3208</v>
      </c>
      <c r="H1369" s="239" t="s">
        <v>3209</v>
      </c>
      <c r="I1369" s="217"/>
      <c r="J1369" s="217"/>
      <c r="K1369" s="217"/>
      <c r="L1369" s="217"/>
      <c r="M1369" s="217"/>
      <c r="N1369" s="217"/>
      <c r="O1369" s="217"/>
      <c r="P1369" s="217"/>
    </row>
    <row r="1370" spans="1:16" s="219" customFormat="1" ht="60" hidden="1" x14ac:dyDescent="0.25">
      <c r="A1370" s="214"/>
      <c r="B1370" s="237">
        <v>1</v>
      </c>
      <c r="C1370" s="237">
        <v>3</v>
      </c>
      <c r="D1370" s="238" t="s">
        <v>2022</v>
      </c>
      <c r="E1370" s="238" t="s">
        <v>1836</v>
      </c>
      <c r="F1370" s="238" t="s">
        <v>2139</v>
      </c>
      <c r="G1370" s="238" t="s">
        <v>3210</v>
      </c>
      <c r="H1370" s="239" t="s">
        <v>3211</v>
      </c>
      <c r="I1370" s="217"/>
      <c r="J1370" s="217"/>
      <c r="K1370" s="217"/>
      <c r="L1370" s="217"/>
      <c r="M1370" s="217"/>
      <c r="N1370" s="217"/>
      <c r="O1370" s="217"/>
      <c r="P1370" s="217"/>
    </row>
    <row r="1371" spans="1:16" s="219" customFormat="1" ht="60" hidden="1" x14ac:dyDescent="0.25">
      <c r="A1371" s="214"/>
      <c r="B1371" s="237">
        <v>1</v>
      </c>
      <c r="C1371" s="237">
        <v>3</v>
      </c>
      <c r="D1371" s="238" t="s">
        <v>2022</v>
      </c>
      <c r="E1371" s="238" t="s">
        <v>1836</v>
      </c>
      <c r="F1371" s="238" t="s">
        <v>2139</v>
      </c>
      <c r="G1371" s="238" t="s">
        <v>3212</v>
      </c>
      <c r="H1371" s="239" t="s">
        <v>3213</v>
      </c>
      <c r="I1371" s="217"/>
      <c r="J1371" s="217"/>
      <c r="K1371" s="217"/>
      <c r="L1371" s="217"/>
      <c r="M1371" s="217"/>
      <c r="N1371" s="217"/>
      <c r="O1371" s="217"/>
      <c r="P1371" s="217"/>
    </row>
    <row r="1372" spans="1:16" s="219" customFormat="1" ht="60" hidden="1" x14ac:dyDescent="0.25">
      <c r="A1372" s="214"/>
      <c r="B1372" s="237">
        <v>1</v>
      </c>
      <c r="C1372" s="237">
        <v>3</v>
      </c>
      <c r="D1372" s="238" t="s">
        <v>2022</v>
      </c>
      <c r="E1372" s="238" t="s">
        <v>1836</v>
      </c>
      <c r="F1372" s="238" t="s">
        <v>2139</v>
      </c>
      <c r="G1372" s="238" t="s">
        <v>3214</v>
      </c>
      <c r="H1372" s="239" t="s">
        <v>3215</v>
      </c>
      <c r="I1372" s="217"/>
      <c r="J1372" s="217"/>
      <c r="K1372" s="217"/>
      <c r="L1372" s="217"/>
      <c r="M1372" s="217"/>
      <c r="N1372" s="217"/>
      <c r="O1372" s="217"/>
      <c r="P1372" s="217"/>
    </row>
    <row r="1373" spans="1:16" s="219" customFormat="1" ht="60" hidden="1" x14ac:dyDescent="0.25">
      <c r="A1373" s="214"/>
      <c r="B1373" s="237">
        <v>1</v>
      </c>
      <c r="C1373" s="237">
        <v>3</v>
      </c>
      <c r="D1373" s="238" t="s">
        <v>2022</v>
      </c>
      <c r="E1373" s="238" t="s">
        <v>1836</v>
      </c>
      <c r="F1373" s="238" t="s">
        <v>2139</v>
      </c>
      <c r="G1373" s="238" t="s">
        <v>3216</v>
      </c>
      <c r="H1373" s="239" t="s">
        <v>3217</v>
      </c>
      <c r="I1373" s="217"/>
      <c r="J1373" s="217"/>
      <c r="K1373" s="217"/>
      <c r="L1373" s="217"/>
      <c r="M1373" s="217"/>
      <c r="N1373" s="217"/>
      <c r="O1373" s="217"/>
      <c r="P1373" s="217"/>
    </row>
    <row r="1374" spans="1:16" s="219" customFormat="1" ht="60" hidden="1" x14ac:dyDescent="0.25">
      <c r="A1374" s="214"/>
      <c r="B1374" s="237">
        <v>1</v>
      </c>
      <c r="C1374" s="237">
        <v>3</v>
      </c>
      <c r="D1374" s="238" t="s">
        <v>2022</v>
      </c>
      <c r="E1374" s="238" t="s">
        <v>1836</v>
      </c>
      <c r="F1374" s="238" t="s">
        <v>2139</v>
      </c>
      <c r="G1374" s="238" t="s">
        <v>501</v>
      </c>
      <c r="H1374" s="239" t="s">
        <v>3218</v>
      </c>
      <c r="I1374" s="217"/>
      <c r="J1374" s="217"/>
      <c r="K1374" s="217"/>
      <c r="L1374" s="217"/>
      <c r="M1374" s="217"/>
      <c r="N1374" s="217"/>
      <c r="O1374" s="217"/>
      <c r="P1374" s="217"/>
    </row>
    <row r="1375" spans="1:16" s="219" customFormat="1" ht="60" hidden="1" x14ac:dyDescent="0.25">
      <c r="A1375" s="214"/>
      <c r="B1375" s="237">
        <v>1</v>
      </c>
      <c r="C1375" s="237">
        <v>3</v>
      </c>
      <c r="D1375" s="238" t="s">
        <v>2022</v>
      </c>
      <c r="E1375" s="238" t="s">
        <v>1836</v>
      </c>
      <c r="F1375" s="238" t="s">
        <v>2139</v>
      </c>
      <c r="G1375" s="238" t="s">
        <v>3219</v>
      </c>
      <c r="H1375" s="239" t="s">
        <v>3220</v>
      </c>
      <c r="I1375" s="217"/>
      <c r="J1375" s="217"/>
      <c r="K1375" s="217"/>
      <c r="L1375" s="217"/>
      <c r="M1375" s="217"/>
      <c r="N1375" s="217"/>
      <c r="O1375" s="217"/>
      <c r="P1375" s="217"/>
    </row>
    <row r="1376" spans="1:16" s="219" customFormat="1" ht="60" hidden="1" x14ac:dyDescent="0.25">
      <c r="A1376" s="214"/>
      <c r="B1376" s="237">
        <v>1</v>
      </c>
      <c r="C1376" s="237">
        <v>3</v>
      </c>
      <c r="D1376" s="238" t="s">
        <v>2022</v>
      </c>
      <c r="E1376" s="238" t="s">
        <v>1836</v>
      </c>
      <c r="F1376" s="238" t="s">
        <v>2139</v>
      </c>
      <c r="G1376" s="238" t="s">
        <v>3221</v>
      </c>
      <c r="H1376" s="239" t="s">
        <v>3222</v>
      </c>
      <c r="I1376" s="217"/>
      <c r="J1376" s="217"/>
      <c r="K1376" s="217"/>
      <c r="L1376" s="217"/>
      <c r="M1376" s="217"/>
      <c r="N1376" s="217"/>
      <c r="O1376" s="217"/>
      <c r="P1376" s="217"/>
    </row>
    <row r="1377" spans="1:16" s="219" customFormat="1" ht="45" hidden="1" x14ac:dyDescent="0.25">
      <c r="A1377" s="214"/>
      <c r="B1377" s="237">
        <v>1</v>
      </c>
      <c r="C1377" s="237">
        <v>3</v>
      </c>
      <c r="D1377" s="238" t="s">
        <v>2022</v>
      </c>
      <c r="E1377" s="238" t="s">
        <v>1836</v>
      </c>
      <c r="F1377" s="238" t="s">
        <v>2139</v>
      </c>
      <c r="G1377" s="238" t="s">
        <v>3223</v>
      </c>
      <c r="H1377" s="239" t="s">
        <v>3224</v>
      </c>
      <c r="I1377" s="217"/>
      <c r="J1377" s="217"/>
      <c r="K1377" s="217"/>
      <c r="L1377" s="217"/>
      <c r="M1377" s="217"/>
      <c r="N1377" s="217"/>
      <c r="O1377" s="217"/>
      <c r="P1377" s="217"/>
    </row>
    <row r="1378" spans="1:16" s="219" customFormat="1" ht="60" hidden="1" x14ac:dyDescent="0.25">
      <c r="A1378" s="214"/>
      <c r="B1378" s="237">
        <v>1</v>
      </c>
      <c r="C1378" s="237">
        <v>3</v>
      </c>
      <c r="D1378" s="238" t="s">
        <v>2022</v>
      </c>
      <c r="E1378" s="238" t="s">
        <v>1836</v>
      </c>
      <c r="F1378" s="238" t="s">
        <v>2139</v>
      </c>
      <c r="G1378" s="238" t="s">
        <v>3225</v>
      </c>
      <c r="H1378" s="239" t="s">
        <v>3226</v>
      </c>
      <c r="I1378" s="217"/>
      <c r="J1378" s="217"/>
      <c r="K1378" s="217"/>
      <c r="L1378" s="217"/>
      <c r="M1378" s="217"/>
      <c r="N1378" s="217"/>
      <c r="O1378" s="217"/>
      <c r="P1378" s="217"/>
    </row>
    <row r="1379" spans="1:16" s="219" customFormat="1" ht="60" hidden="1" x14ac:dyDescent="0.25">
      <c r="A1379" s="214"/>
      <c r="B1379" s="237">
        <v>1</v>
      </c>
      <c r="C1379" s="237">
        <v>3</v>
      </c>
      <c r="D1379" s="238" t="s">
        <v>2022</v>
      </c>
      <c r="E1379" s="238" t="s">
        <v>1836</v>
      </c>
      <c r="F1379" s="238" t="s">
        <v>2139</v>
      </c>
      <c r="G1379" s="238" t="s">
        <v>3227</v>
      </c>
      <c r="H1379" s="239" t="s">
        <v>3228</v>
      </c>
      <c r="I1379" s="217"/>
      <c r="J1379" s="217"/>
      <c r="K1379" s="217"/>
      <c r="L1379" s="217"/>
      <c r="M1379" s="217"/>
      <c r="N1379" s="217"/>
      <c r="O1379" s="217"/>
      <c r="P1379" s="217"/>
    </row>
    <row r="1380" spans="1:16" s="219" customFormat="1" ht="60" hidden="1" x14ac:dyDescent="0.25">
      <c r="A1380" s="214"/>
      <c r="B1380" s="237">
        <v>1</v>
      </c>
      <c r="C1380" s="237">
        <v>3</v>
      </c>
      <c r="D1380" s="238" t="s">
        <v>2022</v>
      </c>
      <c r="E1380" s="238" t="s">
        <v>1836</v>
      </c>
      <c r="F1380" s="238" t="s">
        <v>2139</v>
      </c>
      <c r="G1380" s="238" t="s">
        <v>3229</v>
      </c>
      <c r="H1380" s="239" t="s">
        <v>3230</v>
      </c>
      <c r="I1380" s="217"/>
      <c r="J1380" s="217"/>
      <c r="K1380" s="217"/>
      <c r="L1380" s="217"/>
      <c r="M1380" s="217"/>
      <c r="N1380" s="217"/>
      <c r="O1380" s="217"/>
      <c r="P1380" s="217"/>
    </row>
    <row r="1381" spans="1:16" s="219" customFormat="1" ht="60" hidden="1" x14ac:dyDescent="0.25">
      <c r="A1381" s="214"/>
      <c r="B1381" s="237">
        <v>1</v>
      </c>
      <c r="C1381" s="237">
        <v>3</v>
      </c>
      <c r="D1381" s="238" t="s">
        <v>2022</v>
      </c>
      <c r="E1381" s="238" t="s">
        <v>1836</v>
      </c>
      <c r="F1381" s="238" t="s">
        <v>2139</v>
      </c>
      <c r="G1381" s="238" t="s">
        <v>506</v>
      </c>
      <c r="H1381" s="239" t="s">
        <v>3231</v>
      </c>
      <c r="I1381" s="217"/>
      <c r="J1381" s="217"/>
      <c r="K1381" s="217"/>
      <c r="L1381" s="217"/>
      <c r="M1381" s="217"/>
      <c r="N1381" s="217"/>
      <c r="O1381" s="217"/>
      <c r="P1381" s="217"/>
    </row>
    <row r="1382" spans="1:16" s="219" customFormat="1" ht="60" hidden="1" x14ac:dyDescent="0.25">
      <c r="A1382" s="214"/>
      <c r="B1382" s="237">
        <v>1</v>
      </c>
      <c r="C1382" s="237">
        <v>3</v>
      </c>
      <c r="D1382" s="238" t="s">
        <v>2022</v>
      </c>
      <c r="E1382" s="238" t="s">
        <v>1836</v>
      </c>
      <c r="F1382" s="238" t="s">
        <v>2139</v>
      </c>
      <c r="G1382" s="238" t="s">
        <v>507</v>
      </c>
      <c r="H1382" s="239" t="s">
        <v>3232</v>
      </c>
      <c r="I1382" s="217"/>
      <c r="J1382" s="217"/>
      <c r="K1382" s="217"/>
      <c r="L1382" s="217"/>
      <c r="M1382" s="217"/>
      <c r="N1382" s="217"/>
      <c r="O1382" s="217"/>
      <c r="P1382" s="217"/>
    </row>
    <row r="1383" spans="1:16" s="219" customFormat="1" ht="60" hidden="1" x14ac:dyDescent="0.25">
      <c r="A1383" s="214"/>
      <c r="B1383" s="237">
        <v>1</v>
      </c>
      <c r="C1383" s="237">
        <v>3</v>
      </c>
      <c r="D1383" s="238" t="s">
        <v>2022</v>
      </c>
      <c r="E1383" s="238" t="s">
        <v>1836</v>
      </c>
      <c r="F1383" s="238" t="s">
        <v>2139</v>
      </c>
      <c r="G1383" s="238" t="s">
        <v>508</v>
      </c>
      <c r="H1383" s="239" t="s">
        <v>3233</v>
      </c>
      <c r="I1383" s="217"/>
      <c r="J1383" s="217"/>
      <c r="K1383" s="217"/>
      <c r="L1383" s="217"/>
      <c r="M1383" s="217"/>
      <c r="N1383" s="217"/>
      <c r="O1383" s="217"/>
      <c r="P1383" s="217"/>
    </row>
    <row r="1384" spans="1:16" s="219" customFormat="1" ht="60" hidden="1" x14ac:dyDescent="0.25">
      <c r="A1384" s="214"/>
      <c r="B1384" s="237">
        <v>1</v>
      </c>
      <c r="C1384" s="237">
        <v>3</v>
      </c>
      <c r="D1384" s="238" t="s">
        <v>2022</v>
      </c>
      <c r="E1384" s="238" t="s">
        <v>1836</v>
      </c>
      <c r="F1384" s="238" t="s">
        <v>2139</v>
      </c>
      <c r="G1384" s="238" t="s">
        <v>3234</v>
      </c>
      <c r="H1384" s="239" t="s">
        <v>3235</v>
      </c>
      <c r="I1384" s="217"/>
      <c r="J1384" s="217"/>
      <c r="K1384" s="217"/>
      <c r="L1384" s="217"/>
      <c r="M1384" s="217"/>
      <c r="N1384" s="217"/>
      <c r="O1384" s="217"/>
      <c r="P1384" s="217"/>
    </row>
    <row r="1385" spans="1:16" s="219" customFormat="1" ht="75" hidden="1" x14ac:dyDescent="0.25">
      <c r="A1385" s="214"/>
      <c r="B1385" s="237">
        <v>1</v>
      </c>
      <c r="C1385" s="237">
        <v>3</v>
      </c>
      <c r="D1385" s="238" t="s">
        <v>2022</v>
      </c>
      <c r="E1385" s="238" t="s">
        <v>1836</v>
      </c>
      <c r="F1385" s="238" t="s">
        <v>2139</v>
      </c>
      <c r="G1385" s="238" t="s">
        <v>3236</v>
      </c>
      <c r="H1385" s="239" t="s">
        <v>3237</v>
      </c>
      <c r="I1385" s="217"/>
      <c r="J1385" s="217"/>
      <c r="K1385" s="217"/>
      <c r="L1385" s="217"/>
      <c r="M1385" s="217"/>
      <c r="N1385" s="217"/>
      <c r="O1385" s="217"/>
      <c r="P1385" s="217"/>
    </row>
    <row r="1386" spans="1:16" s="219" customFormat="1" ht="60" hidden="1" x14ac:dyDescent="0.25">
      <c r="A1386" s="214"/>
      <c r="B1386" s="237">
        <v>1</v>
      </c>
      <c r="C1386" s="237">
        <v>3</v>
      </c>
      <c r="D1386" s="238" t="s">
        <v>2022</v>
      </c>
      <c r="E1386" s="238" t="s">
        <v>1836</v>
      </c>
      <c r="F1386" s="238" t="s">
        <v>2139</v>
      </c>
      <c r="G1386" s="238" t="s">
        <v>3238</v>
      </c>
      <c r="H1386" s="239" t="s">
        <v>3239</v>
      </c>
      <c r="I1386" s="217"/>
      <c r="J1386" s="217"/>
      <c r="K1386" s="217"/>
      <c r="L1386" s="217"/>
      <c r="M1386" s="217"/>
      <c r="N1386" s="217"/>
      <c r="O1386" s="217"/>
      <c r="P1386" s="217"/>
    </row>
    <row r="1387" spans="1:16" s="219" customFormat="1" ht="75" hidden="1" x14ac:dyDescent="0.25">
      <c r="A1387" s="214"/>
      <c r="B1387" s="237">
        <v>1</v>
      </c>
      <c r="C1387" s="237">
        <v>3</v>
      </c>
      <c r="D1387" s="238" t="s">
        <v>2022</v>
      </c>
      <c r="E1387" s="238" t="s">
        <v>1836</v>
      </c>
      <c r="F1387" s="238" t="s">
        <v>2139</v>
      </c>
      <c r="G1387" s="238" t="s">
        <v>3240</v>
      </c>
      <c r="H1387" s="239" t="s">
        <v>3241</v>
      </c>
      <c r="I1387" s="217"/>
      <c r="J1387" s="217"/>
      <c r="K1387" s="217"/>
      <c r="L1387" s="217"/>
      <c r="M1387" s="217"/>
      <c r="N1387" s="217"/>
      <c r="O1387" s="217"/>
      <c r="P1387" s="217"/>
    </row>
    <row r="1388" spans="1:16" s="219" customFormat="1" ht="60" hidden="1" x14ac:dyDescent="0.25">
      <c r="A1388" s="214"/>
      <c r="B1388" s="237">
        <v>1</v>
      </c>
      <c r="C1388" s="237">
        <v>3</v>
      </c>
      <c r="D1388" s="238" t="s">
        <v>2022</v>
      </c>
      <c r="E1388" s="238" t="s">
        <v>1836</v>
      </c>
      <c r="F1388" s="238" t="s">
        <v>2139</v>
      </c>
      <c r="G1388" s="238" t="s">
        <v>510</v>
      </c>
      <c r="H1388" s="239" t="s">
        <v>3242</v>
      </c>
      <c r="I1388" s="217"/>
      <c r="J1388" s="217"/>
      <c r="K1388" s="217"/>
      <c r="L1388" s="217"/>
      <c r="M1388" s="217"/>
      <c r="N1388" s="217"/>
      <c r="O1388" s="217"/>
      <c r="P1388" s="217"/>
    </row>
    <row r="1389" spans="1:16" s="219" customFormat="1" ht="60" hidden="1" x14ac:dyDescent="0.25">
      <c r="A1389" s="214"/>
      <c r="B1389" s="237">
        <v>1</v>
      </c>
      <c r="C1389" s="237">
        <v>3</v>
      </c>
      <c r="D1389" s="238" t="s">
        <v>2022</v>
      </c>
      <c r="E1389" s="238" t="s">
        <v>1836</v>
      </c>
      <c r="F1389" s="238" t="s">
        <v>2139</v>
      </c>
      <c r="G1389" s="238" t="s">
        <v>513</v>
      </c>
      <c r="H1389" s="239" t="s">
        <v>3243</v>
      </c>
      <c r="I1389" s="217"/>
      <c r="J1389" s="217"/>
      <c r="K1389" s="217"/>
      <c r="L1389" s="217"/>
      <c r="M1389" s="217"/>
      <c r="N1389" s="217"/>
      <c r="O1389" s="217"/>
      <c r="P1389" s="217"/>
    </row>
    <row r="1390" spans="1:16" s="219" customFormat="1" ht="75" hidden="1" x14ac:dyDescent="0.25">
      <c r="A1390" s="214"/>
      <c r="B1390" s="237">
        <v>1</v>
      </c>
      <c r="C1390" s="237">
        <v>3</v>
      </c>
      <c r="D1390" s="238" t="s">
        <v>2022</v>
      </c>
      <c r="E1390" s="238" t="s">
        <v>1836</v>
      </c>
      <c r="F1390" s="238" t="s">
        <v>2139</v>
      </c>
      <c r="G1390" s="238" t="s">
        <v>514</v>
      </c>
      <c r="H1390" s="239" t="s">
        <v>3244</v>
      </c>
      <c r="I1390" s="217"/>
      <c r="J1390" s="217"/>
      <c r="K1390" s="217"/>
      <c r="L1390" s="217"/>
      <c r="M1390" s="217"/>
      <c r="N1390" s="217"/>
      <c r="O1390" s="217"/>
      <c r="P1390" s="217"/>
    </row>
    <row r="1391" spans="1:16" s="213" customFormat="1" ht="30" hidden="1" x14ac:dyDescent="0.25">
      <c r="A1391" s="208" t="s">
        <v>263</v>
      </c>
      <c r="B1391" s="234">
        <v>1</v>
      </c>
      <c r="C1391" s="234">
        <v>3</v>
      </c>
      <c r="D1391" s="235" t="s">
        <v>2022</v>
      </c>
      <c r="E1391" s="235" t="s">
        <v>1836</v>
      </c>
      <c r="F1391" s="235" t="s">
        <v>2313</v>
      </c>
      <c r="G1391" s="234"/>
      <c r="H1391" s="236" t="s">
        <v>3245</v>
      </c>
      <c r="I1391" s="211">
        <f>SUM(I1392:I1399)</f>
        <v>0</v>
      </c>
      <c r="J1391" s="211">
        <f t="shared" ref="J1391:P1391" si="163">SUM(J1392:J1399)</f>
        <v>0</v>
      </c>
      <c r="K1391" s="211">
        <f t="shared" si="163"/>
        <v>0</v>
      </c>
      <c r="L1391" s="211">
        <f t="shared" si="163"/>
        <v>0</v>
      </c>
      <c r="M1391" s="211">
        <f t="shared" si="163"/>
        <v>0</v>
      </c>
      <c r="N1391" s="211">
        <f t="shared" si="163"/>
        <v>0</v>
      </c>
      <c r="O1391" s="211">
        <f t="shared" si="163"/>
        <v>0</v>
      </c>
      <c r="P1391" s="211">
        <f t="shared" si="163"/>
        <v>0</v>
      </c>
    </row>
    <row r="1392" spans="1:16" s="219" customFormat="1" ht="30" hidden="1" x14ac:dyDescent="0.25">
      <c r="A1392" s="214"/>
      <c r="B1392" s="237">
        <v>1</v>
      </c>
      <c r="C1392" s="237">
        <v>3</v>
      </c>
      <c r="D1392" s="238" t="s">
        <v>2022</v>
      </c>
      <c r="E1392" s="238" t="s">
        <v>1836</v>
      </c>
      <c r="F1392" s="238" t="s">
        <v>2313</v>
      </c>
      <c r="G1392" s="238" t="s">
        <v>58</v>
      </c>
      <c r="H1392" s="239" t="s">
        <v>3246</v>
      </c>
      <c r="I1392" s="217"/>
      <c r="J1392" s="217"/>
      <c r="K1392" s="217"/>
      <c r="L1392" s="217"/>
      <c r="M1392" s="217"/>
      <c r="N1392" s="217"/>
      <c r="O1392" s="217"/>
      <c r="P1392" s="217"/>
    </row>
    <row r="1393" spans="1:16" s="219" customFormat="1" ht="30" hidden="1" x14ac:dyDescent="0.25">
      <c r="A1393" s="214"/>
      <c r="B1393" s="237">
        <v>1</v>
      </c>
      <c r="C1393" s="237">
        <v>3</v>
      </c>
      <c r="D1393" s="238" t="s">
        <v>2022</v>
      </c>
      <c r="E1393" s="238" t="s">
        <v>1836</v>
      </c>
      <c r="F1393" s="238" t="s">
        <v>2313</v>
      </c>
      <c r="G1393" s="238" t="s">
        <v>75</v>
      </c>
      <c r="H1393" s="239" t="s">
        <v>3247</v>
      </c>
      <c r="I1393" s="217"/>
      <c r="J1393" s="217"/>
      <c r="K1393" s="217"/>
      <c r="L1393" s="217"/>
      <c r="M1393" s="217"/>
      <c r="N1393" s="217"/>
      <c r="O1393" s="217"/>
      <c r="P1393" s="217"/>
    </row>
    <row r="1394" spans="1:16" s="219" customFormat="1" ht="45" hidden="1" x14ac:dyDescent="0.25">
      <c r="A1394" s="214"/>
      <c r="B1394" s="237">
        <v>1</v>
      </c>
      <c r="C1394" s="237">
        <v>3</v>
      </c>
      <c r="D1394" s="238" t="s">
        <v>2022</v>
      </c>
      <c r="E1394" s="238" t="s">
        <v>1836</v>
      </c>
      <c r="F1394" s="238" t="s">
        <v>2313</v>
      </c>
      <c r="G1394" s="238" t="s">
        <v>79</v>
      </c>
      <c r="H1394" s="239" t="s">
        <v>3248</v>
      </c>
      <c r="I1394" s="217"/>
      <c r="J1394" s="217"/>
      <c r="K1394" s="217"/>
      <c r="L1394" s="217"/>
      <c r="M1394" s="217"/>
      <c r="N1394" s="217"/>
      <c r="O1394" s="217"/>
      <c r="P1394" s="217"/>
    </row>
    <row r="1395" spans="1:16" s="219" customFormat="1" ht="45" hidden="1" x14ac:dyDescent="0.25">
      <c r="A1395" s="214"/>
      <c r="B1395" s="237">
        <v>1</v>
      </c>
      <c r="C1395" s="237">
        <v>3</v>
      </c>
      <c r="D1395" s="238" t="s">
        <v>2022</v>
      </c>
      <c r="E1395" s="238" t="s">
        <v>1836</v>
      </c>
      <c r="F1395" s="238" t="s">
        <v>2313</v>
      </c>
      <c r="G1395" s="238" t="s">
        <v>84</v>
      </c>
      <c r="H1395" s="239" t="s">
        <v>3249</v>
      </c>
      <c r="I1395" s="217"/>
      <c r="J1395" s="217"/>
      <c r="K1395" s="217"/>
      <c r="L1395" s="217"/>
      <c r="M1395" s="217"/>
      <c r="N1395" s="217"/>
      <c r="O1395" s="217"/>
      <c r="P1395" s="217"/>
    </row>
    <row r="1396" spans="1:16" s="219" customFormat="1" ht="45" hidden="1" x14ac:dyDescent="0.25">
      <c r="A1396" s="214"/>
      <c r="B1396" s="237">
        <v>1</v>
      </c>
      <c r="C1396" s="237">
        <v>3</v>
      </c>
      <c r="D1396" s="238" t="s">
        <v>2022</v>
      </c>
      <c r="E1396" s="238" t="s">
        <v>1836</v>
      </c>
      <c r="F1396" s="238" t="s">
        <v>2313</v>
      </c>
      <c r="G1396" s="238" t="s">
        <v>88</v>
      </c>
      <c r="H1396" s="239" t="s">
        <v>3250</v>
      </c>
      <c r="I1396" s="217"/>
      <c r="J1396" s="217"/>
      <c r="K1396" s="217"/>
      <c r="L1396" s="217"/>
      <c r="M1396" s="217"/>
      <c r="N1396" s="217"/>
      <c r="O1396" s="217"/>
      <c r="P1396" s="217"/>
    </row>
    <row r="1397" spans="1:16" s="219" customFormat="1" ht="45" hidden="1" x14ac:dyDescent="0.25">
      <c r="A1397" s="214"/>
      <c r="B1397" s="237">
        <v>1</v>
      </c>
      <c r="C1397" s="237">
        <v>3</v>
      </c>
      <c r="D1397" s="238" t="s">
        <v>2022</v>
      </c>
      <c r="E1397" s="238" t="s">
        <v>1836</v>
      </c>
      <c r="F1397" s="238" t="s">
        <v>2313</v>
      </c>
      <c r="G1397" s="238" t="s">
        <v>92</v>
      </c>
      <c r="H1397" s="239" t="s">
        <v>3251</v>
      </c>
      <c r="I1397" s="217"/>
      <c r="J1397" s="217"/>
      <c r="K1397" s="217"/>
      <c r="L1397" s="217"/>
      <c r="M1397" s="217"/>
      <c r="N1397" s="217"/>
      <c r="O1397" s="217"/>
      <c r="P1397" s="217"/>
    </row>
    <row r="1398" spans="1:16" s="219" customFormat="1" ht="45" hidden="1" x14ac:dyDescent="0.25">
      <c r="A1398" s="214"/>
      <c r="B1398" s="237">
        <v>1</v>
      </c>
      <c r="C1398" s="237">
        <v>3</v>
      </c>
      <c r="D1398" s="238" t="s">
        <v>2022</v>
      </c>
      <c r="E1398" s="238" t="s">
        <v>1836</v>
      </c>
      <c r="F1398" s="238" t="s">
        <v>2313</v>
      </c>
      <c r="G1398" s="238" t="s">
        <v>96</v>
      </c>
      <c r="H1398" s="239" t="s">
        <v>3252</v>
      </c>
      <c r="I1398" s="217"/>
      <c r="J1398" s="217"/>
      <c r="K1398" s="217"/>
      <c r="L1398" s="217"/>
      <c r="M1398" s="217"/>
      <c r="N1398" s="217"/>
      <c r="O1398" s="217"/>
      <c r="P1398" s="217"/>
    </row>
    <row r="1399" spans="1:16" s="219" customFormat="1" ht="45" hidden="1" x14ac:dyDescent="0.25">
      <c r="A1399" s="214"/>
      <c r="B1399" s="237">
        <v>1</v>
      </c>
      <c r="C1399" s="237">
        <v>3</v>
      </c>
      <c r="D1399" s="238" t="s">
        <v>2022</v>
      </c>
      <c r="E1399" s="238" t="s">
        <v>1836</v>
      </c>
      <c r="F1399" s="238" t="s">
        <v>2313</v>
      </c>
      <c r="G1399" s="238" t="s">
        <v>100</v>
      </c>
      <c r="H1399" s="239" t="s">
        <v>3253</v>
      </c>
      <c r="I1399" s="217"/>
      <c r="J1399" s="217"/>
      <c r="K1399" s="217"/>
      <c r="L1399" s="217"/>
      <c r="M1399" s="217"/>
      <c r="N1399" s="217"/>
      <c r="O1399" s="217"/>
      <c r="P1399" s="217"/>
    </row>
    <row r="1400" spans="1:16" s="213" customFormat="1" ht="30" hidden="1" x14ac:dyDescent="0.25">
      <c r="A1400" s="208" t="s">
        <v>263</v>
      </c>
      <c r="B1400" s="234">
        <v>1</v>
      </c>
      <c r="C1400" s="234">
        <v>3</v>
      </c>
      <c r="D1400" s="235" t="s">
        <v>2022</v>
      </c>
      <c r="E1400" s="235" t="s">
        <v>1836</v>
      </c>
      <c r="F1400" s="235" t="s">
        <v>2326</v>
      </c>
      <c r="G1400" s="234"/>
      <c r="H1400" s="236" t="s">
        <v>3254</v>
      </c>
      <c r="I1400" s="211">
        <f>SUM(I1401:I1407)</f>
        <v>0</v>
      </c>
      <c r="J1400" s="211">
        <f t="shared" ref="J1400:P1400" si="164">SUM(J1401:J1407)</f>
        <v>0</v>
      </c>
      <c r="K1400" s="211">
        <f t="shared" si="164"/>
        <v>0</v>
      </c>
      <c r="L1400" s="211">
        <f t="shared" si="164"/>
        <v>0</v>
      </c>
      <c r="M1400" s="211">
        <f t="shared" si="164"/>
        <v>0</v>
      </c>
      <c r="N1400" s="211">
        <f t="shared" si="164"/>
        <v>0</v>
      </c>
      <c r="O1400" s="211">
        <f t="shared" si="164"/>
        <v>0</v>
      </c>
      <c r="P1400" s="211">
        <f t="shared" si="164"/>
        <v>0</v>
      </c>
    </row>
    <row r="1401" spans="1:16" s="219" customFormat="1" ht="45" hidden="1" x14ac:dyDescent="0.25">
      <c r="A1401" s="214"/>
      <c r="B1401" s="237">
        <v>1</v>
      </c>
      <c r="C1401" s="237">
        <v>3</v>
      </c>
      <c r="D1401" s="238" t="s">
        <v>2022</v>
      </c>
      <c r="E1401" s="238" t="s">
        <v>1836</v>
      </c>
      <c r="F1401" s="238" t="s">
        <v>2326</v>
      </c>
      <c r="G1401" s="238" t="s">
        <v>58</v>
      </c>
      <c r="H1401" s="239" t="s">
        <v>3255</v>
      </c>
      <c r="I1401" s="217"/>
      <c r="J1401" s="217"/>
      <c r="K1401" s="217"/>
      <c r="L1401" s="217"/>
      <c r="M1401" s="217"/>
      <c r="N1401" s="217"/>
      <c r="O1401" s="217"/>
      <c r="P1401" s="217"/>
    </row>
    <row r="1402" spans="1:16" s="219" customFormat="1" ht="30" hidden="1" x14ac:dyDescent="0.25">
      <c r="A1402" s="214"/>
      <c r="B1402" s="237">
        <v>1</v>
      </c>
      <c r="C1402" s="237">
        <v>3</v>
      </c>
      <c r="D1402" s="238" t="s">
        <v>2022</v>
      </c>
      <c r="E1402" s="238" t="s">
        <v>1836</v>
      </c>
      <c r="F1402" s="238" t="s">
        <v>2326</v>
      </c>
      <c r="G1402" s="238" t="s">
        <v>75</v>
      </c>
      <c r="H1402" s="239" t="s">
        <v>3256</v>
      </c>
      <c r="I1402" s="217"/>
      <c r="J1402" s="217"/>
      <c r="K1402" s="217"/>
      <c r="L1402" s="217"/>
      <c r="M1402" s="217"/>
      <c r="N1402" s="217"/>
      <c r="O1402" s="217"/>
      <c r="P1402" s="217"/>
    </row>
    <row r="1403" spans="1:16" s="219" customFormat="1" ht="45" hidden="1" x14ac:dyDescent="0.25">
      <c r="A1403" s="214"/>
      <c r="B1403" s="237">
        <v>1</v>
      </c>
      <c r="C1403" s="237">
        <v>3</v>
      </c>
      <c r="D1403" s="238" t="s">
        <v>2022</v>
      </c>
      <c r="E1403" s="238" t="s">
        <v>1836</v>
      </c>
      <c r="F1403" s="238" t="s">
        <v>2326</v>
      </c>
      <c r="G1403" s="238" t="s">
        <v>79</v>
      </c>
      <c r="H1403" s="239" t="s">
        <v>3257</v>
      </c>
      <c r="I1403" s="217"/>
      <c r="J1403" s="217"/>
      <c r="K1403" s="217"/>
      <c r="L1403" s="217"/>
      <c r="M1403" s="217"/>
      <c r="N1403" s="217"/>
      <c r="O1403" s="217"/>
      <c r="P1403" s="217"/>
    </row>
    <row r="1404" spans="1:16" s="219" customFormat="1" ht="30" hidden="1" x14ac:dyDescent="0.25">
      <c r="A1404" s="214"/>
      <c r="B1404" s="237">
        <v>1</v>
      </c>
      <c r="C1404" s="237">
        <v>3</v>
      </c>
      <c r="D1404" s="238" t="s">
        <v>2022</v>
      </c>
      <c r="E1404" s="238" t="s">
        <v>1836</v>
      </c>
      <c r="F1404" s="238" t="s">
        <v>2326</v>
      </c>
      <c r="G1404" s="238" t="s">
        <v>84</v>
      </c>
      <c r="H1404" s="239" t="s">
        <v>3258</v>
      </c>
      <c r="I1404" s="217"/>
      <c r="J1404" s="217"/>
      <c r="K1404" s="217"/>
      <c r="L1404" s="217"/>
      <c r="M1404" s="217"/>
      <c r="N1404" s="217"/>
      <c r="O1404" s="217"/>
      <c r="P1404" s="217"/>
    </row>
    <row r="1405" spans="1:16" s="219" customFormat="1" ht="45" hidden="1" x14ac:dyDescent="0.25">
      <c r="A1405" s="214"/>
      <c r="B1405" s="237">
        <v>1</v>
      </c>
      <c r="C1405" s="237">
        <v>3</v>
      </c>
      <c r="D1405" s="238" t="s">
        <v>2022</v>
      </c>
      <c r="E1405" s="238" t="s">
        <v>1836</v>
      </c>
      <c r="F1405" s="238" t="s">
        <v>2326</v>
      </c>
      <c r="G1405" s="238" t="s">
        <v>88</v>
      </c>
      <c r="H1405" s="239" t="s">
        <v>3259</v>
      </c>
      <c r="I1405" s="217"/>
      <c r="J1405" s="217"/>
      <c r="K1405" s="217"/>
      <c r="L1405" s="217"/>
      <c r="M1405" s="217"/>
      <c r="N1405" s="217"/>
      <c r="O1405" s="217"/>
      <c r="P1405" s="217"/>
    </row>
    <row r="1406" spans="1:16" s="219" customFormat="1" ht="30" hidden="1" x14ac:dyDescent="0.25">
      <c r="A1406" s="214"/>
      <c r="B1406" s="237">
        <v>1</v>
      </c>
      <c r="C1406" s="237">
        <v>3</v>
      </c>
      <c r="D1406" s="238" t="s">
        <v>2022</v>
      </c>
      <c r="E1406" s="238" t="s">
        <v>1836</v>
      </c>
      <c r="F1406" s="238" t="s">
        <v>2326</v>
      </c>
      <c r="G1406" s="238" t="s">
        <v>92</v>
      </c>
      <c r="H1406" s="239" t="s">
        <v>3260</v>
      </c>
      <c r="I1406" s="217"/>
      <c r="J1406" s="217"/>
      <c r="K1406" s="217"/>
      <c r="L1406" s="217"/>
      <c r="M1406" s="217"/>
      <c r="N1406" s="217"/>
      <c r="O1406" s="217"/>
      <c r="P1406" s="217"/>
    </row>
    <row r="1407" spans="1:16" s="219" customFormat="1" ht="45" hidden="1" x14ac:dyDescent="0.25">
      <c r="A1407" s="214"/>
      <c r="B1407" s="237">
        <v>1</v>
      </c>
      <c r="C1407" s="237">
        <v>3</v>
      </c>
      <c r="D1407" s="238" t="s">
        <v>2022</v>
      </c>
      <c r="E1407" s="238" t="s">
        <v>1836</v>
      </c>
      <c r="F1407" s="238" t="s">
        <v>2326</v>
      </c>
      <c r="G1407" s="238" t="s">
        <v>96</v>
      </c>
      <c r="H1407" s="239" t="s">
        <v>3261</v>
      </c>
      <c r="I1407" s="217"/>
      <c r="J1407" s="217"/>
      <c r="K1407" s="217"/>
      <c r="L1407" s="217"/>
      <c r="M1407" s="217"/>
      <c r="N1407" s="217"/>
      <c r="O1407" s="217"/>
      <c r="P1407" s="217"/>
    </row>
    <row r="1408" spans="1:16" s="213" customFormat="1" ht="30" hidden="1" x14ac:dyDescent="0.25">
      <c r="A1408" s="208" t="s">
        <v>263</v>
      </c>
      <c r="B1408" s="234">
        <v>1</v>
      </c>
      <c r="C1408" s="234">
        <v>3</v>
      </c>
      <c r="D1408" s="235" t="s">
        <v>2022</v>
      </c>
      <c r="E1408" s="235" t="s">
        <v>1836</v>
      </c>
      <c r="F1408" s="235" t="s">
        <v>2338</v>
      </c>
      <c r="G1408" s="234"/>
      <c r="H1408" s="236" t="s">
        <v>3262</v>
      </c>
      <c r="I1408" s="211">
        <f>SUM(I1409:I1416)</f>
        <v>0</v>
      </c>
      <c r="J1408" s="211">
        <f t="shared" ref="J1408:P1408" si="165">SUM(J1409:J1416)</f>
        <v>0</v>
      </c>
      <c r="K1408" s="211">
        <f t="shared" si="165"/>
        <v>0</v>
      </c>
      <c r="L1408" s="211">
        <f t="shared" si="165"/>
        <v>0</v>
      </c>
      <c r="M1408" s="211">
        <f t="shared" si="165"/>
        <v>0</v>
      </c>
      <c r="N1408" s="211">
        <f t="shared" si="165"/>
        <v>0</v>
      </c>
      <c r="O1408" s="211">
        <f t="shared" si="165"/>
        <v>0</v>
      </c>
      <c r="P1408" s="211">
        <f t="shared" si="165"/>
        <v>0</v>
      </c>
    </row>
    <row r="1409" spans="1:16" s="219" customFormat="1" ht="30" hidden="1" x14ac:dyDescent="0.25">
      <c r="A1409" s="214"/>
      <c r="B1409" s="237">
        <v>1</v>
      </c>
      <c r="C1409" s="237">
        <v>3</v>
      </c>
      <c r="D1409" s="238" t="s">
        <v>2022</v>
      </c>
      <c r="E1409" s="238" t="s">
        <v>1836</v>
      </c>
      <c r="F1409" s="238" t="s">
        <v>2338</v>
      </c>
      <c r="G1409" s="238" t="s">
        <v>58</v>
      </c>
      <c r="H1409" s="239" t="s">
        <v>3263</v>
      </c>
      <c r="I1409" s="217"/>
      <c r="J1409" s="217"/>
      <c r="K1409" s="217"/>
      <c r="L1409" s="217"/>
      <c r="M1409" s="217"/>
      <c r="N1409" s="217"/>
      <c r="O1409" s="217"/>
      <c r="P1409" s="217"/>
    </row>
    <row r="1410" spans="1:16" s="219" customFormat="1" ht="30" hidden="1" x14ac:dyDescent="0.25">
      <c r="A1410" s="214"/>
      <c r="B1410" s="237">
        <v>1</v>
      </c>
      <c r="C1410" s="237">
        <v>3</v>
      </c>
      <c r="D1410" s="238" t="s">
        <v>2022</v>
      </c>
      <c r="E1410" s="238" t="s">
        <v>1836</v>
      </c>
      <c r="F1410" s="238" t="s">
        <v>2338</v>
      </c>
      <c r="G1410" s="238" t="s">
        <v>75</v>
      </c>
      <c r="H1410" s="239" t="s">
        <v>3264</v>
      </c>
      <c r="I1410" s="217"/>
      <c r="J1410" s="217"/>
      <c r="K1410" s="217"/>
      <c r="L1410" s="217"/>
      <c r="M1410" s="217"/>
      <c r="N1410" s="217"/>
      <c r="O1410" s="217"/>
      <c r="P1410" s="217"/>
    </row>
    <row r="1411" spans="1:16" s="219" customFormat="1" ht="45" hidden="1" x14ac:dyDescent="0.25">
      <c r="A1411" s="214"/>
      <c r="B1411" s="237">
        <v>1</v>
      </c>
      <c r="C1411" s="237">
        <v>3</v>
      </c>
      <c r="D1411" s="238" t="s">
        <v>2022</v>
      </c>
      <c r="E1411" s="238" t="s">
        <v>1836</v>
      </c>
      <c r="F1411" s="238" t="s">
        <v>2338</v>
      </c>
      <c r="G1411" s="238" t="s">
        <v>79</v>
      </c>
      <c r="H1411" s="239" t="s">
        <v>3265</v>
      </c>
      <c r="I1411" s="217"/>
      <c r="J1411" s="217"/>
      <c r="K1411" s="217"/>
      <c r="L1411" s="217"/>
      <c r="M1411" s="217"/>
      <c r="N1411" s="217"/>
      <c r="O1411" s="217"/>
      <c r="P1411" s="217"/>
    </row>
    <row r="1412" spans="1:16" s="219" customFormat="1" ht="30" hidden="1" x14ac:dyDescent="0.25">
      <c r="A1412" s="214"/>
      <c r="B1412" s="237">
        <v>1</v>
      </c>
      <c r="C1412" s="237">
        <v>3</v>
      </c>
      <c r="D1412" s="238" t="s">
        <v>2022</v>
      </c>
      <c r="E1412" s="238" t="s">
        <v>1836</v>
      </c>
      <c r="F1412" s="238" t="s">
        <v>2338</v>
      </c>
      <c r="G1412" s="238" t="s">
        <v>84</v>
      </c>
      <c r="H1412" s="239" t="s">
        <v>3266</v>
      </c>
      <c r="I1412" s="217"/>
      <c r="J1412" s="217"/>
      <c r="K1412" s="217"/>
      <c r="L1412" s="217"/>
      <c r="M1412" s="217"/>
      <c r="N1412" s="217"/>
      <c r="O1412" s="217"/>
      <c r="P1412" s="217"/>
    </row>
    <row r="1413" spans="1:16" s="219" customFormat="1" ht="30" hidden="1" x14ac:dyDescent="0.25">
      <c r="A1413" s="214"/>
      <c r="B1413" s="237">
        <v>1</v>
      </c>
      <c r="C1413" s="237">
        <v>3</v>
      </c>
      <c r="D1413" s="238" t="s">
        <v>2022</v>
      </c>
      <c r="E1413" s="238" t="s">
        <v>1836</v>
      </c>
      <c r="F1413" s="238" t="s">
        <v>2338</v>
      </c>
      <c r="G1413" s="238" t="s">
        <v>88</v>
      </c>
      <c r="H1413" s="239" t="s">
        <v>3267</v>
      </c>
      <c r="I1413" s="217"/>
      <c r="J1413" s="217"/>
      <c r="K1413" s="217"/>
      <c r="L1413" s="217"/>
      <c r="M1413" s="217"/>
      <c r="N1413" s="217"/>
      <c r="O1413" s="217"/>
      <c r="P1413" s="217"/>
    </row>
    <row r="1414" spans="1:16" s="219" customFormat="1" ht="30" hidden="1" x14ac:dyDescent="0.25">
      <c r="A1414" s="214"/>
      <c r="B1414" s="237">
        <v>1</v>
      </c>
      <c r="C1414" s="237">
        <v>3</v>
      </c>
      <c r="D1414" s="238" t="s">
        <v>2022</v>
      </c>
      <c r="E1414" s="238" t="s">
        <v>1836</v>
      </c>
      <c r="F1414" s="238" t="s">
        <v>2338</v>
      </c>
      <c r="G1414" s="238" t="s">
        <v>92</v>
      </c>
      <c r="H1414" s="239" t="s">
        <v>3268</v>
      </c>
      <c r="I1414" s="217"/>
      <c r="J1414" s="217"/>
      <c r="K1414" s="217"/>
      <c r="L1414" s="217"/>
      <c r="M1414" s="217"/>
      <c r="N1414" s="217"/>
      <c r="O1414" s="217"/>
      <c r="P1414" s="217"/>
    </row>
    <row r="1415" spans="1:16" s="219" customFormat="1" ht="45" hidden="1" x14ac:dyDescent="0.25">
      <c r="A1415" s="214"/>
      <c r="B1415" s="237">
        <v>1</v>
      </c>
      <c r="C1415" s="237">
        <v>3</v>
      </c>
      <c r="D1415" s="238" t="s">
        <v>2022</v>
      </c>
      <c r="E1415" s="238" t="s">
        <v>1836</v>
      </c>
      <c r="F1415" s="238" t="s">
        <v>2338</v>
      </c>
      <c r="G1415" s="238" t="s">
        <v>96</v>
      </c>
      <c r="H1415" s="239" t="s">
        <v>3269</v>
      </c>
      <c r="I1415" s="217"/>
      <c r="J1415" s="217"/>
      <c r="K1415" s="217"/>
      <c r="L1415" s="217"/>
      <c r="M1415" s="217"/>
      <c r="N1415" s="217"/>
      <c r="O1415" s="217"/>
      <c r="P1415" s="217"/>
    </row>
    <row r="1416" spans="1:16" s="219" customFormat="1" ht="45" hidden="1" x14ac:dyDescent="0.25">
      <c r="A1416" s="214"/>
      <c r="B1416" s="237">
        <v>1</v>
      </c>
      <c r="C1416" s="237">
        <v>3</v>
      </c>
      <c r="D1416" s="238" t="s">
        <v>2022</v>
      </c>
      <c r="E1416" s="238" t="s">
        <v>1836</v>
      </c>
      <c r="F1416" s="238" t="s">
        <v>2338</v>
      </c>
      <c r="G1416" s="238" t="s">
        <v>100</v>
      </c>
      <c r="H1416" s="239" t="s">
        <v>3270</v>
      </c>
      <c r="I1416" s="217"/>
      <c r="J1416" s="217"/>
      <c r="K1416" s="217"/>
      <c r="L1416" s="217"/>
      <c r="M1416" s="217"/>
      <c r="N1416" s="217"/>
      <c r="O1416" s="217"/>
      <c r="P1416" s="217"/>
    </row>
    <row r="1417" spans="1:16" s="213" customFormat="1" ht="45" hidden="1" x14ac:dyDescent="0.25">
      <c r="A1417" s="208" t="s">
        <v>263</v>
      </c>
      <c r="B1417" s="234">
        <v>1</v>
      </c>
      <c r="C1417" s="234">
        <v>3</v>
      </c>
      <c r="D1417" s="235" t="s">
        <v>2022</v>
      </c>
      <c r="E1417" s="235" t="s">
        <v>1836</v>
      </c>
      <c r="F1417" s="235" t="s">
        <v>2351</v>
      </c>
      <c r="G1417" s="234"/>
      <c r="H1417" s="236" t="s">
        <v>3271</v>
      </c>
      <c r="I1417" s="211">
        <f>SUM(I1418:I1427)</f>
        <v>0</v>
      </c>
      <c r="J1417" s="211">
        <f t="shared" ref="J1417:P1417" si="166">SUM(J1418:J1427)</f>
        <v>0</v>
      </c>
      <c r="K1417" s="211">
        <f t="shared" si="166"/>
        <v>0</v>
      </c>
      <c r="L1417" s="211">
        <f t="shared" si="166"/>
        <v>0</v>
      </c>
      <c r="M1417" s="211">
        <f t="shared" si="166"/>
        <v>0</v>
      </c>
      <c r="N1417" s="211">
        <f t="shared" si="166"/>
        <v>0</v>
      </c>
      <c r="O1417" s="211">
        <f t="shared" si="166"/>
        <v>0</v>
      </c>
      <c r="P1417" s="211">
        <f t="shared" si="166"/>
        <v>0</v>
      </c>
    </row>
    <row r="1418" spans="1:16" s="219" customFormat="1" ht="30" hidden="1" x14ac:dyDescent="0.25">
      <c r="A1418" s="214"/>
      <c r="B1418" s="237">
        <v>1</v>
      </c>
      <c r="C1418" s="237">
        <v>3</v>
      </c>
      <c r="D1418" s="238" t="s">
        <v>2022</v>
      </c>
      <c r="E1418" s="238" t="s">
        <v>1836</v>
      </c>
      <c r="F1418" s="238" t="s">
        <v>2351</v>
      </c>
      <c r="G1418" s="238" t="s">
        <v>58</v>
      </c>
      <c r="H1418" s="239" t="s">
        <v>3272</v>
      </c>
      <c r="I1418" s="217"/>
      <c r="J1418" s="217"/>
      <c r="K1418" s="217"/>
      <c r="L1418" s="217"/>
      <c r="M1418" s="217"/>
      <c r="N1418" s="217"/>
      <c r="O1418" s="217"/>
      <c r="P1418" s="217"/>
    </row>
    <row r="1419" spans="1:16" s="219" customFormat="1" ht="30" hidden="1" x14ac:dyDescent="0.25">
      <c r="A1419" s="214"/>
      <c r="B1419" s="237">
        <v>1</v>
      </c>
      <c r="C1419" s="237">
        <v>3</v>
      </c>
      <c r="D1419" s="238" t="s">
        <v>2022</v>
      </c>
      <c r="E1419" s="238" t="s">
        <v>1836</v>
      </c>
      <c r="F1419" s="238" t="s">
        <v>2351</v>
      </c>
      <c r="G1419" s="238" t="s">
        <v>75</v>
      </c>
      <c r="H1419" s="239" t="s">
        <v>3273</v>
      </c>
      <c r="I1419" s="217"/>
      <c r="J1419" s="217"/>
      <c r="K1419" s="217"/>
      <c r="L1419" s="217"/>
      <c r="M1419" s="217"/>
      <c r="N1419" s="217"/>
      <c r="O1419" s="217"/>
      <c r="P1419" s="217"/>
    </row>
    <row r="1420" spans="1:16" s="219" customFormat="1" ht="30" hidden="1" x14ac:dyDescent="0.25">
      <c r="A1420" s="214"/>
      <c r="B1420" s="237">
        <v>1</v>
      </c>
      <c r="C1420" s="237">
        <v>3</v>
      </c>
      <c r="D1420" s="238" t="s">
        <v>2022</v>
      </c>
      <c r="E1420" s="238" t="s">
        <v>1836</v>
      </c>
      <c r="F1420" s="238" t="s">
        <v>2351</v>
      </c>
      <c r="G1420" s="238" t="s">
        <v>79</v>
      </c>
      <c r="H1420" s="239" t="s">
        <v>3274</v>
      </c>
      <c r="I1420" s="217"/>
      <c r="J1420" s="217"/>
      <c r="K1420" s="217"/>
      <c r="L1420" s="217"/>
      <c r="M1420" s="217"/>
      <c r="N1420" s="217"/>
      <c r="O1420" s="217"/>
      <c r="P1420" s="217"/>
    </row>
    <row r="1421" spans="1:16" s="219" customFormat="1" ht="30" hidden="1" x14ac:dyDescent="0.25">
      <c r="A1421" s="214"/>
      <c r="B1421" s="237">
        <v>1</v>
      </c>
      <c r="C1421" s="237">
        <v>3</v>
      </c>
      <c r="D1421" s="238" t="s">
        <v>2022</v>
      </c>
      <c r="E1421" s="238" t="s">
        <v>1836</v>
      </c>
      <c r="F1421" s="238" t="s">
        <v>2351</v>
      </c>
      <c r="G1421" s="238" t="s">
        <v>84</v>
      </c>
      <c r="H1421" s="239" t="s">
        <v>3275</v>
      </c>
      <c r="I1421" s="217"/>
      <c r="J1421" s="217"/>
      <c r="K1421" s="217"/>
      <c r="L1421" s="217"/>
      <c r="M1421" s="217"/>
      <c r="N1421" s="217"/>
      <c r="O1421" s="217"/>
      <c r="P1421" s="217"/>
    </row>
    <row r="1422" spans="1:16" s="219" customFormat="1" ht="30" hidden="1" x14ac:dyDescent="0.25">
      <c r="A1422" s="214"/>
      <c r="B1422" s="237">
        <v>1</v>
      </c>
      <c r="C1422" s="237">
        <v>3</v>
      </c>
      <c r="D1422" s="238" t="s">
        <v>2022</v>
      </c>
      <c r="E1422" s="238" t="s">
        <v>1836</v>
      </c>
      <c r="F1422" s="238" t="s">
        <v>2351</v>
      </c>
      <c r="G1422" s="238" t="s">
        <v>88</v>
      </c>
      <c r="H1422" s="239" t="s">
        <v>3276</v>
      </c>
      <c r="I1422" s="217"/>
      <c r="J1422" s="217"/>
      <c r="K1422" s="217"/>
      <c r="L1422" s="217"/>
      <c r="M1422" s="217"/>
      <c r="N1422" s="217"/>
      <c r="O1422" s="217"/>
      <c r="P1422" s="217"/>
    </row>
    <row r="1423" spans="1:16" s="219" customFormat="1" ht="45" hidden="1" x14ac:dyDescent="0.25">
      <c r="A1423" s="214"/>
      <c r="B1423" s="237">
        <v>1</v>
      </c>
      <c r="C1423" s="237">
        <v>3</v>
      </c>
      <c r="D1423" s="238" t="s">
        <v>2022</v>
      </c>
      <c r="E1423" s="238" t="s">
        <v>1836</v>
      </c>
      <c r="F1423" s="238" t="s">
        <v>2351</v>
      </c>
      <c r="G1423" s="238" t="s">
        <v>92</v>
      </c>
      <c r="H1423" s="239" t="s">
        <v>3277</v>
      </c>
      <c r="I1423" s="217"/>
      <c r="J1423" s="217"/>
      <c r="K1423" s="217"/>
      <c r="L1423" s="217"/>
      <c r="M1423" s="217"/>
      <c r="N1423" s="217"/>
      <c r="O1423" s="217"/>
      <c r="P1423" s="217"/>
    </row>
    <row r="1424" spans="1:16" s="219" customFormat="1" ht="45" hidden="1" x14ac:dyDescent="0.25">
      <c r="A1424" s="214"/>
      <c r="B1424" s="237">
        <v>1</v>
      </c>
      <c r="C1424" s="237">
        <v>3</v>
      </c>
      <c r="D1424" s="238" t="s">
        <v>2022</v>
      </c>
      <c r="E1424" s="238" t="s">
        <v>1836</v>
      </c>
      <c r="F1424" s="238" t="s">
        <v>2351</v>
      </c>
      <c r="G1424" s="238" t="s">
        <v>96</v>
      </c>
      <c r="H1424" s="239" t="s">
        <v>3278</v>
      </c>
      <c r="I1424" s="217"/>
      <c r="J1424" s="217"/>
      <c r="K1424" s="217"/>
      <c r="L1424" s="217"/>
      <c r="M1424" s="217"/>
      <c r="N1424" s="217"/>
      <c r="O1424" s="217"/>
      <c r="P1424" s="217"/>
    </row>
    <row r="1425" spans="1:16" s="219" customFormat="1" ht="45" hidden="1" x14ac:dyDescent="0.25">
      <c r="A1425" s="214"/>
      <c r="B1425" s="237">
        <v>1</v>
      </c>
      <c r="C1425" s="237">
        <v>3</v>
      </c>
      <c r="D1425" s="238" t="s">
        <v>2022</v>
      </c>
      <c r="E1425" s="238" t="s">
        <v>1836</v>
      </c>
      <c r="F1425" s="238" t="s">
        <v>2351</v>
      </c>
      <c r="G1425" s="238" t="s">
        <v>100</v>
      </c>
      <c r="H1425" s="239" t="s">
        <v>3279</v>
      </c>
      <c r="I1425" s="217"/>
      <c r="J1425" s="217"/>
      <c r="K1425" s="217"/>
      <c r="L1425" s="217"/>
      <c r="M1425" s="217"/>
      <c r="N1425" s="217"/>
      <c r="O1425" s="217"/>
      <c r="P1425" s="217"/>
    </row>
    <row r="1426" spans="1:16" s="219" customFormat="1" ht="45" hidden="1" x14ac:dyDescent="0.25">
      <c r="A1426" s="214"/>
      <c r="B1426" s="237">
        <v>1</v>
      </c>
      <c r="C1426" s="237">
        <v>3</v>
      </c>
      <c r="D1426" s="238" t="s">
        <v>2022</v>
      </c>
      <c r="E1426" s="238" t="s">
        <v>1836</v>
      </c>
      <c r="F1426" s="238" t="s">
        <v>2351</v>
      </c>
      <c r="G1426" s="238" t="s">
        <v>105</v>
      </c>
      <c r="H1426" s="239" t="s">
        <v>3280</v>
      </c>
      <c r="I1426" s="217"/>
      <c r="J1426" s="217"/>
      <c r="K1426" s="217"/>
      <c r="L1426" s="217"/>
      <c r="M1426" s="217"/>
      <c r="N1426" s="217"/>
      <c r="O1426" s="217"/>
      <c r="P1426" s="217"/>
    </row>
    <row r="1427" spans="1:16" s="219" customFormat="1" ht="45" hidden="1" x14ac:dyDescent="0.25">
      <c r="A1427" s="214"/>
      <c r="B1427" s="237">
        <v>1</v>
      </c>
      <c r="C1427" s="237">
        <v>3</v>
      </c>
      <c r="D1427" s="238" t="s">
        <v>2022</v>
      </c>
      <c r="E1427" s="238" t="s">
        <v>1836</v>
      </c>
      <c r="F1427" s="238" t="s">
        <v>2351</v>
      </c>
      <c r="G1427" s="238" t="s">
        <v>108</v>
      </c>
      <c r="H1427" s="239" t="s">
        <v>3281</v>
      </c>
      <c r="I1427" s="217"/>
      <c r="J1427" s="217"/>
      <c r="K1427" s="217"/>
      <c r="L1427" s="217"/>
      <c r="M1427" s="217"/>
      <c r="N1427" s="217"/>
      <c r="O1427" s="217"/>
      <c r="P1427" s="217"/>
    </row>
    <row r="1428" spans="1:16" s="213" customFormat="1" ht="30" hidden="1" x14ac:dyDescent="0.25">
      <c r="A1428" s="208" t="s">
        <v>263</v>
      </c>
      <c r="B1428" s="234">
        <v>1</v>
      </c>
      <c r="C1428" s="234">
        <v>3</v>
      </c>
      <c r="D1428" s="235" t="s">
        <v>2022</v>
      </c>
      <c r="E1428" s="235" t="s">
        <v>1836</v>
      </c>
      <c r="F1428" s="235" t="s">
        <v>2367</v>
      </c>
      <c r="G1428" s="234"/>
      <c r="H1428" s="236" t="s">
        <v>3282</v>
      </c>
      <c r="I1428" s="211">
        <f>SUM(I1429:I1434)</f>
        <v>0</v>
      </c>
      <c r="J1428" s="211">
        <f t="shared" ref="J1428:P1428" si="167">SUM(J1429:J1434)</f>
        <v>0</v>
      </c>
      <c r="K1428" s="211">
        <f t="shared" si="167"/>
        <v>0</v>
      </c>
      <c r="L1428" s="211">
        <f t="shared" si="167"/>
        <v>0</v>
      </c>
      <c r="M1428" s="211">
        <f t="shared" si="167"/>
        <v>0</v>
      </c>
      <c r="N1428" s="211">
        <f t="shared" si="167"/>
        <v>0</v>
      </c>
      <c r="O1428" s="211">
        <f t="shared" si="167"/>
        <v>0</v>
      </c>
      <c r="P1428" s="211">
        <f t="shared" si="167"/>
        <v>0</v>
      </c>
    </row>
    <row r="1429" spans="1:16" s="219" customFormat="1" ht="30" hidden="1" x14ac:dyDescent="0.25">
      <c r="A1429" s="214"/>
      <c r="B1429" s="237">
        <v>1</v>
      </c>
      <c r="C1429" s="237">
        <v>3</v>
      </c>
      <c r="D1429" s="238" t="s">
        <v>2022</v>
      </c>
      <c r="E1429" s="238" t="s">
        <v>1836</v>
      </c>
      <c r="F1429" s="238" t="s">
        <v>2367</v>
      </c>
      <c r="G1429" s="238" t="s">
        <v>58</v>
      </c>
      <c r="H1429" s="239" t="s">
        <v>3283</v>
      </c>
      <c r="I1429" s="217"/>
      <c r="J1429" s="217"/>
      <c r="K1429" s="217"/>
      <c r="L1429" s="217"/>
      <c r="M1429" s="217"/>
      <c r="N1429" s="217"/>
      <c r="O1429" s="217"/>
      <c r="P1429" s="217"/>
    </row>
    <row r="1430" spans="1:16" s="219" customFormat="1" ht="30" hidden="1" x14ac:dyDescent="0.25">
      <c r="A1430" s="214"/>
      <c r="B1430" s="237">
        <v>1</v>
      </c>
      <c r="C1430" s="237">
        <v>3</v>
      </c>
      <c r="D1430" s="238" t="s">
        <v>2022</v>
      </c>
      <c r="E1430" s="238" t="s">
        <v>1836</v>
      </c>
      <c r="F1430" s="238" t="s">
        <v>2367</v>
      </c>
      <c r="G1430" s="238" t="s">
        <v>75</v>
      </c>
      <c r="H1430" s="239" t="s">
        <v>3284</v>
      </c>
      <c r="I1430" s="217"/>
      <c r="J1430" s="217"/>
      <c r="K1430" s="217"/>
      <c r="L1430" s="217"/>
      <c r="M1430" s="217"/>
      <c r="N1430" s="217"/>
      <c r="O1430" s="217"/>
      <c r="P1430" s="217"/>
    </row>
    <row r="1431" spans="1:16" s="219" customFormat="1" ht="45" hidden="1" x14ac:dyDescent="0.25">
      <c r="A1431" s="214"/>
      <c r="B1431" s="237">
        <v>1</v>
      </c>
      <c r="C1431" s="237">
        <v>3</v>
      </c>
      <c r="D1431" s="238" t="s">
        <v>2022</v>
      </c>
      <c r="E1431" s="238" t="s">
        <v>1836</v>
      </c>
      <c r="F1431" s="238" t="s">
        <v>2367</v>
      </c>
      <c r="G1431" s="238" t="s">
        <v>79</v>
      </c>
      <c r="H1431" s="239" t="s">
        <v>3285</v>
      </c>
      <c r="I1431" s="217"/>
      <c r="J1431" s="217"/>
      <c r="K1431" s="217"/>
      <c r="L1431" s="217"/>
      <c r="M1431" s="217"/>
      <c r="N1431" s="217"/>
      <c r="O1431" s="217"/>
      <c r="P1431" s="217"/>
    </row>
    <row r="1432" spans="1:16" s="219" customFormat="1" ht="30" hidden="1" x14ac:dyDescent="0.25">
      <c r="A1432" s="214"/>
      <c r="B1432" s="237">
        <v>1</v>
      </c>
      <c r="C1432" s="237">
        <v>3</v>
      </c>
      <c r="D1432" s="238" t="s">
        <v>2022</v>
      </c>
      <c r="E1432" s="238" t="s">
        <v>1836</v>
      </c>
      <c r="F1432" s="238" t="s">
        <v>2367</v>
      </c>
      <c r="G1432" s="238" t="s">
        <v>84</v>
      </c>
      <c r="H1432" s="239" t="s">
        <v>3286</v>
      </c>
      <c r="I1432" s="217"/>
      <c r="J1432" s="217"/>
      <c r="K1432" s="217"/>
      <c r="L1432" s="217"/>
      <c r="M1432" s="217"/>
      <c r="N1432" s="217"/>
      <c r="O1432" s="217"/>
      <c r="P1432" s="217"/>
    </row>
    <row r="1433" spans="1:16" s="219" customFormat="1" ht="30" hidden="1" x14ac:dyDescent="0.25">
      <c r="A1433" s="214"/>
      <c r="B1433" s="237">
        <v>1</v>
      </c>
      <c r="C1433" s="237">
        <v>3</v>
      </c>
      <c r="D1433" s="238" t="s">
        <v>2022</v>
      </c>
      <c r="E1433" s="238" t="s">
        <v>1836</v>
      </c>
      <c r="F1433" s="238" t="s">
        <v>2367</v>
      </c>
      <c r="G1433" s="238" t="s">
        <v>88</v>
      </c>
      <c r="H1433" s="239" t="s">
        <v>3287</v>
      </c>
      <c r="I1433" s="217"/>
      <c r="J1433" s="217"/>
      <c r="K1433" s="217"/>
      <c r="L1433" s="217"/>
      <c r="M1433" s="217"/>
      <c r="N1433" s="217"/>
      <c r="O1433" s="217"/>
      <c r="P1433" s="217"/>
    </row>
    <row r="1434" spans="1:16" s="219" customFormat="1" ht="45" hidden="1" x14ac:dyDescent="0.25">
      <c r="A1434" s="214"/>
      <c r="B1434" s="237">
        <v>1</v>
      </c>
      <c r="C1434" s="237">
        <v>3</v>
      </c>
      <c r="D1434" s="238" t="s">
        <v>2022</v>
      </c>
      <c r="E1434" s="238" t="s">
        <v>1836</v>
      </c>
      <c r="F1434" s="238" t="s">
        <v>2367</v>
      </c>
      <c r="G1434" s="238" t="s">
        <v>92</v>
      </c>
      <c r="H1434" s="239" t="s">
        <v>3288</v>
      </c>
      <c r="I1434" s="217"/>
      <c r="J1434" s="217"/>
      <c r="K1434" s="217"/>
      <c r="L1434" s="217"/>
      <c r="M1434" s="217"/>
      <c r="N1434" s="217"/>
      <c r="O1434" s="217"/>
      <c r="P1434" s="217"/>
    </row>
    <row r="1435" spans="1:16" s="213" customFormat="1" ht="30" hidden="1" x14ac:dyDescent="0.25">
      <c r="A1435" s="208" t="s">
        <v>263</v>
      </c>
      <c r="B1435" s="234">
        <v>1</v>
      </c>
      <c r="C1435" s="234">
        <v>3</v>
      </c>
      <c r="D1435" s="235" t="s">
        <v>2022</v>
      </c>
      <c r="E1435" s="235" t="s">
        <v>1836</v>
      </c>
      <c r="F1435" s="235" t="s">
        <v>2376</v>
      </c>
      <c r="G1435" s="234"/>
      <c r="H1435" s="236" t="s">
        <v>3289</v>
      </c>
      <c r="I1435" s="211">
        <f>SUM(I1436:I1455)</f>
        <v>0</v>
      </c>
      <c r="J1435" s="211">
        <f t="shared" ref="J1435:P1435" si="168">SUM(J1436:J1455)</f>
        <v>0</v>
      </c>
      <c r="K1435" s="211">
        <f t="shared" si="168"/>
        <v>0</v>
      </c>
      <c r="L1435" s="211">
        <f t="shared" si="168"/>
        <v>0</v>
      </c>
      <c r="M1435" s="211">
        <f t="shared" si="168"/>
        <v>0</v>
      </c>
      <c r="N1435" s="211">
        <f t="shared" si="168"/>
        <v>0</v>
      </c>
      <c r="O1435" s="211">
        <f t="shared" si="168"/>
        <v>0</v>
      </c>
      <c r="P1435" s="211">
        <f t="shared" si="168"/>
        <v>0</v>
      </c>
    </row>
    <row r="1436" spans="1:16" s="219" customFormat="1" ht="30" hidden="1" x14ac:dyDescent="0.25">
      <c r="A1436" s="214"/>
      <c r="B1436" s="237">
        <v>1</v>
      </c>
      <c r="C1436" s="237">
        <v>3</v>
      </c>
      <c r="D1436" s="238" t="s">
        <v>2022</v>
      </c>
      <c r="E1436" s="238" t="s">
        <v>1836</v>
      </c>
      <c r="F1436" s="238" t="s">
        <v>2376</v>
      </c>
      <c r="G1436" s="238" t="s">
        <v>58</v>
      </c>
      <c r="H1436" s="239" t="s">
        <v>3290</v>
      </c>
      <c r="I1436" s="217"/>
      <c r="J1436" s="217"/>
      <c r="K1436" s="217"/>
      <c r="L1436" s="217"/>
      <c r="M1436" s="217"/>
      <c r="N1436" s="217"/>
      <c r="O1436" s="217"/>
      <c r="P1436" s="217"/>
    </row>
    <row r="1437" spans="1:16" s="219" customFormat="1" ht="30" hidden="1" x14ac:dyDescent="0.25">
      <c r="A1437" s="214"/>
      <c r="B1437" s="237">
        <v>1</v>
      </c>
      <c r="C1437" s="237">
        <v>3</v>
      </c>
      <c r="D1437" s="238" t="s">
        <v>2022</v>
      </c>
      <c r="E1437" s="238" t="s">
        <v>1836</v>
      </c>
      <c r="F1437" s="238" t="s">
        <v>2376</v>
      </c>
      <c r="G1437" s="238" t="s">
        <v>75</v>
      </c>
      <c r="H1437" s="239" t="s">
        <v>3291</v>
      </c>
      <c r="I1437" s="217"/>
      <c r="J1437" s="217"/>
      <c r="K1437" s="217"/>
      <c r="L1437" s="217"/>
      <c r="M1437" s="217"/>
      <c r="N1437" s="217"/>
      <c r="O1437" s="217"/>
      <c r="P1437" s="217"/>
    </row>
    <row r="1438" spans="1:16" s="219" customFormat="1" ht="30" hidden="1" x14ac:dyDescent="0.25">
      <c r="A1438" s="214"/>
      <c r="B1438" s="237">
        <v>1</v>
      </c>
      <c r="C1438" s="237">
        <v>3</v>
      </c>
      <c r="D1438" s="238" t="s">
        <v>2022</v>
      </c>
      <c r="E1438" s="238" t="s">
        <v>1836</v>
      </c>
      <c r="F1438" s="238" t="s">
        <v>2376</v>
      </c>
      <c r="G1438" s="238" t="s">
        <v>79</v>
      </c>
      <c r="H1438" s="239" t="s">
        <v>3292</v>
      </c>
      <c r="I1438" s="217"/>
      <c r="J1438" s="217"/>
      <c r="K1438" s="217"/>
      <c r="L1438" s="217"/>
      <c r="M1438" s="217"/>
      <c r="N1438" s="217"/>
      <c r="O1438" s="217"/>
      <c r="P1438" s="217"/>
    </row>
    <row r="1439" spans="1:16" s="219" customFormat="1" ht="30" hidden="1" x14ac:dyDescent="0.25">
      <c r="A1439" s="214"/>
      <c r="B1439" s="237">
        <v>1</v>
      </c>
      <c r="C1439" s="237">
        <v>3</v>
      </c>
      <c r="D1439" s="238" t="s">
        <v>2022</v>
      </c>
      <c r="E1439" s="238" t="s">
        <v>1836</v>
      </c>
      <c r="F1439" s="238" t="s">
        <v>2376</v>
      </c>
      <c r="G1439" s="238" t="s">
        <v>84</v>
      </c>
      <c r="H1439" s="239" t="s">
        <v>3293</v>
      </c>
      <c r="I1439" s="217"/>
      <c r="J1439" s="217"/>
      <c r="K1439" s="217"/>
      <c r="L1439" s="217"/>
      <c r="M1439" s="217"/>
      <c r="N1439" s="217"/>
      <c r="O1439" s="217"/>
      <c r="P1439" s="217"/>
    </row>
    <row r="1440" spans="1:16" s="219" customFormat="1" ht="30" hidden="1" x14ac:dyDescent="0.25">
      <c r="A1440" s="214"/>
      <c r="B1440" s="237">
        <v>1</v>
      </c>
      <c r="C1440" s="237">
        <v>3</v>
      </c>
      <c r="D1440" s="238" t="s">
        <v>2022</v>
      </c>
      <c r="E1440" s="238" t="s">
        <v>1836</v>
      </c>
      <c r="F1440" s="238" t="s">
        <v>2376</v>
      </c>
      <c r="G1440" s="238" t="s">
        <v>88</v>
      </c>
      <c r="H1440" s="239" t="s">
        <v>3294</v>
      </c>
      <c r="I1440" s="217"/>
      <c r="J1440" s="217"/>
      <c r="K1440" s="217"/>
      <c r="L1440" s="217"/>
      <c r="M1440" s="217"/>
      <c r="N1440" s="217"/>
      <c r="O1440" s="217"/>
      <c r="P1440" s="217"/>
    </row>
    <row r="1441" spans="1:16" s="219" customFormat="1" ht="30" hidden="1" x14ac:dyDescent="0.25">
      <c r="A1441" s="214"/>
      <c r="B1441" s="237">
        <v>1</v>
      </c>
      <c r="C1441" s="237">
        <v>3</v>
      </c>
      <c r="D1441" s="238" t="s">
        <v>2022</v>
      </c>
      <c r="E1441" s="238" t="s">
        <v>1836</v>
      </c>
      <c r="F1441" s="238" t="s">
        <v>2376</v>
      </c>
      <c r="G1441" s="238" t="s">
        <v>92</v>
      </c>
      <c r="H1441" s="239" t="s">
        <v>3295</v>
      </c>
      <c r="I1441" s="217"/>
      <c r="J1441" s="217"/>
      <c r="K1441" s="217"/>
      <c r="L1441" s="217"/>
      <c r="M1441" s="217"/>
      <c r="N1441" s="217"/>
      <c r="O1441" s="217"/>
      <c r="P1441" s="217"/>
    </row>
    <row r="1442" spans="1:16" s="219" customFormat="1" ht="30" hidden="1" x14ac:dyDescent="0.25">
      <c r="A1442" s="214"/>
      <c r="B1442" s="237">
        <v>1</v>
      </c>
      <c r="C1442" s="237">
        <v>3</v>
      </c>
      <c r="D1442" s="238" t="s">
        <v>2022</v>
      </c>
      <c r="E1442" s="238" t="s">
        <v>1836</v>
      </c>
      <c r="F1442" s="238" t="s">
        <v>2376</v>
      </c>
      <c r="G1442" s="238" t="s">
        <v>96</v>
      </c>
      <c r="H1442" s="239" t="s">
        <v>3296</v>
      </c>
      <c r="I1442" s="217"/>
      <c r="J1442" s="217"/>
      <c r="K1442" s="217"/>
      <c r="L1442" s="217"/>
      <c r="M1442" s="217"/>
      <c r="N1442" s="217"/>
      <c r="O1442" s="217"/>
      <c r="P1442" s="217"/>
    </row>
    <row r="1443" spans="1:16" s="219" customFormat="1" ht="30" hidden="1" x14ac:dyDescent="0.25">
      <c r="A1443" s="214"/>
      <c r="B1443" s="237">
        <v>1</v>
      </c>
      <c r="C1443" s="237">
        <v>3</v>
      </c>
      <c r="D1443" s="238" t="s">
        <v>2022</v>
      </c>
      <c r="E1443" s="238" t="s">
        <v>1836</v>
      </c>
      <c r="F1443" s="238" t="s">
        <v>2376</v>
      </c>
      <c r="G1443" s="238" t="s">
        <v>100</v>
      </c>
      <c r="H1443" s="239" t="s">
        <v>3297</v>
      </c>
      <c r="I1443" s="217"/>
      <c r="J1443" s="217"/>
      <c r="K1443" s="217"/>
      <c r="L1443" s="217"/>
      <c r="M1443" s="217"/>
      <c r="N1443" s="217"/>
      <c r="O1443" s="217"/>
      <c r="P1443" s="217"/>
    </row>
    <row r="1444" spans="1:16" s="219" customFormat="1" ht="30" hidden="1" x14ac:dyDescent="0.25">
      <c r="A1444" s="214"/>
      <c r="B1444" s="237">
        <v>1</v>
      </c>
      <c r="C1444" s="237">
        <v>3</v>
      </c>
      <c r="D1444" s="238" t="s">
        <v>2022</v>
      </c>
      <c r="E1444" s="238" t="s">
        <v>1836</v>
      </c>
      <c r="F1444" s="238" t="s">
        <v>2376</v>
      </c>
      <c r="G1444" s="238" t="s">
        <v>105</v>
      </c>
      <c r="H1444" s="239" t="s">
        <v>3298</v>
      </c>
      <c r="I1444" s="217"/>
      <c r="J1444" s="217"/>
      <c r="K1444" s="217"/>
      <c r="L1444" s="217"/>
      <c r="M1444" s="217"/>
      <c r="N1444" s="217"/>
      <c r="O1444" s="217"/>
      <c r="P1444" s="217"/>
    </row>
    <row r="1445" spans="1:16" s="219" customFormat="1" ht="30" hidden="1" x14ac:dyDescent="0.25">
      <c r="A1445" s="214"/>
      <c r="B1445" s="237">
        <v>1</v>
      </c>
      <c r="C1445" s="237">
        <v>3</v>
      </c>
      <c r="D1445" s="238" t="s">
        <v>2022</v>
      </c>
      <c r="E1445" s="238" t="s">
        <v>1836</v>
      </c>
      <c r="F1445" s="238" t="s">
        <v>2376</v>
      </c>
      <c r="G1445" s="238" t="s">
        <v>108</v>
      </c>
      <c r="H1445" s="239" t="s">
        <v>3299</v>
      </c>
      <c r="I1445" s="217"/>
      <c r="J1445" s="217"/>
      <c r="K1445" s="217"/>
      <c r="L1445" s="217"/>
      <c r="M1445" s="217"/>
      <c r="N1445" s="217"/>
      <c r="O1445" s="217"/>
      <c r="P1445" s="217"/>
    </row>
    <row r="1446" spans="1:16" s="219" customFormat="1" ht="30" hidden="1" x14ac:dyDescent="0.25">
      <c r="A1446" s="214"/>
      <c r="B1446" s="237">
        <v>1</v>
      </c>
      <c r="C1446" s="237">
        <v>3</v>
      </c>
      <c r="D1446" s="238" t="s">
        <v>2022</v>
      </c>
      <c r="E1446" s="238" t="s">
        <v>1836</v>
      </c>
      <c r="F1446" s="238" t="s">
        <v>2376</v>
      </c>
      <c r="G1446" s="238" t="s">
        <v>135</v>
      </c>
      <c r="H1446" s="239" t="s">
        <v>3300</v>
      </c>
      <c r="I1446" s="217"/>
      <c r="J1446" s="217"/>
      <c r="K1446" s="217"/>
      <c r="L1446" s="217"/>
      <c r="M1446" s="217"/>
      <c r="N1446" s="217"/>
      <c r="O1446" s="217"/>
      <c r="P1446" s="217"/>
    </row>
    <row r="1447" spans="1:16" s="219" customFormat="1" ht="30" hidden="1" x14ac:dyDescent="0.25">
      <c r="A1447" s="214"/>
      <c r="B1447" s="237">
        <v>1</v>
      </c>
      <c r="C1447" s="237">
        <v>3</v>
      </c>
      <c r="D1447" s="238" t="s">
        <v>2022</v>
      </c>
      <c r="E1447" s="238" t="s">
        <v>1836</v>
      </c>
      <c r="F1447" s="238" t="s">
        <v>2376</v>
      </c>
      <c r="G1447" s="238" t="s">
        <v>138</v>
      </c>
      <c r="H1447" s="239" t="s">
        <v>3301</v>
      </c>
      <c r="I1447" s="217"/>
      <c r="J1447" s="217"/>
      <c r="K1447" s="217"/>
      <c r="L1447" s="217"/>
      <c r="M1447" s="217"/>
      <c r="N1447" s="217"/>
      <c r="O1447" s="217"/>
      <c r="P1447" s="217"/>
    </row>
    <row r="1448" spans="1:16" s="219" customFormat="1" ht="30" hidden="1" x14ac:dyDescent="0.25">
      <c r="A1448" s="214"/>
      <c r="B1448" s="237">
        <v>1</v>
      </c>
      <c r="C1448" s="237">
        <v>3</v>
      </c>
      <c r="D1448" s="238" t="s">
        <v>2022</v>
      </c>
      <c r="E1448" s="238" t="s">
        <v>1836</v>
      </c>
      <c r="F1448" s="238" t="s">
        <v>2376</v>
      </c>
      <c r="G1448" s="238" t="s">
        <v>140</v>
      </c>
      <c r="H1448" s="239" t="s">
        <v>3302</v>
      </c>
      <c r="I1448" s="217"/>
      <c r="J1448" s="217"/>
      <c r="K1448" s="217"/>
      <c r="L1448" s="217"/>
      <c r="M1448" s="217"/>
      <c r="N1448" s="217"/>
      <c r="O1448" s="217"/>
      <c r="P1448" s="217"/>
    </row>
    <row r="1449" spans="1:16" s="219" customFormat="1" ht="45" hidden="1" x14ac:dyDescent="0.25">
      <c r="A1449" s="214"/>
      <c r="B1449" s="237">
        <v>1</v>
      </c>
      <c r="C1449" s="237">
        <v>3</v>
      </c>
      <c r="D1449" s="238" t="s">
        <v>2022</v>
      </c>
      <c r="E1449" s="238" t="s">
        <v>1836</v>
      </c>
      <c r="F1449" s="238" t="s">
        <v>2376</v>
      </c>
      <c r="G1449" s="238" t="s">
        <v>143</v>
      </c>
      <c r="H1449" s="239" t="s">
        <v>3303</v>
      </c>
      <c r="I1449" s="217"/>
      <c r="J1449" s="217"/>
      <c r="K1449" s="217"/>
      <c r="L1449" s="217"/>
      <c r="M1449" s="217"/>
      <c r="N1449" s="217"/>
      <c r="O1449" s="217"/>
      <c r="P1449" s="217"/>
    </row>
    <row r="1450" spans="1:16" s="219" customFormat="1" ht="60" hidden="1" x14ac:dyDescent="0.25">
      <c r="A1450" s="214"/>
      <c r="B1450" s="237">
        <v>1</v>
      </c>
      <c r="C1450" s="237">
        <v>3</v>
      </c>
      <c r="D1450" s="238" t="s">
        <v>2022</v>
      </c>
      <c r="E1450" s="238" t="s">
        <v>1836</v>
      </c>
      <c r="F1450" s="238" t="s">
        <v>2376</v>
      </c>
      <c r="G1450" s="238" t="s">
        <v>146</v>
      </c>
      <c r="H1450" s="239" t="s">
        <v>3304</v>
      </c>
      <c r="I1450" s="217"/>
      <c r="J1450" s="217"/>
      <c r="K1450" s="217"/>
      <c r="L1450" s="217"/>
      <c r="M1450" s="217"/>
      <c r="N1450" s="217"/>
      <c r="O1450" s="217"/>
      <c r="P1450" s="217"/>
    </row>
    <row r="1451" spans="1:16" s="219" customFormat="1" ht="45" hidden="1" x14ac:dyDescent="0.25">
      <c r="A1451" s="214"/>
      <c r="B1451" s="237">
        <v>1</v>
      </c>
      <c r="C1451" s="237">
        <v>3</v>
      </c>
      <c r="D1451" s="238" t="s">
        <v>2022</v>
      </c>
      <c r="E1451" s="238" t="s">
        <v>1836</v>
      </c>
      <c r="F1451" s="238" t="s">
        <v>2376</v>
      </c>
      <c r="G1451" s="238" t="s">
        <v>150</v>
      </c>
      <c r="H1451" s="239" t="s">
        <v>3305</v>
      </c>
      <c r="I1451" s="217"/>
      <c r="J1451" s="217"/>
      <c r="K1451" s="217"/>
      <c r="L1451" s="217"/>
      <c r="M1451" s="217"/>
      <c r="N1451" s="217"/>
      <c r="O1451" s="217"/>
      <c r="P1451" s="217"/>
    </row>
    <row r="1452" spans="1:16" s="219" customFormat="1" ht="60" hidden="1" x14ac:dyDescent="0.25">
      <c r="A1452" s="214"/>
      <c r="B1452" s="237">
        <v>1</v>
      </c>
      <c r="C1452" s="237">
        <v>3</v>
      </c>
      <c r="D1452" s="238" t="s">
        <v>2022</v>
      </c>
      <c r="E1452" s="238" t="s">
        <v>1836</v>
      </c>
      <c r="F1452" s="238" t="s">
        <v>2376</v>
      </c>
      <c r="G1452" s="238" t="s">
        <v>153</v>
      </c>
      <c r="H1452" s="239" t="s">
        <v>3306</v>
      </c>
      <c r="I1452" s="217"/>
      <c r="J1452" s="217"/>
      <c r="K1452" s="217"/>
      <c r="L1452" s="217"/>
      <c r="M1452" s="217"/>
      <c r="N1452" s="217"/>
      <c r="O1452" s="217"/>
      <c r="P1452" s="217"/>
    </row>
    <row r="1453" spans="1:16" s="219" customFormat="1" ht="45" hidden="1" x14ac:dyDescent="0.25">
      <c r="A1453" s="214"/>
      <c r="B1453" s="237">
        <v>1</v>
      </c>
      <c r="C1453" s="237">
        <v>3</v>
      </c>
      <c r="D1453" s="238" t="s">
        <v>2022</v>
      </c>
      <c r="E1453" s="238" t="s">
        <v>1836</v>
      </c>
      <c r="F1453" s="238" t="s">
        <v>2376</v>
      </c>
      <c r="G1453" s="238" t="s">
        <v>156</v>
      </c>
      <c r="H1453" s="239" t="s">
        <v>3307</v>
      </c>
      <c r="I1453" s="217"/>
      <c r="J1453" s="217"/>
      <c r="K1453" s="217"/>
      <c r="L1453" s="217"/>
      <c r="M1453" s="217"/>
      <c r="N1453" s="217"/>
      <c r="O1453" s="217"/>
      <c r="P1453" s="217"/>
    </row>
    <row r="1454" spans="1:16" s="219" customFormat="1" ht="45" hidden="1" x14ac:dyDescent="0.25">
      <c r="A1454" s="214"/>
      <c r="B1454" s="237">
        <v>1</v>
      </c>
      <c r="C1454" s="237">
        <v>3</v>
      </c>
      <c r="D1454" s="238" t="s">
        <v>2022</v>
      </c>
      <c r="E1454" s="238" t="s">
        <v>1836</v>
      </c>
      <c r="F1454" s="238" t="s">
        <v>2376</v>
      </c>
      <c r="G1454" s="238" t="s">
        <v>159</v>
      </c>
      <c r="H1454" s="239" t="s">
        <v>3308</v>
      </c>
      <c r="I1454" s="217"/>
      <c r="J1454" s="217"/>
      <c r="K1454" s="217"/>
      <c r="L1454" s="217"/>
      <c r="M1454" s="217"/>
      <c r="N1454" s="217"/>
      <c r="O1454" s="217"/>
      <c r="P1454" s="217"/>
    </row>
    <row r="1455" spans="1:16" s="219" customFormat="1" ht="45" hidden="1" x14ac:dyDescent="0.25">
      <c r="A1455" s="214"/>
      <c r="B1455" s="237">
        <v>1</v>
      </c>
      <c r="C1455" s="237">
        <v>3</v>
      </c>
      <c r="D1455" s="238" t="s">
        <v>2022</v>
      </c>
      <c r="E1455" s="238" t="s">
        <v>1836</v>
      </c>
      <c r="F1455" s="238" t="s">
        <v>2376</v>
      </c>
      <c r="G1455" s="238" t="s">
        <v>162</v>
      </c>
      <c r="H1455" s="239" t="s">
        <v>3309</v>
      </c>
      <c r="I1455" s="217"/>
      <c r="J1455" s="217"/>
      <c r="K1455" s="217"/>
      <c r="L1455" s="217"/>
      <c r="M1455" s="217"/>
      <c r="N1455" s="217"/>
      <c r="O1455" s="217"/>
      <c r="P1455" s="217"/>
    </row>
    <row r="1456" spans="1:16" s="213" customFormat="1" ht="30" hidden="1" x14ac:dyDescent="0.25">
      <c r="A1456" s="208" t="s">
        <v>263</v>
      </c>
      <c r="B1456" s="234">
        <v>1</v>
      </c>
      <c r="C1456" s="234">
        <v>3</v>
      </c>
      <c r="D1456" s="235" t="s">
        <v>2022</v>
      </c>
      <c r="E1456" s="235" t="s">
        <v>1836</v>
      </c>
      <c r="F1456" s="235" t="s">
        <v>2403</v>
      </c>
      <c r="G1456" s="234"/>
      <c r="H1456" s="236" t="s">
        <v>3310</v>
      </c>
      <c r="I1456" s="211">
        <f>SUM(I1457:I1459)</f>
        <v>0</v>
      </c>
      <c r="J1456" s="211">
        <f t="shared" ref="J1456:P1456" si="169">SUM(J1457:J1459)</f>
        <v>0</v>
      </c>
      <c r="K1456" s="211">
        <f t="shared" si="169"/>
        <v>0</v>
      </c>
      <c r="L1456" s="211">
        <f t="shared" si="169"/>
        <v>0</v>
      </c>
      <c r="M1456" s="211">
        <f t="shared" si="169"/>
        <v>0</v>
      </c>
      <c r="N1456" s="211">
        <f t="shared" si="169"/>
        <v>0</v>
      </c>
      <c r="O1456" s="211">
        <f t="shared" si="169"/>
        <v>0</v>
      </c>
      <c r="P1456" s="211">
        <f t="shared" si="169"/>
        <v>0</v>
      </c>
    </row>
    <row r="1457" spans="1:16" s="219" customFormat="1" ht="45" hidden="1" x14ac:dyDescent="0.25">
      <c r="A1457" s="214"/>
      <c r="B1457" s="237">
        <v>1</v>
      </c>
      <c r="C1457" s="237">
        <v>3</v>
      </c>
      <c r="D1457" s="238" t="s">
        <v>2022</v>
      </c>
      <c r="E1457" s="238" t="s">
        <v>1836</v>
      </c>
      <c r="F1457" s="238" t="s">
        <v>2403</v>
      </c>
      <c r="G1457" s="238" t="s">
        <v>58</v>
      </c>
      <c r="H1457" s="239" t="s">
        <v>3311</v>
      </c>
      <c r="I1457" s="217"/>
      <c r="J1457" s="217"/>
      <c r="K1457" s="217"/>
      <c r="L1457" s="217"/>
      <c r="M1457" s="217"/>
      <c r="N1457" s="217"/>
      <c r="O1457" s="217"/>
      <c r="P1457" s="217"/>
    </row>
    <row r="1458" spans="1:16" s="219" customFormat="1" ht="45" hidden="1" x14ac:dyDescent="0.25">
      <c r="A1458" s="214"/>
      <c r="B1458" s="237">
        <v>1</v>
      </c>
      <c r="C1458" s="237">
        <v>3</v>
      </c>
      <c r="D1458" s="238" t="s">
        <v>2022</v>
      </c>
      <c r="E1458" s="238" t="s">
        <v>1836</v>
      </c>
      <c r="F1458" s="238" t="s">
        <v>2403</v>
      </c>
      <c r="G1458" s="238" t="s">
        <v>75</v>
      </c>
      <c r="H1458" s="239" t="s">
        <v>3312</v>
      </c>
      <c r="I1458" s="217"/>
      <c r="J1458" s="217"/>
      <c r="K1458" s="217"/>
      <c r="L1458" s="217"/>
      <c r="M1458" s="217"/>
      <c r="N1458" s="217"/>
      <c r="O1458" s="217"/>
      <c r="P1458" s="217"/>
    </row>
    <row r="1459" spans="1:16" s="219" customFormat="1" ht="60" hidden="1" x14ac:dyDescent="0.25">
      <c r="A1459" s="214"/>
      <c r="B1459" s="237">
        <v>1</v>
      </c>
      <c r="C1459" s="237">
        <v>3</v>
      </c>
      <c r="D1459" s="238" t="s">
        <v>2022</v>
      </c>
      <c r="E1459" s="238" t="s">
        <v>1836</v>
      </c>
      <c r="F1459" s="238" t="s">
        <v>2403</v>
      </c>
      <c r="G1459" s="238" t="s">
        <v>79</v>
      </c>
      <c r="H1459" s="239" t="s">
        <v>3313</v>
      </c>
      <c r="I1459" s="217"/>
      <c r="J1459" s="217"/>
      <c r="K1459" s="217"/>
      <c r="L1459" s="217"/>
      <c r="M1459" s="217"/>
      <c r="N1459" s="217"/>
      <c r="O1459" s="217"/>
      <c r="P1459" s="217"/>
    </row>
    <row r="1460" spans="1:16" s="213" customFormat="1" ht="30" hidden="1" x14ac:dyDescent="0.25">
      <c r="A1460" s="208" t="s">
        <v>263</v>
      </c>
      <c r="B1460" s="234">
        <v>1</v>
      </c>
      <c r="C1460" s="234">
        <v>3</v>
      </c>
      <c r="D1460" s="235" t="s">
        <v>2022</v>
      </c>
      <c r="E1460" s="235" t="s">
        <v>1836</v>
      </c>
      <c r="F1460" s="235" t="s">
        <v>2410</v>
      </c>
      <c r="G1460" s="234"/>
      <c r="H1460" s="236" t="s">
        <v>3314</v>
      </c>
      <c r="I1460" s="211">
        <f>SUM(I1461:I1486)</f>
        <v>0</v>
      </c>
      <c r="J1460" s="211">
        <f t="shared" ref="J1460:P1460" si="170">SUM(J1461:J1486)</f>
        <v>0</v>
      </c>
      <c r="K1460" s="211">
        <f t="shared" si="170"/>
        <v>0</v>
      </c>
      <c r="L1460" s="211">
        <f t="shared" si="170"/>
        <v>0</v>
      </c>
      <c r="M1460" s="211">
        <f t="shared" si="170"/>
        <v>0</v>
      </c>
      <c r="N1460" s="211">
        <f t="shared" si="170"/>
        <v>0</v>
      </c>
      <c r="O1460" s="211">
        <f t="shared" si="170"/>
        <v>0</v>
      </c>
      <c r="P1460" s="211">
        <f t="shared" si="170"/>
        <v>0</v>
      </c>
    </row>
    <row r="1461" spans="1:16" s="219" customFormat="1" ht="45" hidden="1" x14ac:dyDescent="0.25">
      <c r="A1461" s="214"/>
      <c r="B1461" s="237">
        <v>1</v>
      </c>
      <c r="C1461" s="237">
        <v>3</v>
      </c>
      <c r="D1461" s="238" t="s">
        <v>2022</v>
      </c>
      <c r="E1461" s="238" t="s">
        <v>1836</v>
      </c>
      <c r="F1461" s="238" t="s">
        <v>2410</v>
      </c>
      <c r="G1461" s="238" t="s">
        <v>58</v>
      </c>
      <c r="H1461" s="239" t="s">
        <v>3315</v>
      </c>
      <c r="I1461" s="217"/>
      <c r="J1461" s="217"/>
      <c r="K1461" s="217"/>
      <c r="L1461" s="217"/>
      <c r="M1461" s="217"/>
      <c r="N1461" s="217"/>
      <c r="O1461" s="217"/>
      <c r="P1461" s="217"/>
    </row>
    <row r="1462" spans="1:16" s="219" customFormat="1" ht="45" hidden="1" x14ac:dyDescent="0.25">
      <c r="A1462" s="214"/>
      <c r="B1462" s="237">
        <v>1</v>
      </c>
      <c r="C1462" s="237">
        <v>3</v>
      </c>
      <c r="D1462" s="238" t="s">
        <v>2022</v>
      </c>
      <c r="E1462" s="238" t="s">
        <v>1836</v>
      </c>
      <c r="F1462" s="238" t="s">
        <v>2410</v>
      </c>
      <c r="G1462" s="238" t="s">
        <v>75</v>
      </c>
      <c r="H1462" s="239" t="s">
        <v>3316</v>
      </c>
      <c r="I1462" s="217"/>
      <c r="J1462" s="217"/>
      <c r="K1462" s="217"/>
      <c r="L1462" s="217"/>
      <c r="M1462" s="217"/>
      <c r="N1462" s="217"/>
      <c r="O1462" s="217"/>
      <c r="P1462" s="217"/>
    </row>
    <row r="1463" spans="1:16" s="219" customFormat="1" ht="45" hidden="1" x14ac:dyDescent="0.25">
      <c r="A1463" s="214"/>
      <c r="B1463" s="237">
        <v>1</v>
      </c>
      <c r="C1463" s="237">
        <v>3</v>
      </c>
      <c r="D1463" s="238" t="s">
        <v>2022</v>
      </c>
      <c r="E1463" s="238" t="s">
        <v>1836</v>
      </c>
      <c r="F1463" s="238" t="s">
        <v>2410</v>
      </c>
      <c r="G1463" s="238" t="s">
        <v>79</v>
      </c>
      <c r="H1463" s="239" t="s">
        <v>3317</v>
      </c>
      <c r="I1463" s="217"/>
      <c r="J1463" s="217"/>
      <c r="K1463" s="217"/>
      <c r="L1463" s="217"/>
      <c r="M1463" s="217"/>
      <c r="N1463" s="217"/>
      <c r="O1463" s="217"/>
      <c r="P1463" s="217"/>
    </row>
    <row r="1464" spans="1:16" s="219" customFormat="1" ht="45" hidden="1" x14ac:dyDescent="0.25">
      <c r="A1464" s="214"/>
      <c r="B1464" s="237">
        <v>1</v>
      </c>
      <c r="C1464" s="237">
        <v>3</v>
      </c>
      <c r="D1464" s="238" t="s">
        <v>2022</v>
      </c>
      <c r="E1464" s="238" t="s">
        <v>1836</v>
      </c>
      <c r="F1464" s="238" t="s">
        <v>2410</v>
      </c>
      <c r="G1464" s="238" t="s">
        <v>84</v>
      </c>
      <c r="H1464" s="239" t="s">
        <v>3318</v>
      </c>
      <c r="I1464" s="217"/>
      <c r="J1464" s="217"/>
      <c r="K1464" s="217"/>
      <c r="L1464" s="217"/>
      <c r="M1464" s="217"/>
      <c r="N1464" s="217"/>
      <c r="O1464" s="217"/>
      <c r="P1464" s="217"/>
    </row>
    <row r="1465" spans="1:16" s="219" customFormat="1" ht="45" hidden="1" x14ac:dyDescent="0.25">
      <c r="A1465" s="214"/>
      <c r="B1465" s="237">
        <v>1</v>
      </c>
      <c r="C1465" s="237">
        <v>3</v>
      </c>
      <c r="D1465" s="238" t="s">
        <v>2022</v>
      </c>
      <c r="E1465" s="238" t="s">
        <v>1836</v>
      </c>
      <c r="F1465" s="238" t="s">
        <v>2410</v>
      </c>
      <c r="G1465" s="238" t="s">
        <v>88</v>
      </c>
      <c r="H1465" s="239" t="s">
        <v>3319</v>
      </c>
      <c r="I1465" s="217"/>
      <c r="J1465" s="217"/>
      <c r="K1465" s="217"/>
      <c r="L1465" s="217"/>
      <c r="M1465" s="217"/>
      <c r="N1465" s="217"/>
      <c r="O1465" s="217"/>
      <c r="P1465" s="217"/>
    </row>
    <row r="1466" spans="1:16" s="219" customFormat="1" ht="45" hidden="1" x14ac:dyDescent="0.25">
      <c r="A1466" s="214"/>
      <c r="B1466" s="237">
        <v>1</v>
      </c>
      <c r="C1466" s="237">
        <v>3</v>
      </c>
      <c r="D1466" s="238" t="s">
        <v>2022</v>
      </c>
      <c r="E1466" s="238" t="s">
        <v>1836</v>
      </c>
      <c r="F1466" s="238" t="s">
        <v>2410</v>
      </c>
      <c r="G1466" s="238" t="s">
        <v>92</v>
      </c>
      <c r="H1466" s="239" t="s">
        <v>3320</v>
      </c>
      <c r="I1466" s="217"/>
      <c r="J1466" s="217"/>
      <c r="K1466" s="217"/>
      <c r="L1466" s="217"/>
      <c r="M1466" s="217"/>
      <c r="N1466" s="217"/>
      <c r="O1466" s="217"/>
      <c r="P1466" s="217"/>
    </row>
    <row r="1467" spans="1:16" s="219" customFormat="1" ht="45" hidden="1" x14ac:dyDescent="0.25">
      <c r="A1467" s="214"/>
      <c r="B1467" s="237">
        <v>1</v>
      </c>
      <c r="C1467" s="237">
        <v>3</v>
      </c>
      <c r="D1467" s="238" t="s">
        <v>2022</v>
      </c>
      <c r="E1467" s="238" t="s">
        <v>1836</v>
      </c>
      <c r="F1467" s="238" t="s">
        <v>2410</v>
      </c>
      <c r="G1467" s="238" t="s">
        <v>96</v>
      </c>
      <c r="H1467" s="239" t="s">
        <v>3321</v>
      </c>
      <c r="I1467" s="217"/>
      <c r="J1467" s="217"/>
      <c r="K1467" s="217"/>
      <c r="L1467" s="217"/>
      <c r="M1467" s="217"/>
      <c r="N1467" s="217"/>
      <c r="O1467" s="217"/>
      <c r="P1467" s="217"/>
    </row>
    <row r="1468" spans="1:16" s="219" customFormat="1" ht="45" hidden="1" x14ac:dyDescent="0.25">
      <c r="A1468" s="214"/>
      <c r="B1468" s="237">
        <v>1</v>
      </c>
      <c r="C1468" s="237">
        <v>3</v>
      </c>
      <c r="D1468" s="238" t="s">
        <v>2022</v>
      </c>
      <c r="E1468" s="238" t="s">
        <v>1836</v>
      </c>
      <c r="F1468" s="238" t="s">
        <v>2410</v>
      </c>
      <c r="G1468" s="238" t="s">
        <v>100</v>
      </c>
      <c r="H1468" s="239" t="s">
        <v>3322</v>
      </c>
      <c r="I1468" s="217"/>
      <c r="J1468" s="217"/>
      <c r="K1468" s="217"/>
      <c r="L1468" s="217"/>
      <c r="M1468" s="217"/>
      <c r="N1468" s="217"/>
      <c r="O1468" s="217"/>
      <c r="P1468" s="217"/>
    </row>
    <row r="1469" spans="1:16" s="219" customFormat="1" ht="45" hidden="1" x14ac:dyDescent="0.25">
      <c r="A1469" s="214"/>
      <c r="B1469" s="237">
        <v>1</v>
      </c>
      <c r="C1469" s="237">
        <v>3</v>
      </c>
      <c r="D1469" s="238" t="s">
        <v>2022</v>
      </c>
      <c r="E1469" s="238" t="s">
        <v>1836</v>
      </c>
      <c r="F1469" s="238" t="s">
        <v>2410</v>
      </c>
      <c r="G1469" s="238" t="s">
        <v>105</v>
      </c>
      <c r="H1469" s="239" t="s">
        <v>3323</v>
      </c>
      <c r="I1469" s="217"/>
      <c r="J1469" s="217"/>
      <c r="K1469" s="217"/>
      <c r="L1469" s="217"/>
      <c r="M1469" s="217"/>
      <c r="N1469" s="217"/>
      <c r="O1469" s="217"/>
      <c r="P1469" s="217"/>
    </row>
    <row r="1470" spans="1:16" s="219" customFormat="1" ht="45" hidden="1" x14ac:dyDescent="0.25">
      <c r="A1470" s="214"/>
      <c r="B1470" s="237">
        <v>1</v>
      </c>
      <c r="C1470" s="237">
        <v>3</v>
      </c>
      <c r="D1470" s="238" t="s">
        <v>2022</v>
      </c>
      <c r="E1470" s="238" t="s">
        <v>1836</v>
      </c>
      <c r="F1470" s="238" t="s">
        <v>2410</v>
      </c>
      <c r="G1470" s="238" t="s">
        <v>108</v>
      </c>
      <c r="H1470" s="239" t="s">
        <v>3324</v>
      </c>
      <c r="I1470" s="217"/>
      <c r="J1470" s="217"/>
      <c r="K1470" s="217"/>
      <c r="L1470" s="217"/>
      <c r="M1470" s="217"/>
      <c r="N1470" s="217"/>
      <c r="O1470" s="217"/>
      <c r="P1470" s="217"/>
    </row>
    <row r="1471" spans="1:16" s="219" customFormat="1" ht="45" hidden="1" x14ac:dyDescent="0.25">
      <c r="A1471" s="214"/>
      <c r="B1471" s="237">
        <v>1</v>
      </c>
      <c r="C1471" s="237">
        <v>3</v>
      </c>
      <c r="D1471" s="238" t="s">
        <v>2022</v>
      </c>
      <c r="E1471" s="238" t="s">
        <v>1836</v>
      </c>
      <c r="F1471" s="238" t="s">
        <v>2410</v>
      </c>
      <c r="G1471" s="238" t="s">
        <v>135</v>
      </c>
      <c r="H1471" s="239" t="s">
        <v>3325</v>
      </c>
      <c r="I1471" s="217"/>
      <c r="J1471" s="217"/>
      <c r="K1471" s="217"/>
      <c r="L1471" s="217"/>
      <c r="M1471" s="217"/>
      <c r="N1471" s="217"/>
      <c r="O1471" s="217"/>
      <c r="P1471" s="217"/>
    </row>
    <row r="1472" spans="1:16" s="219" customFormat="1" ht="60" hidden="1" x14ac:dyDescent="0.25">
      <c r="A1472" s="214"/>
      <c r="B1472" s="237">
        <v>1</v>
      </c>
      <c r="C1472" s="237">
        <v>3</v>
      </c>
      <c r="D1472" s="238" t="s">
        <v>2022</v>
      </c>
      <c r="E1472" s="238" t="s">
        <v>1836</v>
      </c>
      <c r="F1472" s="238" t="s">
        <v>2410</v>
      </c>
      <c r="G1472" s="238" t="s">
        <v>138</v>
      </c>
      <c r="H1472" s="239" t="s">
        <v>3326</v>
      </c>
      <c r="I1472" s="217"/>
      <c r="J1472" s="217"/>
      <c r="K1472" s="217"/>
      <c r="L1472" s="217"/>
      <c r="M1472" s="217"/>
      <c r="N1472" s="217"/>
      <c r="O1472" s="217"/>
      <c r="P1472" s="217"/>
    </row>
    <row r="1473" spans="1:16" s="219" customFormat="1" ht="45" hidden="1" x14ac:dyDescent="0.25">
      <c r="A1473" s="214"/>
      <c r="B1473" s="237">
        <v>1</v>
      </c>
      <c r="C1473" s="237">
        <v>3</v>
      </c>
      <c r="D1473" s="238" t="s">
        <v>2022</v>
      </c>
      <c r="E1473" s="238" t="s">
        <v>1836</v>
      </c>
      <c r="F1473" s="238" t="s">
        <v>2410</v>
      </c>
      <c r="G1473" s="238" t="s">
        <v>140</v>
      </c>
      <c r="H1473" s="239" t="s">
        <v>3327</v>
      </c>
      <c r="I1473" s="217"/>
      <c r="J1473" s="217"/>
      <c r="K1473" s="217"/>
      <c r="L1473" s="217"/>
      <c r="M1473" s="217"/>
      <c r="N1473" s="217"/>
      <c r="O1473" s="217"/>
      <c r="P1473" s="217"/>
    </row>
    <row r="1474" spans="1:16" s="219" customFormat="1" ht="45" hidden="1" x14ac:dyDescent="0.25">
      <c r="A1474" s="214"/>
      <c r="B1474" s="237">
        <v>1</v>
      </c>
      <c r="C1474" s="237">
        <v>3</v>
      </c>
      <c r="D1474" s="238" t="s">
        <v>2022</v>
      </c>
      <c r="E1474" s="238" t="s">
        <v>1836</v>
      </c>
      <c r="F1474" s="238" t="s">
        <v>2410</v>
      </c>
      <c r="G1474" s="238" t="s">
        <v>143</v>
      </c>
      <c r="H1474" s="239" t="s">
        <v>3328</v>
      </c>
      <c r="I1474" s="217"/>
      <c r="J1474" s="217"/>
      <c r="K1474" s="217"/>
      <c r="L1474" s="217"/>
      <c r="M1474" s="217"/>
      <c r="N1474" s="217"/>
      <c r="O1474" s="217"/>
      <c r="P1474" s="217"/>
    </row>
    <row r="1475" spans="1:16" s="219" customFormat="1" ht="45" hidden="1" x14ac:dyDescent="0.25">
      <c r="A1475" s="214"/>
      <c r="B1475" s="237">
        <v>1</v>
      </c>
      <c r="C1475" s="237">
        <v>3</v>
      </c>
      <c r="D1475" s="238" t="s">
        <v>2022</v>
      </c>
      <c r="E1475" s="238" t="s">
        <v>1836</v>
      </c>
      <c r="F1475" s="238" t="s">
        <v>2410</v>
      </c>
      <c r="G1475" s="238" t="s">
        <v>146</v>
      </c>
      <c r="H1475" s="239" t="s">
        <v>3329</v>
      </c>
      <c r="I1475" s="217"/>
      <c r="J1475" s="217"/>
      <c r="K1475" s="217"/>
      <c r="L1475" s="217"/>
      <c r="M1475" s="217"/>
      <c r="N1475" s="217"/>
      <c r="O1475" s="217"/>
      <c r="P1475" s="217"/>
    </row>
    <row r="1476" spans="1:16" s="219" customFormat="1" ht="45" hidden="1" x14ac:dyDescent="0.25">
      <c r="A1476" s="214"/>
      <c r="B1476" s="237">
        <v>1</v>
      </c>
      <c r="C1476" s="237">
        <v>3</v>
      </c>
      <c r="D1476" s="238" t="s">
        <v>2022</v>
      </c>
      <c r="E1476" s="238" t="s">
        <v>1836</v>
      </c>
      <c r="F1476" s="238" t="s">
        <v>2410</v>
      </c>
      <c r="G1476" s="238" t="s">
        <v>150</v>
      </c>
      <c r="H1476" s="239" t="s">
        <v>3330</v>
      </c>
      <c r="I1476" s="217"/>
      <c r="J1476" s="217"/>
      <c r="K1476" s="217"/>
      <c r="L1476" s="217"/>
      <c r="M1476" s="217"/>
      <c r="N1476" s="217"/>
      <c r="O1476" s="217"/>
      <c r="P1476" s="217"/>
    </row>
    <row r="1477" spans="1:16" s="219" customFormat="1" ht="45" hidden="1" x14ac:dyDescent="0.25">
      <c r="A1477" s="214"/>
      <c r="B1477" s="237">
        <v>1</v>
      </c>
      <c r="C1477" s="237">
        <v>3</v>
      </c>
      <c r="D1477" s="238" t="s">
        <v>2022</v>
      </c>
      <c r="E1477" s="238" t="s">
        <v>1836</v>
      </c>
      <c r="F1477" s="238" t="s">
        <v>2410</v>
      </c>
      <c r="G1477" s="238" t="s">
        <v>153</v>
      </c>
      <c r="H1477" s="239" t="s">
        <v>3331</v>
      </c>
      <c r="I1477" s="217"/>
      <c r="J1477" s="217"/>
      <c r="K1477" s="217"/>
      <c r="L1477" s="217"/>
      <c r="M1477" s="217"/>
      <c r="N1477" s="217"/>
      <c r="O1477" s="217"/>
      <c r="P1477" s="217"/>
    </row>
    <row r="1478" spans="1:16" s="219" customFormat="1" ht="45" hidden="1" x14ac:dyDescent="0.25">
      <c r="A1478" s="214"/>
      <c r="B1478" s="237">
        <v>1</v>
      </c>
      <c r="C1478" s="237">
        <v>3</v>
      </c>
      <c r="D1478" s="238" t="s">
        <v>2022</v>
      </c>
      <c r="E1478" s="238" t="s">
        <v>1836</v>
      </c>
      <c r="F1478" s="238" t="s">
        <v>2410</v>
      </c>
      <c r="G1478" s="238" t="s">
        <v>156</v>
      </c>
      <c r="H1478" s="239" t="s">
        <v>3332</v>
      </c>
      <c r="I1478" s="217"/>
      <c r="J1478" s="217"/>
      <c r="K1478" s="217"/>
      <c r="L1478" s="217"/>
      <c r="M1478" s="217"/>
      <c r="N1478" s="217"/>
      <c r="O1478" s="217"/>
      <c r="P1478" s="217"/>
    </row>
    <row r="1479" spans="1:16" s="219" customFormat="1" ht="45" hidden="1" x14ac:dyDescent="0.25">
      <c r="A1479" s="214"/>
      <c r="B1479" s="237">
        <v>1</v>
      </c>
      <c r="C1479" s="237">
        <v>3</v>
      </c>
      <c r="D1479" s="238" t="s">
        <v>2022</v>
      </c>
      <c r="E1479" s="238" t="s">
        <v>1836</v>
      </c>
      <c r="F1479" s="238" t="s">
        <v>2410</v>
      </c>
      <c r="G1479" s="238" t="s">
        <v>159</v>
      </c>
      <c r="H1479" s="239" t="s">
        <v>3333</v>
      </c>
      <c r="I1479" s="217"/>
      <c r="J1479" s="217"/>
      <c r="K1479" s="217"/>
      <c r="L1479" s="217"/>
      <c r="M1479" s="217"/>
      <c r="N1479" s="217"/>
      <c r="O1479" s="217"/>
      <c r="P1479" s="217"/>
    </row>
    <row r="1480" spans="1:16" s="219" customFormat="1" ht="45" hidden="1" x14ac:dyDescent="0.25">
      <c r="A1480" s="214"/>
      <c r="B1480" s="237">
        <v>1</v>
      </c>
      <c r="C1480" s="237">
        <v>3</v>
      </c>
      <c r="D1480" s="238" t="s">
        <v>2022</v>
      </c>
      <c r="E1480" s="238" t="s">
        <v>1836</v>
      </c>
      <c r="F1480" s="238" t="s">
        <v>2410</v>
      </c>
      <c r="G1480" s="238" t="s">
        <v>162</v>
      </c>
      <c r="H1480" s="239" t="s">
        <v>3334</v>
      </c>
      <c r="I1480" s="217"/>
      <c r="J1480" s="217"/>
      <c r="K1480" s="217"/>
      <c r="L1480" s="217"/>
      <c r="M1480" s="217"/>
      <c r="N1480" s="217"/>
      <c r="O1480" s="217"/>
      <c r="P1480" s="217"/>
    </row>
    <row r="1481" spans="1:16" s="219" customFormat="1" ht="60" hidden="1" x14ac:dyDescent="0.25">
      <c r="A1481" s="214"/>
      <c r="B1481" s="237">
        <v>1</v>
      </c>
      <c r="C1481" s="237">
        <v>3</v>
      </c>
      <c r="D1481" s="238" t="s">
        <v>2022</v>
      </c>
      <c r="E1481" s="238" t="s">
        <v>1836</v>
      </c>
      <c r="F1481" s="238" t="s">
        <v>2410</v>
      </c>
      <c r="G1481" s="238" t="s">
        <v>312</v>
      </c>
      <c r="H1481" s="239" t="s">
        <v>3335</v>
      </c>
      <c r="I1481" s="217"/>
      <c r="J1481" s="217"/>
      <c r="K1481" s="217"/>
      <c r="L1481" s="217"/>
      <c r="M1481" s="217"/>
      <c r="N1481" s="217"/>
      <c r="O1481" s="217"/>
      <c r="P1481" s="217"/>
    </row>
    <row r="1482" spans="1:16" s="219" customFormat="1" ht="45" hidden="1" x14ac:dyDescent="0.25">
      <c r="A1482" s="214"/>
      <c r="B1482" s="237">
        <v>1</v>
      </c>
      <c r="C1482" s="237">
        <v>3</v>
      </c>
      <c r="D1482" s="238" t="s">
        <v>2022</v>
      </c>
      <c r="E1482" s="238" t="s">
        <v>1836</v>
      </c>
      <c r="F1482" s="238" t="s">
        <v>2410</v>
      </c>
      <c r="G1482" s="238" t="s">
        <v>313</v>
      </c>
      <c r="H1482" s="239" t="s">
        <v>3336</v>
      </c>
      <c r="I1482" s="217"/>
      <c r="J1482" s="217"/>
      <c r="K1482" s="217"/>
      <c r="L1482" s="217"/>
      <c r="M1482" s="217"/>
      <c r="N1482" s="217"/>
      <c r="O1482" s="217"/>
      <c r="P1482" s="217"/>
    </row>
    <row r="1483" spans="1:16" s="219" customFormat="1" ht="45" hidden="1" x14ac:dyDescent="0.25">
      <c r="A1483" s="214"/>
      <c r="B1483" s="237">
        <v>1</v>
      </c>
      <c r="C1483" s="237">
        <v>3</v>
      </c>
      <c r="D1483" s="238" t="s">
        <v>2022</v>
      </c>
      <c r="E1483" s="238" t="s">
        <v>1836</v>
      </c>
      <c r="F1483" s="238" t="s">
        <v>2410</v>
      </c>
      <c r="G1483" s="238" t="s">
        <v>559</v>
      </c>
      <c r="H1483" s="239" t="s">
        <v>3337</v>
      </c>
      <c r="I1483" s="217"/>
      <c r="J1483" s="217"/>
      <c r="K1483" s="217"/>
      <c r="L1483" s="217"/>
      <c r="M1483" s="217"/>
      <c r="N1483" s="217"/>
      <c r="O1483" s="217"/>
      <c r="P1483" s="217"/>
    </row>
    <row r="1484" spans="1:16" s="219" customFormat="1" ht="45" hidden="1" x14ac:dyDescent="0.25">
      <c r="A1484" s="214"/>
      <c r="B1484" s="237">
        <v>1</v>
      </c>
      <c r="C1484" s="237">
        <v>3</v>
      </c>
      <c r="D1484" s="238" t="s">
        <v>2022</v>
      </c>
      <c r="E1484" s="238" t="s">
        <v>1836</v>
      </c>
      <c r="F1484" s="238" t="s">
        <v>2410</v>
      </c>
      <c r="G1484" s="238" t="s">
        <v>561</v>
      </c>
      <c r="H1484" s="239" t="s">
        <v>3338</v>
      </c>
      <c r="I1484" s="217"/>
      <c r="J1484" s="217"/>
      <c r="K1484" s="217"/>
      <c r="L1484" s="217"/>
      <c r="M1484" s="217"/>
      <c r="N1484" s="217"/>
      <c r="O1484" s="217"/>
      <c r="P1484" s="217"/>
    </row>
    <row r="1485" spans="1:16" s="219" customFormat="1" ht="45" hidden="1" x14ac:dyDescent="0.25">
      <c r="A1485" s="214"/>
      <c r="B1485" s="237">
        <v>1</v>
      </c>
      <c r="C1485" s="237">
        <v>3</v>
      </c>
      <c r="D1485" s="238" t="s">
        <v>2022</v>
      </c>
      <c r="E1485" s="238" t="s">
        <v>1836</v>
      </c>
      <c r="F1485" s="238" t="s">
        <v>2410</v>
      </c>
      <c r="G1485" s="238" t="s">
        <v>563</v>
      </c>
      <c r="H1485" s="239" t="s">
        <v>3339</v>
      </c>
      <c r="I1485" s="217"/>
      <c r="J1485" s="217"/>
      <c r="K1485" s="217"/>
      <c r="L1485" s="217"/>
      <c r="M1485" s="217"/>
      <c r="N1485" s="217"/>
      <c r="O1485" s="217"/>
      <c r="P1485" s="217"/>
    </row>
    <row r="1486" spans="1:16" s="219" customFormat="1" ht="45" hidden="1" x14ac:dyDescent="0.25">
      <c r="A1486" s="214"/>
      <c r="B1486" s="237">
        <v>1</v>
      </c>
      <c r="C1486" s="237">
        <v>3</v>
      </c>
      <c r="D1486" s="238" t="s">
        <v>2022</v>
      </c>
      <c r="E1486" s="238" t="s">
        <v>1836</v>
      </c>
      <c r="F1486" s="238" t="s">
        <v>2410</v>
      </c>
      <c r="G1486" s="238" t="s">
        <v>227</v>
      </c>
      <c r="H1486" s="239" t="s">
        <v>3340</v>
      </c>
      <c r="I1486" s="217"/>
      <c r="J1486" s="217"/>
      <c r="K1486" s="217"/>
      <c r="L1486" s="217"/>
      <c r="M1486" s="217"/>
      <c r="N1486" s="217"/>
      <c r="O1486" s="217"/>
      <c r="P1486" s="217"/>
    </row>
    <row r="1487" spans="1:16" s="213" customFormat="1" ht="30" hidden="1" x14ac:dyDescent="0.25">
      <c r="A1487" s="208" t="s">
        <v>263</v>
      </c>
      <c r="B1487" s="234">
        <v>1</v>
      </c>
      <c r="C1487" s="234">
        <v>3</v>
      </c>
      <c r="D1487" s="235" t="s">
        <v>2022</v>
      </c>
      <c r="E1487" s="235" t="s">
        <v>1836</v>
      </c>
      <c r="F1487" s="235" t="s">
        <v>2440</v>
      </c>
      <c r="G1487" s="234"/>
      <c r="H1487" s="236" t="s">
        <v>3341</v>
      </c>
      <c r="I1487" s="211">
        <f>SUM(I1488:I1499)</f>
        <v>0</v>
      </c>
      <c r="J1487" s="211">
        <f t="shared" ref="J1487:P1487" si="171">SUM(J1488:J1499)</f>
        <v>0</v>
      </c>
      <c r="K1487" s="211">
        <f t="shared" si="171"/>
        <v>0</v>
      </c>
      <c r="L1487" s="211">
        <f t="shared" si="171"/>
        <v>0</v>
      </c>
      <c r="M1487" s="211">
        <f t="shared" si="171"/>
        <v>0</v>
      </c>
      <c r="N1487" s="211">
        <f t="shared" si="171"/>
        <v>0</v>
      </c>
      <c r="O1487" s="211">
        <f t="shared" si="171"/>
        <v>0</v>
      </c>
      <c r="P1487" s="211">
        <f t="shared" si="171"/>
        <v>0</v>
      </c>
    </row>
    <row r="1488" spans="1:16" s="219" customFormat="1" ht="45" hidden="1" x14ac:dyDescent="0.25">
      <c r="A1488" s="214"/>
      <c r="B1488" s="237">
        <v>1</v>
      </c>
      <c r="C1488" s="237">
        <v>3</v>
      </c>
      <c r="D1488" s="238" t="s">
        <v>2022</v>
      </c>
      <c r="E1488" s="238" t="s">
        <v>1836</v>
      </c>
      <c r="F1488" s="238" t="s">
        <v>2440</v>
      </c>
      <c r="G1488" s="238" t="s">
        <v>58</v>
      </c>
      <c r="H1488" s="239" t="s">
        <v>3342</v>
      </c>
      <c r="I1488" s="217"/>
      <c r="J1488" s="217"/>
      <c r="K1488" s="217"/>
      <c r="L1488" s="217"/>
      <c r="M1488" s="217"/>
      <c r="N1488" s="217"/>
      <c r="O1488" s="217"/>
      <c r="P1488" s="217"/>
    </row>
    <row r="1489" spans="1:16" s="219" customFormat="1" ht="45" hidden="1" x14ac:dyDescent="0.25">
      <c r="A1489" s="214"/>
      <c r="B1489" s="237">
        <v>1</v>
      </c>
      <c r="C1489" s="237">
        <v>3</v>
      </c>
      <c r="D1489" s="238" t="s">
        <v>2022</v>
      </c>
      <c r="E1489" s="238" t="s">
        <v>1836</v>
      </c>
      <c r="F1489" s="238" t="s">
        <v>2440</v>
      </c>
      <c r="G1489" s="238" t="s">
        <v>75</v>
      </c>
      <c r="H1489" s="239" t="s">
        <v>3343</v>
      </c>
      <c r="I1489" s="217"/>
      <c r="J1489" s="217"/>
      <c r="K1489" s="217"/>
      <c r="L1489" s="217"/>
      <c r="M1489" s="217"/>
      <c r="N1489" s="217"/>
      <c r="O1489" s="217"/>
      <c r="P1489" s="217"/>
    </row>
    <row r="1490" spans="1:16" s="219" customFormat="1" ht="45" hidden="1" x14ac:dyDescent="0.25">
      <c r="A1490" s="214"/>
      <c r="B1490" s="237">
        <v>1</v>
      </c>
      <c r="C1490" s="237">
        <v>3</v>
      </c>
      <c r="D1490" s="238" t="s">
        <v>2022</v>
      </c>
      <c r="E1490" s="238" t="s">
        <v>1836</v>
      </c>
      <c r="F1490" s="238" t="s">
        <v>2440</v>
      </c>
      <c r="G1490" s="238" t="s">
        <v>79</v>
      </c>
      <c r="H1490" s="239" t="s">
        <v>3344</v>
      </c>
      <c r="I1490" s="217"/>
      <c r="J1490" s="217"/>
      <c r="K1490" s="217"/>
      <c r="L1490" s="217"/>
      <c r="M1490" s="217"/>
      <c r="N1490" s="217"/>
      <c r="O1490" s="217"/>
      <c r="P1490" s="217"/>
    </row>
    <row r="1491" spans="1:16" s="219" customFormat="1" ht="45" hidden="1" x14ac:dyDescent="0.25">
      <c r="A1491" s="214"/>
      <c r="B1491" s="237">
        <v>1</v>
      </c>
      <c r="C1491" s="237">
        <v>3</v>
      </c>
      <c r="D1491" s="238" t="s">
        <v>2022</v>
      </c>
      <c r="E1491" s="238" t="s">
        <v>1836</v>
      </c>
      <c r="F1491" s="238" t="s">
        <v>2440</v>
      </c>
      <c r="G1491" s="238" t="s">
        <v>84</v>
      </c>
      <c r="H1491" s="239" t="s">
        <v>3345</v>
      </c>
      <c r="I1491" s="217"/>
      <c r="J1491" s="217"/>
      <c r="K1491" s="217"/>
      <c r="L1491" s="217"/>
      <c r="M1491" s="217"/>
      <c r="N1491" s="217"/>
      <c r="O1491" s="217"/>
      <c r="P1491" s="217"/>
    </row>
    <row r="1492" spans="1:16" s="219" customFormat="1" ht="45" hidden="1" x14ac:dyDescent="0.25">
      <c r="A1492" s="214"/>
      <c r="B1492" s="237">
        <v>1</v>
      </c>
      <c r="C1492" s="237">
        <v>3</v>
      </c>
      <c r="D1492" s="238" t="s">
        <v>2022</v>
      </c>
      <c r="E1492" s="238" t="s">
        <v>1836</v>
      </c>
      <c r="F1492" s="238" t="s">
        <v>2440</v>
      </c>
      <c r="G1492" s="238" t="s">
        <v>88</v>
      </c>
      <c r="H1492" s="239" t="s">
        <v>3346</v>
      </c>
      <c r="I1492" s="217"/>
      <c r="J1492" s="217"/>
      <c r="K1492" s="217"/>
      <c r="L1492" s="217"/>
      <c r="M1492" s="217"/>
      <c r="N1492" s="217"/>
      <c r="O1492" s="217"/>
      <c r="P1492" s="217"/>
    </row>
    <row r="1493" spans="1:16" s="219" customFormat="1" ht="45" hidden="1" x14ac:dyDescent="0.25">
      <c r="A1493" s="214"/>
      <c r="B1493" s="237">
        <v>1</v>
      </c>
      <c r="C1493" s="237">
        <v>3</v>
      </c>
      <c r="D1493" s="238" t="s">
        <v>2022</v>
      </c>
      <c r="E1493" s="238" t="s">
        <v>1836</v>
      </c>
      <c r="F1493" s="238" t="s">
        <v>2440</v>
      </c>
      <c r="G1493" s="238" t="s">
        <v>92</v>
      </c>
      <c r="H1493" s="239" t="s">
        <v>3347</v>
      </c>
      <c r="I1493" s="217"/>
      <c r="J1493" s="217"/>
      <c r="K1493" s="217"/>
      <c r="L1493" s="217"/>
      <c r="M1493" s="217"/>
      <c r="N1493" s="217"/>
      <c r="O1493" s="217"/>
      <c r="P1493" s="217"/>
    </row>
    <row r="1494" spans="1:16" s="219" customFormat="1" ht="45" hidden="1" x14ac:dyDescent="0.25">
      <c r="A1494" s="214"/>
      <c r="B1494" s="237">
        <v>1</v>
      </c>
      <c r="C1494" s="237">
        <v>3</v>
      </c>
      <c r="D1494" s="238" t="s">
        <v>2022</v>
      </c>
      <c r="E1494" s="238" t="s">
        <v>1836</v>
      </c>
      <c r="F1494" s="238" t="s">
        <v>2440</v>
      </c>
      <c r="G1494" s="238" t="s">
        <v>96</v>
      </c>
      <c r="H1494" s="239" t="s">
        <v>3348</v>
      </c>
      <c r="I1494" s="217"/>
      <c r="J1494" s="217"/>
      <c r="K1494" s="217"/>
      <c r="L1494" s="217"/>
      <c r="M1494" s="217"/>
      <c r="N1494" s="217"/>
      <c r="O1494" s="217"/>
      <c r="P1494" s="217"/>
    </row>
    <row r="1495" spans="1:16" s="219" customFormat="1" ht="30" hidden="1" x14ac:dyDescent="0.25">
      <c r="A1495" s="214"/>
      <c r="B1495" s="237">
        <v>1</v>
      </c>
      <c r="C1495" s="237">
        <v>3</v>
      </c>
      <c r="D1495" s="238" t="s">
        <v>2022</v>
      </c>
      <c r="E1495" s="238" t="s">
        <v>1836</v>
      </c>
      <c r="F1495" s="238" t="s">
        <v>2440</v>
      </c>
      <c r="G1495" s="238" t="s">
        <v>100</v>
      </c>
      <c r="H1495" s="239" t="s">
        <v>3349</v>
      </c>
      <c r="I1495" s="217"/>
      <c r="J1495" s="217"/>
      <c r="K1495" s="217"/>
      <c r="L1495" s="217"/>
      <c r="M1495" s="217"/>
      <c r="N1495" s="217"/>
      <c r="O1495" s="217"/>
      <c r="P1495" s="217"/>
    </row>
    <row r="1496" spans="1:16" s="219" customFormat="1" ht="30" hidden="1" x14ac:dyDescent="0.25">
      <c r="A1496" s="214"/>
      <c r="B1496" s="237">
        <v>1</v>
      </c>
      <c r="C1496" s="237">
        <v>3</v>
      </c>
      <c r="D1496" s="238" t="s">
        <v>2022</v>
      </c>
      <c r="E1496" s="238" t="s">
        <v>1836</v>
      </c>
      <c r="F1496" s="238" t="s">
        <v>2440</v>
      </c>
      <c r="G1496" s="238" t="s">
        <v>105</v>
      </c>
      <c r="H1496" s="239" t="s">
        <v>3350</v>
      </c>
      <c r="I1496" s="217"/>
      <c r="J1496" s="217"/>
      <c r="K1496" s="217"/>
      <c r="L1496" s="217"/>
      <c r="M1496" s="217"/>
      <c r="N1496" s="217"/>
      <c r="O1496" s="217"/>
      <c r="P1496" s="217"/>
    </row>
    <row r="1497" spans="1:16" s="219" customFormat="1" ht="45" hidden="1" x14ac:dyDescent="0.25">
      <c r="A1497" s="214"/>
      <c r="B1497" s="237">
        <v>1</v>
      </c>
      <c r="C1497" s="237">
        <v>3</v>
      </c>
      <c r="D1497" s="238" t="s">
        <v>2022</v>
      </c>
      <c r="E1497" s="238" t="s">
        <v>1836</v>
      </c>
      <c r="F1497" s="238" t="s">
        <v>2440</v>
      </c>
      <c r="G1497" s="238" t="s">
        <v>108</v>
      </c>
      <c r="H1497" s="239" t="s">
        <v>3351</v>
      </c>
      <c r="I1497" s="217"/>
      <c r="J1497" s="217"/>
      <c r="K1497" s="217"/>
      <c r="L1497" s="217"/>
      <c r="M1497" s="217"/>
      <c r="N1497" s="217"/>
      <c r="O1497" s="217"/>
      <c r="P1497" s="217"/>
    </row>
    <row r="1498" spans="1:16" s="219" customFormat="1" ht="45" hidden="1" x14ac:dyDescent="0.25">
      <c r="A1498" s="214"/>
      <c r="B1498" s="237">
        <v>1</v>
      </c>
      <c r="C1498" s="237">
        <v>3</v>
      </c>
      <c r="D1498" s="238" t="s">
        <v>2022</v>
      </c>
      <c r="E1498" s="238" t="s">
        <v>1836</v>
      </c>
      <c r="F1498" s="238" t="s">
        <v>2440</v>
      </c>
      <c r="G1498" s="238" t="s">
        <v>135</v>
      </c>
      <c r="H1498" s="239" t="s">
        <v>3352</v>
      </c>
      <c r="I1498" s="217"/>
      <c r="J1498" s="217"/>
      <c r="K1498" s="217"/>
      <c r="L1498" s="217"/>
      <c r="M1498" s="217"/>
      <c r="N1498" s="217"/>
      <c r="O1498" s="217"/>
      <c r="P1498" s="217"/>
    </row>
    <row r="1499" spans="1:16" s="219" customFormat="1" ht="45" hidden="1" x14ac:dyDescent="0.25">
      <c r="A1499" s="214"/>
      <c r="B1499" s="237">
        <v>1</v>
      </c>
      <c r="C1499" s="237">
        <v>3</v>
      </c>
      <c r="D1499" s="238" t="s">
        <v>2022</v>
      </c>
      <c r="E1499" s="238" t="s">
        <v>1836</v>
      </c>
      <c r="F1499" s="238" t="s">
        <v>2440</v>
      </c>
      <c r="G1499" s="238" t="s">
        <v>138</v>
      </c>
      <c r="H1499" s="239" t="s">
        <v>3353</v>
      </c>
      <c r="I1499" s="217"/>
      <c r="J1499" s="217"/>
      <c r="K1499" s="217"/>
      <c r="L1499" s="217"/>
      <c r="M1499" s="217"/>
      <c r="N1499" s="217"/>
      <c r="O1499" s="217"/>
      <c r="P1499" s="217"/>
    </row>
    <row r="1500" spans="1:16" s="213" customFormat="1" ht="30" hidden="1" x14ac:dyDescent="0.25">
      <c r="A1500" s="208" t="s">
        <v>263</v>
      </c>
      <c r="B1500" s="234">
        <v>1</v>
      </c>
      <c r="C1500" s="234">
        <v>3</v>
      </c>
      <c r="D1500" s="235" t="s">
        <v>2022</v>
      </c>
      <c r="E1500" s="235" t="s">
        <v>1836</v>
      </c>
      <c r="F1500" s="235" t="s">
        <v>2458</v>
      </c>
      <c r="G1500" s="234"/>
      <c r="H1500" s="236" t="s">
        <v>3354</v>
      </c>
      <c r="I1500" s="211">
        <f>SUM(I1501:I1506)</f>
        <v>0</v>
      </c>
      <c r="J1500" s="211">
        <f t="shared" ref="J1500:P1500" si="172">SUM(J1501:J1506)</f>
        <v>0</v>
      </c>
      <c r="K1500" s="211">
        <f t="shared" si="172"/>
        <v>0</v>
      </c>
      <c r="L1500" s="211">
        <f t="shared" si="172"/>
        <v>0</v>
      </c>
      <c r="M1500" s="211">
        <f t="shared" si="172"/>
        <v>0</v>
      </c>
      <c r="N1500" s="211">
        <f t="shared" si="172"/>
        <v>0</v>
      </c>
      <c r="O1500" s="211">
        <f t="shared" si="172"/>
        <v>0</v>
      </c>
      <c r="P1500" s="211">
        <f t="shared" si="172"/>
        <v>0</v>
      </c>
    </row>
    <row r="1501" spans="1:16" s="219" customFormat="1" ht="45" hidden="1" x14ac:dyDescent="0.25">
      <c r="A1501" s="214"/>
      <c r="B1501" s="237">
        <v>1</v>
      </c>
      <c r="C1501" s="237">
        <v>3</v>
      </c>
      <c r="D1501" s="238" t="s">
        <v>2022</v>
      </c>
      <c r="E1501" s="238" t="s">
        <v>1836</v>
      </c>
      <c r="F1501" s="238" t="s">
        <v>2458</v>
      </c>
      <c r="G1501" s="238" t="s">
        <v>58</v>
      </c>
      <c r="H1501" s="239" t="s">
        <v>3355</v>
      </c>
      <c r="I1501" s="217"/>
      <c r="J1501" s="217"/>
      <c r="K1501" s="217"/>
      <c r="L1501" s="217"/>
      <c r="M1501" s="217"/>
      <c r="N1501" s="217"/>
      <c r="O1501" s="217"/>
      <c r="P1501" s="217"/>
    </row>
    <row r="1502" spans="1:16" s="219" customFormat="1" ht="45" hidden="1" x14ac:dyDescent="0.25">
      <c r="A1502" s="214"/>
      <c r="B1502" s="237">
        <v>1</v>
      </c>
      <c r="C1502" s="237">
        <v>3</v>
      </c>
      <c r="D1502" s="238" t="s">
        <v>2022</v>
      </c>
      <c r="E1502" s="238" t="s">
        <v>1836</v>
      </c>
      <c r="F1502" s="238" t="s">
        <v>2458</v>
      </c>
      <c r="G1502" s="238" t="s">
        <v>75</v>
      </c>
      <c r="H1502" s="239" t="s">
        <v>3356</v>
      </c>
      <c r="I1502" s="217"/>
      <c r="J1502" s="217"/>
      <c r="K1502" s="217"/>
      <c r="L1502" s="217"/>
      <c r="M1502" s="217"/>
      <c r="N1502" s="217"/>
      <c r="O1502" s="217"/>
      <c r="P1502" s="217"/>
    </row>
    <row r="1503" spans="1:16" s="219" customFormat="1" ht="30" hidden="1" x14ac:dyDescent="0.25">
      <c r="A1503" s="214"/>
      <c r="B1503" s="237">
        <v>1</v>
      </c>
      <c r="C1503" s="237">
        <v>3</v>
      </c>
      <c r="D1503" s="238" t="s">
        <v>2022</v>
      </c>
      <c r="E1503" s="238" t="s">
        <v>1836</v>
      </c>
      <c r="F1503" s="238" t="s">
        <v>2458</v>
      </c>
      <c r="G1503" s="238" t="s">
        <v>79</v>
      </c>
      <c r="H1503" s="239" t="s">
        <v>3357</v>
      </c>
      <c r="I1503" s="217"/>
      <c r="J1503" s="217"/>
      <c r="K1503" s="217"/>
      <c r="L1503" s="217"/>
      <c r="M1503" s="217"/>
      <c r="N1503" s="217"/>
      <c r="O1503" s="217"/>
      <c r="P1503" s="217"/>
    </row>
    <row r="1504" spans="1:16" s="219" customFormat="1" ht="45" hidden="1" x14ac:dyDescent="0.25">
      <c r="A1504" s="214"/>
      <c r="B1504" s="237">
        <v>1</v>
      </c>
      <c r="C1504" s="237">
        <v>3</v>
      </c>
      <c r="D1504" s="238" t="s">
        <v>2022</v>
      </c>
      <c r="E1504" s="238" t="s">
        <v>1836</v>
      </c>
      <c r="F1504" s="238" t="s">
        <v>2458</v>
      </c>
      <c r="G1504" s="238" t="s">
        <v>84</v>
      </c>
      <c r="H1504" s="239" t="s">
        <v>3358</v>
      </c>
      <c r="I1504" s="217"/>
      <c r="J1504" s="217"/>
      <c r="K1504" s="217"/>
      <c r="L1504" s="217"/>
      <c r="M1504" s="217"/>
      <c r="N1504" s="217"/>
      <c r="O1504" s="217"/>
      <c r="P1504" s="217"/>
    </row>
    <row r="1505" spans="1:16" s="219" customFormat="1" ht="45" hidden="1" x14ac:dyDescent="0.25">
      <c r="A1505" s="214"/>
      <c r="B1505" s="237">
        <v>1</v>
      </c>
      <c r="C1505" s="237">
        <v>3</v>
      </c>
      <c r="D1505" s="238" t="s">
        <v>2022</v>
      </c>
      <c r="E1505" s="238" t="s">
        <v>1836</v>
      </c>
      <c r="F1505" s="238" t="s">
        <v>2458</v>
      </c>
      <c r="G1505" s="238" t="s">
        <v>88</v>
      </c>
      <c r="H1505" s="239" t="s">
        <v>3359</v>
      </c>
      <c r="I1505" s="217"/>
      <c r="J1505" s="217"/>
      <c r="K1505" s="217"/>
      <c r="L1505" s="217"/>
      <c r="M1505" s="217"/>
      <c r="N1505" s="217"/>
      <c r="O1505" s="217"/>
      <c r="P1505" s="217"/>
    </row>
    <row r="1506" spans="1:16" s="219" customFormat="1" ht="45" hidden="1" x14ac:dyDescent="0.25">
      <c r="A1506" s="214"/>
      <c r="B1506" s="237">
        <v>1</v>
      </c>
      <c r="C1506" s="237">
        <v>3</v>
      </c>
      <c r="D1506" s="238" t="s">
        <v>2022</v>
      </c>
      <c r="E1506" s="238" t="s">
        <v>1836</v>
      </c>
      <c r="F1506" s="238" t="s">
        <v>2458</v>
      </c>
      <c r="G1506" s="238" t="s">
        <v>92</v>
      </c>
      <c r="H1506" s="239" t="s">
        <v>3360</v>
      </c>
      <c r="I1506" s="217"/>
      <c r="J1506" s="217"/>
      <c r="K1506" s="217"/>
      <c r="L1506" s="217"/>
      <c r="M1506" s="217"/>
      <c r="N1506" s="217"/>
      <c r="O1506" s="217"/>
      <c r="P1506" s="217"/>
    </row>
    <row r="1507" spans="1:16" s="213" customFormat="1" ht="30" hidden="1" x14ac:dyDescent="0.25">
      <c r="A1507" s="208" t="s">
        <v>1938</v>
      </c>
      <c r="B1507" s="234">
        <v>1</v>
      </c>
      <c r="C1507" s="234">
        <v>3</v>
      </c>
      <c r="D1507" s="235" t="s">
        <v>2022</v>
      </c>
      <c r="E1507" s="235" t="s">
        <v>1847</v>
      </c>
      <c r="F1507" s="234"/>
      <c r="G1507" s="234"/>
      <c r="H1507" s="236" t="s">
        <v>3361</v>
      </c>
      <c r="I1507" s="211">
        <f>SUM(I1508+I1559+I1564+I1570)</f>
        <v>0</v>
      </c>
      <c r="J1507" s="211">
        <f t="shared" ref="J1507:P1507" si="173">SUM(J1508+J1559+J1564+J1570)</f>
        <v>0</v>
      </c>
      <c r="K1507" s="211">
        <f t="shared" si="173"/>
        <v>0</v>
      </c>
      <c r="L1507" s="211">
        <f t="shared" si="173"/>
        <v>0</v>
      </c>
      <c r="M1507" s="211">
        <f t="shared" si="173"/>
        <v>0</v>
      </c>
      <c r="N1507" s="211">
        <f t="shared" si="173"/>
        <v>0</v>
      </c>
      <c r="O1507" s="211">
        <f t="shared" si="173"/>
        <v>0</v>
      </c>
      <c r="P1507" s="211">
        <f t="shared" si="173"/>
        <v>0</v>
      </c>
    </row>
    <row r="1508" spans="1:16" s="213" customFormat="1" ht="30" hidden="1" x14ac:dyDescent="0.25">
      <c r="A1508" s="208" t="s">
        <v>263</v>
      </c>
      <c r="B1508" s="234">
        <v>1</v>
      </c>
      <c r="C1508" s="234">
        <v>3</v>
      </c>
      <c r="D1508" s="235" t="s">
        <v>2022</v>
      </c>
      <c r="E1508" s="235" t="s">
        <v>1847</v>
      </c>
      <c r="F1508" s="235" t="s">
        <v>1825</v>
      </c>
      <c r="G1508" s="234"/>
      <c r="H1508" s="236" t="s">
        <v>3362</v>
      </c>
      <c r="I1508" s="211">
        <f>SUM(I1509:I1558)</f>
        <v>0</v>
      </c>
      <c r="J1508" s="211">
        <f t="shared" ref="J1508:P1508" si="174">SUM(J1509:J1558)</f>
        <v>0</v>
      </c>
      <c r="K1508" s="211">
        <f t="shared" si="174"/>
        <v>0</v>
      </c>
      <c r="L1508" s="211">
        <f t="shared" si="174"/>
        <v>0</v>
      </c>
      <c r="M1508" s="211">
        <f t="shared" si="174"/>
        <v>0</v>
      </c>
      <c r="N1508" s="211">
        <f t="shared" si="174"/>
        <v>0</v>
      </c>
      <c r="O1508" s="211">
        <f t="shared" si="174"/>
        <v>0</v>
      </c>
      <c r="P1508" s="211">
        <f t="shared" si="174"/>
        <v>0</v>
      </c>
    </row>
    <row r="1509" spans="1:16" s="219" customFormat="1" ht="45" hidden="1" x14ac:dyDescent="0.25">
      <c r="A1509" s="214"/>
      <c r="B1509" s="237">
        <v>1</v>
      </c>
      <c r="C1509" s="237">
        <v>3</v>
      </c>
      <c r="D1509" s="238" t="s">
        <v>2022</v>
      </c>
      <c r="E1509" s="238" t="s">
        <v>1847</v>
      </c>
      <c r="F1509" s="238" t="s">
        <v>1825</v>
      </c>
      <c r="G1509" s="238" t="s">
        <v>58</v>
      </c>
      <c r="H1509" s="239" t="s">
        <v>3363</v>
      </c>
      <c r="I1509" s="217"/>
      <c r="J1509" s="217"/>
      <c r="K1509" s="217"/>
      <c r="L1509" s="217"/>
      <c r="M1509" s="217"/>
      <c r="N1509" s="217"/>
      <c r="O1509" s="217"/>
      <c r="P1509" s="217"/>
    </row>
    <row r="1510" spans="1:16" s="219" customFormat="1" ht="45" hidden="1" x14ac:dyDescent="0.25">
      <c r="A1510" s="214"/>
      <c r="B1510" s="237">
        <v>1</v>
      </c>
      <c r="C1510" s="237">
        <v>3</v>
      </c>
      <c r="D1510" s="238" t="s">
        <v>2022</v>
      </c>
      <c r="E1510" s="238" t="s">
        <v>1847</v>
      </c>
      <c r="F1510" s="238" t="s">
        <v>1825</v>
      </c>
      <c r="G1510" s="238" t="s">
        <v>75</v>
      </c>
      <c r="H1510" s="239" t="s">
        <v>3364</v>
      </c>
      <c r="I1510" s="217"/>
      <c r="J1510" s="217"/>
      <c r="K1510" s="217"/>
      <c r="L1510" s="217"/>
      <c r="M1510" s="217"/>
      <c r="N1510" s="217"/>
      <c r="O1510" s="217"/>
      <c r="P1510" s="217"/>
    </row>
    <row r="1511" spans="1:16" s="219" customFormat="1" ht="60" hidden="1" x14ac:dyDescent="0.25">
      <c r="A1511" s="214"/>
      <c r="B1511" s="237">
        <v>1</v>
      </c>
      <c r="C1511" s="237">
        <v>3</v>
      </c>
      <c r="D1511" s="238" t="s">
        <v>2022</v>
      </c>
      <c r="E1511" s="238" t="s">
        <v>1847</v>
      </c>
      <c r="F1511" s="238" t="s">
        <v>1825</v>
      </c>
      <c r="G1511" s="238" t="s">
        <v>79</v>
      </c>
      <c r="H1511" s="239" t="s">
        <v>3365</v>
      </c>
      <c r="I1511" s="217"/>
      <c r="J1511" s="217"/>
      <c r="K1511" s="217"/>
      <c r="L1511" s="217"/>
      <c r="M1511" s="217"/>
      <c r="N1511" s="217"/>
      <c r="O1511" s="217"/>
      <c r="P1511" s="217"/>
    </row>
    <row r="1512" spans="1:16" s="219" customFormat="1" ht="45" hidden="1" x14ac:dyDescent="0.25">
      <c r="A1512" s="214"/>
      <c r="B1512" s="237">
        <v>1</v>
      </c>
      <c r="C1512" s="237">
        <v>3</v>
      </c>
      <c r="D1512" s="238" t="s">
        <v>2022</v>
      </c>
      <c r="E1512" s="238" t="s">
        <v>1847</v>
      </c>
      <c r="F1512" s="238" t="s">
        <v>1825</v>
      </c>
      <c r="G1512" s="238" t="s">
        <v>84</v>
      </c>
      <c r="H1512" s="239" t="s">
        <v>3366</v>
      </c>
      <c r="I1512" s="217"/>
      <c r="J1512" s="217"/>
      <c r="K1512" s="217"/>
      <c r="L1512" s="217"/>
      <c r="M1512" s="217"/>
      <c r="N1512" s="217"/>
      <c r="O1512" s="217"/>
      <c r="P1512" s="217"/>
    </row>
    <row r="1513" spans="1:16" s="219" customFormat="1" ht="45" hidden="1" x14ac:dyDescent="0.25">
      <c r="A1513" s="214"/>
      <c r="B1513" s="237">
        <v>1</v>
      </c>
      <c r="C1513" s="237">
        <v>3</v>
      </c>
      <c r="D1513" s="238" t="s">
        <v>2022</v>
      </c>
      <c r="E1513" s="238" t="s">
        <v>1847</v>
      </c>
      <c r="F1513" s="238" t="s">
        <v>1825</v>
      </c>
      <c r="G1513" s="238" t="s">
        <v>88</v>
      </c>
      <c r="H1513" s="239" t="s">
        <v>3367</v>
      </c>
      <c r="I1513" s="217"/>
      <c r="J1513" s="217"/>
      <c r="K1513" s="217"/>
      <c r="L1513" s="217"/>
      <c r="M1513" s="217"/>
      <c r="N1513" s="217"/>
      <c r="O1513" s="217"/>
      <c r="P1513" s="217"/>
    </row>
    <row r="1514" spans="1:16" s="219" customFormat="1" ht="45" hidden="1" x14ac:dyDescent="0.25">
      <c r="A1514" s="214"/>
      <c r="B1514" s="237">
        <v>1</v>
      </c>
      <c r="C1514" s="237">
        <v>3</v>
      </c>
      <c r="D1514" s="238" t="s">
        <v>2022</v>
      </c>
      <c r="E1514" s="238" t="s">
        <v>1847</v>
      </c>
      <c r="F1514" s="238" t="s">
        <v>1825</v>
      </c>
      <c r="G1514" s="238" t="s">
        <v>92</v>
      </c>
      <c r="H1514" s="239" t="s">
        <v>3368</v>
      </c>
      <c r="I1514" s="217"/>
      <c r="J1514" s="217"/>
      <c r="K1514" s="217"/>
      <c r="L1514" s="217"/>
      <c r="M1514" s="217"/>
      <c r="N1514" s="217"/>
      <c r="O1514" s="217"/>
      <c r="P1514" s="217"/>
    </row>
    <row r="1515" spans="1:16" s="219" customFormat="1" ht="60" hidden="1" x14ac:dyDescent="0.25">
      <c r="A1515" s="214"/>
      <c r="B1515" s="237">
        <v>1</v>
      </c>
      <c r="C1515" s="237">
        <v>3</v>
      </c>
      <c r="D1515" s="238" t="s">
        <v>2022</v>
      </c>
      <c r="E1515" s="238" t="s">
        <v>1847</v>
      </c>
      <c r="F1515" s="238" t="s">
        <v>1825</v>
      </c>
      <c r="G1515" s="238" t="s">
        <v>96</v>
      </c>
      <c r="H1515" s="239" t="s">
        <v>3369</v>
      </c>
      <c r="I1515" s="217"/>
      <c r="J1515" s="217"/>
      <c r="K1515" s="217"/>
      <c r="L1515" s="217"/>
      <c r="M1515" s="217"/>
      <c r="N1515" s="217"/>
      <c r="O1515" s="217"/>
      <c r="P1515" s="217"/>
    </row>
    <row r="1516" spans="1:16" s="219" customFormat="1" ht="45" hidden="1" x14ac:dyDescent="0.25">
      <c r="A1516" s="214"/>
      <c r="B1516" s="237">
        <v>1</v>
      </c>
      <c r="C1516" s="237">
        <v>3</v>
      </c>
      <c r="D1516" s="238" t="s">
        <v>2022</v>
      </c>
      <c r="E1516" s="238" t="s">
        <v>1847</v>
      </c>
      <c r="F1516" s="238" t="s">
        <v>1825</v>
      </c>
      <c r="G1516" s="238" t="s">
        <v>100</v>
      </c>
      <c r="H1516" s="239" t="s">
        <v>3370</v>
      </c>
      <c r="I1516" s="217"/>
      <c r="J1516" s="217"/>
      <c r="K1516" s="217"/>
      <c r="L1516" s="217"/>
      <c r="M1516" s="217"/>
      <c r="N1516" s="217"/>
      <c r="O1516" s="217"/>
      <c r="P1516" s="217"/>
    </row>
    <row r="1517" spans="1:16" s="219" customFormat="1" ht="45" hidden="1" x14ac:dyDescent="0.25">
      <c r="A1517" s="214"/>
      <c r="B1517" s="237">
        <v>1</v>
      </c>
      <c r="C1517" s="237">
        <v>3</v>
      </c>
      <c r="D1517" s="238" t="s">
        <v>2022</v>
      </c>
      <c r="E1517" s="238" t="s">
        <v>1847</v>
      </c>
      <c r="F1517" s="238" t="s">
        <v>1825</v>
      </c>
      <c r="G1517" s="238" t="s">
        <v>105</v>
      </c>
      <c r="H1517" s="239" t="s">
        <v>3371</v>
      </c>
      <c r="I1517" s="217"/>
      <c r="J1517" s="217"/>
      <c r="K1517" s="217"/>
      <c r="L1517" s="217"/>
      <c r="M1517" s="217"/>
      <c r="N1517" s="217"/>
      <c r="O1517" s="217"/>
      <c r="P1517" s="217"/>
    </row>
    <row r="1518" spans="1:16" s="219" customFormat="1" ht="60" hidden="1" x14ac:dyDescent="0.25">
      <c r="A1518" s="214"/>
      <c r="B1518" s="237">
        <v>1</v>
      </c>
      <c r="C1518" s="237">
        <v>3</v>
      </c>
      <c r="D1518" s="238" t="s">
        <v>2022</v>
      </c>
      <c r="E1518" s="238" t="s">
        <v>1847</v>
      </c>
      <c r="F1518" s="238" t="s">
        <v>1825</v>
      </c>
      <c r="G1518" s="238" t="s">
        <v>108</v>
      </c>
      <c r="H1518" s="239" t="s">
        <v>3372</v>
      </c>
      <c r="I1518" s="217"/>
      <c r="J1518" s="217"/>
      <c r="K1518" s="217"/>
      <c r="L1518" s="217"/>
      <c r="M1518" s="217"/>
      <c r="N1518" s="217"/>
      <c r="O1518" s="217"/>
      <c r="P1518" s="217"/>
    </row>
    <row r="1519" spans="1:16" s="219" customFormat="1" ht="45" hidden="1" x14ac:dyDescent="0.25">
      <c r="A1519" s="214"/>
      <c r="B1519" s="237">
        <v>1</v>
      </c>
      <c r="C1519" s="237">
        <v>3</v>
      </c>
      <c r="D1519" s="238" t="s">
        <v>2022</v>
      </c>
      <c r="E1519" s="238" t="s">
        <v>1847</v>
      </c>
      <c r="F1519" s="238" t="s">
        <v>1825</v>
      </c>
      <c r="G1519" s="238" t="s">
        <v>135</v>
      </c>
      <c r="H1519" s="239" t="s">
        <v>3373</v>
      </c>
      <c r="I1519" s="217"/>
      <c r="J1519" s="217"/>
      <c r="K1519" s="217"/>
      <c r="L1519" s="217"/>
      <c r="M1519" s="217"/>
      <c r="N1519" s="217"/>
      <c r="O1519" s="217"/>
      <c r="P1519" s="217"/>
    </row>
    <row r="1520" spans="1:16" s="219" customFormat="1" ht="60" hidden="1" x14ac:dyDescent="0.25">
      <c r="A1520" s="214"/>
      <c r="B1520" s="237">
        <v>1</v>
      </c>
      <c r="C1520" s="237">
        <v>3</v>
      </c>
      <c r="D1520" s="238" t="s">
        <v>2022</v>
      </c>
      <c r="E1520" s="238" t="s">
        <v>1847</v>
      </c>
      <c r="F1520" s="238" t="s">
        <v>1825</v>
      </c>
      <c r="G1520" s="238" t="s">
        <v>138</v>
      </c>
      <c r="H1520" s="239" t="s">
        <v>3374</v>
      </c>
      <c r="I1520" s="217"/>
      <c r="J1520" s="217"/>
      <c r="K1520" s="217"/>
      <c r="L1520" s="217"/>
      <c r="M1520" s="217"/>
      <c r="N1520" s="217"/>
      <c r="O1520" s="217"/>
      <c r="P1520" s="217"/>
    </row>
    <row r="1521" spans="1:16" s="219" customFormat="1" ht="45" hidden="1" x14ac:dyDescent="0.25">
      <c r="A1521" s="214"/>
      <c r="B1521" s="237">
        <v>1</v>
      </c>
      <c r="C1521" s="237">
        <v>3</v>
      </c>
      <c r="D1521" s="238" t="s">
        <v>2022</v>
      </c>
      <c r="E1521" s="238" t="s">
        <v>1847</v>
      </c>
      <c r="F1521" s="238" t="s">
        <v>1825</v>
      </c>
      <c r="G1521" s="238" t="s">
        <v>140</v>
      </c>
      <c r="H1521" s="239" t="s">
        <v>3375</v>
      </c>
      <c r="I1521" s="217"/>
      <c r="J1521" s="217"/>
      <c r="K1521" s="217"/>
      <c r="L1521" s="217"/>
      <c r="M1521" s="217"/>
      <c r="N1521" s="217"/>
      <c r="O1521" s="217"/>
      <c r="P1521" s="217"/>
    </row>
    <row r="1522" spans="1:16" s="219" customFormat="1" ht="45" hidden="1" x14ac:dyDescent="0.25">
      <c r="A1522" s="214"/>
      <c r="B1522" s="237">
        <v>1</v>
      </c>
      <c r="C1522" s="237">
        <v>3</v>
      </c>
      <c r="D1522" s="238" t="s">
        <v>2022</v>
      </c>
      <c r="E1522" s="238" t="s">
        <v>1847</v>
      </c>
      <c r="F1522" s="238" t="s">
        <v>1825</v>
      </c>
      <c r="G1522" s="238" t="s">
        <v>143</v>
      </c>
      <c r="H1522" s="239" t="s">
        <v>3376</v>
      </c>
      <c r="I1522" s="217"/>
      <c r="J1522" s="217"/>
      <c r="K1522" s="217"/>
      <c r="L1522" s="217"/>
      <c r="M1522" s="217"/>
      <c r="N1522" s="217"/>
      <c r="O1522" s="217"/>
      <c r="P1522" s="217"/>
    </row>
    <row r="1523" spans="1:16" s="219" customFormat="1" ht="45" hidden="1" x14ac:dyDescent="0.25">
      <c r="A1523" s="214"/>
      <c r="B1523" s="237">
        <v>1</v>
      </c>
      <c r="C1523" s="237">
        <v>3</v>
      </c>
      <c r="D1523" s="238" t="s">
        <v>2022</v>
      </c>
      <c r="E1523" s="238" t="s">
        <v>1847</v>
      </c>
      <c r="F1523" s="238" t="s">
        <v>1825</v>
      </c>
      <c r="G1523" s="238" t="s">
        <v>146</v>
      </c>
      <c r="H1523" s="239" t="s">
        <v>3377</v>
      </c>
      <c r="I1523" s="217"/>
      <c r="J1523" s="217"/>
      <c r="K1523" s="217"/>
      <c r="L1523" s="217"/>
      <c r="M1523" s="217"/>
      <c r="N1523" s="217"/>
      <c r="O1523" s="217"/>
      <c r="P1523" s="217"/>
    </row>
    <row r="1524" spans="1:16" s="219" customFormat="1" ht="45" hidden="1" x14ac:dyDescent="0.25">
      <c r="A1524" s="214"/>
      <c r="B1524" s="237">
        <v>1</v>
      </c>
      <c r="C1524" s="237">
        <v>3</v>
      </c>
      <c r="D1524" s="238" t="s">
        <v>2022</v>
      </c>
      <c r="E1524" s="238" t="s">
        <v>1847</v>
      </c>
      <c r="F1524" s="238" t="s">
        <v>1825</v>
      </c>
      <c r="G1524" s="238" t="s">
        <v>150</v>
      </c>
      <c r="H1524" s="239" t="s">
        <v>3378</v>
      </c>
      <c r="I1524" s="217"/>
      <c r="J1524" s="217"/>
      <c r="K1524" s="217"/>
      <c r="L1524" s="217"/>
      <c r="M1524" s="217"/>
      <c r="N1524" s="217"/>
      <c r="O1524" s="217"/>
      <c r="P1524" s="217"/>
    </row>
    <row r="1525" spans="1:16" s="219" customFormat="1" ht="45" hidden="1" x14ac:dyDescent="0.25">
      <c r="A1525" s="214"/>
      <c r="B1525" s="237">
        <v>1</v>
      </c>
      <c r="C1525" s="237">
        <v>3</v>
      </c>
      <c r="D1525" s="238" t="s">
        <v>2022</v>
      </c>
      <c r="E1525" s="238" t="s">
        <v>1847</v>
      </c>
      <c r="F1525" s="238" t="s">
        <v>1825</v>
      </c>
      <c r="G1525" s="238" t="s">
        <v>153</v>
      </c>
      <c r="H1525" s="239" t="s">
        <v>3379</v>
      </c>
      <c r="I1525" s="217"/>
      <c r="J1525" s="217"/>
      <c r="K1525" s="217"/>
      <c r="L1525" s="217"/>
      <c r="M1525" s="217"/>
      <c r="N1525" s="217"/>
      <c r="O1525" s="217"/>
      <c r="P1525" s="217"/>
    </row>
    <row r="1526" spans="1:16" s="219" customFormat="1" ht="60" hidden="1" x14ac:dyDescent="0.25">
      <c r="A1526" s="214"/>
      <c r="B1526" s="237">
        <v>1</v>
      </c>
      <c r="C1526" s="237">
        <v>3</v>
      </c>
      <c r="D1526" s="238" t="s">
        <v>2022</v>
      </c>
      <c r="E1526" s="238" t="s">
        <v>1847</v>
      </c>
      <c r="F1526" s="238" t="s">
        <v>1825</v>
      </c>
      <c r="G1526" s="238" t="s">
        <v>156</v>
      </c>
      <c r="H1526" s="239" t="s">
        <v>3380</v>
      </c>
      <c r="I1526" s="217"/>
      <c r="J1526" s="217"/>
      <c r="K1526" s="217"/>
      <c r="L1526" s="217"/>
      <c r="M1526" s="217"/>
      <c r="N1526" s="217"/>
      <c r="O1526" s="217"/>
      <c r="P1526" s="217"/>
    </row>
    <row r="1527" spans="1:16" s="219" customFormat="1" ht="45" hidden="1" x14ac:dyDescent="0.25">
      <c r="A1527" s="214"/>
      <c r="B1527" s="237">
        <v>1</v>
      </c>
      <c r="C1527" s="237">
        <v>3</v>
      </c>
      <c r="D1527" s="238" t="s">
        <v>2022</v>
      </c>
      <c r="E1527" s="238" t="s">
        <v>1847</v>
      </c>
      <c r="F1527" s="238" t="s">
        <v>1825</v>
      </c>
      <c r="G1527" s="238" t="s">
        <v>159</v>
      </c>
      <c r="H1527" s="239" t="s">
        <v>3381</v>
      </c>
      <c r="I1527" s="217"/>
      <c r="J1527" s="217"/>
      <c r="K1527" s="217"/>
      <c r="L1527" s="217"/>
      <c r="M1527" s="217"/>
      <c r="N1527" s="217"/>
      <c r="O1527" s="217"/>
      <c r="P1527" s="217"/>
    </row>
    <row r="1528" spans="1:16" s="219" customFormat="1" ht="60" hidden="1" x14ac:dyDescent="0.25">
      <c r="A1528" s="214"/>
      <c r="B1528" s="237">
        <v>1</v>
      </c>
      <c r="C1528" s="237">
        <v>3</v>
      </c>
      <c r="D1528" s="238" t="s">
        <v>2022</v>
      </c>
      <c r="E1528" s="238" t="s">
        <v>1847</v>
      </c>
      <c r="F1528" s="238" t="s">
        <v>1825</v>
      </c>
      <c r="G1528" s="238" t="s">
        <v>162</v>
      </c>
      <c r="H1528" s="239" t="s">
        <v>3382</v>
      </c>
      <c r="I1528" s="217"/>
      <c r="J1528" s="217"/>
      <c r="K1528" s="217"/>
      <c r="L1528" s="217"/>
      <c r="M1528" s="217"/>
      <c r="N1528" s="217"/>
      <c r="O1528" s="217"/>
      <c r="P1528" s="217"/>
    </row>
    <row r="1529" spans="1:16" s="219" customFormat="1" ht="45" hidden="1" x14ac:dyDescent="0.25">
      <c r="A1529" s="214"/>
      <c r="B1529" s="237">
        <v>1</v>
      </c>
      <c r="C1529" s="237">
        <v>3</v>
      </c>
      <c r="D1529" s="238" t="s">
        <v>2022</v>
      </c>
      <c r="E1529" s="238" t="s">
        <v>1847</v>
      </c>
      <c r="F1529" s="238" t="s">
        <v>1825</v>
      </c>
      <c r="G1529" s="238" t="s">
        <v>312</v>
      </c>
      <c r="H1529" s="239" t="s">
        <v>3383</v>
      </c>
      <c r="I1529" s="217"/>
      <c r="J1529" s="217"/>
      <c r="K1529" s="217"/>
      <c r="L1529" s="217"/>
      <c r="M1529" s="217"/>
      <c r="N1529" s="217"/>
      <c r="O1529" s="217"/>
      <c r="P1529" s="217"/>
    </row>
    <row r="1530" spans="1:16" s="219" customFormat="1" ht="45" hidden="1" x14ac:dyDescent="0.25">
      <c r="A1530" s="214"/>
      <c r="B1530" s="237">
        <v>1</v>
      </c>
      <c r="C1530" s="237">
        <v>3</v>
      </c>
      <c r="D1530" s="238" t="s">
        <v>2022</v>
      </c>
      <c r="E1530" s="238" t="s">
        <v>1847</v>
      </c>
      <c r="F1530" s="238" t="s">
        <v>1825</v>
      </c>
      <c r="G1530" s="238" t="s">
        <v>313</v>
      </c>
      <c r="H1530" s="239" t="s">
        <v>3384</v>
      </c>
      <c r="I1530" s="217"/>
      <c r="J1530" s="217"/>
      <c r="K1530" s="217"/>
      <c r="L1530" s="217"/>
      <c r="M1530" s="217"/>
      <c r="N1530" s="217"/>
      <c r="O1530" s="217"/>
      <c r="P1530" s="217"/>
    </row>
    <row r="1531" spans="1:16" s="219" customFormat="1" ht="60" hidden="1" x14ac:dyDescent="0.25">
      <c r="A1531" s="214"/>
      <c r="B1531" s="237">
        <v>1</v>
      </c>
      <c r="C1531" s="237">
        <v>3</v>
      </c>
      <c r="D1531" s="238" t="s">
        <v>2022</v>
      </c>
      <c r="E1531" s="238" t="s">
        <v>1847</v>
      </c>
      <c r="F1531" s="238" t="s">
        <v>1825</v>
      </c>
      <c r="G1531" s="238" t="s">
        <v>559</v>
      </c>
      <c r="H1531" s="239" t="s">
        <v>3385</v>
      </c>
      <c r="I1531" s="217"/>
      <c r="J1531" s="217"/>
      <c r="K1531" s="217"/>
      <c r="L1531" s="217"/>
      <c r="M1531" s="217"/>
      <c r="N1531" s="217"/>
      <c r="O1531" s="217"/>
      <c r="P1531" s="217"/>
    </row>
    <row r="1532" spans="1:16" s="219" customFormat="1" ht="45" hidden="1" x14ac:dyDescent="0.25">
      <c r="A1532" s="214"/>
      <c r="B1532" s="237">
        <v>1</v>
      </c>
      <c r="C1532" s="237">
        <v>3</v>
      </c>
      <c r="D1532" s="238" t="s">
        <v>2022</v>
      </c>
      <c r="E1532" s="238" t="s">
        <v>1847</v>
      </c>
      <c r="F1532" s="238" t="s">
        <v>1825</v>
      </c>
      <c r="G1532" s="238" t="s">
        <v>561</v>
      </c>
      <c r="H1532" s="239" t="s">
        <v>3386</v>
      </c>
      <c r="I1532" s="217"/>
      <c r="J1532" s="217"/>
      <c r="K1532" s="217"/>
      <c r="L1532" s="217"/>
      <c r="M1532" s="217"/>
      <c r="N1532" s="217"/>
      <c r="O1532" s="217"/>
      <c r="P1532" s="217"/>
    </row>
    <row r="1533" spans="1:16" s="219" customFormat="1" ht="45" hidden="1" x14ac:dyDescent="0.25">
      <c r="A1533" s="214"/>
      <c r="B1533" s="237">
        <v>1</v>
      </c>
      <c r="C1533" s="237">
        <v>3</v>
      </c>
      <c r="D1533" s="238" t="s">
        <v>2022</v>
      </c>
      <c r="E1533" s="238" t="s">
        <v>1847</v>
      </c>
      <c r="F1533" s="238" t="s">
        <v>1825</v>
      </c>
      <c r="G1533" s="238" t="s">
        <v>563</v>
      </c>
      <c r="H1533" s="239" t="s">
        <v>3387</v>
      </c>
      <c r="I1533" s="217"/>
      <c r="J1533" s="217"/>
      <c r="K1533" s="217"/>
      <c r="L1533" s="217"/>
      <c r="M1533" s="217"/>
      <c r="N1533" s="217"/>
      <c r="O1533" s="217"/>
      <c r="P1533" s="217"/>
    </row>
    <row r="1534" spans="1:16" s="219" customFormat="1" ht="45" hidden="1" x14ac:dyDescent="0.25">
      <c r="A1534" s="214"/>
      <c r="B1534" s="237">
        <v>1</v>
      </c>
      <c r="C1534" s="237">
        <v>3</v>
      </c>
      <c r="D1534" s="238" t="s">
        <v>2022</v>
      </c>
      <c r="E1534" s="238" t="s">
        <v>1847</v>
      </c>
      <c r="F1534" s="238" t="s">
        <v>1825</v>
      </c>
      <c r="G1534" s="238" t="s">
        <v>227</v>
      </c>
      <c r="H1534" s="239" t="s">
        <v>3388</v>
      </c>
      <c r="I1534" s="217"/>
      <c r="J1534" s="217"/>
      <c r="K1534" s="217"/>
      <c r="L1534" s="217"/>
      <c r="M1534" s="217"/>
      <c r="N1534" s="217"/>
      <c r="O1534" s="217"/>
      <c r="P1534" s="217"/>
    </row>
    <row r="1535" spans="1:16" s="219" customFormat="1" ht="60" hidden="1" x14ac:dyDescent="0.25">
      <c r="A1535" s="214"/>
      <c r="B1535" s="237">
        <v>1</v>
      </c>
      <c r="C1535" s="237">
        <v>3</v>
      </c>
      <c r="D1535" s="238" t="s">
        <v>2022</v>
      </c>
      <c r="E1535" s="238" t="s">
        <v>1847</v>
      </c>
      <c r="F1535" s="238" t="s">
        <v>1825</v>
      </c>
      <c r="G1535" s="238" t="s">
        <v>230</v>
      </c>
      <c r="H1535" s="239" t="s">
        <v>3389</v>
      </c>
      <c r="I1535" s="217"/>
      <c r="J1535" s="217"/>
      <c r="K1535" s="217"/>
      <c r="L1535" s="217"/>
      <c r="M1535" s="217"/>
      <c r="N1535" s="217"/>
      <c r="O1535" s="217"/>
      <c r="P1535" s="217"/>
    </row>
    <row r="1536" spans="1:16" s="219" customFormat="1" ht="45" hidden="1" x14ac:dyDescent="0.25">
      <c r="A1536" s="214"/>
      <c r="B1536" s="237">
        <v>1</v>
      </c>
      <c r="C1536" s="237">
        <v>3</v>
      </c>
      <c r="D1536" s="238" t="s">
        <v>2022</v>
      </c>
      <c r="E1536" s="238" t="s">
        <v>1847</v>
      </c>
      <c r="F1536" s="238" t="s">
        <v>1825</v>
      </c>
      <c r="G1536" s="238" t="s">
        <v>232</v>
      </c>
      <c r="H1536" s="239" t="s">
        <v>3390</v>
      </c>
      <c r="I1536" s="217"/>
      <c r="J1536" s="217"/>
      <c r="K1536" s="217"/>
      <c r="L1536" s="217"/>
      <c r="M1536" s="217"/>
      <c r="N1536" s="217"/>
      <c r="O1536" s="217"/>
      <c r="P1536" s="217"/>
    </row>
    <row r="1537" spans="1:16" s="219" customFormat="1" ht="45" hidden="1" x14ac:dyDescent="0.25">
      <c r="A1537" s="214"/>
      <c r="B1537" s="237">
        <v>1</v>
      </c>
      <c r="C1537" s="237">
        <v>3</v>
      </c>
      <c r="D1537" s="238" t="s">
        <v>2022</v>
      </c>
      <c r="E1537" s="238" t="s">
        <v>1847</v>
      </c>
      <c r="F1537" s="238" t="s">
        <v>1825</v>
      </c>
      <c r="G1537" s="238" t="s">
        <v>234</v>
      </c>
      <c r="H1537" s="239" t="s">
        <v>3391</v>
      </c>
      <c r="I1537" s="217"/>
      <c r="J1537" s="217"/>
      <c r="K1537" s="217"/>
      <c r="L1537" s="217"/>
      <c r="M1537" s="217"/>
      <c r="N1537" s="217"/>
      <c r="O1537" s="217"/>
      <c r="P1537" s="217"/>
    </row>
    <row r="1538" spans="1:16" s="219" customFormat="1" ht="60" hidden="1" x14ac:dyDescent="0.25">
      <c r="A1538" s="214"/>
      <c r="B1538" s="237">
        <v>1</v>
      </c>
      <c r="C1538" s="237">
        <v>3</v>
      </c>
      <c r="D1538" s="238" t="s">
        <v>2022</v>
      </c>
      <c r="E1538" s="238" t="s">
        <v>1847</v>
      </c>
      <c r="F1538" s="238" t="s">
        <v>1825</v>
      </c>
      <c r="G1538" s="238" t="s">
        <v>236</v>
      </c>
      <c r="H1538" s="239" t="s">
        <v>3392</v>
      </c>
      <c r="I1538" s="217"/>
      <c r="J1538" s="217"/>
      <c r="K1538" s="217"/>
      <c r="L1538" s="217"/>
      <c r="M1538" s="217"/>
      <c r="N1538" s="217"/>
      <c r="O1538" s="217"/>
      <c r="P1538" s="217"/>
    </row>
    <row r="1539" spans="1:16" s="219" customFormat="1" ht="45" hidden="1" x14ac:dyDescent="0.25">
      <c r="A1539" s="214"/>
      <c r="B1539" s="237">
        <v>1</v>
      </c>
      <c r="C1539" s="237">
        <v>3</v>
      </c>
      <c r="D1539" s="238" t="s">
        <v>2022</v>
      </c>
      <c r="E1539" s="238" t="s">
        <v>1847</v>
      </c>
      <c r="F1539" s="238" t="s">
        <v>1825</v>
      </c>
      <c r="G1539" s="238" t="s">
        <v>238</v>
      </c>
      <c r="H1539" s="239" t="s">
        <v>3393</v>
      </c>
      <c r="I1539" s="217"/>
      <c r="J1539" s="217"/>
      <c r="K1539" s="217"/>
      <c r="L1539" s="217"/>
      <c r="M1539" s="217"/>
      <c r="N1539" s="217"/>
      <c r="O1539" s="217"/>
      <c r="P1539" s="217"/>
    </row>
    <row r="1540" spans="1:16" s="219" customFormat="1" ht="45" hidden="1" x14ac:dyDescent="0.25">
      <c r="A1540" s="214"/>
      <c r="B1540" s="237">
        <v>1</v>
      </c>
      <c r="C1540" s="237">
        <v>3</v>
      </c>
      <c r="D1540" s="238" t="s">
        <v>2022</v>
      </c>
      <c r="E1540" s="238" t="s">
        <v>1847</v>
      </c>
      <c r="F1540" s="238" t="s">
        <v>1825</v>
      </c>
      <c r="G1540" s="238" t="s">
        <v>240</v>
      </c>
      <c r="H1540" s="239" t="s">
        <v>3394</v>
      </c>
      <c r="I1540" s="217"/>
      <c r="J1540" s="217"/>
      <c r="K1540" s="217"/>
      <c r="L1540" s="217"/>
      <c r="M1540" s="217"/>
      <c r="N1540" s="217"/>
      <c r="O1540" s="217"/>
      <c r="P1540" s="217"/>
    </row>
    <row r="1541" spans="1:16" s="219" customFormat="1" ht="45" hidden="1" x14ac:dyDescent="0.25">
      <c r="A1541" s="214"/>
      <c r="B1541" s="237">
        <v>1</v>
      </c>
      <c r="C1541" s="237">
        <v>3</v>
      </c>
      <c r="D1541" s="238" t="s">
        <v>2022</v>
      </c>
      <c r="E1541" s="238" t="s">
        <v>1847</v>
      </c>
      <c r="F1541" s="238" t="s">
        <v>1825</v>
      </c>
      <c r="G1541" s="238" t="s">
        <v>242</v>
      </c>
      <c r="H1541" s="239" t="s">
        <v>3395</v>
      </c>
      <c r="I1541" s="217"/>
      <c r="J1541" s="217"/>
      <c r="K1541" s="217"/>
      <c r="L1541" s="217"/>
      <c r="M1541" s="217"/>
      <c r="N1541" s="217"/>
      <c r="O1541" s="217"/>
      <c r="P1541" s="217"/>
    </row>
    <row r="1542" spans="1:16" s="219" customFormat="1" ht="45" hidden="1" x14ac:dyDescent="0.25">
      <c r="A1542" s="214"/>
      <c r="B1542" s="237">
        <v>1</v>
      </c>
      <c r="C1542" s="237">
        <v>3</v>
      </c>
      <c r="D1542" s="238" t="s">
        <v>2022</v>
      </c>
      <c r="E1542" s="238" t="s">
        <v>1847</v>
      </c>
      <c r="F1542" s="238" t="s">
        <v>1825</v>
      </c>
      <c r="G1542" s="238" t="s">
        <v>244</v>
      </c>
      <c r="H1542" s="239" t="s">
        <v>3396</v>
      </c>
      <c r="I1542" s="217"/>
      <c r="J1542" s="217"/>
      <c r="K1542" s="217"/>
      <c r="L1542" s="217"/>
      <c r="M1542" s="217"/>
      <c r="N1542" s="217"/>
      <c r="O1542" s="217"/>
      <c r="P1542" s="217"/>
    </row>
    <row r="1543" spans="1:16" s="219" customFormat="1" ht="45" hidden="1" x14ac:dyDescent="0.25">
      <c r="A1543" s="214"/>
      <c r="B1543" s="237">
        <v>1</v>
      </c>
      <c r="C1543" s="237">
        <v>3</v>
      </c>
      <c r="D1543" s="238" t="s">
        <v>2022</v>
      </c>
      <c r="E1543" s="238" t="s">
        <v>1847</v>
      </c>
      <c r="F1543" s="238" t="s">
        <v>1825</v>
      </c>
      <c r="G1543" s="238" t="s">
        <v>246</v>
      </c>
      <c r="H1543" s="239" t="s">
        <v>3397</v>
      </c>
      <c r="I1543" s="217"/>
      <c r="J1543" s="217"/>
      <c r="K1543" s="217"/>
      <c r="L1543" s="217"/>
      <c r="M1543" s="217"/>
      <c r="N1543" s="217"/>
      <c r="O1543" s="217"/>
      <c r="P1543" s="217"/>
    </row>
    <row r="1544" spans="1:16" s="219" customFormat="1" ht="45" hidden="1" x14ac:dyDescent="0.25">
      <c r="A1544" s="214"/>
      <c r="B1544" s="237">
        <v>1</v>
      </c>
      <c r="C1544" s="237">
        <v>3</v>
      </c>
      <c r="D1544" s="238" t="s">
        <v>2022</v>
      </c>
      <c r="E1544" s="238" t="s">
        <v>1847</v>
      </c>
      <c r="F1544" s="238" t="s">
        <v>1825</v>
      </c>
      <c r="G1544" s="238" t="s">
        <v>407</v>
      </c>
      <c r="H1544" s="239" t="s">
        <v>3398</v>
      </c>
      <c r="I1544" s="217"/>
      <c r="J1544" s="217"/>
      <c r="K1544" s="217"/>
      <c r="L1544" s="217"/>
      <c r="M1544" s="217"/>
      <c r="N1544" s="217"/>
      <c r="O1544" s="217"/>
      <c r="P1544" s="217"/>
    </row>
    <row r="1545" spans="1:16" s="219" customFormat="1" ht="60" hidden="1" x14ac:dyDescent="0.25">
      <c r="A1545" s="214"/>
      <c r="B1545" s="237">
        <v>1</v>
      </c>
      <c r="C1545" s="237">
        <v>3</v>
      </c>
      <c r="D1545" s="238" t="s">
        <v>2022</v>
      </c>
      <c r="E1545" s="238" t="s">
        <v>1847</v>
      </c>
      <c r="F1545" s="238" t="s">
        <v>1825</v>
      </c>
      <c r="G1545" s="238" t="s">
        <v>408</v>
      </c>
      <c r="H1545" s="239" t="s">
        <v>3392</v>
      </c>
      <c r="I1545" s="217"/>
      <c r="J1545" s="217"/>
      <c r="K1545" s="217"/>
      <c r="L1545" s="217"/>
      <c r="M1545" s="217"/>
      <c r="N1545" s="217"/>
      <c r="O1545" s="217"/>
      <c r="P1545" s="217"/>
    </row>
    <row r="1546" spans="1:16" s="219" customFormat="1" ht="45" hidden="1" x14ac:dyDescent="0.25">
      <c r="A1546" s="214"/>
      <c r="B1546" s="237">
        <v>1</v>
      </c>
      <c r="C1546" s="237">
        <v>3</v>
      </c>
      <c r="D1546" s="238" t="s">
        <v>2022</v>
      </c>
      <c r="E1546" s="238" t="s">
        <v>1847</v>
      </c>
      <c r="F1546" s="238" t="s">
        <v>1825</v>
      </c>
      <c r="G1546" s="238" t="s">
        <v>409</v>
      </c>
      <c r="H1546" s="239" t="s">
        <v>3399</v>
      </c>
      <c r="I1546" s="217"/>
      <c r="J1546" s="217"/>
      <c r="K1546" s="217"/>
      <c r="L1546" s="217"/>
      <c r="M1546" s="217"/>
      <c r="N1546" s="217"/>
      <c r="O1546" s="217"/>
      <c r="P1546" s="217"/>
    </row>
    <row r="1547" spans="1:16" s="219" customFormat="1" ht="45" hidden="1" x14ac:dyDescent="0.25">
      <c r="A1547" s="214"/>
      <c r="B1547" s="237">
        <v>1</v>
      </c>
      <c r="C1547" s="237">
        <v>3</v>
      </c>
      <c r="D1547" s="238" t="s">
        <v>2022</v>
      </c>
      <c r="E1547" s="238" t="s">
        <v>1847</v>
      </c>
      <c r="F1547" s="238" t="s">
        <v>1825</v>
      </c>
      <c r="G1547" s="238" t="s">
        <v>788</v>
      </c>
      <c r="H1547" s="239" t="s">
        <v>3400</v>
      </c>
      <c r="I1547" s="217"/>
      <c r="J1547" s="217"/>
      <c r="K1547" s="217"/>
      <c r="L1547" s="217"/>
      <c r="M1547" s="217"/>
      <c r="N1547" s="217"/>
      <c r="O1547" s="217"/>
      <c r="P1547" s="217"/>
    </row>
    <row r="1548" spans="1:16" s="219" customFormat="1" ht="45" hidden="1" x14ac:dyDescent="0.25">
      <c r="A1548" s="214"/>
      <c r="B1548" s="237">
        <v>1</v>
      </c>
      <c r="C1548" s="237">
        <v>3</v>
      </c>
      <c r="D1548" s="238" t="s">
        <v>2022</v>
      </c>
      <c r="E1548" s="238" t="s">
        <v>1847</v>
      </c>
      <c r="F1548" s="238" t="s">
        <v>1825</v>
      </c>
      <c r="G1548" s="238" t="s">
        <v>1017</v>
      </c>
      <c r="H1548" s="239" t="s">
        <v>3401</v>
      </c>
      <c r="I1548" s="217"/>
      <c r="J1548" s="217"/>
      <c r="K1548" s="217"/>
      <c r="L1548" s="217"/>
      <c r="M1548" s="217"/>
      <c r="N1548" s="217"/>
      <c r="O1548" s="217"/>
      <c r="P1548" s="217"/>
    </row>
    <row r="1549" spans="1:16" s="219" customFormat="1" ht="60" hidden="1" x14ac:dyDescent="0.25">
      <c r="A1549" s="214"/>
      <c r="B1549" s="237">
        <v>1</v>
      </c>
      <c r="C1549" s="237">
        <v>3</v>
      </c>
      <c r="D1549" s="238" t="s">
        <v>2022</v>
      </c>
      <c r="E1549" s="238" t="s">
        <v>1847</v>
      </c>
      <c r="F1549" s="238" t="s">
        <v>1825</v>
      </c>
      <c r="G1549" s="238" t="s">
        <v>411</v>
      </c>
      <c r="H1549" s="239" t="s">
        <v>3402</v>
      </c>
      <c r="I1549" s="217"/>
      <c r="J1549" s="217"/>
      <c r="K1549" s="217"/>
      <c r="L1549" s="217"/>
      <c r="M1549" s="217"/>
      <c r="N1549" s="217"/>
      <c r="O1549" s="217"/>
      <c r="P1549" s="217"/>
    </row>
    <row r="1550" spans="1:16" s="219" customFormat="1" ht="45" hidden="1" x14ac:dyDescent="0.25">
      <c r="A1550" s="214"/>
      <c r="B1550" s="237">
        <v>1</v>
      </c>
      <c r="C1550" s="237">
        <v>3</v>
      </c>
      <c r="D1550" s="238" t="s">
        <v>2022</v>
      </c>
      <c r="E1550" s="238" t="s">
        <v>1847</v>
      </c>
      <c r="F1550" s="238" t="s">
        <v>1825</v>
      </c>
      <c r="G1550" s="238" t="s">
        <v>247</v>
      </c>
      <c r="H1550" s="239" t="s">
        <v>3403</v>
      </c>
      <c r="I1550" s="217"/>
      <c r="J1550" s="217"/>
      <c r="K1550" s="217"/>
      <c r="L1550" s="217"/>
      <c r="M1550" s="217"/>
      <c r="N1550" s="217"/>
      <c r="O1550" s="217"/>
      <c r="P1550" s="217"/>
    </row>
    <row r="1551" spans="1:16" s="219" customFormat="1" ht="45" hidden="1" x14ac:dyDescent="0.25">
      <c r="A1551" s="214"/>
      <c r="B1551" s="237">
        <v>1</v>
      </c>
      <c r="C1551" s="237">
        <v>3</v>
      </c>
      <c r="D1551" s="238" t="s">
        <v>2022</v>
      </c>
      <c r="E1551" s="238" t="s">
        <v>1847</v>
      </c>
      <c r="F1551" s="238" t="s">
        <v>1825</v>
      </c>
      <c r="G1551" s="238" t="s">
        <v>1019</v>
      </c>
      <c r="H1551" s="239" t="s">
        <v>3404</v>
      </c>
      <c r="I1551" s="217"/>
      <c r="J1551" s="217"/>
      <c r="K1551" s="217"/>
      <c r="L1551" s="217"/>
      <c r="M1551" s="217"/>
      <c r="N1551" s="217"/>
      <c r="O1551" s="217"/>
      <c r="P1551" s="217"/>
    </row>
    <row r="1552" spans="1:16" s="219" customFormat="1" ht="45" hidden="1" x14ac:dyDescent="0.25">
      <c r="A1552" s="214"/>
      <c r="B1552" s="237">
        <v>1</v>
      </c>
      <c r="C1552" s="237">
        <v>3</v>
      </c>
      <c r="D1552" s="238" t="s">
        <v>2022</v>
      </c>
      <c r="E1552" s="238" t="s">
        <v>1847</v>
      </c>
      <c r="F1552" s="238" t="s">
        <v>1825</v>
      </c>
      <c r="G1552" s="238" t="s">
        <v>1022</v>
      </c>
      <c r="H1552" s="239" t="s">
        <v>3405</v>
      </c>
      <c r="I1552" s="217"/>
      <c r="J1552" s="217"/>
      <c r="K1552" s="217"/>
      <c r="L1552" s="217"/>
      <c r="M1552" s="217"/>
      <c r="N1552" s="217"/>
      <c r="O1552" s="217"/>
      <c r="P1552" s="217"/>
    </row>
    <row r="1553" spans="1:16" s="219" customFormat="1" ht="45" hidden="1" x14ac:dyDescent="0.25">
      <c r="A1553" s="214"/>
      <c r="B1553" s="237">
        <v>1</v>
      </c>
      <c r="C1553" s="237">
        <v>3</v>
      </c>
      <c r="D1553" s="238" t="s">
        <v>2022</v>
      </c>
      <c r="E1553" s="238" t="s">
        <v>1847</v>
      </c>
      <c r="F1553" s="238" t="s">
        <v>1825</v>
      </c>
      <c r="G1553" s="238" t="s">
        <v>1024</v>
      </c>
      <c r="H1553" s="239" t="s">
        <v>3406</v>
      </c>
      <c r="I1553" s="217"/>
      <c r="J1553" s="217"/>
      <c r="K1553" s="217"/>
      <c r="L1553" s="217"/>
      <c r="M1553" s="217"/>
      <c r="N1553" s="217"/>
      <c r="O1553" s="217"/>
      <c r="P1553" s="217"/>
    </row>
    <row r="1554" spans="1:16" s="219" customFormat="1" ht="60" hidden="1" x14ac:dyDescent="0.25">
      <c r="A1554" s="214"/>
      <c r="B1554" s="237">
        <v>1</v>
      </c>
      <c r="C1554" s="237">
        <v>3</v>
      </c>
      <c r="D1554" s="238" t="s">
        <v>2022</v>
      </c>
      <c r="E1554" s="238" t="s">
        <v>1847</v>
      </c>
      <c r="F1554" s="238" t="s">
        <v>1825</v>
      </c>
      <c r="G1554" s="238" t="s">
        <v>1026</v>
      </c>
      <c r="H1554" s="239" t="s">
        <v>3407</v>
      </c>
      <c r="I1554" s="217"/>
      <c r="J1554" s="217"/>
      <c r="K1554" s="217"/>
      <c r="L1554" s="217"/>
      <c r="M1554" s="217"/>
      <c r="N1554" s="217"/>
      <c r="O1554" s="217"/>
      <c r="P1554" s="217"/>
    </row>
    <row r="1555" spans="1:16" s="219" customFormat="1" ht="45" hidden="1" x14ac:dyDescent="0.25">
      <c r="A1555" s="214"/>
      <c r="B1555" s="237">
        <v>1</v>
      </c>
      <c r="C1555" s="237">
        <v>3</v>
      </c>
      <c r="D1555" s="238" t="s">
        <v>2022</v>
      </c>
      <c r="E1555" s="238" t="s">
        <v>1847</v>
      </c>
      <c r="F1555" s="238" t="s">
        <v>1825</v>
      </c>
      <c r="G1555" s="238" t="s">
        <v>416</v>
      </c>
      <c r="H1555" s="239" t="s">
        <v>3408</v>
      </c>
      <c r="I1555" s="217"/>
      <c r="J1555" s="217"/>
      <c r="K1555" s="217"/>
      <c r="L1555" s="217"/>
      <c r="M1555" s="217"/>
      <c r="N1555" s="217"/>
      <c r="O1555" s="217"/>
      <c r="P1555" s="217"/>
    </row>
    <row r="1556" spans="1:16" s="219" customFormat="1" ht="45" hidden="1" x14ac:dyDescent="0.25">
      <c r="A1556" s="214"/>
      <c r="B1556" s="237">
        <v>1</v>
      </c>
      <c r="C1556" s="237">
        <v>3</v>
      </c>
      <c r="D1556" s="238" t="s">
        <v>2022</v>
      </c>
      <c r="E1556" s="238" t="s">
        <v>1847</v>
      </c>
      <c r="F1556" s="238" t="s">
        <v>1825</v>
      </c>
      <c r="G1556" s="238" t="s">
        <v>417</v>
      </c>
      <c r="H1556" s="239" t="s">
        <v>3409</v>
      </c>
      <c r="I1556" s="217"/>
      <c r="J1556" s="217"/>
      <c r="K1556" s="217"/>
      <c r="L1556" s="217"/>
      <c r="M1556" s="217"/>
      <c r="N1556" s="217"/>
      <c r="O1556" s="217"/>
      <c r="P1556" s="217"/>
    </row>
    <row r="1557" spans="1:16" s="219" customFormat="1" ht="45" hidden="1" x14ac:dyDescent="0.25">
      <c r="A1557" s="214"/>
      <c r="B1557" s="237">
        <v>1</v>
      </c>
      <c r="C1557" s="237">
        <v>3</v>
      </c>
      <c r="D1557" s="238" t="s">
        <v>2022</v>
      </c>
      <c r="E1557" s="238" t="s">
        <v>1847</v>
      </c>
      <c r="F1557" s="238" t="s">
        <v>1825</v>
      </c>
      <c r="G1557" s="238" t="s">
        <v>1028</v>
      </c>
      <c r="H1557" s="239" t="s">
        <v>3410</v>
      </c>
      <c r="I1557" s="217"/>
      <c r="J1557" s="217"/>
      <c r="K1557" s="217"/>
      <c r="L1557" s="217"/>
      <c r="M1557" s="217"/>
      <c r="N1557" s="217"/>
      <c r="O1557" s="217"/>
      <c r="P1557" s="217"/>
    </row>
    <row r="1558" spans="1:16" s="219" customFormat="1" ht="60" hidden="1" x14ac:dyDescent="0.25">
      <c r="A1558" s="214"/>
      <c r="B1558" s="237">
        <v>1</v>
      </c>
      <c r="C1558" s="237">
        <v>3</v>
      </c>
      <c r="D1558" s="238" t="s">
        <v>2022</v>
      </c>
      <c r="E1558" s="238" t="s">
        <v>1847</v>
      </c>
      <c r="F1558" s="238" t="s">
        <v>1825</v>
      </c>
      <c r="G1558" s="238" t="s">
        <v>1029</v>
      </c>
      <c r="H1558" s="239" t="s">
        <v>3411</v>
      </c>
      <c r="I1558" s="217"/>
      <c r="J1558" s="217"/>
      <c r="K1558" s="217"/>
      <c r="L1558" s="217"/>
      <c r="M1558" s="217"/>
      <c r="N1558" s="217"/>
      <c r="O1558" s="217"/>
      <c r="P1558" s="217"/>
    </row>
    <row r="1559" spans="1:16" s="213" customFormat="1" ht="30" hidden="1" x14ac:dyDescent="0.25">
      <c r="A1559" s="208" t="s">
        <v>263</v>
      </c>
      <c r="B1559" s="234">
        <v>1</v>
      </c>
      <c r="C1559" s="234">
        <v>3</v>
      </c>
      <c r="D1559" s="235" t="s">
        <v>2022</v>
      </c>
      <c r="E1559" s="235" t="s">
        <v>1847</v>
      </c>
      <c r="F1559" s="235" t="s">
        <v>1836</v>
      </c>
      <c r="G1559" s="234"/>
      <c r="H1559" s="236" t="s">
        <v>3412</v>
      </c>
      <c r="I1559" s="211">
        <f>SUM(I1560:I1563)</f>
        <v>0</v>
      </c>
      <c r="J1559" s="211">
        <f t="shared" ref="J1559:P1559" si="175">SUM(J1560:J1563)</f>
        <v>0</v>
      </c>
      <c r="K1559" s="211">
        <f t="shared" si="175"/>
        <v>0</v>
      </c>
      <c r="L1559" s="211">
        <f t="shared" si="175"/>
        <v>0</v>
      </c>
      <c r="M1559" s="211">
        <f t="shared" si="175"/>
        <v>0</v>
      </c>
      <c r="N1559" s="211">
        <f t="shared" si="175"/>
        <v>0</v>
      </c>
      <c r="O1559" s="211">
        <f t="shared" si="175"/>
        <v>0</v>
      </c>
      <c r="P1559" s="211">
        <f t="shared" si="175"/>
        <v>0</v>
      </c>
    </row>
    <row r="1560" spans="1:16" s="219" customFormat="1" ht="45" hidden="1" x14ac:dyDescent="0.25">
      <c r="A1560" s="214"/>
      <c r="B1560" s="237">
        <v>1</v>
      </c>
      <c r="C1560" s="237">
        <v>3</v>
      </c>
      <c r="D1560" s="238" t="s">
        <v>2022</v>
      </c>
      <c r="E1560" s="238" t="s">
        <v>1847</v>
      </c>
      <c r="F1560" s="238" t="s">
        <v>1836</v>
      </c>
      <c r="G1560" s="238" t="s">
        <v>58</v>
      </c>
      <c r="H1560" s="239" t="s">
        <v>3413</v>
      </c>
      <c r="I1560" s="217"/>
      <c r="J1560" s="217"/>
      <c r="K1560" s="217"/>
      <c r="L1560" s="217"/>
      <c r="M1560" s="217"/>
      <c r="N1560" s="217"/>
      <c r="O1560" s="217"/>
      <c r="P1560" s="217"/>
    </row>
    <row r="1561" spans="1:16" s="219" customFormat="1" ht="45" hidden="1" x14ac:dyDescent="0.25">
      <c r="A1561" s="214"/>
      <c r="B1561" s="237">
        <v>1</v>
      </c>
      <c r="C1561" s="237">
        <v>3</v>
      </c>
      <c r="D1561" s="238" t="s">
        <v>2022</v>
      </c>
      <c r="E1561" s="238" t="s">
        <v>1847</v>
      </c>
      <c r="F1561" s="238" t="s">
        <v>1836</v>
      </c>
      <c r="G1561" s="238" t="s">
        <v>75</v>
      </c>
      <c r="H1561" s="239" t="s">
        <v>3414</v>
      </c>
      <c r="I1561" s="217"/>
      <c r="J1561" s="217"/>
      <c r="K1561" s="217"/>
      <c r="L1561" s="217"/>
      <c r="M1561" s="217"/>
      <c r="N1561" s="217"/>
      <c r="O1561" s="217"/>
      <c r="P1561" s="217"/>
    </row>
    <row r="1562" spans="1:16" s="219" customFormat="1" ht="45" hidden="1" x14ac:dyDescent="0.25">
      <c r="A1562" s="214"/>
      <c r="B1562" s="237">
        <v>1</v>
      </c>
      <c r="C1562" s="237">
        <v>3</v>
      </c>
      <c r="D1562" s="238" t="s">
        <v>2022</v>
      </c>
      <c r="E1562" s="238" t="s">
        <v>1847</v>
      </c>
      <c r="F1562" s="238" t="s">
        <v>1836</v>
      </c>
      <c r="G1562" s="238" t="s">
        <v>79</v>
      </c>
      <c r="H1562" s="239" t="s">
        <v>3415</v>
      </c>
      <c r="I1562" s="217"/>
      <c r="J1562" s="217"/>
      <c r="K1562" s="217"/>
      <c r="L1562" s="217"/>
      <c r="M1562" s="217"/>
      <c r="N1562" s="217"/>
      <c r="O1562" s="217"/>
      <c r="P1562" s="217"/>
    </row>
    <row r="1563" spans="1:16" s="219" customFormat="1" ht="60" hidden="1" x14ac:dyDescent="0.25">
      <c r="A1563" s="214"/>
      <c r="B1563" s="237">
        <v>1</v>
      </c>
      <c r="C1563" s="237">
        <v>3</v>
      </c>
      <c r="D1563" s="238" t="s">
        <v>2022</v>
      </c>
      <c r="E1563" s="238" t="s">
        <v>1847</v>
      </c>
      <c r="F1563" s="238" t="s">
        <v>1836</v>
      </c>
      <c r="G1563" s="238" t="s">
        <v>84</v>
      </c>
      <c r="H1563" s="239" t="s">
        <v>3416</v>
      </c>
      <c r="I1563" s="217"/>
      <c r="J1563" s="217"/>
      <c r="K1563" s="217"/>
      <c r="L1563" s="217"/>
      <c r="M1563" s="217"/>
      <c r="N1563" s="217"/>
      <c r="O1563" s="217"/>
      <c r="P1563" s="217"/>
    </row>
    <row r="1564" spans="1:16" s="213" customFormat="1" ht="30" hidden="1" x14ac:dyDescent="0.25">
      <c r="A1564" s="208"/>
      <c r="B1564" s="234">
        <v>1</v>
      </c>
      <c r="C1564" s="234">
        <v>3</v>
      </c>
      <c r="D1564" s="235" t="s">
        <v>2022</v>
      </c>
      <c r="E1564" s="235" t="s">
        <v>1847</v>
      </c>
      <c r="F1564" s="235" t="s">
        <v>1847</v>
      </c>
      <c r="G1564" s="234"/>
      <c r="H1564" s="236" t="s">
        <v>3417</v>
      </c>
      <c r="I1564" s="211">
        <f>SUM(I1565:I1569)</f>
        <v>0</v>
      </c>
      <c r="J1564" s="211">
        <f t="shared" ref="J1564:P1564" si="176">SUM(J1565:J1569)</f>
        <v>0</v>
      </c>
      <c r="K1564" s="211">
        <f t="shared" si="176"/>
        <v>0</v>
      </c>
      <c r="L1564" s="211">
        <f t="shared" si="176"/>
        <v>0</v>
      </c>
      <c r="M1564" s="211">
        <f t="shared" si="176"/>
        <v>0</v>
      </c>
      <c r="N1564" s="211">
        <f t="shared" si="176"/>
        <v>0</v>
      </c>
      <c r="O1564" s="211">
        <f t="shared" si="176"/>
        <v>0</v>
      </c>
      <c r="P1564" s="211">
        <f t="shared" si="176"/>
        <v>0</v>
      </c>
    </row>
    <row r="1565" spans="1:16" s="219" customFormat="1" ht="60" hidden="1" x14ac:dyDescent="0.25">
      <c r="A1565" s="214"/>
      <c r="B1565" s="237">
        <v>1</v>
      </c>
      <c r="C1565" s="237">
        <v>3</v>
      </c>
      <c r="D1565" s="238" t="s">
        <v>2022</v>
      </c>
      <c r="E1565" s="238" t="s">
        <v>1847</v>
      </c>
      <c r="F1565" s="238" t="s">
        <v>1847</v>
      </c>
      <c r="G1565" s="238" t="s">
        <v>58</v>
      </c>
      <c r="H1565" s="239" t="s">
        <v>3418</v>
      </c>
      <c r="I1565" s="217"/>
      <c r="J1565" s="217"/>
      <c r="K1565" s="217"/>
      <c r="L1565" s="217"/>
      <c r="M1565" s="217"/>
      <c r="N1565" s="217"/>
      <c r="O1565" s="217"/>
      <c r="P1565" s="217"/>
    </row>
    <row r="1566" spans="1:16" s="219" customFormat="1" ht="60" hidden="1" x14ac:dyDescent="0.25">
      <c r="A1566" s="214"/>
      <c r="B1566" s="237">
        <v>1</v>
      </c>
      <c r="C1566" s="237">
        <v>3</v>
      </c>
      <c r="D1566" s="238" t="s">
        <v>2022</v>
      </c>
      <c r="E1566" s="238" t="s">
        <v>1847</v>
      </c>
      <c r="F1566" s="238" t="s">
        <v>1847</v>
      </c>
      <c r="G1566" s="238" t="s">
        <v>75</v>
      </c>
      <c r="H1566" s="239" t="s">
        <v>3419</v>
      </c>
      <c r="I1566" s="217"/>
      <c r="J1566" s="217"/>
      <c r="K1566" s="217"/>
      <c r="L1566" s="217"/>
      <c r="M1566" s="217"/>
      <c r="N1566" s="217"/>
      <c r="O1566" s="217"/>
      <c r="P1566" s="217"/>
    </row>
    <row r="1567" spans="1:16" s="219" customFormat="1" ht="45" hidden="1" x14ac:dyDescent="0.25">
      <c r="A1567" s="214"/>
      <c r="B1567" s="237">
        <v>1</v>
      </c>
      <c r="C1567" s="237">
        <v>3</v>
      </c>
      <c r="D1567" s="238" t="s">
        <v>2022</v>
      </c>
      <c r="E1567" s="238" t="s">
        <v>1847</v>
      </c>
      <c r="F1567" s="238" t="s">
        <v>1847</v>
      </c>
      <c r="G1567" s="238" t="s">
        <v>79</v>
      </c>
      <c r="H1567" s="239" t="s">
        <v>3420</v>
      </c>
      <c r="I1567" s="217"/>
      <c r="J1567" s="217"/>
      <c r="K1567" s="217"/>
      <c r="L1567" s="217"/>
      <c r="M1567" s="217"/>
      <c r="N1567" s="217"/>
      <c r="O1567" s="217"/>
      <c r="P1567" s="217"/>
    </row>
    <row r="1568" spans="1:16" s="219" customFormat="1" ht="45" hidden="1" x14ac:dyDescent="0.25">
      <c r="A1568" s="214"/>
      <c r="B1568" s="237">
        <v>1</v>
      </c>
      <c r="C1568" s="237">
        <v>3</v>
      </c>
      <c r="D1568" s="238" t="s">
        <v>2022</v>
      </c>
      <c r="E1568" s="238" t="s">
        <v>1847</v>
      </c>
      <c r="F1568" s="238" t="s">
        <v>1847</v>
      </c>
      <c r="G1568" s="238" t="s">
        <v>84</v>
      </c>
      <c r="H1568" s="239" t="s">
        <v>3421</v>
      </c>
      <c r="I1568" s="217"/>
      <c r="J1568" s="217"/>
      <c r="K1568" s="217"/>
      <c r="L1568" s="217"/>
      <c r="M1568" s="217"/>
      <c r="N1568" s="217"/>
      <c r="O1568" s="217"/>
      <c r="P1568" s="217"/>
    </row>
    <row r="1569" spans="1:16" s="219" customFormat="1" ht="60" hidden="1" x14ac:dyDescent="0.25">
      <c r="A1569" s="214"/>
      <c r="B1569" s="237">
        <v>1</v>
      </c>
      <c r="C1569" s="237">
        <v>3</v>
      </c>
      <c r="D1569" s="238" t="s">
        <v>2022</v>
      </c>
      <c r="E1569" s="238" t="s">
        <v>1847</v>
      </c>
      <c r="F1569" s="238" t="s">
        <v>1847</v>
      </c>
      <c r="G1569" s="238" t="s">
        <v>88</v>
      </c>
      <c r="H1569" s="239" t="s">
        <v>3422</v>
      </c>
      <c r="I1569" s="217"/>
      <c r="J1569" s="217"/>
      <c r="K1569" s="217"/>
      <c r="L1569" s="217"/>
      <c r="M1569" s="217"/>
      <c r="N1569" s="217"/>
      <c r="O1569" s="217"/>
      <c r="P1569" s="217"/>
    </row>
    <row r="1570" spans="1:16" s="213" customFormat="1" ht="30" hidden="1" x14ac:dyDescent="0.25">
      <c r="A1570" s="208"/>
      <c r="B1570" s="234">
        <v>1</v>
      </c>
      <c r="C1570" s="234">
        <v>3</v>
      </c>
      <c r="D1570" s="235" t="s">
        <v>2022</v>
      </c>
      <c r="E1570" s="235" t="s">
        <v>1847</v>
      </c>
      <c r="F1570" s="235" t="s">
        <v>1928</v>
      </c>
      <c r="G1570" s="234"/>
      <c r="H1570" s="236" t="s">
        <v>3423</v>
      </c>
      <c r="I1570" s="211">
        <f>SUM(I1571:I1575)</f>
        <v>0</v>
      </c>
      <c r="J1570" s="211">
        <f t="shared" ref="J1570:P1570" si="177">SUM(J1571:J1575)</f>
        <v>0</v>
      </c>
      <c r="K1570" s="211">
        <f t="shared" si="177"/>
        <v>0</v>
      </c>
      <c r="L1570" s="211">
        <f t="shared" si="177"/>
        <v>0</v>
      </c>
      <c r="M1570" s="211">
        <f t="shared" si="177"/>
        <v>0</v>
      </c>
      <c r="N1570" s="211">
        <f t="shared" si="177"/>
        <v>0</v>
      </c>
      <c r="O1570" s="211">
        <f t="shared" si="177"/>
        <v>0</v>
      </c>
      <c r="P1570" s="211">
        <f t="shared" si="177"/>
        <v>0</v>
      </c>
    </row>
    <row r="1571" spans="1:16" s="219" customFormat="1" ht="45" hidden="1" x14ac:dyDescent="0.25">
      <c r="A1571" s="214"/>
      <c r="B1571" s="237">
        <v>1</v>
      </c>
      <c r="C1571" s="237">
        <v>3</v>
      </c>
      <c r="D1571" s="238" t="s">
        <v>2022</v>
      </c>
      <c r="E1571" s="238" t="s">
        <v>1847</v>
      </c>
      <c r="F1571" s="238" t="s">
        <v>1928</v>
      </c>
      <c r="G1571" s="238" t="s">
        <v>58</v>
      </c>
      <c r="H1571" s="239" t="s">
        <v>3424</v>
      </c>
      <c r="I1571" s="217"/>
      <c r="J1571" s="217"/>
      <c r="K1571" s="217"/>
      <c r="L1571" s="217"/>
      <c r="M1571" s="217"/>
      <c r="N1571" s="217"/>
      <c r="O1571" s="217"/>
      <c r="P1571" s="217"/>
    </row>
    <row r="1572" spans="1:16" s="219" customFormat="1" ht="45" hidden="1" x14ac:dyDescent="0.25">
      <c r="A1572" s="214"/>
      <c r="B1572" s="237">
        <v>1</v>
      </c>
      <c r="C1572" s="237">
        <v>3</v>
      </c>
      <c r="D1572" s="238" t="s">
        <v>2022</v>
      </c>
      <c r="E1572" s="238" t="s">
        <v>1847</v>
      </c>
      <c r="F1572" s="238" t="s">
        <v>1928</v>
      </c>
      <c r="G1572" s="238" t="s">
        <v>75</v>
      </c>
      <c r="H1572" s="239" t="s">
        <v>3425</v>
      </c>
      <c r="I1572" s="217"/>
      <c r="J1572" s="217"/>
      <c r="K1572" s="217"/>
      <c r="L1572" s="217"/>
      <c r="M1572" s="217"/>
      <c r="N1572" s="217"/>
      <c r="O1572" s="217"/>
      <c r="P1572" s="217"/>
    </row>
    <row r="1573" spans="1:16" s="219" customFormat="1" ht="45" hidden="1" x14ac:dyDescent="0.25">
      <c r="A1573" s="214"/>
      <c r="B1573" s="237">
        <v>1</v>
      </c>
      <c r="C1573" s="237">
        <v>3</v>
      </c>
      <c r="D1573" s="238" t="s">
        <v>2022</v>
      </c>
      <c r="E1573" s="238" t="s">
        <v>1847</v>
      </c>
      <c r="F1573" s="238" t="s">
        <v>1928</v>
      </c>
      <c r="G1573" s="238" t="s">
        <v>79</v>
      </c>
      <c r="H1573" s="239" t="s">
        <v>3426</v>
      </c>
      <c r="I1573" s="217"/>
      <c r="J1573" s="217"/>
      <c r="K1573" s="217"/>
      <c r="L1573" s="217"/>
      <c r="M1573" s="217"/>
      <c r="N1573" s="217"/>
      <c r="O1573" s="217"/>
      <c r="P1573" s="217"/>
    </row>
    <row r="1574" spans="1:16" s="219" customFormat="1" ht="30" hidden="1" x14ac:dyDescent="0.25">
      <c r="A1574" s="214"/>
      <c r="B1574" s="237">
        <v>1</v>
      </c>
      <c r="C1574" s="237">
        <v>3</v>
      </c>
      <c r="D1574" s="238" t="s">
        <v>2022</v>
      </c>
      <c r="E1574" s="238" t="s">
        <v>1847</v>
      </c>
      <c r="F1574" s="238" t="s">
        <v>1928</v>
      </c>
      <c r="G1574" s="238" t="s">
        <v>84</v>
      </c>
      <c r="H1574" s="239" t="s">
        <v>3427</v>
      </c>
      <c r="I1574" s="217"/>
      <c r="J1574" s="217"/>
      <c r="K1574" s="217"/>
      <c r="L1574" s="217"/>
      <c r="M1574" s="217"/>
      <c r="N1574" s="217"/>
      <c r="O1574" s="217"/>
      <c r="P1574" s="217"/>
    </row>
    <row r="1575" spans="1:16" s="219" customFormat="1" ht="45" hidden="1" x14ac:dyDescent="0.25">
      <c r="A1575" s="214"/>
      <c r="B1575" s="237">
        <v>1</v>
      </c>
      <c r="C1575" s="237">
        <v>3</v>
      </c>
      <c r="D1575" s="238" t="s">
        <v>2022</v>
      </c>
      <c r="E1575" s="238" t="s">
        <v>1847</v>
      </c>
      <c r="F1575" s="238" t="s">
        <v>1928</v>
      </c>
      <c r="G1575" s="238" t="s">
        <v>88</v>
      </c>
      <c r="H1575" s="239" t="s">
        <v>3428</v>
      </c>
      <c r="I1575" s="217"/>
      <c r="J1575" s="217"/>
      <c r="K1575" s="217"/>
      <c r="L1575" s="217"/>
      <c r="M1575" s="217"/>
      <c r="N1575" s="217"/>
      <c r="O1575" s="217"/>
      <c r="P1575" s="217"/>
    </row>
    <row r="1576" spans="1:16" s="213" customFormat="1" ht="30" hidden="1" x14ac:dyDescent="0.25">
      <c r="A1576" s="208" t="s">
        <v>1984</v>
      </c>
      <c r="B1576" s="234">
        <v>1</v>
      </c>
      <c r="C1576" s="234">
        <v>3</v>
      </c>
      <c r="D1576" s="235" t="s">
        <v>2022</v>
      </c>
      <c r="E1576" s="235" t="s">
        <v>1928</v>
      </c>
      <c r="F1576" s="234"/>
      <c r="G1576" s="234"/>
      <c r="H1576" s="236" t="s">
        <v>3429</v>
      </c>
      <c r="I1576" s="211">
        <f>SUM(I1577+I1601+I1653+I1698)</f>
        <v>0</v>
      </c>
      <c r="J1576" s="211">
        <f t="shared" ref="J1576:P1576" si="178">SUM(J1577+J1601+J1653+J1698)</f>
        <v>0</v>
      </c>
      <c r="K1576" s="211">
        <f t="shared" si="178"/>
        <v>0</v>
      </c>
      <c r="L1576" s="211">
        <f t="shared" si="178"/>
        <v>0</v>
      </c>
      <c r="M1576" s="211">
        <f t="shared" si="178"/>
        <v>0</v>
      </c>
      <c r="N1576" s="211">
        <f t="shared" si="178"/>
        <v>0</v>
      </c>
      <c r="O1576" s="211">
        <f t="shared" si="178"/>
        <v>0</v>
      </c>
      <c r="P1576" s="211">
        <f t="shared" si="178"/>
        <v>0</v>
      </c>
    </row>
    <row r="1577" spans="1:16" s="213" customFormat="1" ht="30" hidden="1" x14ac:dyDescent="0.25">
      <c r="A1577" s="208" t="s">
        <v>263</v>
      </c>
      <c r="B1577" s="234">
        <v>1</v>
      </c>
      <c r="C1577" s="234">
        <v>3</v>
      </c>
      <c r="D1577" s="235" t="s">
        <v>2022</v>
      </c>
      <c r="E1577" s="235" t="s">
        <v>1928</v>
      </c>
      <c r="F1577" s="235" t="s">
        <v>1825</v>
      </c>
      <c r="G1577" s="234"/>
      <c r="H1577" s="236" t="s">
        <v>3430</v>
      </c>
      <c r="I1577" s="211">
        <f>SUM(I1578:I1600)</f>
        <v>0</v>
      </c>
      <c r="J1577" s="211">
        <f t="shared" ref="J1577:P1577" si="179">SUM(J1578:J1600)</f>
        <v>0</v>
      </c>
      <c r="K1577" s="211">
        <f t="shared" si="179"/>
        <v>0</v>
      </c>
      <c r="L1577" s="211">
        <f t="shared" si="179"/>
        <v>0</v>
      </c>
      <c r="M1577" s="211">
        <f t="shared" si="179"/>
        <v>0</v>
      </c>
      <c r="N1577" s="211">
        <f t="shared" si="179"/>
        <v>0</v>
      </c>
      <c r="O1577" s="211">
        <f t="shared" si="179"/>
        <v>0</v>
      </c>
      <c r="P1577" s="211">
        <f t="shared" si="179"/>
        <v>0</v>
      </c>
    </row>
    <row r="1578" spans="1:16" s="219" customFormat="1" ht="30" hidden="1" x14ac:dyDescent="0.25">
      <c r="A1578" s="214"/>
      <c r="B1578" s="237">
        <v>1</v>
      </c>
      <c r="C1578" s="237">
        <v>3</v>
      </c>
      <c r="D1578" s="238" t="s">
        <v>2022</v>
      </c>
      <c r="E1578" s="238" t="s">
        <v>1928</v>
      </c>
      <c r="F1578" s="238" t="s">
        <v>1825</v>
      </c>
      <c r="G1578" s="238" t="s">
        <v>58</v>
      </c>
      <c r="H1578" s="239" t="s">
        <v>3431</v>
      </c>
      <c r="I1578" s="217"/>
      <c r="J1578" s="217"/>
      <c r="K1578" s="217"/>
      <c r="L1578" s="217"/>
      <c r="M1578" s="217"/>
      <c r="N1578" s="217"/>
      <c r="O1578" s="217"/>
      <c r="P1578" s="217"/>
    </row>
    <row r="1579" spans="1:16" s="219" customFormat="1" ht="30" hidden="1" x14ac:dyDescent="0.25">
      <c r="A1579" s="214"/>
      <c r="B1579" s="237">
        <v>1</v>
      </c>
      <c r="C1579" s="237">
        <v>3</v>
      </c>
      <c r="D1579" s="238" t="s">
        <v>2022</v>
      </c>
      <c r="E1579" s="238" t="s">
        <v>1928</v>
      </c>
      <c r="F1579" s="238" t="s">
        <v>1825</v>
      </c>
      <c r="G1579" s="238" t="s">
        <v>75</v>
      </c>
      <c r="H1579" s="239" t="s">
        <v>3432</v>
      </c>
      <c r="I1579" s="217"/>
      <c r="J1579" s="217"/>
      <c r="K1579" s="217"/>
      <c r="L1579" s="217"/>
      <c r="M1579" s="217"/>
      <c r="N1579" s="217"/>
      <c r="O1579" s="217"/>
      <c r="P1579" s="217"/>
    </row>
    <row r="1580" spans="1:16" s="219" customFormat="1" ht="30" hidden="1" x14ac:dyDescent="0.25">
      <c r="A1580" s="214"/>
      <c r="B1580" s="237">
        <v>1</v>
      </c>
      <c r="C1580" s="237">
        <v>3</v>
      </c>
      <c r="D1580" s="238" t="s">
        <v>2022</v>
      </c>
      <c r="E1580" s="238" t="s">
        <v>1928</v>
      </c>
      <c r="F1580" s="238" t="s">
        <v>1825</v>
      </c>
      <c r="G1580" s="238" t="s">
        <v>79</v>
      </c>
      <c r="H1580" s="239" t="s">
        <v>3433</v>
      </c>
      <c r="I1580" s="217"/>
      <c r="J1580" s="217"/>
      <c r="K1580" s="217"/>
      <c r="L1580" s="217"/>
      <c r="M1580" s="217"/>
      <c r="N1580" s="217"/>
      <c r="O1580" s="217"/>
      <c r="P1580" s="217"/>
    </row>
    <row r="1581" spans="1:16" s="219" customFormat="1" ht="30" hidden="1" x14ac:dyDescent="0.25">
      <c r="A1581" s="214"/>
      <c r="B1581" s="237">
        <v>1</v>
      </c>
      <c r="C1581" s="237">
        <v>3</v>
      </c>
      <c r="D1581" s="238" t="s">
        <v>2022</v>
      </c>
      <c r="E1581" s="238" t="s">
        <v>1928</v>
      </c>
      <c r="F1581" s="238" t="s">
        <v>1825</v>
      </c>
      <c r="G1581" s="238" t="s">
        <v>84</v>
      </c>
      <c r="H1581" s="239" t="s">
        <v>3434</v>
      </c>
      <c r="I1581" s="217"/>
      <c r="J1581" s="217"/>
      <c r="K1581" s="217"/>
      <c r="L1581" s="217"/>
      <c r="M1581" s="217"/>
      <c r="N1581" s="217"/>
      <c r="O1581" s="217"/>
      <c r="P1581" s="217"/>
    </row>
    <row r="1582" spans="1:16" s="219" customFormat="1" ht="30" hidden="1" x14ac:dyDescent="0.25">
      <c r="A1582" s="214"/>
      <c r="B1582" s="237">
        <v>1</v>
      </c>
      <c r="C1582" s="237">
        <v>3</v>
      </c>
      <c r="D1582" s="238" t="s">
        <v>2022</v>
      </c>
      <c r="E1582" s="238" t="s">
        <v>1928</v>
      </c>
      <c r="F1582" s="238" t="s">
        <v>1825</v>
      </c>
      <c r="G1582" s="238" t="s">
        <v>88</v>
      </c>
      <c r="H1582" s="239" t="s">
        <v>3435</v>
      </c>
      <c r="I1582" s="217"/>
      <c r="J1582" s="217"/>
      <c r="K1582" s="217"/>
      <c r="L1582" s="217"/>
      <c r="M1582" s="217"/>
      <c r="N1582" s="217"/>
      <c r="O1582" s="217"/>
      <c r="P1582" s="217"/>
    </row>
    <row r="1583" spans="1:16" s="219" customFormat="1" ht="30" hidden="1" x14ac:dyDescent="0.25">
      <c r="A1583" s="214"/>
      <c r="B1583" s="237">
        <v>1</v>
      </c>
      <c r="C1583" s="237">
        <v>3</v>
      </c>
      <c r="D1583" s="238" t="s">
        <v>2022</v>
      </c>
      <c r="E1583" s="238" t="s">
        <v>1928</v>
      </c>
      <c r="F1583" s="238" t="s">
        <v>1825</v>
      </c>
      <c r="G1583" s="238" t="s">
        <v>92</v>
      </c>
      <c r="H1583" s="239" t="s">
        <v>3436</v>
      </c>
      <c r="I1583" s="217"/>
      <c r="J1583" s="217"/>
      <c r="K1583" s="217"/>
      <c r="L1583" s="217"/>
      <c r="M1583" s="217"/>
      <c r="N1583" s="217"/>
      <c r="O1583" s="217"/>
      <c r="P1583" s="217"/>
    </row>
    <row r="1584" spans="1:16" s="219" customFormat="1" ht="30" hidden="1" x14ac:dyDescent="0.25">
      <c r="A1584" s="214"/>
      <c r="B1584" s="237">
        <v>1</v>
      </c>
      <c r="C1584" s="237">
        <v>3</v>
      </c>
      <c r="D1584" s="238" t="s">
        <v>2022</v>
      </c>
      <c r="E1584" s="238" t="s">
        <v>1928</v>
      </c>
      <c r="F1584" s="238" t="s">
        <v>1825</v>
      </c>
      <c r="G1584" s="238" t="s">
        <v>96</v>
      </c>
      <c r="H1584" s="239" t="s">
        <v>3437</v>
      </c>
      <c r="I1584" s="217"/>
      <c r="J1584" s="217"/>
      <c r="K1584" s="217"/>
      <c r="L1584" s="217"/>
      <c r="M1584" s="217"/>
      <c r="N1584" s="217"/>
      <c r="O1584" s="217"/>
      <c r="P1584" s="217"/>
    </row>
    <row r="1585" spans="1:16" s="219" customFormat="1" ht="30" hidden="1" x14ac:dyDescent="0.25">
      <c r="A1585" s="214"/>
      <c r="B1585" s="237">
        <v>1</v>
      </c>
      <c r="C1585" s="237">
        <v>3</v>
      </c>
      <c r="D1585" s="238" t="s">
        <v>2022</v>
      </c>
      <c r="E1585" s="238" t="s">
        <v>1928</v>
      </c>
      <c r="F1585" s="238" t="s">
        <v>1825</v>
      </c>
      <c r="G1585" s="238" t="s">
        <v>100</v>
      </c>
      <c r="H1585" s="239" t="s">
        <v>3438</v>
      </c>
      <c r="I1585" s="217"/>
      <c r="J1585" s="217"/>
      <c r="K1585" s="217"/>
      <c r="L1585" s="217"/>
      <c r="M1585" s="217"/>
      <c r="N1585" s="217"/>
      <c r="O1585" s="217"/>
      <c r="P1585" s="217"/>
    </row>
    <row r="1586" spans="1:16" s="219" customFormat="1" ht="30" hidden="1" x14ac:dyDescent="0.25">
      <c r="A1586" s="214"/>
      <c r="B1586" s="237">
        <v>1</v>
      </c>
      <c r="C1586" s="237">
        <v>3</v>
      </c>
      <c r="D1586" s="238" t="s">
        <v>2022</v>
      </c>
      <c r="E1586" s="238" t="s">
        <v>1928</v>
      </c>
      <c r="F1586" s="238" t="s">
        <v>1825</v>
      </c>
      <c r="G1586" s="238" t="s">
        <v>105</v>
      </c>
      <c r="H1586" s="239" t="s">
        <v>3439</v>
      </c>
      <c r="I1586" s="217"/>
      <c r="J1586" s="217"/>
      <c r="K1586" s="217"/>
      <c r="L1586" s="217"/>
      <c r="M1586" s="217"/>
      <c r="N1586" s="217"/>
      <c r="O1586" s="217"/>
      <c r="P1586" s="217"/>
    </row>
    <row r="1587" spans="1:16" s="219" customFormat="1" ht="30" hidden="1" x14ac:dyDescent="0.25">
      <c r="A1587" s="214"/>
      <c r="B1587" s="237">
        <v>1</v>
      </c>
      <c r="C1587" s="237">
        <v>3</v>
      </c>
      <c r="D1587" s="238" t="s">
        <v>2022</v>
      </c>
      <c r="E1587" s="238" t="s">
        <v>1928</v>
      </c>
      <c r="F1587" s="238" t="s">
        <v>1825</v>
      </c>
      <c r="G1587" s="238" t="s">
        <v>108</v>
      </c>
      <c r="H1587" s="239" t="s">
        <v>3440</v>
      </c>
      <c r="I1587" s="217"/>
      <c r="J1587" s="217"/>
      <c r="K1587" s="217"/>
      <c r="L1587" s="217"/>
      <c r="M1587" s="217"/>
      <c r="N1587" s="217"/>
      <c r="O1587" s="217"/>
      <c r="P1587" s="217"/>
    </row>
    <row r="1588" spans="1:16" s="219" customFormat="1" ht="45" hidden="1" x14ac:dyDescent="0.25">
      <c r="A1588" s="214"/>
      <c r="B1588" s="237">
        <v>1</v>
      </c>
      <c r="C1588" s="237">
        <v>3</v>
      </c>
      <c r="D1588" s="238" t="s">
        <v>2022</v>
      </c>
      <c r="E1588" s="238" t="s">
        <v>1928</v>
      </c>
      <c r="F1588" s="238" t="s">
        <v>1825</v>
      </c>
      <c r="G1588" s="238" t="s">
        <v>135</v>
      </c>
      <c r="H1588" s="239" t="s">
        <v>3441</v>
      </c>
      <c r="I1588" s="217"/>
      <c r="J1588" s="217"/>
      <c r="K1588" s="217"/>
      <c r="L1588" s="217"/>
      <c r="M1588" s="217"/>
      <c r="N1588" s="217"/>
      <c r="O1588" s="217"/>
      <c r="P1588" s="217"/>
    </row>
    <row r="1589" spans="1:16" s="219" customFormat="1" ht="45" hidden="1" x14ac:dyDescent="0.25">
      <c r="A1589" s="214"/>
      <c r="B1589" s="237">
        <v>1</v>
      </c>
      <c r="C1589" s="237">
        <v>3</v>
      </c>
      <c r="D1589" s="238" t="s">
        <v>2022</v>
      </c>
      <c r="E1589" s="238" t="s">
        <v>1928</v>
      </c>
      <c r="F1589" s="238" t="s">
        <v>1825</v>
      </c>
      <c r="G1589" s="238" t="s">
        <v>138</v>
      </c>
      <c r="H1589" s="239" t="s">
        <v>3442</v>
      </c>
      <c r="I1589" s="217"/>
      <c r="J1589" s="217"/>
      <c r="K1589" s="217"/>
      <c r="L1589" s="217"/>
      <c r="M1589" s="217"/>
      <c r="N1589" s="217"/>
      <c r="O1589" s="217"/>
      <c r="P1589" s="217"/>
    </row>
    <row r="1590" spans="1:16" s="219" customFormat="1" ht="45" hidden="1" x14ac:dyDescent="0.25">
      <c r="A1590" s="214"/>
      <c r="B1590" s="237">
        <v>1</v>
      </c>
      <c r="C1590" s="237">
        <v>3</v>
      </c>
      <c r="D1590" s="238" t="s">
        <v>2022</v>
      </c>
      <c r="E1590" s="238" t="s">
        <v>1928</v>
      </c>
      <c r="F1590" s="238" t="s">
        <v>1825</v>
      </c>
      <c r="G1590" s="238" t="s">
        <v>140</v>
      </c>
      <c r="H1590" s="239" t="s">
        <v>3443</v>
      </c>
      <c r="I1590" s="217"/>
      <c r="J1590" s="217"/>
      <c r="K1590" s="217"/>
      <c r="L1590" s="217"/>
      <c r="M1590" s="217"/>
      <c r="N1590" s="217"/>
      <c r="O1590" s="217"/>
      <c r="P1590" s="217"/>
    </row>
    <row r="1591" spans="1:16" s="219" customFormat="1" ht="30" hidden="1" x14ac:dyDescent="0.25">
      <c r="A1591" s="214"/>
      <c r="B1591" s="237">
        <v>1</v>
      </c>
      <c r="C1591" s="237">
        <v>3</v>
      </c>
      <c r="D1591" s="238" t="s">
        <v>2022</v>
      </c>
      <c r="E1591" s="238" t="s">
        <v>1928</v>
      </c>
      <c r="F1591" s="238" t="s">
        <v>1825</v>
      </c>
      <c r="G1591" s="238" t="s">
        <v>143</v>
      </c>
      <c r="H1591" s="239" t="s">
        <v>3444</v>
      </c>
      <c r="I1591" s="217"/>
      <c r="J1591" s="217"/>
      <c r="K1591" s="217"/>
      <c r="L1591" s="217"/>
      <c r="M1591" s="217"/>
      <c r="N1591" s="217"/>
      <c r="O1591" s="217"/>
      <c r="P1591" s="217"/>
    </row>
    <row r="1592" spans="1:16" s="219" customFormat="1" ht="30" hidden="1" x14ac:dyDescent="0.25">
      <c r="A1592" s="214"/>
      <c r="B1592" s="237">
        <v>1</v>
      </c>
      <c r="C1592" s="237">
        <v>3</v>
      </c>
      <c r="D1592" s="238" t="s">
        <v>2022</v>
      </c>
      <c r="E1592" s="238" t="s">
        <v>1928</v>
      </c>
      <c r="F1592" s="238" t="s">
        <v>1825</v>
      </c>
      <c r="G1592" s="238" t="s">
        <v>146</v>
      </c>
      <c r="H1592" s="239" t="s">
        <v>3445</v>
      </c>
      <c r="I1592" s="217"/>
      <c r="J1592" s="217"/>
      <c r="K1592" s="217"/>
      <c r="L1592" s="217"/>
      <c r="M1592" s="217"/>
      <c r="N1592" s="217"/>
      <c r="O1592" s="217"/>
      <c r="P1592" s="217"/>
    </row>
    <row r="1593" spans="1:16" s="219" customFormat="1" ht="30" hidden="1" x14ac:dyDescent="0.25">
      <c r="A1593" s="214"/>
      <c r="B1593" s="237">
        <v>1</v>
      </c>
      <c r="C1593" s="237">
        <v>3</v>
      </c>
      <c r="D1593" s="238" t="s">
        <v>2022</v>
      </c>
      <c r="E1593" s="238" t="s">
        <v>1928</v>
      </c>
      <c r="F1593" s="238" t="s">
        <v>1825</v>
      </c>
      <c r="G1593" s="238" t="s">
        <v>150</v>
      </c>
      <c r="H1593" s="239" t="s">
        <v>3446</v>
      </c>
      <c r="I1593" s="217"/>
      <c r="J1593" s="217"/>
      <c r="K1593" s="217"/>
      <c r="L1593" s="217"/>
      <c r="M1593" s="217"/>
      <c r="N1593" s="217"/>
      <c r="O1593" s="217"/>
      <c r="P1593" s="217"/>
    </row>
    <row r="1594" spans="1:16" s="219" customFormat="1" ht="45" hidden="1" x14ac:dyDescent="0.25">
      <c r="A1594" s="214"/>
      <c r="B1594" s="237">
        <v>1</v>
      </c>
      <c r="C1594" s="237">
        <v>3</v>
      </c>
      <c r="D1594" s="238" t="s">
        <v>2022</v>
      </c>
      <c r="E1594" s="238" t="s">
        <v>1928</v>
      </c>
      <c r="F1594" s="238" t="s">
        <v>1825</v>
      </c>
      <c r="G1594" s="238" t="s">
        <v>153</v>
      </c>
      <c r="H1594" s="239" t="s">
        <v>3447</v>
      </c>
      <c r="I1594" s="217"/>
      <c r="J1594" s="217"/>
      <c r="K1594" s="217"/>
      <c r="L1594" s="217"/>
      <c r="M1594" s="217"/>
      <c r="N1594" s="217"/>
      <c r="O1594" s="217"/>
      <c r="P1594" s="217"/>
    </row>
    <row r="1595" spans="1:16" s="219" customFormat="1" ht="45" hidden="1" x14ac:dyDescent="0.25">
      <c r="A1595" s="214"/>
      <c r="B1595" s="237">
        <v>1</v>
      </c>
      <c r="C1595" s="237">
        <v>3</v>
      </c>
      <c r="D1595" s="238" t="s">
        <v>2022</v>
      </c>
      <c r="E1595" s="238" t="s">
        <v>1928</v>
      </c>
      <c r="F1595" s="238" t="s">
        <v>1825</v>
      </c>
      <c r="G1595" s="238" t="s">
        <v>156</v>
      </c>
      <c r="H1595" s="239" t="s">
        <v>3448</v>
      </c>
      <c r="I1595" s="217"/>
      <c r="J1595" s="217"/>
      <c r="K1595" s="217"/>
      <c r="L1595" s="217"/>
      <c r="M1595" s="217"/>
      <c r="N1595" s="217"/>
      <c r="O1595" s="217"/>
      <c r="P1595" s="217"/>
    </row>
    <row r="1596" spans="1:16" s="219" customFormat="1" ht="45" hidden="1" x14ac:dyDescent="0.25">
      <c r="A1596" s="214"/>
      <c r="B1596" s="237">
        <v>1</v>
      </c>
      <c r="C1596" s="237">
        <v>3</v>
      </c>
      <c r="D1596" s="238" t="s">
        <v>2022</v>
      </c>
      <c r="E1596" s="238" t="s">
        <v>1928</v>
      </c>
      <c r="F1596" s="238" t="s">
        <v>1825</v>
      </c>
      <c r="G1596" s="238" t="s">
        <v>159</v>
      </c>
      <c r="H1596" s="239" t="s">
        <v>3449</v>
      </c>
      <c r="I1596" s="217"/>
      <c r="J1596" s="217"/>
      <c r="K1596" s="217"/>
      <c r="L1596" s="217"/>
      <c r="M1596" s="217"/>
      <c r="N1596" s="217"/>
      <c r="O1596" s="217"/>
      <c r="P1596" s="217"/>
    </row>
    <row r="1597" spans="1:16" s="219" customFormat="1" ht="30" hidden="1" x14ac:dyDescent="0.25">
      <c r="A1597" s="214"/>
      <c r="B1597" s="237">
        <v>1</v>
      </c>
      <c r="C1597" s="237">
        <v>3</v>
      </c>
      <c r="D1597" s="238" t="s">
        <v>2022</v>
      </c>
      <c r="E1597" s="238" t="s">
        <v>1928</v>
      </c>
      <c r="F1597" s="238" t="s">
        <v>1825</v>
      </c>
      <c r="G1597" s="238" t="s">
        <v>162</v>
      </c>
      <c r="H1597" s="239" t="s">
        <v>3450</v>
      </c>
      <c r="I1597" s="217"/>
      <c r="J1597" s="217"/>
      <c r="K1597" s="217"/>
      <c r="L1597" s="217"/>
      <c r="M1597" s="217"/>
      <c r="N1597" s="217"/>
      <c r="O1597" s="217"/>
      <c r="P1597" s="217"/>
    </row>
    <row r="1598" spans="1:16" s="219" customFormat="1" ht="45" hidden="1" x14ac:dyDescent="0.25">
      <c r="A1598" s="214"/>
      <c r="B1598" s="237">
        <v>1</v>
      </c>
      <c r="C1598" s="237">
        <v>3</v>
      </c>
      <c r="D1598" s="238" t="s">
        <v>2022</v>
      </c>
      <c r="E1598" s="238" t="s">
        <v>1928</v>
      </c>
      <c r="F1598" s="238" t="s">
        <v>1825</v>
      </c>
      <c r="G1598" s="238" t="s">
        <v>312</v>
      </c>
      <c r="H1598" s="239" t="s">
        <v>3451</v>
      </c>
      <c r="I1598" s="217"/>
      <c r="J1598" s="217"/>
      <c r="K1598" s="217"/>
      <c r="L1598" s="217"/>
      <c r="M1598" s="217"/>
      <c r="N1598" s="217"/>
      <c r="O1598" s="217"/>
      <c r="P1598" s="217"/>
    </row>
    <row r="1599" spans="1:16" s="219" customFormat="1" ht="30" hidden="1" x14ac:dyDescent="0.25">
      <c r="A1599" s="214"/>
      <c r="B1599" s="237">
        <v>1</v>
      </c>
      <c r="C1599" s="237">
        <v>3</v>
      </c>
      <c r="D1599" s="238" t="s">
        <v>2022</v>
      </c>
      <c r="E1599" s="238" t="s">
        <v>1928</v>
      </c>
      <c r="F1599" s="238" t="s">
        <v>1825</v>
      </c>
      <c r="G1599" s="238" t="s">
        <v>313</v>
      </c>
      <c r="H1599" s="239" t="s">
        <v>3452</v>
      </c>
      <c r="I1599" s="217"/>
      <c r="J1599" s="217"/>
      <c r="K1599" s="217"/>
      <c r="L1599" s="217"/>
      <c r="M1599" s="217"/>
      <c r="N1599" s="217"/>
      <c r="O1599" s="217"/>
      <c r="P1599" s="217"/>
    </row>
    <row r="1600" spans="1:16" s="219" customFormat="1" ht="30" hidden="1" x14ac:dyDescent="0.25">
      <c r="A1600" s="214"/>
      <c r="B1600" s="237">
        <v>1</v>
      </c>
      <c r="C1600" s="237">
        <v>3</v>
      </c>
      <c r="D1600" s="238" t="s">
        <v>2022</v>
      </c>
      <c r="E1600" s="238" t="s">
        <v>1928</v>
      </c>
      <c r="F1600" s="238" t="s">
        <v>1825</v>
      </c>
      <c r="G1600" s="238" t="s">
        <v>559</v>
      </c>
      <c r="H1600" s="239" t="s">
        <v>3453</v>
      </c>
      <c r="I1600" s="217"/>
      <c r="J1600" s="217"/>
      <c r="K1600" s="217"/>
      <c r="L1600" s="217"/>
      <c r="M1600" s="217"/>
      <c r="N1600" s="217"/>
      <c r="O1600" s="217"/>
      <c r="P1600" s="217"/>
    </row>
    <row r="1601" spans="1:16" s="213" customFormat="1" ht="30" hidden="1" x14ac:dyDescent="0.25">
      <c r="A1601" s="208" t="s">
        <v>263</v>
      </c>
      <c r="B1601" s="234">
        <v>1</v>
      </c>
      <c r="C1601" s="234">
        <v>3</v>
      </c>
      <c r="D1601" s="235" t="s">
        <v>2022</v>
      </c>
      <c r="E1601" s="235" t="s">
        <v>1928</v>
      </c>
      <c r="F1601" s="235" t="s">
        <v>1836</v>
      </c>
      <c r="G1601" s="234"/>
      <c r="H1601" s="236" t="s">
        <v>3454</v>
      </c>
      <c r="I1601" s="211">
        <f>SUM(I1602:I1652)</f>
        <v>0</v>
      </c>
      <c r="J1601" s="211">
        <f t="shared" ref="J1601:P1601" si="180">SUM(J1602:J1652)</f>
        <v>0</v>
      </c>
      <c r="K1601" s="211">
        <f t="shared" si="180"/>
        <v>0</v>
      </c>
      <c r="L1601" s="211">
        <f t="shared" si="180"/>
        <v>0</v>
      </c>
      <c r="M1601" s="211">
        <f t="shared" si="180"/>
        <v>0</v>
      </c>
      <c r="N1601" s="211">
        <f t="shared" si="180"/>
        <v>0</v>
      </c>
      <c r="O1601" s="211">
        <f t="shared" si="180"/>
        <v>0</v>
      </c>
      <c r="P1601" s="211">
        <f t="shared" si="180"/>
        <v>0</v>
      </c>
    </row>
    <row r="1602" spans="1:16" s="219" customFormat="1" ht="45" hidden="1" x14ac:dyDescent="0.25">
      <c r="A1602" s="214"/>
      <c r="B1602" s="237">
        <v>1</v>
      </c>
      <c r="C1602" s="237">
        <v>3</v>
      </c>
      <c r="D1602" s="238" t="s">
        <v>2022</v>
      </c>
      <c r="E1602" s="238" t="s">
        <v>1928</v>
      </c>
      <c r="F1602" s="238" t="s">
        <v>1836</v>
      </c>
      <c r="G1602" s="238" t="s">
        <v>58</v>
      </c>
      <c r="H1602" s="239" t="s">
        <v>3455</v>
      </c>
      <c r="I1602" s="217"/>
      <c r="J1602" s="217"/>
      <c r="K1602" s="217"/>
      <c r="L1602" s="217"/>
      <c r="M1602" s="217"/>
      <c r="N1602" s="217"/>
      <c r="O1602" s="217"/>
      <c r="P1602" s="217"/>
    </row>
    <row r="1603" spans="1:16" s="219" customFormat="1" ht="45" hidden="1" x14ac:dyDescent="0.25">
      <c r="A1603" s="214"/>
      <c r="B1603" s="237">
        <v>1</v>
      </c>
      <c r="C1603" s="237">
        <v>3</v>
      </c>
      <c r="D1603" s="238" t="s">
        <v>2022</v>
      </c>
      <c r="E1603" s="238" t="s">
        <v>1928</v>
      </c>
      <c r="F1603" s="238" t="s">
        <v>1836</v>
      </c>
      <c r="G1603" s="238" t="s">
        <v>75</v>
      </c>
      <c r="H1603" s="239" t="s">
        <v>3456</v>
      </c>
      <c r="I1603" s="217"/>
      <c r="J1603" s="217"/>
      <c r="K1603" s="217"/>
      <c r="L1603" s="217"/>
      <c r="M1603" s="217"/>
      <c r="N1603" s="217"/>
      <c r="O1603" s="217"/>
      <c r="P1603" s="217"/>
    </row>
    <row r="1604" spans="1:16" s="219" customFormat="1" ht="45" hidden="1" x14ac:dyDescent="0.25">
      <c r="A1604" s="214"/>
      <c r="B1604" s="237">
        <v>1</v>
      </c>
      <c r="C1604" s="237">
        <v>3</v>
      </c>
      <c r="D1604" s="238" t="s">
        <v>2022</v>
      </c>
      <c r="E1604" s="238" t="s">
        <v>1928</v>
      </c>
      <c r="F1604" s="238" t="s">
        <v>1836</v>
      </c>
      <c r="G1604" s="238" t="s">
        <v>79</v>
      </c>
      <c r="H1604" s="239" t="s">
        <v>3457</v>
      </c>
      <c r="I1604" s="217"/>
      <c r="J1604" s="217"/>
      <c r="K1604" s="217"/>
      <c r="L1604" s="217"/>
      <c r="M1604" s="217"/>
      <c r="N1604" s="217"/>
      <c r="O1604" s="217"/>
      <c r="P1604" s="217"/>
    </row>
    <row r="1605" spans="1:16" s="219" customFormat="1" ht="45" hidden="1" x14ac:dyDescent="0.25">
      <c r="A1605" s="214"/>
      <c r="B1605" s="237">
        <v>1</v>
      </c>
      <c r="C1605" s="237">
        <v>3</v>
      </c>
      <c r="D1605" s="238" t="s">
        <v>2022</v>
      </c>
      <c r="E1605" s="238" t="s">
        <v>1928</v>
      </c>
      <c r="F1605" s="238" t="s">
        <v>1836</v>
      </c>
      <c r="G1605" s="238" t="s">
        <v>84</v>
      </c>
      <c r="H1605" s="239" t="s">
        <v>3458</v>
      </c>
      <c r="I1605" s="217"/>
      <c r="J1605" s="217"/>
      <c r="K1605" s="217"/>
      <c r="L1605" s="217"/>
      <c r="M1605" s="217"/>
      <c r="N1605" s="217"/>
      <c r="O1605" s="217"/>
      <c r="P1605" s="217"/>
    </row>
    <row r="1606" spans="1:16" s="219" customFormat="1" ht="45" hidden="1" x14ac:dyDescent="0.25">
      <c r="A1606" s="214"/>
      <c r="B1606" s="237">
        <v>1</v>
      </c>
      <c r="C1606" s="237">
        <v>3</v>
      </c>
      <c r="D1606" s="238" t="s">
        <v>2022</v>
      </c>
      <c r="E1606" s="238" t="s">
        <v>1928</v>
      </c>
      <c r="F1606" s="238" t="s">
        <v>1836</v>
      </c>
      <c r="G1606" s="238" t="s">
        <v>88</v>
      </c>
      <c r="H1606" s="239" t="s">
        <v>3459</v>
      </c>
      <c r="I1606" s="217"/>
      <c r="J1606" s="217"/>
      <c r="K1606" s="217"/>
      <c r="L1606" s="217"/>
      <c r="M1606" s="217"/>
      <c r="N1606" s="217"/>
      <c r="O1606" s="217"/>
      <c r="P1606" s="217"/>
    </row>
    <row r="1607" spans="1:16" s="219" customFormat="1" ht="45" hidden="1" x14ac:dyDescent="0.25">
      <c r="A1607" s="214"/>
      <c r="B1607" s="237">
        <v>1</v>
      </c>
      <c r="C1607" s="237">
        <v>3</v>
      </c>
      <c r="D1607" s="238" t="s">
        <v>2022</v>
      </c>
      <c r="E1607" s="238" t="s">
        <v>1928</v>
      </c>
      <c r="F1607" s="238" t="s">
        <v>1836</v>
      </c>
      <c r="G1607" s="238" t="s">
        <v>92</v>
      </c>
      <c r="H1607" s="239" t="s">
        <v>3460</v>
      </c>
      <c r="I1607" s="217"/>
      <c r="J1607" s="217"/>
      <c r="K1607" s="217"/>
      <c r="L1607" s="217"/>
      <c r="M1607" s="217"/>
      <c r="N1607" s="217"/>
      <c r="O1607" s="217"/>
      <c r="P1607" s="217"/>
    </row>
    <row r="1608" spans="1:16" s="219" customFormat="1" ht="45" hidden="1" x14ac:dyDescent="0.25">
      <c r="A1608" s="214"/>
      <c r="B1608" s="237">
        <v>1</v>
      </c>
      <c r="C1608" s="237">
        <v>3</v>
      </c>
      <c r="D1608" s="238" t="s">
        <v>2022</v>
      </c>
      <c r="E1608" s="238" t="s">
        <v>1928</v>
      </c>
      <c r="F1608" s="238" t="s">
        <v>1836</v>
      </c>
      <c r="G1608" s="238" t="s">
        <v>96</v>
      </c>
      <c r="H1608" s="239" t="s">
        <v>3461</v>
      </c>
      <c r="I1608" s="217"/>
      <c r="J1608" s="217"/>
      <c r="K1608" s="217"/>
      <c r="L1608" s="217"/>
      <c r="M1608" s="217"/>
      <c r="N1608" s="217"/>
      <c r="O1608" s="217"/>
      <c r="P1608" s="217"/>
    </row>
    <row r="1609" spans="1:16" s="219" customFormat="1" ht="45" hidden="1" x14ac:dyDescent="0.25">
      <c r="A1609" s="214"/>
      <c r="B1609" s="237">
        <v>1</v>
      </c>
      <c r="C1609" s="237">
        <v>3</v>
      </c>
      <c r="D1609" s="238" t="s">
        <v>2022</v>
      </c>
      <c r="E1609" s="238" t="s">
        <v>1928</v>
      </c>
      <c r="F1609" s="238" t="s">
        <v>1836</v>
      </c>
      <c r="G1609" s="238" t="s">
        <v>100</v>
      </c>
      <c r="H1609" s="239" t="s">
        <v>3462</v>
      </c>
      <c r="I1609" s="217"/>
      <c r="J1609" s="217"/>
      <c r="K1609" s="217"/>
      <c r="L1609" s="217"/>
      <c r="M1609" s="217"/>
      <c r="N1609" s="217"/>
      <c r="O1609" s="217"/>
      <c r="P1609" s="217"/>
    </row>
    <row r="1610" spans="1:16" s="219" customFormat="1" ht="45" hidden="1" x14ac:dyDescent="0.25">
      <c r="A1610" s="214"/>
      <c r="B1610" s="237">
        <v>1</v>
      </c>
      <c r="C1610" s="237">
        <v>3</v>
      </c>
      <c r="D1610" s="238" t="s">
        <v>2022</v>
      </c>
      <c r="E1610" s="238" t="s">
        <v>1928</v>
      </c>
      <c r="F1610" s="238" t="s">
        <v>1836</v>
      </c>
      <c r="G1610" s="238" t="s">
        <v>105</v>
      </c>
      <c r="H1610" s="239" t="s">
        <v>3463</v>
      </c>
      <c r="I1610" s="217"/>
      <c r="J1610" s="217"/>
      <c r="K1610" s="217"/>
      <c r="L1610" s="217"/>
      <c r="M1610" s="217"/>
      <c r="N1610" s="217"/>
      <c r="O1610" s="217"/>
      <c r="P1610" s="217"/>
    </row>
    <row r="1611" spans="1:16" s="219" customFormat="1" ht="45" hidden="1" x14ac:dyDescent="0.25">
      <c r="A1611" s="214"/>
      <c r="B1611" s="237">
        <v>1</v>
      </c>
      <c r="C1611" s="237">
        <v>3</v>
      </c>
      <c r="D1611" s="238" t="s">
        <v>2022</v>
      </c>
      <c r="E1611" s="238" t="s">
        <v>1928</v>
      </c>
      <c r="F1611" s="238" t="s">
        <v>1836</v>
      </c>
      <c r="G1611" s="238" t="s">
        <v>108</v>
      </c>
      <c r="H1611" s="239" t="s">
        <v>3464</v>
      </c>
      <c r="I1611" s="217"/>
      <c r="J1611" s="217"/>
      <c r="K1611" s="217"/>
      <c r="L1611" s="217"/>
      <c r="M1611" s="217"/>
      <c r="N1611" s="217"/>
      <c r="O1611" s="217"/>
      <c r="P1611" s="217"/>
    </row>
    <row r="1612" spans="1:16" s="219" customFormat="1" ht="45" hidden="1" x14ac:dyDescent="0.25">
      <c r="A1612" s="214"/>
      <c r="B1612" s="237">
        <v>1</v>
      </c>
      <c r="C1612" s="237">
        <v>3</v>
      </c>
      <c r="D1612" s="238" t="s">
        <v>2022</v>
      </c>
      <c r="E1612" s="238" t="s">
        <v>1928</v>
      </c>
      <c r="F1612" s="238" t="s">
        <v>1836</v>
      </c>
      <c r="G1612" s="238" t="s">
        <v>135</v>
      </c>
      <c r="H1612" s="239" t="s">
        <v>3465</v>
      </c>
      <c r="I1612" s="217"/>
      <c r="J1612" s="217"/>
      <c r="K1612" s="217"/>
      <c r="L1612" s="217"/>
      <c r="M1612" s="217"/>
      <c r="N1612" s="217"/>
      <c r="O1612" s="217"/>
      <c r="P1612" s="217"/>
    </row>
    <row r="1613" spans="1:16" s="219" customFormat="1" ht="45" hidden="1" x14ac:dyDescent="0.25">
      <c r="A1613" s="214"/>
      <c r="B1613" s="237">
        <v>1</v>
      </c>
      <c r="C1613" s="237">
        <v>3</v>
      </c>
      <c r="D1613" s="238" t="s">
        <v>2022</v>
      </c>
      <c r="E1613" s="238" t="s">
        <v>1928</v>
      </c>
      <c r="F1613" s="238" t="s">
        <v>1836</v>
      </c>
      <c r="G1613" s="238" t="s">
        <v>138</v>
      </c>
      <c r="H1613" s="239" t="s">
        <v>3466</v>
      </c>
      <c r="I1613" s="217"/>
      <c r="J1613" s="217"/>
      <c r="K1613" s="217"/>
      <c r="L1613" s="217"/>
      <c r="M1613" s="217"/>
      <c r="N1613" s="217"/>
      <c r="O1613" s="217"/>
      <c r="P1613" s="217"/>
    </row>
    <row r="1614" spans="1:16" s="219" customFormat="1" ht="45" hidden="1" x14ac:dyDescent="0.25">
      <c r="A1614" s="214"/>
      <c r="B1614" s="237">
        <v>1</v>
      </c>
      <c r="C1614" s="237">
        <v>3</v>
      </c>
      <c r="D1614" s="238" t="s">
        <v>2022</v>
      </c>
      <c r="E1614" s="238" t="s">
        <v>1928</v>
      </c>
      <c r="F1614" s="238" t="s">
        <v>1836</v>
      </c>
      <c r="G1614" s="238" t="s">
        <v>140</v>
      </c>
      <c r="H1614" s="239" t="s">
        <v>3467</v>
      </c>
      <c r="I1614" s="217"/>
      <c r="J1614" s="217"/>
      <c r="K1614" s="217"/>
      <c r="L1614" s="217"/>
      <c r="M1614" s="217"/>
      <c r="N1614" s="217"/>
      <c r="O1614" s="217"/>
      <c r="P1614" s="217"/>
    </row>
    <row r="1615" spans="1:16" s="219" customFormat="1" ht="45" hidden="1" x14ac:dyDescent="0.25">
      <c r="A1615" s="214"/>
      <c r="B1615" s="237">
        <v>1</v>
      </c>
      <c r="C1615" s="237">
        <v>3</v>
      </c>
      <c r="D1615" s="238" t="s">
        <v>2022</v>
      </c>
      <c r="E1615" s="238" t="s">
        <v>1928</v>
      </c>
      <c r="F1615" s="238" t="s">
        <v>1836</v>
      </c>
      <c r="G1615" s="238" t="s">
        <v>143</v>
      </c>
      <c r="H1615" s="239" t="s">
        <v>3468</v>
      </c>
      <c r="I1615" s="217"/>
      <c r="J1615" s="217"/>
      <c r="K1615" s="217"/>
      <c r="L1615" s="217"/>
      <c r="M1615" s="217"/>
      <c r="N1615" s="217"/>
      <c r="O1615" s="217"/>
      <c r="P1615" s="217"/>
    </row>
    <row r="1616" spans="1:16" s="219" customFormat="1" ht="45" hidden="1" x14ac:dyDescent="0.25">
      <c r="A1616" s="214"/>
      <c r="B1616" s="237">
        <v>1</v>
      </c>
      <c r="C1616" s="237">
        <v>3</v>
      </c>
      <c r="D1616" s="238" t="s">
        <v>2022</v>
      </c>
      <c r="E1616" s="238" t="s">
        <v>1928</v>
      </c>
      <c r="F1616" s="238" t="s">
        <v>1836</v>
      </c>
      <c r="G1616" s="238" t="s">
        <v>146</v>
      </c>
      <c r="H1616" s="239" t="s">
        <v>3469</v>
      </c>
      <c r="I1616" s="217"/>
      <c r="J1616" s="217"/>
      <c r="K1616" s="217"/>
      <c r="L1616" s="217"/>
      <c r="M1616" s="217"/>
      <c r="N1616" s="217"/>
      <c r="O1616" s="217"/>
      <c r="P1616" s="217"/>
    </row>
    <row r="1617" spans="1:16" s="219" customFormat="1" ht="60" hidden="1" x14ac:dyDescent="0.25">
      <c r="A1617" s="214"/>
      <c r="B1617" s="237">
        <v>1</v>
      </c>
      <c r="C1617" s="237">
        <v>3</v>
      </c>
      <c r="D1617" s="238" t="s">
        <v>2022</v>
      </c>
      <c r="E1617" s="238" t="s">
        <v>1928</v>
      </c>
      <c r="F1617" s="238" t="s">
        <v>1836</v>
      </c>
      <c r="G1617" s="238" t="s">
        <v>150</v>
      </c>
      <c r="H1617" s="239" t="s">
        <v>3470</v>
      </c>
      <c r="I1617" s="217"/>
      <c r="J1617" s="217"/>
      <c r="K1617" s="217"/>
      <c r="L1617" s="217"/>
      <c r="M1617" s="217"/>
      <c r="N1617" s="217"/>
      <c r="O1617" s="217"/>
      <c r="P1617" s="217"/>
    </row>
    <row r="1618" spans="1:16" s="219" customFormat="1" ht="60" hidden="1" x14ac:dyDescent="0.25">
      <c r="A1618" s="214"/>
      <c r="B1618" s="237">
        <v>1</v>
      </c>
      <c r="C1618" s="237">
        <v>3</v>
      </c>
      <c r="D1618" s="238" t="s">
        <v>2022</v>
      </c>
      <c r="E1618" s="238" t="s">
        <v>1928</v>
      </c>
      <c r="F1618" s="238" t="s">
        <v>1836</v>
      </c>
      <c r="G1618" s="238" t="s">
        <v>153</v>
      </c>
      <c r="H1618" s="239" t="s">
        <v>3471</v>
      </c>
      <c r="I1618" s="217"/>
      <c r="J1618" s="217"/>
      <c r="K1618" s="217"/>
      <c r="L1618" s="217"/>
      <c r="M1618" s="217"/>
      <c r="N1618" s="217"/>
      <c r="O1618" s="217"/>
      <c r="P1618" s="217"/>
    </row>
    <row r="1619" spans="1:16" s="219" customFormat="1" ht="60" hidden="1" x14ac:dyDescent="0.25">
      <c r="A1619" s="214"/>
      <c r="B1619" s="237">
        <v>1</v>
      </c>
      <c r="C1619" s="237">
        <v>3</v>
      </c>
      <c r="D1619" s="238" t="s">
        <v>2022</v>
      </c>
      <c r="E1619" s="238" t="s">
        <v>1928</v>
      </c>
      <c r="F1619" s="238" t="s">
        <v>1836</v>
      </c>
      <c r="G1619" s="238" t="s">
        <v>156</v>
      </c>
      <c r="H1619" s="239" t="s">
        <v>3472</v>
      </c>
      <c r="I1619" s="217"/>
      <c r="J1619" s="217"/>
      <c r="K1619" s="217"/>
      <c r="L1619" s="217"/>
      <c r="M1619" s="217"/>
      <c r="N1619" s="217"/>
      <c r="O1619" s="217"/>
      <c r="P1619" s="217"/>
    </row>
    <row r="1620" spans="1:16" s="219" customFormat="1" ht="60" hidden="1" x14ac:dyDescent="0.25">
      <c r="A1620" s="214"/>
      <c r="B1620" s="237">
        <v>1</v>
      </c>
      <c r="C1620" s="237">
        <v>3</v>
      </c>
      <c r="D1620" s="238" t="s">
        <v>2022</v>
      </c>
      <c r="E1620" s="238" t="s">
        <v>1928</v>
      </c>
      <c r="F1620" s="238" t="s">
        <v>1836</v>
      </c>
      <c r="G1620" s="238" t="s">
        <v>159</v>
      </c>
      <c r="H1620" s="239" t="s">
        <v>3473</v>
      </c>
      <c r="I1620" s="217"/>
      <c r="J1620" s="217"/>
      <c r="K1620" s="217"/>
      <c r="L1620" s="217"/>
      <c r="M1620" s="217"/>
      <c r="N1620" s="217"/>
      <c r="O1620" s="217"/>
      <c r="P1620" s="217"/>
    </row>
    <row r="1621" spans="1:16" s="219" customFormat="1" ht="60" hidden="1" x14ac:dyDescent="0.25">
      <c r="A1621" s="214"/>
      <c r="B1621" s="237">
        <v>1</v>
      </c>
      <c r="C1621" s="237">
        <v>3</v>
      </c>
      <c r="D1621" s="238" t="s">
        <v>2022</v>
      </c>
      <c r="E1621" s="238" t="s">
        <v>1928</v>
      </c>
      <c r="F1621" s="238" t="s">
        <v>1836</v>
      </c>
      <c r="G1621" s="238" t="s">
        <v>162</v>
      </c>
      <c r="H1621" s="239" t="s">
        <v>3474</v>
      </c>
      <c r="I1621" s="217"/>
      <c r="J1621" s="217"/>
      <c r="K1621" s="217"/>
      <c r="L1621" s="217"/>
      <c r="M1621" s="217"/>
      <c r="N1621" s="217"/>
      <c r="O1621" s="217"/>
      <c r="P1621" s="217"/>
    </row>
    <row r="1622" spans="1:16" s="219" customFormat="1" ht="60" hidden="1" x14ac:dyDescent="0.25">
      <c r="A1622" s="214"/>
      <c r="B1622" s="237">
        <v>1</v>
      </c>
      <c r="C1622" s="237">
        <v>3</v>
      </c>
      <c r="D1622" s="238" t="s">
        <v>2022</v>
      </c>
      <c r="E1622" s="238" t="s">
        <v>1928</v>
      </c>
      <c r="F1622" s="238" t="s">
        <v>1836</v>
      </c>
      <c r="G1622" s="238" t="s">
        <v>312</v>
      </c>
      <c r="H1622" s="239" t="s">
        <v>3475</v>
      </c>
      <c r="I1622" s="217"/>
      <c r="J1622" s="217"/>
      <c r="K1622" s="217"/>
      <c r="L1622" s="217"/>
      <c r="M1622" s="217"/>
      <c r="N1622" s="217"/>
      <c r="O1622" s="217"/>
      <c r="P1622" s="217"/>
    </row>
    <row r="1623" spans="1:16" s="219" customFormat="1" ht="60" hidden="1" x14ac:dyDescent="0.25">
      <c r="A1623" s="214"/>
      <c r="B1623" s="237">
        <v>1</v>
      </c>
      <c r="C1623" s="237">
        <v>3</v>
      </c>
      <c r="D1623" s="238" t="s">
        <v>2022</v>
      </c>
      <c r="E1623" s="238" t="s">
        <v>1928</v>
      </c>
      <c r="F1623" s="238" t="s">
        <v>1836</v>
      </c>
      <c r="G1623" s="238" t="s">
        <v>313</v>
      </c>
      <c r="H1623" s="239" t="s">
        <v>3476</v>
      </c>
      <c r="I1623" s="217"/>
      <c r="J1623" s="217"/>
      <c r="K1623" s="217"/>
      <c r="L1623" s="217"/>
      <c r="M1623" s="217"/>
      <c r="N1623" s="217"/>
      <c r="O1623" s="217"/>
      <c r="P1623" s="217"/>
    </row>
    <row r="1624" spans="1:16" s="219" customFormat="1" ht="60" hidden="1" x14ac:dyDescent="0.25">
      <c r="A1624" s="214"/>
      <c r="B1624" s="237">
        <v>1</v>
      </c>
      <c r="C1624" s="237">
        <v>3</v>
      </c>
      <c r="D1624" s="238" t="s">
        <v>2022</v>
      </c>
      <c r="E1624" s="238" t="s">
        <v>1928</v>
      </c>
      <c r="F1624" s="238" t="s">
        <v>1836</v>
      </c>
      <c r="G1624" s="238" t="s">
        <v>559</v>
      </c>
      <c r="H1624" s="239" t="s">
        <v>3477</v>
      </c>
      <c r="I1624" s="217"/>
      <c r="J1624" s="217"/>
      <c r="K1624" s="217"/>
      <c r="L1624" s="217"/>
      <c r="M1624" s="217"/>
      <c r="N1624" s="217"/>
      <c r="O1624" s="217"/>
      <c r="P1624" s="217"/>
    </row>
    <row r="1625" spans="1:16" s="219" customFormat="1" ht="60" hidden="1" x14ac:dyDescent="0.25">
      <c r="A1625" s="214"/>
      <c r="B1625" s="237">
        <v>1</v>
      </c>
      <c r="C1625" s="237">
        <v>3</v>
      </c>
      <c r="D1625" s="238" t="s">
        <v>2022</v>
      </c>
      <c r="E1625" s="238" t="s">
        <v>1928</v>
      </c>
      <c r="F1625" s="238" t="s">
        <v>1836</v>
      </c>
      <c r="G1625" s="238" t="s">
        <v>561</v>
      </c>
      <c r="H1625" s="239" t="s">
        <v>3478</v>
      </c>
      <c r="I1625" s="217"/>
      <c r="J1625" s="217"/>
      <c r="K1625" s="217"/>
      <c r="L1625" s="217"/>
      <c r="M1625" s="217"/>
      <c r="N1625" s="217"/>
      <c r="O1625" s="217"/>
      <c r="P1625" s="217"/>
    </row>
    <row r="1626" spans="1:16" s="219" customFormat="1" ht="75" hidden="1" x14ac:dyDescent="0.25">
      <c r="A1626" s="214"/>
      <c r="B1626" s="237">
        <v>1</v>
      </c>
      <c r="C1626" s="237">
        <v>3</v>
      </c>
      <c r="D1626" s="238" t="s">
        <v>2022</v>
      </c>
      <c r="E1626" s="238" t="s">
        <v>1928</v>
      </c>
      <c r="F1626" s="238" t="s">
        <v>1836</v>
      </c>
      <c r="G1626" s="238" t="s">
        <v>563</v>
      </c>
      <c r="H1626" s="239" t="s">
        <v>3479</v>
      </c>
      <c r="I1626" s="217"/>
      <c r="J1626" s="217"/>
      <c r="K1626" s="217"/>
      <c r="L1626" s="217"/>
      <c r="M1626" s="217"/>
      <c r="N1626" s="217"/>
      <c r="O1626" s="217"/>
      <c r="P1626" s="217"/>
    </row>
    <row r="1627" spans="1:16" s="219" customFormat="1" ht="75" hidden="1" x14ac:dyDescent="0.25">
      <c r="A1627" s="214"/>
      <c r="B1627" s="237">
        <v>1</v>
      </c>
      <c r="C1627" s="237">
        <v>3</v>
      </c>
      <c r="D1627" s="238" t="s">
        <v>2022</v>
      </c>
      <c r="E1627" s="238" t="s">
        <v>1928</v>
      </c>
      <c r="F1627" s="238" t="s">
        <v>1836</v>
      </c>
      <c r="G1627" s="238" t="s">
        <v>227</v>
      </c>
      <c r="H1627" s="239" t="s">
        <v>3480</v>
      </c>
      <c r="I1627" s="217"/>
      <c r="J1627" s="217"/>
      <c r="K1627" s="217"/>
      <c r="L1627" s="217"/>
      <c r="M1627" s="217"/>
      <c r="N1627" s="217"/>
      <c r="O1627" s="217"/>
      <c r="P1627" s="217"/>
    </row>
    <row r="1628" spans="1:16" s="219" customFormat="1" ht="75" hidden="1" x14ac:dyDescent="0.25">
      <c r="A1628" s="214"/>
      <c r="B1628" s="237">
        <v>1</v>
      </c>
      <c r="C1628" s="237">
        <v>3</v>
      </c>
      <c r="D1628" s="238" t="s">
        <v>2022</v>
      </c>
      <c r="E1628" s="238" t="s">
        <v>1928</v>
      </c>
      <c r="F1628" s="238" t="s">
        <v>1836</v>
      </c>
      <c r="G1628" s="238" t="s">
        <v>230</v>
      </c>
      <c r="H1628" s="239" t="s">
        <v>3481</v>
      </c>
      <c r="I1628" s="217"/>
      <c r="J1628" s="217"/>
      <c r="K1628" s="217"/>
      <c r="L1628" s="217"/>
      <c r="M1628" s="217"/>
      <c r="N1628" s="217"/>
      <c r="O1628" s="217"/>
      <c r="P1628" s="217"/>
    </row>
    <row r="1629" spans="1:16" s="219" customFormat="1" ht="75" hidden="1" x14ac:dyDescent="0.25">
      <c r="A1629" s="214"/>
      <c r="B1629" s="237">
        <v>1</v>
      </c>
      <c r="C1629" s="237">
        <v>3</v>
      </c>
      <c r="D1629" s="238" t="s">
        <v>2022</v>
      </c>
      <c r="E1629" s="238" t="s">
        <v>1928</v>
      </c>
      <c r="F1629" s="238" t="s">
        <v>1836</v>
      </c>
      <c r="G1629" s="238" t="s">
        <v>232</v>
      </c>
      <c r="H1629" s="239" t="s">
        <v>3482</v>
      </c>
      <c r="I1629" s="217"/>
      <c r="J1629" s="217"/>
      <c r="K1629" s="217"/>
      <c r="L1629" s="217"/>
      <c r="M1629" s="217"/>
      <c r="N1629" s="217"/>
      <c r="O1629" s="217"/>
      <c r="P1629" s="217"/>
    </row>
    <row r="1630" spans="1:16" s="219" customFormat="1" ht="75" hidden="1" x14ac:dyDescent="0.25">
      <c r="A1630" s="214"/>
      <c r="B1630" s="237">
        <v>1</v>
      </c>
      <c r="C1630" s="237">
        <v>3</v>
      </c>
      <c r="D1630" s="238" t="s">
        <v>2022</v>
      </c>
      <c r="E1630" s="238" t="s">
        <v>1928</v>
      </c>
      <c r="F1630" s="238" t="s">
        <v>1836</v>
      </c>
      <c r="G1630" s="238" t="s">
        <v>234</v>
      </c>
      <c r="H1630" s="239" t="s">
        <v>3483</v>
      </c>
      <c r="I1630" s="217"/>
      <c r="J1630" s="217"/>
      <c r="K1630" s="217"/>
      <c r="L1630" s="217"/>
      <c r="M1630" s="217"/>
      <c r="N1630" s="217"/>
      <c r="O1630" s="217"/>
      <c r="P1630" s="217"/>
    </row>
    <row r="1631" spans="1:16" s="219" customFormat="1" ht="75" hidden="1" x14ac:dyDescent="0.25">
      <c r="A1631" s="214"/>
      <c r="B1631" s="237">
        <v>1</v>
      </c>
      <c r="C1631" s="237">
        <v>3</v>
      </c>
      <c r="D1631" s="238" t="s">
        <v>2022</v>
      </c>
      <c r="E1631" s="238" t="s">
        <v>1928</v>
      </c>
      <c r="F1631" s="238" t="s">
        <v>1836</v>
      </c>
      <c r="G1631" s="238" t="s">
        <v>236</v>
      </c>
      <c r="H1631" s="239" t="s">
        <v>3484</v>
      </c>
      <c r="I1631" s="217"/>
      <c r="J1631" s="217"/>
      <c r="K1631" s="217"/>
      <c r="L1631" s="217"/>
      <c r="M1631" s="217"/>
      <c r="N1631" s="217"/>
      <c r="O1631" s="217"/>
      <c r="P1631" s="217"/>
    </row>
    <row r="1632" spans="1:16" s="219" customFormat="1" ht="90" hidden="1" x14ac:dyDescent="0.25">
      <c r="A1632" s="214"/>
      <c r="B1632" s="237">
        <v>1</v>
      </c>
      <c r="C1632" s="237">
        <v>3</v>
      </c>
      <c r="D1632" s="238" t="s">
        <v>2022</v>
      </c>
      <c r="E1632" s="238" t="s">
        <v>1928</v>
      </c>
      <c r="F1632" s="238" t="s">
        <v>1836</v>
      </c>
      <c r="G1632" s="238" t="s">
        <v>238</v>
      </c>
      <c r="H1632" s="239" t="s">
        <v>3485</v>
      </c>
      <c r="I1632" s="217"/>
      <c r="J1632" s="217"/>
      <c r="K1632" s="217"/>
      <c r="L1632" s="217"/>
      <c r="M1632" s="217"/>
      <c r="N1632" s="217"/>
      <c r="O1632" s="217"/>
      <c r="P1632" s="217"/>
    </row>
    <row r="1633" spans="1:16" s="219" customFormat="1" ht="60" hidden="1" x14ac:dyDescent="0.25">
      <c r="A1633" s="214"/>
      <c r="B1633" s="237">
        <v>1</v>
      </c>
      <c r="C1633" s="237">
        <v>3</v>
      </c>
      <c r="D1633" s="238" t="s">
        <v>2022</v>
      </c>
      <c r="E1633" s="238" t="s">
        <v>1928</v>
      </c>
      <c r="F1633" s="238" t="s">
        <v>1836</v>
      </c>
      <c r="G1633" s="238" t="s">
        <v>240</v>
      </c>
      <c r="H1633" s="239" t="s">
        <v>3486</v>
      </c>
      <c r="I1633" s="217"/>
      <c r="J1633" s="217"/>
      <c r="K1633" s="217"/>
      <c r="L1633" s="217"/>
      <c r="M1633" s="217"/>
      <c r="N1633" s="217"/>
      <c r="O1633" s="217"/>
      <c r="P1633" s="217"/>
    </row>
    <row r="1634" spans="1:16" s="219" customFormat="1" ht="75" hidden="1" x14ac:dyDescent="0.25">
      <c r="A1634" s="214"/>
      <c r="B1634" s="237">
        <v>1</v>
      </c>
      <c r="C1634" s="237">
        <v>3</v>
      </c>
      <c r="D1634" s="238" t="s">
        <v>2022</v>
      </c>
      <c r="E1634" s="238" t="s">
        <v>1928</v>
      </c>
      <c r="F1634" s="238" t="s">
        <v>1836</v>
      </c>
      <c r="G1634" s="238" t="s">
        <v>242</v>
      </c>
      <c r="H1634" s="239" t="s">
        <v>3487</v>
      </c>
      <c r="I1634" s="217"/>
      <c r="J1634" s="217"/>
      <c r="K1634" s="217"/>
      <c r="L1634" s="217"/>
      <c r="M1634" s="217"/>
      <c r="N1634" s="217"/>
      <c r="O1634" s="217"/>
      <c r="P1634" s="217"/>
    </row>
    <row r="1635" spans="1:16" s="219" customFormat="1" ht="60" hidden="1" x14ac:dyDescent="0.25">
      <c r="A1635" s="214"/>
      <c r="B1635" s="237">
        <v>1</v>
      </c>
      <c r="C1635" s="237">
        <v>3</v>
      </c>
      <c r="D1635" s="238" t="s">
        <v>2022</v>
      </c>
      <c r="E1635" s="238" t="s">
        <v>1928</v>
      </c>
      <c r="F1635" s="238" t="s">
        <v>1836</v>
      </c>
      <c r="G1635" s="238" t="s">
        <v>244</v>
      </c>
      <c r="H1635" s="239" t="s">
        <v>3488</v>
      </c>
      <c r="I1635" s="217"/>
      <c r="J1635" s="217"/>
      <c r="K1635" s="217"/>
      <c r="L1635" s="217"/>
      <c r="M1635" s="217"/>
      <c r="N1635" s="217"/>
      <c r="O1635" s="217"/>
      <c r="P1635" s="217"/>
    </row>
    <row r="1636" spans="1:16" s="219" customFormat="1" ht="60" hidden="1" x14ac:dyDescent="0.25">
      <c r="A1636" s="214"/>
      <c r="B1636" s="237">
        <v>1</v>
      </c>
      <c r="C1636" s="237">
        <v>3</v>
      </c>
      <c r="D1636" s="238" t="s">
        <v>2022</v>
      </c>
      <c r="E1636" s="238" t="s">
        <v>1928</v>
      </c>
      <c r="F1636" s="238" t="s">
        <v>1836</v>
      </c>
      <c r="G1636" s="238" t="s">
        <v>246</v>
      </c>
      <c r="H1636" s="239" t="s">
        <v>3489</v>
      </c>
      <c r="I1636" s="217"/>
      <c r="J1636" s="217"/>
      <c r="K1636" s="217"/>
      <c r="L1636" s="217"/>
      <c r="M1636" s="217"/>
      <c r="N1636" s="217"/>
      <c r="O1636" s="217"/>
      <c r="P1636" s="217"/>
    </row>
    <row r="1637" spans="1:16" s="219" customFormat="1" ht="60" hidden="1" x14ac:dyDescent="0.25">
      <c r="A1637" s="214"/>
      <c r="B1637" s="237">
        <v>1</v>
      </c>
      <c r="C1637" s="237">
        <v>3</v>
      </c>
      <c r="D1637" s="238" t="s">
        <v>2022</v>
      </c>
      <c r="E1637" s="238" t="s">
        <v>1928</v>
      </c>
      <c r="F1637" s="238" t="s">
        <v>1836</v>
      </c>
      <c r="G1637" s="238" t="s">
        <v>407</v>
      </c>
      <c r="H1637" s="239" t="s">
        <v>3490</v>
      </c>
      <c r="I1637" s="217"/>
      <c r="J1637" s="217"/>
      <c r="K1637" s="217"/>
      <c r="L1637" s="217"/>
      <c r="M1637" s="217"/>
      <c r="N1637" s="217"/>
      <c r="O1637" s="217"/>
      <c r="P1637" s="217"/>
    </row>
    <row r="1638" spans="1:16" s="219" customFormat="1" ht="60" hidden="1" x14ac:dyDescent="0.25">
      <c r="A1638" s="214"/>
      <c r="B1638" s="237">
        <v>1</v>
      </c>
      <c r="C1638" s="237">
        <v>3</v>
      </c>
      <c r="D1638" s="238" t="s">
        <v>2022</v>
      </c>
      <c r="E1638" s="238" t="s">
        <v>1928</v>
      </c>
      <c r="F1638" s="238" t="s">
        <v>1836</v>
      </c>
      <c r="G1638" s="238" t="s">
        <v>408</v>
      </c>
      <c r="H1638" s="239" t="s">
        <v>3491</v>
      </c>
      <c r="I1638" s="217"/>
      <c r="J1638" s="217"/>
      <c r="K1638" s="217"/>
      <c r="L1638" s="217"/>
      <c r="M1638" s="217"/>
      <c r="N1638" s="217"/>
      <c r="O1638" s="217"/>
      <c r="P1638" s="217"/>
    </row>
    <row r="1639" spans="1:16" s="219" customFormat="1" ht="60" hidden="1" x14ac:dyDescent="0.25">
      <c r="A1639" s="214"/>
      <c r="B1639" s="237">
        <v>1</v>
      </c>
      <c r="C1639" s="237">
        <v>3</v>
      </c>
      <c r="D1639" s="238" t="s">
        <v>2022</v>
      </c>
      <c r="E1639" s="238" t="s">
        <v>1928</v>
      </c>
      <c r="F1639" s="238" t="s">
        <v>1836</v>
      </c>
      <c r="G1639" s="238" t="s">
        <v>409</v>
      </c>
      <c r="H1639" s="239" t="s">
        <v>3492</v>
      </c>
      <c r="I1639" s="217"/>
      <c r="J1639" s="217"/>
      <c r="K1639" s="217"/>
      <c r="L1639" s="217"/>
      <c r="M1639" s="217"/>
      <c r="N1639" s="217"/>
      <c r="O1639" s="217"/>
      <c r="P1639" s="217"/>
    </row>
    <row r="1640" spans="1:16" s="219" customFormat="1" ht="75" hidden="1" x14ac:dyDescent="0.25">
      <c r="A1640" s="214"/>
      <c r="B1640" s="237">
        <v>1</v>
      </c>
      <c r="C1640" s="237">
        <v>3</v>
      </c>
      <c r="D1640" s="238" t="s">
        <v>2022</v>
      </c>
      <c r="E1640" s="238" t="s">
        <v>1928</v>
      </c>
      <c r="F1640" s="238" t="s">
        <v>1836</v>
      </c>
      <c r="G1640" s="238" t="s">
        <v>788</v>
      </c>
      <c r="H1640" s="239" t="s">
        <v>3493</v>
      </c>
      <c r="I1640" s="217"/>
      <c r="J1640" s="217"/>
      <c r="K1640" s="217"/>
      <c r="L1640" s="217"/>
      <c r="M1640" s="217"/>
      <c r="N1640" s="217"/>
      <c r="O1640" s="217"/>
      <c r="P1640" s="217"/>
    </row>
    <row r="1641" spans="1:16" s="219" customFormat="1" ht="60" hidden="1" x14ac:dyDescent="0.25">
      <c r="A1641" s="214"/>
      <c r="B1641" s="237">
        <v>1</v>
      </c>
      <c r="C1641" s="237">
        <v>3</v>
      </c>
      <c r="D1641" s="238" t="s">
        <v>2022</v>
      </c>
      <c r="E1641" s="238" t="s">
        <v>1928</v>
      </c>
      <c r="F1641" s="238" t="s">
        <v>1836</v>
      </c>
      <c r="G1641" s="238" t="s">
        <v>1017</v>
      </c>
      <c r="H1641" s="239" t="s">
        <v>3494</v>
      </c>
      <c r="I1641" s="217"/>
      <c r="J1641" s="217"/>
      <c r="K1641" s="217"/>
      <c r="L1641" s="217"/>
      <c r="M1641" s="217"/>
      <c r="N1641" s="217"/>
      <c r="O1641" s="217"/>
      <c r="P1641" s="217"/>
    </row>
    <row r="1642" spans="1:16" s="219" customFormat="1" ht="60" hidden="1" x14ac:dyDescent="0.25">
      <c r="A1642" s="214"/>
      <c r="B1642" s="237">
        <v>1</v>
      </c>
      <c r="C1642" s="237">
        <v>3</v>
      </c>
      <c r="D1642" s="238" t="s">
        <v>2022</v>
      </c>
      <c r="E1642" s="238" t="s">
        <v>1928</v>
      </c>
      <c r="F1642" s="238" t="s">
        <v>1836</v>
      </c>
      <c r="G1642" s="238" t="s">
        <v>411</v>
      </c>
      <c r="H1642" s="239" t="s">
        <v>3495</v>
      </c>
      <c r="I1642" s="217"/>
      <c r="J1642" s="217"/>
      <c r="K1642" s="217"/>
      <c r="L1642" s="217"/>
      <c r="M1642" s="217"/>
      <c r="N1642" s="217"/>
      <c r="O1642" s="217"/>
      <c r="P1642" s="217"/>
    </row>
    <row r="1643" spans="1:16" s="219" customFormat="1" ht="60" hidden="1" x14ac:dyDescent="0.25">
      <c r="A1643" s="214"/>
      <c r="B1643" s="237">
        <v>1</v>
      </c>
      <c r="C1643" s="237">
        <v>3</v>
      </c>
      <c r="D1643" s="238" t="s">
        <v>2022</v>
      </c>
      <c r="E1643" s="238" t="s">
        <v>1928</v>
      </c>
      <c r="F1643" s="238" t="s">
        <v>1836</v>
      </c>
      <c r="G1643" s="238" t="s">
        <v>247</v>
      </c>
      <c r="H1643" s="239" t="s">
        <v>3496</v>
      </c>
      <c r="I1643" s="217"/>
      <c r="J1643" s="217"/>
      <c r="K1643" s="217"/>
      <c r="L1643" s="217"/>
      <c r="M1643" s="217"/>
      <c r="N1643" s="217"/>
      <c r="O1643" s="217"/>
      <c r="P1643" s="217"/>
    </row>
    <row r="1644" spans="1:16" s="219" customFormat="1" ht="60" hidden="1" x14ac:dyDescent="0.25">
      <c r="A1644" s="214"/>
      <c r="B1644" s="237">
        <v>1</v>
      </c>
      <c r="C1644" s="237">
        <v>3</v>
      </c>
      <c r="D1644" s="238" t="s">
        <v>2022</v>
      </c>
      <c r="E1644" s="238" t="s">
        <v>1928</v>
      </c>
      <c r="F1644" s="238" t="s">
        <v>1836</v>
      </c>
      <c r="G1644" s="238" t="s">
        <v>1019</v>
      </c>
      <c r="H1644" s="239" t="s">
        <v>3497</v>
      </c>
      <c r="I1644" s="217"/>
      <c r="J1644" s="217"/>
      <c r="K1644" s="217"/>
      <c r="L1644" s="217"/>
      <c r="M1644" s="217"/>
      <c r="N1644" s="217"/>
      <c r="O1644" s="217"/>
      <c r="P1644" s="217"/>
    </row>
    <row r="1645" spans="1:16" s="219" customFormat="1" ht="60" hidden="1" x14ac:dyDescent="0.25">
      <c r="A1645" s="214"/>
      <c r="B1645" s="237">
        <v>1</v>
      </c>
      <c r="C1645" s="237">
        <v>3</v>
      </c>
      <c r="D1645" s="238" t="s">
        <v>2022</v>
      </c>
      <c r="E1645" s="238" t="s">
        <v>1928</v>
      </c>
      <c r="F1645" s="238" t="s">
        <v>1836</v>
      </c>
      <c r="G1645" s="238" t="s">
        <v>1022</v>
      </c>
      <c r="H1645" s="239" t="s">
        <v>3498</v>
      </c>
      <c r="I1645" s="217"/>
      <c r="J1645" s="217"/>
      <c r="K1645" s="217"/>
      <c r="L1645" s="217"/>
      <c r="M1645" s="217"/>
      <c r="N1645" s="217"/>
      <c r="O1645" s="217"/>
      <c r="P1645" s="217"/>
    </row>
    <row r="1646" spans="1:16" s="219" customFormat="1" ht="60" hidden="1" x14ac:dyDescent="0.25">
      <c r="A1646" s="214"/>
      <c r="B1646" s="237">
        <v>1</v>
      </c>
      <c r="C1646" s="237">
        <v>3</v>
      </c>
      <c r="D1646" s="238" t="s">
        <v>2022</v>
      </c>
      <c r="E1646" s="238" t="s">
        <v>1928</v>
      </c>
      <c r="F1646" s="238" t="s">
        <v>1836</v>
      </c>
      <c r="G1646" s="238" t="s">
        <v>1024</v>
      </c>
      <c r="H1646" s="239" t="s">
        <v>3499</v>
      </c>
      <c r="I1646" s="217"/>
      <c r="J1646" s="217"/>
      <c r="K1646" s="217"/>
      <c r="L1646" s="217"/>
      <c r="M1646" s="217"/>
      <c r="N1646" s="217"/>
      <c r="O1646" s="217"/>
      <c r="P1646" s="217"/>
    </row>
    <row r="1647" spans="1:16" s="219" customFormat="1" ht="45" hidden="1" x14ac:dyDescent="0.25">
      <c r="A1647" s="214"/>
      <c r="B1647" s="237">
        <v>1</v>
      </c>
      <c r="C1647" s="237">
        <v>3</v>
      </c>
      <c r="D1647" s="238" t="s">
        <v>2022</v>
      </c>
      <c r="E1647" s="238" t="s">
        <v>1928</v>
      </c>
      <c r="F1647" s="238" t="s">
        <v>1836</v>
      </c>
      <c r="G1647" s="238" t="s">
        <v>1026</v>
      </c>
      <c r="H1647" s="239" t="s">
        <v>3500</v>
      </c>
      <c r="I1647" s="217"/>
      <c r="J1647" s="217"/>
      <c r="K1647" s="217"/>
      <c r="L1647" s="217"/>
      <c r="M1647" s="217"/>
      <c r="N1647" s="217"/>
      <c r="O1647" s="217"/>
      <c r="P1647" s="217"/>
    </row>
    <row r="1648" spans="1:16" s="219" customFormat="1" ht="45" hidden="1" x14ac:dyDescent="0.25">
      <c r="A1648" s="214"/>
      <c r="B1648" s="237">
        <v>1</v>
      </c>
      <c r="C1648" s="237">
        <v>3</v>
      </c>
      <c r="D1648" s="238" t="s">
        <v>2022</v>
      </c>
      <c r="E1648" s="238" t="s">
        <v>1928</v>
      </c>
      <c r="F1648" s="238" t="s">
        <v>1836</v>
      </c>
      <c r="G1648" s="238" t="s">
        <v>416</v>
      </c>
      <c r="H1648" s="239" t="s">
        <v>3501</v>
      </c>
      <c r="I1648" s="217"/>
      <c r="J1648" s="217"/>
      <c r="K1648" s="217"/>
      <c r="L1648" s="217"/>
      <c r="M1648" s="217"/>
      <c r="N1648" s="217"/>
      <c r="O1648" s="217"/>
      <c r="P1648" s="217"/>
    </row>
    <row r="1649" spans="1:16" s="219" customFormat="1" ht="45" hidden="1" x14ac:dyDescent="0.25">
      <c r="A1649" s="214"/>
      <c r="B1649" s="237">
        <v>1</v>
      </c>
      <c r="C1649" s="237">
        <v>3</v>
      </c>
      <c r="D1649" s="238" t="s">
        <v>2022</v>
      </c>
      <c r="E1649" s="238" t="s">
        <v>1928</v>
      </c>
      <c r="F1649" s="238" t="s">
        <v>1836</v>
      </c>
      <c r="G1649" s="238" t="s">
        <v>417</v>
      </c>
      <c r="H1649" s="239" t="s">
        <v>3502</v>
      </c>
      <c r="I1649" s="217"/>
      <c r="J1649" s="217"/>
      <c r="K1649" s="217"/>
      <c r="L1649" s="217"/>
      <c r="M1649" s="217"/>
      <c r="N1649" s="217"/>
      <c r="O1649" s="217"/>
      <c r="P1649" s="217"/>
    </row>
    <row r="1650" spans="1:16" s="219" customFormat="1" ht="45" hidden="1" x14ac:dyDescent="0.25">
      <c r="A1650" s="214"/>
      <c r="B1650" s="237">
        <v>1</v>
      </c>
      <c r="C1650" s="237">
        <v>3</v>
      </c>
      <c r="D1650" s="238" t="s">
        <v>2022</v>
      </c>
      <c r="E1650" s="238" t="s">
        <v>1928</v>
      </c>
      <c r="F1650" s="238" t="s">
        <v>1836</v>
      </c>
      <c r="G1650" s="238" t="s">
        <v>1028</v>
      </c>
      <c r="H1650" s="239" t="s">
        <v>3503</v>
      </c>
      <c r="I1650" s="217"/>
      <c r="J1650" s="217"/>
      <c r="K1650" s="217"/>
      <c r="L1650" s="217"/>
      <c r="M1650" s="217"/>
      <c r="N1650" s="217"/>
      <c r="O1650" s="217"/>
      <c r="P1650" s="217"/>
    </row>
    <row r="1651" spans="1:16" s="219" customFormat="1" ht="45" hidden="1" x14ac:dyDescent="0.25">
      <c r="A1651" s="214"/>
      <c r="B1651" s="237">
        <v>1</v>
      </c>
      <c r="C1651" s="237">
        <v>3</v>
      </c>
      <c r="D1651" s="238" t="s">
        <v>2022</v>
      </c>
      <c r="E1651" s="238" t="s">
        <v>1928</v>
      </c>
      <c r="F1651" s="238" t="s">
        <v>1836</v>
      </c>
      <c r="G1651" s="238" t="s">
        <v>1029</v>
      </c>
      <c r="H1651" s="239" t="s">
        <v>3504</v>
      </c>
      <c r="I1651" s="217"/>
      <c r="J1651" s="217"/>
      <c r="K1651" s="217"/>
      <c r="L1651" s="217"/>
      <c r="M1651" s="217"/>
      <c r="N1651" s="217"/>
      <c r="O1651" s="217"/>
      <c r="P1651" s="217"/>
    </row>
    <row r="1652" spans="1:16" s="219" customFormat="1" ht="45" hidden="1" x14ac:dyDescent="0.25">
      <c r="A1652" s="214"/>
      <c r="B1652" s="237">
        <v>1</v>
      </c>
      <c r="C1652" s="237">
        <v>3</v>
      </c>
      <c r="D1652" s="238" t="s">
        <v>2022</v>
      </c>
      <c r="E1652" s="238" t="s">
        <v>1928</v>
      </c>
      <c r="F1652" s="238" t="s">
        <v>1836</v>
      </c>
      <c r="G1652" s="238" t="s">
        <v>1030</v>
      </c>
      <c r="H1652" s="239" t="s">
        <v>3505</v>
      </c>
      <c r="I1652" s="217"/>
      <c r="J1652" s="217"/>
      <c r="K1652" s="217"/>
      <c r="L1652" s="217"/>
      <c r="M1652" s="217"/>
      <c r="N1652" s="217"/>
      <c r="O1652" s="217"/>
      <c r="P1652" s="217"/>
    </row>
    <row r="1653" spans="1:16" s="213" customFormat="1" ht="30" hidden="1" x14ac:dyDescent="0.25">
      <c r="A1653" s="208" t="s">
        <v>263</v>
      </c>
      <c r="B1653" s="234">
        <v>1</v>
      </c>
      <c r="C1653" s="234">
        <v>3</v>
      </c>
      <c r="D1653" s="235" t="s">
        <v>2022</v>
      </c>
      <c r="E1653" s="235" t="s">
        <v>1928</v>
      </c>
      <c r="F1653" s="235" t="s">
        <v>1847</v>
      </c>
      <c r="G1653" s="234"/>
      <c r="H1653" s="236" t="s">
        <v>3506</v>
      </c>
      <c r="I1653" s="211">
        <f>SUM(I1654:I1697)</f>
        <v>0</v>
      </c>
      <c r="J1653" s="211">
        <f t="shared" ref="J1653:P1653" si="181">SUM(J1654:J1697)</f>
        <v>0</v>
      </c>
      <c r="K1653" s="211">
        <f t="shared" si="181"/>
        <v>0</v>
      </c>
      <c r="L1653" s="211">
        <f t="shared" si="181"/>
        <v>0</v>
      </c>
      <c r="M1653" s="211">
        <f t="shared" si="181"/>
        <v>0</v>
      </c>
      <c r="N1653" s="211">
        <f t="shared" si="181"/>
        <v>0</v>
      </c>
      <c r="O1653" s="211">
        <f t="shared" si="181"/>
        <v>0</v>
      </c>
      <c r="P1653" s="211">
        <f t="shared" si="181"/>
        <v>0</v>
      </c>
    </row>
    <row r="1654" spans="1:16" s="219" customFormat="1" ht="45" hidden="1" x14ac:dyDescent="0.25">
      <c r="A1654" s="214"/>
      <c r="B1654" s="237">
        <v>1</v>
      </c>
      <c r="C1654" s="237">
        <v>3</v>
      </c>
      <c r="D1654" s="238" t="s">
        <v>2022</v>
      </c>
      <c r="E1654" s="238" t="s">
        <v>1928</v>
      </c>
      <c r="F1654" s="238" t="s">
        <v>1847</v>
      </c>
      <c r="G1654" s="238" t="s">
        <v>58</v>
      </c>
      <c r="H1654" s="239" t="s">
        <v>3507</v>
      </c>
      <c r="I1654" s="217"/>
      <c r="J1654" s="217"/>
      <c r="K1654" s="217"/>
      <c r="L1654" s="217"/>
      <c r="M1654" s="217"/>
      <c r="N1654" s="217"/>
      <c r="O1654" s="217"/>
      <c r="P1654" s="217"/>
    </row>
    <row r="1655" spans="1:16" s="219" customFormat="1" ht="45" hidden="1" x14ac:dyDescent="0.25">
      <c r="A1655" s="214"/>
      <c r="B1655" s="237">
        <v>1</v>
      </c>
      <c r="C1655" s="237">
        <v>3</v>
      </c>
      <c r="D1655" s="238" t="s">
        <v>2022</v>
      </c>
      <c r="E1655" s="238" t="s">
        <v>1928</v>
      </c>
      <c r="F1655" s="238" t="s">
        <v>1847</v>
      </c>
      <c r="G1655" s="238" t="s">
        <v>75</v>
      </c>
      <c r="H1655" s="239" t="s">
        <v>3508</v>
      </c>
      <c r="I1655" s="217"/>
      <c r="J1655" s="217"/>
      <c r="K1655" s="217"/>
      <c r="L1655" s="217"/>
      <c r="M1655" s="217"/>
      <c r="N1655" s="217"/>
      <c r="O1655" s="217"/>
      <c r="P1655" s="217"/>
    </row>
    <row r="1656" spans="1:16" s="219" customFormat="1" ht="45" hidden="1" x14ac:dyDescent="0.25">
      <c r="A1656" s="214"/>
      <c r="B1656" s="237">
        <v>1</v>
      </c>
      <c r="C1656" s="237">
        <v>3</v>
      </c>
      <c r="D1656" s="238" t="s">
        <v>2022</v>
      </c>
      <c r="E1656" s="238" t="s">
        <v>1928</v>
      </c>
      <c r="F1656" s="238" t="s">
        <v>1847</v>
      </c>
      <c r="G1656" s="238" t="s">
        <v>79</v>
      </c>
      <c r="H1656" s="239" t="s">
        <v>3509</v>
      </c>
      <c r="I1656" s="217"/>
      <c r="J1656" s="217"/>
      <c r="K1656" s="217"/>
      <c r="L1656" s="217"/>
      <c r="M1656" s="217"/>
      <c r="N1656" s="217"/>
      <c r="O1656" s="217"/>
      <c r="P1656" s="217"/>
    </row>
    <row r="1657" spans="1:16" s="219" customFormat="1" ht="45" hidden="1" x14ac:dyDescent="0.25">
      <c r="A1657" s="214"/>
      <c r="B1657" s="237">
        <v>1</v>
      </c>
      <c r="C1657" s="237">
        <v>3</v>
      </c>
      <c r="D1657" s="238" t="s">
        <v>2022</v>
      </c>
      <c r="E1657" s="238" t="s">
        <v>1928</v>
      </c>
      <c r="F1657" s="238" t="s">
        <v>1847</v>
      </c>
      <c r="G1657" s="238" t="s">
        <v>84</v>
      </c>
      <c r="H1657" s="239" t="s">
        <v>3510</v>
      </c>
      <c r="I1657" s="217"/>
      <c r="J1657" s="217"/>
      <c r="K1657" s="217"/>
      <c r="L1657" s="217"/>
      <c r="M1657" s="217"/>
      <c r="N1657" s="217"/>
      <c r="O1657" s="217"/>
      <c r="P1657" s="217"/>
    </row>
    <row r="1658" spans="1:16" s="219" customFormat="1" ht="45" hidden="1" x14ac:dyDescent="0.25">
      <c r="A1658" s="214"/>
      <c r="B1658" s="237">
        <v>1</v>
      </c>
      <c r="C1658" s="237">
        <v>3</v>
      </c>
      <c r="D1658" s="238" t="s">
        <v>2022</v>
      </c>
      <c r="E1658" s="238" t="s">
        <v>1928</v>
      </c>
      <c r="F1658" s="238" t="s">
        <v>1847</v>
      </c>
      <c r="G1658" s="238" t="s">
        <v>88</v>
      </c>
      <c r="H1658" s="239" t="s">
        <v>3511</v>
      </c>
      <c r="I1658" s="217"/>
      <c r="J1658" s="217"/>
      <c r="K1658" s="217"/>
      <c r="L1658" s="217"/>
      <c r="M1658" s="217"/>
      <c r="N1658" s="217"/>
      <c r="O1658" s="217"/>
      <c r="P1658" s="217"/>
    </row>
    <row r="1659" spans="1:16" s="219" customFormat="1" ht="45" hidden="1" x14ac:dyDescent="0.25">
      <c r="A1659" s="214"/>
      <c r="B1659" s="237">
        <v>1</v>
      </c>
      <c r="C1659" s="237">
        <v>3</v>
      </c>
      <c r="D1659" s="238" t="s">
        <v>2022</v>
      </c>
      <c r="E1659" s="238" t="s">
        <v>1928</v>
      </c>
      <c r="F1659" s="238" t="s">
        <v>1847</v>
      </c>
      <c r="G1659" s="238" t="s">
        <v>92</v>
      </c>
      <c r="H1659" s="239" t="s">
        <v>3512</v>
      </c>
      <c r="I1659" s="217"/>
      <c r="J1659" s="217"/>
      <c r="K1659" s="217"/>
      <c r="L1659" s="217"/>
      <c r="M1659" s="217"/>
      <c r="N1659" s="217"/>
      <c r="O1659" s="217"/>
      <c r="P1659" s="217"/>
    </row>
    <row r="1660" spans="1:16" s="219" customFormat="1" ht="45" hidden="1" x14ac:dyDescent="0.25">
      <c r="A1660" s="214"/>
      <c r="B1660" s="237">
        <v>1</v>
      </c>
      <c r="C1660" s="237">
        <v>3</v>
      </c>
      <c r="D1660" s="238" t="s">
        <v>2022</v>
      </c>
      <c r="E1660" s="238" t="s">
        <v>1928</v>
      </c>
      <c r="F1660" s="238" t="s">
        <v>1847</v>
      </c>
      <c r="G1660" s="238" t="s">
        <v>96</v>
      </c>
      <c r="H1660" s="239" t="s">
        <v>3513</v>
      </c>
      <c r="I1660" s="217"/>
      <c r="J1660" s="217"/>
      <c r="K1660" s="217"/>
      <c r="L1660" s="217"/>
      <c r="M1660" s="217"/>
      <c r="N1660" s="217"/>
      <c r="O1660" s="217"/>
      <c r="P1660" s="217"/>
    </row>
    <row r="1661" spans="1:16" s="219" customFormat="1" ht="45" hidden="1" x14ac:dyDescent="0.25">
      <c r="A1661" s="214"/>
      <c r="B1661" s="237">
        <v>1</v>
      </c>
      <c r="C1661" s="237">
        <v>3</v>
      </c>
      <c r="D1661" s="238" t="s">
        <v>2022</v>
      </c>
      <c r="E1661" s="238" t="s">
        <v>1928</v>
      </c>
      <c r="F1661" s="238" t="s">
        <v>1847</v>
      </c>
      <c r="G1661" s="238" t="s">
        <v>100</v>
      </c>
      <c r="H1661" s="239" t="s">
        <v>3514</v>
      </c>
      <c r="I1661" s="217"/>
      <c r="J1661" s="217"/>
      <c r="K1661" s="217"/>
      <c r="L1661" s="217"/>
      <c r="M1661" s="217"/>
      <c r="N1661" s="217"/>
      <c r="O1661" s="217"/>
      <c r="P1661" s="217"/>
    </row>
    <row r="1662" spans="1:16" s="219" customFormat="1" ht="45" hidden="1" x14ac:dyDescent="0.25">
      <c r="A1662" s="214"/>
      <c r="B1662" s="237">
        <v>1</v>
      </c>
      <c r="C1662" s="237">
        <v>3</v>
      </c>
      <c r="D1662" s="238" t="s">
        <v>2022</v>
      </c>
      <c r="E1662" s="238" t="s">
        <v>1928</v>
      </c>
      <c r="F1662" s="238" t="s">
        <v>1847</v>
      </c>
      <c r="G1662" s="238" t="s">
        <v>105</v>
      </c>
      <c r="H1662" s="239" t="s">
        <v>3515</v>
      </c>
      <c r="I1662" s="217"/>
      <c r="J1662" s="217"/>
      <c r="K1662" s="217"/>
      <c r="L1662" s="217"/>
      <c r="M1662" s="217"/>
      <c r="N1662" s="217"/>
      <c r="O1662" s="217"/>
      <c r="P1662" s="217"/>
    </row>
    <row r="1663" spans="1:16" s="219" customFormat="1" ht="45" hidden="1" x14ac:dyDescent="0.25">
      <c r="A1663" s="214"/>
      <c r="B1663" s="237">
        <v>1</v>
      </c>
      <c r="C1663" s="237">
        <v>3</v>
      </c>
      <c r="D1663" s="238" t="s">
        <v>2022</v>
      </c>
      <c r="E1663" s="238" t="s">
        <v>1928</v>
      </c>
      <c r="F1663" s="238" t="s">
        <v>1847</v>
      </c>
      <c r="G1663" s="238" t="s">
        <v>108</v>
      </c>
      <c r="H1663" s="239" t="s">
        <v>3516</v>
      </c>
      <c r="I1663" s="217"/>
      <c r="J1663" s="217"/>
      <c r="K1663" s="217"/>
      <c r="L1663" s="217"/>
      <c r="M1663" s="217"/>
      <c r="N1663" s="217"/>
      <c r="O1663" s="217"/>
      <c r="P1663" s="217"/>
    </row>
    <row r="1664" spans="1:16" s="219" customFormat="1" ht="60" hidden="1" x14ac:dyDescent="0.25">
      <c r="A1664" s="214"/>
      <c r="B1664" s="237">
        <v>1</v>
      </c>
      <c r="C1664" s="237">
        <v>3</v>
      </c>
      <c r="D1664" s="238" t="s">
        <v>2022</v>
      </c>
      <c r="E1664" s="238" t="s">
        <v>1928</v>
      </c>
      <c r="F1664" s="238" t="s">
        <v>1847</v>
      </c>
      <c r="G1664" s="238" t="s">
        <v>135</v>
      </c>
      <c r="H1664" s="239" t="s">
        <v>3517</v>
      </c>
      <c r="I1664" s="217"/>
      <c r="J1664" s="217"/>
      <c r="K1664" s="217"/>
      <c r="L1664" s="217"/>
      <c r="M1664" s="217"/>
      <c r="N1664" s="217"/>
      <c r="O1664" s="217"/>
      <c r="P1664" s="217"/>
    </row>
    <row r="1665" spans="1:16" s="219" customFormat="1" ht="45" hidden="1" x14ac:dyDescent="0.25">
      <c r="A1665" s="214"/>
      <c r="B1665" s="237">
        <v>1</v>
      </c>
      <c r="C1665" s="237">
        <v>3</v>
      </c>
      <c r="D1665" s="238" t="s">
        <v>2022</v>
      </c>
      <c r="E1665" s="238" t="s">
        <v>1928</v>
      </c>
      <c r="F1665" s="238" t="s">
        <v>1847</v>
      </c>
      <c r="G1665" s="238" t="s">
        <v>138</v>
      </c>
      <c r="H1665" s="239" t="s">
        <v>3518</v>
      </c>
      <c r="I1665" s="217"/>
      <c r="J1665" s="217"/>
      <c r="K1665" s="217"/>
      <c r="L1665" s="217"/>
      <c r="M1665" s="217"/>
      <c r="N1665" s="217"/>
      <c r="O1665" s="217"/>
      <c r="P1665" s="217"/>
    </row>
    <row r="1666" spans="1:16" s="219" customFormat="1" ht="45" hidden="1" x14ac:dyDescent="0.25">
      <c r="A1666" s="214"/>
      <c r="B1666" s="237">
        <v>1</v>
      </c>
      <c r="C1666" s="237">
        <v>3</v>
      </c>
      <c r="D1666" s="238" t="s">
        <v>2022</v>
      </c>
      <c r="E1666" s="238" t="s">
        <v>1928</v>
      </c>
      <c r="F1666" s="238" t="s">
        <v>1847</v>
      </c>
      <c r="G1666" s="238" t="s">
        <v>140</v>
      </c>
      <c r="H1666" s="239" t="s">
        <v>3519</v>
      </c>
      <c r="I1666" s="217"/>
      <c r="J1666" s="217"/>
      <c r="K1666" s="217"/>
      <c r="L1666" s="217"/>
      <c r="M1666" s="217"/>
      <c r="N1666" s="217"/>
      <c r="O1666" s="217"/>
      <c r="P1666" s="217"/>
    </row>
    <row r="1667" spans="1:16" s="219" customFormat="1" ht="60" hidden="1" x14ac:dyDescent="0.25">
      <c r="A1667" s="214"/>
      <c r="B1667" s="237">
        <v>1</v>
      </c>
      <c r="C1667" s="237">
        <v>3</v>
      </c>
      <c r="D1667" s="238" t="s">
        <v>2022</v>
      </c>
      <c r="E1667" s="238" t="s">
        <v>1928</v>
      </c>
      <c r="F1667" s="238" t="s">
        <v>1847</v>
      </c>
      <c r="G1667" s="238" t="s">
        <v>143</v>
      </c>
      <c r="H1667" s="239" t="s">
        <v>3520</v>
      </c>
      <c r="I1667" s="217"/>
      <c r="J1667" s="217"/>
      <c r="K1667" s="217"/>
      <c r="L1667" s="217"/>
      <c r="M1667" s="217"/>
      <c r="N1667" s="217"/>
      <c r="O1667" s="217"/>
      <c r="P1667" s="217"/>
    </row>
    <row r="1668" spans="1:16" s="219" customFormat="1" ht="60" hidden="1" x14ac:dyDescent="0.25">
      <c r="A1668" s="214"/>
      <c r="B1668" s="237">
        <v>1</v>
      </c>
      <c r="C1668" s="237">
        <v>3</v>
      </c>
      <c r="D1668" s="238" t="s">
        <v>2022</v>
      </c>
      <c r="E1668" s="238" t="s">
        <v>1928</v>
      </c>
      <c r="F1668" s="238" t="s">
        <v>1847</v>
      </c>
      <c r="G1668" s="238" t="s">
        <v>146</v>
      </c>
      <c r="H1668" s="239" t="s">
        <v>3521</v>
      </c>
      <c r="I1668" s="217"/>
      <c r="J1668" s="217"/>
      <c r="K1668" s="217"/>
      <c r="L1668" s="217"/>
      <c r="M1668" s="217"/>
      <c r="N1668" s="217"/>
      <c r="O1668" s="217"/>
      <c r="P1668" s="217"/>
    </row>
    <row r="1669" spans="1:16" s="219" customFormat="1" ht="60" hidden="1" x14ac:dyDescent="0.25">
      <c r="A1669" s="214"/>
      <c r="B1669" s="237">
        <v>1</v>
      </c>
      <c r="C1669" s="237">
        <v>3</v>
      </c>
      <c r="D1669" s="238" t="s">
        <v>2022</v>
      </c>
      <c r="E1669" s="238" t="s">
        <v>1928</v>
      </c>
      <c r="F1669" s="238" t="s">
        <v>1847</v>
      </c>
      <c r="G1669" s="238" t="s">
        <v>150</v>
      </c>
      <c r="H1669" s="239" t="s">
        <v>3522</v>
      </c>
      <c r="I1669" s="217"/>
      <c r="J1669" s="217"/>
      <c r="K1669" s="217"/>
      <c r="L1669" s="217"/>
      <c r="M1669" s="217"/>
      <c r="N1669" s="217"/>
      <c r="O1669" s="217"/>
      <c r="P1669" s="217"/>
    </row>
    <row r="1670" spans="1:16" s="219" customFormat="1" ht="60" hidden="1" x14ac:dyDescent="0.25">
      <c r="A1670" s="214"/>
      <c r="B1670" s="237">
        <v>1</v>
      </c>
      <c r="C1670" s="237">
        <v>3</v>
      </c>
      <c r="D1670" s="238" t="s">
        <v>2022</v>
      </c>
      <c r="E1670" s="238" t="s">
        <v>1928</v>
      </c>
      <c r="F1670" s="238" t="s">
        <v>1847</v>
      </c>
      <c r="G1670" s="238" t="s">
        <v>153</v>
      </c>
      <c r="H1670" s="239" t="s">
        <v>3523</v>
      </c>
      <c r="I1670" s="217"/>
      <c r="J1670" s="217"/>
      <c r="K1670" s="217"/>
      <c r="L1670" s="217"/>
      <c r="M1670" s="217"/>
      <c r="N1670" s="217"/>
      <c r="O1670" s="217"/>
      <c r="P1670" s="217"/>
    </row>
    <row r="1671" spans="1:16" s="219" customFormat="1" ht="45" hidden="1" x14ac:dyDescent="0.25">
      <c r="A1671" s="214"/>
      <c r="B1671" s="237">
        <v>1</v>
      </c>
      <c r="C1671" s="237">
        <v>3</v>
      </c>
      <c r="D1671" s="238" t="s">
        <v>2022</v>
      </c>
      <c r="E1671" s="238" t="s">
        <v>1928</v>
      </c>
      <c r="F1671" s="238" t="s">
        <v>1847</v>
      </c>
      <c r="G1671" s="238" t="s">
        <v>156</v>
      </c>
      <c r="H1671" s="239" t="s">
        <v>3524</v>
      </c>
      <c r="I1671" s="217"/>
      <c r="J1671" s="217"/>
      <c r="K1671" s="217"/>
      <c r="L1671" s="217"/>
      <c r="M1671" s="217"/>
      <c r="N1671" s="217"/>
      <c r="O1671" s="217"/>
      <c r="P1671" s="217"/>
    </row>
    <row r="1672" spans="1:16" s="219" customFormat="1" ht="60" hidden="1" x14ac:dyDescent="0.25">
      <c r="A1672" s="214"/>
      <c r="B1672" s="237">
        <v>1</v>
      </c>
      <c r="C1672" s="237">
        <v>3</v>
      </c>
      <c r="D1672" s="238" t="s">
        <v>2022</v>
      </c>
      <c r="E1672" s="238" t="s">
        <v>1928</v>
      </c>
      <c r="F1672" s="238" t="s">
        <v>1847</v>
      </c>
      <c r="G1672" s="238" t="s">
        <v>159</v>
      </c>
      <c r="H1672" s="239" t="s">
        <v>3525</v>
      </c>
      <c r="I1672" s="217"/>
      <c r="J1672" s="217"/>
      <c r="K1672" s="217"/>
      <c r="L1672" s="217"/>
      <c r="M1672" s="217"/>
      <c r="N1672" s="217"/>
      <c r="O1672" s="217"/>
      <c r="P1672" s="217"/>
    </row>
    <row r="1673" spans="1:16" s="219" customFormat="1" ht="60" hidden="1" x14ac:dyDescent="0.25">
      <c r="A1673" s="214"/>
      <c r="B1673" s="237">
        <v>1</v>
      </c>
      <c r="C1673" s="237">
        <v>3</v>
      </c>
      <c r="D1673" s="238" t="s">
        <v>2022</v>
      </c>
      <c r="E1673" s="238" t="s">
        <v>1928</v>
      </c>
      <c r="F1673" s="238" t="s">
        <v>1847</v>
      </c>
      <c r="G1673" s="238" t="s">
        <v>162</v>
      </c>
      <c r="H1673" s="239" t="s">
        <v>3526</v>
      </c>
      <c r="I1673" s="217"/>
      <c r="J1673" s="217"/>
      <c r="K1673" s="217"/>
      <c r="L1673" s="217"/>
      <c r="M1673" s="217"/>
      <c r="N1673" s="217"/>
      <c r="O1673" s="217"/>
      <c r="P1673" s="217"/>
    </row>
    <row r="1674" spans="1:16" s="219" customFormat="1" ht="60" hidden="1" x14ac:dyDescent="0.25">
      <c r="A1674" s="214"/>
      <c r="B1674" s="237">
        <v>1</v>
      </c>
      <c r="C1674" s="237">
        <v>3</v>
      </c>
      <c r="D1674" s="238" t="s">
        <v>2022</v>
      </c>
      <c r="E1674" s="238" t="s">
        <v>1928</v>
      </c>
      <c r="F1674" s="238" t="s">
        <v>1847</v>
      </c>
      <c r="G1674" s="238" t="s">
        <v>312</v>
      </c>
      <c r="H1674" s="239" t="s">
        <v>3527</v>
      </c>
      <c r="I1674" s="217"/>
      <c r="J1674" s="217"/>
      <c r="K1674" s="217"/>
      <c r="L1674" s="217"/>
      <c r="M1674" s="217"/>
      <c r="N1674" s="217"/>
      <c r="O1674" s="217"/>
      <c r="P1674" s="217"/>
    </row>
    <row r="1675" spans="1:16" s="219" customFormat="1" ht="45" hidden="1" x14ac:dyDescent="0.25">
      <c r="A1675" s="214"/>
      <c r="B1675" s="237">
        <v>1</v>
      </c>
      <c r="C1675" s="237">
        <v>3</v>
      </c>
      <c r="D1675" s="238" t="s">
        <v>2022</v>
      </c>
      <c r="E1675" s="238" t="s">
        <v>1928</v>
      </c>
      <c r="F1675" s="238" t="s">
        <v>1847</v>
      </c>
      <c r="G1675" s="238" t="s">
        <v>313</v>
      </c>
      <c r="H1675" s="239" t="s">
        <v>3528</v>
      </c>
      <c r="I1675" s="217"/>
      <c r="J1675" s="217"/>
      <c r="K1675" s="217"/>
      <c r="L1675" s="217"/>
      <c r="M1675" s="217"/>
      <c r="N1675" s="217"/>
      <c r="O1675" s="217"/>
      <c r="P1675" s="217"/>
    </row>
    <row r="1676" spans="1:16" s="219" customFormat="1" ht="60" hidden="1" x14ac:dyDescent="0.25">
      <c r="A1676" s="214"/>
      <c r="B1676" s="237">
        <v>1</v>
      </c>
      <c r="C1676" s="237">
        <v>3</v>
      </c>
      <c r="D1676" s="238" t="s">
        <v>2022</v>
      </c>
      <c r="E1676" s="238" t="s">
        <v>1928</v>
      </c>
      <c r="F1676" s="238" t="s">
        <v>1847</v>
      </c>
      <c r="G1676" s="238" t="s">
        <v>559</v>
      </c>
      <c r="H1676" s="239" t="s">
        <v>3529</v>
      </c>
      <c r="I1676" s="217"/>
      <c r="J1676" s="217"/>
      <c r="K1676" s="217"/>
      <c r="L1676" s="217"/>
      <c r="M1676" s="217"/>
      <c r="N1676" s="217"/>
      <c r="O1676" s="217"/>
      <c r="P1676" s="217"/>
    </row>
    <row r="1677" spans="1:16" s="219" customFormat="1" ht="45" hidden="1" x14ac:dyDescent="0.25">
      <c r="A1677" s="214"/>
      <c r="B1677" s="237">
        <v>1</v>
      </c>
      <c r="C1677" s="237">
        <v>3</v>
      </c>
      <c r="D1677" s="238" t="s">
        <v>2022</v>
      </c>
      <c r="E1677" s="238" t="s">
        <v>1928</v>
      </c>
      <c r="F1677" s="238" t="s">
        <v>1847</v>
      </c>
      <c r="G1677" s="238" t="s">
        <v>561</v>
      </c>
      <c r="H1677" s="239" t="s">
        <v>3530</v>
      </c>
      <c r="I1677" s="217"/>
      <c r="J1677" s="217"/>
      <c r="K1677" s="217"/>
      <c r="L1677" s="217"/>
      <c r="M1677" s="217"/>
      <c r="N1677" s="217"/>
      <c r="O1677" s="217"/>
      <c r="P1677" s="217"/>
    </row>
    <row r="1678" spans="1:16" s="219" customFormat="1" ht="60" hidden="1" x14ac:dyDescent="0.25">
      <c r="A1678" s="214"/>
      <c r="B1678" s="237">
        <v>1</v>
      </c>
      <c r="C1678" s="237">
        <v>3</v>
      </c>
      <c r="D1678" s="238" t="s">
        <v>2022</v>
      </c>
      <c r="E1678" s="238" t="s">
        <v>1928</v>
      </c>
      <c r="F1678" s="238" t="s">
        <v>1847</v>
      </c>
      <c r="G1678" s="238" t="s">
        <v>563</v>
      </c>
      <c r="H1678" s="239" t="s">
        <v>3531</v>
      </c>
      <c r="I1678" s="217"/>
      <c r="J1678" s="217"/>
      <c r="K1678" s="217"/>
      <c r="L1678" s="217"/>
      <c r="M1678" s="217"/>
      <c r="N1678" s="217"/>
      <c r="O1678" s="217"/>
      <c r="P1678" s="217"/>
    </row>
    <row r="1679" spans="1:16" s="219" customFormat="1" ht="60" hidden="1" x14ac:dyDescent="0.25">
      <c r="A1679" s="214"/>
      <c r="B1679" s="237">
        <v>1</v>
      </c>
      <c r="C1679" s="237">
        <v>3</v>
      </c>
      <c r="D1679" s="238" t="s">
        <v>2022</v>
      </c>
      <c r="E1679" s="238" t="s">
        <v>1928</v>
      </c>
      <c r="F1679" s="238" t="s">
        <v>1847</v>
      </c>
      <c r="G1679" s="238" t="s">
        <v>227</v>
      </c>
      <c r="H1679" s="239" t="s">
        <v>3532</v>
      </c>
      <c r="I1679" s="217"/>
      <c r="J1679" s="217"/>
      <c r="K1679" s="217"/>
      <c r="L1679" s="217"/>
      <c r="M1679" s="217"/>
      <c r="N1679" s="217"/>
      <c r="O1679" s="217"/>
      <c r="P1679" s="217"/>
    </row>
    <row r="1680" spans="1:16" s="219" customFormat="1" ht="60" hidden="1" x14ac:dyDescent="0.25">
      <c r="A1680" s="214"/>
      <c r="B1680" s="237">
        <v>1</v>
      </c>
      <c r="C1680" s="237">
        <v>3</v>
      </c>
      <c r="D1680" s="238" t="s">
        <v>2022</v>
      </c>
      <c r="E1680" s="238" t="s">
        <v>1928</v>
      </c>
      <c r="F1680" s="238" t="s">
        <v>1847</v>
      </c>
      <c r="G1680" s="238" t="s">
        <v>230</v>
      </c>
      <c r="H1680" s="239" t="s">
        <v>3533</v>
      </c>
      <c r="I1680" s="217"/>
      <c r="J1680" s="217"/>
      <c r="K1680" s="217"/>
      <c r="L1680" s="217"/>
      <c r="M1680" s="217"/>
      <c r="N1680" s="217"/>
      <c r="O1680" s="217"/>
      <c r="P1680" s="217"/>
    </row>
    <row r="1681" spans="1:16" s="219" customFormat="1" ht="60" hidden="1" x14ac:dyDescent="0.25">
      <c r="A1681" s="214"/>
      <c r="B1681" s="237">
        <v>1</v>
      </c>
      <c r="C1681" s="237">
        <v>3</v>
      </c>
      <c r="D1681" s="238" t="s">
        <v>2022</v>
      </c>
      <c r="E1681" s="238" t="s">
        <v>1928</v>
      </c>
      <c r="F1681" s="238" t="s">
        <v>1847</v>
      </c>
      <c r="G1681" s="238" t="s">
        <v>232</v>
      </c>
      <c r="H1681" s="239" t="s">
        <v>3534</v>
      </c>
      <c r="I1681" s="217"/>
      <c r="J1681" s="217"/>
      <c r="K1681" s="217"/>
      <c r="L1681" s="217"/>
      <c r="M1681" s="217"/>
      <c r="N1681" s="217"/>
      <c r="O1681" s="217"/>
      <c r="P1681" s="217"/>
    </row>
    <row r="1682" spans="1:16" s="219" customFormat="1" ht="45" hidden="1" x14ac:dyDescent="0.25">
      <c r="A1682" s="214"/>
      <c r="B1682" s="237">
        <v>1</v>
      </c>
      <c r="C1682" s="237">
        <v>3</v>
      </c>
      <c r="D1682" s="238" t="s">
        <v>2022</v>
      </c>
      <c r="E1682" s="238" t="s">
        <v>1928</v>
      </c>
      <c r="F1682" s="238" t="s">
        <v>1847</v>
      </c>
      <c r="G1682" s="238" t="s">
        <v>234</v>
      </c>
      <c r="H1682" s="239" t="s">
        <v>3535</v>
      </c>
      <c r="I1682" s="217"/>
      <c r="J1682" s="217"/>
      <c r="K1682" s="217"/>
      <c r="L1682" s="217"/>
      <c r="M1682" s="217"/>
      <c r="N1682" s="217"/>
      <c r="O1682" s="217"/>
      <c r="P1682" s="217"/>
    </row>
    <row r="1683" spans="1:16" s="219" customFormat="1" ht="45" hidden="1" x14ac:dyDescent="0.25">
      <c r="A1683" s="214"/>
      <c r="B1683" s="237">
        <v>1</v>
      </c>
      <c r="C1683" s="237">
        <v>3</v>
      </c>
      <c r="D1683" s="238" t="s">
        <v>2022</v>
      </c>
      <c r="E1683" s="238" t="s">
        <v>1928</v>
      </c>
      <c r="F1683" s="238" t="s">
        <v>1847</v>
      </c>
      <c r="G1683" s="238" t="s">
        <v>236</v>
      </c>
      <c r="H1683" s="239" t="s">
        <v>3536</v>
      </c>
      <c r="I1683" s="217"/>
      <c r="J1683" s="217"/>
      <c r="K1683" s="217"/>
      <c r="L1683" s="217"/>
      <c r="M1683" s="217"/>
      <c r="N1683" s="217"/>
      <c r="O1683" s="217"/>
      <c r="P1683" s="217"/>
    </row>
    <row r="1684" spans="1:16" s="219" customFormat="1" ht="45" hidden="1" x14ac:dyDescent="0.25">
      <c r="A1684" s="214"/>
      <c r="B1684" s="237">
        <v>1</v>
      </c>
      <c r="C1684" s="237">
        <v>3</v>
      </c>
      <c r="D1684" s="238" t="s">
        <v>2022</v>
      </c>
      <c r="E1684" s="238" t="s">
        <v>1928</v>
      </c>
      <c r="F1684" s="238" t="s">
        <v>1847</v>
      </c>
      <c r="G1684" s="238" t="s">
        <v>238</v>
      </c>
      <c r="H1684" s="239" t="s">
        <v>3537</v>
      </c>
      <c r="I1684" s="217"/>
      <c r="J1684" s="217"/>
      <c r="K1684" s="217"/>
      <c r="L1684" s="217"/>
      <c r="M1684" s="217"/>
      <c r="N1684" s="217"/>
      <c r="O1684" s="217"/>
      <c r="P1684" s="217"/>
    </row>
    <row r="1685" spans="1:16" s="219" customFormat="1" ht="45" hidden="1" x14ac:dyDescent="0.25">
      <c r="A1685" s="214"/>
      <c r="B1685" s="237">
        <v>1</v>
      </c>
      <c r="C1685" s="237">
        <v>3</v>
      </c>
      <c r="D1685" s="238" t="s">
        <v>2022</v>
      </c>
      <c r="E1685" s="238" t="s">
        <v>1928</v>
      </c>
      <c r="F1685" s="238" t="s">
        <v>1847</v>
      </c>
      <c r="G1685" s="238" t="s">
        <v>240</v>
      </c>
      <c r="H1685" s="239" t="s">
        <v>3538</v>
      </c>
      <c r="I1685" s="217"/>
      <c r="J1685" s="217"/>
      <c r="K1685" s="217"/>
      <c r="L1685" s="217"/>
      <c r="M1685" s="217"/>
      <c r="N1685" s="217"/>
      <c r="O1685" s="217"/>
      <c r="P1685" s="217"/>
    </row>
    <row r="1686" spans="1:16" s="219" customFormat="1" ht="45" hidden="1" x14ac:dyDescent="0.25">
      <c r="A1686" s="214"/>
      <c r="B1686" s="237">
        <v>1</v>
      </c>
      <c r="C1686" s="237">
        <v>3</v>
      </c>
      <c r="D1686" s="238" t="s">
        <v>2022</v>
      </c>
      <c r="E1686" s="238" t="s">
        <v>1928</v>
      </c>
      <c r="F1686" s="238" t="s">
        <v>1847</v>
      </c>
      <c r="G1686" s="238" t="s">
        <v>242</v>
      </c>
      <c r="H1686" s="239" t="s">
        <v>3539</v>
      </c>
      <c r="I1686" s="217"/>
      <c r="J1686" s="217"/>
      <c r="K1686" s="217"/>
      <c r="L1686" s="217"/>
      <c r="M1686" s="217"/>
      <c r="N1686" s="217"/>
      <c r="O1686" s="217"/>
      <c r="P1686" s="217"/>
    </row>
    <row r="1687" spans="1:16" s="219" customFormat="1" ht="45" hidden="1" x14ac:dyDescent="0.25">
      <c r="A1687" s="214"/>
      <c r="B1687" s="237">
        <v>1</v>
      </c>
      <c r="C1687" s="237">
        <v>3</v>
      </c>
      <c r="D1687" s="238" t="s">
        <v>2022</v>
      </c>
      <c r="E1687" s="238" t="s">
        <v>1928</v>
      </c>
      <c r="F1687" s="238" t="s">
        <v>1847</v>
      </c>
      <c r="G1687" s="238" t="s">
        <v>244</v>
      </c>
      <c r="H1687" s="239" t="s">
        <v>3540</v>
      </c>
      <c r="I1687" s="217"/>
      <c r="J1687" s="217"/>
      <c r="K1687" s="217"/>
      <c r="L1687" s="217"/>
      <c r="M1687" s="217"/>
      <c r="N1687" s="217"/>
      <c r="O1687" s="217"/>
      <c r="P1687" s="217"/>
    </row>
    <row r="1688" spans="1:16" s="219" customFormat="1" ht="45" hidden="1" x14ac:dyDescent="0.25">
      <c r="A1688" s="214"/>
      <c r="B1688" s="237">
        <v>1</v>
      </c>
      <c r="C1688" s="237">
        <v>3</v>
      </c>
      <c r="D1688" s="238" t="s">
        <v>2022</v>
      </c>
      <c r="E1688" s="238" t="s">
        <v>1928</v>
      </c>
      <c r="F1688" s="238" t="s">
        <v>1847</v>
      </c>
      <c r="G1688" s="238" t="s">
        <v>246</v>
      </c>
      <c r="H1688" s="239" t="s">
        <v>3541</v>
      </c>
      <c r="I1688" s="217"/>
      <c r="J1688" s="217"/>
      <c r="K1688" s="217"/>
      <c r="L1688" s="217"/>
      <c r="M1688" s="217"/>
      <c r="N1688" s="217"/>
      <c r="O1688" s="217"/>
      <c r="P1688" s="217"/>
    </row>
    <row r="1689" spans="1:16" s="219" customFormat="1" ht="30" hidden="1" x14ac:dyDescent="0.25">
      <c r="A1689" s="214"/>
      <c r="B1689" s="237">
        <v>1</v>
      </c>
      <c r="C1689" s="237">
        <v>3</v>
      </c>
      <c r="D1689" s="238" t="s">
        <v>2022</v>
      </c>
      <c r="E1689" s="238" t="s">
        <v>1928</v>
      </c>
      <c r="F1689" s="238" t="s">
        <v>1847</v>
      </c>
      <c r="G1689" s="238" t="s">
        <v>407</v>
      </c>
      <c r="H1689" s="239" t="s">
        <v>3542</v>
      </c>
      <c r="I1689" s="217"/>
      <c r="J1689" s="217"/>
      <c r="K1689" s="217"/>
      <c r="L1689" s="217"/>
      <c r="M1689" s="217"/>
      <c r="N1689" s="217"/>
      <c r="O1689" s="217"/>
      <c r="P1689" s="217"/>
    </row>
    <row r="1690" spans="1:16" s="219" customFormat="1" ht="45" hidden="1" x14ac:dyDescent="0.25">
      <c r="A1690" s="214"/>
      <c r="B1690" s="237">
        <v>1</v>
      </c>
      <c r="C1690" s="237">
        <v>3</v>
      </c>
      <c r="D1690" s="238" t="s">
        <v>2022</v>
      </c>
      <c r="E1690" s="238" t="s">
        <v>1928</v>
      </c>
      <c r="F1690" s="238" t="s">
        <v>1847</v>
      </c>
      <c r="G1690" s="238" t="s">
        <v>408</v>
      </c>
      <c r="H1690" s="239" t="s">
        <v>3543</v>
      </c>
      <c r="I1690" s="217"/>
      <c r="J1690" s="217"/>
      <c r="K1690" s="217"/>
      <c r="L1690" s="217"/>
      <c r="M1690" s="217"/>
      <c r="N1690" s="217"/>
      <c r="O1690" s="217"/>
      <c r="P1690" s="217"/>
    </row>
    <row r="1691" spans="1:16" s="219" customFormat="1" ht="45" hidden="1" x14ac:dyDescent="0.25">
      <c r="A1691" s="214"/>
      <c r="B1691" s="237">
        <v>1</v>
      </c>
      <c r="C1691" s="237">
        <v>3</v>
      </c>
      <c r="D1691" s="238" t="s">
        <v>2022</v>
      </c>
      <c r="E1691" s="238" t="s">
        <v>1928</v>
      </c>
      <c r="F1691" s="238" t="s">
        <v>1847</v>
      </c>
      <c r="G1691" s="238" t="s">
        <v>409</v>
      </c>
      <c r="H1691" s="239" t="s">
        <v>3544</v>
      </c>
      <c r="I1691" s="217"/>
      <c r="J1691" s="217"/>
      <c r="K1691" s="217"/>
      <c r="L1691" s="217"/>
      <c r="M1691" s="217"/>
      <c r="N1691" s="217"/>
      <c r="O1691" s="217"/>
      <c r="P1691" s="217"/>
    </row>
    <row r="1692" spans="1:16" s="219" customFormat="1" ht="30" hidden="1" x14ac:dyDescent="0.25">
      <c r="A1692" s="214"/>
      <c r="B1692" s="237">
        <v>1</v>
      </c>
      <c r="C1692" s="237">
        <v>3</v>
      </c>
      <c r="D1692" s="238" t="s">
        <v>2022</v>
      </c>
      <c r="E1692" s="238" t="s">
        <v>1928</v>
      </c>
      <c r="F1692" s="238" t="s">
        <v>1847</v>
      </c>
      <c r="G1692" s="238" t="s">
        <v>788</v>
      </c>
      <c r="H1692" s="239" t="s">
        <v>3545</v>
      </c>
      <c r="I1692" s="217"/>
      <c r="J1692" s="217"/>
      <c r="K1692" s="217"/>
      <c r="L1692" s="217"/>
      <c r="M1692" s="217"/>
      <c r="N1692" s="217"/>
      <c r="O1692" s="217"/>
      <c r="P1692" s="217"/>
    </row>
    <row r="1693" spans="1:16" s="219" customFormat="1" ht="45" hidden="1" x14ac:dyDescent="0.25">
      <c r="A1693" s="214"/>
      <c r="B1693" s="237">
        <v>1</v>
      </c>
      <c r="C1693" s="237">
        <v>3</v>
      </c>
      <c r="D1693" s="238" t="s">
        <v>2022</v>
      </c>
      <c r="E1693" s="238" t="s">
        <v>1928</v>
      </c>
      <c r="F1693" s="238" t="s">
        <v>1847</v>
      </c>
      <c r="G1693" s="238" t="s">
        <v>1017</v>
      </c>
      <c r="H1693" s="239" t="s">
        <v>3546</v>
      </c>
      <c r="I1693" s="217"/>
      <c r="J1693" s="217"/>
      <c r="K1693" s="217"/>
      <c r="L1693" s="217"/>
      <c r="M1693" s="217"/>
      <c r="N1693" s="217"/>
      <c r="O1693" s="217"/>
      <c r="P1693" s="217"/>
    </row>
    <row r="1694" spans="1:16" s="219" customFormat="1" ht="45" hidden="1" x14ac:dyDescent="0.25">
      <c r="A1694" s="214"/>
      <c r="B1694" s="237">
        <v>1</v>
      </c>
      <c r="C1694" s="237">
        <v>3</v>
      </c>
      <c r="D1694" s="238" t="s">
        <v>2022</v>
      </c>
      <c r="E1694" s="238" t="s">
        <v>1928</v>
      </c>
      <c r="F1694" s="238" t="s">
        <v>1847</v>
      </c>
      <c r="G1694" s="238" t="s">
        <v>411</v>
      </c>
      <c r="H1694" s="239" t="s">
        <v>3547</v>
      </c>
      <c r="I1694" s="217"/>
      <c r="J1694" s="217"/>
      <c r="K1694" s="217"/>
      <c r="L1694" s="217"/>
      <c r="M1694" s="217"/>
      <c r="N1694" s="217"/>
      <c r="O1694" s="217"/>
      <c r="P1694" s="217"/>
    </row>
    <row r="1695" spans="1:16" s="219" customFormat="1" ht="45" hidden="1" x14ac:dyDescent="0.25">
      <c r="A1695" s="214"/>
      <c r="B1695" s="237">
        <v>1</v>
      </c>
      <c r="C1695" s="237">
        <v>3</v>
      </c>
      <c r="D1695" s="238" t="s">
        <v>2022</v>
      </c>
      <c r="E1695" s="238" t="s">
        <v>1928</v>
      </c>
      <c r="F1695" s="238" t="s">
        <v>1847</v>
      </c>
      <c r="G1695" s="238" t="s">
        <v>247</v>
      </c>
      <c r="H1695" s="239" t="s">
        <v>3548</v>
      </c>
      <c r="I1695" s="217"/>
      <c r="J1695" s="217"/>
      <c r="K1695" s="217"/>
      <c r="L1695" s="217"/>
      <c r="M1695" s="217"/>
      <c r="N1695" s="217"/>
      <c r="O1695" s="217"/>
      <c r="P1695" s="217"/>
    </row>
    <row r="1696" spans="1:16" s="219" customFormat="1" ht="45" hidden="1" x14ac:dyDescent="0.25">
      <c r="A1696" s="214"/>
      <c r="B1696" s="237">
        <v>1</v>
      </c>
      <c r="C1696" s="237">
        <v>3</v>
      </c>
      <c r="D1696" s="238" t="s">
        <v>2022</v>
      </c>
      <c r="E1696" s="238" t="s">
        <v>1928</v>
      </c>
      <c r="F1696" s="238" t="s">
        <v>1847</v>
      </c>
      <c r="G1696" s="238" t="s">
        <v>1019</v>
      </c>
      <c r="H1696" s="239" t="s">
        <v>3549</v>
      </c>
      <c r="I1696" s="217"/>
      <c r="J1696" s="217"/>
      <c r="K1696" s="217"/>
      <c r="L1696" s="217"/>
      <c r="M1696" s="217"/>
      <c r="N1696" s="217"/>
      <c r="O1696" s="217"/>
      <c r="P1696" s="217"/>
    </row>
    <row r="1697" spans="1:16" s="219" customFormat="1" ht="30" hidden="1" x14ac:dyDescent="0.25">
      <c r="A1697" s="214"/>
      <c r="B1697" s="237">
        <v>1</v>
      </c>
      <c r="C1697" s="237">
        <v>3</v>
      </c>
      <c r="D1697" s="238" t="s">
        <v>2022</v>
      </c>
      <c r="E1697" s="238" t="s">
        <v>1928</v>
      </c>
      <c r="F1697" s="238" t="s">
        <v>1847</v>
      </c>
      <c r="G1697" s="238" t="s">
        <v>1022</v>
      </c>
      <c r="H1697" s="239" t="s">
        <v>3550</v>
      </c>
      <c r="I1697" s="217"/>
      <c r="J1697" s="217"/>
      <c r="K1697" s="217"/>
      <c r="L1697" s="217"/>
      <c r="M1697" s="217"/>
      <c r="N1697" s="217"/>
      <c r="O1697" s="217"/>
      <c r="P1697" s="217"/>
    </row>
    <row r="1698" spans="1:16" s="213" customFormat="1" ht="30" hidden="1" x14ac:dyDescent="0.25">
      <c r="A1698" s="208" t="s">
        <v>263</v>
      </c>
      <c r="B1698" s="234">
        <v>1</v>
      </c>
      <c r="C1698" s="234">
        <v>3</v>
      </c>
      <c r="D1698" s="235" t="s">
        <v>2022</v>
      </c>
      <c r="E1698" s="235" t="s">
        <v>1928</v>
      </c>
      <c r="F1698" s="235" t="s">
        <v>1928</v>
      </c>
      <c r="G1698" s="234"/>
      <c r="H1698" s="236" t="s">
        <v>3551</v>
      </c>
      <c r="I1698" s="211">
        <f>SUM(I1699:I1716)</f>
        <v>0</v>
      </c>
      <c r="J1698" s="211">
        <f t="shared" ref="J1698:P1698" si="182">SUM(J1699:J1716)</f>
        <v>0</v>
      </c>
      <c r="K1698" s="211">
        <f t="shared" si="182"/>
        <v>0</v>
      </c>
      <c r="L1698" s="211">
        <f t="shared" si="182"/>
        <v>0</v>
      </c>
      <c r="M1698" s="211">
        <f t="shared" si="182"/>
        <v>0</v>
      </c>
      <c r="N1698" s="211">
        <f t="shared" si="182"/>
        <v>0</v>
      </c>
      <c r="O1698" s="211">
        <f t="shared" si="182"/>
        <v>0</v>
      </c>
      <c r="P1698" s="211">
        <f t="shared" si="182"/>
        <v>0</v>
      </c>
    </row>
    <row r="1699" spans="1:16" s="219" customFormat="1" ht="45" hidden="1" x14ac:dyDescent="0.25">
      <c r="A1699" s="214"/>
      <c r="B1699" s="237">
        <v>1</v>
      </c>
      <c r="C1699" s="237">
        <v>3</v>
      </c>
      <c r="D1699" s="238" t="s">
        <v>2022</v>
      </c>
      <c r="E1699" s="238" t="s">
        <v>1928</v>
      </c>
      <c r="F1699" s="238" t="s">
        <v>1928</v>
      </c>
      <c r="G1699" s="238" t="s">
        <v>58</v>
      </c>
      <c r="H1699" s="239" t="s">
        <v>3552</v>
      </c>
      <c r="I1699" s="217"/>
      <c r="J1699" s="217"/>
      <c r="K1699" s="217"/>
      <c r="L1699" s="217"/>
      <c r="M1699" s="217"/>
      <c r="N1699" s="217"/>
      <c r="O1699" s="217"/>
      <c r="P1699" s="217"/>
    </row>
    <row r="1700" spans="1:16" s="219" customFormat="1" ht="45" hidden="1" x14ac:dyDescent="0.25">
      <c r="A1700" s="214"/>
      <c r="B1700" s="237">
        <v>1</v>
      </c>
      <c r="C1700" s="237">
        <v>3</v>
      </c>
      <c r="D1700" s="238" t="s">
        <v>2022</v>
      </c>
      <c r="E1700" s="238" t="s">
        <v>1928</v>
      </c>
      <c r="F1700" s="238" t="s">
        <v>1928</v>
      </c>
      <c r="G1700" s="238" t="s">
        <v>75</v>
      </c>
      <c r="H1700" s="239" t="s">
        <v>3553</v>
      </c>
      <c r="I1700" s="217"/>
      <c r="J1700" s="217"/>
      <c r="K1700" s="217"/>
      <c r="L1700" s="217"/>
      <c r="M1700" s="217"/>
      <c r="N1700" s="217"/>
      <c r="O1700" s="217"/>
      <c r="P1700" s="217"/>
    </row>
    <row r="1701" spans="1:16" s="219" customFormat="1" ht="45" hidden="1" x14ac:dyDescent="0.25">
      <c r="A1701" s="214"/>
      <c r="B1701" s="237">
        <v>1</v>
      </c>
      <c r="C1701" s="237">
        <v>3</v>
      </c>
      <c r="D1701" s="238" t="s">
        <v>2022</v>
      </c>
      <c r="E1701" s="238" t="s">
        <v>1928</v>
      </c>
      <c r="F1701" s="238" t="s">
        <v>1928</v>
      </c>
      <c r="G1701" s="238" t="s">
        <v>79</v>
      </c>
      <c r="H1701" s="239" t="s">
        <v>3554</v>
      </c>
      <c r="I1701" s="217"/>
      <c r="J1701" s="217"/>
      <c r="K1701" s="217"/>
      <c r="L1701" s="217"/>
      <c r="M1701" s="217"/>
      <c r="N1701" s="217"/>
      <c r="O1701" s="217"/>
      <c r="P1701" s="217"/>
    </row>
    <row r="1702" spans="1:16" s="219" customFormat="1" ht="45" hidden="1" x14ac:dyDescent="0.25">
      <c r="A1702" s="214"/>
      <c r="B1702" s="237">
        <v>1</v>
      </c>
      <c r="C1702" s="237">
        <v>3</v>
      </c>
      <c r="D1702" s="238" t="s">
        <v>2022</v>
      </c>
      <c r="E1702" s="238" t="s">
        <v>1928</v>
      </c>
      <c r="F1702" s="238" t="s">
        <v>1928</v>
      </c>
      <c r="G1702" s="238" t="s">
        <v>84</v>
      </c>
      <c r="H1702" s="239" t="s">
        <v>3555</v>
      </c>
      <c r="I1702" s="217"/>
      <c r="J1702" s="217"/>
      <c r="K1702" s="217"/>
      <c r="L1702" s="217"/>
      <c r="M1702" s="217"/>
      <c r="N1702" s="217"/>
      <c r="O1702" s="217"/>
      <c r="P1702" s="217"/>
    </row>
    <row r="1703" spans="1:16" s="219" customFormat="1" ht="45" hidden="1" x14ac:dyDescent="0.25">
      <c r="A1703" s="214"/>
      <c r="B1703" s="237">
        <v>1</v>
      </c>
      <c r="C1703" s="237">
        <v>3</v>
      </c>
      <c r="D1703" s="238" t="s">
        <v>2022</v>
      </c>
      <c r="E1703" s="238" t="s">
        <v>1928</v>
      </c>
      <c r="F1703" s="238" t="s">
        <v>1928</v>
      </c>
      <c r="G1703" s="238" t="s">
        <v>88</v>
      </c>
      <c r="H1703" s="239" t="s">
        <v>3556</v>
      </c>
      <c r="I1703" s="217"/>
      <c r="J1703" s="217"/>
      <c r="K1703" s="217"/>
      <c r="L1703" s="217"/>
      <c r="M1703" s="217"/>
      <c r="N1703" s="217"/>
      <c r="O1703" s="217"/>
      <c r="P1703" s="217"/>
    </row>
    <row r="1704" spans="1:16" s="219" customFormat="1" ht="30" hidden="1" x14ac:dyDescent="0.25">
      <c r="A1704" s="214"/>
      <c r="B1704" s="237">
        <v>1</v>
      </c>
      <c r="C1704" s="237">
        <v>3</v>
      </c>
      <c r="D1704" s="238" t="s">
        <v>2022</v>
      </c>
      <c r="E1704" s="238" t="s">
        <v>1928</v>
      </c>
      <c r="F1704" s="238" t="s">
        <v>1928</v>
      </c>
      <c r="G1704" s="238" t="s">
        <v>92</v>
      </c>
      <c r="H1704" s="239" t="s">
        <v>3557</v>
      </c>
      <c r="I1704" s="217"/>
      <c r="J1704" s="217"/>
      <c r="K1704" s="217"/>
      <c r="L1704" s="217"/>
      <c r="M1704" s="217"/>
      <c r="N1704" s="217"/>
      <c r="O1704" s="217"/>
      <c r="P1704" s="217"/>
    </row>
    <row r="1705" spans="1:16" s="219" customFormat="1" ht="30" hidden="1" x14ac:dyDescent="0.25">
      <c r="A1705" s="214"/>
      <c r="B1705" s="237">
        <v>1</v>
      </c>
      <c r="C1705" s="237">
        <v>3</v>
      </c>
      <c r="D1705" s="238" t="s">
        <v>2022</v>
      </c>
      <c r="E1705" s="238" t="s">
        <v>1928</v>
      </c>
      <c r="F1705" s="238" t="s">
        <v>1928</v>
      </c>
      <c r="G1705" s="238" t="s">
        <v>96</v>
      </c>
      <c r="H1705" s="239" t="s">
        <v>3558</v>
      </c>
      <c r="I1705" s="217"/>
      <c r="J1705" s="217"/>
      <c r="K1705" s="217"/>
      <c r="L1705" s="217"/>
      <c r="M1705" s="217"/>
      <c r="N1705" s="217"/>
      <c r="O1705" s="217"/>
      <c r="P1705" s="217"/>
    </row>
    <row r="1706" spans="1:16" s="219" customFormat="1" ht="45" hidden="1" x14ac:dyDescent="0.25">
      <c r="A1706" s="214"/>
      <c r="B1706" s="237">
        <v>1</v>
      </c>
      <c r="C1706" s="237">
        <v>3</v>
      </c>
      <c r="D1706" s="238" t="s">
        <v>2022</v>
      </c>
      <c r="E1706" s="238" t="s">
        <v>1928</v>
      </c>
      <c r="F1706" s="238" t="s">
        <v>1928</v>
      </c>
      <c r="G1706" s="238" t="s">
        <v>100</v>
      </c>
      <c r="H1706" s="239" t="s">
        <v>3559</v>
      </c>
      <c r="I1706" s="217"/>
      <c r="J1706" s="217"/>
      <c r="K1706" s="217"/>
      <c r="L1706" s="217"/>
      <c r="M1706" s="217"/>
      <c r="N1706" s="217"/>
      <c r="O1706" s="217"/>
      <c r="P1706" s="217"/>
    </row>
    <row r="1707" spans="1:16" s="219" customFormat="1" ht="45" hidden="1" x14ac:dyDescent="0.25">
      <c r="A1707" s="214"/>
      <c r="B1707" s="237">
        <v>1</v>
      </c>
      <c r="C1707" s="237">
        <v>3</v>
      </c>
      <c r="D1707" s="238" t="s">
        <v>2022</v>
      </c>
      <c r="E1707" s="238" t="s">
        <v>1928</v>
      </c>
      <c r="F1707" s="238" t="s">
        <v>1928</v>
      </c>
      <c r="G1707" s="238" t="s">
        <v>105</v>
      </c>
      <c r="H1707" s="239" t="s">
        <v>3560</v>
      </c>
      <c r="I1707" s="217"/>
      <c r="J1707" s="217"/>
      <c r="K1707" s="217"/>
      <c r="L1707" s="217"/>
      <c r="M1707" s="217"/>
      <c r="N1707" s="217"/>
      <c r="O1707" s="217"/>
      <c r="P1707" s="217"/>
    </row>
    <row r="1708" spans="1:16" s="219" customFormat="1" ht="45" hidden="1" x14ac:dyDescent="0.25">
      <c r="A1708" s="214"/>
      <c r="B1708" s="237">
        <v>1</v>
      </c>
      <c r="C1708" s="237">
        <v>3</v>
      </c>
      <c r="D1708" s="238" t="s">
        <v>2022</v>
      </c>
      <c r="E1708" s="238" t="s">
        <v>1928</v>
      </c>
      <c r="F1708" s="238" t="s">
        <v>1928</v>
      </c>
      <c r="G1708" s="238" t="s">
        <v>108</v>
      </c>
      <c r="H1708" s="239" t="s">
        <v>3561</v>
      </c>
      <c r="I1708" s="217"/>
      <c r="J1708" s="217"/>
      <c r="K1708" s="217"/>
      <c r="L1708" s="217"/>
      <c r="M1708" s="217"/>
      <c r="N1708" s="217"/>
      <c r="O1708" s="217"/>
      <c r="P1708" s="217"/>
    </row>
    <row r="1709" spans="1:16" s="219" customFormat="1" ht="45" hidden="1" x14ac:dyDescent="0.25">
      <c r="A1709" s="214"/>
      <c r="B1709" s="237">
        <v>1</v>
      </c>
      <c r="C1709" s="237">
        <v>3</v>
      </c>
      <c r="D1709" s="238" t="s">
        <v>2022</v>
      </c>
      <c r="E1709" s="238" t="s">
        <v>1928</v>
      </c>
      <c r="F1709" s="238" t="s">
        <v>1928</v>
      </c>
      <c r="G1709" s="238" t="s">
        <v>135</v>
      </c>
      <c r="H1709" s="239" t="s">
        <v>3562</v>
      </c>
      <c r="I1709" s="217"/>
      <c r="J1709" s="217"/>
      <c r="K1709" s="217"/>
      <c r="L1709" s="217"/>
      <c r="M1709" s="217"/>
      <c r="N1709" s="217"/>
      <c r="O1709" s="217"/>
      <c r="P1709" s="217"/>
    </row>
    <row r="1710" spans="1:16" s="219" customFormat="1" ht="45" hidden="1" x14ac:dyDescent="0.25">
      <c r="A1710" s="214"/>
      <c r="B1710" s="237">
        <v>1</v>
      </c>
      <c r="C1710" s="237">
        <v>3</v>
      </c>
      <c r="D1710" s="238" t="s">
        <v>2022</v>
      </c>
      <c r="E1710" s="238" t="s">
        <v>1928</v>
      </c>
      <c r="F1710" s="238" t="s">
        <v>1928</v>
      </c>
      <c r="G1710" s="238" t="s">
        <v>138</v>
      </c>
      <c r="H1710" s="239" t="s">
        <v>3563</v>
      </c>
      <c r="I1710" s="217"/>
      <c r="J1710" s="217"/>
      <c r="K1710" s="217"/>
      <c r="L1710" s="217"/>
      <c r="M1710" s="217"/>
      <c r="N1710" s="217"/>
      <c r="O1710" s="217"/>
      <c r="P1710" s="217"/>
    </row>
    <row r="1711" spans="1:16" s="219" customFormat="1" ht="45" hidden="1" x14ac:dyDescent="0.25">
      <c r="A1711" s="214"/>
      <c r="B1711" s="237">
        <v>1</v>
      </c>
      <c r="C1711" s="237">
        <v>3</v>
      </c>
      <c r="D1711" s="238" t="s">
        <v>2022</v>
      </c>
      <c r="E1711" s="238" t="s">
        <v>1928</v>
      </c>
      <c r="F1711" s="238" t="s">
        <v>1928</v>
      </c>
      <c r="G1711" s="238" t="s">
        <v>140</v>
      </c>
      <c r="H1711" s="239" t="s">
        <v>3564</v>
      </c>
      <c r="I1711" s="217"/>
      <c r="J1711" s="217"/>
      <c r="K1711" s="217"/>
      <c r="L1711" s="217"/>
      <c r="M1711" s="217"/>
      <c r="N1711" s="217"/>
      <c r="O1711" s="217"/>
      <c r="P1711" s="217"/>
    </row>
    <row r="1712" spans="1:16" s="219" customFormat="1" ht="45" hidden="1" x14ac:dyDescent="0.25">
      <c r="A1712" s="214"/>
      <c r="B1712" s="237">
        <v>1</v>
      </c>
      <c r="C1712" s="237">
        <v>3</v>
      </c>
      <c r="D1712" s="238" t="s">
        <v>2022</v>
      </c>
      <c r="E1712" s="238" t="s">
        <v>1928</v>
      </c>
      <c r="F1712" s="238" t="s">
        <v>1928</v>
      </c>
      <c r="G1712" s="238" t="s">
        <v>143</v>
      </c>
      <c r="H1712" s="239" t="s">
        <v>3565</v>
      </c>
      <c r="I1712" s="217"/>
      <c r="J1712" s="217"/>
      <c r="K1712" s="217"/>
      <c r="L1712" s="217"/>
      <c r="M1712" s="217"/>
      <c r="N1712" s="217"/>
      <c r="O1712" s="217"/>
      <c r="P1712" s="217"/>
    </row>
    <row r="1713" spans="1:16" s="219" customFormat="1" ht="45" hidden="1" x14ac:dyDescent="0.25">
      <c r="A1713" s="214"/>
      <c r="B1713" s="237">
        <v>1</v>
      </c>
      <c r="C1713" s="237">
        <v>3</v>
      </c>
      <c r="D1713" s="238" t="s">
        <v>2022</v>
      </c>
      <c r="E1713" s="238" t="s">
        <v>1928</v>
      </c>
      <c r="F1713" s="238" t="s">
        <v>1928</v>
      </c>
      <c r="G1713" s="238" t="s">
        <v>146</v>
      </c>
      <c r="H1713" s="239" t="s">
        <v>3566</v>
      </c>
      <c r="I1713" s="217"/>
      <c r="J1713" s="217"/>
      <c r="K1713" s="217"/>
      <c r="L1713" s="217"/>
      <c r="M1713" s="217"/>
      <c r="N1713" s="217"/>
      <c r="O1713" s="217"/>
      <c r="P1713" s="217"/>
    </row>
    <row r="1714" spans="1:16" s="219" customFormat="1" ht="30" hidden="1" x14ac:dyDescent="0.25">
      <c r="A1714" s="214"/>
      <c r="B1714" s="237">
        <v>1</v>
      </c>
      <c r="C1714" s="237">
        <v>3</v>
      </c>
      <c r="D1714" s="238" t="s">
        <v>2022</v>
      </c>
      <c r="E1714" s="238" t="s">
        <v>1928</v>
      </c>
      <c r="F1714" s="238" t="s">
        <v>1928</v>
      </c>
      <c r="G1714" s="238" t="s">
        <v>150</v>
      </c>
      <c r="H1714" s="239" t="s">
        <v>3567</v>
      </c>
      <c r="I1714" s="217"/>
      <c r="J1714" s="217"/>
      <c r="K1714" s="217"/>
      <c r="L1714" s="217"/>
      <c r="M1714" s="217"/>
      <c r="N1714" s="217"/>
      <c r="O1714" s="217"/>
      <c r="P1714" s="217"/>
    </row>
    <row r="1715" spans="1:16" s="219" customFormat="1" ht="30" hidden="1" x14ac:dyDescent="0.25">
      <c r="A1715" s="214"/>
      <c r="B1715" s="237">
        <v>1</v>
      </c>
      <c r="C1715" s="237">
        <v>3</v>
      </c>
      <c r="D1715" s="238" t="s">
        <v>2022</v>
      </c>
      <c r="E1715" s="238" t="s">
        <v>1928</v>
      </c>
      <c r="F1715" s="238" t="s">
        <v>1928</v>
      </c>
      <c r="G1715" s="238" t="s">
        <v>153</v>
      </c>
      <c r="H1715" s="239" t="s">
        <v>3568</v>
      </c>
      <c r="I1715" s="217"/>
      <c r="J1715" s="217"/>
      <c r="K1715" s="217"/>
      <c r="L1715" s="217"/>
      <c r="M1715" s="217"/>
      <c r="N1715" s="217"/>
      <c r="O1715" s="217"/>
      <c r="P1715" s="217"/>
    </row>
    <row r="1716" spans="1:16" s="219" customFormat="1" ht="30" hidden="1" x14ac:dyDescent="0.25">
      <c r="A1716" s="214"/>
      <c r="B1716" s="237">
        <v>1</v>
      </c>
      <c r="C1716" s="237">
        <v>3</v>
      </c>
      <c r="D1716" s="238" t="s">
        <v>2022</v>
      </c>
      <c r="E1716" s="238" t="s">
        <v>1928</v>
      </c>
      <c r="F1716" s="238" t="s">
        <v>1928</v>
      </c>
      <c r="G1716" s="238" t="s">
        <v>156</v>
      </c>
      <c r="H1716" s="239" t="s">
        <v>3569</v>
      </c>
      <c r="I1716" s="217"/>
      <c r="J1716" s="217"/>
      <c r="K1716" s="217"/>
      <c r="L1716" s="217"/>
      <c r="M1716" s="217"/>
      <c r="N1716" s="217"/>
      <c r="O1716" s="217"/>
      <c r="P1716" s="217"/>
    </row>
    <row r="1717" spans="1:16" s="213" customFormat="1" ht="30" hidden="1" x14ac:dyDescent="0.25">
      <c r="A1717" s="208" t="s">
        <v>1997</v>
      </c>
      <c r="B1717" s="234">
        <v>1</v>
      </c>
      <c r="C1717" s="234">
        <v>3</v>
      </c>
      <c r="D1717" s="235" t="s">
        <v>2022</v>
      </c>
      <c r="E1717" s="235" t="s">
        <v>1934</v>
      </c>
      <c r="F1717" s="234"/>
      <c r="G1717" s="234"/>
      <c r="H1717" s="236" t="s">
        <v>3570</v>
      </c>
      <c r="I1717" s="211">
        <f>SUM(I1718+I1746+I1757+I1767+I1778+I1780+I1788)</f>
        <v>0</v>
      </c>
      <c r="J1717" s="211">
        <f t="shared" ref="J1717:P1717" si="183">SUM(J1718+J1746+J1757+J1767+J1778+J1780+J1788)</f>
        <v>0</v>
      </c>
      <c r="K1717" s="211">
        <f t="shared" si="183"/>
        <v>0</v>
      </c>
      <c r="L1717" s="211">
        <f t="shared" si="183"/>
        <v>0</v>
      </c>
      <c r="M1717" s="211">
        <f t="shared" si="183"/>
        <v>0</v>
      </c>
      <c r="N1717" s="211">
        <f t="shared" si="183"/>
        <v>0</v>
      </c>
      <c r="O1717" s="211">
        <f t="shared" si="183"/>
        <v>0</v>
      </c>
      <c r="P1717" s="211">
        <f t="shared" si="183"/>
        <v>0</v>
      </c>
    </row>
    <row r="1718" spans="1:16" s="213" customFormat="1" ht="30" hidden="1" x14ac:dyDescent="0.25">
      <c r="A1718" s="208" t="s">
        <v>263</v>
      </c>
      <c r="B1718" s="234">
        <v>1</v>
      </c>
      <c r="C1718" s="234">
        <v>3</v>
      </c>
      <c r="D1718" s="235" t="s">
        <v>2022</v>
      </c>
      <c r="E1718" s="235" t="s">
        <v>1934</v>
      </c>
      <c r="F1718" s="235" t="s">
        <v>1825</v>
      </c>
      <c r="G1718" s="234"/>
      <c r="H1718" s="236" t="s">
        <v>3571</v>
      </c>
      <c r="I1718" s="211">
        <f>SUM(I1719:I1745)</f>
        <v>0</v>
      </c>
      <c r="J1718" s="211">
        <f t="shared" ref="J1718:P1718" si="184">SUM(J1719:J1745)</f>
        <v>0</v>
      </c>
      <c r="K1718" s="211">
        <f t="shared" si="184"/>
        <v>0</v>
      </c>
      <c r="L1718" s="211">
        <f t="shared" si="184"/>
        <v>0</v>
      </c>
      <c r="M1718" s="211">
        <f t="shared" si="184"/>
        <v>0</v>
      </c>
      <c r="N1718" s="211">
        <f t="shared" si="184"/>
        <v>0</v>
      </c>
      <c r="O1718" s="211">
        <f t="shared" si="184"/>
        <v>0</v>
      </c>
      <c r="P1718" s="211">
        <f t="shared" si="184"/>
        <v>0</v>
      </c>
    </row>
    <row r="1719" spans="1:16" s="219" customFormat="1" ht="30" hidden="1" x14ac:dyDescent="0.25">
      <c r="A1719" s="214"/>
      <c r="B1719" s="237">
        <v>1</v>
      </c>
      <c r="C1719" s="237">
        <v>3</v>
      </c>
      <c r="D1719" s="238" t="s">
        <v>2022</v>
      </c>
      <c r="E1719" s="238" t="s">
        <v>1934</v>
      </c>
      <c r="F1719" s="238" t="s">
        <v>1825</v>
      </c>
      <c r="G1719" s="238" t="s">
        <v>58</v>
      </c>
      <c r="H1719" s="239" t="s">
        <v>3572</v>
      </c>
      <c r="I1719" s="217"/>
      <c r="J1719" s="217"/>
      <c r="K1719" s="217"/>
      <c r="L1719" s="217"/>
      <c r="M1719" s="217"/>
      <c r="N1719" s="217"/>
      <c r="O1719" s="217"/>
      <c r="P1719" s="217"/>
    </row>
    <row r="1720" spans="1:16" s="219" customFormat="1" ht="30" hidden="1" x14ac:dyDescent="0.25">
      <c r="A1720" s="214"/>
      <c r="B1720" s="237">
        <v>1</v>
      </c>
      <c r="C1720" s="237">
        <v>3</v>
      </c>
      <c r="D1720" s="238" t="s">
        <v>2022</v>
      </c>
      <c r="E1720" s="238" t="s">
        <v>1934</v>
      </c>
      <c r="F1720" s="238" t="s">
        <v>1825</v>
      </c>
      <c r="G1720" s="238" t="s">
        <v>75</v>
      </c>
      <c r="H1720" s="239" t="s">
        <v>3573</v>
      </c>
      <c r="I1720" s="217"/>
      <c r="J1720" s="217"/>
      <c r="K1720" s="217"/>
      <c r="L1720" s="217"/>
      <c r="M1720" s="217"/>
      <c r="N1720" s="217"/>
      <c r="O1720" s="217"/>
      <c r="P1720" s="217"/>
    </row>
    <row r="1721" spans="1:16" s="219" customFormat="1" ht="30" hidden="1" x14ac:dyDescent="0.25">
      <c r="A1721" s="214"/>
      <c r="B1721" s="237">
        <v>1</v>
      </c>
      <c r="C1721" s="237">
        <v>3</v>
      </c>
      <c r="D1721" s="238" t="s">
        <v>2022</v>
      </c>
      <c r="E1721" s="238" t="s">
        <v>1934</v>
      </c>
      <c r="F1721" s="238" t="s">
        <v>1825</v>
      </c>
      <c r="G1721" s="238" t="s">
        <v>79</v>
      </c>
      <c r="H1721" s="239" t="s">
        <v>3574</v>
      </c>
      <c r="I1721" s="217"/>
      <c r="J1721" s="217"/>
      <c r="K1721" s="217"/>
      <c r="L1721" s="217"/>
      <c r="M1721" s="217"/>
      <c r="N1721" s="217"/>
      <c r="O1721" s="217"/>
      <c r="P1721" s="217"/>
    </row>
    <row r="1722" spans="1:16" s="219" customFormat="1" ht="45" hidden="1" x14ac:dyDescent="0.25">
      <c r="A1722" s="214"/>
      <c r="B1722" s="237">
        <v>1</v>
      </c>
      <c r="C1722" s="237">
        <v>3</v>
      </c>
      <c r="D1722" s="238" t="s">
        <v>2022</v>
      </c>
      <c r="E1722" s="238" t="s">
        <v>1934</v>
      </c>
      <c r="F1722" s="238" t="s">
        <v>1825</v>
      </c>
      <c r="G1722" s="238" t="s">
        <v>84</v>
      </c>
      <c r="H1722" s="239" t="s">
        <v>3575</v>
      </c>
      <c r="I1722" s="217"/>
      <c r="J1722" s="217"/>
      <c r="K1722" s="217"/>
      <c r="L1722" s="217"/>
      <c r="M1722" s="217"/>
      <c r="N1722" s="217"/>
      <c r="O1722" s="217"/>
      <c r="P1722" s="217"/>
    </row>
    <row r="1723" spans="1:16" s="219" customFormat="1" ht="45" hidden="1" x14ac:dyDescent="0.25">
      <c r="A1723" s="214"/>
      <c r="B1723" s="237">
        <v>1</v>
      </c>
      <c r="C1723" s="237">
        <v>3</v>
      </c>
      <c r="D1723" s="238" t="s">
        <v>2022</v>
      </c>
      <c r="E1723" s="238" t="s">
        <v>1934</v>
      </c>
      <c r="F1723" s="238" t="s">
        <v>1825</v>
      </c>
      <c r="G1723" s="238" t="s">
        <v>88</v>
      </c>
      <c r="H1723" s="239" t="s">
        <v>3576</v>
      </c>
      <c r="I1723" s="217"/>
      <c r="J1723" s="217"/>
      <c r="K1723" s="217"/>
      <c r="L1723" s="217"/>
      <c r="M1723" s="217"/>
      <c r="N1723" s="217"/>
      <c r="O1723" s="217"/>
      <c r="P1723" s="217"/>
    </row>
    <row r="1724" spans="1:16" s="219" customFormat="1" ht="45" hidden="1" x14ac:dyDescent="0.25">
      <c r="A1724" s="214"/>
      <c r="B1724" s="237">
        <v>1</v>
      </c>
      <c r="C1724" s="237">
        <v>3</v>
      </c>
      <c r="D1724" s="238" t="s">
        <v>2022</v>
      </c>
      <c r="E1724" s="238" t="s">
        <v>1934</v>
      </c>
      <c r="F1724" s="238" t="s">
        <v>1825</v>
      </c>
      <c r="G1724" s="238" t="s">
        <v>92</v>
      </c>
      <c r="H1724" s="239" t="s">
        <v>3577</v>
      </c>
      <c r="I1724" s="217"/>
      <c r="J1724" s="217"/>
      <c r="K1724" s="217"/>
      <c r="L1724" s="217"/>
      <c r="M1724" s="217"/>
      <c r="N1724" s="217"/>
      <c r="O1724" s="217"/>
      <c r="P1724" s="217"/>
    </row>
    <row r="1725" spans="1:16" s="219" customFormat="1" ht="45" hidden="1" x14ac:dyDescent="0.25">
      <c r="A1725" s="214"/>
      <c r="B1725" s="237">
        <v>1</v>
      </c>
      <c r="C1725" s="237">
        <v>3</v>
      </c>
      <c r="D1725" s="238" t="s">
        <v>2022</v>
      </c>
      <c r="E1725" s="238" t="s">
        <v>1934</v>
      </c>
      <c r="F1725" s="238" t="s">
        <v>1825</v>
      </c>
      <c r="G1725" s="238" t="s">
        <v>96</v>
      </c>
      <c r="H1725" s="239" t="s">
        <v>3578</v>
      </c>
      <c r="I1725" s="217"/>
      <c r="J1725" s="217"/>
      <c r="K1725" s="217"/>
      <c r="L1725" s="217"/>
      <c r="M1725" s="217"/>
      <c r="N1725" s="217"/>
      <c r="O1725" s="217"/>
      <c r="P1725" s="217"/>
    </row>
    <row r="1726" spans="1:16" s="219" customFormat="1" ht="45" hidden="1" x14ac:dyDescent="0.25">
      <c r="A1726" s="214"/>
      <c r="B1726" s="237">
        <v>1</v>
      </c>
      <c r="C1726" s="237">
        <v>3</v>
      </c>
      <c r="D1726" s="238" t="s">
        <v>2022</v>
      </c>
      <c r="E1726" s="238" t="s">
        <v>1934</v>
      </c>
      <c r="F1726" s="238" t="s">
        <v>1825</v>
      </c>
      <c r="G1726" s="238" t="s">
        <v>100</v>
      </c>
      <c r="H1726" s="239" t="s">
        <v>3579</v>
      </c>
      <c r="I1726" s="217"/>
      <c r="J1726" s="217"/>
      <c r="K1726" s="217"/>
      <c r="L1726" s="217"/>
      <c r="M1726" s="217"/>
      <c r="N1726" s="217"/>
      <c r="O1726" s="217"/>
      <c r="P1726" s="217"/>
    </row>
    <row r="1727" spans="1:16" s="219" customFormat="1" ht="45" hidden="1" x14ac:dyDescent="0.25">
      <c r="A1727" s="214"/>
      <c r="B1727" s="237">
        <v>1</v>
      </c>
      <c r="C1727" s="237">
        <v>3</v>
      </c>
      <c r="D1727" s="238" t="s">
        <v>2022</v>
      </c>
      <c r="E1727" s="238" t="s">
        <v>1934</v>
      </c>
      <c r="F1727" s="238" t="s">
        <v>1825</v>
      </c>
      <c r="G1727" s="238" t="s">
        <v>105</v>
      </c>
      <c r="H1727" s="239" t="s">
        <v>3580</v>
      </c>
      <c r="I1727" s="217"/>
      <c r="J1727" s="217"/>
      <c r="K1727" s="217"/>
      <c r="L1727" s="217"/>
      <c r="M1727" s="217"/>
      <c r="N1727" s="217"/>
      <c r="O1727" s="217"/>
      <c r="P1727" s="217"/>
    </row>
    <row r="1728" spans="1:16" s="219" customFormat="1" ht="30" hidden="1" x14ac:dyDescent="0.25">
      <c r="A1728" s="214"/>
      <c r="B1728" s="237">
        <v>1</v>
      </c>
      <c r="C1728" s="237">
        <v>3</v>
      </c>
      <c r="D1728" s="238" t="s">
        <v>2022</v>
      </c>
      <c r="E1728" s="238" t="s">
        <v>1934</v>
      </c>
      <c r="F1728" s="238" t="s">
        <v>1825</v>
      </c>
      <c r="G1728" s="238" t="s">
        <v>108</v>
      </c>
      <c r="H1728" s="239" t="s">
        <v>3581</v>
      </c>
      <c r="I1728" s="217"/>
      <c r="J1728" s="217"/>
      <c r="K1728" s="217"/>
      <c r="L1728" s="217"/>
      <c r="M1728" s="217"/>
      <c r="N1728" s="217"/>
      <c r="O1728" s="217"/>
      <c r="P1728" s="217"/>
    </row>
    <row r="1729" spans="1:16" s="219" customFormat="1" ht="30" hidden="1" x14ac:dyDescent="0.25">
      <c r="A1729" s="214"/>
      <c r="B1729" s="237">
        <v>1</v>
      </c>
      <c r="C1729" s="237">
        <v>3</v>
      </c>
      <c r="D1729" s="238" t="s">
        <v>2022</v>
      </c>
      <c r="E1729" s="238" t="s">
        <v>1934</v>
      </c>
      <c r="F1729" s="238" t="s">
        <v>1825</v>
      </c>
      <c r="G1729" s="238" t="s">
        <v>135</v>
      </c>
      <c r="H1729" s="239" t="s">
        <v>3582</v>
      </c>
      <c r="I1729" s="217"/>
      <c r="J1729" s="217"/>
      <c r="K1729" s="217"/>
      <c r="L1729" s="217"/>
      <c r="M1729" s="217"/>
      <c r="N1729" s="217"/>
      <c r="O1729" s="217"/>
      <c r="P1729" s="217"/>
    </row>
    <row r="1730" spans="1:16" s="219" customFormat="1" ht="45" hidden="1" x14ac:dyDescent="0.25">
      <c r="A1730" s="214"/>
      <c r="B1730" s="237">
        <v>1</v>
      </c>
      <c r="C1730" s="237">
        <v>3</v>
      </c>
      <c r="D1730" s="238" t="s">
        <v>2022</v>
      </c>
      <c r="E1730" s="238" t="s">
        <v>1934</v>
      </c>
      <c r="F1730" s="238" t="s">
        <v>1825</v>
      </c>
      <c r="G1730" s="238" t="s">
        <v>138</v>
      </c>
      <c r="H1730" s="239" t="s">
        <v>3583</v>
      </c>
      <c r="I1730" s="217"/>
      <c r="J1730" s="217"/>
      <c r="K1730" s="217"/>
      <c r="L1730" s="217"/>
      <c r="M1730" s="217"/>
      <c r="N1730" s="217"/>
      <c r="O1730" s="217"/>
      <c r="P1730" s="217"/>
    </row>
    <row r="1731" spans="1:16" s="219" customFormat="1" ht="45" hidden="1" x14ac:dyDescent="0.25">
      <c r="A1731" s="214"/>
      <c r="B1731" s="237">
        <v>1</v>
      </c>
      <c r="C1731" s="237">
        <v>3</v>
      </c>
      <c r="D1731" s="238" t="s">
        <v>2022</v>
      </c>
      <c r="E1731" s="238" t="s">
        <v>1934</v>
      </c>
      <c r="F1731" s="238" t="s">
        <v>1825</v>
      </c>
      <c r="G1731" s="238" t="s">
        <v>140</v>
      </c>
      <c r="H1731" s="239" t="s">
        <v>3584</v>
      </c>
      <c r="I1731" s="217"/>
      <c r="J1731" s="217"/>
      <c r="K1731" s="217"/>
      <c r="L1731" s="217"/>
      <c r="M1731" s="217"/>
      <c r="N1731" s="217"/>
      <c r="O1731" s="217"/>
      <c r="P1731" s="217"/>
    </row>
    <row r="1732" spans="1:16" s="219" customFormat="1" ht="45" hidden="1" x14ac:dyDescent="0.25">
      <c r="A1732" s="214"/>
      <c r="B1732" s="237">
        <v>1</v>
      </c>
      <c r="C1732" s="237">
        <v>3</v>
      </c>
      <c r="D1732" s="238" t="s">
        <v>2022</v>
      </c>
      <c r="E1732" s="238" t="s">
        <v>1934</v>
      </c>
      <c r="F1732" s="238" t="s">
        <v>1825</v>
      </c>
      <c r="G1732" s="238" t="s">
        <v>143</v>
      </c>
      <c r="H1732" s="239" t="s">
        <v>3585</v>
      </c>
      <c r="I1732" s="217"/>
      <c r="J1732" s="217"/>
      <c r="K1732" s="217"/>
      <c r="L1732" s="217"/>
      <c r="M1732" s="217"/>
      <c r="N1732" s="217"/>
      <c r="O1732" s="217"/>
      <c r="P1732" s="217"/>
    </row>
    <row r="1733" spans="1:16" s="219" customFormat="1" ht="60" hidden="1" x14ac:dyDescent="0.25">
      <c r="A1733" s="214"/>
      <c r="B1733" s="237">
        <v>1</v>
      </c>
      <c r="C1733" s="237">
        <v>3</v>
      </c>
      <c r="D1733" s="238" t="s">
        <v>2022</v>
      </c>
      <c r="E1733" s="238" t="s">
        <v>1934</v>
      </c>
      <c r="F1733" s="238" t="s">
        <v>1825</v>
      </c>
      <c r="G1733" s="238" t="s">
        <v>146</v>
      </c>
      <c r="H1733" s="239" t="s">
        <v>3586</v>
      </c>
      <c r="I1733" s="217"/>
      <c r="J1733" s="217"/>
      <c r="K1733" s="217"/>
      <c r="L1733" s="217"/>
      <c r="M1733" s="217"/>
      <c r="N1733" s="217"/>
      <c r="O1733" s="217"/>
      <c r="P1733" s="217"/>
    </row>
    <row r="1734" spans="1:16" s="219" customFormat="1" ht="45" hidden="1" x14ac:dyDescent="0.25">
      <c r="A1734" s="214"/>
      <c r="B1734" s="237">
        <v>1</v>
      </c>
      <c r="C1734" s="237">
        <v>3</v>
      </c>
      <c r="D1734" s="238" t="s">
        <v>2022</v>
      </c>
      <c r="E1734" s="238" t="s">
        <v>1934</v>
      </c>
      <c r="F1734" s="238" t="s">
        <v>1825</v>
      </c>
      <c r="G1734" s="238" t="s">
        <v>150</v>
      </c>
      <c r="H1734" s="239" t="s">
        <v>3587</v>
      </c>
      <c r="I1734" s="217"/>
      <c r="J1734" s="217"/>
      <c r="K1734" s="217"/>
      <c r="L1734" s="217"/>
      <c r="M1734" s="217"/>
      <c r="N1734" s="217"/>
      <c r="O1734" s="217"/>
      <c r="P1734" s="217"/>
    </row>
    <row r="1735" spans="1:16" s="219" customFormat="1" ht="45" hidden="1" x14ac:dyDescent="0.25">
      <c r="A1735" s="214"/>
      <c r="B1735" s="237">
        <v>1</v>
      </c>
      <c r="C1735" s="237">
        <v>3</v>
      </c>
      <c r="D1735" s="238" t="s">
        <v>2022</v>
      </c>
      <c r="E1735" s="238" t="s">
        <v>1934</v>
      </c>
      <c r="F1735" s="238" t="s">
        <v>1825</v>
      </c>
      <c r="G1735" s="238" t="s">
        <v>153</v>
      </c>
      <c r="H1735" s="239" t="s">
        <v>3588</v>
      </c>
      <c r="I1735" s="217"/>
      <c r="J1735" s="217"/>
      <c r="K1735" s="217"/>
      <c r="L1735" s="217"/>
      <c r="M1735" s="217"/>
      <c r="N1735" s="217"/>
      <c r="O1735" s="217"/>
      <c r="P1735" s="217"/>
    </row>
    <row r="1736" spans="1:16" s="219" customFormat="1" ht="45" hidden="1" x14ac:dyDescent="0.25">
      <c r="A1736" s="214"/>
      <c r="B1736" s="237">
        <v>1</v>
      </c>
      <c r="C1736" s="237">
        <v>3</v>
      </c>
      <c r="D1736" s="238" t="s">
        <v>2022</v>
      </c>
      <c r="E1736" s="238" t="s">
        <v>1934</v>
      </c>
      <c r="F1736" s="238" t="s">
        <v>1825</v>
      </c>
      <c r="G1736" s="238" t="s">
        <v>156</v>
      </c>
      <c r="H1736" s="239" t="s">
        <v>3589</v>
      </c>
      <c r="I1736" s="217"/>
      <c r="J1736" s="217"/>
      <c r="K1736" s="217"/>
      <c r="L1736" s="217"/>
      <c r="M1736" s="217"/>
      <c r="N1736" s="217"/>
      <c r="O1736" s="217"/>
      <c r="P1736" s="217"/>
    </row>
    <row r="1737" spans="1:16" s="219" customFormat="1" ht="60" hidden="1" x14ac:dyDescent="0.25">
      <c r="A1737" s="214"/>
      <c r="B1737" s="237">
        <v>1</v>
      </c>
      <c r="C1737" s="237">
        <v>3</v>
      </c>
      <c r="D1737" s="238" t="s">
        <v>2022</v>
      </c>
      <c r="E1737" s="238" t="s">
        <v>1934</v>
      </c>
      <c r="F1737" s="238" t="s">
        <v>1825</v>
      </c>
      <c r="G1737" s="238" t="s">
        <v>159</v>
      </c>
      <c r="H1737" s="239" t="s">
        <v>3590</v>
      </c>
      <c r="I1737" s="217"/>
      <c r="J1737" s="217"/>
      <c r="K1737" s="217"/>
      <c r="L1737" s="217"/>
      <c r="M1737" s="217"/>
      <c r="N1737" s="217"/>
      <c r="O1737" s="217"/>
      <c r="P1737" s="217"/>
    </row>
    <row r="1738" spans="1:16" s="219" customFormat="1" ht="30" hidden="1" x14ac:dyDescent="0.25">
      <c r="A1738" s="214"/>
      <c r="B1738" s="237">
        <v>1</v>
      </c>
      <c r="C1738" s="237">
        <v>3</v>
      </c>
      <c r="D1738" s="238" t="s">
        <v>2022</v>
      </c>
      <c r="E1738" s="238" t="s">
        <v>1934</v>
      </c>
      <c r="F1738" s="238" t="s">
        <v>1825</v>
      </c>
      <c r="G1738" s="238" t="s">
        <v>162</v>
      </c>
      <c r="H1738" s="239" t="s">
        <v>3591</v>
      </c>
      <c r="I1738" s="217"/>
      <c r="J1738" s="217"/>
      <c r="K1738" s="217"/>
      <c r="L1738" s="217"/>
      <c r="M1738" s="217"/>
      <c r="N1738" s="217"/>
      <c r="O1738" s="217"/>
      <c r="P1738" s="217"/>
    </row>
    <row r="1739" spans="1:16" s="219" customFormat="1" ht="30" hidden="1" x14ac:dyDescent="0.25">
      <c r="A1739" s="214"/>
      <c r="B1739" s="237">
        <v>1</v>
      </c>
      <c r="C1739" s="237">
        <v>3</v>
      </c>
      <c r="D1739" s="238" t="s">
        <v>2022</v>
      </c>
      <c r="E1739" s="238" t="s">
        <v>1934</v>
      </c>
      <c r="F1739" s="238" t="s">
        <v>1825</v>
      </c>
      <c r="G1739" s="238" t="s">
        <v>312</v>
      </c>
      <c r="H1739" s="239" t="s">
        <v>3592</v>
      </c>
      <c r="I1739" s="217"/>
      <c r="J1739" s="217"/>
      <c r="K1739" s="217"/>
      <c r="L1739" s="217"/>
      <c r="M1739" s="217"/>
      <c r="N1739" s="217"/>
      <c r="O1739" s="217"/>
      <c r="P1739" s="217"/>
    </row>
    <row r="1740" spans="1:16" s="219" customFormat="1" ht="45" hidden="1" x14ac:dyDescent="0.25">
      <c r="A1740" s="214"/>
      <c r="B1740" s="237">
        <v>1</v>
      </c>
      <c r="C1740" s="237">
        <v>3</v>
      </c>
      <c r="D1740" s="238" t="s">
        <v>2022</v>
      </c>
      <c r="E1740" s="238" t="s">
        <v>1934</v>
      </c>
      <c r="F1740" s="238" t="s">
        <v>1825</v>
      </c>
      <c r="G1740" s="238" t="s">
        <v>313</v>
      </c>
      <c r="H1740" s="239" t="s">
        <v>3593</v>
      </c>
      <c r="I1740" s="217"/>
      <c r="J1740" s="217"/>
      <c r="K1740" s="217"/>
      <c r="L1740" s="217"/>
      <c r="M1740" s="217"/>
      <c r="N1740" s="217"/>
      <c r="O1740" s="217"/>
      <c r="P1740" s="217"/>
    </row>
    <row r="1741" spans="1:16" s="219" customFormat="1" ht="45" hidden="1" x14ac:dyDescent="0.25">
      <c r="A1741" s="214"/>
      <c r="B1741" s="237">
        <v>1</v>
      </c>
      <c r="C1741" s="237">
        <v>3</v>
      </c>
      <c r="D1741" s="238" t="s">
        <v>2022</v>
      </c>
      <c r="E1741" s="238" t="s">
        <v>1934</v>
      </c>
      <c r="F1741" s="238" t="s">
        <v>1825</v>
      </c>
      <c r="G1741" s="238" t="s">
        <v>559</v>
      </c>
      <c r="H1741" s="239" t="s">
        <v>3594</v>
      </c>
      <c r="I1741" s="217"/>
      <c r="J1741" s="217"/>
      <c r="K1741" s="217"/>
      <c r="L1741" s="217"/>
      <c r="M1741" s="217"/>
      <c r="N1741" s="217"/>
      <c r="O1741" s="217"/>
      <c r="P1741" s="217"/>
    </row>
    <row r="1742" spans="1:16" s="219" customFormat="1" ht="60" hidden="1" x14ac:dyDescent="0.25">
      <c r="A1742" s="214"/>
      <c r="B1742" s="237">
        <v>1</v>
      </c>
      <c r="C1742" s="237">
        <v>3</v>
      </c>
      <c r="D1742" s="238" t="s">
        <v>2022</v>
      </c>
      <c r="E1742" s="238" t="s">
        <v>1934</v>
      </c>
      <c r="F1742" s="238" t="s">
        <v>1825</v>
      </c>
      <c r="G1742" s="238" t="s">
        <v>561</v>
      </c>
      <c r="H1742" s="239" t="s">
        <v>3595</v>
      </c>
      <c r="I1742" s="217"/>
      <c r="J1742" s="217"/>
      <c r="K1742" s="217"/>
      <c r="L1742" s="217"/>
      <c r="M1742" s="217"/>
      <c r="N1742" s="217"/>
      <c r="O1742" s="217"/>
      <c r="P1742" s="217"/>
    </row>
    <row r="1743" spans="1:16" s="219" customFormat="1" ht="60" hidden="1" x14ac:dyDescent="0.25">
      <c r="A1743" s="214"/>
      <c r="B1743" s="237">
        <v>1</v>
      </c>
      <c r="C1743" s="237">
        <v>3</v>
      </c>
      <c r="D1743" s="238" t="s">
        <v>2022</v>
      </c>
      <c r="E1743" s="238" t="s">
        <v>1934</v>
      </c>
      <c r="F1743" s="238" t="s">
        <v>1825</v>
      </c>
      <c r="G1743" s="238" t="s">
        <v>563</v>
      </c>
      <c r="H1743" s="239" t="s">
        <v>3596</v>
      </c>
      <c r="I1743" s="217"/>
      <c r="J1743" s="217"/>
      <c r="K1743" s="217"/>
      <c r="L1743" s="217"/>
      <c r="M1743" s="217"/>
      <c r="N1743" s="217"/>
      <c r="O1743" s="217"/>
      <c r="P1743" s="217"/>
    </row>
    <row r="1744" spans="1:16" s="219" customFormat="1" ht="30" hidden="1" x14ac:dyDescent="0.25">
      <c r="A1744" s="214"/>
      <c r="B1744" s="237">
        <v>1</v>
      </c>
      <c r="C1744" s="237">
        <v>3</v>
      </c>
      <c r="D1744" s="238" t="s">
        <v>2022</v>
      </c>
      <c r="E1744" s="238" t="s">
        <v>1934</v>
      </c>
      <c r="F1744" s="238" t="s">
        <v>1825</v>
      </c>
      <c r="G1744" s="238" t="s">
        <v>227</v>
      </c>
      <c r="H1744" s="239" t="s">
        <v>3597</v>
      </c>
      <c r="I1744" s="217"/>
      <c r="J1744" s="217"/>
      <c r="K1744" s="217"/>
      <c r="L1744" s="217"/>
      <c r="M1744" s="217"/>
      <c r="N1744" s="217"/>
      <c r="O1744" s="217"/>
      <c r="P1744" s="217"/>
    </row>
    <row r="1745" spans="1:16" s="219" customFormat="1" ht="30" hidden="1" x14ac:dyDescent="0.25">
      <c r="A1745" s="214"/>
      <c r="B1745" s="237">
        <v>1</v>
      </c>
      <c r="C1745" s="237">
        <v>3</v>
      </c>
      <c r="D1745" s="238" t="s">
        <v>2022</v>
      </c>
      <c r="E1745" s="238" t="s">
        <v>1934</v>
      </c>
      <c r="F1745" s="238" t="s">
        <v>1825</v>
      </c>
      <c r="G1745" s="238" t="s">
        <v>230</v>
      </c>
      <c r="H1745" s="239" t="s">
        <v>3598</v>
      </c>
      <c r="I1745" s="217"/>
      <c r="J1745" s="217"/>
      <c r="K1745" s="217"/>
      <c r="L1745" s="217"/>
      <c r="M1745" s="217"/>
      <c r="N1745" s="217"/>
      <c r="O1745" s="217"/>
      <c r="P1745" s="217"/>
    </row>
    <row r="1746" spans="1:16" s="213" customFormat="1" ht="45" hidden="1" x14ac:dyDescent="0.25">
      <c r="A1746" s="208" t="s">
        <v>263</v>
      </c>
      <c r="B1746" s="234">
        <v>1</v>
      </c>
      <c r="C1746" s="234">
        <v>3</v>
      </c>
      <c r="D1746" s="235" t="s">
        <v>2022</v>
      </c>
      <c r="E1746" s="235" t="s">
        <v>1934</v>
      </c>
      <c r="F1746" s="235" t="s">
        <v>1836</v>
      </c>
      <c r="G1746" s="234"/>
      <c r="H1746" s="236" t="s">
        <v>3599</v>
      </c>
      <c r="I1746" s="211">
        <f>SUM(I1747:I1756)</f>
        <v>0</v>
      </c>
      <c r="J1746" s="211">
        <f t="shared" ref="J1746:P1746" si="185">SUM(J1747:J1756)</f>
        <v>0</v>
      </c>
      <c r="K1746" s="211">
        <f t="shared" si="185"/>
        <v>0</v>
      </c>
      <c r="L1746" s="211">
        <f t="shared" si="185"/>
        <v>0</v>
      </c>
      <c r="M1746" s="211">
        <f t="shared" si="185"/>
        <v>0</v>
      </c>
      <c r="N1746" s="211">
        <f t="shared" si="185"/>
        <v>0</v>
      </c>
      <c r="O1746" s="211">
        <f t="shared" si="185"/>
        <v>0</v>
      </c>
      <c r="P1746" s="211">
        <f t="shared" si="185"/>
        <v>0</v>
      </c>
    </row>
    <row r="1747" spans="1:16" s="219" customFormat="1" ht="30" hidden="1" x14ac:dyDescent="0.25">
      <c r="A1747" s="214"/>
      <c r="B1747" s="237">
        <v>1</v>
      </c>
      <c r="C1747" s="237">
        <v>3</v>
      </c>
      <c r="D1747" s="238" t="s">
        <v>2022</v>
      </c>
      <c r="E1747" s="238" t="s">
        <v>1934</v>
      </c>
      <c r="F1747" s="238" t="s">
        <v>1836</v>
      </c>
      <c r="G1747" s="238" t="s">
        <v>58</v>
      </c>
      <c r="H1747" s="239" t="s">
        <v>3600</v>
      </c>
      <c r="I1747" s="217"/>
      <c r="J1747" s="217"/>
      <c r="K1747" s="217"/>
      <c r="L1747" s="217"/>
      <c r="M1747" s="217"/>
      <c r="N1747" s="217"/>
      <c r="O1747" s="217"/>
      <c r="P1747" s="217"/>
    </row>
    <row r="1748" spans="1:16" s="219" customFormat="1" ht="30" hidden="1" x14ac:dyDescent="0.25">
      <c r="A1748" s="214"/>
      <c r="B1748" s="237">
        <v>1</v>
      </c>
      <c r="C1748" s="237">
        <v>3</v>
      </c>
      <c r="D1748" s="238" t="s">
        <v>2022</v>
      </c>
      <c r="E1748" s="238" t="s">
        <v>1934</v>
      </c>
      <c r="F1748" s="238" t="s">
        <v>1836</v>
      </c>
      <c r="G1748" s="238" t="s">
        <v>75</v>
      </c>
      <c r="H1748" s="239" t="s">
        <v>3601</v>
      </c>
      <c r="I1748" s="217"/>
      <c r="J1748" s="217"/>
      <c r="K1748" s="217"/>
      <c r="L1748" s="217"/>
      <c r="M1748" s="217"/>
      <c r="N1748" s="217"/>
      <c r="O1748" s="217"/>
      <c r="P1748" s="217"/>
    </row>
    <row r="1749" spans="1:16" s="219" customFormat="1" ht="45" hidden="1" x14ac:dyDescent="0.25">
      <c r="A1749" s="214"/>
      <c r="B1749" s="237">
        <v>1</v>
      </c>
      <c r="C1749" s="237">
        <v>3</v>
      </c>
      <c r="D1749" s="238" t="s">
        <v>2022</v>
      </c>
      <c r="E1749" s="238" t="s">
        <v>1934</v>
      </c>
      <c r="F1749" s="238" t="s">
        <v>1836</v>
      </c>
      <c r="G1749" s="238" t="s">
        <v>79</v>
      </c>
      <c r="H1749" s="239" t="s">
        <v>3602</v>
      </c>
      <c r="I1749" s="217"/>
      <c r="J1749" s="217"/>
      <c r="K1749" s="217"/>
      <c r="L1749" s="217"/>
      <c r="M1749" s="217"/>
      <c r="N1749" s="217"/>
      <c r="O1749" s="217"/>
      <c r="P1749" s="217"/>
    </row>
    <row r="1750" spans="1:16" s="219" customFormat="1" ht="45" hidden="1" x14ac:dyDescent="0.25">
      <c r="A1750" s="214"/>
      <c r="B1750" s="237">
        <v>1</v>
      </c>
      <c r="C1750" s="237">
        <v>3</v>
      </c>
      <c r="D1750" s="238" t="s">
        <v>2022</v>
      </c>
      <c r="E1750" s="238" t="s">
        <v>1934</v>
      </c>
      <c r="F1750" s="238" t="s">
        <v>1836</v>
      </c>
      <c r="G1750" s="238" t="s">
        <v>84</v>
      </c>
      <c r="H1750" s="239" t="s">
        <v>3603</v>
      </c>
      <c r="I1750" s="217"/>
      <c r="J1750" s="217"/>
      <c r="K1750" s="217"/>
      <c r="L1750" s="217"/>
      <c r="M1750" s="217"/>
      <c r="N1750" s="217"/>
      <c r="O1750" s="217"/>
      <c r="P1750" s="217"/>
    </row>
    <row r="1751" spans="1:16" s="219" customFormat="1" ht="30" hidden="1" x14ac:dyDescent="0.25">
      <c r="A1751" s="214"/>
      <c r="B1751" s="237">
        <v>1</v>
      </c>
      <c r="C1751" s="237">
        <v>3</v>
      </c>
      <c r="D1751" s="238" t="s">
        <v>2022</v>
      </c>
      <c r="E1751" s="238" t="s">
        <v>1934</v>
      </c>
      <c r="F1751" s="238" t="s">
        <v>1836</v>
      </c>
      <c r="G1751" s="238" t="s">
        <v>88</v>
      </c>
      <c r="H1751" s="239" t="s">
        <v>3604</v>
      </c>
      <c r="I1751" s="217"/>
      <c r="J1751" s="217"/>
      <c r="K1751" s="217"/>
      <c r="L1751" s="217"/>
      <c r="M1751" s="217"/>
      <c r="N1751" s="217"/>
      <c r="O1751" s="217"/>
      <c r="P1751" s="217"/>
    </row>
    <row r="1752" spans="1:16" s="219" customFormat="1" ht="60" hidden="1" x14ac:dyDescent="0.25">
      <c r="A1752" s="214"/>
      <c r="B1752" s="237">
        <v>1</v>
      </c>
      <c r="C1752" s="237">
        <v>3</v>
      </c>
      <c r="D1752" s="238" t="s">
        <v>2022</v>
      </c>
      <c r="E1752" s="238" t="s">
        <v>1934</v>
      </c>
      <c r="F1752" s="238" t="s">
        <v>1836</v>
      </c>
      <c r="G1752" s="238" t="s">
        <v>92</v>
      </c>
      <c r="H1752" s="239" t="s">
        <v>3605</v>
      </c>
      <c r="I1752" s="217"/>
      <c r="J1752" s="217"/>
      <c r="K1752" s="217"/>
      <c r="L1752" s="217"/>
      <c r="M1752" s="217"/>
      <c r="N1752" s="217"/>
      <c r="O1752" s="217"/>
      <c r="P1752" s="217"/>
    </row>
    <row r="1753" spans="1:16" s="219" customFormat="1" ht="45" hidden="1" x14ac:dyDescent="0.25">
      <c r="A1753" s="214"/>
      <c r="B1753" s="237">
        <v>1</v>
      </c>
      <c r="C1753" s="237">
        <v>3</v>
      </c>
      <c r="D1753" s="238" t="s">
        <v>2022</v>
      </c>
      <c r="E1753" s="238" t="s">
        <v>1934</v>
      </c>
      <c r="F1753" s="238" t="s">
        <v>1836</v>
      </c>
      <c r="G1753" s="238" t="s">
        <v>96</v>
      </c>
      <c r="H1753" s="239" t="s">
        <v>3606</v>
      </c>
      <c r="I1753" s="217"/>
      <c r="J1753" s="217"/>
      <c r="K1753" s="217"/>
      <c r="L1753" s="217"/>
      <c r="M1753" s="217"/>
      <c r="N1753" s="217"/>
      <c r="O1753" s="217"/>
      <c r="P1753" s="217"/>
    </row>
    <row r="1754" spans="1:16" s="219" customFormat="1" ht="45" hidden="1" x14ac:dyDescent="0.25">
      <c r="A1754" s="214"/>
      <c r="B1754" s="237">
        <v>1</v>
      </c>
      <c r="C1754" s="237">
        <v>3</v>
      </c>
      <c r="D1754" s="238" t="s">
        <v>2022</v>
      </c>
      <c r="E1754" s="238" t="s">
        <v>1934</v>
      </c>
      <c r="F1754" s="238" t="s">
        <v>1836</v>
      </c>
      <c r="G1754" s="238" t="s">
        <v>100</v>
      </c>
      <c r="H1754" s="239" t="s">
        <v>3607</v>
      </c>
      <c r="I1754" s="217"/>
      <c r="J1754" s="217"/>
      <c r="K1754" s="217"/>
      <c r="L1754" s="217"/>
      <c r="M1754" s="217"/>
      <c r="N1754" s="217"/>
      <c r="O1754" s="217"/>
      <c r="P1754" s="217"/>
    </row>
    <row r="1755" spans="1:16" s="219" customFormat="1" ht="45" hidden="1" x14ac:dyDescent="0.25">
      <c r="A1755" s="214"/>
      <c r="B1755" s="237">
        <v>1</v>
      </c>
      <c r="C1755" s="237">
        <v>3</v>
      </c>
      <c r="D1755" s="238" t="s">
        <v>2022</v>
      </c>
      <c r="E1755" s="238" t="s">
        <v>1934</v>
      </c>
      <c r="F1755" s="238" t="s">
        <v>1836</v>
      </c>
      <c r="G1755" s="238" t="s">
        <v>105</v>
      </c>
      <c r="H1755" s="239" t="s">
        <v>3608</v>
      </c>
      <c r="I1755" s="217"/>
      <c r="J1755" s="217"/>
      <c r="K1755" s="217"/>
      <c r="L1755" s="217"/>
      <c r="M1755" s="217"/>
      <c r="N1755" s="217"/>
      <c r="O1755" s="217"/>
      <c r="P1755" s="217"/>
    </row>
    <row r="1756" spans="1:16" s="219" customFormat="1" ht="45" hidden="1" x14ac:dyDescent="0.25">
      <c r="A1756" s="214"/>
      <c r="B1756" s="237">
        <v>1</v>
      </c>
      <c r="C1756" s="237">
        <v>3</v>
      </c>
      <c r="D1756" s="238" t="s">
        <v>2022</v>
      </c>
      <c r="E1756" s="238" t="s">
        <v>1934</v>
      </c>
      <c r="F1756" s="238" t="s">
        <v>1836</v>
      </c>
      <c r="G1756" s="238" t="s">
        <v>108</v>
      </c>
      <c r="H1756" s="239" t="s">
        <v>3609</v>
      </c>
      <c r="I1756" s="217"/>
      <c r="J1756" s="217"/>
      <c r="K1756" s="217"/>
      <c r="L1756" s="217"/>
      <c r="M1756" s="217"/>
      <c r="N1756" s="217"/>
      <c r="O1756" s="217"/>
      <c r="P1756" s="217"/>
    </row>
    <row r="1757" spans="1:16" s="213" customFormat="1" ht="30" hidden="1" x14ac:dyDescent="0.25">
      <c r="A1757" s="208" t="s">
        <v>263</v>
      </c>
      <c r="B1757" s="234">
        <v>1</v>
      </c>
      <c r="C1757" s="234">
        <v>3</v>
      </c>
      <c r="D1757" s="235" t="s">
        <v>2022</v>
      </c>
      <c r="E1757" s="235" t="s">
        <v>1934</v>
      </c>
      <c r="F1757" s="235" t="s">
        <v>1847</v>
      </c>
      <c r="G1757" s="234"/>
      <c r="H1757" s="236" t="s">
        <v>3610</v>
      </c>
      <c r="I1757" s="211">
        <f>SUM(I1758:I1766)</f>
        <v>0</v>
      </c>
      <c r="J1757" s="211">
        <f t="shared" ref="J1757:P1757" si="186">SUM(J1758:J1766)</f>
        <v>0</v>
      </c>
      <c r="K1757" s="211">
        <f t="shared" si="186"/>
        <v>0</v>
      </c>
      <c r="L1757" s="211">
        <f t="shared" si="186"/>
        <v>0</v>
      </c>
      <c r="M1757" s="211">
        <f t="shared" si="186"/>
        <v>0</v>
      </c>
      <c r="N1757" s="211">
        <f t="shared" si="186"/>
        <v>0</v>
      </c>
      <c r="O1757" s="211">
        <f t="shared" si="186"/>
        <v>0</v>
      </c>
      <c r="P1757" s="211">
        <f t="shared" si="186"/>
        <v>0</v>
      </c>
    </row>
    <row r="1758" spans="1:16" s="219" customFormat="1" ht="30" hidden="1" x14ac:dyDescent="0.25">
      <c r="A1758" s="214"/>
      <c r="B1758" s="237">
        <v>1</v>
      </c>
      <c r="C1758" s="237">
        <v>3</v>
      </c>
      <c r="D1758" s="238" t="s">
        <v>2022</v>
      </c>
      <c r="E1758" s="238" t="s">
        <v>1934</v>
      </c>
      <c r="F1758" s="238" t="s">
        <v>1847</v>
      </c>
      <c r="G1758" s="238" t="s">
        <v>58</v>
      </c>
      <c r="H1758" s="239" t="s">
        <v>3611</v>
      </c>
      <c r="I1758" s="217"/>
      <c r="J1758" s="217"/>
      <c r="K1758" s="217"/>
      <c r="L1758" s="217"/>
      <c r="M1758" s="217"/>
      <c r="N1758" s="217"/>
      <c r="O1758" s="217"/>
      <c r="P1758" s="217"/>
    </row>
    <row r="1759" spans="1:16" s="219" customFormat="1" ht="30" hidden="1" x14ac:dyDescent="0.25">
      <c r="A1759" s="214"/>
      <c r="B1759" s="237">
        <v>1</v>
      </c>
      <c r="C1759" s="237">
        <v>3</v>
      </c>
      <c r="D1759" s="238" t="s">
        <v>2022</v>
      </c>
      <c r="E1759" s="238" t="s">
        <v>1934</v>
      </c>
      <c r="F1759" s="238" t="s">
        <v>1847</v>
      </c>
      <c r="G1759" s="238" t="s">
        <v>75</v>
      </c>
      <c r="H1759" s="239" t="s">
        <v>3612</v>
      </c>
      <c r="I1759" s="217"/>
      <c r="J1759" s="217"/>
      <c r="K1759" s="217"/>
      <c r="L1759" s="217"/>
      <c r="M1759" s="217"/>
      <c r="N1759" s="217"/>
      <c r="O1759" s="217"/>
      <c r="P1759" s="217"/>
    </row>
    <row r="1760" spans="1:16" s="219" customFormat="1" ht="30" hidden="1" x14ac:dyDescent="0.25">
      <c r="A1760" s="214"/>
      <c r="B1760" s="237">
        <v>1</v>
      </c>
      <c r="C1760" s="237">
        <v>3</v>
      </c>
      <c r="D1760" s="238" t="s">
        <v>2022</v>
      </c>
      <c r="E1760" s="238" t="s">
        <v>1934</v>
      </c>
      <c r="F1760" s="238" t="s">
        <v>1847</v>
      </c>
      <c r="G1760" s="238" t="s">
        <v>79</v>
      </c>
      <c r="H1760" s="239" t="s">
        <v>3613</v>
      </c>
      <c r="I1760" s="217"/>
      <c r="J1760" s="217"/>
      <c r="K1760" s="217"/>
      <c r="L1760" s="217"/>
      <c r="M1760" s="217"/>
      <c r="N1760" s="217"/>
      <c r="O1760" s="217"/>
      <c r="P1760" s="217"/>
    </row>
    <row r="1761" spans="1:16" s="219" customFormat="1" ht="30" hidden="1" x14ac:dyDescent="0.25">
      <c r="A1761" s="214"/>
      <c r="B1761" s="237">
        <v>1</v>
      </c>
      <c r="C1761" s="237">
        <v>3</v>
      </c>
      <c r="D1761" s="238" t="s">
        <v>2022</v>
      </c>
      <c r="E1761" s="238" t="s">
        <v>1934</v>
      </c>
      <c r="F1761" s="238" t="s">
        <v>1847</v>
      </c>
      <c r="G1761" s="238" t="s">
        <v>84</v>
      </c>
      <c r="H1761" s="239" t="s">
        <v>3614</v>
      </c>
      <c r="I1761" s="217"/>
      <c r="J1761" s="217"/>
      <c r="K1761" s="217"/>
      <c r="L1761" s="217"/>
      <c r="M1761" s="217"/>
      <c r="N1761" s="217"/>
      <c r="O1761" s="217"/>
      <c r="P1761" s="217"/>
    </row>
    <row r="1762" spans="1:16" s="219" customFormat="1" ht="30" hidden="1" x14ac:dyDescent="0.25">
      <c r="A1762" s="214"/>
      <c r="B1762" s="237">
        <v>1</v>
      </c>
      <c r="C1762" s="237">
        <v>3</v>
      </c>
      <c r="D1762" s="238" t="s">
        <v>2022</v>
      </c>
      <c r="E1762" s="238" t="s">
        <v>1934</v>
      </c>
      <c r="F1762" s="238" t="s">
        <v>1847</v>
      </c>
      <c r="G1762" s="238" t="s">
        <v>88</v>
      </c>
      <c r="H1762" s="239" t="s">
        <v>3615</v>
      </c>
      <c r="I1762" s="217"/>
      <c r="J1762" s="217"/>
      <c r="K1762" s="217"/>
      <c r="L1762" s="217"/>
      <c r="M1762" s="217"/>
      <c r="N1762" s="217"/>
      <c r="O1762" s="217"/>
      <c r="P1762" s="217"/>
    </row>
    <row r="1763" spans="1:16" s="219" customFormat="1" ht="30" hidden="1" x14ac:dyDescent="0.25">
      <c r="A1763" s="214"/>
      <c r="B1763" s="237">
        <v>1</v>
      </c>
      <c r="C1763" s="237">
        <v>3</v>
      </c>
      <c r="D1763" s="238" t="s">
        <v>2022</v>
      </c>
      <c r="E1763" s="238" t="s">
        <v>1934</v>
      </c>
      <c r="F1763" s="238" t="s">
        <v>1847</v>
      </c>
      <c r="G1763" s="238" t="s">
        <v>92</v>
      </c>
      <c r="H1763" s="239" t="s">
        <v>3616</v>
      </c>
      <c r="I1763" s="217"/>
      <c r="J1763" s="217"/>
      <c r="K1763" s="217"/>
      <c r="L1763" s="217"/>
      <c r="M1763" s="217"/>
      <c r="N1763" s="217"/>
      <c r="O1763" s="217"/>
      <c r="P1763" s="217"/>
    </row>
    <row r="1764" spans="1:16" s="219" customFormat="1" ht="30" hidden="1" x14ac:dyDescent="0.25">
      <c r="A1764" s="214"/>
      <c r="B1764" s="237">
        <v>1</v>
      </c>
      <c r="C1764" s="237">
        <v>3</v>
      </c>
      <c r="D1764" s="238" t="s">
        <v>2022</v>
      </c>
      <c r="E1764" s="238" t="s">
        <v>1934</v>
      </c>
      <c r="F1764" s="238" t="s">
        <v>1847</v>
      </c>
      <c r="G1764" s="238" t="s">
        <v>96</v>
      </c>
      <c r="H1764" s="239" t="s">
        <v>3617</v>
      </c>
      <c r="I1764" s="217"/>
      <c r="J1764" s="217"/>
      <c r="K1764" s="217"/>
      <c r="L1764" s="217"/>
      <c r="M1764" s="217"/>
      <c r="N1764" s="217"/>
      <c r="O1764" s="217"/>
      <c r="P1764" s="217"/>
    </row>
    <row r="1765" spans="1:16" s="219" customFormat="1" ht="30" hidden="1" x14ac:dyDescent="0.25">
      <c r="A1765" s="214"/>
      <c r="B1765" s="237">
        <v>1</v>
      </c>
      <c r="C1765" s="237">
        <v>3</v>
      </c>
      <c r="D1765" s="238" t="s">
        <v>2022</v>
      </c>
      <c r="E1765" s="238" t="s">
        <v>1934</v>
      </c>
      <c r="F1765" s="238" t="s">
        <v>1847</v>
      </c>
      <c r="G1765" s="238" t="s">
        <v>100</v>
      </c>
      <c r="H1765" s="239" t="s">
        <v>3618</v>
      </c>
      <c r="I1765" s="217"/>
      <c r="J1765" s="217"/>
      <c r="K1765" s="217"/>
      <c r="L1765" s="217"/>
      <c r="M1765" s="217"/>
      <c r="N1765" s="217"/>
      <c r="O1765" s="217"/>
      <c r="P1765" s="217"/>
    </row>
    <row r="1766" spans="1:16" s="219" customFormat="1" ht="30" hidden="1" x14ac:dyDescent="0.25">
      <c r="A1766" s="214"/>
      <c r="B1766" s="237">
        <v>1</v>
      </c>
      <c r="C1766" s="237">
        <v>3</v>
      </c>
      <c r="D1766" s="238" t="s">
        <v>2022</v>
      </c>
      <c r="E1766" s="238" t="s">
        <v>1934</v>
      </c>
      <c r="F1766" s="238" t="s">
        <v>1847</v>
      </c>
      <c r="G1766" s="238" t="s">
        <v>105</v>
      </c>
      <c r="H1766" s="239" t="s">
        <v>3619</v>
      </c>
      <c r="I1766" s="217"/>
      <c r="J1766" s="217"/>
      <c r="K1766" s="217"/>
      <c r="L1766" s="217"/>
      <c r="M1766" s="217"/>
      <c r="N1766" s="217"/>
      <c r="O1766" s="217"/>
      <c r="P1766" s="217"/>
    </row>
    <row r="1767" spans="1:16" s="213" customFormat="1" ht="30" hidden="1" x14ac:dyDescent="0.25">
      <c r="A1767" s="208" t="s">
        <v>263</v>
      </c>
      <c r="B1767" s="234">
        <v>1</v>
      </c>
      <c r="C1767" s="234">
        <v>3</v>
      </c>
      <c r="D1767" s="235" t="s">
        <v>2022</v>
      </c>
      <c r="E1767" s="235" t="s">
        <v>1934</v>
      </c>
      <c r="F1767" s="235" t="s">
        <v>1928</v>
      </c>
      <c r="G1767" s="234"/>
      <c r="H1767" s="236" t="s">
        <v>3620</v>
      </c>
      <c r="I1767" s="211">
        <f>SUM(I1768:I1777)</f>
        <v>0</v>
      </c>
      <c r="J1767" s="211">
        <f t="shared" ref="J1767:P1767" si="187">SUM(J1768:J1777)</f>
        <v>0</v>
      </c>
      <c r="K1767" s="211">
        <f t="shared" si="187"/>
        <v>0</v>
      </c>
      <c r="L1767" s="211">
        <f t="shared" si="187"/>
        <v>0</v>
      </c>
      <c r="M1767" s="211">
        <f t="shared" si="187"/>
        <v>0</v>
      </c>
      <c r="N1767" s="211">
        <f t="shared" si="187"/>
        <v>0</v>
      </c>
      <c r="O1767" s="211">
        <f t="shared" si="187"/>
        <v>0</v>
      </c>
      <c r="P1767" s="211">
        <f t="shared" si="187"/>
        <v>0</v>
      </c>
    </row>
    <row r="1768" spans="1:16" s="219" customFormat="1" ht="45" hidden="1" x14ac:dyDescent="0.25">
      <c r="A1768" s="214"/>
      <c r="B1768" s="237">
        <v>1</v>
      </c>
      <c r="C1768" s="237">
        <v>3</v>
      </c>
      <c r="D1768" s="238" t="s">
        <v>2022</v>
      </c>
      <c r="E1768" s="238" t="s">
        <v>1934</v>
      </c>
      <c r="F1768" s="238" t="s">
        <v>1928</v>
      </c>
      <c r="G1768" s="238" t="s">
        <v>58</v>
      </c>
      <c r="H1768" s="239" t="s">
        <v>3621</v>
      </c>
      <c r="I1768" s="217"/>
      <c r="J1768" s="217"/>
      <c r="K1768" s="217"/>
      <c r="L1768" s="217"/>
      <c r="M1768" s="217"/>
      <c r="N1768" s="217"/>
      <c r="O1768" s="217"/>
      <c r="P1768" s="217"/>
    </row>
    <row r="1769" spans="1:16" s="219" customFormat="1" ht="90" hidden="1" x14ac:dyDescent="0.25">
      <c r="A1769" s="214"/>
      <c r="B1769" s="237">
        <v>1</v>
      </c>
      <c r="C1769" s="237">
        <v>3</v>
      </c>
      <c r="D1769" s="238" t="s">
        <v>2022</v>
      </c>
      <c r="E1769" s="238" t="s">
        <v>1934</v>
      </c>
      <c r="F1769" s="238" t="s">
        <v>1928</v>
      </c>
      <c r="G1769" s="238" t="s">
        <v>75</v>
      </c>
      <c r="H1769" s="239" t="s">
        <v>3622</v>
      </c>
      <c r="I1769" s="217"/>
      <c r="J1769" s="217"/>
      <c r="K1769" s="217"/>
      <c r="L1769" s="217"/>
      <c r="M1769" s="217"/>
      <c r="N1769" s="217"/>
      <c r="O1769" s="217"/>
      <c r="P1769" s="217"/>
    </row>
    <row r="1770" spans="1:16" s="219" customFormat="1" ht="90" hidden="1" x14ac:dyDescent="0.25">
      <c r="A1770" s="214"/>
      <c r="B1770" s="237">
        <v>1</v>
      </c>
      <c r="C1770" s="237">
        <v>3</v>
      </c>
      <c r="D1770" s="238" t="s">
        <v>2022</v>
      </c>
      <c r="E1770" s="238" t="s">
        <v>1934</v>
      </c>
      <c r="F1770" s="238" t="s">
        <v>1928</v>
      </c>
      <c r="G1770" s="238" t="s">
        <v>79</v>
      </c>
      <c r="H1770" s="239" t="s">
        <v>3623</v>
      </c>
      <c r="I1770" s="217"/>
      <c r="J1770" s="217"/>
      <c r="K1770" s="217"/>
      <c r="L1770" s="217"/>
      <c r="M1770" s="217"/>
      <c r="N1770" s="217"/>
      <c r="O1770" s="217"/>
      <c r="P1770" s="217"/>
    </row>
    <row r="1771" spans="1:16" s="219" customFormat="1" ht="60" hidden="1" x14ac:dyDescent="0.25">
      <c r="A1771" s="214"/>
      <c r="B1771" s="237">
        <v>1</v>
      </c>
      <c r="C1771" s="237">
        <v>3</v>
      </c>
      <c r="D1771" s="238" t="s">
        <v>2022</v>
      </c>
      <c r="E1771" s="238" t="s">
        <v>1934</v>
      </c>
      <c r="F1771" s="238" t="s">
        <v>1928</v>
      </c>
      <c r="G1771" s="238" t="s">
        <v>84</v>
      </c>
      <c r="H1771" s="239" t="s">
        <v>3624</v>
      </c>
      <c r="I1771" s="217"/>
      <c r="J1771" s="217"/>
      <c r="K1771" s="217"/>
      <c r="L1771" s="217"/>
      <c r="M1771" s="217"/>
      <c r="N1771" s="217"/>
      <c r="O1771" s="217"/>
      <c r="P1771" s="217"/>
    </row>
    <row r="1772" spans="1:16" s="219" customFormat="1" ht="75" hidden="1" x14ac:dyDescent="0.25">
      <c r="A1772" s="214"/>
      <c r="B1772" s="237">
        <v>1</v>
      </c>
      <c r="C1772" s="237">
        <v>3</v>
      </c>
      <c r="D1772" s="238" t="s">
        <v>2022</v>
      </c>
      <c r="E1772" s="238" t="s">
        <v>1934</v>
      </c>
      <c r="F1772" s="238" t="s">
        <v>1928</v>
      </c>
      <c r="G1772" s="238" t="s">
        <v>88</v>
      </c>
      <c r="H1772" s="239" t="s">
        <v>3625</v>
      </c>
      <c r="I1772" s="217"/>
      <c r="J1772" s="217"/>
      <c r="K1772" s="217"/>
      <c r="L1772" s="217"/>
      <c r="M1772" s="217"/>
      <c r="N1772" s="217"/>
      <c r="O1772" s="217"/>
      <c r="P1772" s="217"/>
    </row>
    <row r="1773" spans="1:16" s="219" customFormat="1" ht="60" hidden="1" x14ac:dyDescent="0.25">
      <c r="A1773" s="214"/>
      <c r="B1773" s="237">
        <v>1</v>
      </c>
      <c r="C1773" s="237">
        <v>3</v>
      </c>
      <c r="D1773" s="238" t="s">
        <v>2022</v>
      </c>
      <c r="E1773" s="238" t="s">
        <v>1934</v>
      </c>
      <c r="F1773" s="238" t="s">
        <v>1928</v>
      </c>
      <c r="G1773" s="238" t="s">
        <v>92</v>
      </c>
      <c r="H1773" s="239" t="s">
        <v>3626</v>
      </c>
      <c r="I1773" s="217"/>
      <c r="J1773" s="217"/>
      <c r="K1773" s="217"/>
      <c r="L1773" s="217"/>
      <c r="M1773" s="217"/>
      <c r="N1773" s="217"/>
      <c r="O1773" s="217"/>
      <c r="P1773" s="217"/>
    </row>
    <row r="1774" spans="1:16" s="219" customFormat="1" ht="90" hidden="1" x14ac:dyDescent="0.25">
      <c r="A1774" s="214"/>
      <c r="B1774" s="237">
        <v>1</v>
      </c>
      <c r="C1774" s="237">
        <v>3</v>
      </c>
      <c r="D1774" s="238" t="s">
        <v>2022</v>
      </c>
      <c r="E1774" s="238" t="s">
        <v>1934</v>
      </c>
      <c r="F1774" s="238" t="s">
        <v>1928</v>
      </c>
      <c r="G1774" s="238" t="s">
        <v>96</v>
      </c>
      <c r="H1774" s="239" t="s">
        <v>3627</v>
      </c>
      <c r="I1774" s="217"/>
      <c r="J1774" s="217"/>
      <c r="K1774" s="217"/>
      <c r="L1774" s="217"/>
      <c r="M1774" s="217"/>
      <c r="N1774" s="217"/>
      <c r="O1774" s="217"/>
      <c r="P1774" s="217"/>
    </row>
    <row r="1775" spans="1:16" s="219" customFormat="1" ht="90" hidden="1" x14ac:dyDescent="0.25">
      <c r="A1775" s="214"/>
      <c r="B1775" s="237">
        <v>1</v>
      </c>
      <c r="C1775" s="237">
        <v>3</v>
      </c>
      <c r="D1775" s="238" t="s">
        <v>2022</v>
      </c>
      <c r="E1775" s="238" t="s">
        <v>1934</v>
      </c>
      <c r="F1775" s="238" t="s">
        <v>1928</v>
      </c>
      <c r="G1775" s="238" t="s">
        <v>100</v>
      </c>
      <c r="H1775" s="239" t="s">
        <v>3628</v>
      </c>
      <c r="I1775" s="217"/>
      <c r="J1775" s="217"/>
      <c r="K1775" s="217"/>
      <c r="L1775" s="217"/>
      <c r="M1775" s="217"/>
      <c r="N1775" s="217"/>
      <c r="O1775" s="217"/>
      <c r="P1775" s="217"/>
    </row>
    <row r="1776" spans="1:16" s="219" customFormat="1" ht="90" hidden="1" x14ac:dyDescent="0.25">
      <c r="A1776" s="214"/>
      <c r="B1776" s="237">
        <v>1</v>
      </c>
      <c r="C1776" s="237">
        <v>3</v>
      </c>
      <c r="D1776" s="238" t="s">
        <v>2022</v>
      </c>
      <c r="E1776" s="238" t="s">
        <v>1934</v>
      </c>
      <c r="F1776" s="238" t="s">
        <v>1928</v>
      </c>
      <c r="G1776" s="238" t="s">
        <v>105</v>
      </c>
      <c r="H1776" s="239" t="s">
        <v>3629</v>
      </c>
      <c r="I1776" s="217"/>
      <c r="J1776" s="217"/>
      <c r="K1776" s="217"/>
      <c r="L1776" s="217"/>
      <c r="M1776" s="217"/>
      <c r="N1776" s="217"/>
      <c r="O1776" s="217"/>
      <c r="P1776" s="217"/>
    </row>
    <row r="1777" spans="1:17" s="219" customFormat="1" ht="45" hidden="1" x14ac:dyDescent="0.25">
      <c r="A1777" s="214"/>
      <c r="B1777" s="237">
        <v>1</v>
      </c>
      <c r="C1777" s="237">
        <v>3</v>
      </c>
      <c r="D1777" s="238" t="s">
        <v>2022</v>
      </c>
      <c r="E1777" s="238" t="s">
        <v>1934</v>
      </c>
      <c r="F1777" s="238" t="s">
        <v>1928</v>
      </c>
      <c r="G1777" s="238" t="s">
        <v>108</v>
      </c>
      <c r="H1777" s="239" t="s">
        <v>3630</v>
      </c>
      <c r="I1777" s="217"/>
      <c r="J1777" s="217"/>
      <c r="K1777" s="217"/>
      <c r="L1777" s="217"/>
      <c r="M1777" s="217"/>
      <c r="N1777" s="217"/>
      <c r="O1777" s="217"/>
      <c r="P1777" s="217"/>
    </row>
    <row r="1778" spans="1:17" s="213" customFormat="1" ht="30" hidden="1" x14ac:dyDescent="0.25">
      <c r="A1778" s="208" t="s">
        <v>263</v>
      </c>
      <c r="B1778" s="234">
        <v>1</v>
      </c>
      <c r="C1778" s="234">
        <v>3</v>
      </c>
      <c r="D1778" s="235" t="s">
        <v>2022</v>
      </c>
      <c r="E1778" s="235" t="s">
        <v>1934</v>
      </c>
      <c r="F1778" s="235" t="s">
        <v>1934</v>
      </c>
      <c r="G1778" s="234"/>
      <c r="H1778" s="236" t="s">
        <v>3631</v>
      </c>
      <c r="I1778" s="211">
        <f>I1779</f>
        <v>0</v>
      </c>
      <c r="J1778" s="211">
        <f t="shared" ref="J1778:P1778" si="188">J1779</f>
        <v>0</v>
      </c>
      <c r="K1778" s="211">
        <f t="shared" si="188"/>
        <v>0</v>
      </c>
      <c r="L1778" s="211">
        <f t="shared" si="188"/>
        <v>0</v>
      </c>
      <c r="M1778" s="211">
        <f t="shared" si="188"/>
        <v>0</v>
      </c>
      <c r="N1778" s="211">
        <f t="shared" si="188"/>
        <v>0</v>
      </c>
      <c r="O1778" s="211">
        <f t="shared" si="188"/>
        <v>0</v>
      </c>
      <c r="P1778" s="211">
        <f t="shared" si="188"/>
        <v>0</v>
      </c>
    </row>
    <row r="1779" spans="1:17" s="219" customFormat="1" ht="30" hidden="1" x14ac:dyDescent="0.25">
      <c r="A1779" s="214"/>
      <c r="B1779" s="237">
        <v>1</v>
      </c>
      <c r="C1779" s="237">
        <v>3</v>
      </c>
      <c r="D1779" s="238" t="s">
        <v>2022</v>
      </c>
      <c r="E1779" s="238" t="s">
        <v>1934</v>
      </c>
      <c r="F1779" s="238" t="s">
        <v>1934</v>
      </c>
      <c r="G1779" s="238" t="s">
        <v>58</v>
      </c>
      <c r="H1779" s="239" t="s">
        <v>3632</v>
      </c>
      <c r="I1779" s="217"/>
      <c r="J1779" s="217"/>
      <c r="K1779" s="217"/>
      <c r="L1779" s="217"/>
      <c r="M1779" s="217"/>
      <c r="N1779" s="217"/>
      <c r="O1779" s="217"/>
      <c r="P1779" s="217"/>
    </row>
    <row r="1780" spans="1:17" s="213" customFormat="1" ht="30" hidden="1" x14ac:dyDescent="0.25">
      <c r="A1780" s="208" t="s">
        <v>263</v>
      </c>
      <c r="B1780" s="234">
        <v>1</v>
      </c>
      <c r="C1780" s="234">
        <v>3</v>
      </c>
      <c r="D1780" s="235" t="s">
        <v>2022</v>
      </c>
      <c r="E1780" s="235" t="s">
        <v>1934</v>
      </c>
      <c r="F1780" s="235" t="s">
        <v>2022</v>
      </c>
      <c r="G1780" s="234"/>
      <c r="H1780" s="236" t="s">
        <v>3633</v>
      </c>
      <c r="I1780" s="211">
        <f>SUM(I1781:I1787)</f>
        <v>0</v>
      </c>
      <c r="J1780" s="211">
        <f t="shared" ref="J1780:P1780" si="189">SUM(J1781:J1787)</f>
        <v>0</v>
      </c>
      <c r="K1780" s="211">
        <f t="shared" si="189"/>
        <v>0</v>
      </c>
      <c r="L1780" s="211">
        <f t="shared" si="189"/>
        <v>0</v>
      </c>
      <c r="M1780" s="211">
        <f t="shared" si="189"/>
        <v>0</v>
      </c>
      <c r="N1780" s="211">
        <f t="shared" si="189"/>
        <v>0</v>
      </c>
      <c r="O1780" s="211">
        <f t="shared" si="189"/>
        <v>0</v>
      </c>
      <c r="P1780" s="211">
        <f t="shared" si="189"/>
        <v>0</v>
      </c>
    </row>
    <row r="1781" spans="1:17" s="219" customFormat="1" ht="30" hidden="1" x14ac:dyDescent="0.25">
      <c r="A1781" s="214"/>
      <c r="B1781" s="237">
        <v>1</v>
      </c>
      <c r="C1781" s="237">
        <v>3</v>
      </c>
      <c r="D1781" s="238" t="s">
        <v>2022</v>
      </c>
      <c r="E1781" s="238" t="s">
        <v>1934</v>
      </c>
      <c r="F1781" s="238" t="s">
        <v>2022</v>
      </c>
      <c r="G1781" s="238" t="s">
        <v>58</v>
      </c>
      <c r="H1781" s="239" t="s">
        <v>3634</v>
      </c>
      <c r="I1781" s="217"/>
      <c r="J1781" s="217"/>
      <c r="K1781" s="217"/>
      <c r="L1781" s="217"/>
      <c r="M1781" s="217"/>
      <c r="N1781" s="217"/>
      <c r="O1781" s="217"/>
      <c r="P1781" s="217"/>
    </row>
    <row r="1782" spans="1:17" s="219" customFormat="1" ht="45" hidden="1" x14ac:dyDescent="0.25">
      <c r="A1782" s="214"/>
      <c r="B1782" s="237">
        <v>1</v>
      </c>
      <c r="C1782" s="237">
        <v>3</v>
      </c>
      <c r="D1782" s="238" t="s">
        <v>2022</v>
      </c>
      <c r="E1782" s="238" t="s">
        <v>1934</v>
      </c>
      <c r="F1782" s="238" t="s">
        <v>2022</v>
      </c>
      <c r="G1782" s="238" t="s">
        <v>75</v>
      </c>
      <c r="H1782" s="239" t="s">
        <v>3635</v>
      </c>
      <c r="I1782" s="217"/>
      <c r="J1782" s="217"/>
      <c r="K1782" s="217"/>
      <c r="L1782" s="217"/>
      <c r="M1782" s="217"/>
      <c r="N1782" s="217"/>
      <c r="O1782" s="217"/>
      <c r="P1782" s="217"/>
    </row>
    <row r="1783" spans="1:17" s="219" customFormat="1" ht="30" hidden="1" x14ac:dyDescent="0.25">
      <c r="A1783" s="214"/>
      <c r="B1783" s="237">
        <v>1</v>
      </c>
      <c r="C1783" s="237">
        <v>3</v>
      </c>
      <c r="D1783" s="238" t="s">
        <v>2022</v>
      </c>
      <c r="E1783" s="238" t="s">
        <v>1934</v>
      </c>
      <c r="F1783" s="238" t="s">
        <v>2022</v>
      </c>
      <c r="G1783" s="238" t="s">
        <v>79</v>
      </c>
      <c r="H1783" s="239" t="s">
        <v>3636</v>
      </c>
      <c r="I1783" s="217"/>
      <c r="J1783" s="217"/>
      <c r="K1783" s="217"/>
      <c r="L1783" s="217"/>
      <c r="M1783" s="217"/>
      <c r="N1783" s="217"/>
      <c r="O1783" s="217"/>
      <c r="P1783" s="217"/>
    </row>
    <row r="1784" spans="1:17" s="219" customFormat="1" ht="30" hidden="1" x14ac:dyDescent="0.25">
      <c r="A1784" s="214"/>
      <c r="B1784" s="237">
        <v>1</v>
      </c>
      <c r="C1784" s="237">
        <v>3</v>
      </c>
      <c r="D1784" s="238" t="s">
        <v>2022</v>
      </c>
      <c r="E1784" s="238" t="s">
        <v>1934</v>
      </c>
      <c r="F1784" s="238" t="s">
        <v>2022</v>
      </c>
      <c r="G1784" s="238" t="s">
        <v>84</v>
      </c>
      <c r="H1784" s="239" t="s">
        <v>3637</v>
      </c>
      <c r="I1784" s="217"/>
      <c r="J1784" s="217"/>
      <c r="K1784" s="217"/>
      <c r="L1784" s="217"/>
      <c r="M1784" s="217"/>
      <c r="N1784" s="217"/>
      <c r="O1784" s="217"/>
      <c r="P1784" s="217"/>
    </row>
    <row r="1785" spans="1:17" s="219" customFormat="1" ht="30" hidden="1" x14ac:dyDescent="0.25">
      <c r="A1785" s="214"/>
      <c r="B1785" s="237">
        <v>1</v>
      </c>
      <c r="C1785" s="237">
        <v>3</v>
      </c>
      <c r="D1785" s="238" t="s">
        <v>2022</v>
      </c>
      <c r="E1785" s="238" t="s">
        <v>1934</v>
      </c>
      <c r="F1785" s="238" t="s">
        <v>2022</v>
      </c>
      <c r="G1785" s="238" t="s">
        <v>88</v>
      </c>
      <c r="H1785" s="239" t="s">
        <v>3638</v>
      </c>
      <c r="I1785" s="217"/>
      <c r="J1785" s="217"/>
      <c r="K1785" s="217"/>
      <c r="L1785" s="217"/>
      <c r="M1785" s="217"/>
      <c r="N1785" s="217"/>
      <c r="O1785" s="217"/>
      <c r="P1785" s="217"/>
    </row>
    <row r="1786" spans="1:17" s="219" customFormat="1" ht="30" hidden="1" x14ac:dyDescent="0.25">
      <c r="A1786" s="214"/>
      <c r="B1786" s="237">
        <v>1</v>
      </c>
      <c r="C1786" s="237">
        <v>3</v>
      </c>
      <c r="D1786" s="238" t="s">
        <v>2022</v>
      </c>
      <c r="E1786" s="238" t="s">
        <v>1934</v>
      </c>
      <c r="F1786" s="238" t="s">
        <v>2022</v>
      </c>
      <c r="G1786" s="238" t="s">
        <v>92</v>
      </c>
      <c r="H1786" s="239" t="s">
        <v>3639</v>
      </c>
      <c r="I1786" s="217"/>
      <c r="J1786" s="217"/>
      <c r="K1786" s="217"/>
      <c r="L1786" s="217"/>
      <c r="M1786" s="217"/>
      <c r="N1786" s="217"/>
      <c r="O1786" s="217"/>
      <c r="P1786" s="217"/>
    </row>
    <row r="1787" spans="1:17" s="219" customFormat="1" ht="45" hidden="1" x14ac:dyDescent="0.25">
      <c r="A1787" s="214"/>
      <c r="B1787" s="237">
        <v>1</v>
      </c>
      <c r="C1787" s="237">
        <v>3</v>
      </c>
      <c r="D1787" s="238" t="s">
        <v>2022</v>
      </c>
      <c r="E1787" s="238" t="s">
        <v>1934</v>
      </c>
      <c r="F1787" s="238" t="s">
        <v>2022</v>
      </c>
      <c r="G1787" s="238" t="s">
        <v>96</v>
      </c>
      <c r="H1787" s="239" t="s">
        <v>3640</v>
      </c>
      <c r="I1787" s="217"/>
      <c r="J1787" s="217"/>
      <c r="K1787" s="217"/>
      <c r="L1787" s="217"/>
      <c r="M1787" s="217"/>
      <c r="N1787" s="217"/>
      <c r="O1787" s="217"/>
      <c r="P1787" s="217"/>
    </row>
    <row r="1788" spans="1:17" s="213" customFormat="1" ht="30" hidden="1" x14ac:dyDescent="0.25">
      <c r="A1788" s="208" t="s">
        <v>263</v>
      </c>
      <c r="B1788" s="234">
        <v>1</v>
      </c>
      <c r="C1788" s="234">
        <v>3</v>
      </c>
      <c r="D1788" s="235" t="s">
        <v>2022</v>
      </c>
      <c r="E1788" s="235" t="s">
        <v>1934</v>
      </c>
      <c r="F1788" s="235" t="s">
        <v>2100</v>
      </c>
      <c r="G1788" s="234"/>
      <c r="H1788" s="236" t="s">
        <v>3641</v>
      </c>
      <c r="I1788" s="211">
        <f>I1789</f>
        <v>0</v>
      </c>
      <c r="J1788" s="211">
        <f t="shared" ref="J1788:P1788" si="190">J1789</f>
        <v>0</v>
      </c>
      <c r="K1788" s="211">
        <f t="shared" si="190"/>
        <v>0</v>
      </c>
      <c r="L1788" s="211">
        <f t="shared" si="190"/>
        <v>0</v>
      </c>
      <c r="M1788" s="211">
        <f t="shared" si="190"/>
        <v>0</v>
      </c>
      <c r="N1788" s="211">
        <f t="shared" si="190"/>
        <v>0</v>
      </c>
      <c r="O1788" s="211">
        <f t="shared" si="190"/>
        <v>0</v>
      </c>
      <c r="P1788" s="211">
        <f t="shared" si="190"/>
        <v>0</v>
      </c>
    </row>
    <row r="1789" spans="1:17" s="219" customFormat="1" ht="30" hidden="1" x14ac:dyDescent="0.25">
      <c r="A1789" s="214"/>
      <c r="B1789" s="237">
        <v>1</v>
      </c>
      <c r="C1789" s="237">
        <v>3</v>
      </c>
      <c r="D1789" s="238" t="s">
        <v>2022</v>
      </c>
      <c r="E1789" s="238" t="s">
        <v>1934</v>
      </c>
      <c r="F1789" s="238" t="s">
        <v>2100</v>
      </c>
      <c r="G1789" s="238" t="s">
        <v>58</v>
      </c>
      <c r="H1789" s="239" t="s">
        <v>3641</v>
      </c>
      <c r="I1789" s="217"/>
      <c r="J1789" s="217"/>
      <c r="K1789" s="217"/>
      <c r="L1789" s="217"/>
      <c r="M1789" s="217"/>
      <c r="N1789" s="217"/>
      <c r="O1789" s="217"/>
      <c r="P1789" s="217"/>
    </row>
    <row r="1790" spans="1:17" s="336" customFormat="1" x14ac:dyDescent="0.25">
      <c r="A1790" s="331"/>
      <c r="B1790" s="332"/>
      <c r="C1790" s="334"/>
      <c r="D1790" s="334"/>
      <c r="E1790" s="334"/>
      <c r="F1790" s="334"/>
      <c r="G1790" s="334"/>
      <c r="H1790" s="341"/>
      <c r="I1790" s="241"/>
      <c r="J1790" s="241"/>
      <c r="K1790" s="241"/>
      <c r="L1790" s="241"/>
      <c r="M1790" s="241"/>
      <c r="N1790" s="241"/>
      <c r="O1790" s="241"/>
      <c r="P1790" s="241"/>
    </row>
    <row r="1791" spans="1:17" s="339" customFormat="1" x14ac:dyDescent="0.25">
      <c r="A1791" s="337">
        <v>7</v>
      </c>
      <c r="B1791" s="338">
        <v>7</v>
      </c>
      <c r="C1791" s="333" t="s">
        <v>2100</v>
      </c>
      <c r="D1791" s="333"/>
      <c r="E1791" s="333"/>
      <c r="F1791" s="333"/>
      <c r="G1791" s="333"/>
      <c r="H1791" s="335" t="s">
        <v>3642</v>
      </c>
      <c r="I1791" s="230">
        <f>SUM(I1792+I1803+I1810+I1822+I1827+I1835)</f>
        <v>25200000</v>
      </c>
      <c r="J1791" s="230">
        <f t="shared" ref="J1791:P1791" si="191">SUM(J1792+J1803+J1810+J1822+J1827+J1835)</f>
        <v>0</v>
      </c>
      <c r="K1791" s="230">
        <f t="shared" si="191"/>
        <v>0</v>
      </c>
      <c r="L1791" s="230">
        <f t="shared" si="191"/>
        <v>0</v>
      </c>
      <c r="M1791" s="230">
        <f t="shared" si="191"/>
        <v>0</v>
      </c>
      <c r="N1791" s="230">
        <f t="shared" si="191"/>
        <v>0</v>
      </c>
      <c r="O1791" s="230">
        <f t="shared" si="191"/>
        <v>25200000</v>
      </c>
      <c r="P1791" s="230">
        <f t="shared" si="191"/>
        <v>0</v>
      </c>
    </row>
    <row r="1792" spans="1:17" s="213" customFormat="1" x14ac:dyDescent="0.25">
      <c r="A1792" s="208" t="s">
        <v>1827</v>
      </c>
      <c r="B1792" s="209" t="s">
        <v>1822</v>
      </c>
      <c r="C1792" s="209" t="s">
        <v>3643</v>
      </c>
      <c r="D1792" s="209" t="s">
        <v>1825</v>
      </c>
      <c r="E1792" s="209"/>
      <c r="F1792" s="209"/>
      <c r="G1792" s="209"/>
      <c r="H1792" s="210" t="s">
        <v>3644</v>
      </c>
      <c r="I1792" s="211">
        <f>I1793+I1798</f>
        <v>0</v>
      </c>
      <c r="J1792" s="211">
        <f t="shared" ref="J1792:P1792" si="192">J1793+J1798</f>
        <v>0</v>
      </c>
      <c r="K1792" s="211">
        <f t="shared" si="192"/>
        <v>0</v>
      </c>
      <c r="L1792" s="211">
        <f t="shared" si="192"/>
        <v>0</v>
      </c>
      <c r="M1792" s="211">
        <f t="shared" si="192"/>
        <v>0</v>
      </c>
      <c r="N1792" s="211">
        <f t="shared" si="192"/>
        <v>0</v>
      </c>
      <c r="O1792" s="211">
        <f t="shared" si="192"/>
        <v>0</v>
      </c>
      <c r="P1792" s="211">
        <f t="shared" si="192"/>
        <v>0</v>
      </c>
      <c r="Q1792" s="212"/>
    </row>
    <row r="1793" spans="1:17" s="213" customFormat="1" hidden="1" x14ac:dyDescent="0.25">
      <c r="A1793" s="208"/>
      <c r="B1793" s="209" t="s">
        <v>1822</v>
      </c>
      <c r="C1793" s="209" t="s">
        <v>3643</v>
      </c>
      <c r="D1793" s="209" t="s">
        <v>1825</v>
      </c>
      <c r="E1793" s="209" t="s">
        <v>1825</v>
      </c>
      <c r="F1793" s="209"/>
      <c r="G1793" s="209"/>
      <c r="H1793" s="210" t="s">
        <v>3645</v>
      </c>
      <c r="I1793" s="211">
        <f>I1794</f>
        <v>0</v>
      </c>
      <c r="J1793" s="211">
        <f t="shared" ref="J1793:P1793" si="193">J1794</f>
        <v>0</v>
      </c>
      <c r="K1793" s="211">
        <f t="shared" si="193"/>
        <v>0</v>
      </c>
      <c r="L1793" s="211">
        <f t="shared" si="193"/>
        <v>0</v>
      </c>
      <c r="M1793" s="211">
        <f t="shared" si="193"/>
        <v>0</v>
      </c>
      <c r="N1793" s="211">
        <f t="shared" si="193"/>
        <v>0</v>
      </c>
      <c r="O1793" s="211">
        <f t="shared" si="193"/>
        <v>0</v>
      </c>
      <c r="P1793" s="211">
        <f t="shared" si="193"/>
        <v>0</v>
      </c>
      <c r="Q1793" s="212"/>
    </row>
    <row r="1794" spans="1:17" s="213" customFormat="1" ht="30" hidden="1" x14ac:dyDescent="0.25">
      <c r="A1794" s="208" t="s">
        <v>263</v>
      </c>
      <c r="B1794" s="209" t="s">
        <v>1822</v>
      </c>
      <c r="C1794" s="209" t="s">
        <v>3643</v>
      </c>
      <c r="D1794" s="209" t="s">
        <v>1825</v>
      </c>
      <c r="E1794" s="209" t="s">
        <v>1825</v>
      </c>
      <c r="F1794" s="209" t="s">
        <v>1825</v>
      </c>
      <c r="G1794" s="209"/>
      <c r="H1794" s="210" t="s">
        <v>3646</v>
      </c>
      <c r="I1794" s="211">
        <f>SUM(I1795:I1797)</f>
        <v>0</v>
      </c>
      <c r="J1794" s="211">
        <f t="shared" ref="J1794:P1794" si="194">SUM(J1795:J1797)</f>
        <v>0</v>
      </c>
      <c r="K1794" s="211">
        <f t="shared" si="194"/>
        <v>0</v>
      </c>
      <c r="L1794" s="211">
        <f t="shared" si="194"/>
        <v>0</v>
      </c>
      <c r="M1794" s="211">
        <f t="shared" si="194"/>
        <v>0</v>
      </c>
      <c r="N1794" s="211">
        <f t="shared" si="194"/>
        <v>0</v>
      </c>
      <c r="O1794" s="211">
        <f t="shared" si="194"/>
        <v>0</v>
      </c>
      <c r="P1794" s="211">
        <f t="shared" si="194"/>
        <v>0</v>
      </c>
      <c r="Q1794" s="212"/>
    </row>
    <row r="1795" spans="1:17" s="219" customFormat="1" ht="30" hidden="1" x14ac:dyDescent="0.25">
      <c r="A1795" s="214"/>
      <c r="B1795" s="215" t="s">
        <v>1822</v>
      </c>
      <c r="C1795" s="215" t="s">
        <v>3643</v>
      </c>
      <c r="D1795" s="215" t="s">
        <v>1825</v>
      </c>
      <c r="E1795" s="215" t="s">
        <v>1825</v>
      </c>
      <c r="F1795" s="215" t="s">
        <v>1825</v>
      </c>
      <c r="G1795" s="215" t="s">
        <v>58</v>
      </c>
      <c r="H1795" s="216" t="s">
        <v>3647</v>
      </c>
      <c r="I1795" s="217"/>
      <c r="J1795" s="217"/>
      <c r="K1795" s="217"/>
      <c r="L1795" s="217"/>
      <c r="M1795" s="217"/>
      <c r="N1795" s="217"/>
      <c r="O1795" s="217"/>
      <c r="P1795" s="217"/>
      <c r="Q1795" s="218"/>
    </row>
    <row r="1796" spans="1:17" s="219" customFormat="1" ht="30" hidden="1" x14ac:dyDescent="0.25">
      <c r="A1796" s="214"/>
      <c r="B1796" s="215" t="s">
        <v>1822</v>
      </c>
      <c r="C1796" s="215" t="s">
        <v>3643</v>
      </c>
      <c r="D1796" s="215" t="s">
        <v>1825</v>
      </c>
      <c r="E1796" s="215" t="s">
        <v>1825</v>
      </c>
      <c r="F1796" s="215" t="s">
        <v>1836</v>
      </c>
      <c r="G1796" s="215"/>
      <c r="H1796" s="216" t="s">
        <v>3648</v>
      </c>
      <c r="I1796" s="217"/>
      <c r="J1796" s="217"/>
      <c r="K1796" s="217"/>
      <c r="L1796" s="217"/>
      <c r="M1796" s="217"/>
      <c r="N1796" s="217"/>
      <c r="O1796" s="217"/>
      <c r="P1796" s="217"/>
      <c r="Q1796" s="218"/>
    </row>
    <row r="1797" spans="1:17" s="219" customFormat="1" ht="30" hidden="1" x14ac:dyDescent="0.25">
      <c r="A1797" s="214"/>
      <c r="B1797" s="215" t="s">
        <v>1822</v>
      </c>
      <c r="C1797" s="215" t="s">
        <v>3643</v>
      </c>
      <c r="D1797" s="215" t="s">
        <v>1825</v>
      </c>
      <c r="E1797" s="215" t="s">
        <v>1825</v>
      </c>
      <c r="F1797" s="215" t="s">
        <v>1836</v>
      </c>
      <c r="G1797" s="215" t="s">
        <v>58</v>
      </c>
      <c r="H1797" s="216" t="s">
        <v>3649</v>
      </c>
      <c r="I1797" s="217"/>
      <c r="J1797" s="217"/>
      <c r="K1797" s="217"/>
      <c r="L1797" s="217"/>
      <c r="M1797" s="217"/>
      <c r="N1797" s="217"/>
      <c r="O1797" s="217"/>
      <c r="P1797" s="217"/>
      <c r="Q1797" s="218"/>
    </row>
    <row r="1798" spans="1:17" s="213" customFormat="1" hidden="1" x14ac:dyDescent="0.25">
      <c r="A1798" s="208"/>
      <c r="B1798" s="209" t="s">
        <v>1822</v>
      </c>
      <c r="C1798" s="209" t="s">
        <v>3643</v>
      </c>
      <c r="D1798" s="209" t="s">
        <v>1825</v>
      </c>
      <c r="E1798" s="209" t="s">
        <v>1836</v>
      </c>
      <c r="F1798" s="209"/>
      <c r="G1798" s="209"/>
      <c r="H1798" s="210" t="s">
        <v>3650</v>
      </c>
      <c r="I1798" s="211">
        <f>I1799+I1801</f>
        <v>0</v>
      </c>
      <c r="J1798" s="211">
        <f t="shared" ref="J1798:P1798" si="195">J1799+J1801</f>
        <v>0</v>
      </c>
      <c r="K1798" s="211">
        <f t="shared" si="195"/>
        <v>0</v>
      </c>
      <c r="L1798" s="211">
        <f t="shared" si="195"/>
        <v>0</v>
      </c>
      <c r="M1798" s="211">
        <f t="shared" si="195"/>
        <v>0</v>
      </c>
      <c r="N1798" s="211">
        <f t="shared" si="195"/>
        <v>0</v>
      </c>
      <c r="O1798" s="211">
        <f t="shared" si="195"/>
        <v>0</v>
      </c>
      <c r="P1798" s="211">
        <f t="shared" si="195"/>
        <v>0</v>
      </c>
      <c r="Q1798" s="212"/>
    </row>
    <row r="1799" spans="1:17" s="213" customFormat="1" ht="30" hidden="1" x14ac:dyDescent="0.25">
      <c r="A1799" s="208" t="s">
        <v>263</v>
      </c>
      <c r="B1799" s="209" t="s">
        <v>1822</v>
      </c>
      <c r="C1799" s="209" t="s">
        <v>3643</v>
      </c>
      <c r="D1799" s="209" t="s">
        <v>1825</v>
      </c>
      <c r="E1799" s="209" t="s">
        <v>1836</v>
      </c>
      <c r="F1799" s="209" t="s">
        <v>1825</v>
      </c>
      <c r="G1799" s="209"/>
      <c r="H1799" s="210" t="s">
        <v>3651</v>
      </c>
      <c r="I1799" s="211">
        <f>I1800</f>
        <v>0</v>
      </c>
      <c r="J1799" s="211">
        <f t="shared" ref="J1799:P1799" si="196">J1800</f>
        <v>0</v>
      </c>
      <c r="K1799" s="211">
        <f t="shared" si="196"/>
        <v>0</v>
      </c>
      <c r="L1799" s="211">
        <f t="shared" si="196"/>
        <v>0</v>
      </c>
      <c r="M1799" s="211">
        <f t="shared" si="196"/>
        <v>0</v>
      </c>
      <c r="N1799" s="211">
        <f t="shared" si="196"/>
        <v>0</v>
      </c>
      <c r="O1799" s="211">
        <f t="shared" si="196"/>
        <v>0</v>
      </c>
      <c r="P1799" s="211">
        <f t="shared" si="196"/>
        <v>0</v>
      </c>
      <c r="Q1799" s="212"/>
    </row>
    <row r="1800" spans="1:17" s="219" customFormat="1" ht="30" hidden="1" x14ac:dyDescent="0.25">
      <c r="A1800" s="214"/>
      <c r="B1800" s="215" t="s">
        <v>1822</v>
      </c>
      <c r="C1800" s="215" t="s">
        <v>3643</v>
      </c>
      <c r="D1800" s="215" t="s">
        <v>1825</v>
      </c>
      <c r="E1800" s="215" t="s">
        <v>1836</v>
      </c>
      <c r="F1800" s="215" t="s">
        <v>1825</v>
      </c>
      <c r="G1800" s="215" t="s">
        <v>58</v>
      </c>
      <c r="H1800" s="216" t="s">
        <v>3652</v>
      </c>
      <c r="I1800" s="217"/>
      <c r="J1800" s="217"/>
      <c r="K1800" s="217"/>
      <c r="L1800" s="217"/>
      <c r="M1800" s="217"/>
      <c r="N1800" s="217"/>
      <c r="O1800" s="217"/>
      <c r="P1800" s="217"/>
      <c r="Q1800" s="218"/>
    </row>
    <row r="1801" spans="1:17" s="213" customFormat="1" ht="45" hidden="1" x14ac:dyDescent="0.25">
      <c r="A1801" s="208" t="s">
        <v>263</v>
      </c>
      <c r="B1801" s="209" t="s">
        <v>1822</v>
      </c>
      <c r="C1801" s="209" t="s">
        <v>3643</v>
      </c>
      <c r="D1801" s="209" t="s">
        <v>1825</v>
      </c>
      <c r="E1801" s="209" t="s">
        <v>1836</v>
      </c>
      <c r="F1801" s="209" t="s">
        <v>1836</v>
      </c>
      <c r="G1801" s="209"/>
      <c r="H1801" s="210" t="s">
        <v>3653</v>
      </c>
      <c r="I1801" s="211">
        <f>I1802</f>
        <v>0</v>
      </c>
      <c r="J1801" s="211">
        <f t="shared" ref="J1801:P1801" si="197">J1802</f>
        <v>0</v>
      </c>
      <c r="K1801" s="211">
        <f t="shared" si="197"/>
        <v>0</v>
      </c>
      <c r="L1801" s="211">
        <f t="shared" si="197"/>
        <v>0</v>
      </c>
      <c r="M1801" s="211">
        <f t="shared" si="197"/>
        <v>0</v>
      </c>
      <c r="N1801" s="211">
        <f t="shared" si="197"/>
        <v>0</v>
      </c>
      <c r="O1801" s="211">
        <f t="shared" si="197"/>
        <v>0</v>
      </c>
      <c r="P1801" s="211">
        <f t="shared" si="197"/>
        <v>0</v>
      </c>
      <c r="Q1801" s="212"/>
    </row>
    <row r="1802" spans="1:17" s="219" customFormat="1" ht="45" hidden="1" x14ac:dyDescent="0.25">
      <c r="A1802" s="214"/>
      <c r="B1802" s="215" t="s">
        <v>1822</v>
      </c>
      <c r="C1802" s="215" t="s">
        <v>3643</v>
      </c>
      <c r="D1802" s="215" t="s">
        <v>1825</v>
      </c>
      <c r="E1802" s="215" t="s">
        <v>1836</v>
      </c>
      <c r="F1802" s="215" t="s">
        <v>1836</v>
      </c>
      <c r="G1802" s="215" t="s">
        <v>58</v>
      </c>
      <c r="H1802" s="216" t="s">
        <v>3653</v>
      </c>
      <c r="I1802" s="217"/>
      <c r="J1802" s="217"/>
      <c r="K1802" s="217"/>
      <c r="L1802" s="217"/>
      <c r="M1802" s="217"/>
      <c r="N1802" s="217"/>
      <c r="O1802" s="217"/>
      <c r="P1802" s="217"/>
      <c r="Q1802" s="218"/>
    </row>
    <row r="1803" spans="1:17" s="213" customFormat="1" hidden="1" x14ac:dyDescent="0.25">
      <c r="A1803" s="208" t="s">
        <v>1905</v>
      </c>
      <c r="B1803" s="209" t="s">
        <v>1822</v>
      </c>
      <c r="C1803" s="209" t="s">
        <v>3643</v>
      </c>
      <c r="D1803" s="209" t="s">
        <v>1836</v>
      </c>
      <c r="E1803" s="209"/>
      <c r="F1803" s="209"/>
      <c r="G1803" s="209"/>
      <c r="H1803" s="210" t="s">
        <v>3654</v>
      </c>
      <c r="I1803" s="211">
        <f>I1804</f>
        <v>0</v>
      </c>
      <c r="J1803" s="211">
        <f t="shared" ref="J1803:P1804" si="198">J1804</f>
        <v>0</v>
      </c>
      <c r="K1803" s="211">
        <f t="shared" si="198"/>
        <v>0</v>
      </c>
      <c r="L1803" s="211">
        <f t="shared" si="198"/>
        <v>0</v>
      </c>
      <c r="M1803" s="211">
        <f t="shared" si="198"/>
        <v>0</v>
      </c>
      <c r="N1803" s="211">
        <f t="shared" si="198"/>
        <v>0</v>
      </c>
      <c r="O1803" s="211">
        <f t="shared" si="198"/>
        <v>0</v>
      </c>
      <c r="P1803" s="211">
        <f t="shared" si="198"/>
        <v>0</v>
      </c>
      <c r="Q1803" s="212"/>
    </row>
    <row r="1804" spans="1:17" s="213" customFormat="1" hidden="1" x14ac:dyDescent="0.25">
      <c r="A1804" s="208" t="s">
        <v>263</v>
      </c>
      <c r="B1804" s="209" t="s">
        <v>1822</v>
      </c>
      <c r="C1804" s="209" t="s">
        <v>3643</v>
      </c>
      <c r="D1804" s="209" t="s">
        <v>1836</v>
      </c>
      <c r="E1804" s="209" t="s">
        <v>1825</v>
      </c>
      <c r="F1804" s="209"/>
      <c r="G1804" s="209"/>
      <c r="H1804" s="210" t="s">
        <v>3654</v>
      </c>
      <c r="I1804" s="211">
        <f>I1805</f>
        <v>0</v>
      </c>
      <c r="J1804" s="211">
        <f t="shared" si="198"/>
        <v>0</v>
      </c>
      <c r="K1804" s="211">
        <f t="shared" si="198"/>
        <v>0</v>
      </c>
      <c r="L1804" s="211">
        <f t="shared" si="198"/>
        <v>0</v>
      </c>
      <c r="M1804" s="211">
        <f t="shared" si="198"/>
        <v>0</v>
      </c>
      <c r="N1804" s="211">
        <f t="shared" si="198"/>
        <v>0</v>
      </c>
      <c r="O1804" s="211">
        <f t="shared" si="198"/>
        <v>0</v>
      </c>
      <c r="P1804" s="211">
        <f t="shared" si="198"/>
        <v>0</v>
      </c>
      <c r="Q1804" s="212"/>
    </row>
    <row r="1805" spans="1:17" s="213" customFormat="1" hidden="1" x14ac:dyDescent="0.25">
      <c r="A1805" s="208" t="s">
        <v>263</v>
      </c>
      <c r="B1805" s="209" t="s">
        <v>1822</v>
      </c>
      <c r="C1805" s="209" t="s">
        <v>3643</v>
      </c>
      <c r="D1805" s="209" t="s">
        <v>1836</v>
      </c>
      <c r="E1805" s="209" t="s">
        <v>1825</v>
      </c>
      <c r="F1805" s="209" t="s">
        <v>1825</v>
      </c>
      <c r="G1805" s="209"/>
      <c r="H1805" s="210" t="s">
        <v>3654</v>
      </c>
      <c r="I1805" s="211">
        <f>SUM(I1806:I1809)</f>
        <v>0</v>
      </c>
      <c r="J1805" s="211">
        <f t="shared" ref="J1805:P1805" si="199">SUM(J1806:J1809)</f>
        <v>0</v>
      </c>
      <c r="K1805" s="211">
        <f t="shared" si="199"/>
        <v>0</v>
      </c>
      <c r="L1805" s="211">
        <f t="shared" si="199"/>
        <v>0</v>
      </c>
      <c r="M1805" s="211">
        <f t="shared" si="199"/>
        <v>0</v>
      </c>
      <c r="N1805" s="211">
        <f t="shared" si="199"/>
        <v>0</v>
      </c>
      <c r="O1805" s="211">
        <f t="shared" si="199"/>
        <v>0</v>
      </c>
      <c r="P1805" s="211">
        <f t="shared" si="199"/>
        <v>0</v>
      </c>
      <c r="Q1805" s="212"/>
    </row>
    <row r="1806" spans="1:17" s="219" customFormat="1" hidden="1" x14ac:dyDescent="0.25">
      <c r="A1806" s="214"/>
      <c r="B1806" s="215" t="s">
        <v>1822</v>
      </c>
      <c r="C1806" s="215" t="s">
        <v>3643</v>
      </c>
      <c r="D1806" s="215" t="s">
        <v>1836</v>
      </c>
      <c r="E1806" s="215" t="s">
        <v>1825</v>
      </c>
      <c r="F1806" s="215" t="s">
        <v>1825</v>
      </c>
      <c r="G1806" s="215" t="s">
        <v>58</v>
      </c>
      <c r="H1806" s="216" t="s">
        <v>3655</v>
      </c>
      <c r="I1806" s="217"/>
      <c r="J1806" s="217"/>
      <c r="K1806" s="217"/>
      <c r="L1806" s="217"/>
      <c r="M1806" s="217"/>
      <c r="N1806" s="217"/>
      <c r="O1806" s="217"/>
      <c r="P1806" s="217"/>
      <c r="Q1806" s="218"/>
    </row>
    <row r="1807" spans="1:17" s="219" customFormat="1" hidden="1" x14ac:dyDescent="0.25">
      <c r="A1807" s="214"/>
      <c r="B1807" s="215" t="s">
        <v>1822</v>
      </c>
      <c r="C1807" s="215" t="s">
        <v>3643</v>
      </c>
      <c r="D1807" s="215" t="s">
        <v>1836</v>
      </c>
      <c r="E1807" s="215" t="s">
        <v>1825</v>
      </c>
      <c r="F1807" s="215" t="s">
        <v>1825</v>
      </c>
      <c r="G1807" s="215" t="s">
        <v>75</v>
      </c>
      <c r="H1807" s="216" t="s">
        <v>3656</v>
      </c>
      <c r="I1807" s="217"/>
      <c r="J1807" s="217"/>
      <c r="K1807" s="217"/>
      <c r="L1807" s="217"/>
      <c r="M1807" s="217"/>
      <c r="N1807" s="217"/>
      <c r="O1807" s="217"/>
      <c r="P1807" s="217"/>
      <c r="Q1807" s="218"/>
    </row>
    <row r="1808" spans="1:17" s="219" customFormat="1" ht="30" hidden="1" x14ac:dyDescent="0.25">
      <c r="A1808" s="214"/>
      <c r="B1808" s="215" t="s">
        <v>1822</v>
      </c>
      <c r="C1808" s="215" t="s">
        <v>3643</v>
      </c>
      <c r="D1808" s="215" t="s">
        <v>1836</v>
      </c>
      <c r="E1808" s="215" t="s">
        <v>1825</v>
      </c>
      <c r="F1808" s="215" t="s">
        <v>1825</v>
      </c>
      <c r="G1808" s="215" t="s">
        <v>79</v>
      </c>
      <c r="H1808" s="216" t="s">
        <v>3657</v>
      </c>
      <c r="I1808" s="217"/>
      <c r="J1808" s="217"/>
      <c r="K1808" s="217"/>
      <c r="L1808" s="217"/>
      <c r="M1808" s="217"/>
      <c r="N1808" s="217"/>
      <c r="O1808" s="217"/>
      <c r="P1808" s="217"/>
      <c r="Q1808" s="218"/>
    </row>
    <row r="1809" spans="1:17" s="219" customFormat="1" hidden="1" x14ac:dyDescent="0.25">
      <c r="A1809" s="214"/>
      <c r="B1809" s="215" t="s">
        <v>1822</v>
      </c>
      <c r="C1809" s="215" t="s">
        <v>3643</v>
      </c>
      <c r="D1809" s="215" t="s">
        <v>1836</v>
      </c>
      <c r="E1809" s="215" t="s">
        <v>1825</v>
      </c>
      <c r="F1809" s="215" t="s">
        <v>1825</v>
      </c>
      <c r="G1809" s="215" t="s">
        <v>84</v>
      </c>
      <c r="H1809" s="216" t="s">
        <v>3658</v>
      </c>
      <c r="I1809" s="217"/>
      <c r="J1809" s="217"/>
      <c r="K1809" s="217"/>
      <c r="L1809" s="217"/>
      <c r="M1809" s="217"/>
      <c r="N1809" s="217"/>
      <c r="O1809" s="217"/>
      <c r="P1809" s="217"/>
      <c r="Q1809" s="218"/>
    </row>
    <row r="1810" spans="1:17" s="213" customFormat="1" hidden="1" x14ac:dyDescent="0.25">
      <c r="A1810" s="208" t="s">
        <v>1938</v>
      </c>
      <c r="B1810" s="209" t="s">
        <v>1822</v>
      </c>
      <c r="C1810" s="209" t="s">
        <v>3643</v>
      </c>
      <c r="D1810" s="209" t="s">
        <v>1847</v>
      </c>
      <c r="E1810" s="209"/>
      <c r="F1810" s="209"/>
      <c r="G1810" s="209"/>
      <c r="H1810" s="210" t="s">
        <v>3659</v>
      </c>
      <c r="I1810" s="211">
        <f>I1811</f>
        <v>0</v>
      </c>
      <c r="J1810" s="211">
        <f t="shared" ref="J1810:P1811" si="200">J1811</f>
        <v>0</v>
      </c>
      <c r="K1810" s="211">
        <f t="shared" si="200"/>
        <v>0</v>
      </c>
      <c r="L1810" s="211">
        <f t="shared" si="200"/>
        <v>0</v>
      </c>
      <c r="M1810" s="211">
        <f t="shared" si="200"/>
        <v>0</v>
      </c>
      <c r="N1810" s="211">
        <f t="shared" si="200"/>
        <v>0</v>
      </c>
      <c r="O1810" s="211">
        <f t="shared" si="200"/>
        <v>0</v>
      </c>
      <c r="P1810" s="211">
        <f t="shared" si="200"/>
        <v>0</v>
      </c>
      <c r="Q1810" s="212"/>
    </row>
    <row r="1811" spans="1:17" s="213" customFormat="1" hidden="1" x14ac:dyDescent="0.25">
      <c r="A1811" s="208" t="s">
        <v>263</v>
      </c>
      <c r="B1811" s="209" t="s">
        <v>1822</v>
      </c>
      <c r="C1811" s="209" t="s">
        <v>3643</v>
      </c>
      <c r="D1811" s="209" t="s">
        <v>1847</v>
      </c>
      <c r="E1811" s="209" t="s">
        <v>1825</v>
      </c>
      <c r="F1811" s="209"/>
      <c r="G1811" s="209"/>
      <c r="H1811" s="210" t="s">
        <v>3659</v>
      </c>
      <c r="I1811" s="211">
        <f>I1812</f>
        <v>0</v>
      </c>
      <c r="J1811" s="211">
        <f t="shared" si="200"/>
        <v>0</v>
      </c>
      <c r="K1811" s="211">
        <f t="shared" si="200"/>
        <v>0</v>
      </c>
      <c r="L1811" s="211">
        <f t="shared" si="200"/>
        <v>0</v>
      </c>
      <c r="M1811" s="211">
        <f t="shared" si="200"/>
        <v>0</v>
      </c>
      <c r="N1811" s="211">
        <f t="shared" si="200"/>
        <v>0</v>
      </c>
      <c r="O1811" s="211">
        <f t="shared" si="200"/>
        <v>0</v>
      </c>
      <c r="P1811" s="211">
        <f t="shared" si="200"/>
        <v>0</v>
      </c>
      <c r="Q1811" s="212"/>
    </row>
    <row r="1812" spans="1:17" s="213" customFormat="1" hidden="1" x14ac:dyDescent="0.25">
      <c r="A1812" s="208" t="s">
        <v>263</v>
      </c>
      <c r="B1812" s="209" t="s">
        <v>1822</v>
      </c>
      <c r="C1812" s="209" t="s">
        <v>3643</v>
      </c>
      <c r="D1812" s="209" t="s">
        <v>1847</v>
      </c>
      <c r="E1812" s="209" t="s">
        <v>1825</v>
      </c>
      <c r="F1812" s="209" t="s">
        <v>1825</v>
      </c>
      <c r="G1812" s="209"/>
      <c r="H1812" s="210" t="s">
        <v>3659</v>
      </c>
      <c r="I1812" s="211">
        <f>SUM(I1813:I1821)</f>
        <v>0</v>
      </c>
      <c r="J1812" s="211">
        <f t="shared" ref="J1812:P1812" si="201">SUM(J1813:J1821)</f>
        <v>0</v>
      </c>
      <c r="K1812" s="211">
        <f t="shared" si="201"/>
        <v>0</v>
      </c>
      <c r="L1812" s="211">
        <f t="shared" si="201"/>
        <v>0</v>
      </c>
      <c r="M1812" s="211">
        <f t="shared" si="201"/>
        <v>0</v>
      </c>
      <c r="N1812" s="211">
        <f t="shared" si="201"/>
        <v>0</v>
      </c>
      <c r="O1812" s="211">
        <f t="shared" si="201"/>
        <v>0</v>
      </c>
      <c r="P1812" s="211">
        <f t="shared" si="201"/>
        <v>0</v>
      </c>
      <c r="Q1812" s="212"/>
    </row>
    <row r="1813" spans="1:17" s="219" customFormat="1" hidden="1" x14ac:dyDescent="0.25">
      <c r="A1813" s="214"/>
      <c r="B1813" s="215" t="s">
        <v>1822</v>
      </c>
      <c r="C1813" s="215" t="s">
        <v>3643</v>
      </c>
      <c r="D1813" s="215" t="s">
        <v>1847</v>
      </c>
      <c r="E1813" s="215" t="s">
        <v>1825</v>
      </c>
      <c r="F1813" s="215" t="s">
        <v>1825</v>
      </c>
      <c r="G1813" s="215" t="s">
        <v>58</v>
      </c>
      <c r="H1813" s="216" t="s">
        <v>3660</v>
      </c>
      <c r="I1813" s="217"/>
      <c r="J1813" s="217"/>
      <c r="K1813" s="217"/>
      <c r="L1813" s="217"/>
      <c r="M1813" s="217"/>
      <c r="N1813" s="217"/>
      <c r="O1813" s="217"/>
      <c r="P1813" s="217"/>
      <c r="Q1813" s="218"/>
    </row>
    <row r="1814" spans="1:17" s="219" customFormat="1" hidden="1" x14ac:dyDescent="0.25">
      <c r="A1814" s="214"/>
      <c r="B1814" s="215" t="s">
        <v>1822</v>
      </c>
      <c r="C1814" s="215" t="s">
        <v>3643</v>
      </c>
      <c r="D1814" s="215" t="s">
        <v>1847</v>
      </c>
      <c r="E1814" s="215" t="s">
        <v>1825</v>
      </c>
      <c r="F1814" s="215" t="s">
        <v>1825</v>
      </c>
      <c r="G1814" s="215" t="s">
        <v>75</v>
      </c>
      <c r="H1814" s="216" t="s">
        <v>3661</v>
      </c>
      <c r="I1814" s="217"/>
      <c r="J1814" s="217"/>
      <c r="K1814" s="217"/>
      <c r="L1814" s="217"/>
      <c r="M1814" s="217"/>
      <c r="N1814" s="217"/>
      <c r="O1814" s="217"/>
      <c r="P1814" s="217"/>
      <c r="Q1814" s="218"/>
    </row>
    <row r="1815" spans="1:17" s="219" customFormat="1" hidden="1" x14ac:dyDescent="0.25">
      <c r="A1815" s="214"/>
      <c r="B1815" s="215" t="s">
        <v>1822</v>
      </c>
      <c r="C1815" s="215" t="s">
        <v>3643</v>
      </c>
      <c r="D1815" s="215" t="s">
        <v>1847</v>
      </c>
      <c r="E1815" s="215" t="s">
        <v>1825</v>
      </c>
      <c r="F1815" s="215" t="s">
        <v>1825</v>
      </c>
      <c r="G1815" s="215" t="s">
        <v>79</v>
      </c>
      <c r="H1815" s="216" t="s">
        <v>3662</v>
      </c>
      <c r="I1815" s="217"/>
      <c r="J1815" s="217"/>
      <c r="K1815" s="217"/>
      <c r="L1815" s="217"/>
      <c r="M1815" s="217"/>
      <c r="N1815" s="217"/>
      <c r="O1815" s="217"/>
      <c r="P1815" s="217"/>
      <c r="Q1815" s="218"/>
    </row>
    <row r="1816" spans="1:17" s="219" customFormat="1" hidden="1" x14ac:dyDescent="0.25">
      <c r="A1816" s="214"/>
      <c r="B1816" s="215" t="s">
        <v>1822</v>
      </c>
      <c r="C1816" s="215" t="s">
        <v>3643</v>
      </c>
      <c r="D1816" s="215" t="s">
        <v>1847</v>
      </c>
      <c r="E1816" s="215" t="s">
        <v>1825</v>
      </c>
      <c r="F1816" s="215" t="s">
        <v>1825</v>
      </c>
      <c r="G1816" s="215" t="s">
        <v>84</v>
      </c>
      <c r="H1816" s="216" t="s">
        <v>3663</v>
      </c>
      <c r="I1816" s="217"/>
      <c r="J1816" s="217"/>
      <c r="K1816" s="217"/>
      <c r="L1816" s="217"/>
      <c r="M1816" s="217"/>
      <c r="N1816" s="217"/>
      <c r="O1816" s="217"/>
      <c r="P1816" s="217"/>
      <c r="Q1816" s="218"/>
    </row>
    <row r="1817" spans="1:17" s="219" customFormat="1" hidden="1" x14ac:dyDescent="0.25">
      <c r="A1817" s="214"/>
      <c r="B1817" s="215" t="s">
        <v>1822</v>
      </c>
      <c r="C1817" s="215" t="s">
        <v>3643</v>
      </c>
      <c r="D1817" s="215" t="s">
        <v>1847</v>
      </c>
      <c r="E1817" s="215" t="s">
        <v>1825</v>
      </c>
      <c r="F1817" s="215" t="s">
        <v>1825</v>
      </c>
      <c r="G1817" s="215" t="s">
        <v>88</v>
      </c>
      <c r="H1817" s="216" t="s">
        <v>3664</v>
      </c>
      <c r="I1817" s="217"/>
      <c r="J1817" s="217"/>
      <c r="K1817" s="217"/>
      <c r="L1817" s="217"/>
      <c r="M1817" s="217"/>
      <c r="N1817" s="217"/>
      <c r="O1817" s="217"/>
      <c r="P1817" s="217"/>
      <c r="Q1817" s="218"/>
    </row>
    <row r="1818" spans="1:17" s="219" customFormat="1" hidden="1" x14ac:dyDescent="0.25">
      <c r="A1818" s="214"/>
      <c r="B1818" s="215" t="s">
        <v>1822</v>
      </c>
      <c r="C1818" s="215" t="s">
        <v>3643</v>
      </c>
      <c r="D1818" s="215" t="s">
        <v>1847</v>
      </c>
      <c r="E1818" s="215" t="s">
        <v>1825</v>
      </c>
      <c r="F1818" s="215" t="s">
        <v>1825</v>
      </c>
      <c r="G1818" s="215" t="s">
        <v>92</v>
      </c>
      <c r="H1818" s="216" t="s">
        <v>3665</v>
      </c>
      <c r="I1818" s="217"/>
      <c r="J1818" s="217"/>
      <c r="K1818" s="217"/>
      <c r="L1818" s="217"/>
      <c r="M1818" s="217"/>
      <c r="N1818" s="217"/>
      <c r="O1818" s="217"/>
      <c r="P1818" s="217"/>
      <c r="Q1818" s="218"/>
    </row>
    <row r="1819" spans="1:17" s="219" customFormat="1" ht="30" hidden="1" x14ac:dyDescent="0.25">
      <c r="A1819" s="214"/>
      <c r="B1819" s="215" t="s">
        <v>1822</v>
      </c>
      <c r="C1819" s="215" t="s">
        <v>3643</v>
      </c>
      <c r="D1819" s="215" t="s">
        <v>1847</v>
      </c>
      <c r="E1819" s="215" t="s">
        <v>1825</v>
      </c>
      <c r="F1819" s="215" t="s">
        <v>1825</v>
      </c>
      <c r="G1819" s="215" t="s">
        <v>96</v>
      </c>
      <c r="H1819" s="216" t="s">
        <v>3666</v>
      </c>
      <c r="I1819" s="217"/>
      <c r="J1819" s="217"/>
      <c r="K1819" s="217"/>
      <c r="L1819" s="217"/>
      <c r="M1819" s="217"/>
      <c r="N1819" s="217"/>
      <c r="O1819" s="217"/>
      <c r="P1819" s="217"/>
      <c r="Q1819" s="218"/>
    </row>
    <row r="1820" spans="1:17" s="219" customFormat="1" ht="30" hidden="1" x14ac:dyDescent="0.25">
      <c r="A1820" s="214"/>
      <c r="B1820" s="215" t="s">
        <v>1822</v>
      </c>
      <c r="C1820" s="215" t="s">
        <v>3643</v>
      </c>
      <c r="D1820" s="215" t="s">
        <v>1847</v>
      </c>
      <c r="E1820" s="215" t="s">
        <v>1825</v>
      </c>
      <c r="F1820" s="215" t="s">
        <v>1825</v>
      </c>
      <c r="G1820" s="215" t="s">
        <v>100</v>
      </c>
      <c r="H1820" s="216" t="s">
        <v>3667</v>
      </c>
      <c r="I1820" s="217"/>
      <c r="J1820" s="217"/>
      <c r="K1820" s="217"/>
      <c r="L1820" s="217"/>
      <c r="M1820" s="217"/>
      <c r="N1820" s="217"/>
      <c r="O1820" s="217"/>
      <c r="P1820" s="217"/>
      <c r="Q1820" s="218"/>
    </row>
    <row r="1821" spans="1:17" s="219" customFormat="1" hidden="1" x14ac:dyDescent="0.25">
      <c r="A1821" s="214"/>
      <c r="B1821" s="215" t="s">
        <v>1822</v>
      </c>
      <c r="C1821" s="215" t="s">
        <v>3643</v>
      </c>
      <c r="D1821" s="215" t="s">
        <v>1847</v>
      </c>
      <c r="E1821" s="215" t="s">
        <v>1825</v>
      </c>
      <c r="F1821" s="215" t="s">
        <v>1825</v>
      </c>
      <c r="G1821" s="215" t="s">
        <v>105</v>
      </c>
      <c r="H1821" s="216" t="s">
        <v>3668</v>
      </c>
      <c r="I1821" s="217"/>
      <c r="J1821" s="217"/>
      <c r="K1821" s="217"/>
      <c r="L1821" s="217"/>
      <c r="M1821" s="217"/>
      <c r="N1821" s="217"/>
      <c r="O1821" s="217"/>
      <c r="P1821" s="217"/>
      <c r="Q1821" s="218"/>
    </row>
    <row r="1822" spans="1:17" s="213" customFormat="1" x14ac:dyDescent="0.25">
      <c r="A1822" s="208" t="s">
        <v>1984</v>
      </c>
      <c r="B1822" s="209" t="s">
        <v>1822</v>
      </c>
      <c r="C1822" s="209" t="s">
        <v>3643</v>
      </c>
      <c r="D1822" s="209" t="s">
        <v>1928</v>
      </c>
      <c r="E1822" s="209"/>
      <c r="F1822" s="209"/>
      <c r="G1822" s="209"/>
      <c r="H1822" s="210" t="s">
        <v>3669</v>
      </c>
      <c r="I1822" s="211">
        <f>I1823</f>
        <v>25200000</v>
      </c>
      <c r="J1822" s="211">
        <f t="shared" ref="J1822:P1823" si="202">J1823</f>
        <v>0</v>
      </c>
      <c r="K1822" s="211">
        <f t="shared" si="202"/>
        <v>0</v>
      </c>
      <c r="L1822" s="211">
        <f t="shared" si="202"/>
        <v>0</v>
      </c>
      <c r="M1822" s="211">
        <f t="shared" si="202"/>
        <v>0</v>
      </c>
      <c r="N1822" s="211">
        <f t="shared" si="202"/>
        <v>0</v>
      </c>
      <c r="O1822" s="211">
        <f t="shared" si="202"/>
        <v>25200000</v>
      </c>
      <c r="P1822" s="211">
        <f t="shared" si="202"/>
        <v>0</v>
      </c>
      <c r="Q1822" s="212"/>
    </row>
    <row r="1823" spans="1:17" s="213" customFormat="1" x14ac:dyDescent="0.25">
      <c r="A1823" s="208" t="s">
        <v>263</v>
      </c>
      <c r="B1823" s="209" t="s">
        <v>1822</v>
      </c>
      <c r="C1823" s="209" t="s">
        <v>3643</v>
      </c>
      <c r="D1823" s="209" t="s">
        <v>1928</v>
      </c>
      <c r="E1823" s="209" t="s">
        <v>1825</v>
      </c>
      <c r="F1823" s="209"/>
      <c r="G1823" s="209"/>
      <c r="H1823" s="210" t="s">
        <v>3669</v>
      </c>
      <c r="I1823" s="211">
        <f>I1824</f>
        <v>25200000</v>
      </c>
      <c r="J1823" s="211">
        <f t="shared" si="202"/>
        <v>0</v>
      </c>
      <c r="K1823" s="211">
        <f t="shared" si="202"/>
        <v>0</v>
      </c>
      <c r="L1823" s="211">
        <f t="shared" si="202"/>
        <v>0</v>
      </c>
      <c r="M1823" s="211">
        <f t="shared" si="202"/>
        <v>0</v>
      </c>
      <c r="N1823" s="211">
        <f t="shared" si="202"/>
        <v>0</v>
      </c>
      <c r="O1823" s="211">
        <f t="shared" si="202"/>
        <v>25200000</v>
      </c>
      <c r="P1823" s="211">
        <f t="shared" si="202"/>
        <v>0</v>
      </c>
      <c r="Q1823" s="212"/>
    </row>
    <row r="1824" spans="1:17" s="213" customFormat="1" x14ac:dyDescent="0.25">
      <c r="A1824" s="208" t="s">
        <v>263</v>
      </c>
      <c r="B1824" s="209" t="s">
        <v>1822</v>
      </c>
      <c r="C1824" s="209" t="s">
        <v>3643</v>
      </c>
      <c r="D1824" s="209" t="s">
        <v>1928</v>
      </c>
      <c r="E1824" s="209" t="s">
        <v>1825</v>
      </c>
      <c r="F1824" s="209" t="s">
        <v>1825</v>
      </c>
      <c r="G1824" s="209"/>
      <c r="H1824" s="210" t="s">
        <v>3669</v>
      </c>
      <c r="I1824" s="211">
        <f>SUM(I1825:I1826)</f>
        <v>25200000</v>
      </c>
      <c r="J1824" s="211">
        <f t="shared" ref="J1824:P1824" si="203">SUM(J1825:J1826)</f>
        <v>0</v>
      </c>
      <c r="K1824" s="211">
        <f t="shared" si="203"/>
        <v>0</v>
      </c>
      <c r="L1824" s="211">
        <f t="shared" si="203"/>
        <v>0</v>
      </c>
      <c r="M1824" s="211">
        <f t="shared" si="203"/>
        <v>0</v>
      </c>
      <c r="N1824" s="211">
        <f t="shared" si="203"/>
        <v>0</v>
      </c>
      <c r="O1824" s="211">
        <f t="shared" si="203"/>
        <v>25200000</v>
      </c>
      <c r="P1824" s="211">
        <f t="shared" si="203"/>
        <v>0</v>
      </c>
      <c r="Q1824" s="212"/>
    </row>
    <row r="1825" spans="1:20" s="219" customFormat="1" x14ac:dyDescent="0.25">
      <c r="A1825" s="214"/>
      <c r="B1825" s="215" t="s">
        <v>1822</v>
      </c>
      <c r="C1825" s="215" t="s">
        <v>3643</v>
      </c>
      <c r="D1825" s="215" t="s">
        <v>1928</v>
      </c>
      <c r="E1825" s="215" t="s">
        <v>1825</v>
      </c>
      <c r="F1825" s="215" t="s">
        <v>1825</v>
      </c>
      <c r="G1825" s="215" t="s">
        <v>58</v>
      </c>
      <c r="H1825" s="216" t="s">
        <v>3670</v>
      </c>
      <c r="I1825" s="217">
        <v>25200000</v>
      </c>
      <c r="J1825" s="217"/>
      <c r="K1825" s="217"/>
      <c r="L1825" s="217"/>
      <c r="M1825" s="217"/>
      <c r="N1825" s="217"/>
      <c r="O1825" s="217">
        <v>25200000</v>
      </c>
      <c r="P1825" s="217"/>
      <c r="Q1825" s="218"/>
    </row>
    <row r="1826" spans="1:20" s="219" customFormat="1" ht="30" x14ac:dyDescent="0.25">
      <c r="A1826" s="214"/>
      <c r="B1826" s="215" t="s">
        <v>1822</v>
      </c>
      <c r="C1826" s="215" t="s">
        <v>3643</v>
      </c>
      <c r="D1826" s="215" t="s">
        <v>1928</v>
      </c>
      <c r="E1826" s="215" t="s">
        <v>1825</v>
      </c>
      <c r="F1826" s="215" t="s">
        <v>1825</v>
      </c>
      <c r="G1826" s="215" t="s">
        <v>75</v>
      </c>
      <c r="H1826" s="216" t="s">
        <v>3671</v>
      </c>
      <c r="I1826" s="217"/>
      <c r="J1826" s="217"/>
      <c r="K1826" s="217"/>
      <c r="L1826" s="217"/>
      <c r="M1826" s="217"/>
      <c r="N1826" s="217"/>
      <c r="O1826" s="217"/>
      <c r="P1826" s="217"/>
      <c r="Q1826" s="218"/>
    </row>
    <row r="1827" spans="1:20" s="213" customFormat="1" ht="30" hidden="1" x14ac:dyDescent="0.25">
      <c r="A1827" s="208" t="s">
        <v>1997</v>
      </c>
      <c r="B1827" s="209" t="s">
        <v>1822</v>
      </c>
      <c r="C1827" s="209" t="s">
        <v>3643</v>
      </c>
      <c r="D1827" s="209" t="s">
        <v>1934</v>
      </c>
      <c r="E1827" s="209"/>
      <c r="F1827" s="209"/>
      <c r="G1827" s="209"/>
      <c r="H1827" s="210" t="s">
        <v>3672</v>
      </c>
      <c r="I1827" s="211">
        <f>I1828</f>
        <v>0</v>
      </c>
      <c r="J1827" s="211">
        <f t="shared" ref="J1827:P1828" si="204">J1828</f>
        <v>0</v>
      </c>
      <c r="K1827" s="211">
        <f t="shared" si="204"/>
        <v>0</v>
      </c>
      <c r="L1827" s="211">
        <f t="shared" si="204"/>
        <v>0</v>
      </c>
      <c r="M1827" s="211">
        <f t="shared" si="204"/>
        <v>0</v>
      </c>
      <c r="N1827" s="211">
        <f t="shared" si="204"/>
        <v>0</v>
      </c>
      <c r="O1827" s="211">
        <f t="shared" si="204"/>
        <v>0</v>
      </c>
      <c r="P1827" s="211">
        <f t="shared" si="204"/>
        <v>0</v>
      </c>
      <c r="Q1827" s="212"/>
    </row>
    <row r="1828" spans="1:20" s="213" customFormat="1" ht="30" hidden="1" x14ac:dyDescent="0.25">
      <c r="A1828" s="208" t="s">
        <v>263</v>
      </c>
      <c r="B1828" s="209" t="s">
        <v>1822</v>
      </c>
      <c r="C1828" s="209" t="s">
        <v>3643</v>
      </c>
      <c r="D1828" s="209" t="s">
        <v>1934</v>
      </c>
      <c r="E1828" s="209" t="s">
        <v>1825</v>
      </c>
      <c r="F1828" s="209"/>
      <c r="G1828" s="209"/>
      <c r="H1828" s="210" t="s">
        <v>3672</v>
      </c>
      <c r="I1828" s="211">
        <f>I1829</f>
        <v>0</v>
      </c>
      <c r="J1828" s="211">
        <f t="shared" si="204"/>
        <v>0</v>
      </c>
      <c r="K1828" s="211">
        <f t="shared" si="204"/>
        <v>0</v>
      </c>
      <c r="L1828" s="211">
        <f t="shared" si="204"/>
        <v>0</v>
      </c>
      <c r="M1828" s="211">
        <f t="shared" si="204"/>
        <v>0</v>
      </c>
      <c r="N1828" s="211">
        <f t="shared" si="204"/>
        <v>0</v>
      </c>
      <c r="O1828" s="211">
        <f t="shared" si="204"/>
        <v>0</v>
      </c>
      <c r="P1828" s="211">
        <f t="shared" si="204"/>
        <v>0</v>
      </c>
      <c r="Q1828" s="212"/>
    </row>
    <row r="1829" spans="1:20" s="213" customFormat="1" ht="30" hidden="1" x14ac:dyDescent="0.25">
      <c r="A1829" s="208" t="s">
        <v>263</v>
      </c>
      <c r="B1829" s="209" t="s">
        <v>1822</v>
      </c>
      <c r="C1829" s="209" t="s">
        <v>3643</v>
      </c>
      <c r="D1829" s="209" t="s">
        <v>1934</v>
      </c>
      <c r="E1829" s="209" t="s">
        <v>1825</v>
      </c>
      <c r="F1829" s="209" t="s">
        <v>1825</v>
      </c>
      <c r="G1829" s="209"/>
      <c r="H1829" s="210" t="s">
        <v>3672</v>
      </c>
      <c r="I1829" s="211">
        <f>SUM(I1830:I1834)</f>
        <v>0</v>
      </c>
      <c r="J1829" s="211">
        <f t="shared" ref="J1829:P1829" si="205">SUM(J1830:J1834)</f>
        <v>0</v>
      </c>
      <c r="K1829" s="211">
        <f t="shared" si="205"/>
        <v>0</v>
      </c>
      <c r="L1829" s="211">
        <f t="shared" si="205"/>
        <v>0</v>
      </c>
      <c r="M1829" s="211">
        <f t="shared" si="205"/>
        <v>0</v>
      </c>
      <c r="N1829" s="211">
        <f t="shared" si="205"/>
        <v>0</v>
      </c>
      <c r="O1829" s="211">
        <f t="shared" si="205"/>
        <v>0</v>
      </c>
      <c r="P1829" s="211">
        <f t="shared" si="205"/>
        <v>0</v>
      </c>
      <c r="Q1829" s="212"/>
    </row>
    <row r="1830" spans="1:20" s="219" customFormat="1" ht="30" hidden="1" x14ac:dyDescent="0.25">
      <c r="A1830" s="214"/>
      <c r="B1830" s="215" t="s">
        <v>1822</v>
      </c>
      <c r="C1830" s="215" t="s">
        <v>3643</v>
      </c>
      <c r="D1830" s="215" t="s">
        <v>1934</v>
      </c>
      <c r="E1830" s="215" t="s">
        <v>1825</v>
      </c>
      <c r="F1830" s="215" t="s">
        <v>1825</v>
      </c>
      <c r="G1830" s="215" t="s">
        <v>58</v>
      </c>
      <c r="H1830" s="216" t="s">
        <v>3673</v>
      </c>
      <c r="I1830" s="217"/>
      <c r="J1830" s="217"/>
      <c r="K1830" s="217"/>
      <c r="L1830" s="217"/>
      <c r="M1830" s="217"/>
      <c r="N1830" s="217"/>
      <c r="O1830" s="217"/>
      <c r="P1830" s="217"/>
      <c r="Q1830" s="218"/>
    </row>
    <row r="1831" spans="1:20" s="219" customFormat="1" ht="30" hidden="1" x14ac:dyDescent="0.25">
      <c r="A1831" s="214"/>
      <c r="B1831" s="215" t="s">
        <v>1822</v>
      </c>
      <c r="C1831" s="215" t="s">
        <v>3643</v>
      </c>
      <c r="D1831" s="215" t="s">
        <v>1934</v>
      </c>
      <c r="E1831" s="215" t="s">
        <v>1825</v>
      </c>
      <c r="F1831" s="215" t="s">
        <v>1825</v>
      </c>
      <c r="G1831" s="215" t="s">
        <v>75</v>
      </c>
      <c r="H1831" s="216" t="s">
        <v>3674</v>
      </c>
      <c r="I1831" s="217"/>
      <c r="J1831" s="217"/>
      <c r="K1831" s="217"/>
      <c r="L1831" s="217"/>
      <c r="M1831" s="217"/>
      <c r="N1831" s="217"/>
      <c r="O1831" s="217"/>
      <c r="P1831" s="217"/>
      <c r="Q1831" s="218"/>
    </row>
    <row r="1832" spans="1:20" s="219" customFormat="1" ht="30" hidden="1" x14ac:dyDescent="0.25">
      <c r="A1832" s="214"/>
      <c r="B1832" s="215" t="s">
        <v>1822</v>
      </c>
      <c r="C1832" s="215" t="s">
        <v>3643</v>
      </c>
      <c r="D1832" s="215" t="s">
        <v>1934</v>
      </c>
      <c r="E1832" s="215" t="s">
        <v>1825</v>
      </c>
      <c r="F1832" s="215" t="s">
        <v>1825</v>
      </c>
      <c r="G1832" s="215" t="s">
        <v>79</v>
      </c>
      <c r="H1832" s="216" t="s">
        <v>3675</v>
      </c>
      <c r="I1832" s="217"/>
      <c r="J1832" s="217"/>
      <c r="K1832" s="217"/>
      <c r="L1832" s="217"/>
      <c r="M1832" s="217"/>
      <c r="N1832" s="217"/>
      <c r="O1832" s="217"/>
      <c r="P1832" s="217"/>
      <c r="Q1832" s="218"/>
    </row>
    <row r="1833" spans="1:20" s="219" customFormat="1" ht="30" hidden="1" x14ac:dyDescent="0.25">
      <c r="A1833" s="214"/>
      <c r="B1833" s="215" t="s">
        <v>1822</v>
      </c>
      <c r="C1833" s="215" t="s">
        <v>3643</v>
      </c>
      <c r="D1833" s="215" t="s">
        <v>1934</v>
      </c>
      <c r="E1833" s="215" t="s">
        <v>1825</v>
      </c>
      <c r="F1833" s="215" t="s">
        <v>1825</v>
      </c>
      <c r="G1833" s="215" t="s">
        <v>84</v>
      </c>
      <c r="H1833" s="216" t="s">
        <v>3676</v>
      </c>
      <c r="I1833" s="217"/>
      <c r="J1833" s="217"/>
      <c r="K1833" s="217"/>
      <c r="L1833" s="217"/>
      <c r="M1833" s="217"/>
      <c r="N1833" s="217"/>
      <c r="O1833" s="217"/>
      <c r="P1833" s="217"/>
      <c r="Q1833" s="218"/>
    </row>
    <row r="1834" spans="1:20" s="219" customFormat="1" ht="30" hidden="1" x14ac:dyDescent="0.25">
      <c r="A1834" s="214"/>
      <c r="B1834" s="215" t="s">
        <v>1822</v>
      </c>
      <c r="C1834" s="215" t="s">
        <v>3643</v>
      </c>
      <c r="D1834" s="215" t="s">
        <v>1934</v>
      </c>
      <c r="E1834" s="215" t="s">
        <v>1825</v>
      </c>
      <c r="F1834" s="215" t="s">
        <v>1825</v>
      </c>
      <c r="G1834" s="215" t="s">
        <v>88</v>
      </c>
      <c r="H1834" s="216" t="s">
        <v>3677</v>
      </c>
      <c r="I1834" s="217"/>
      <c r="J1834" s="217"/>
      <c r="K1834" s="217"/>
      <c r="L1834" s="217"/>
      <c r="M1834" s="217"/>
      <c r="N1834" s="217"/>
      <c r="O1834" s="217"/>
      <c r="P1834" s="217"/>
      <c r="Q1834" s="218"/>
    </row>
    <row r="1835" spans="1:20" s="213" customFormat="1" hidden="1" x14ac:dyDescent="0.25">
      <c r="A1835" s="208" t="s">
        <v>2021</v>
      </c>
      <c r="B1835" s="209" t="s">
        <v>1822</v>
      </c>
      <c r="C1835" s="209" t="s">
        <v>3643</v>
      </c>
      <c r="D1835" s="209" t="s">
        <v>2022</v>
      </c>
      <c r="E1835" s="209"/>
      <c r="F1835" s="209"/>
      <c r="G1835" s="209"/>
      <c r="H1835" s="210" t="s">
        <v>3678</v>
      </c>
      <c r="I1835" s="211">
        <f>I1836</f>
        <v>0</v>
      </c>
      <c r="J1835" s="211">
        <f t="shared" ref="J1835:P1836" si="206">J1836</f>
        <v>0</v>
      </c>
      <c r="K1835" s="211">
        <f t="shared" si="206"/>
        <v>0</v>
      </c>
      <c r="L1835" s="211">
        <f t="shared" si="206"/>
        <v>0</v>
      </c>
      <c r="M1835" s="211">
        <f t="shared" si="206"/>
        <v>0</v>
      </c>
      <c r="N1835" s="211">
        <f t="shared" si="206"/>
        <v>0</v>
      </c>
      <c r="O1835" s="211">
        <f t="shared" si="206"/>
        <v>0</v>
      </c>
      <c r="P1835" s="211">
        <f t="shared" si="206"/>
        <v>0</v>
      </c>
      <c r="Q1835" s="212"/>
    </row>
    <row r="1836" spans="1:20" s="213" customFormat="1" hidden="1" x14ac:dyDescent="0.25">
      <c r="A1836" s="208" t="s">
        <v>263</v>
      </c>
      <c r="B1836" s="209" t="s">
        <v>1822</v>
      </c>
      <c r="C1836" s="209" t="s">
        <v>3643</v>
      </c>
      <c r="D1836" s="209" t="s">
        <v>2022</v>
      </c>
      <c r="E1836" s="209" t="s">
        <v>1825</v>
      </c>
      <c r="F1836" s="209"/>
      <c r="G1836" s="209"/>
      <c r="H1836" s="210" t="s">
        <v>3678</v>
      </c>
      <c r="I1836" s="211">
        <f>I1837</f>
        <v>0</v>
      </c>
      <c r="J1836" s="211">
        <f t="shared" si="206"/>
        <v>0</v>
      </c>
      <c r="K1836" s="211">
        <f t="shared" si="206"/>
        <v>0</v>
      </c>
      <c r="L1836" s="211">
        <f t="shared" si="206"/>
        <v>0</v>
      </c>
      <c r="M1836" s="211">
        <f t="shared" si="206"/>
        <v>0</v>
      </c>
      <c r="N1836" s="211">
        <f t="shared" si="206"/>
        <v>0</v>
      </c>
      <c r="O1836" s="211">
        <f t="shared" si="206"/>
        <v>0</v>
      </c>
      <c r="P1836" s="211">
        <f t="shared" si="206"/>
        <v>0</v>
      </c>
      <c r="Q1836" s="212"/>
    </row>
    <row r="1837" spans="1:20" s="213" customFormat="1" ht="30" hidden="1" x14ac:dyDescent="0.25">
      <c r="A1837" s="208" t="s">
        <v>263</v>
      </c>
      <c r="B1837" s="209" t="s">
        <v>1822</v>
      </c>
      <c r="C1837" s="209" t="s">
        <v>3643</v>
      </c>
      <c r="D1837" s="209" t="s">
        <v>2022</v>
      </c>
      <c r="E1837" s="209" t="s">
        <v>1825</v>
      </c>
      <c r="F1837" s="209" t="s">
        <v>1825</v>
      </c>
      <c r="G1837" s="209"/>
      <c r="H1837" s="210" t="s">
        <v>3679</v>
      </c>
      <c r="I1837" s="211">
        <f>SUM(I1838:I1841)</f>
        <v>0</v>
      </c>
      <c r="J1837" s="211">
        <f t="shared" ref="J1837:P1837" si="207">SUM(J1838:J1841)</f>
        <v>0</v>
      </c>
      <c r="K1837" s="211">
        <f t="shared" si="207"/>
        <v>0</v>
      </c>
      <c r="L1837" s="211">
        <f t="shared" si="207"/>
        <v>0</v>
      </c>
      <c r="M1837" s="211">
        <f t="shared" si="207"/>
        <v>0</v>
      </c>
      <c r="N1837" s="211">
        <f t="shared" si="207"/>
        <v>0</v>
      </c>
      <c r="O1837" s="211">
        <f t="shared" si="207"/>
        <v>0</v>
      </c>
      <c r="P1837" s="211">
        <f t="shared" si="207"/>
        <v>0</v>
      </c>
      <c r="Q1837" s="212"/>
    </row>
    <row r="1838" spans="1:20" s="219" customFormat="1" ht="30" hidden="1" x14ac:dyDescent="0.25">
      <c r="A1838" s="214"/>
      <c r="B1838" s="215" t="s">
        <v>1822</v>
      </c>
      <c r="C1838" s="215" t="s">
        <v>3643</v>
      </c>
      <c r="D1838" s="215" t="s">
        <v>2022</v>
      </c>
      <c r="E1838" s="215" t="s">
        <v>1825</v>
      </c>
      <c r="F1838" s="215" t="s">
        <v>1825</v>
      </c>
      <c r="G1838" s="215" t="s">
        <v>58</v>
      </c>
      <c r="H1838" s="216" t="s">
        <v>3680</v>
      </c>
      <c r="I1838" s="217"/>
      <c r="J1838" s="242"/>
      <c r="K1838" s="242"/>
      <c r="L1838" s="243"/>
      <c r="M1838" s="244"/>
      <c r="N1838" s="244"/>
      <c r="O1838" s="244"/>
      <c r="P1838" s="244"/>
      <c r="Q1838" s="245"/>
      <c r="R1838" s="245"/>
      <c r="S1838" s="218"/>
      <c r="T1838" s="246"/>
    </row>
    <row r="1839" spans="1:20" s="219" customFormat="1" ht="45" hidden="1" x14ac:dyDescent="0.25">
      <c r="A1839" s="214"/>
      <c r="B1839" s="215" t="s">
        <v>1822</v>
      </c>
      <c r="C1839" s="215" t="s">
        <v>3643</v>
      </c>
      <c r="D1839" s="215" t="s">
        <v>2022</v>
      </c>
      <c r="E1839" s="215" t="s">
        <v>1825</v>
      </c>
      <c r="F1839" s="215" t="s">
        <v>1825</v>
      </c>
      <c r="G1839" s="215" t="s">
        <v>75</v>
      </c>
      <c r="H1839" s="216" t="s">
        <v>3681</v>
      </c>
      <c r="I1839" s="217"/>
      <c r="J1839" s="242"/>
      <c r="K1839" s="242"/>
      <c r="L1839" s="242"/>
      <c r="M1839" s="242"/>
      <c r="N1839" s="242"/>
      <c r="O1839" s="242"/>
      <c r="P1839" s="242"/>
      <c r="Q1839" s="218"/>
    </row>
    <row r="1840" spans="1:20" s="219" customFormat="1" ht="60" hidden="1" x14ac:dyDescent="0.25">
      <c r="A1840" s="214"/>
      <c r="B1840" s="215" t="s">
        <v>1822</v>
      </c>
      <c r="C1840" s="215" t="s">
        <v>3643</v>
      </c>
      <c r="D1840" s="215" t="s">
        <v>2022</v>
      </c>
      <c r="E1840" s="215" t="s">
        <v>1825</v>
      </c>
      <c r="F1840" s="215" t="s">
        <v>1825</v>
      </c>
      <c r="G1840" s="215" t="s">
        <v>79</v>
      </c>
      <c r="H1840" s="216" t="s">
        <v>3682</v>
      </c>
      <c r="I1840" s="217"/>
      <c r="J1840" s="242"/>
      <c r="K1840" s="242"/>
      <c r="L1840" s="247"/>
      <c r="M1840" s="248"/>
      <c r="N1840" s="242"/>
      <c r="O1840" s="242"/>
      <c r="P1840" s="242"/>
      <c r="Q1840" s="218"/>
    </row>
    <row r="1841" spans="1:38" s="219" customFormat="1" ht="45" hidden="1" x14ac:dyDescent="0.25">
      <c r="A1841" s="214"/>
      <c r="B1841" s="215" t="s">
        <v>1822</v>
      </c>
      <c r="C1841" s="215" t="s">
        <v>3643</v>
      </c>
      <c r="D1841" s="215" t="s">
        <v>2022</v>
      </c>
      <c r="E1841" s="215" t="s">
        <v>1825</v>
      </c>
      <c r="F1841" s="215" t="s">
        <v>1825</v>
      </c>
      <c r="G1841" s="215" t="s">
        <v>84</v>
      </c>
      <c r="H1841" s="216" t="s">
        <v>3683</v>
      </c>
      <c r="I1841" s="217"/>
      <c r="J1841" s="242"/>
      <c r="K1841" s="242"/>
      <c r="L1841" s="247"/>
      <c r="M1841" s="248"/>
      <c r="N1841" s="242"/>
      <c r="O1841" s="242"/>
      <c r="P1841" s="242"/>
      <c r="Q1841" s="218"/>
    </row>
    <row r="1842" spans="1:38" s="320" customFormat="1" ht="15" hidden="1" customHeight="1" x14ac:dyDescent="0.25">
      <c r="A1842" s="319"/>
      <c r="B1842" s="342"/>
      <c r="C1842" s="343"/>
      <c r="D1842" s="343"/>
      <c r="E1842" s="343"/>
      <c r="F1842" s="343"/>
      <c r="G1842" s="343"/>
      <c r="H1842" s="344"/>
      <c r="I1842" s="252"/>
      <c r="J1842" s="252"/>
      <c r="K1842" s="252"/>
      <c r="L1842" s="252"/>
      <c r="M1842" s="252"/>
      <c r="N1842" s="253"/>
      <c r="O1842" s="253"/>
      <c r="P1842" s="254"/>
    </row>
    <row r="1843" spans="1:38" s="325" customFormat="1" ht="12.75" customHeight="1" x14ac:dyDescent="0.25">
      <c r="A1843" s="323"/>
      <c r="B1843" s="345"/>
      <c r="C1843" s="346"/>
      <c r="D1843" s="346"/>
      <c r="E1843" s="346"/>
      <c r="F1843" s="346"/>
      <c r="G1843" s="347"/>
      <c r="H1843" s="348"/>
      <c r="I1843" s="259"/>
      <c r="J1843" s="230"/>
      <c r="K1843" s="230"/>
      <c r="L1843" s="230"/>
      <c r="M1843" s="230"/>
      <c r="N1843" s="260"/>
      <c r="O1843" s="260"/>
      <c r="P1843" s="230"/>
    </row>
    <row r="1844" spans="1:38" s="325" customFormat="1" x14ac:dyDescent="0.25">
      <c r="A1844" s="323"/>
      <c r="B1844" s="464" t="s">
        <v>3684</v>
      </c>
      <c r="C1844" s="464"/>
      <c r="D1844" s="464"/>
      <c r="E1844" s="464"/>
      <c r="F1844" s="464"/>
      <c r="G1844" s="464"/>
      <c r="H1844" s="464"/>
      <c r="I1844" s="261">
        <f>SUM(I1791+I11)</f>
        <v>38515014404.004616</v>
      </c>
      <c r="J1844" s="261">
        <f t="shared" ref="J1844:P1844" si="208">SUM(J1791+J11)</f>
        <v>2281276724.3075852</v>
      </c>
      <c r="K1844" s="261">
        <f t="shared" si="208"/>
        <v>574060949.75224078</v>
      </c>
      <c r="L1844" s="261">
        <f t="shared" si="208"/>
        <v>494283325.07219541</v>
      </c>
      <c r="M1844" s="261">
        <f t="shared" si="208"/>
        <v>1068344274.8244362</v>
      </c>
      <c r="N1844" s="261">
        <f>SUM(N1791+N11)</f>
        <v>21601343410.487553</v>
      </c>
      <c r="O1844" s="261">
        <f t="shared" si="208"/>
        <v>17060103566.585154</v>
      </c>
      <c r="P1844" s="261">
        <f t="shared" si="208"/>
        <v>0</v>
      </c>
    </row>
    <row r="1845" spans="1:38" s="320" customFormat="1" ht="15" customHeight="1" x14ac:dyDescent="0.25">
      <c r="A1845" s="319"/>
      <c r="B1845" s="349"/>
      <c r="C1845" s="349"/>
      <c r="D1845" s="349"/>
      <c r="E1845" s="349"/>
      <c r="F1845" s="349"/>
      <c r="G1845" s="349"/>
      <c r="H1845" s="349"/>
      <c r="I1845" s="326"/>
      <c r="J1845" s="350"/>
      <c r="K1845" s="350"/>
      <c r="L1845" s="350"/>
      <c r="M1845" s="350"/>
      <c r="N1845" s="465"/>
      <c r="O1845" s="465"/>
      <c r="P1845" s="387"/>
    </row>
    <row r="1846" spans="1:38" s="273" customFormat="1" ht="18" customHeight="1" x14ac:dyDescent="0.25">
      <c r="A1846" s="265"/>
      <c r="B1846" s="266"/>
      <c r="C1846" s="266"/>
      <c r="D1846" s="266"/>
      <c r="E1846" s="266"/>
      <c r="F1846" s="266"/>
      <c r="G1846" s="266"/>
      <c r="H1846" s="267" t="s">
        <v>3685</v>
      </c>
      <c r="I1846" s="306"/>
      <c r="J1846" s="268"/>
      <c r="K1846" s="269"/>
      <c r="L1846" s="269"/>
      <c r="M1846" s="360"/>
      <c r="N1846" s="450" t="s">
        <v>3713</v>
      </c>
      <c r="O1846" s="450"/>
      <c r="P1846" s="374"/>
      <c r="Q1846" s="269"/>
      <c r="R1846" s="269"/>
      <c r="S1846" s="270"/>
      <c r="T1846" s="270"/>
      <c r="U1846" s="270"/>
      <c r="V1846" s="269"/>
      <c r="W1846" s="271"/>
      <c r="X1846" s="266"/>
      <c r="Y1846" s="272"/>
      <c r="Z1846" s="266"/>
      <c r="AA1846" s="272"/>
      <c r="AB1846" s="272"/>
      <c r="AC1846" s="266"/>
      <c r="AD1846" s="450"/>
      <c r="AE1846" s="450"/>
      <c r="AF1846" s="266"/>
      <c r="AG1846" s="270"/>
      <c r="AH1846" s="270"/>
      <c r="AI1846" s="266"/>
    </row>
    <row r="1847" spans="1:38" s="273" customFormat="1" ht="16.5" customHeight="1" x14ac:dyDescent="0.25">
      <c r="A1847" s="265"/>
      <c r="B1847" s="266"/>
      <c r="C1847" s="266"/>
      <c r="D1847" s="266"/>
      <c r="E1847" s="266"/>
      <c r="F1847" s="266"/>
      <c r="G1847" s="269"/>
      <c r="H1847" s="274" t="s">
        <v>3686</v>
      </c>
      <c r="I1847" s="306"/>
      <c r="J1847" s="268"/>
      <c r="K1847" s="373"/>
      <c r="L1847" s="269"/>
      <c r="M1847" s="395"/>
      <c r="N1847" s="449" t="s">
        <v>3687</v>
      </c>
      <c r="O1847" s="449"/>
      <c r="P1847" s="373"/>
      <c r="Q1847" s="269"/>
      <c r="R1847" s="269"/>
      <c r="S1847" s="270"/>
      <c r="T1847" s="270"/>
      <c r="U1847" s="270"/>
      <c r="V1847" s="276"/>
      <c r="W1847" s="271"/>
      <c r="X1847" s="271"/>
      <c r="Y1847" s="271"/>
      <c r="Z1847" s="271"/>
      <c r="AA1847" s="271"/>
      <c r="AB1847" s="271"/>
      <c r="AC1847" s="266"/>
      <c r="AD1847" s="450"/>
      <c r="AE1847" s="450"/>
      <c r="AF1847" s="269"/>
      <c r="AG1847" s="277"/>
      <c r="AH1847" s="277"/>
      <c r="AI1847" s="266"/>
    </row>
    <row r="1848" spans="1:38" s="273" customFormat="1" ht="11.25" customHeight="1" x14ac:dyDescent="0.25">
      <c r="A1848" s="265"/>
      <c r="B1848" s="266"/>
      <c r="C1848" s="266"/>
      <c r="D1848" s="266"/>
      <c r="E1848" s="266"/>
      <c r="F1848" s="266"/>
      <c r="G1848" s="269"/>
      <c r="H1848" s="274" t="s">
        <v>3688</v>
      </c>
      <c r="I1848" s="268"/>
      <c r="J1848" s="268"/>
      <c r="K1848" s="269"/>
      <c r="L1848" s="269"/>
      <c r="M1848" s="266"/>
      <c r="N1848" s="266"/>
      <c r="O1848" s="266"/>
      <c r="P1848" s="269"/>
      <c r="Q1848" s="269"/>
      <c r="R1848" s="269"/>
      <c r="S1848" s="270"/>
      <c r="T1848" s="270"/>
      <c r="U1848" s="270"/>
      <c r="V1848" s="269"/>
      <c r="W1848" s="272"/>
      <c r="X1848" s="272"/>
      <c r="Y1848" s="272"/>
      <c r="Z1848" s="272"/>
      <c r="AA1848" s="272"/>
      <c r="AB1848" s="272"/>
      <c r="AC1848" s="266"/>
      <c r="AD1848" s="272"/>
      <c r="AE1848" s="272"/>
      <c r="AF1848" s="269"/>
      <c r="AG1848" s="277"/>
      <c r="AH1848" s="277"/>
      <c r="AI1848" s="266"/>
    </row>
    <row r="1849" spans="1:38" s="273" customFormat="1" ht="18" customHeight="1" x14ac:dyDescent="0.25">
      <c r="A1849" s="265"/>
      <c r="B1849" s="201"/>
      <c r="C1849" s="201"/>
      <c r="D1849" s="201"/>
      <c r="E1849" s="201"/>
      <c r="F1849" s="201"/>
      <c r="G1849" s="201"/>
      <c r="I1849" s="306"/>
      <c r="J1849" s="278"/>
      <c r="K1849" s="269"/>
      <c r="L1849" s="269"/>
      <c r="M1849" s="360"/>
      <c r="N1849" s="361"/>
      <c r="O1849" s="279"/>
      <c r="P1849" s="373"/>
      <c r="Q1849" s="269"/>
      <c r="R1849" s="269"/>
      <c r="S1849" s="270"/>
      <c r="T1849" s="270"/>
      <c r="U1849" s="270"/>
      <c r="V1849" s="269"/>
      <c r="W1849" s="270"/>
      <c r="X1849" s="266"/>
      <c r="Y1849" s="270"/>
      <c r="Z1849" s="266"/>
      <c r="AA1849" s="270"/>
      <c r="AB1849" s="270"/>
      <c r="AC1849" s="266"/>
      <c r="AD1849" s="270"/>
      <c r="AE1849" s="270"/>
      <c r="AF1849" s="201"/>
      <c r="AG1849" s="280"/>
      <c r="AH1849" s="280"/>
      <c r="AI1849" s="266"/>
    </row>
    <row r="1850" spans="1:38" s="273" customFormat="1" ht="17.25" customHeight="1" x14ac:dyDescent="0.25">
      <c r="A1850" s="265"/>
      <c r="B1850" s="281"/>
      <c r="C1850" s="281"/>
      <c r="D1850" s="281"/>
      <c r="E1850" s="281"/>
      <c r="F1850" s="281"/>
      <c r="G1850" s="281"/>
      <c r="H1850" s="274"/>
      <c r="I1850" s="268"/>
      <c r="J1850" s="282"/>
      <c r="K1850" s="269"/>
      <c r="L1850" s="373"/>
      <c r="M1850" s="360"/>
      <c r="N1850" s="449"/>
      <c r="O1850" s="449"/>
      <c r="P1850" s="201"/>
      <c r="Q1850" s="283"/>
      <c r="R1850" s="283"/>
      <c r="S1850" s="272"/>
      <c r="T1850" s="272"/>
      <c r="U1850" s="272"/>
      <c r="V1850" s="269"/>
      <c r="W1850" s="266"/>
      <c r="X1850" s="266"/>
      <c r="Y1850" s="266"/>
      <c r="Z1850" s="266"/>
      <c r="AA1850" s="266"/>
      <c r="AB1850" s="266"/>
      <c r="AC1850" s="266"/>
      <c r="AD1850" s="449"/>
      <c r="AE1850" s="449"/>
      <c r="AF1850" s="266"/>
      <c r="AG1850" s="266"/>
      <c r="AH1850" s="266"/>
      <c r="AI1850" s="266"/>
    </row>
    <row r="1851" spans="1:38" s="273" customFormat="1" ht="16.5" customHeight="1" x14ac:dyDescent="0.25">
      <c r="A1851" s="265"/>
      <c r="B1851" s="281"/>
      <c r="C1851" s="281"/>
      <c r="D1851" s="281"/>
      <c r="E1851" s="281"/>
      <c r="F1851" s="281"/>
      <c r="G1851" s="281"/>
      <c r="H1851" s="265"/>
      <c r="I1851" s="306">
        <f>I1849-I1850</f>
        <v>0</v>
      </c>
      <c r="J1851" s="282"/>
      <c r="K1851" s="269"/>
      <c r="L1851" s="269"/>
      <c r="M1851" s="266"/>
      <c r="N1851" s="450"/>
      <c r="O1851" s="450"/>
      <c r="P1851" s="269"/>
      <c r="Q1851" s="269"/>
      <c r="R1851" s="269"/>
      <c r="S1851" s="266"/>
      <c r="T1851" s="266"/>
      <c r="U1851" s="266"/>
      <c r="V1851" s="269"/>
      <c r="W1851" s="266"/>
      <c r="X1851" s="266"/>
      <c r="Y1851" s="266"/>
      <c r="Z1851" s="266"/>
      <c r="AA1851" s="266"/>
      <c r="AB1851" s="266"/>
      <c r="AC1851" s="266"/>
      <c r="AD1851" s="451"/>
      <c r="AE1851" s="451"/>
      <c r="AF1851" s="269"/>
      <c r="AG1851" s="276"/>
      <c r="AH1851" s="276"/>
      <c r="AI1851" s="270"/>
    </row>
    <row r="1852" spans="1:38" s="288" customFormat="1" ht="18" customHeight="1" x14ac:dyDescent="0.25">
      <c r="A1852" s="284"/>
      <c r="B1852" s="285"/>
      <c r="C1852" s="285"/>
      <c r="D1852" s="285"/>
      <c r="E1852" s="285"/>
      <c r="F1852" s="285"/>
      <c r="G1852" s="285"/>
      <c r="H1852" s="286" t="s">
        <v>3689</v>
      </c>
      <c r="I1852" s="268"/>
      <c r="J1852" s="282"/>
      <c r="K1852" s="269"/>
      <c r="L1852" s="269"/>
      <c r="M1852" s="266"/>
      <c r="N1852" s="454" t="s">
        <v>3690</v>
      </c>
      <c r="O1852" s="454"/>
      <c r="P1852" s="269"/>
      <c r="Q1852" s="287"/>
      <c r="R1852" s="287"/>
      <c r="S1852" s="285"/>
      <c r="T1852" s="285"/>
      <c r="U1852" s="285"/>
      <c r="V1852" s="287"/>
      <c r="W1852" s="285"/>
      <c r="X1852" s="285"/>
      <c r="Y1852" s="285"/>
      <c r="Z1852" s="285"/>
      <c r="AA1852" s="285"/>
      <c r="AB1852" s="285"/>
      <c r="AC1852" s="285"/>
      <c r="AE1852" s="285"/>
      <c r="AF1852" s="285"/>
      <c r="AG1852" s="285"/>
      <c r="AH1852" s="285"/>
      <c r="AI1852" s="285"/>
      <c r="AJ1852" s="289"/>
      <c r="AK1852" s="289"/>
      <c r="AL1852" s="289"/>
    </row>
    <row r="1853" spans="1:38" x14ac:dyDescent="0.25">
      <c r="B1853" s="352"/>
      <c r="C1853" s="352"/>
      <c r="D1853" s="352"/>
      <c r="E1853" s="352"/>
      <c r="F1853" s="352"/>
      <c r="G1853" s="352"/>
      <c r="H1853" s="353" t="s">
        <v>3691</v>
      </c>
      <c r="J1853" s="355"/>
      <c r="K1853" s="355"/>
      <c r="L1853" s="355"/>
      <c r="M1853" s="355"/>
      <c r="N1853" s="463" t="s">
        <v>3692</v>
      </c>
      <c r="O1853" s="463"/>
    </row>
    <row r="1854" spans="1:38" x14ac:dyDescent="0.25">
      <c r="H1854" s="358" t="s">
        <v>3693</v>
      </c>
      <c r="J1854" s="354"/>
      <c r="K1854" s="354"/>
      <c r="L1854" s="354"/>
      <c r="M1854" s="354"/>
      <c r="N1854" s="463" t="s">
        <v>3694</v>
      </c>
      <c r="O1854" s="463"/>
    </row>
    <row r="1855" spans="1:38" x14ac:dyDescent="0.25">
      <c r="J1855" s="354"/>
      <c r="K1855" s="354"/>
      <c r="L1855" s="354"/>
      <c r="M1855" s="354"/>
    </row>
    <row r="1856" spans="1:38" x14ac:dyDescent="0.25">
      <c r="J1856" s="359"/>
    </row>
    <row r="1857" spans="8:8" x14ac:dyDescent="0.25">
      <c r="H1857" s="274"/>
    </row>
    <row r="1858" spans="8:8" x14ac:dyDescent="0.25">
      <c r="H1858" s="265"/>
    </row>
    <row r="1873" spans="10:11" x14ac:dyDescent="0.25">
      <c r="J1873" s="299"/>
      <c r="K1873" s="300"/>
    </row>
    <row r="1874" spans="10:11" x14ac:dyDescent="0.25">
      <c r="J1874" s="300"/>
      <c r="K1874" s="300"/>
    </row>
  </sheetData>
  <mergeCells count="31">
    <mergeCell ref="N1854:O1854"/>
    <mergeCell ref="N1847:O1847"/>
    <mergeCell ref="AD1847:AE1847"/>
    <mergeCell ref="N1850:O1850"/>
    <mergeCell ref="AD1850:AE1850"/>
    <mergeCell ref="N1851:O1851"/>
    <mergeCell ref="AD1851:AE1851"/>
    <mergeCell ref="B1844:H1844"/>
    <mergeCell ref="N1845:O1845"/>
    <mergeCell ref="N1846:O1846"/>
    <mergeCell ref="N1852:O1852"/>
    <mergeCell ref="N1853:O1853"/>
    <mergeCell ref="AD1846:AE1846"/>
    <mergeCell ref="I7:I9"/>
    <mergeCell ref="J7:J9"/>
    <mergeCell ref="K7:K9"/>
    <mergeCell ref="L7:L9"/>
    <mergeCell ref="M7:M9"/>
    <mergeCell ref="N7:N9"/>
    <mergeCell ref="O7:O9"/>
    <mergeCell ref="P7:P9"/>
    <mergeCell ref="B1:P1"/>
    <mergeCell ref="B2:P2"/>
    <mergeCell ref="B3:P3"/>
    <mergeCell ref="B7:B9"/>
    <mergeCell ref="C7:C9"/>
    <mergeCell ref="D7:D9"/>
    <mergeCell ref="E7:E9"/>
    <mergeCell ref="F7:F9"/>
    <mergeCell ref="G7:G9"/>
    <mergeCell ref="H7:H9"/>
  </mergeCells>
  <printOptions horizontalCentered="1"/>
  <pageMargins left="0" right="0" top="0.35433070866141736" bottom="3.937007874015748E-2" header="0.31496062992125984" footer="0.31496062992125984"/>
  <pageSetup paperSize="5" scale="56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9</vt:i4>
      </vt:variant>
    </vt:vector>
  </HeadingPairs>
  <TitlesOfParts>
    <vt:vector size="15" baseType="lpstr">
      <vt:lpstr>BI TAHUN 2022 108</vt:lpstr>
      <vt:lpstr>REKAP BEBAN PENYUSUTAN 2022</vt:lpstr>
      <vt:lpstr>BI Sem. I tahun 2023 108</vt:lpstr>
      <vt:lpstr> Rekap Beban Peny. Sem.I 2023</vt:lpstr>
      <vt:lpstr>BI Sem. II tahun 2023 108  </vt:lpstr>
      <vt:lpstr> Rekap Beban Peny. Sem.II 2023</vt:lpstr>
      <vt:lpstr>' Rekap Beban Peny. Sem.I 2023'!Print_Area</vt:lpstr>
      <vt:lpstr>' Rekap Beban Peny. Sem.II 2023'!Print_Area</vt:lpstr>
      <vt:lpstr>'BI Sem. I tahun 2023 108'!Print_Area</vt:lpstr>
      <vt:lpstr>'BI Sem. II tahun 2023 108  '!Print_Area</vt:lpstr>
      <vt:lpstr>'BI TAHUN 2022 108'!Print_Area</vt:lpstr>
      <vt:lpstr>'REKAP BEBAN PENYUSUTAN 2022'!Print_Area</vt:lpstr>
      <vt:lpstr>' Rekap Beban Peny. Sem.I 2023'!Print_Titles</vt:lpstr>
      <vt:lpstr>' Rekap Beban Peny. Sem.II 2023'!Print_Titles</vt:lpstr>
      <vt:lpstr>'REKAP BEBAN PENYUSUTAN 2022'!Print_Titles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BPSDM</cp:lastModifiedBy>
  <cp:lastPrinted>2024-02-04T13:54:44Z</cp:lastPrinted>
  <dcterms:created xsi:type="dcterms:W3CDTF">2023-12-13T03:34:58Z</dcterms:created>
  <dcterms:modified xsi:type="dcterms:W3CDTF">2024-02-29T15:42:34Z</dcterms:modified>
</cp:coreProperties>
</file>